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codeName="ThisWorkbook1"/>
  <mc:AlternateContent xmlns:mc="http://schemas.openxmlformats.org/markup-compatibility/2006">
    <mc:Choice Requires="x15">
      <x15ac:absPath xmlns:x15ac="http://schemas.microsoft.com/office/spreadsheetml/2010/11/ac" url="U:\!master\!SALreg\an\pre\Bluebook\2021\"/>
    </mc:Choice>
  </mc:AlternateContent>
  <xr:revisionPtr revIDLastSave="0" documentId="13_ncr:1_{7650B28F-8573-4D70-99E2-02607AF43E1B}" xr6:coauthVersionLast="46" xr6:coauthVersionMax="46" xr10:uidLastSave="{00000000-0000-0000-0000-000000000000}"/>
  <bookViews>
    <workbookView xWindow="9105" yWindow="2640" windowWidth="12165" windowHeight="11385" tabRatio="848" firstSheet="1" activeTab="10" xr2:uid="{00000000-000D-0000-FFFF-FFFF00000000}"/>
  </bookViews>
  <sheets>
    <sheet name="Instructions" sheetId="2" state="hidden" r:id="rId1"/>
    <sheet name="INFO" sheetId="34" r:id="rId2"/>
    <sheet name="A-1" sheetId="3" r:id="rId3"/>
    <sheet name="A-2" sheetId="4" r:id="rId4"/>
    <sheet name="A-3" sheetId="5" r:id="rId5"/>
    <sheet name="A-4" sheetId="6" r:id="rId6"/>
    <sheet name="A-5" sheetId="7" r:id="rId7"/>
    <sheet name="A-6" sheetId="8" r:id="rId8"/>
    <sheet name="A-7" sheetId="9" r:id="rId9"/>
    <sheet name="A-8" sheetId="10" r:id="rId10"/>
    <sheet name="A-9" sheetId="11" r:id="rId11"/>
    <sheet name="A-10" sheetId="12" r:id="rId12"/>
    <sheet name="A-11" sheetId="13" r:id="rId13"/>
    <sheet name="A-12" sheetId="14" r:id="rId14"/>
    <sheet name="A-13" sheetId="32" r:id="rId15"/>
    <sheet name="A-14" sheetId="16" r:id="rId16"/>
    <sheet name="A-15" sheetId="17" r:id="rId17"/>
    <sheet name="A-16" sheetId="18" r:id="rId18"/>
    <sheet name="A-17" sheetId="19" r:id="rId19"/>
    <sheet name="A-18" sheetId="20" r:id="rId20"/>
    <sheet name="A-19" sheetId="21" r:id="rId21"/>
    <sheet name="A-20" sheetId="22" r:id="rId22"/>
    <sheet name="A-21" sheetId="23" r:id="rId23"/>
    <sheet name="A-22" sheetId="24" r:id="rId24"/>
    <sheet name="A-23" sheetId="25" r:id="rId25"/>
    <sheet name="A-24" sheetId="26" r:id="rId26"/>
    <sheet name="A-25" sheetId="27" r:id="rId27"/>
    <sheet name="A-26" sheetId="28" r:id="rId28"/>
    <sheet name="A-27" sheetId="29" r:id="rId29"/>
    <sheet name="A-28" sheetId="30" r:id="rId30"/>
    <sheet name="Sheet1" sheetId="31" r:id="rId31"/>
  </sheets>
  <definedNames>
    <definedName name="_xlnm.Print_Area" localSheetId="11">'A-10'!$A$377:$S$548</definedName>
    <definedName name="_xlnm.Print_Area" localSheetId="12">'A-11'!$A$1:$J$98</definedName>
    <definedName name="_xlnm.Print_Area" localSheetId="13">'A-12'!$A$257:$H$376</definedName>
    <definedName name="_xlnm.Print_Area" localSheetId="14">'A-13'!$A$251:$U$372</definedName>
    <definedName name="_xlnm.Print_Area" localSheetId="15">'A-14'!$A$257:$K$372</definedName>
    <definedName name="_xlnm.Print_Area" localSheetId="16">'A-15'!$A$257:$V$379</definedName>
    <definedName name="_xlnm.Print_Area" localSheetId="17">'A-16'!$A$141:$K$233</definedName>
    <definedName name="_xlnm.Print_Area" localSheetId="18">'A-17'!$A$257:$I$373</definedName>
    <definedName name="_xlnm.Print_Area" localSheetId="19">'A-18'!$A$257:$R$379</definedName>
    <definedName name="_xlnm.Print_Area" localSheetId="20">'A-19'!$A$138:$I$248</definedName>
    <definedName name="_xlnm.Print_Area" localSheetId="3">'A-2'!$A$298:$J$430</definedName>
    <definedName name="_xlnm.Print_Area" localSheetId="21">'A-20'!$A$197:$L$292</definedName>
    <definedName name="_xlnm.Print_Area" localSheetId="22">'A-21'!$A$197:$X$292</definedName>
    <definedName name="_xlnm.Print_Area" localSheetId="23">'A-22'!$A$197:$L$292</definedName>
    <definedName name="_xlnm.Print_Area" localSheetId="24">'A-23'!$A$197:$X$291</definedName>
    <definedName name="_xlnm.Print_Area" localSheetId="25">'A-24'!$A$342:$H$507</definedName>
    <definedName name="_xlnm.Print_Area" localSheetId="26">'A-25'!$A$342:$P$509</definedName>
    <definedName name="_xlnm.Print_Area" localSheetId="27">'A-26'!$A$186:$H$298</definedName>
    <definedName name="_xlnm.Print_Area" localSheetId="28">'A-27'!$A$162:$I$233</definedName>
    <definedName name="_xlnm.Print_Area" localSheetId="29">'A-28'!$A$171:$R$245</definedName>
    <definedName name="_xlnm.Print_Area" localSheetId="4">'A-3'!$A$305:$R$441</definedName>
    <definedName name="_xlnm.Print_Area" localSheetId="5">'A-4'!$A$294:$L$425</definedName>
    <definedName name="_xlnm.Print_Area" localSheetId="6">'A-5'!$A$294:$X$428</definedName>
    <definedName name="_xlnm.Print_Area" localSheetId="7">'A-6'!$A$1:$K$76</definedName>
    <definedName name="_xlnm.Print_Area" localSheetId="8">'A-7'!$A$383:$L$553</definedName>
    <definedName name="_xlnm.Print_Area" localSheetId="9">'A-8'!$A$527:$S$697</definedName>
    <definedName name="_xlnm.Print_Area" localSheetId="10">'A-9'!$A$375:$K$537</definedName>
    <definedName name="_xlnm.Print_Are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515" i="12" l="1"/>
  <c r="K188" i="24"/>
  <c r="K189" i="24"/>
  <c r="J189" i="24"/>
  <c r="E265" i="19" l="1"/>
  <c r="B255" i="32"/>
  <c r="C255" i="32"/>
  <c r="D255" i="32"/>
  <c r="E255" i="32"/>
  <c r="F255" i="32"/>
  <c r="G255" i="32"/>
  <c r="K255" i="32"/>
  <c r="L255" i="32"/>
  <c r="M255" i="32"/>
  <c r="N255" i="32"/>
  <c r="P255" i="32"/>
  <c r="Q255" i="32"/>
  <c r="R255" i="32"/>
  <c r="S255" i="32"/>
  <c r="T255" i="32"/>
  <c r="U255" i="32"/>
  <c r="B256" i="32"/>
  <c r="C256" i="32"/>
  <c r="D256" i="32"/>
  <c r="E256" i="32"/>
  <c r="G256" i="32"/>
  <c r="K256" i="32"/>
  <c r="L256" i="32"/>
  <c r="N256" i="32"/>
  <c r="P256" i="32"/>
  <c r="R256" i="32"/>
  <c r="S256" i="32"/>
  <c r="U256" i="32"/>
  <c r="B257" i="32"/>
  <c r="C257" i="32"/>
  <c r="D257" i="32"/>
  <c r="E257" i="32"/>
  <c r="F257" i="32"/>
  <c r="G257" i="32"/>
  <c r="K257" i="32"/>
  <c r="L257" i="32"/>
  <c r="M257" i="32"/>
  <c r="N257" i="32"/>
  <c r="P257" i="32"/>
  <c r="Q257" i="32"/>
  <c r="R257" i="32"/>
  <c r="S257" i="32"/>
  <c r="T257" i="32"/>
  <c r="U257" i="32"/>
  <c r="B258" i="32"/>
  <c r="C258" i="32"/>
  <c r="D258" i="32"/>
  <c r="E258" i="32"/>
  <c r="G258" i="32"/>
  <c r="K258" i="32"/>
  <c r="L258" i="32"/>
  <c r="N258" i="32"/>
  <c r="P258" i="32"/>
  <c r="Q258" i="32"/>
  <c r="R258" i="32"/>
  <c r="S258" i="32"/>
  <c r="U258" i="32"/>
  <c r="B259" i="32"/>
  <c r="C259" i="32"/>
  <c r="D259" i="32"/>
  <c r="E259" i="32"/>
  <c r="F259" i="32"/>
  <c r="G259" i="32"/>
  <c r="I259" i="32"/>
  <c r="J259" i="32"/>
  <c r="K259" i="32"/>
  <c r="L259" i="32"/>
  <c r="M259" i="32"/>
  <c r="N259" i="32"/>
  <c r="P259" i="32"/>
  <c r="Q259" i="32"/>
  <c r="R259" i="32"/>
  <c r="S259" i="32"/>
  <c r="T259" i="32"/>
  <c r="U259" i="32"/>
  <c r="B260" i="32"/>
  <c r="C260" i="32"/>
  <c r="D260" i="32"/>
  <c r="E260" i="32"/>
  <c r="F260" i="32"/>
  <c r="G260" i="32"/>
  <c r="I260" i="32"/>
  <c r="J260" i="32"/>
  <c r="K260" i="32"/>
  <c r="L260" i="32"/>
  <c r="M260" i="32"/>
  <c r="N260" i="32"/>
  <c r="B261" i="32"/>
  <c r="C261" i="32"/>
  <c r="D261" i="32"/>
  <c r="E261" i="32"/>
  <c r="F261" i="32"/>
  <c r="G261" i="32"/>
  <c r="I261" i="32"/>
  <c r="J261" i="32"/>
  <c r="K261" i="32"/>
  <c r="L261" i="32"/>
  <c r="M261" i="32"/>
  <c r="N261" i="32"/>
  <c r="P261" i="32"/>
  <c r="Q261" i="32"/>
  <c r="R261" i="32"/>
  <c r="S261" i="32"/>
  <c r="T261" i="32"/>
  <c r="U261" i="32"/>
  <c r="B262" i="32"/>
  <c r="C262" i="32"/>
  <c r="D262" i="32"/>
  <c r="E262" i="32"/>
  <c r="F262" i="32"/>
  <c r="G262" i="32"/>
  <c r="I262" i="32"/>
  <c r="J262" i="32"/>
  <c r="K262" i="32"/>
  <c r="L262" i="32"/>
  <c r="M262" i="32"/>
  <c r="N262" i="32"/>
  <c r="B263" i="32"/>
  <c r="C263" i="32"/>
  <c r="D263" i="32"/>
  <c r="E263" i="32"/>
  <c r="F263" i="32"/>
  <c r="G263" i="32"/>
  <c r="I263" i="32"/>
  <c r="J263" i="32"/>
  <c r="K263" i="32"/>
  <c r="L263" i="32"/>
  <c r="M263" i="32"/>
  <c r="N263" i="32"/>
  <c r="P263" i="32"/>
  <c r="Q263" i="32"/>
  <c r="R263" i="32"/>
  <c r="S263" i="32"/>
  <c r="T263" i="32"/>
  <c r="U263" i="32"/>
  <c r="B264" i="32"/>
  <c r="C264" i="32"/>
  <c r="D264" i="32"/>
  <c r="E264" i="32"/>
  <c r="F264" i="32"/>
  <c r="G264" i="32"/>
  <c r="I264" i="32"/>
  <c r="J264" i="32"/>
  <c r="K264" i="32"/>
  <c r="L264" i="32"/>
  <c r="M264" i="32"/>
  <c r="N264" i="32"/>
  <c r="B265" i="32"/>
  <c r="C265" i="32"/>
  <c r="D265" i="32"/>
  <c r="E265" i="32"/>
  <c r="F265" i="32"/>
  <c r="G265" i="32"/>
  <c r="I265" i="32"/>
  <c r="J265" i="32"/>
  <c r="K265" i="32"/>
  <c r="L265" i="32"/>
  <c r="M265" i="32"/>
  <c r="N265" i="32"/>
  <c r="P265" i="32"/>
  <c r="Q265" i="32"/>
  <c r="R265" i="32"/>
  <c r="S265" i="32"/>
  <c r="T265" i="32"/>
  <c r="U265" i="32"/>
  <c r="B266" i="32"/>
  <c r="C266" i="32"/>
  <c r="D266" i="32"/>
  <c r="E266" i="32"/>
  <c r="F266" i="32"/>
  <c r="G266" i="32"/>
  <c r="I266" i="32"/>
  <c r="J266" i="32"/>
  <c r="K266" i="32"/>
  <c r="L266" i="32"/>
  <c r="M266" i="32"/>
  <c r="N266" i="32"/>
  <c r="B267" i="32"/>
  <c r="C267" i="32"/>
  <c r="D267" i="32"/>
  <c r="E267" i="32"/>
  <c r="F267" i="32"/>
  <c r="G267" i="32"/>
  <c r="I267" i="32"/>
  <c r="J267" i="32"/>
  <c r="K267" i="32"/>
  <c r="L267" i="32"/>
  <c r="M267" i="32"/>
  <c r="N267" i="32"/>
  <c r="P267" i="32"/>
  <c r="Q267" i="32"/>
  <c r="R267" i="32"/>
  <c r="S267" i="32"/>
  <c r="T267" i="32"/>
  <c r="U267" i="32"/>
  <c r="B268" i="32"/>
  <c r="C268" i="32"/>
  <c r="D268" i="32"/>
  <c r="E268" i="32"/>
  <c r="F268" i="32"/>
  <c r="G268" i="32"/>
  <c r="I268" i="32"/>
  <c r="J268" i="32"/>
  <c r="K268" i="32"/>
  <c r="L268" i="32"/>
  <c r="M268" i="32"/>
  <c r="N268" i="32"/>
  <c r="B269" i="32"/>
  <c r="C269" i="32"/>
  <c r="D269" i="32"/>
  <c r="E269" i="32"/>
  <c r="F269" i="32"/>
  <c r="G269" i="32"/>
  <c r="I269" i="32"/>
  <c r="J269" i="32"/>
  <c r="K269" i="32"/>
  <c r="L269" i="32"/>
  <c r="M269" i="32"/>
  <c r="N269" i="32"/>
  <c r="P269" i="32"/>
  <c r="Q269" i="32"/>
  <c r="R269" i="32"/>
  <c r="S269" i="32"/>
  <c r="T269" i="32"/>
  <c r="U269" i="32"/>
  <c r="B270" i="32"/>
  <c r="C270" i="32"/>
  <c r="D270" i="32"/>
  <c r="E270" i="32"/>
  <c r="F270" i="32"/>
  <c r="G270" i="32"/>
  <c r="I270" i="32"/>
  <c r="J270" i="32"/>
  <c r="K270" i="32"/>
  <c r="L270" i="32"/>
  <c r="M270" i="32"/>
  <c r="N270" i="32"/>
  <c r="B271" i="32"/>
  <c r="C271" i="32"/>
  <c r="D271" i="32"/>
  <c r="E271" i="32"/>
  <c r="F271" i="32"/>
  <c r="G271" i="32"/>
  <c r="I271" i="32"/>
  <c r="J271" i="32"/>
  <c r="K271" i="32"/>
  <c r="L271" i="32"/>
  <c r="M271" i="32"/>
  <c r="N271" i="32"/>
  <c r="P271" i="32"/>
  <c r="Q271" i="32"/>
  <c r="R271" i="32"/>
  <c r="S271" i="32"/>
  <c r="T271" i="32"/>
  <c r="U271" i="32"/>
  <c r="B272" i="32"/>
  <c r="C272" i="32"/>
  <c r="D272" i="32"/>
  <c r="E272" i="32"/>
  <c r="F272" i="32"/>
  <c r="G272" i="32"/>
  <c r="I272" i="32"/>
  <c r="J272" i="32"/>
  <c r="K272" i="32"/>
  <c r="L272" i="32"/>
  <c r="M272" i="32"/>
  <c r="N272" i="32"/>
  <c r="B273" i="32"/>
  <c r="C273" i="32"/>
  <c r="D273" i="32"/>
  <c r="E273" i="32"/>
  <c r="F273" i="32"/>
  <c r="G273" i="32"/>
  <c r="I273" i="32"/>
  <c r="J273" i="32"/>
  <c r="K273" i="32"/>
  <c r="L273" i="32"/>
  <c r="M273" i="32"/>
  <c r="N273" i="32"/>
  <c r="P273" i="32"/>
  <c r="Q273" i="32"/>
  <c r="R273" i="32"/>
  <c r="S273" i="32"/>
  <c r="T273" i="32"/>
  <c r="U273" i="32"/>
  <c r="B274" i="32"/>
  <c r="C274" i="32"/>
  <c r="D274" i="32"/>
  <c r="E274" i="32"/>
  <c r="F274" i="32"/>
  <c r="G274" i="32"/>
  <c r="I274" i="32"/>
  <c r="J274" i="32"/>
  <c r="K274" i="32"/>
  <c r="L274" i="32"/>
  <c r="M274" i="32"/>
  <c r="N274" i="32"/>
  <c r="A292" i="25"/>
  <c r="A292" i="24"/>
  <c r="A429" i="7" l="1"/>
  <c r="B270" i="4"/>
  <c r="C270" i="4"/>
  <c r="D270" i="4"/>
  <c r="B271" i="4"/>
  <c r="C271" i="4"/>
  <c r="D271" i="4"/>
  <c r="I136" i="4"/>
  <c r="J190" i="17"/>
  <c r="K190" i="17"/>
  <c r="J191" i="17"/>
  <c r="K191" i="17"/>
  <c r="U143" i="17"/>
  <c r="U144" i="17"/>
  <c r="J142" i="17"/>
  <c r="J143" i="17"/>
  <c r="J144" i="17"/>
  <c r="E128" i="18" l="1"/>
  <c r="E50" i="28"/>
  <c r="F50" i="28"/>
  <c r="G50" i="28"/>
  <c r="H50" i="28"/>
  <c r="D50" i="28"/>
  <c r="C50" i="28"/>
  <c r="B50" i="28"/>
  <c r="B74" i="28" s="1"/>
  <c r="B232" i="28" s="1"/>
  <c r="A380" i="20"/>
  <c r="A374" i="19"/>
  <c r="Q285" i="12" l="1"/>
  <c r="C265" i="9"/>
  <c r="D265" i="9"/>
  <c r="R95" i="30" l="1"/>
  <c r="R215" i="30" s="1"/>
  <c r="Q95" i="30"/>
  <c r="Q215" i="30" s="1"/>
  <c r="P95" i="30"/>
  <c r="P215" i="30" s="1"/>
  <c r="O95" i="30"/>
  <c r="O215" i="30" s="1"/>
  <c r="N95" i="30"/>
  <c r="N215" i="30" s="1"/>
  <c r="M95" i="30"/>
  <c r="M215" i="30" s="1"/>
  <c r="L95" i="30"/>
  <c r="L215" i="30" s="1"/>
  <c r="K95" i="30"/>
  <c r="K215" i="30" s="1"/>
  <c r="I95" i="30"/>
  <c r="I215" i="30" s="1"/>
  <c r="H95" i="30"/>
  <c r="H215" i="30" s="1"/>
  <c r="G95" i="30"/>
  <c r="G215" i="30" s="1"/>
  <c r="F95" i="30"/>
  <c r="F215" i="30" s="1"/>
  <c r="E95" i="30"/>
  <c r="E215" i="30" s="1"/>
  <c r="D95" i="30"/>
  <c r="D215" i="30" s="1"/>
  <c r="C95" i="30"/>
  <c r="C215" i="30" s="1"/>
  <c r="B95" i="30"/>
  <c r="B215" i="30" s="1"/>
  <c r="R48" i="30"/>
  <c r="R193" i="30" s="1"/>
  <c r="Q48" i="30"/>
  <c r="Q193" i="30" s="1"/>
  <c r="P48" i="30"/>
  <c r="P193" i="30" s="1"/>
  <c r="O48" i="30"/>
  <c r="O193" i="30" s="1"/>
  <c r="N48" i="30"/>
  <c r="N193" i="30" s="1"/>
  <c r="M48" i="30"/>
  <c r="M193" i="30" s="1"/>
  <c r="L48" i="30"/>
  <c r="L193" i="30" s="1"/>
  <c r="K48" i="30"/>
  <c r="K193" i="30" s="1"/>
  <c r="I48" i="30"/>
  <c r="I193" i="30" s="1"/>
  <c r="H48" i="30"/>
  <c r="H193" i="30" s="1"/>
  <c r="G48" i="30"/>
  <c r="G193" i="30" s="1"/>
  <c r="F48" i="30"/>
  <c r="F193" i="30" s="1"/>
  <c r="E48" i="30"/>
  <c r="E193" i="30" s="1"/>
  <c r="D48" i="30"/>
  <c r="D193" i="30" s="1"/>
  <c r="C48" i="30"/>
  <c r="C193" i="30" s="1"/>
  <c r="B48" i="30"/>
  <c r="B193" i="30" s="1"/>
  <c r="I94" i="29"/>
  <c r="I205" i="29" s="1"/>
  <c r="H94" i="29"/>
  <c r="H205" i="29" s="1"/>
  <c r="G94" i="29"/>
  <c r="G205" i="29" s="1"/>
  <c r="F94" i="29"/>
  <c r="E94" i="29"/>
  <c r="E205" i="29" s="1"/>
  <c r="D94" i="29"/>
  <c r="D205" i="29" s="1"/>
  <c r="C94" i="29"/>
  <c r="C205" i="29" s="1"/>
  <c r="B94" i="29"/>
  <c r="B205" i="29" s="1"/>
  <c r="I47" i="29"/>
  <c r="I183" i="29" s="1"/>
  <c r="H47" i="29"/>
  <c r="H183" i="29" s="1"/>
  <c r="G47" i="29"/>
  <c r="G183" i="29" s="1"/>
  <c r="F47" i="29"/>
  <c r="F183" i="29" s="1"/>
  <c r="E47" i="29"/>
  <c r="E183" i="29" s="1"/>
  <c r="D47" i="29"/>
  <c r="D183" i="29" s="1"/>
  <c r="C47" i="29"/>
  <c r="C183" i="29" s="1"/>
  <c r="B47" i="29"/>
  <c r="B183" i="29" s="1"/>
  <c r="J458" i="27"/>
  <c r="J433" i="27"/>
  <c r="O364" i="27"/>
  <c r="K364" i="27"/>
  <c r="J364" i="27"/>
  <c r="G364" i="27"/>
  <c r="O283" i="27"/>
  <c r="O480" i="27" s="1"/>
  <c r="N283" i="27"/>
  <c r="N480" i="27" s="1"/>
  <c r="M283" i="27"/>
  <c r="M480" i="27" s="1"/>
  <c r="L283" i="27"/>
  <c r="L480" i="27" s="1"/>
  <c r="K283" i="27"/>
  <c r="K480" i="27" s="1"/>
  <c r="J283" i="27"/>
  <c r="J330" i="27" s="1"/>
  <c r="J505" i="27" s="1"/>
  <c r="G283" i="27"/>
  <c r="G480" i="27" s="1"/>
  <c r="F283" i="27"/>
  <c r="F480" i="27" s="1"/>
  <c r="E283" i="27"/>
  <c r="E480" i="27" s="1"/>
  <c r="D283" i="27"/>
  <c r="D480" i="27" s="1"/>
  <c r="C283" i="27"/>
  <c r="C480" i="27" s="1"/>
  <c r="B283" i="27"/>
  <c r="B480" i="27" s="1"/>
  <c r="J236" i="27"/>
  <c r="O189" i="27"/>
  <c r="O236" i="27" s="1"/>
  <c r="O458" i="27" s="1"/>
  <c r="N189" i="27"/>
  <c r="N433" i="27" s="1"/>
  <c r="M189" i="27"/>
  <c r="M433" i="27" s="1"/>
  <c r="L189" i="27"/>
  <c r="L433" i="27" s="1"/>
  <c r="K189" i="27"/>
  <c r="K433" i="27" s="1"/>
  <c r="G189" i="27"/>
  <c r="G236" i="27" s="1"/>
  <c r="G458" i="27" s="1"/>
  <c r="F189" i="27"/>
  <c r="F433" i="27" s="1"/>
  <c r="E189" i="27"/>
  <c r="E433" i="27" s="1"/>
  <c r="D189" i="27"/>
  <c r="D433" i="27" s="1"/>
  <c r="C189" i="27"/>
  <c r="C433" i="27" s="1"/>
  <c r="B189" i="27"/>
  <c r="B433" i="27" s="1"/>
  <c r="P95" i="27"/>
  <c r="P386" i="27" s="1"/>
  <c r="O95" i="27"/>
  <c r="O142" i="27" s="1"/>
  <c r="O411" i="27" s="1"/>
  <c r="N95" i="27"/>
  <c r="N386" i="27" s="1"/>
  <c r="M95" i="27"/>
  <c r="M386" i="27" s="1"/>
  <c r="L95" i="27"/>
  <c r="L386" i="27" s="1"/>
  <c r="K95" i="27"/>
  <c r="K142" i="27" s="1"/>
  <c r="K411" i="27" s="1"/>
  <c r="J95" i="27"/>
  <c r="J142" i="27" s="1"/>
  <c r="J411" i="27" s="1"/>
  <c r="H95" i="27"/>
  <c r="H386" i="27" s="1"/>
  <c r="G95" i="27"/>
  <c r="G142" i="27" s="1"/>
  <c r="G411" i="27" s="1"/>
  <c r="F95" i="27"/>
  <c r="F386" i="27" s="1"/>
  <c r="E95" i="27"/>
  <c r="E386" i="27" s="1"/>
  <c r="D95" i="27"/>
  <c r="D386" i="27" s="1"/>
  <c r="C95" i="27"/>
  <c r="C386" i="27" s="1"/>
  <c r="B95" i="27"/>
  <c r="B386" i="27" s="1"/>
  <c r="P48" i="27"/>
  <c r="P364" i="27" s="1"/>
  <c r="N48" i="27"/>
  <c r="N364" i="27" s="1"/>
  <c r="M48" i="27"/>
  <c r="M364" i="27" s="1"/>
  <c r="L48" i="27"/>
  <c r="L364" i="27" s="1"/>
  <c r="H48" i="27"/>
  <c r="H364" i="27" s="1"/>
  <c r="F48" i="27"/>
  <c r="F236" i="27" s="1"/>
  <c r="F458" i="27" s="1"/>
  <c r="E48" i="27"/>
  <c r="E236" i="27" s="1"/>
  <c r="E458" i="27" s="1"/>
  <c r="D48" i="27"/>
  <c r="D236" i="27" s="1"/>
  <c r="D458" i="27" s="1"/>
  <c r="C48" i="27"/>
  <c r="C364" i="27" s="1"/>
  <c r="B48" i="27"/>
  <c r="B236" i="27" s="1"/>
  <c r="B458" i="27" s="1"/>
  <c r="H283" i="26"/>
  <c r="H477" i="26" s="1"/>
  <c r="G283" i="26"/>
  <c r="G477" i="26" s="1"/>
  <c r="F283" i="26"/>
  <c r="F477" i="26" s="1"/>
  <c r="E283" i="26"/>
  <c r="E477" i="26" s="1"/>
  <c r="D283" i="26"/>
  <c r="D477" i="26" s="1"/>
  <c r="C283" i="26"/>
  <c r="C477" i="26" s="1"/>
  <c r="B283" i="26"/>
  <c r="B477" i="26" s="1"/>
  <c r="G189" i="26"/>
  <c r="G433" i="26" s="1"/>
  <c r="F189" i="26"/>
  <c r="F433" i="26" s="1"/>
  <c r="E189" i="26"/>
  <c r="E433" i="26" s="1"/>
  <c r="D189" i="26"/>
  <c r="D433" i="26" s="1"/>
  <c r="C189" i="26"/>
  <c r="C433" i="26" s="1"/>
  <c r="B189" i="26"/>
  <c r="B433" i="26" s="1"/>
  <c r="H95" i="26"/>
  <c r="H386" i="26" s="1"/>
  <c r="G95" i="26"/>
  <c r="G386" i="26" s="1"/>
  <c r="F95" i="26"/>
  <c r="F386" i="26" s="1"/>
  <c r="E95" i="26"/>
  <c r="E386" i="26" s="1"/>
  <c r="D95" i="26"/>
  <c r="D386" i="26" s="1"/>
  <c r="C95" i="26"/>
  <c r="C386" i="26" s="1"/>
  <c r="B95" i="26"/>
  <c r="B386" i="26" s="1"/>
  <c r="H48" i="26"/>
  <c r="H364" i="26" s="1"/>
  <c r="G48" i="26"/>
  <c r="G364" i="26" s="1"/>
  <c r="F48" i="26"/>
  <c r="F364" i="26" s="1"/>
  <c r="E48" i="26"/>
  <c r="D48" i="26"/>
  <c r="D364" i="26" s="1"/>
  <c r="C48" i="26"/>
  <c r="C364" i="26" s="1"/>
  <c r="B48" i="26"/>
  <c r="B364" i="26" s="1"/>
  <c r="Q266" i="25"/>
  <c r="K241" i="25"/>
  <c r="B241" i="25"/>
  <c r="W219" i="25"/>
  <c r="P219" i="25"/>
  <c r="O219" i="25"/>
  <c r="N219" i="25"/>
  <c r="K219" i="25"/>
  <c r="B219" i="25"/>
  <c r="X142" i="25"/>
  <c r="X266" i="25" s="1"/>
  <c r="W142" i="25"/>
  <c r="W266" i="25" s="1"/>
  <c r="V142" i="25"/>
  <c r="V266" i="25" s="1"/>
  <c r="U142" i="25"/>
  <c r="U266" i="25" s="1"/>
  <c r="T142" i="25"/>
  <c r="T266" i="25" s="1"/>
  <c r="S142" i="25"/>
  <c r="S266" i="25" s="1"/>
  <c r="R142" i="25"/>
  <c r="R266" i="25" s="1"/>
  <c r="Q142" i="25"/>
  <c r="P142" i="25"/>
  <c r="P266" i="25" s="1"/>
  <c r="O142" i="25"/>
  <c r="O266" i="25" s="1"/>
  <c r="N142" i="25"/>
  <c r="N266" i="25" s="1"/>
  <c r="L142" i="25"/>
  <c r="L266" i="25" s="1"/>
  <c r="K142" i="25"/>
  <c r="K189" i="25" s="1"/>
  <c r="K288" i="25" s="1"/>
  <c r="J142" i="25"/>
  <c r="J266" i="25" s="1"/>
  <c r="I142" i="25"/>
  <c r="I266" i="25" s="1"/>
  <c r="H142" i="25"/>
  <c r="H266" i="25" s="1"/>
  <c r="G142" i="25"/>
  <c r="G266" i="25" s="1"/>
  <c r="F142" i="25"/>
  <c r="F266" i="25" s="1"/>
  <c r="E142" i="25"/>
  <c r="E266" i="25" s="1"/>
  <c r="D142" i="25"/>
  <c r="D266" i="25" s="1"/>
  <c r="C142" i="25"/>
  <c r="C266" i="25" s="1"/>
  <c r="B142" i="25"/>
  <c r="B189" i="25" s="1"/>
  <c r="B288" i="25" s="1"/>
  <c r="W95" i="25"/>
  <c r="W241" i="25" s="1"/>
  <c r="V95" i="25"/>
  <c r="V241" i="25" s="1"/>
  <c r="U95" i="25"/>
  <c r="U241" i="25" s="1"/>
  <c r="T95" i="25"/>
  <c r="T241" i="25" s="1"/>
  <c r="S95" i="25"/>
  <c r="S241" i="25" s="1"/>
  <c r="R95" i="25"/>
  <c r="R241" i="25" s="1"/>
  <c r="Q95" i="25"/>
  <c r="Q241" i="25" s="1"/>
  <c r="P95" i="25"/>
  <c r="P241" i="25" s="1"/>
  <c r="O95" i="25"/>
  <c r="O241" i="25" s="1"/>
  <c r="N95" i="25"/>
  <c r="N241" i="25" s="1"/>
  <c r="J95" i="25"/>
  <c r="J241" i="25" s="1"/>
  <c r="I95" i="25"/>
  <c r="I241" i="25" s="1"/>
  <c r="H95" i="25"/>
  <c r="G95" i="25"/>
  <c r="G241" i="25" s="1"/>
  <c r="F95" i="25"/>
  <c r="F241" i="25" s="1"/>
  <c r="E95" i="25"/>
  <c r="E241" i="25" s="1"/>
  <c r="D95" i="25"/>
  <c r="D241" i="25" s="1"/>
  <c r="C95" i="25"/>
  <c r="C241" i="25" s="1"/>
  <c r="X48" i="25"/>
  <c r="X219" i="25" s="1"/>
  <c r="V48" i="25"/>
  <c r="V219" i="25" s="1"/>
  <c r="U48" i="25"/>
  <c r="U219" i="25" s="1"/>
  <c r="T48" i="25"/>
  <c r="T219" i="25" s="1"/>
  <c r="S48" i="25"/>
  <c r="S219" i="25" s="1"/>
  <c r="R48" i="25"/>
  <c r="R219" i="25" s="1"/>
  <c r="Q48" i="25"/>
  <c r="Q219" i="25" s="1"/>
  <c r="L48" i="25"/>
  <c r="L219" i="25" s="1"/>
  <c r="J48" i="25"/>
  <c r="J219" i="25" s="1"/>
  <c r="I48" i="25"/>
  <c r="I219" i="25" s="1"/>
  <c r="H48" i="25"/>
  <c r="H219" i="25" s="1"/>
  <c r="G48" i="25"/>
  <c r="G219" i="25" s="1"/>
  <c r="F48" i="25"/>
  <c r="F219" i="25" s="1"/>
  <c r="E48" i="25"/>
  <c r="E219" i="25" s="1"/>
  <c r="D48" i="25"/>
  <c r="D219" i="25" s="1"/>
  <c r="C48" i="25"/>
  <c r="C219" i="25" s="1"/>
  <c r="J266" i="24"/>
  <c r="B266" i="24"/>
  <c r="B219" i="24"/>
  <c r="K288" i="24"/>
  <c r="L141" i="24"/>
  <c r="L266" i="24" s="1"/>
  <c r="K141" i="24"/>
  <c r="K266" i="24" s="1"/>
  <c r="J141" i="24"/>
  <c r="I141" i="24"/>
  <c r="I266" i="24" s="1"/>
  <c r="H141" i="24"/>
  <c r="H266" i="24" s="1"/>
  <c r="G141" i="24"/>
  <c r="G266" i="24" s="1"/>
  <c r="F141" i="24"/>
  <c r="F266" i="24" s="1"/>
  <c r="E141" i="24"/>
  <c r="E266" i="24" s="1"/>
  <c r="D141" i="24"/>
  <c r="D266" i="24" s="1"/>
  <c r="C141" i="24"/>
  <c r="C266" i="24" s="1"/>
  <c r="B141" i="24"/>
  <c r="K94" i="24"/>
  <c r="K241" i="24" s="1"/>
  <c r="J94" i="24"/>
  <c r="J241" i="24" s="1"/>
  <c r="I94" i="24"/>
  <c r="I241" i="24" s="1"/>
  <c r="H94" i="24"/>
  <c r="H241" i="24" s="1"/>
  <c r="G94" i="24"/>
  <c r="G241" i="24" s="1"/>
  <c r="F94" i="24"/>
  <c r="F241" i="24" s="1"/>
  <c r="E94" i="24"/>
  <c r="E241" i="24" s="1"/>
  <c r="D94" i="24"/>
  <c r="D241" i="24" s="1"/>
  <c r="C94" i="24"/>
  <c r="C241" i="24" s="1"/>
  <c r="B94" i="24"/>
  <c r="B241" i="24" s="1"/>
  <c r="L47" i="24"/>
  <c r="L219" i="24" s="1"/>
  <c r="K47" i="24"/>
  <c r="K219" i="24" s="1"/>
  <c r="J47" i="24"/>
  <c r="J219" i="24" s="1"/>
  <c r="I47" i="24"/>
  <c r="I219" i="24" s="1"/>
  <c r="H47" i="24"/>
  <c r="H219" i="24" s="1"/>
  <c r="G47" i="24"/>
  <c r="G219" i="24" s="1"/>
  <c r="F47" i="24"/>
  <c r="F219" i="24" s="1"/>
  <c r="E47" i="24"/>
  <c r="E219" i="24" s="1"/>
  <c r="D47" i="24"/>
  <c r="D219" i="24" s="1"/>
  <c r="C47" i="24"/>
  <c r="C219" i="24" s="1"/>
  <c r="W288" i="23"/>
  <c r="V288" i="23"/>
  <c r="P288" i="23"/>
  <c r="O288" i="23"/>
  <c r="N288" i="23"/>
  <c r="X266" i="23"/>
  <c r="W266" i="23"/>
  <c r="V266" i="23"/>
  <c r="U266" i="23"/>
  <c r="T266" i="23"/>
  <c r="S266" i="23"/>
  <c r="R266" i="23"/>
  <c r="Q266" i="23"/>
  <c r="P266" i="23"/>
  <c r="O266" i="23"/>
  <c r="N266" i="23"/>
  <c r="K266" i="23"/>
  <c r="J266" i="23"/>
  <c r="B266" i="23"/>
  <c r="X241" i="23"/>
  <c r="W241" i="23"/>
  <c r="V241" i="23"/>
  <c r="U241" i="23"/>
  <c r="T241" i="23"/>
  <c r="S241" i="23"/>
  <c r="R241" i="23"/>
  <c r="Q241" i="23"/>
  <c r="P241" i="23"/>
  <c r="O241" i="23"/>
  <c r="N241" i="23"/>
  <c r="X219" i="23"/>
  <c r="W219" i="23"/>
  <c r="V219" i="23"/>
  <c r="P219" i="23"/>
  <c r="O219" i="23"/>
  <c r="N219" i="23"/>
  <c r="X189" i="23"/>
  <c r="W189" i="23"/>
  <c r="V189" i="23"/>
  <c r="P189" i="23"/>
  <c r="O189" i="23"/>
  <c r="N189" i="23"/>
  <c r="L142" i="23"/>
  <c r="L266" i="23" s="1"/>
  <c r="I142" i="23"/>
  <c r="I266" i="23" s="1"/>
  <c r="H142" i="23"/>
  <c r="H266" i="23" s="1"/>
  <c r="G142" i="23"/>
  <c r="G266" i="23" s="1"/>
  <c r="F142" i="23"/>
  <c r="F266" i="23" s="1"/>
  <c r="E142" i="23"/>
  <c r="E266" i="23" s="1"/>
  <c r="D142" i="23"/>
  <c r="D266" i="23" s="1"/>
  <c r="C142" i="23"/>
  <c r="C266" i="23" s="1"/>
  <c r="K95" i="23"/>
  <c r="K241" i="23" s="1"/>
  <c r="J95" i="23"/>
  <c r="J241" i="23" s="1"/>
  <c r="I95" i="23"/>
  <c r="I241" i="23" s="1"/>
  <c r="H95" i="23"/>
  <c r="H241" i="23" s="1"/>
  <c r="G95" i="23"/>
  <c r="G241" i="23" s="1"/>
  <c r="F95" i="23"/>
  <c r="F241" i="23" s="1"/>
  <c r="E95" i="23"/>
  <c r="E241" i="23" s="1"/>
  <c r="D95" i="23"/>
  <c r="D241" i="23" s="1"/>
  <c r="C95" i="23"/>
  <c r="C241" i="23" s="1"/>
  <c r="B95" i="23"/>
  <c r="B241" i="23" s="1"/>
  <c r="U48" i="23"/>
  <c r="U189" i="23" s="1"/>
  <c r="U288" i="23" s="1"/>
  <c r="T48" i="23"/>
  <c r="T189" i="23" s="1"/>
  <c r="T288" i="23" s="1"/>
  <c r="S48" i="23"/>
  <c r="S189" i="23" s="1"/>
  <c r="S288" i="23" s="1"/>
  <c r="R48" i="23"/>
  <c r="R189" i="23" s="1"/>
  <c r="R288" i="23" s="1"/>
  <c r="Q48" i="23"/>
  <c r="Q189" i="23" s="1"/>
  <c r="Q288" i="23" s="1"/>
  <c r="L48" i="23"/>
  <c r="L219" i="23" s="1"/>
  <c r="K48" i="23"/>
  <c r="K219" i="23" s="1"/>
  <c r="J48" i="23"/>
  <c r="J219" i="23" s="1"/>
  <c r="I48" i="23"/>
  <c r="I219" i="23" s="1"/>
  <c r="H48" i="23"/>
  <c r="H219" i="23" s="1"/>
  <c r="G48" i="23"/>
  <c r="G219" i="23" s="1"/>
  <c r="F48" i="23"/>
  <c r="F219" i="23" s="1"/>
  <c r="E48" i="23"/>
  <c r="E219" i="23" s="1"/>
  <c r="D48" i="23"/>
  <c r="D219" i="23" s="1"/>
  <c r="C48" i="23"/>
  <c r="C219" i="23" s="1"/>
  <c r="B48" i="23"/>
  <c r="B219" i="23" s="1"/>
  <c r="K266" i="22"/>
  <c r="J266" i="22"/>
  <c r="B266" i="22"/>
  <c r="I136" i="22"/>
  <c r="I266" i="22" s="1"/>
  <c r="H136" i="22"/>
  <c r="H266" i="22" s="1"/>
  <c r="G136" i="22"/>
  <c r="G266" i="22" s="1"/>
  <c r="F136" i="22"/>
  <c r="F266" i="22" s="1"/>
  <c r="E136" i="22"/>
  <c r="E266" i="22" s="1"/>
  <c r="D136" i="22"/>
  <c r="D266" i="22" s="1"/>
  <c r="C136" i="22"/>
  <c r="C266" i="22" s="1"/>
  <c r="K91" i="22"/>
  <c r="J91" i="22"/>
  <c r="J241" i="22" s="1"/>
  <c r="I91" i="22"/>
  <c r="I241" i="22" s="1"/>
  <c r="H91" i="22"/>
  <c r="H241" i="22" s="1"/>
  <c r="G91" i="22"/>
  <c r="G241" i="22" s="1"/>
  <c r="F91" i="22"/>
  <c r="F241" i="22" s="1"/>
  <c r="E91" i="22"/>
  <c r="E241" i="22" s="1"/>
  <c r="D91" i="22"/>
  <c r="D241" i="22" s="1"/>
  <c r="C91" i="22"/>
  <c r="C241" i="22" s="1"/>
  <c r="B91" i="22"/>
  <c r="B241" i="22" s="1"/>
  <c r="K46" i="22"/>
  <c r="K219" i="22" s="1"/>
  <c r="J46" i="22"/>
  <c r="J219" i="22" s="1"/>
  <c r="I46" i="22"/>
  <c r="I219" i="22" s="1"/>
  <c r="H46" i="22"/>
  <c r="H219" i="22" s="1"/>
  <c r="G46" i="22"/>
  <c r="G219" i="22" s="1"/>
  <c r="F46" i="22"/>
  <c r="F219" i="22" s="1"/>
  <c r="E46" i="22"/>
  <c r="E219" i="22" s="1"/>
  <c r="D46" i="22"/>
  <c r="D219" i="22" s="1"/>
  <c r="C46" i="22"/>
  <c r="C219" i="22" s="1"/>
  <c r="B46" i="22"/>
  <c r="B219" i="22" s="1"/>
  <c r="B93" i="13"/>
  <c r="F94" i="13"/>
  <c r="J94" i="13" s="1"/>
  <c r="E94" i="13"/>
  <c r="D94" i="13"/>
  <c r="C94" i="13"/>
  <c r="B94" i="13"/>
  <c r="F72" i="13"/>
  <c r="J72" i="13" s="1"/>
  <c r="E72" i="13"/>
  <c r="D72" i="13"/>
  <c r="C72" i="13"/>
  <c r="B72" i="13"/>
  <c r="F46" i="13"/>
  <c r="J46" i="13" s="1"/>
  <c r="E46" i="13"/>
  <c r="D46" i="13"/>
  <c r="C46" i="13"/>
  <c r="B46" i="13"/>
  <c r="F24" i="13"/>
  <c r="J24" i="13" s="1"/>
  <c r="E24" i="13"/>
  <c r="D24" i="13"/>
  <c r="C24" i="13"/>
  <c r="B24" i="13"/>
  <c r="F73" i="8"/>
  <c r="E73" i="8"/>
  <c r="D73" i="8"/>
  <c r="C73" i="8"/>
  <c r="D47" i="8"/>
  <c r="C47" i="8"/>
  <c r="H63" i="3"/>
  <c r="F63" i="3"/>
  <c r="E63" i="3"/>
  <c r="D63" i="3"/>
  <c r="C63" i="3"/>
  <c r="B63" i="3"/>
  <c r="F42" i="3"/>
  <c r="E42" i="3"/>
  <c r="D42" i="3"/>
  <c r="C42" i="3"/>
  <c r="B42" i="3"/>
  <c r="H21" i="3"/>
  <c r="F21" i="3"/>
  <c r="E21" i="3"/>
  <c r="D21" i="3"/>
  <c r="C21" i="3"/>
  <c r="B21" i="3"/>
  <c r="R373" i="20"/>
  <c r="Q373" i="20"/>
  <c r="P373" i="20"/>
  <c r="O373" i="20"/>
  <c r="N373" i="20"/>
  <c r="M373" i="20"/>
  <c r="L373" i="20"/>
  <c r="K373" i="20"/>
  <c r="I373" i="20"/>
  <c r="H373" i="20"/>
  <c r="G373" i="20"/>
  <c r="F373" i="20"/>
  <c r="E373" i="20"/>
  <c r="D373" i="20"/>
  <c r="C373" i="20"/>
  <c r="B373" i="20"/>
  <c r="R348" i="20"/>
  <c r="Q348" i="20"/>
  <c r="P348" i="20"/>
  <c r="O348" i="20"/>
  <c r="N348" i="20"/>
  <c r="M348" i="20"/>
  <c r="L348" i="20"/>
  <c r="K348" i="20"/>
  <c r="I348" i="20"/>
  <c r="H348" i="20"/>
  <c r="G348" i="20"/>
  <c r="F348" i="20"/>
  <c r="E348" i="20"/>
  <c r="D348" i="20"/>
  <c r="C348" i="20"/>
  <c r="B348" i="20"/>
  <c r="R326" i="20"/>
  <c r="Q326" i="20"/>
  <c r="P326" i="20"/>
  <c r="O326" i="20"/>
  <c r="N326" i="20"/>
  <c r="M326" i="20"/>
  <c r="L326" i="20"/>
  <c r="K326" i="20"/>
  <c r="I326" i="20"/>
  <c r="H326" i="20"/>
  <c r="G326" i="20"/>
  <c r="F326" i="20"/>
  <c r="E326" i="20"/>
  <c r="D326" i="20"/>
  <c r="C326" i="20"/>
  <c r="B326" i="20"/>
  <c r="R301" i="20"/>
  <c r="Q301" i="20"/>
  <c r="P301" i="20"/>
  <c r="O301" i="20"/>
  <c r="N301" i="20"/>
  <c r="M301" i="20"/>
  <c r="L301" i="20"/>
  <c r="K301" i="20"/>
  <c r="I301" i="20"/>
  <c r="H301" i="20"/>
  <c r="G301" i="20"/>
  <c r="F301" i="20"/>
  <c r="E301" i="20"/>
  <c r="D301" i="20"/>
  <c r="C301" i="20"/>
  <c r="B301" i="20"/>
  <c r="R279" i="20"/>
  <c r="Q279" i="20"/>
  <c r="P279" i="20"/>
  <c r="O279" i="20"/>
  <c r="N279" i="20"/>
  <c r="M279" i="20"/>
  <c r="L279" i="20"/>
  <c r="K279" i="20"/>
  <c r="I279" i="20"/>
  <c r="H279" i="20"/>
  <c r="G279" i="20"/>
  <c r="F279" i="20"/>
  <c r="E279" i="20"/>
  <c r="D279" i="20"/>
  <c r="C279" i="20"/>
  <c r="B279" i="20"/>
  <c r="R236" i="20"/>
  <c r="Q236" i="20"/>
  <c r="P236" i="20"/>
  <c r="O236" i="20"/>
  <c r="N236" i="20"/>
  <c r="M236" i="20"/>
  <c r="L236" i="20"/>
  <c r="K236" i="20"/>
  <c r="I236" i="20"/>
  <c r="H236" i="20"/>
  <c r="G236" i="20"/>
  <c r="F236" i="20"/>
  <c r="E236" i="20"/>
  <c r="D236" i="20"/>
  <c r="C236" i="20"/>
  <c r="B236" i="20"/>
  <c r="T189" i="20"/>
  <c r="R189" i="20"/>
  <c r="I189" i="20"/>
  <c r="T142" i="20"/>
  <c r="R142" i="20"/>
  <c r="I142" i="20"/>
  <c r="R95" i="20"/>
  <c r="I95" i="20"/>
  <c r="R48" i="20"/>
  <c r="I48" i="20"/>
  <c r="I368" i="19"/>
  <c r="H368" i="19"/>
  <c r="G368" i="19"/>
  <c r="F368" i="19"/>
  <c r="E368" i="19"/>
  <c r="D368" i="19"/>
  <c r="C368" i="19"/>
  <c r="B368" i="19"/>
  <c r="I346" i="19"/>
  <c r="H346" i="19"/>
  <c r="G346" i="19"/>
  <c r="F346" i="19"/>
  <c r="E346" i="19"/>
  <c r="D346" i="19"/>
  <c r="C346" i="19"/>
  <c r="B346" i="19"/>
  <c r="I322" i="19"/>
  <c r="H322" i="19"/>
  <c r="G322" i="19"/>
  <c r="F322" i="19"/>
  <c r="E322" i="19"/>
  <c r="D322" i="19"/>
  <c r="C322" i="19"/>
  <c r="B322" i="19"/>
  <c r="I300" i="19"/>
  <c r="H300" i="19"/>
  <c r="G300" i="19"/>
  <c r="F300" i="19"/>
  <c r="E300" i="19"/>
  <c r="D300" i="19"/>
  <c r="C300" i="19"/>
  <c r="B300" i="19"/>
  <c r="I278" i="19"/>
  <c r="H278" i="19"/>
  <c r="G278" i="19"/>
  <c r="F278" i="19"/>
  <c r="E278" i="19"/>
  <c r="D278" i="19"/>
  <c r="C278" i="19"/>
  <c r="B278" i="19"/>
  <c r="I235" i="19"/>
  <c r="H235" i="19"/>
  <c r="G235" i="19"/>
  <c r="F235" i="19"/>
  <c r="E235" i="19"/>
  <c r="D235" i="19"/>
  <c r="C235" i="19"/>
  <c r="B235" i="19"/>
  <c r="I188" i="19"/>
  <c r="I141" i="19"/>
  <c r="I94" i="19"/>
  <c r="I47" i="19"/>
  <c r="B193" i="18"/>
  <c r="C193" i="18"/>
  <c r="D193" i="18"/>
  <c r="E193" i="18"/>
  <c r="F193" i="18"/>
  <c r="G193" i="18"/>
  <c r="H193" i="18"/>
  <c r="I193" i="18"/>
  <c r="J193" i="18"/>
  <c r="K193" i="18"/>
  <c r="B176" i="18"/>
  <c r="C176" i="18"/>
  <c r="D176" i="18"/>
  <c r="E176" i="18"/>
  <c r="F176" i="18"/>
  <c r="G176" i="18"/>
  <c r="H176" i="18"/>
  <c r="I176" i="18"/>
  <c r="J176" i="18"/>
  <c r="K176" i="18"/>
  <c r="B127" i="18"/>
  <c r="C127" i="18"/>
  <c r="D127" i="18"/>
  <c r="E127" i="18"/>
  <c r="F127" i="18"/>
  <c r="G127" i="18"/>
  <c r="H127" i="18"/>
  <c r="I127" i="18"/>
  <c r="J127" i="18"/>
  <c r="K127" i="18"/>
  <c r="B128" i="18"/>
  <c r="C128" i="18"/>
  <c r="D128" i="18"/>
  <c r="F128" i="18"/>
  <c r="G128" i="18"/>
  <c r="H128" i="18"/>
  <c r="I128" i="18"/>
  <c r="J128" i="18"/>
  <c r="K128" i="18"/>
  <c r="K78" i="18"/>
  <c r="J78" i="18"/>
  <c r="K52" i="18"/>
  <c r="J52" i="18"/>
  <c r="K26" i="18"/>
  <c r="J26" i="18"/>
  <c r="V376" i="17"/>
  <c r="T376" i="17"/>
  <c r="S376" i="17"/>
  <c r="R376" i="17"/>
  <c r="Q376" i="17"/>
  <c r="P376" i="17"/>
  <c r="O376" i="17"/>
  <c r="N376" i="17"/>
  <c r="M376" i="17"/>
  <c r="I376" i="17"/>
  <c r="H376" i="17"/>
  <c r="G376" i="17"/>
  <c r="F376" i="17"/>
  <c r="E376" i="17"/>
  <c r="D376" i="17"/>
  <c r="C376" i="17"/>
  <c r="B376" i="17"/>
  <c r="V350" i="17"/>
  <c r="U350" i="17"/>
  <c r="T350" i="17"/>
  <c r="S350" i="17"/>
  <c r="R350" i="17"/>
  <c r="Q350" i="17"/>
  <c r="P350" i="17"/>
  <c r="O350" i="17"/>
  <c r="N350" i="17"/>
  <c r="M350" i="17"/>
  <c r="K350" i="17"/>
  <c r="J350" i="17"/>
  <c r="I350" i="17"/>
  <c r="H350" i="17"/>
  <c r="G350" i="17"/>
  <c r="F350" i="17"/>
  <c r="E350" i="17"/>
  <c r="D350" i="17"/>
  <c r="C350" i="17"/>
  <c r="B350" i="17"/>
  <c r="V328" i="17"/>
  <c r="U328" i="17"/>
  <c r="T328" i="17"/>
  <c r="S328" i="17"/>
  <c r="R328" i="17"/>
  <c r="Q328" i="17"/>
  <c r="P328" i="17"/>
  <c r="O328" i="17"/>
  <c r="N328" i="17"/>
  <c r="M328" i="17"/>
  <c r="K328" i="17"/>
  <c r="J328" i="17"/>
  <c r="I328" i="17"/>
  <c r="H328" i="17"/>
  <c r="G328" i="17"/>
  <c r="F328" i="17"/>
  <c r="E328" i="17"/>
  <c r="D328" i="17"/>
  <c r="C328" i="17"/>
  <c r="B328" i="17"/>
  <c r="V302" i="17"/>
  <c r="U302" i="17"/>
  <c r="T302" i="17"/>
  <c r="S302" i="17"/>
  <c r="R302" i="17"/>
  <c r="Q302" i="17"/>
  <c r="P302" i="17"/>
  <c r="O302" i="17"/>
  <c r="N302" i="17"/>
  <c r="M302" i="17"/>
  <c r="K302" i="17"/>
  <c r="J302" i="17"/>
  <c r="I302" i="17"/>
  <c r="H302" i="17"/>
  <c r="G302" i="17"/>
  <c r="F302" i="17"/>
  <c r="E302" i="17"/>
  <c r="D302" i="17"/>
  <c r="C302" i="17"/>
  <c r="B302" i="17"/>
  <c r="V280" i="17"/>
  <c r="U280" i="17"/>
  <c r="T280" i="17"/>
  <c r="S280" i="17"/>
  <c r="R280" i="17"/>
  <c r="Q280" i="17"/>
  <c r="P280" i="17"/>
  <c r="O280" i="17"/>
  <c r="N280" i="17"/>
  <c r="M280" i="17"/>
  <c r="K280" i="17"/>
  <c r="J280" i="17"/>
  <c r="I280" i="17"/>
  <c r="H280" i="17"/>
  <c r="G280" i="17"/>
  <c r="F280" i="17"/>
  <c r="E280" i="17"/>
  <c r="D280" i="17"/>
  <c r="C280" i="17"/>
  <c r="B280" i="17"/>
  <c r="V237" i="17"/>
  <c r="U237" i="17"/>
  <c r="U376" i="17" s="1"/>
  <c r="T237" i="17"/>
  <c r="S237" i="17"/>
  <c r="R237" i="17"/>
  <c r="Q237" i="17"/>
  <c r="P237" i="17"/>
  <c r="O237" i="17"/>
  <c r="N237" i="17"/>
  <c r="M237" i="17"/>
  <c r="K237" i="17"/>
  <c r="K376" i="17" s="1"/>
  <c r="J237" i="17"/>
  <c r="H283" i="27" s="1"/>
  <c r="H480" i="27" s="1"/>
  <c r="I237" i="17"/>
  <c r="H237" i="17"/>
  <c r="G237" i="17"/>
  <c r="F237" i="17"/>
  <c r="E237" i="17"/>
  <c r="D237" i="17"/>
  <c r="C237" i="17"/>
  <c r="B237" i="17"/>
  <c r="V190" i="17"/>
  <c r="U190" i="17"/>
  <c r="V143" i="17"/>
  <c r="K143" i="17"/>
  <c r="V96" i="17"/>
  <c r="U96" i="17"/>
  <c r="K96" i="17"/>
  <c r="J96" i="17"/>
  <c r="V49" i="17"/>
  <c r="U49" i="17"/>
  <c r="K49" i="17"/>
  <c r="J49" i="17"/>
  <c r="K369" i="16"/>
  <c r="J369" i="16"/>
  <c r="I369" i="16"/>
  <c r="H369" i="16"/>
  <c r="G369" i="16"/>
  <c r="F369" i="16"/>
  <c r="E369" i="16"/>
  <c r="D369" i="16"/>
  <c r="C369" i="16"/>
  <c r="B369" i="16"/>
  <c r="K347" i="16"/>
  <c r="J347" i="16"/>
  <c r="I347" i="16"/>
  <c r="H347" i="16"/>
  <c r="G347" i="16"/>
  <c r="F347" i="16"/>
  <c r="E347" i="16"/>
  <c r="D347" i="16"/>
  <c r="C347" i="16"/>
  <c r="B347" i="16"/>
  <c r="K322" i="16"/>
  <c r="J322" i="16"/>
  <c r="I322" i="16"/>
  <c r="H322" i="16"/>
  <c r="G322" i="16"/>
  <c r="F322" i="16"/>
  <c r="E322" i="16"/>
  <c r="D322" i="16"/>
  <c r="C322" i="16"/>
  <c r="B322" i="16"/>
  <c r="K300" i="16"/>
  <c r="J300" i="16"/>
  <c r="I300" i="16"/>
  <c r="H300" i="16"/>
  <c r="G300" i="16"/>
  <c r="F300" i="16"/>
  <c r="E300" i="16"/>
  <c r="D300" i="16"/>
  <c r="C300" i="16"/>
  <c r="B300" i="16"/>
  <c r="K278" i="16"/>
  <c r="J278" i="16"/>
  <c r="I278" i="16"/>
  <c r="H278" i="16"/>
  <c r="G278" i="16"/>
  <c r="F278" i="16"/>
  <c r="E278" i="16"/>
  <c r="D278" i="16"/>
  <c r="C278" i="16"/>
  <c r="B278" i="16"/>
  <c r="K236" i="16"/>
  <c r="J236" i="16"/>
  <c r="I236" i="16"/>
  <c r="H236" i="16"/>
  <c r="G236" i="16"/>
  <c r="F236" i="16"/>
  <c r="E236" i="16"/>
  <c r="D236" i="16"/>
  <c r="C236" i="16"/>
  <c r="B236" i="16"/>
  <c r="K189" i="16"/>
  <c r="J189" i="16"/>
  <c r="K142" i="16"/>
  <c r="J142" i="16"/>
  <c r="K95" i="16"/>
  <c r="J95" i="16"/>
  <c r="K48" i="16"/>
  <c r="J48" i="16"/>
  <c r="B366" i="32"/>
  <c r="C366" i="32"/>
  <c r="D366" i="32"/>
  <c r="E366" i="32"/>
  <c r="F366" i="32"/>
  <c r="G366" i="32"/>
  <c r="I366" i="32"/>
  <c r="J366" i="32"/>
  <c r="K366" i="32"/>
  <c r="L366" i="32"/>
  <c r="M366" i="32"/>
  <c r="N366" i="32"/>
  <c r="P366" i="32"/>
  <c r="Q366" i="32"/>
  <c r="R366" i="32"/>
  <c r="S366" i="32"/>
  <c r="T366" i="32"/>
  <c r="U366" i="32"/>
  <c r="B367" i="32"/>
  <c r="C367" i="32"/>
  <c r="D367" i="32"/>
  <c r="E367" i="32"/>
  <c r="F367" i="32"/>
  <c r="G367" i="32"/>
  <c r="I367" i="32"/>
  <c r="J367" i="32"/>
  <c r="K367" i="32"/>
  <c r="L367" i="32"/>
  <c r="M367" i="32"/>
  <c r="N367" i="32"/>
  <c r="P367" i="32"/>
  <c r="Q367" i="32"/>
  <c r="R367" i="32"/>
  <c r="S367" i="32"/>
  <c r="T367" i="32"/>
  <c r="U367" i="32"/>
  <c r="U237" i="32"/>
  <c r="T237" i="32"/>
  <c r="S237" i="32"/>
  <c r="R237" i="32"/>
  <c r="Q237" i="32"/>
  <c r="P237" i="32"/>
  <c r="N237" i="32"/>
  <c r="M237" i="32"/>
  <c r="L237" i="32"/>
  <c r="K237" i="32"/>
  <c r="J237" i="32"/>
  <c r="I237" i="32"/>
  <c r="G237" i="32"/>
  <c r="F237" i="32"/>
  <c r="E237" i="32"/>
  <c r="D237" i="32"/>
  <c r="C237" i="32"/>
  <c r="B237" i="32"/>
  <c r="U342" i="32"/>
  <c r="T342" i="32"/>
  <c r="S342" i="32"/>
  <c r="R342" i="32"/>
  <c r="Q342" i="32"/>
  <c r="P342" i="32"/>
  <c r="N342" i="32"/>
  <c r="M342" i="32"/>
  <c r="L342" i="32"/>
  <c r="K342" i="32"/>
  <c r="J342" i="32"/>
  <c r="I342" i="32"/>
  <c r="G342" i="32"/>
  <c r="F342" i="32"/>
  <c r="E342" i="32"/>
  <c r="D342" i="32"/>
  <c r="C342" i="32"/>
  <c r="B342" i="32"/>
  <c r="U320" i="32"/>
  <c r="T320" i="32"/>
  <c r="S320" i="32"/>
  <c r="R320" i="32"/>
  <c r="Q320" i="32"/>
  <c r="P320" i="32"/>
  <c r="N320" i="32"/>
  <c r="M320" i="32"/>
  <c r="L320" i="32"/>
  <c r="K320" i="32"/>
  <c r="J320" i="32"/>
  <c r="I320" i="32"/>
  <c r="G320" i="32"/>
  <c r="F320" i="32"/>
  <c r="E320" i="32"/>
  <c r="D320" i="32"/>
  <c r="C320" i="32"/>
  <c r="B320" i="32"/>
  <c r="U295" i="32"/>
  <c r="T295" i="32"/>
  <c r="S295" i="32"/>
  <c r="R295" i="32"/>
  <c r="Q295" i="32"/>
  <c r="P295" i="32"/>
  <c r="N295" i="32"/>
  <c r="M295" i="32"/>
  <c r="L295" i="32"/>
  <c r="K295" i="32"/>
  <c r="J295" i="32"/>
  <c r="I295" i="32"/>
  <c r="G295" i="32"/>
  <c r="F295" i="32"/>
  <c r="E295" i="32"/>
  <c r="D295" i="32"/>
  <c r="C295" i="32"/>
  <c r="B295" i="32"/>
  <c r="J194" i="32"/>
  <c r="U190" i="32"/>
  <c r="N190" i="32"/>
  <c r="G190" i="32"/>
  <c r="U143" i="32"/>
  <c r="N143" i="32"/>
  <c r="G143" i="32"/>
  <c r="U96" i="32"/>
  <c r="N96" i="32"/>
  <c r="G96" i="32"/>
  <c r="U49" i="32"/>
  <c r="N49" i="32"/>
  <c r="G49" i="32"/>
  <c r="H370" i="14"/>
  <c r="G370" i="14"/>
  <c r="F370" i="14"/>
  <c r="E370" i="14"/>
  <c r="D370" i="14"/>
  <c r="C370" i="14"/>
  <c r="B370" i="14"/>
  <c r="H348" i="14"/>
  <c r="G348" i="14"/>
  <c r="F348" i="14"/>
  <c r="E348" i="14"/>
  <c r="D348" i="14"/>
  <c r="C348" i="14"/>
  <c r="B348" i="14"/>
  <c r="H322" i="14"/>
  <c r="G322" i="14"/>
  <c r="F322" i="14"/>
  <c r="E322" i="14"/>
  <c r="D322" i="14"/>
  <c r="C322" i="14"/>
  <c r="B322" i="14"/>
  <c r="H300" i="14"/>
  <c r="G300" i="14"/>
  <c r="F300" i="14"/>
  <c r="E300" i="14"/>
  <c r="D300" i="14"/>
  <c r="C300" i="14"/>
  <c r="B300" i="14"/>
  <c r="H278" i="14"/>
  <c r="G278" i="14"/>
  <c r="F278" i="14"/>
  <c r="E278" i="14"/>
  <c r="D278" i="14"/>
  <c r="C278" i="14"/>
  <c r="B278" i="14"/>
  <c r="H236" i="14"/>
  <c r="G236" i="14"/>
  <c r="F236" i="14"/>
  <c r="E236" i="14"/>
  <c r="D236" i="14"/>
  <c r="C236" i="14"/>
  <c r="B236" i="14"/>
  <c r="H189" i="14"/>
  <c r="H142" i="14"/>
  <c r="H95" i="14"/>
  <c r="H48" i="14"/>
  <c r="S543" i="12"/>
  <c r="R543" i="12"/>
  <c r="Q543" i="12"/>
  <c r="P543" i="12"/>
  <c r="O543" i="12"/>
  <c r="N543" i="12"/>
  <c r="M543" i="12"/>
  <c r="K543" i="12"/>
  <c r="I543" i="12"/>
  <c r="H543" i="12"/>
  <c r="G543" i="12"/>
  <c r="F543" i="12"/>
  <c r="E543" i="12"/>
  <c r="D543" i="12"/>
  <c r="C543" i="12"/>
  <c r="B543" i="12"/>
  <c r="S517" i="12"/>
  <c r="T517" i="12" s="1"/>
  <c r="R517" i="12"/>
  <c r="Q517" i="12"/>
  <c r="P517" i="12"/>
  <c r="O517" i="12"/>
  <c r="N517" i="12"/>
  <c r="M517" i="12"/>
  <c r="K517" i="12"/>
  <c r="J517" i="12"/>
  <c r="I517" i="12"/>
  <c r="H517" i="12"/>
  <c r="G517" i="12"/>
  <c r="F517" i="12"/>
  <c r="E517" i="12"/>
  <c r="D517" i="12"/>
  <c r="C517" i="12"/>
  <c r="B517" i="12"/>
  <c r="S495" i="12"/>
  <c r="R495" i="12"/>
  <c r="Q495" i="12"/>
  <c r="P495" i="12"/>
  <c r="O495" i="12"/>
  <c r="N495" i="12"/>
  <c r="M495" i="12"/>
  <c r="K495" i="12"/>
  <c r="J495" i="12"/>
  <c r="I495" i="12"/>
  <c r="H495" i="12"/>
  <c r="G495" i="12"/>
  <c r="F495" i="12"/>
  <c r="E495" i="12"/>
  <c r="D495" i="12"/>
  <c r="C495" i="12"/>
  <c r="B495" i="12"/>
  <c r="S469" i="12"/>
  <c r="R469" i="12"/>
  <c r="Q469" i="12"/>
  <c r="P469" i="12"/>
  <c r="O469" i="12"/>
  <c r="N469" i="12"/>
  <c r="M469" i="12"/>
  <c r="K469" i="12"/>
  <c r="J469" i="12"/>
  <c r="I469" i="12"/>
  <c r="H469" i="12"/>
  <c r="G469" i="12"/>
  <c r="F469" i="12"/>
  <c r="E469" i="12"/>
  <c r="D469" i="12"/>
  <c r="C469" i="12"/>
  <c r="B469" i="12"/>
  <c r="S447" i="12"/>
  <c r="R447" i="12"/>
  <c r="Q447" i="12"/>
  <c r="P447" i="12"/>
  <c r="O447" i="12"/>
  <c r="N447" i="12"/>
  <c r="M447" i="12"/>
  <c r="K447" i="12"/>
  <c r="J447" i="12"/>
  <c r="I447" i="12"/>
  <c r="H447" i="12"/>
  <c r="G447" i="12"/>
  <c r="F447" i="12"/>
  <c r="E447" i="12"/>
  <c r="D447" i="12"/>
  <c r="C447" i="12"/>
  <c r="B447" i="12"/>
  <c r="S421" i="12"/>
  <c r="R421" i="12"/>
  <c r="Q421" i="12"/>
  <c r="P421" i="12"/>
  <c r="O421" i="12"/>
  <c r="N421" i="12"/>
  <c r="M421" i="12"/>
  <c r="K421" i="12"/>
  <c r="J421" i="12"/>
  <c r="I421" i="12"/>
  <c r="H421" i="12"/>
  <c r="G421" i="12"/>
  <c r="F421" i="12"/>
  <c r="E421" i="12"/>
  <c r="D421" i="12"/>
  <c r="C421" i="12"/>
  <c r="B421" i="12"/>
  <c r="S399" i="12"/>
  <c r="R399" i="12"/>
  <c r="Q399" i="12"/>
  <c r="P399" i="12"/>
  <c r="O399" i="12"/>
  <c r="N399" i="12"/>
  <c r="M399" i="12"/>
  <c r="K399" i="12"/>
  <c r="J399" i="12"/>
  <c r="I399" i="12"/>
  <c r="H399" i="12"/>
  <c r="G399" i="12"/>
  <c r="F399" i="12"/>
  <c r="E399" i="12"/>
  <c r="D399" i="12"/>
  <c r="C399" i="12"/>
  <c r="B399" i="12"/>
  <c r="S331" i="12"/>
  <c r="P331" i="12"/>
  <c r="O331" i="12"/>
  <c r="K331" i="12"/>
  <c r="G331" i="12"/>
  <c r="C331" i="12"/>
  <c r="S284" i="12"/>
  <c r="R284" i="12"/>
  <c r="R331" i="12" s="1"/>
  <c r="Q284" i="12"/>
  <c r="Q331" i="12" s="1"/>
  <c r="P284" i="12"/>
  <c r="O284" i="12"/>
  <c r="N284" i="12"/>
  <c r="N331" i="12" s="1"/>
  <c r="M284" i="12"/>
  <c r="M331" i="12" s="1"/>
  <c r="K284" i="12"/>
  <c r="J284" i="12"/>
  <c r="J331" i="12" s="1"/>
  <c r="I284" i="12"/>
  <c r="I331" i="12" s="1"/>
  <c r="H284" i="12"/>
  <c r="H331" i="12" s="1"/>
  <c r="G284" i="12"/>
  <c r="F284" i="12"/>
  <c r="F331" i="12" s="1"/>
  <c r="E284" i="12"/>
  <c r="E331" i="12" s="1"/>
  <c r="D284" i="12"/>
  <c r="D331" i="12" s="1"/>
  <c r="C284" i="12"/>
  <c r="B284" i="12"/>
  <c r="B331" i="12" s="1"/>
  <c r="S237" i="12"/>
  <c r="K237" i="12"/>
  <c r="S190" i="12"/>
  <c r="K190" i="12"/>
  <c r="S143" i="12"/>
  <c r="K143" i="12"/>
  <c r="S96" i="12"/>
  <c r="K96" i="12"/>
  <c r="S49" i="12"/>
  <c r="K49" i="12"/>
  <c r="K534" i="11"/>
  <c r="J534" i="11"/>
  <c r="I534" i="11"/>
  <c r="H534" i="11"/>
  <c r="G534" i="11"/>
  <c r="F534" i="11"/>
  <c r="E534" i="11"/>
  <c r="D534" i="11"/>
  <c r="C534" i="11"/>
  <c r="B534" i="11"/>
  <c r="K510" i="11"/>
  <c r="J510" i="11"/>
  <c r="I510" i="11"/>
  <c r="H510" i="11"/>
  <c r="G510" i="11"/>
  <c r="F510" i="11"/>
  <c r="E510" i="11"/>
  <c r="D510" i="11"/>
  <c r="C510" i="11"/>
  <c r="B510" i="11"/>
  <c r="K488" i="11"/>
  <c r="J488" i="11"/>
  <c r="I488" i="11"/>
  <c r="H488" i="11"/>
  <c r="G488" i="11"/>
  <c r="F488" i="11"/>
  <c r="E488" i="11"/>
  <c r="D488" i="11"/>
  <c r="C488" i="11"/>
  <c r="B488" i="11"/>
  <c r="K464" i="11"/>
  <c r="J464" i="11"/>
  <c r="I464" i="11"/>
  <c r="H464" i="11"/>
  <c r="G464" i="11"/>
  <c r="F464" i="11"/>
  <c r="E464" i="11"/>
  <c r="D464" i="11"/>
  <c r="C464" i="11"/>
  <c r="B464" i="11"/>
  <c r="K442" i="11"/>
  <c r="J442" i="11"/>
  <c r="I442" i="11"/>
  <c r="H442" i="11"/>
  <c r="G442" i="11"/>
  <c r="F442" i="11"/>
  <c r="E442" i="11"/>
  <c r="D442" i="11"/>
  <c r="C442" i="11"/>
  <c r="B442" i="11"/>
  <c r="K418" i="11"/>
  <c r="J418" i="11"/>
  <c r="I418" i="11"/>
  <c r="H418" i="11"/>
  <c r="G418" i="11"/>
  <c r="F418" i="11"/>
  <c r="E418" i="11"/>
  <c r="D418" i="11"/>
  <c r="C418" i="11"/>
  <c r="B418" i="11"/>
  <c r="K396" i="11"/>
  <c r="J396" i="11"/>
  <c r="I396" i="11"/>
  <c r="H396" i="11"/>
  <c r="G396" i="11"/>
  <c r="F396" i="11"/>
  <c r="E396" i="11"/>
  <c r="D396" i="11"/>
  <c r="C396" i="11"/>
  <c r="B396" i="11"/>
  <c r="K331" i="11"/>
  <c r="G331" i="11"/>
  <c r="F331" i="11"/>
  <c r="C331" i="11"/>
  <c r="B331" i="11"/>
  <c r="K284" i="11"/>
  <c r="I284" i="11"/>
  <c r="I331" i="11" s="1"/>
  <c r="H284" i="11"/>
  <c r="H331" i="11" s="1"/>
  <c r="G284" i="11"/>
  <c r="F284" i="11"/>
  <c r="E284" i="11"/>
  <c r="E331" i="11" s="1"/>
  <c r="D284" i="11"/>
  <c r="D331" i="11" s="1"/>
  <c r="C284" i="11"/>
  <c r="B284" i="11"/>
  <c r="K237" i="11"/>
  <c r="K190" i="11"/>
  <c r="K143" i="11"/>
  <c r="K96" i="11"/>
  <c r="K49" i="11"/>
  <c r="R690" i="10"/>
  <c r="O690" i="10"/>
  <c r="N690" i="10"/>
  <c r="K690" i="10"/>
  <c r="J690" i="10"/>
  <c r="B690" i="10"/>
  <c r="S665" i="10"/>
  <c r="R665" i="10"/>
  <c r="Q665" i="10"/>
  <c r="P665" i="10"/>
  <c r="O665" i="10"/>
  <c r="N665" i="10"/>
  <c r="K665" i="10"/>
  <c r="J665" i="10"/>
  <c r="B665" i="10"/>
  <c r="S643" i="10"/>
  <c r="R643" i="10"/>
  <c r="Q643" i="10"/>
  <c r="P643" i="10"/>
  <c r="O643" i="10"/>
  <c r="N643" i="10"/>
  <c r="L643" i="10"/>
  <c r="K643" i="10"/>
  <c r="J643" i="10"/>
  <c r="I643" i="10"/>
  <c r="H643" i="10"/>
  <c r="G643" i="10"/>
  <c r="F643" i="10"/>
  <c r="E643" i="10"/>
  <c r="D643" i="10"/>
  <c r="C643" i="10"/>
  <c r="B643" i="10"/>
  <c r="S618" i="10"/>
  <c r="R618" i="10"/>
  <c r="Q618" i="10"/>
  <c r="P618" i="10"/>
  <c r="O618" i="10"/>
  <c r="N618" i="10"/>
  <c r="L618" i="10"/>
  <c r="K618" i="10"/>
  <c r="J618" i="10"/>
  <c r="I618" i="10"/>
  <c r="H618" i="10"/>
  <c r="G618" i="10"/>
  <c r="F618" i="10"/>
  <c r="E618" i="10"/>
  <c r="D618" i="10"/>
  <c r="C618" i="10"/>
  <c r="B618" i="10"/>
  <c r="S596" i="10"/>
  <c r="R596" i="10"/>
  <c r="Q596" i="10"/>
  <c r="P596" i="10"/>
  <c r="O596" i="10"/>
  <c r="N596" i="10"/>
  <c r="L596" i="10"/>
  <c r="J596" i="10"/>
  <c r="I596" i="10"/>
  <c r="H596" i="10"/>
  <c r="G596" i="10"/>
  <c r="F596" i="10"/>
  <c r="E596" i="10"/>
  <c r="D596" i="10"/>
  <c r="C596" i="10"/>
  <c r="B596" i="10"/>
  <c r="S571" i="10"/>
  <c r="R571" i="10"/>
  <c r="Q571" i="10"/>
  <c r="P571" i="10"/>
  <c r="O571" i="10"/>
  <c r="N571" i="10"/>
  <c r="L571" i="10"/>
  <c r="K571" i="10"/>
  <c r="J571" i="10"/>
  <c r="I571" i="10"/>
  <c r="H571" i="10"/>
  <c r="G571" i="10"/>
  <c r="F571" i="10"/>
  <c r="E571" i="10"/>
  <c r="D571" i="10"/>
  <c r="C571" i="10"/>
  <c r="B571" i="10"/>
  <c r="R549" i="10"/>
  <c r="Q549" i="10"/>
  <c r="P549" i="10"/>
  <c r="O549" i="10"/>
  <c r="N549" i="10"/>
  <c r="L549" i="10"/>
  <c r="K549" i="10"/>
  <c r="J549" i="10"/>
  <c r="I549" i="10"/>
  <c r="H549" i="10"/>
  <c r="G549" i="10"/>
  <c r="F549" i="10"/>
  <c r="E549" i="10"/>
  <c r="D549" i="10"/>
  <c r="C549" i="10"/>
  <c r="B549" i="10"/>
  <c r="P498" i="10"/>
  <c r="P690" i="10" s="1"/>
  <c r="K498" i="10"/>
  <c r="S427" i="10"/>
  <c r="R427" i="10"/>
  <c r="R498" i="10" s="1"/>
  <c r="Q427" i="10"/>
  <c r="Q498" i="10" s="1"/>
  <c r="Q690" i="10" s="1"/>
  <c r="P427" i="10"/>
  <c r="O427" i="10"/>
  <c r="O498" i="10" s="1"/>
  <c r="N427" i="10"/>
  <c r="N498" i="10" s="1"/>
  <c r="K427" i="10"/>
  <c r="J427" i="10"/>
  <c r="J498" i="10" s="1"/>
  <c r="I427" i="10"/>
  <c r="I498" i="10" s="1"/>
  <c r="I690" i="10" s="1"/>
  <c r="H427" i="10"/>
  <c r="H498" i="10" s="1"/>
  <c r="H690" i="10" s="1"/>
  <c r="G427" i="10"/>
  <c r="G498" i="10" s="1"/>
  <c r="G690" i="10" s="1"/>
  <c r="F427" i="10"/>
  <c r="F498" i="10" s="1"/>
  <c r="F690" i="10" s="1"/>
  <c r="E427" i="10"/>
  <c r="E498" i="10" s="1"/>
  <c r="E690" i="10" s="1"/>
  <c r="D427" i="10"/>
  <c r="D498" i="10" s="1"/>
  <c r="D690" i="10" s="1"/>
  <c r="C427" i="10"/>
  <c r="C665" i="10" s="1"/>
  <c r="B427" i="10"/>
  <c r="B498" i="10" s="1"/>
  <c r="L356" i="10"/>
  <c r="F47" i="8" s="1"/>
  <c r="L285" i="10"/>
  <c r="E47" i="8" s="1"/>
  <c r="L214" i="10"/>
  <c r="L143" i="10"/>
  <c r="S72" i="10"/>
  <c r="S549" i="10" s="1"/>
  <c r="L72" i="10"/>
  <c r="B47" i="8" s="1"/>
  <c r="K546" i="9"/>
  <c r="J546" i="9"/>
  <c r="B546" i="9"/>
  <c r="K521" i="9"/>
  <c r="J521" i="9"/>
  <c r="B521" i="9"/>
  <c r="L499" i="9"/>
  <c r="F24" i="8" s="1"/>
  <c r="K499" i="9"/>
  <c r="J499" i="9"/>
  <c r="I499" i="9"/>
  <c r="H499" i="9"/>
  <c r="G499" i="9"/>
  <c r="F499" i="9"/>
  <c r="E499" i="9"/>
  <c r="D499" i="9"/>
  <c r="C499" i="9"/>
  <c r="B499" i="9"/>
  <c r="K474" i="9"/>
  <c r="J474" i="9"/>
  <c r="I474" i="9"/>
  <c r="H474" i="9"/>
  <c r="G474" i="9"/>
  <c r="F474" i="9"/>
  <c r="E474" i="9"/>
  <c r="D474" i="9"/>
  <c r="C474" i="9"/>
  <c r="B474" i="9"/>
  <c r="K452" i="9"/>
  <c r="J452" i="9"/>
  <c r="I452" i="9"/>
  <c r="H452" i="9"/>
  <c r="G452" i="9"/>
  <c r="F452" i="9"/>
  <c r="E452" i="9"/>
  <c r="D452" i="9"/>
  <c r="C452" i="9"/>
  <c r="B452" i="9"/>
  <c r="K427" i="9"/>
  <c r="J427" i="9"/>
  <c r="I427" i="9"/>
  <c r="H427" i="9"/>
  <c r="G427" i="9"/>
  <c r="F427" i="9"/>
  <c r="E427" i="9"/>
  <c r="D427" i="9"/>
  <c r="C427" i="9"/>
  <c r="B427" i="9"/>
  <c r="K405" i="9"/>
  <c r="J405" i="9"/>
  <c r="I405" i="9"/>
  <c r="H405" i="9"/>
  <c r="G405" i="9"/>
  <c r="F405" i="9"/>
  <c r="E405" i="9"/>
  <c r="D405" i="9"/>
  <c r="C405" i="9"/>
  <c r="B405" i="9"/>
  <c r="B365" i="9"/>
  <c r="K313" i="9"/>
  <c r="K365" i="9" s="1"/>
  <c r="J313" i="9"/>
  <c r="J365" i="9" s="1"/>
  <c r="I313" i="9"/>
  <c r="I521" i="9" s="1"/>
  <c r="H313" i="9"/>
  <c r="H365" i="9" s="1"/>
  <c r="H546" i="9" s="1"/>
  <c r="G313" i="9"/>
  <c r="G365" i="9" s="1"/>
  <c r="G546" i="9" s="1"/>
  <c r="F313" i="9"/>
  <c r="F365" i="9" s="1"/>
  <c r="F546" i="9" s="1"/>
  <c r="E313" i="9"/>
  <c r="E521" i="9" s="1"/>
  <c r="D313" i="9"/>
  <c r="D365" i="9" s="1"/>
  <c r="D546" i="9" s="1"/>
  <c r="C313" i="9"/>
  <c r="C365" i="9" s="1"/>
  <c r="C546" i="9" s="1"/>
  <c r="L261" i="9"/>
  <c r="L91" i="22" s="1"/>
  <c r="L241" i="22" s="1"/>
  <c r="L209" i="9"/>
  <c r="L474" i="9" s="1"/>
  <c r="E24" i="8" s="1"/>
  <c r="L157" i="9"/>
  <c r="L452" i="9" s="1"/>
  <c r="D24" i="8" s="1"/>
  <c r="L105" i="9"/>
  <c r="L427" i="9" s="1"/>
  <c r="C24" i="8" s="1"/>
  <c r="L53" i="9"/>
  <c r="L405" i="9" s="1"/>
  <c r="B24" i="8" s="1"/>
  <c r="X426" i="7"/>
  <c r="W426" i="7"/>
  <c r="V426" i="7"/>
  <c r="U426" i="7"/>
  <c r="T426" i="7"/>
  <c r="S426" i="7"/>
  <c r="R426" i="7"/>
  <c r="Q426" i="7"/>
  <c r="P426" i="7"/>
  <c r="O426" i="7"/>
  <c r="N426" i="7"/>
  <c r="L426" i="7"/>
  <c r="K426" i="7"/>
  <c r="J426" i="7"/>
  <c r="I426" i="7"/>
  <c r="H426" i="7"/>
  <c r="G426" i="7"/>
  <c r="F426" i="7"/>
  <c r="E426" i="7"/>
  <c r="D426" i="7"/>
  <c r="C426" i="7"/>
  <c r="B426" i="7"/>
  <c r="X405" i="7"/>
  <c r="W405" i="7"/>
  <c r="V405" i="7"/>
  <c r="U405" i="7"/>
  <c r="T405" i="7"/>
  <c r="S405" i="7"/>
  <c r="R405" i="7"/>
  <c r="Q405" i="7"/>
  <c r="P405" i="7"/>
  <c r="O405" i="7"/>
  <c r="N405" i="7"/>
  <c r="L405" i="7"/>
  <c r="K405" i="7"/>
  <c r="J405" i="7"/>
  <c r="I405" i="7"/>
  <c r="H405" i="7"/>
  <c r="G405" i="7"/>
  <c r="F405" i="7"/>
  <c r="E405" i="7"/>
  <c r="D405" i="7"/>
  <c r="C405" i="7"/>
  <c r="B405" i="7"/>
  <c r="X381" i="7"/>
  <c r="W381" i="7"/>
  <c r="V381" i="7"/>
  <c r="U381" i="7"/>
  <c r="T381" i="7"/>
  <c r="S381" i="7"/>
  <c r="R381" i="7"/>
  <c r="Q381" i="7"/>
  <c r="P381" i="7"/>
  <c r="O381" i="7"/>
  <c r="N381" i="7"/>
  <c r="L381" i="7"/>
  <c r="K381" i="7"/>
  <c r="J381" i="7"/>
  <c r="I381" i="7"/>
  <c r="H381" i="7"/>
  <c r="G381" i="7"/>
  <c r="F381" i="7"/>
  <c r="E381" i="7"/>
  <c r="D381" i="7"/>
  <c r="C381" i="7"/>
  <c r="B381" i="7"/>
  <c r="X360" i="7"/>
  <c r="W360" i="7"/>
  <c r="V360" i="7"/>
  <c r="U360" i="7"/>
  <c r="T360" i="7"/>
  <c r="S360" i="7"/>
  <c r="R360" i="7"/>
  <c r="Q360" i="7"/>
  <c r="P360" i="7"/>
  <c r="O360" i="7"/>
  <c r="N360" i="7"/>
  <c r="L360" i="7"/>
  <c r="K360" i="7"/>
  <c r="J360" i="7"/>
  <c r="I360" i="7"/>
  <c r="H360" i="7"/>
  <c r="G360" i="7"/>
  <c r="F360" i="7"/>
  <c r="E360" i="7"/>
  <c r="D360" i="7"/>
  <c r="C360" i="7"/>
  <c r="B360" i="7"/>
  <c r="X336" i="7"/>
  <c r="W336" i="7"/>
  <c r="V336" i="7"/>
  <c r="U336" i="7"/>
  <c r="T336" i="7"/>
  <c r="S336" i="7"/>
  <c r="R336" i="7"/>
  <c r="Q336" i="7"/>
  <c r="P336" i="7"/>
  <c r="O336" i="7"/>
  <c r="N336" i="7"/>
  <c r="L336" i="7"/>
  <c r="K336" i="7"/>
  <c r="J336" i="7"/>
  <c r="I336" i="7"/>
  <c r="H336" i="7"/>
  <c r="G336" i="7"/>
  <c r="F336" i="7"/>
  <c r="E336" i="7"/>
  <c r="D336" i="7"/>
  <c r="C336" i="7"/>
  <c r="B336" i="7"/>
  <c r="X315" i="7"/>
  <c r="W315" i="7"/>
  <c r="V315" i="7"/>
  <c r="U315" i="7"/>
  <c r="T315" i="7"/>
  <c r="S315" i="7"/>
  <c r="R315" i="7"/>
  <c r="Q315" i="7"/>
  <c r="P315" i="7"/>
  <c r="O315" i="7"/>
  <c r="N315" i="7"/>
  <c r="L315" i="7"/>
  <c r="K315" i="7"/>
  <c r="J315" i="7"/>
  <c r="I315" i="7"/>
  <c r="H315" i="7"/>
  <c r="G315" i="7"/>
  <c r="F315" i="7"/>
  <c r="E315" i="7"/>
  <c r="D315" i="7"/>
  <c r="C315" i="7"/>
  <c r="B315" i="7"/>
  <c r="X283" i="7"/>
  <c r="W283" i="7"/>
  <c r="V283" i="7"/>
  <c r="U283" i="7"/>
  <c r="T283" i="7"/>
  <c r="S283" i="7"/>
  <c r="R283" i="7"/>
  <c r="Q283" i="7"/>
  <c r="P283" i="7"/>
  <c r="O283" i="7"/>
  <c r="N283" i="7"/>
  <c r="K283" i="7"/>
  <c r="J283" i="7"/>
  <c r="I283" i="7"/>
  <c r="H283" i="7"/>
  <c r="G283" i="7"/>
  <c r="F283" i="7"/>
  <c r="E283" i="7"/>
  <c r="D283" i="7"/>
  <c r="C283" i="7"/>
  <c r="B283" i="7"/>
  <c r="X236" i="7"/>
  <c r="L236" i="7"/>
  <c r="X189" i="7"/>
  <c r="L189" i="7"/>
  <c r="X142" i="7"/>
  <c r="L142" i="7"/>
  <c r="L283" i="7" s="1"/>
  <c r="X95" i="7"/>
  <c r="L95" i="7"/>
  <c r="X48" i="7"/>
  <c r="L48" i="7"/>
  <c r="L423" i="6"/>
  <c r="K423" i="6"/>
  <c r="J423" i="6"/>
  <c r="I423" i="6"/>
  <c r="H423" i="6"/>
  <c r="G423" i="6"/>
  <c r="F423" i="6"/>
  <c r="E423" i="6"/>
  <c r="D423" i="6"/>
  <c r="C423" i="6"/>
  <c r="B423" i="6"/>
  <c r="L402" i="6"/>
  <c r="K402" i="6"/>
  <c r="J402" i="6"/>
  <c r="I402" i="6"/>
  <c r="H402" i="6"/>
  <c r="G402" i="6"/>
  <c r="F402" i="6"/>
  <c r="E402" i="6"/>
  <c r="D402" i="6"/>
  <c r="C402" i="6"/>
  <c r="B402" i="6"/>
  <c r="L379" i="6"/>
  <c r="K379" i="6"/>
  <c r="J379" i="6"/>
  <c r="I379" i="6"/>
  <c r="H379" i="6"/>
  <c r="G379" i="6"/>
  <c r="F379" i="6"/>
  <c r="E379" i="6"/>
  <c r="D379" i="6"/>
  <c r="C379" i="6"/>
  <c r="B379" i="6"/>
  <c r="L358" i="6"/>
  <c r="K358" i="6"/>
  <c r="J358" i="6"/>
  <c r="I358" i="6"/>
  <c r="H358" i="6"/>
  <c r="G358" i="6"/>
  <c r="F358" i="6"/>
  <c r="E358" i="6"/>
  <c r="D358" i="6"/>
  <c r="C358" i="6"/>
  <c r="B358" i="6"/>
  <c r="L335" i="6"/>
  <c r="K335" i="6"/>
  <c r="J335" i="6"/>
  <c r="I335" i="6"/>
  <c r="H335" i="6"/>
  <c r="G335" i="6"/>
  <c r="F335" i="6"/>
  <c r="E335" i="6"/>
  <c r="D335" i="6"/>
  <c r="C335" i="6"/>
  <c r="B335" i="6"/>
  <c r="L314" i="6"/>
  <c r="K314" i="6"/>
  <c r="J314" i="6"/>
  <c r="I314" i="6"/>
  <c r="H314" i="6"/>
  <c r="G314" i="6"/>
  <c r="F314" i="6"/>
  <c r="E314" i="6"/>
  <c r="D314" i="6"/>
  <c r="C314" i="6"/>
  <c r="B314" i="6"/>
  <c r="L283" i="6"/>
  <c r="K283" i="6"/>
  <c r="J283" i="6"/>
  <c r="I283" i="6"/>
  <c r="H283" i="6"/>
  <c r="G283" i="6"/>
  <c r="F283" i="6"/>
  <c r="E283" i="6"/>
  <c r="D283" i="6"/>
  <c r="C283" i="6"/>
  <c r="B283" i="6"/>
  <c r="L236" i="6"/>
  <c r="L189" i="6"/>
  <c r="L142" i="6"/>
  <c r="L95" i="6"/>
  <c r="L48" i="6"/>
  <c r="R437" i="5"/>
  <c r="Q437" i="5"/>
  <c r="P437" i="5"/>
  <c r="O437" i="5"/>
  <c r="N437" i="5"/>
  <c r="M437" i="5"/>
  <c r="L437" i="5"/>
  <c r="K437" i="5"/>
  <c r="I437" i="5"/>
  <c r="H437" i="5"/>
  <c r="G437" i="5"/>
  <c r="F437" i="5"/>
  <c r="E437" i="5"/>
  <c r="D437" i="5"/>
  <c r="C437" i="5"/>
  <c r="B437" i="5"/>
  <c r="R416" i="5"/>
  <c r="Q416" i="5"/>
  <c r="P416" i="5"/>
  <c r="O416" i="5"/>
  <c r="N416" i="5"/>
  <c r="M416" i="5"/>
  <c r="L416" i="5"/>
  <c r="K416" i="5"/>
  <c r="I416" i="5"/>
  <c r="H416" i="5"/>
  <c r="G416" i="5"/>
  <c r="F416" i="5"/>
  <c r="E416" i="5"/>
  <c r="D416" i="5"/>
  <c r="C416" i="5"/>
  <c r="B416" i="5"/>
  <c r="R392" i="5"/>
  <c r="Q392" i="5"/>
  <c r="P392" i="5"/>
  <c r="O392" i="5"/>
  <c r="N392" i="5"/>
  <c r="M392" i="5"/>
  <c r="L392" i="5"/>
  <c r="K392" i="5"/>
  <c r="I392" i="5"/>
  <c r="H392" i="5"/>
  <c r="G392" i="5"/>
  <c r="F392" i="5"/>
  <c r="E392" i="5"/>
  <c r="D392" i="5"/>
  <c r="C392" i="5"/>
  <c r="B392" i="5"/>
  <c r="R371" i="5"/>
  <c r="Q371" i="5"/>
  <c r="P371" i="5"/>
  <c r="O371" i="5"/>
  <c r="N371" i="5"/>
  <c r="M371" i="5"/>
  <c r="L371" i="5"/>
  <c r="K371" i="5"/>
  <c r="I371" i="5"/>
  <c r="H371" i="5"/>
  <c r="G371" i="5"/>
  <c r="F371" i="5"/>
  <c r="E371" i="5"/>
  <c r="D371" i="5"/>
  <c r="C371" i="5"/>
  <c r="B371" i="5"/>
  <c r="R347" i="5"/>
  <c r="Q347" i="5"/>
  <c r="P347" i="5"/>
  <c r="O347" i="5"/>
  <c r="N347" i="5"/>
  <c r="M347" i="5"/>
  <c r="L347" i="5"/>
  <c r="K347" i="5"/>
  <c r="I347" i="5"/>
  <c r="H347" i="5"/>
  <c r="G347" i="5"/>
  <c r="F347" i="5"/>
  <c r="E347" i="5"/>
  <c r="D347" i="5"/>
  <c r="C347" i="5"/>
  <c r="B347" i="5"/>
  <c r="R326" i="5"/>
  <c r="Q326" i="5"/>
  <c r="P326" i="5"/>
  <c r="O326" i="5"/>
  <c r="N326" i="5"/>
  <c r="M326" i="5"/>
  <c r="L326" i="5"/>
  <c r="K326" i="5"/>
  <c r="I326" i="5"/>
  <c r="H326" i="5"/>
  <c r="G326" i="5"/>
  <c r="F326" i="5"/>
  <c r="E326" i="5"/>
  <c r="D326" i="5"/>
  <c r="C326" i="5"/>
  <c r="B326" i="5"/>
  <c r="R283" i="5"/>
  <c r="Q283" i="5"/>
  <c r="P283" i="5"/>
  <c r="O283" i="5"/>
  <c r="N283" i="5"/>
  <c r="M283" i="5"/>
  <c r="L283" i="5"/>
  <c r="K283" i="5"/>
  <c r="I283" i="5"/>
  <c r="H283" i="5"/>
  <c r="G283" i="5"/>
  <c r="F283" i="5"/>
  <c r="E283" i="5"/>
  <c r="D283" i="5"/>
  <c r="C283" i="5"/>
  <c r="B283" i="5"/>
  <c r="I236" i="5"/>
  <c r="I189" i="5"/>
  <c r="I142" i="5"/>
  <c r="I95" i="5"/>
  <c r="I48" i="5"/>
  <c r="I425" i="4"/>
  <c r="H425" i="4"/>
  <c r="G425" i="4"/>
  <c r="F425" i="4"/>
  <c r="E425" i="4"/>
  <c r="D425" i="4"/>
  <c r="C425" i="4"/>
  <c r="B425" i="4"/>
  <c r="I404" i="4"/>
  <c r="H404" i="4"/>
  <c r="G404" i="4"/>
  <c r="F404" i="4"/>
  <c r="E404" i="4"/>
  <c r="D404" i="4"/>
  <c r="C404" i="4"/>
  <c r="B404" i="4"/>
  <c r="I383" i="4"/>
  <c r="H383" i="4"/>
  <c r="G383" i="4"/>
  <c r="F383" i="4"/>
  <c r="E383" i="4"/>
  <c r="D383" i="4"/>
  <c r="C383" i="4"/>
  <c r="B383" i="4"/>
  <c r="I360" i="4"/>
  <c r="H360" i="4"/>
  <c r="G360" i="4"/>
  <c r="F360" i="4"/>
  <c r="E360" i="4"/>
  <c r="D360" i="4"/>
  <c r="C360" i="4"/>
  <c r="B360" i="4"/>
  <c r="I339" i="4"/>
  <c r="H339" i="4"/>
  <c r="G339" i="4"/>
  <c r="F339" i="4"/>
  <c r="E339" i="4"/>
  <c r="D339" i="4"/>
  <c r="C339" i="4"/>
  <c r="B339" i="4"/>
  <c r="I318" i="4"/>
  <c r="H318" i="4"/>
  <c r="G318" i="4"/>
  <c r="F318" i="4"/>
  <c r="E318" i="4"/>
  <c r="D318" i="4"/>
  <c r="C318" i="4"/>
  <c r="B318" i="4"/>
  <c r="I270" i="4"/>
  <c r="H270" i="4"/>
  <c r="G270" i="4"/>
  <c r="F270" i="4"/>
  <c r="E270" i="4"/>
  <c r="I225" i="4"/>
  <c r="I180" i="4"/>
  <c r="I135" i="4"/>
  <c r="I90" i="4"/>
  <c r="I45" i="4"/>
  <c r="P283" i="27" l="1"/>
  <c r="P480" i="27" s="1"/>
  <c r="J376" i="17"/>
  <c r="L95" i="23"/>
  <c r="L241" i="23" s="1"/>
  <c r="L427" i="10"/>
  <c r="L665" i="10" s="1"/>
  <c r="E665" i="10"/>
  <c r="F665" i="10"/>
  <c r="C498" i="10"/>
  <c r="C690" i="10" s="1"/>
  <c r="G665" i="10"/>
  <c r="I665" i="10"/>
  <c r="D665" i="10"/>
  <c r="H665" i="10"/>
  <c r="B73" i="8"/>
  <c r="S498" i="10"/>
  <c r="L498" i="10"/>
  <c r="I365" i="9"/>
  <c r="I546" i="9" s="1"/>
  <c r="E365" i="9"/>
  <c r="E546" i="9" s="1"/>
  <c r="F521" i="9"/>
  <c r="L46" i="22"/>
  <c r="L219" i="22" s="1"/>
  <c r="L313" i="9"/>
  <c r="D521" i="9"/>
  <c r="H521" i="9"/>
  <c r="C521" i="9"/>
  <c r="G521" i="9"/>
  <c r="E236" i="26"/>
  <c r="E455" i="26" s="1"/>
  <c r="B142" i="30"/>
  <c r="B240" i="30" s="1"/>
  <c r="O142" i="30"/>
  <c r="O240" i="30" s="1"/>
  <c r="C142" i="30"/>
  <c r="C240" i="30" s="1"/>
  <c r="G142" i="30"/>
  <c r="G240" i="30" s="1"/>
  <c r="L142" i="30"/>
  <c r="L240" i="30" s="1"/>
  <c r="P142" i="30"/>
  <c r="P240" i="30" s="1"/>
  <c r="F142" i="30"/>
  <c r="F240" i="30" s="1"/>
  <c r="D142" i="30"/>
  <c r="D240" i="30" s="1"/>
  <c r="H142" i="30"/>
  <c r="H240" i="30" s="1"/>
  <c r="M142" i="30"/>
  <c r="M240" i="30" s="1"/>
  <c r="Q142" i="30"/>
  <c r="Q240" i="30" s="1"/>
  <c r="K142" i="30"/>
  <c r="K240" i="30" s="1"/>
  <c r="E142" i="30"/>
  <c r="E240" i="30" s="1"/>
  <c r="I142" i="30"/>
  <c r="I240" i="30" s="1"/>
  <c r="N142" i="30"/>
  <c r="N240" i="30" s="1"/>
  <c r="R142" i="30"/>
  <c r="R240" i="30" s="1"/>
  <c r="F141" i="29"/>
  <c r="F227" i="29" s="1"/>
  <c r="F205" i="29"/>
  <c r="C141" i="29"/>
  <c r="C227" i="29" s="1"/>
  <c r="G141" i="29"/>
  <c r="G227" i="29" s="1"/>
  <c r="B141" i="29"/>
  <c r="B227" i="29" s="1"/>
  <c r="D141" i="29"/>
  <c r="D227" i="29" s="1"/>
  <c r="H141" i="29"/>
  <c r="H227" i="29" s="1"/>
  <c r="E141" i="29"/>
  <c r="E227" i="29" s="1"/>
  <c r="I141" i="29"/>
  <c r="I227" i="29" s="1"/>
  <c r="J480" i="27"/>
  <c r="O433" i="27"/>
  <c r="G433" i="27"/>
  <c r="J386" i="27"/>
  <c r="K386" i="27"/>
  <c r="O386" i="27"/>
  <c r="D330" i="27"/>
  <c r="D505" i="27" s="1"/>
  <c r="D364" i="27"/>
  <c r="G386" i="27"/>
  <c r="G330" i="27"/>
  <c r="G505" i="27" s="1"/>
  <c r="E364" i="27"/>
  <c r="E330" i="27"/>
  <c r="E505" i="27" s="1"/>
  <c r="B364" i="27"/>
  <c r="F364" i="27"/>
  <c r="M236" i="27"/>
  <c r="B330" i="27"/>
  <c r="B505" i="27" s="1"/>
  <c r="F330" i="27"/>
  <c r="F505" i="27" s="1"/>
  <c r="O330" i="27"/>
  <c r="O505" i="27" s="1"/>
  <c r="L236" i="27"/>
  <c r="H142" i="27"/>
  <c r="H411" i="27" s="1"/>
  <c r="C236" i="27"/>
  <c r="N236" i="27"/>
  <c r="L142" i="27"/>
  <c r="L411" i="27" s="1"/>
  <c r="P189" i="27"/>
  <c r="M142" i="27"/>
  <c r="M411" i="27" s="1"/>
  <c r="K236" i="27"/>
  <c r="C142" i="27"/>
  <c r="C411" i="27" s="1"/>
  <c r="P142" i="27"/>
  <c r="P411" i="27" s="1"/>
  <c r="H189" i="27"/>
  <c r="E142" i="27"/>
  <c r="E411" i="27" s="1"/>
  <c r="N142" i="27"/>
  <c r="N411" i="27" s="1"/>
  <c r="D142" i="27"/>
  <c r="D411" i="27" s="1"/>
  <c r="B142" i="27"/>
  <c r="B411" i="27" s="1"/>
  <c r="F142" i="27"/>
  <c r="F411" i="27" s="1"/>
  <c r="G236" i="26"/>
  <c r="E330" i="26"/>
  <c r="E502" i="26" s="1"/>
  <c r="E364" i="26"/>
  <c r="D236" i="26"/>
  <c r="H189" i="26"/>
  <c r="B236" i="26"/>
  <c r="F236" i="26"/>
  <c r="C236" i="26"/>
  <c r="E142" i="26"/>
  <c r="E408" i="26" s="1"/>
  <c r="B142" i="26"/>
  <c r="B408" i="26" s="1"/>
  <c r="F142" i="26"/>
  <c r="F408" i="26" s="1"/>
  <c r="C142" i="26"/>
  <c r="C408" i="26" s="1"/>
  <c r="G142" i="26"/>
  <c r="G408" i="26" s="1"/>
  <c r="D142" i="26"/>
  <c r="D408" i="26" s="1"/>
  <c r="H142" i="26"/>
  <c r="H408" i="26" s="1"/>
  <c r="N189" i="25"/>
  <c r="N288" i="25" s="1"/>
  <c r="B266" i="25"/>
  <c r="K266" i="25"/>
  <c r="H189" i="25"/>
  <c r="H288" i="25" s="1"/>
  <c r="H241" i="25"/>
  <c r="Q189" i="25"/>
  <c r="Q288" i="25" s="1"/>
  <c r="D189" i="25"/>
  <c r="D288" i="25" s="1"/>
  <c r="U189" i="25"/>
  <c r="U288" i="25" s="1"/>
  <c r="G189" i="25"/>
  <c r="G288" i="25" s="1"/>
  <c r="E189" i="25"/>
  <c r="E288" i="25" s="1"/>
  <c r="I189" i="25"/>
  <c r="I288" i="25" s="1"/>
  <c r="R189" i="25"/>
  <c r="R288" i="25" s="1"/>
  <c r="V189" i="25"/>
  <c r="V288" i="25" s="1"/>
  <c r="P189" i="25"/>
  <c r="P288" i="25" s="1"/>
  <c r="T189" i="25"/>
  <c r="T288" i="25" s="1"/>
  <c r="F189" i="25"/>
  <c r="F288" i="25" s="1"/>
  <c r="J189" i="25"/>
  <c r="J288" i="25" s="1"/>
  <c r="O189" i="25"/>
  <c r="O288" i="25" s="1"/>
  <c r="S189" i="25"/>
  <c r="S288" i="25" s="1"/>
  <c r="W189" i="25"/>
  <c r="W288" i="25" s="1"/>
  <c r="L95" i="25"/>
  <c r="X95" i="25"/>
  <c r="C189" i="25"/>
  <c r="C288" i="25" s="1"/>
  <c r="B188" i="24"/>
  <c r="B288" i="24" s="1"/>
  <c r="C188" i="24"/>
  <c r="C288" i="24" s="1"/>
  <c r="G188" i="24"/>
  <c r="G288" i="24" s="1"/>
  <c r="F188" i="24"/>
  <c r="F288" i="24" s="1"/>
  <c r="J188" i="24"/>
  <c r="J288" i="24" s="1"/>
  <c r="E188" i="24"/>
  <c r="E288" i="24" s="1"/>
  <c r="I188" i="24"/>
  <c r="I288" i="24" s="1"/>
  <c r="D188" i="24"/>
  <c r="D288" i="24" s="1"/>
  <c r="H188" i="24"/>
  <c r="H288" i="24" s="1"/>
  <c r="L94" i="24"/>
  <c r="Q219" i="23"/>
  <c r="D189" i="23"/>
  <c r="D288" i="23" s="1"/>
  <c r="H189" i="23"/>
  <c r="H288" i="23" s="1"/>
  <c r="U219" i="23"/>
  <c r="L189" i="23"/>
  <c r="L288" i="23" s="1"/>
  <c r="K189" i="23"/>
  <c r="K288" i="23" s="1"/>
  <c r="E189" i="23"/>
  <c r="E288" i="23" s="1"/>
  <c r="I189" i="23"/>
  <c r="I288" i="23" s="1"/>
  <c r="R219" i="23"/>
  <c r="J189" i="23"/>
  <c r="J288" i="23" s="1"/>
  <c r="F189" i="23"/>
  <c r="F288" i="23" s="1"/>
  <c r="S219" i="23"/>
  <c r="B189" i="23"/>
  <c r="B288" i="23" s="1"/>
  <c r="C189" i="23"/>
  <c r="C288" i="23" s="1"/>
  <c r="G189" i="23"/>
  <c r="G288" i="23" s="1"/>
  <c r="T219" i="23"/>
  <c r="K181" i="22"/>
  <c r="K288" i="22" s="1"/>
  <c r="E181" i="22"/>
  <c r="E288" i="22" s="1"/>
  <c r="I181" i="22"/>
  <c r="I288" i="22" s="1"/>
  <c r="K241" i="22"/>
  <c r="F181" i="22"/>
  <c r="F288" i="22" s="1"/>
  <c r="G181" i="22"/>
  <c r="G288" i="22" s="1"/>
  <c r="B181" i="22"/>
  <c r="B288" i="22" s="1"/>
  <c r="J181" i="22"/>
  <c r="J288" i="22" s="1"/>
  <c r="D181" i="22"/>
  <c r="D288" i="22" s="1"/>
  <c r="H181" i="22"/>
  <c r="H288" i="22" s="1"/>
  <c r="L136" i="22"/>
  <c r="C181" i="22"/>
  <c r="C288" i="22" s="1"/>
  <c r="H42" i="3"/>
  <c r="S690" i="10" l="1"/>
  <c r="G73" i="8"/>
  <c r="K73" i="8" s="1"/>
  <c r="L690" i="10"/>
  <c r="G47" i="8"/>
  <c r="K47" i="8" s="1"/>
  <c r="L365" i="9"/>
  <c r="L546" i="9" s="1"/>
  <c r="G24" i="8" s="1"/>
  <c r="K24" i="8" s="1"/>
  <c r="L521" i="9"/>
  <c r="C330" i="27"/>
  <c r="C505" i="27" s="1"/>
  <c r="C458" i="27"/>
  <c r="L330" i="27"/>
  <c r="L505" i="27" s="1"/>
  <c r="L458" i="27"/>
  <c r="M330" i="27"/>
  <c r="M505" i="27" s="1"/>
  <c r="M458" i="27"/>
  <c r="K330" i="27"/>
  <c r="K505" i="27" s="1"/>
  <c r="K458" i="27"/>
  <c r="N330" i="27"/>
  <c r="N505" i="27" s="1"/>
  <c r="N458" i="27"/>
  <c r="P236" i="27"/>
  <c r="P433" i="27"/>
  <c r="H236" i="27"/>
  <c r="H433" i="27"/>
  <c r="F330" i="26"/>
  <c r="F502" i="26" s="1"/>
  <c r="F455" i="26"/>
  <c r="C330" i="26"/>
  <c r="C502" i="26" s="1"/>
  <c r="C455" i="26"/>
  <c r="B330" i="26"/>
  <c r="B502" i="26" s="1"/>
  <c r="B455" i="26"/>
  <c r="D330" i="26"/>
  <c r="D502" i="26" s="1"/>
  <c r="D455" i="26"/>
  <c r="G330" i="26"/>
  <c r="G502" i="26" s="1"/>
  <c r="G455" i="26"/>
  <c r="H236" i="26"/>
  <c r="H433" i="26"/>
  <c r="X189" i="25"/>
  <c r="X288" i="25" s="1"/>
  <c r="X241" i="25"/>
  <c r="L189" i="25"/>
  <c r="L288" i="25" s="1"/>
  <c r="L241" i="25"/>
  <c r="L188" i="24"/>
  <c r="L288" i="24" s="1"/>
  <c r="L241" i="24"/>
  <c r="L181" i="22"/>
  <c r="L288" i="22" s="1"/>
  <c r="L266" i="22"/>
  <c r="P330" i="27" l="1"/>
  <c r="P505" i="27" s="1"/>
  <c r="P458" i="27"/>
  <c r="H330" i="27"/>
  <c r="H505" i="27" s="1"/>
  <c r="H458" i="27"/>
  <c r="H330" i="26"/>
  <c r="H502" i="26" s="1"/>
  <c r="H455" i="26"/>
  <c r="K48" i="24" l="1"/>
  <c r="K20" i="24"/>
  <c r="J285" i="12"/>
  <c r="J332" i="12" s="1"/>
  <c r="A527" i="9" l="1"/>
  <c r="D528" i="9"/>
  <c r="E528" i="9"/>
  <c r="F528" i="9"/>
  <c r="G528" i="9"/>
  <c r="H528" i="9"/>
  <c r="I528" i="9"/>
  <c r="J528" i="9"/>
  <c r="D529" i="9"/>
  <c r="E529" i="9"/>
  <c r="F529" i="9"/>
  <c r="G529" i="9"/>
  <c r="H529" i="9"/>
  <c r="I529" i="9"/>
  <c r="J529" i="9"/>
  <c r="D530" i="9"/>
  <c r="E530" i="9"/>
  <c r="F530" i="9"/>
  <c r="G530" i="9"/>
  <c r="H530" i="9"/>
  <c r="I530" i="9"/>
  <c r="J530" i="9"/>
  <c r="D531" i="9"/>
  <c r="E531" i="9"/>
  <c r="F531" i="9"/>
  <c r="G531" i="9"/>
  <c r="H531" i="9"/>
  <c r="I531" i="9"/>
  <c r="J531" i="9"/>
  <c r="B532" i="9"/>
  <c r="C532" i="9"/>
  <c r="D532" i="9"/>
  <c r="E532" i="9"/>
  <c r="F532" i="9"/>
  <c r="G532" i="9"/>
  <c r="H532" i="9"/>
  <c r="I532" i="9"/>
  <c r="J532" i="9"/>
  <c r="K532" i="9"/>
  <c r="B533" i="9"/>
  <c r="C533" i="9"/>
  <c r="D533" i="9"/>
  <c r="E533" i="9"/>
  <c r="F533" i="9"/>
  <c r="G533" i="9"/>
  <c r="H533" i="9"/>
  <c r="I533" i="9"/>
  <c r="J533" i="9"/>
  <c r="K533" i="9"/>
  <c r="B534" i="9"/>
  <c r="C534" i="9"/>
  <c r="D534" i="9"/>
  <c r="E534" i="9"/>
  <c r="F534" i="9"/>
  <c r="G534" i="9"/>
  <c r="H534" i="9"/>
  <c r="I534" i="9"/>
  <c r="J534" i="9"/>
  <c r="K534" i="9"/>
  <c r="B535" i="9"/>
  <c r="C535" i="9"/>
  <c r="D535" i="9"/>
  <c r="E535" i="9"/>
  <c r="F535" i="9"/>
  <c r="G535" i="9"/>
  <c r="H535" i="9"/>
  <c r="I535" i="9"/>
  <c r="J535" i="9"/>
  <c r="K535" i="9"/>
  <c r="J536" i="9"/>
  <c r="J537" i="9"/>
  <c r="A548" i="9"/>
  <c r="A553" i="9"/>
  <c r="B146" i="27" l="1"/>
  <c r="B283" i="12" l="1"/>
  <c r="C46" i="25"/>
  <c r="K287" i="24"/>
  <c r="Q47" i="23"/>
  <c r="Q49" i="23"/>
  <c r="Q46" i="23"/>
  <c r="U185" i="17" l="1"/>
  <c r="U186" i="17"/>
  <c r="U187" i="17"/>
  <c r="U188" i="17"/>
  <c r="U189" i="17"/>
  <c r="U191" i="17"/>
  <c r="X96" i="7" l="1"/>
  <c r="X94" i="7"/>
  <c r="L96" i="7"/>
  <c r="L94" i="7"/>
  <c r="X49" i="7"/>
  <c r="X47" i="7"/>
  <c r="L49" i="7"/>
  <c r="L47" i="7"/>
  <c r="L139" i="6"/>
  <c r="L140" i="6"/>
  <c r="L141" i="6"/>
  <c r="L143" i="6"/>
  <c r="L96" i="6"/>
  <c r="L94" i="6"/>
  <c r="L49" i="6"/>
  <c r="L47" i="6"/>
  <c r="I94" i="5"/>
  <c r="I47" i="5"/>
  <c r="I89" i="4"/>
  <c r="I44" i="4"/>
  <c r="Q94" i="30" l="1"/>
  <c r="Q214" i="30" s="1"/>
  <c r="P94" i="30"/>
  <c r="P214" i="30" s="1"/>
  <c r="O94" i="30"/>
  <c r="O214" i="30" s="1"/>
  <c r="N94" i="30"/>
  <c r="N214" i="30" s="1"/>
  <c r="M94" i="30"/>
  <c r="M214" i="30" s="1"/>
  <c r="L94" i="30"/>
  <c r="L214" i="30" s="1"/>
  <c r="K94" i="30"/>
  <c r="K214" i="30" s="1"/>
  <c r="H94" i="30"/>
  <c r="H214" i="30" s="1"/>
  <c r="G94" i="30"/>
  <c r="G214" i="30" s="1"/>
  <c r="F94" i="30"/>
  <c r="F214" i="30" s="1"/>
  <c r="E94" i="30"/>
  <c r="E214" i="30" s="1"/>
  <c r="D94" i="30"/>
  <c r="D214" i="30" s="1"/>
  <c r="C94" i="30"/>
  <c r="C214" i="30" s="1"/>
  <c r="B94" i="30"/>
  <c r="B214" i="30" s="1"/>
  <c r="Q47" i="30"/>
  <c r="Q192" i="30" s="1"/>
  <c r="P47" i="30"/>
  <c r="P192" i="30" s="1"/>
  <c r="O47" i="30"/>
  <c r="O192" i="30" s="1"/>
  <c r="N47" i="30"/>
  <c r="N192" i="30" s="1"/>
  <c r="M47" i="30"/>
  <c r="M192" i="30" s="1"/>
  <c r="L47" i="30"/>
  <c r="L192" i="30" s="1"/>
  <c r="K47" i="30"/>
  <c r="K192" i="30" s="1"/>
  <c r="H47" i="30"/>
  <c r="H192" i="30" s="1"/>
  <c r="G47" i="30"/>
  <c r="G192" i="30" s="1"/>
  <c r="F47" i="30"/>
  <c r="F192" i="30" s="1"/>
  <c r="E47" i="30"/>
  <c r="E192" i="30" s="1"/>
  <c r="D47" i="30"/>
  <c r="D192" i="30" s="1"/>
  <c r="C47" i="30"/>
  <c r="C192" i="30" s="1"/>
  <c r="B47" i="30"/>
  <c r="B192" i="30" s="1"/>
  <c r="H93" i="29"/>
  <c r="H204" i="29" s="1"/>
  <c r="G93" i="29"/>
  <c r="G204" i="29" s="1"/>
  <c r="F93" i="29"/>
  <c r="F204" i="29" s="1"/>
  <c r="E93" i="29"/>
  <c r="E204" i="29" s="1"/>
  <c r="D93" i="29"/>
  <c r="D204" i="29" s="1"/>
  <c r="C93" i="29"/>
  <c r="C204" i="29" s="1"/>
  <c r="B93" i="29"/>
  <c r="B204" i="29" s="1"/>
  <c r="H46" i="29"/>
  <c r="H182" i="29" s="1"/>
  <c r="G46" i="29"/>
  <c r="G182" i="29" s="1"/>
  <c r="F46" i="29"/>
  <c r="F182" i="29" s="1"/>
  <c r="E46" i="29"/>
  <c r="E182" i="29" s="1"/>
  <c r="D46" i="29"/>
  <c r="D182" i="29" s="1"/>
  <c r="C46" i="29"/>
  <c r="C182" i="29" s="1"/>
  <c r="B46" i="29"/>
  <c r="B182" i="29" s="1"/>
  <c r="G246" i="28"/>
  <c r="G201" i="28"/>
  <c r="G121" i="28"/>
  <c r="G264" i="28" s="1"/>
  <c r="P97" i="28"/>
  <c r="I97" i="28"/>
  <c r="F97" i="28"/>
  <c r="F246" i="28" s="1"/>
  <c r="E97" i="28"/>
  <c r="E246" i="28" s="1"/>
  <c r="D97" i="28"/>
  <c r="D246" i="28" s="1"/>
  <c r="C97" i="28"/>
  <c r="C246" i="28" s="1"/>
  <c r="B97" i="28"/>
  <c r="B246" i="28" s="1"/>
  <c r="G49" i="28"/>
  <c r="G73" i="28" s="1"/>
  <c r="G231" i="28" s="1"/>
  <c r="F49" i="28"/>
  <c r="F216" i="28" s="1"/>
  <c r="E49" i="28"/>
  <c r="E216" i="28" s="1"/>
  <c r="D49" i="28"/>
  <c r="D216" i="28" s="1"/>
  <c r="C49" i="28"/>
  <c r="C216" i="28" s="1"/>
  <c r="B49" i="28"/>
  <c r="B216" i="28" s="1"/>
  <c r="H25" i="28"/>
  <c r="F25" i="28"/>
  <c r="F201" i="28" s="1"/>
  <c r="E25" i="28"/>
  <c r="E201" i="28" s="1"/>
  <c r="D25" i="28"/>
  <c r="C25" i="28"/>
  <c r="C201" i="28" s="1"/>
  <c r="B25" i="28"/>
  <c r="B201" i="28" s="1"/>
  <c r="J432" i="27"/>
  <c r="O363" i="27"/>
  <c r="K363" i="27"/>
  <c r="J363" i="27"/>
  <c r="G363" i="27"/>
  <c r="J235" i="27"/>
  <c r="J457" i="27" s="1"/>
  <c r="O188" i="27"/>
  <c r="O235" i="27" s="1"/>
  <c r="O457" i="27" s="1"/>
  <c r="N188" i="27"/>
  <c r="N432" i="27" s="1"/>
  <c r="M188" i="27"/>
  <c r="M432" i="27" s="1"/>
  <c r="L188" i="27"/>
  <c r="L432" i="27" s="1"/>
  <c r="K188" i="27"/>
  <c r="G188" i="27"/>
  <c r="G235" i="27" s="1"/>
  <c r="F188" i="27"/>
  <c r="F432" i="27" s="1"/>
  <c r="E188" i="27"/>
  <c r="E432" i="27" s="1"/>
  <c r="D188" i="27"/>
  <c r="D432" i="27" s="1"/>
  <c r="C188" i="27"/>
  <c r="C432" i="27" s="1"/>
  <c r="B188" i="27"/>
  <c r="B432" i="27" s="1"/>
  <c r="O94" i="27"/>
  <c r="O141" i="27" s="1"/>
  <c r="O410" i="27" s="1"/>
  <c r="N94" i="27"/>
  <c r="N385" i="27" s="1"/>
  <c r="M94" i="27"/>
  <c r="M385" i="27" s="1"/>
  <c r="L94" i="27"/>
  <c r="L385" i="27" s="1"/>
  <c r="K94" i="27"/>
  <c r="K141" i="27" s="1"/>
  <c r="K410" i="27" s="1"/>
  <c r="J94" i="27"/>
  <c r="J141" i="27" s="1"/>
  <c r="J410" i="27" s="1"/>
  <c r="G94" i="27"/>
  <c r="G141" i="27" s="1"/>
  <c r="G410" i="27" s="1"/>
  <c r="F94" i="27"/>
  <c r="F385" i="27" s="1"/>
  <c r="E94" i="27"/>
  <c r="E385" i="27" s="1"/>
  <c r="D94" i="27"/>
  <c r="D385" i="27" s="1"/>
  <c r="C94" i="27"/>
  <c r="C385" i="27" s="1"/>
  <c r="B94" i="27"/>
  <c r="B385" i="27" s="1"/>
  <c r="N47" i="27"/>
  <c r="N363" i="27" s="1"/>
  <c r="M47" i="27"/>
  <c r="M363" i="27" s="1"/>
  <c r="L47" i="27"/>
  <c r="L363" i="27" s="1"/>
  <c r="F47" i="27"/>
  <c r="E47" i="27"/>
  <c r="E235" i="27" s="1"/>
  <c r="E457" i="27" s="1"/>
  <c r="D47" i="27"/>
  <c r="D363" i="27" s="1"/>
  <c r="C47" i="27"/>
  <c r="C363" i="27" s="1"/>
  <c r="B47" i="27"/>
  <c r="G188" i="26"/>
  <c r="G432" i="26" s="1"/>
  <c r="F188" i="26"/>
  <c r="F432" i="26" s="1"/>
  <c r="E188" i="26"/>
  <c r="E432" i="26" s="1"/>
  <c r="D188" i="26"/>
  <c r="D432" i="26" s="1"/>
  <c r="C188" i="26"/>
  <c r="C432" i="26" s="1"/>
  <c r="B188" i="26"/>
  <c r="B432" i="26" s="1"/>
  <c r="G94" i="26"/>
  <c r="G385" i="26" s="1"/>
  <c r="F94" i="26"/>
  <c r="F385" i="26" s="1"/>
  <c r="E94" i="26"/>
  <c r="E385" i="26" s="1"/>
  <c r="D94" i="26"/>
  <c r="D385" i="26" s="1"/>
  <c r="C94" i="26"/>
  <c r="C385" i="26" s="1"/>
  <c r="B94" i="26"/>
  <c r="B385" i="26" s="1"/>
  <c r="G47" i="26"/>
  <c r="G363" i="26" s="1"/>
  <c r="F47" i="26"/>
  <c r="F363" i="26" s="1"/>
  <c r="E47" i="26"/>
  <c r="E363" i="26" s="1"/>
  <c r="D47" i="26"/>
  <c r="D363" i="26" s="1"/>
  <c r="C47" i="26"/>
  <c r="C363" i="26" s="1"/>
  <c r="B47" i="26"/>
  <c r="B363" i="26" s="1"/>
  <c r="K240" i="25"/>
  <c r="B240" i="25"/>
  <c r="W218" i="25"/>
  <c r="P218" i="25"/>
  <c r="O218" i="25"/>
  <c r="N218" i="25"/>
  <c r="K218" i="25"/>
  <c r="B218" i="25"/>
  <c r="W141" i="25"/>
  <c r="W265" i="25" s="1"/>
  <c r="V141" i="25"/>
  <c r="V265" i="25" s="1"/>
  <c r="U141" i="25"/>
  <c r="U265" i="25" s="1"/>
  <c r="T141" i="25"/>
  <c r="T265" i="25" s="1"/>
  <c r="S141" i="25"/>
  <c r="S265" i="25" s="1"/>
  <c r="R141" i="25"/>
  <c r="R265" i="25" s="1"/>
  <c r="Q141" i="25"/>
  <c r="Q265" i="25" s="1"/>
  <c r="P141" i="25"/>
  <c r="P265" i="25" s="1"/>
  <c r="O141" i="25"/>
  <c r="O265" i="25" s="1"/>
  <c r="N141" i="25"/>
  <c r="N265" i="25" s="1"/>
  <c r="K141" i="25"/>
  <c r="J141" i="25"/>
  <c r="J265" i="25" s="1"/>
  <c r="I141" i="25"/>
  <c r="I265" i="25" s="1"/>
  <c r="H141" i="25"/>
  <c r="H265" i="25" s="1"/>
  <c r="G141" i="25"/>
  <c r="F141" i="25"/>
  <c r="F265" i="25" s="1"/>
  <c r="E141" i="25"/>
  <c r="E265" i="25" s="1"/>
  <c r="D141" i="25"/>
  <c r="D265" i="25" s="1"/>
  <c r="C141" i="25"/>
  <c r="C265" i="25" s="1"/>
  <c r="B141" i="25"/>
  <c r="B188" i="25" s="1"/>
  <c r="B287" i="25" s="1"/>
  <c r="W94" i="25"/>
  <c r="W240" i="25" s="1"/>
  <c r="V94" i="25"/>
  <c r="V240" i="25" s="1"/>
  <c r="U94" i="25"/>
  <c r="U240" i="25" s="1"/>
  <c r="T94" i="25"/>
  <c r="T240" i="25" s="1"/>
  <c r="S94" i="25"/>
  <c r="S240" i="25" s="1"/>
  <c r="R94" i="25"/>
  <c r="R240" i="25" s="1"/>
  <c r="Q94" i="25"/>
  <c r="Q240" i="25" s="1"/>
  <c r="P94" i="25"/>
  <c r="P240" i="25" s="1"/>
  <c r="O94" i="25"/>
  <c r="O240" i="25" s="1"/>
  <c r="N94" i="25"/>
  <c r="N240" i="25" s="1"/>
  <c r="J94" i="25"/>
  <c r="J240" i="25" s="1"/>
  <c r="I94" i="25"/>
  <c r="I240" i="25" s="1"/>
  <c r="H94" i="25"/>
  <c r="H240" i="25" s="1"/>
  <c r="G94" i="25"/>
  <c r="G240" i="25" s="1"/>
  <c r="F94" i="25"/>
  <c r="F240" i="25" s="1"/>
  <c r="E94" i="25"/>
  <c r="E240" i="25" s="1"/>
  <c r="D94" i="25"/>
  <c r="D240" i="25" s="1"/>
  <c r="C94" i="25"/>
  <c r="C240" i="25" s="1"/>
  <c r="V47" i="25"/>
  <c r="V218" i="25" s="1"/>
  <c r="U47" i="25"/>
  <c r="U218" i="25" s="1"/>
  <c r="T47" i="25"/>
  <c r="T218" i="25" s="1"/>
  <c r="S47" i="25"/>
  <c r="S218" i="25" s="1"/>
  <c r="R47" i="25"/>
  <c r="R218" i="25" s="1"/>
  <c r="Q47" i="25"/>
  <c r="Q218" i="25" s="1"/>
  <c r="J47" i="25"/>
  <c r="J218" i="25" s="1"/>
  <c r="I47" i="25"/>
  <c r="I218" i="25" s="1"/>
  <c r="H47" i="25"/>
  <c r="H218" i="25" s="1"/>
  <c r="G47" i="25"/>
  <c r="G218" i="25" s="1"/>
  <c r="F47" i="25"/>
  <c r="F218" i="25" s="1"/>
  <c r="E47" i="25"/>
  <c r="E218" i="25" s="1"/>
  <c r="D47" i="25"/>
  <c r="D218" i="25" s="1"/>
  <c r="C47" i="25"/>
  <c r="C218" i="25" s="1"/>
  <c r="K218" i="24"/>
  <c r="B218" i="24"/>
  <c r="K140" i="24"/>
  <c r="K265" i="24" s="1"/>
  <c r="J140" i="24"/>
  <c r="J265" i="24" s="1"/>
  <c r="I140" i="24"/>
  <c r="I265" i="24" s="1"/>
  <c r="H140" i="24"/>
  <c r="H265" i="24" s="1"/>
  <c r="G140" i="24"/>
  <c r="G265" i="24" s="1"/>
  <c r="F140" i="24"/>
  <c r="F265" i="24" s="1"/>
  <c r="E140" i="24"/>
  <c r="E265" i="24" s="1"/>
  <c r="D140" i="24"/>
  <c r="D265" i="24" s="1"/>
  <c r="C140" i="24"/>
  <c r="C265" i="24" s="1"/>
  <c r="B140" i="24"/>
  <c r="B265" i="24" s="1"/>
  <c r="K93" i="24"/>
  <c r="K240" i="24" s="1"/>
  <c r="J93" i="24"/>
  <c r="J240" i="24" s="1"/>
  <c r="I93" i="24"/>
  <c r="I240" i="24" s="1"/>
  <c r="H93" i="24"/>
  <c r="G93" i="24"/>
  <c r="G240" i="24" s="1"/>
  <c r="F93" i="24"/>
  <c r="F240" i="24" s="1"/>
  <c r="E93" i="24"/>
  <c r="E240" i="24" s="1"/>
  <c r="D93" i="24"/>
  <c r="D240" i="24" s="1"/>
  <c r="C93" i="24"/>
  <c r="C240" i="24" s="1"/>
  <c r="B93" i="24"/>
  <c r="B240" i="24" s="1"/>
  <c r="J46" i="24"/>
  <c r="J218" i="24" s="1"/>
  <c r="I46" i="24"/>
  <c r="I218" i="24" s="1"/>
  <c r="H46" i="24"/>
  <c r="H218" i="24" s="1"/>
  <c r="G46" i="24"/>
  <c r="G218" i="24" s="1"/>
  <c r="F46" i="24"/>
  <c r="F218" i="24" s="1"/>
  <c r="E46" i="24"/>
  <c r="E218" i="24" s="1"/>
  <c r="D46" i="24"/>
  <c r="D218" i="24" s="1"/>
  <c r="C46" i="24"/>
  <c r="C218" i="24" s="1"/>
  <c r="X265" i="23"/>
  <c r="W265" i="23"/>
  <c r="V265" i="23"/>
  <c r="U265" i="23"/>
  <c r="T265" i="23"/>
  <c r="S265" i="23"/>
  <c r="R265" i="23"/>
  <c r="Q265" i="23"/>
  <c r="P265" i="23"/>
  <c r="O265" i="23"/>
  <c r="N265" i="23"/>
  <c r="K265" i="23"/>
  <c r="J265" i="23"/>
  <c r="B265" i="23"/>
  <c r="X240" i="23"/>
  <c r="W240" i="23"/>
  <c r="V240" i="23"/>
  <c r="U240" i="23"/>
  <c r="T240" i="23"/>
  <c r="S240" i="23"/>
  <c r="R240" i="23"/>
  <c r="Q240" i="23"/>
  <c r="P240" i="23"/>
  <c r="O240" i="23"/>
  <c r="N240" i="23"/>
  <c r="X218" i="23"/>
  <c r="W218" i="23"/>
  <c r="V218" i="23"/>
  <c r="P218" i="23"/>
  <c r="O218" i="23"/>
  <c r="N218" i="23"/>
  <c r="X188" i="23"/>
  <c r="W188" i="23"/>
  <c r="W287" i="23" s="1"/>
  <c r="V188" i="23"/>
  <c r="V287" i="23" s="1"/>
  <c r="P188" i="23"/>
  <c r="P287" i="23" s="1"/>
  <c r="O188" i="23"/>
  <c r="O287" i="23" s="1"/>
  <c r="N188" i="23"/>
  <c r="N287" i="23" s="1"/>
  <c r="I141" i="23"/>
  <c r="I265" i="23" s="1"/>
  <c r="H141" i="23"/>
  <c r="H265" i="23" s="1"/>
  <c r="G141" i="23"/>
  <c r="G265" i="23" s="1"/>
  <c r="F141" i="23"/>
  <c r="F265" i="23" s="1"/>
  <c r="E141" i="23"/>
  <c r="E265" i="23" s="1"/>
  <c r="D141" i="23"/>
  <c r="D265" i="23" s="1"/>
  <c r="C141" i="23"/>
  <c r="C265" i="23" s="1"/>
  <c r="K94" i="23"/>
  <c r="K240" i="23" s="1"/>
  <c r="J94" i="23"/>
  <c r="J240" i="23" s="1"/>
  <c r="I94" i="23"/>
  <c r="I240" i="23" s="1"/>
  <c r="H94" i="23"/>
  <c r="H240" i="23" s="1"/>
  <c r="G94" i="23"/>
  <c r="G240" i="23" s="1"/>
  <c r="F94" i="23"/>
  <c r="F240" i="23" s="1"/>
  <c r="E94" i="23"/>
  <c r="E240" i="23" s="1"/>
  <c r="D94" i="23"/>
  <c r="D240" i="23" s="1"/>
  <c r="C94" i="23"/>
  <c r="C240" i="23" s="1"/>
  <c r="B94" i="23"/>
  <c r="B240" i="23" s="1"/>
  <c r="U47" i="23"/>
  <c r="U188" i="23" s="1"/>
  <c r="U287" i="23" s="1"/>
  <c r="T47" i="23"/>
  <c r="T188" i="23" s="1"/>
  <c r="T287" i="23" s="1"/>
  <c r="S47" i="23"/>
  <c r="S188" i="23" s="1"/>
  <c r="S287" i="23" s="1"/>
  <c r="R47" i="23"/>
  <c r="Q218" i="23"/>
  <c r="K47" i="23"/>
  <c r="K218" i="23" s="1"/>
  <c r="J47" i="23"/>
  <c r="J218" i="23" s="1"/>
  <c r="I47" i="23"/>
  <c r="I218" i="23" s="1"/>
  <c r="H47" i="23"/>
  <c r="H218" i="23" s="1"/>
  <c r="G47" i="23"/>
  <c r="G218" i="23" s="1"/>
  <c r="F47" i="23"/>
  <c r="F218" i="23" s="1"/>
  <c r="E47" i="23"/>
  <c r="E218" i="23" s="1"/>
  <c r="D47" i="23"/>
  <c r="D218" i="23" s="1"/>
  <c r="C47" i="23"/>
  <c r="C218" i="23" s="1"/>
  <c r="B47" i="23"/>
  <c r="B218" i="23" s="1"/>
  <c r="K265" i="22"/>
  <c r="J265" i="22"/>
  <c r="B265" i="22"/>
  <c r="I135" i="22"/>
  <c r="I265" i="22" s="1"/>
  <c r="H135" i="22"/>
  <c r="H265" i="22" s="1"/>
  <c r="G135" i="22"/>
  <c r="G265" i="22" s="1"/>
  <c r="F135" i="22"/>
  <c r="F265" i="22" s="1"/>
  <c r="E135" i="22"/>
  <c r="E265" i="22" s="1"/>
  <c r="D135" i="22"/>
  <c r="D265" i="22" s="1"/>
  <c r="C135" i="22"/>
  <c r="C265" i="22" s="1"/>
  <c r="K90" i="22"/>
  <c r="K240" i="22" s="1"/>
  <c r="J90" i="22"/>
  <c r="J240" i="22" s="1"/>
  <c r="I90" i="22"/>
  <c r="I240" i="22" s="1"/>
  <c r="H90" i="22"/>
  <c r="H240" i="22" s="1"/>
  <c r="G90" i="22"/>
  <c r="G240" i="22" s="1"/>
  <c r="F90" i="22"/>
  <c r="F240" i="22" s="1"/>
  <c r="E90" i="22"/>
  <c r="E240" i="22" s="1"/>
  <c r="D90" i="22"/>
  <c r="D240" i="22" s="1"/>
  <c r="C90" i="22"/>
  <c r="C240" i="22" s="1"/>
  <c r="B90" i="22"/>
  <c r="B240" i="22" s="1"/>
  <c r="K45" i="22"/>
  <c r="K218" i="22" s="1"/>
  <c r="J45" i="22"/>
  <c r="J218" i="22" s="1"/>
  <c r="I45" i="22"/>
  <c r="I218" i="22" s="1"/>
  <c r="H45" i="22"/>
  <c r="H218" i="22" s="1"/>
  <c r="G45" i="22"/>
  <c r="G218" i="22" s="1"/>
  <c r="F45" i="22"/>
  <c r="F218" i="22" s="1"/>
  <c r="E45" i="22"/>
  <c r="E218" i="22" s="1"/>
  <c r="D45" i="22"/>
  <c r="D218" i="22" s="1"/>
  <c r="C45" i="22"/>
  <c r="C218" i="22" s="1"/>
  <c r="B45" i="22"/>
  <c r="B218" i="22" s="1"/>
  <c r="F93" i="13"/>
  <c r="J93" i="13" s="1"/>
  <c r="E93" i="13"/>
  <c r="D93" i="13"/>
  <c r="C93" i="13"/>
  <c r="F72" i="8"/>
  <c r="E72" i="8"/>
  <c r="D72" i="8"/>
  <c r="C72" i="8"/>
  <c r="F62" i="3"/>
  <c r="E62" i="3"/>
  <c r="D62" i="3"/>
  <c r="C62" i="3"/>
  <c r="B62" i="3"/>
  <c r="C41" i="3"/>
  <c r="C20" i="3"/>
  <c r="B20" i="3"/>
  <c r="H221" i="21"/>
  <c r="G221" i="21"/>
  <c r="G241" i="21" s="1"/>
  <c r="F221" i="21"/>
  <c r="F241" i="21" s="1"/>
  <c r="E221" i="21"/>
  <c r="D221" i="21"/>
  <c r="C221" i="21"/>
  <c r="C241" i="21" s="1"/>
  <c r="B221" i="21"/>
  <c r="B241" i="21" s="1"/>
  <c r="H198" i="21"/>
  <c r="G198" i="21"/>
  <c r="F198" i="21"/>
  <c r="E198" i="21"/>
  <c r="E241" i="21" s="1"/>
  <c r="D198" i="21"/>
  <c r="C198" i="21"/>
  <c r="B198" i="21"/>
  <c r="I178" i="21"/>
  <c r="H178" i="21"/>
  <c r="G178" i="21"/>
  <c r="F178" i="21"/>
  <c r="E178" i="21"/>
  <c r="D178" i="21"/>
  <c r="C178" i="21"/>
  <c r="B178" i="21"/>
  <c r="I158" i="21"/>
  <c r="H158" i="21"/>
  <c r="G158" i="21"/>
  <c r="F158" i="21"/>
  <c r="E158" i="21"/>
  <c r="D158" i="21"/>
  <c r="C158" i="21"/>
  <c r="B158" i="21"/>
  <c r="H121" i="21"/>
  <c r="G121" i="21"/>
  <c r="F121" i="21"/>
  <c r="E121" i="21"/>
  <c r="D121" i="21"/>
  <c r="C121" i="21"/>
  <c r="B121" i="21"/>
  <c r="I97" i="21"/>
  <c r="I221" i="21" s="1"/>
  <c r="I241" i="21" s="1"/>
  <c r="I73" i="21"/>
  <c r="I198" i="21" s="1"/>
  <c r="I49" i="21"/>
  <c r="I25" i="21"/>
  <c r="Q278" i="20"/>
  <c r="P278" i="20"/>
  <c r="O278" i="20"/>
  <c r="N278" i="20"/>
  <c r="M278" i="20"/>
  <c r="L278" i="20"/>
  <c r="K278" i="20"/>
  <c r="H278" i="20"/>
  <c r="G278" i="20"/>
  <c r="F278" i="20"/>
  <c r="E278" i="20"/>
  <c r="D278" i="20"/>
  <c r="C278" i="20"/>
  <c r="B278" i="20"/>
  <c r="Q347" i="20"/>
  <c r="P347" i="20"/>
  <c r="O347" i="20"/>
  <c r="N347" i="20"/>
  <c r="M347" i="20"/>
  <c r="L347" i="20"/>
  <c r="K347" i="20"/>
  <c r="H347" i="20"/>
  <c r="G347" i="20"/>
  <c r="F347" i="20"/>
  <c r="E347" i="20"/>
  <c r="D347" i="20"/>
  <c r="C347" i="20"/>
  <c r="B347" i="20"/>
  <c r="Q325" i="20"/>
  <c r="P325" i="20"/>
  <c r="O325" i="20"/>
  <c r="N325" i="20"/>
  <c r="M325" i="20"/>
  <c r="L325" i="20"/>
  <c r="K325" i="20"/>
  <c r="H325" i="20"/>
  <c r="G325" i="20"/>
  <c r="F325" i="20"/>
  <c r="E325" i="20"/>
  <c r="D325" i="20"/>
  <c r="C325" i="20"/>
  <c r="B325" i="20"/>
  <c r="Q300" i="20"/>
  <c r="P300" i="20"/>
  <c r="O300" i="20"/>
  <c r="N300" i="20"/>
  <c r="M300" i="20"/>
  <c r="L300" i="20"/>
  <c r="K300" i="20"/>
  <c r="H300" i="20"/>
  <c r="G300" i="20"/>
  <c r="F300" i="20"/>
  <c r="E300" i="20"/>
  <c r="D300" i="20"/>
  <c r="C300" i="20"/>
  <c r="B300" i="20"/>
  <c r="Q235" i="20"/>
  <c r="Q372" i="20" s="1"/>
  <c r="P235" i="20"/>
  <c r="P372" i="20" s="1"/>
  <c r="O235" i="20"/>
  <c r="O372" i="20" s="1"/>
  <c r="N235" i="20"/>
  <c r="N372" i="20" s="1"/>
  <c r="M235" i="20"/>
  <c r="M372" i="20" s="1"/>
  <c r="L235" i="20"/>
  <c r="L372" i="20" s="1"/>
  <c r="K235" i="20"/>
  <c r="K372" i="20" s="1"/>
  <c r="H235" i="20"/>
  <c r="H372" i="20" s="1"/>
  <c r="G235" i="20"/>
  <c r="G372" i="20" s="1"/>
  <c r="F235" i="20"/>
  <c r="F372" i="20" s="1"/>
  <c r="E235" i="20"/>
  <c r="E372" i="20" s="1"/>
  <c r="D235" i="20"/>
  <c r="D372" i="20" s="1"/>
  <c r="C235" i="20"/>
  <c r="C372" i="20" s="1"/>
  <c r="B235" i="20"/>
  <c r="B372" i="20" s="1"/>
  <c r="T188" i="20"/>
  <c r="R188" i="20"/>
  <c r="R347" i="20" s="1"/>
  <c r="I188" i="20"/>
  <c r="T141" i="20"/>
  <c r="R141" i="20"/>
  <c r="R325" i="20" s="1"/>
  <c r="I141" i="20"/>
  <c r="I325" i="20" s="1"/>
  <c r="R94" i="20"/>
  <c r="R300" i="20" s="1"/>
  <c r="I94" i="20"/>
  <c r="I300" i="20" s="1"/>
  <c r="R47" i="20"/>
  <c r="I47" i="20"/>
  <c r="H345" i="19"/>
  <c r="G345" i="19"/>
  <c r="F345" i="19"/>
  <c r="E345" i="19"/>
  <c r="D345" i="19"/>
  <c r="C345" i="19"/>
  <c r="B345" i="19"/>
  <c r="H321" i="19"/>
  <c r="G321" i="19"/>
  <c r="F321" i="19"/>
  <c r="E321" i="19"/>
  <c r="D321" i="19"/>
  <c r="C321" i="19"/>
  <c r="B321" i="19"/>
  <c r="H299" i="19"/>
  <c r="G299" i="19"/>
  <c r="F299" i="19"/>
  <c r="E299" i="19"/>
  <c r="D299" i="19"/>
  <c r="C299" i="19"/>
  <c r="B299" i="19"/>
  <c r="H277" i="19"/>
  <c r="G277" i="19"/>
  <c r="F277" i="19"/>
  <c r="E277" i="19"/>
  <c r="D277" i="19"/>
  <c r="C277" i="19"/>
  <c r="B277" i="19"/>
  <c r="H234" i="19"/>
  <c r="H367" i="19" s="1"/>
  <c r="G234" i="19"/>
  <c r="G367" i="19" s="1"/>
  <c r="F234" i="19"/>
  <c r="F367" i="19" s="1"/>
  <c r="E234" i="19"/>
  <c r="E367" i="19" s="1"/>
  <c r="D234" i="19"/>
  <c r="D367" i="19" s="1"/>
  <c r="C234" i="19"/>
  <c r="C367" i="19" s="1"/>
  <c r="B234" i="19"/>
  <c r="B367" i="19" s="1"/>
  <c r="I187" i="19"/>
  <c r="I345" i="19" s="1"/>
  <c r="I140" i="19"/>
  <c r="I321" i="19" s="1"/>
  <c r="I93" i="19"/>
  <c r="I299" i="19" s="1"/>
  <c r="I46" i="19"/>
  <c r="B175" i="18"/>
  <c r="C175" i="18"/>
  <c r="D175" i="18"/>
  <c r="E175" i="18"/>
  <c r="F175" i="18"/>
  <c r="G175" i="18"/>
  <c r="H175" i="18"/>
  <c r="I175" i="18"/>
  <c r="K51" i="18"/>
  <c r="K175" i="18" s="1"/>
  <c r="J51" i="18"/>
  <c r="J175" i="18" s="1"/>
  <c r="B174" i="18"/>
  <c r="C174" i="18"/>
  <c r="D174" i="18"/>
  <c r="E174" i="18"/>
  <c r="F174" i="18"/>
  <c r="G174" i="18"/>
  <c r="H174" i="18"/>
  <c r="I174" i="18"/>
  <c r="B173" i="18"/>
  <c r="B126" i="18"/>
  <c r="C126" i="18"/>
  <c r="D126" i="18"/>
  <c r="E126" i="18"/>
  <c r="F126" i="18"/>
  <c r="G126" i="18"/>
  <c r="H126" i="18"/>
  <c r="I126" i="18"/>
  <c r="B230" i="18"/>
  <c r="C230" i="18"/>
  <c r="C145" i="28"/>
  <c r="C279" i="28" s="1"/>
  <c r="F230" i="18"/>
  <c r="G230" i="18"/>
  <c r="G145" i="28"/>
  <c r="G169" i="28" s="1"/>
  <c r="G294" i="28" s="1"/>
  <c r="I230" i="18"/>
  <c r="C173" i="18"/>
  <c r="D173" i="18"/>
  <c r="E173" i="18"/>
  <c r="F173" i="18"/>
  <c r="G173" i="18"/>
  <c r="H173" i="18"/>
  <c r="I173" i="18"/>
  <c r="I213" i="18"/>
  <c r="H213" i="18"/>
  <c r="G213" i="18"/>
  <c r="F213" i="18"/>
  <c r="E213" i="18"/>
  <c r="D213" i="18"/>
  <c r="C213" i="18"/>
  <c r="B213" i="18"/>
  <c r="I192" i="18"/>
  <c r="H192" i="18"/>
  <c r="G192" i="18"/>
  <c r="F192" i="18"/>
  <c r="E192" i="18"/>
  <c r="D192" i="18"/>
  <c r="C192" i="18"/>
  <c r="B192" i="18"/>
  <c r="I158" i="18"/>
  <c r="H158" i="18"/>
  <c r="G158" i="18"/>
  <c r="F158" i="18"/>
  <c r="E158" i="18"/>
  <c r="D158" i="18"/>
  <c r="C158" i="18"/>
  <c r="B158" i="18"/>
  <c r="K102" i="18"/>
  <c r="K213" i="18" s="1"/>
  <c r="J102" i="18"/>
  <c r="K77" i="18"/>
  <c r="K192" i="18" s="1"/>
  <c r="J77" i="18"/>
  <c r="J192" i="18" s="1"/>
  <c r="K25" i="18"/>
  <c r="K158" i="18" s="1"/>
  <c r="J25" i="18"/>
  <c r="J158" i="18" s="1"/>
  <c r="T349" i="17"/>
  <c r="S349" i="17"/>
  <c r="R349" i="17"/>
  <c r="Q349" i="17"/>
  <c r="P349" i="17"/>
  <c r="O349" i="17"/>
  <c r="N349" i="17"/>
  <c r="M349" i="17"/>
  <c r="I349" i="17"/>
  <c r="H349" i="17"/>
  <c r="G349" i="17"/>
  <c r="F349" i="17"/>
  <c r="E349" i="17"/>
  <c r="D349" i="17"/>
  <c r="C349" i="17"/>
  <c r="B349" i="17"/>
  <c r="T327" i="17"/>
  <c r="S327" i="17"/>
  <c r="R327" i="17"/>
  <c r="Q327" i="17"/>
  <c r="P327" i="17"/>
  <c r="O327" i="17"/>
  <c r="N327" i="17"/>
  <c r="M327" i="17"/>
  <c r="I327" i="17"/>
  <c r="H327" i="17"/>
  <c r="G327" i="17"/>
  <c r="F327" i="17"/>
  <c r="E327" i="17"/>
  <c r="D327" i="17"/>
  <c r="C327" i="17"/>
  <c r="B327" i="17"/>
  <c r="T301" i="17"/>
  <c r="S301" i="17"/>
  <c r="R301" i="17"/>
  <c r="Q301" i="17"/>
  <c r="P301" i="17"/>
  <c r="O301" i="17"/>
  <c r="N301" i="17"/>
  <c r="M301" i="17"/>
  <c r="I301" i="17"/>
  <c r="H301" i="17"/>
  <c r="G301" i="17"/>
  <c r="F301" i="17"/>
  <c r="E301" i="17"/>
  <c r="D301" i="17"/>
  <c r="C301" i="17"/>
  <c r="B301" i="17"/>
  <c r="T279" i="17"/>
  <c r="S279" i="17"/>
  <c r="R279" i="17"/>
  <c r="Q279" i="17"/>
  <c r="P279" i="17"/>
  <c r="O279" i="17"/>
  <c r="N279" i="17"/>
  <c r="M279" i="17"/>
  <c r="H279" i="17"/>
  <c r="G279" i="17"/>
  <c r="F279" i="17"/>
  <c r="E279" i="17"/>
  <c r="D279" i="17"/>
  <c r="C279" i="17"/>
  <c r="B279" i="17"/>
  <c r="T236" i="17"/>
  <c r="T375" i="17" s="1"/>
  <c r="S236" i="17"/>
  <c r="O282" i="27" s="1"/>
  <c r="O479" i="27" s="1"/>
  <c r="R236" i="17"/>
  <c r="R375" i="17" s="1"/>
  <c r="Q236" i="17"/>
  <c r="Q375" i="17" s="1"/>
  <c r="P236" i="17"/>
  <c r="L282" i="27" s="1"/>
  <c r="L479" i="27" s="1"/>
  <c r="O236" i="17"/>
  <c r="K282" i="27" s="1"/>
  <c r="K479" i="27" s="1"/>
  <c r="N236" i="17"/>
  <c r="N375" i="17" s="1"/>
  <c r="M236" i="17"/>
  <c r="M375" i="17" s="1"/>
  <c r="H236" i="17"/>
  <c r="G282" i="27" s="1"/>
  <c r="G479" i="27" s="1"/>
  <c r="G236" i="17"/>
  <c r="F282" i="27" s="1"/>
  <c r="F479" i="27" s="1"/>
  <c r="F236" i="17"/>
  <c r="E282" i="27" s="1"/>
  <c r="E479" i="27" s="1"/>
  <c r="E236" i="17"/>
  <c r="E375" i="17" s="1"/>
  <c r="D236" i="17"/>
  <c r="C282" i="27" s="1"/>
  <c r="C479" i="27" s="1"/>
  <c r="C236" i="17"/>
  <c r="B282" i="27" s="1"/>
  <c r="B479" i="27" s="1"/>
  <c r="B236" i="17"/>
  <c r="B375" i="17" s="1"/>
  <c r="V189" i="17"/>
  <c r="V349" i="17" s="1"/>
  <c r="U349" i="17"/>
  <c r="K189" i="17"/>
  <c r="K349" i="17" s="1"/>
  <c r="J189" i="17"/>
  <c r="V142" i="17"/>
  <c r="V327" i="17" s="1"/>
  <c r="U142" i="17"/>
  <c r="U327" i="17" s="1"/>
  <c r="K142" i="17"/>
  <c r="K327" i="17" s="1"/>
  <c r="J327" i="17"/>
  <c r="V95" i="17"/>
  <c r="V301" i="17" s="1"/>
  <c r="U95" i="17"/>
  <c r="U301" i="17" s="1"/>
  <c r="K95" i="17"/>
  <c r="K301" i="17" s="1"/>
  <c r="J95" i="17"/>
  <c r="J301" i="17" s="1"/>
  <c r="V48" i="17"/>
  <c r="V279" i="17" s="1"/>
  <c r="U48" i="17"/>
  <c r="U279" i="17" s="1"/>
  <c r="J48" i="17"/>
  <c r="J279" i="17" s="1"/>
  <c r="I48" i="17"/>
  <c r="I346" i="16"/>
  <c r="H346" i="16"/>
  <c r="G346" i="16"/>
  <c r="F346" i="16"/>
  <c r="E346" i="16"/>
  <c r="D346" i="16"/>
  <c r="C346" i="16"/>
  <c r="B346" i="16"/>
  <c r="I321" i="16"/>
  <c r="H321" i="16"/>
  <c r="G321" i="16"/>
  <c r="F321" i="16"/>
  <c r="E321" i="16"/>
  <c r="D321" i="16"/>
  <c r="C321" i="16"/>
  <c r="B321" i="16"/>
  <c r="I299" i="16"/>
  <c r="H299" i="16"/>
  <c r="G299" i="16"/>
  <c r="F299" i="16"/>
  <c r="E299" i="16"/>
  <c r="D299" i="16"/>
  <c r="C299" i="16"/>
  <c r="B299" i="16"/>
  <c r="H277" i="16"/>
  <c r="G277" i="16"/>
  <c r="F277" i="16"/>
  <c r="E277" i="16"/>
  <c r="D277" i="16"/>
  <c r="C277" i="16"/>
  <c r="B277" i="16"/>
  <c r="H235" i="16"/>
  <c r="G282" i="26" s="1"/>
  <c r="G476" i="26" s="1"/>
  <c r="G235" i="16"/>
  <c r="F282" i="26" s="1"/>
  <c r="F476" i="26" s="1"/>
  <c r="F235" i="16"/>
  <c r="E235" i="16"/>
  <c r="D282" i="26" s="1"/>
  <c r="D476" i="26" s="1"/>
  <c r="D235" i="16"/>
  <c r="D368" i="16" s="1"/>
  <c r="C235" i="16"/>
  <c r="B282" i="26" s="1"/>
  <c r="B476" i="26" s="1"/>
  <c r="B235" i="16"/>
  <c r="B368" i="16" s="1"/>
  <c r="K188" i="16"/>
  <c r="K346" i="16" s="1"/>
  <c r="J188" i="16"/>
  <c r="J346" i="16" s="1"/>
  <c r="K141" i="16"/>
  <c r="K321" i="16" s="1"/>
  <c r="J141" i="16"/>
  <c r="J321" i="16" s="1"/>
  <c r="K94" i="16"/>
  <c r="K299" i="16" s="1"/>
  <c r="J94" i="16"/>
  <c r="J299" i="16" s="1"/>
  <c r="J47" i="16"/>
  <c r="J277" i="16" s="1"/>
  <c r="I47" i="16"/>
  <c r="M341" i="32"/>
  <c r="L341" i="32"/>
  <c r="K341" i="32"/>
  <c r="J341" i="32"/>
  <c r="I341" i="32"/>
  <c r="F341" i="32"/>
  <c r="E341" i="32"/>
  <c r="D341" i="32"/>
  <c r="C341" i="32"/>
  <c r="B341" i="32"/>
  <c r="M319" i="32"/>
  <c r="L319" i="32"/>
  <c r="K319" i="32"/>
  <c r="J319" i="32"/>
  <c r="I319" i="32"/>
  <c r="F319" i="32"/>
  <c r="E319" i="32"/>
  <c r="D319" i="32"/>
  <c r="C319" i="32"/>
  <c r="B319" i="32"/>
  <c r="M294" i="32"/>
  <c r="L294" i="32"/>
  <c r="K294" i="32"/>
  <c r="J294" i="32"/>
  <c r="I294" i="32"/>
  <c r="F294" i="32"/>
  <c r="E294" i="32"/>
  <c r="D294" i="32"/>
  <c r="C294" i="32"/>
  <c r="B294" i="32"/>
  <c r="M236" i="32"/>
  <c r="L236" i="32"/>
  <c r="K236" i="32"/>
  <c r="J236" i="32"/>
  <c r="I236" i="32"/>
  <c r="F236" i="32"/>
  <c r="E236" i="32"/>
  <c r="D236" i="32"/>
  <c r="C236" i="32"/>
  <c r="B236" i="32"/>
  <c r="N189" i="32"/>
  <c r="G189" i="32"/>
  <c r="N142" i="32"/>
  <c r="N319" i="32" s="1"/>
  <c r="C71" i="13" s="1"/>
  <c r="G142" i="32"/>
  <c r="G319" i="32" s="1"/>
  <c r="C45" i="13" s="1"/>
  <c r="N95" i="32"/>
  <c r="N294" i="32" s="1"/>
  <c r="D71" i="13" s="1"/>
  <c r="G95" i="32"/>
  <c r="G294" i="32" s="1"/>
  <c r="D45" i="13" s="1"/>
  <c r="N48" i="32"/>
  <c r="G48" i="32"/>
  <c r="G347" i="14"/>
  <c r="F347" i="14"/>
  <c r="E347" i="14"/>
  <c r="D347" i="14"/>
  <c r="C347" i="14"/>
  <c r="B347" i="14"/>
  <c r="G321" i="14"/>
  <c r="F321" i="14"/>
  <c r="E321" i="14"/>
  <c r="D321" i="14"/>
  <c r="C321" i="14"/>
  <c r="B321" i="14"/>
  <c r="G299" i="14"/>
  <c r="F299" i="14"/>
  <c r="E299" i="14"/>
  <c r="D299" i="14"/>
  <c r="C299" i="14"/>
  <c r="B299" i="14"/>
  <c r="G277" i="14"/>
  <c r="F277" i="14"/>
  <c r="E277" i="14"/>
  <c r="D277" i="14"/>
  <c r="C277" i="14"/>
  <c r="B277" i="14"/>
  <c r="G235" i="14"/>
  <c r="G369" i="14" s="1"/>
  <c r="F235" i="14"/>
  <c r="F369" i="14" s="1"/>
  <c r="E235" i="14"/>
  <c r="E369" i="14" s="1"/>
  <c r="D235" i="14"/>
  <c r="D369" i="14" s="1"/>
  <c r="C235" i="14"/>
  <c r="C369" i="14" s="1"/>
  <c r="B235" i="14"/>
  <c r="B369" i="14" s="1"/>
  <c r="H188" i="14"/>
  <c r="H347" i="14" s="1"/>
  <c r="H141" i="14"/>
  <c r="H94" i="14"/>
  <c r="H299" i="14" s="1"/>
  <c r="D23" i="13" s="1"/>
  <c r="H47" i="14"/>
  <c r="J516" i="12"/>
  <c r="R494" i="12"/>
  <c r="Q494" i="12"/>
  <c r="P494" i="12"/>
  <c r="O494" i="12"/>
  <c r="N494" i="12"/>
  <c r="M494" i="12"/>
  <c r="J494" i="12"/>
  <c r="I494" i="12"/>
  <c r="H494" i="12"/>
  <c r="G494" i="12"/>
  <c r="F494" i="12"/>
  <c r="E494" i="12"/>
  <c r="D494" i="12"/>
  <c r="C494" i="12"/>
  <c r="B494" i="12"/>
  <c r="R468" i="12"/>
  <c r="Q468" i="12"/>
  <c r="P468" i="12"/>
  <c r="O468" i="12"/>
  <c r="N468" i="12"/>
  <c r="M468" i="12"/>
  <c r="J468" i="12"/>
  <c r="I468" i="12"/>
  <c r="H468" i="12"/>
  <c r="G468" i="12"/>
  <c r="F468" i="12"/>
  <c r="E468" i="12"/>
  <c r="D468" i="12"/>
  <c r="C468" i="12"/>
  <c r="B468" i="12"/>
  <c r="R446" i="12"/>
  <c r="Q446" i="12"/>
  <c r="P446" i="12"/>
  <c r="O446" i="12"/>
  <c r="N446" i="12"/>
  <c r="M446" i="12"/>
  <c r="J446" i="12"/>
  <c r="I446" i="12"/>
  <c r="H446" i="12"/>
  <c r="G446" i="12"/>
  <c r="F446" i="12"/>
  <c r="E446" i="12"/>
  <c r="D446" i="12"/>
  <c r="C446" i="12"/>
  <c r="B446" i="12"/>
  <c r="R420" i="12"/>
  <c r="Q420" i="12"/>
  <c r="P420" i="12"/>
  <c r="O420" i="12"/>
  <c r="N420" i="12"/>
  <c r="M420" i="12"/>
  <c r="K420" i="12"/>
  <c r="J420" i="12"/>
  <c r="I420" i="12"/>
  <c r="H420" i="12"/>
  <c r="G420" i="12"/>
  <c r="F420" i="12"/>
  <c r="E420" i="12"/>
  <c r="D420" i="12"/>
  <c r="C420" i="12"/>
  <c r="B420" i="12"/>
  <c r="R398" i="12"/>
  <c r="Q398" i="12"/>
  <c r="P398" i="12"/>
  <c r="O398" i="12"/>
  <c r="N398" i="12"/>
  <c r="M398" i="12"/>
  <c r="J398" i="12"/>
  <c r="I398" i="12"/>
  <c r="H398" i="12"/>
  <c r="G398" i="12"/>
  <c r="F398" i="12"/>
  <c r="E398" i="12"/>
  <c r="D398" i="12"/>
  <c r="C398" i="12"/>
  <c r="B398" i="12"/>
  <c r="R283" i="12"/>
  <c r="R330" i="12" s="1"/>
  <c r="R542" i="12" s="1"/>
  <c r="Q283" i="12"/>
  <c r="Q330" i="12" s="1"/>
  <c r="Q542" i="12" s="1"/>
  <c r="P283" i="12"/>
  <c r="P330" i="12" s="1"/>
  <c r="P542" i="12" s="1"/>
  <c r="O283" i="12"/>
  <c r="O330" i="12" s="1"/>
  <c r="O542" i="12" s="1"/>
  <c r="N283" i="12"/>
  <c r="N330" i="12" s="1"/>
  <c r="N542" i="12" s="1"/>
  <c r="M283" i="12"/>
  <c r="M330" i="12" s="1"/>
  <c r="M542" i="12" s="1"/>
  <c r="I283" i="12"/>
  <c r="I330" i="12" s="1"/>
  <c r="I542" i="12" s="1"/>
  <c r="H283" i="12"/>
  <c r="G283" i="12"/>
  <c r="F283" i="12"/>
  <c r="F330" i="12" s="1"/>
  <c r="F542" i="12" s="1"/>
  <c r="E283" i="12"/>
  <c r="E330" i="12" s="1"/>
  <c r="E542" i="12" s="1"/>
  <c r="D283" i="12"/>
  <c r="D330" i="12" s="1"/>
  <c r="D542" i="12" s="1"/>
  <c r="C283" i="12"/>
  <c r="B330" i="12"/>
  <c r="B542" i="12" s="1"/>
  <c r="S236" i="12"/>
  <c r="S494" i="12" s="1"/>
  <c r="K236" i="12"/>
  <c r="S189" i="12"/>
  <c r="S468" i="12" s="1"/>
  <c r="K189" i="12"/>
  <c r="K468" i="12" s="1"/>
  <c r="S142" i="12"/>
  <c r="S446" i="12" s="1"/>
  <c r="K142" i="12"/>
  <c r="K446" i="12" s="1"/>
  <c r="S95" i="12"/>
  <c r="S420" i="12" s="1"/>
  <c r="K95" i="12"/>
  <c r="S48" i="12"/>
  <c r="K48" i="12"/>
  <c r="K398" i="12" s="1"/>
  <c r="J533" i="11"/>
  <c r="J509" i="11"/>
  <c r="J487" i="11"/>
  <c r="I487" i="11"/>
  <c r="H487" i="11"/>
  <c r="G487" i="11"/>
  <c r="F487" i="11"/>
  <c r="E487" i="11"/>
  <c r="D487" i="11"/>
  <c r="C487" i="11"/>
  <c r="B487" i="11"/>
  <c r="J463" i="11"/>
  <c r="I463" i="11"/>
  <c r="H463" i="11"/>
  <c r="G463" i="11"/>
  <c r="F463" i="11"/>
  <c r="E463" i="11"/>
  <c r="D463" i="11"/>
  <c r="C463" i="11"/>
  <c r="B463" i="11"/>
  <c r="J441" i="11"/>
  <c r="I441" i="11"/>
  <c r="H441" i="11"/>
  <c r="G441" i="11"/>
  <c r="F441" i="11"/>
  <c r="E441" i="11"/>
  <c r="D441" i="11"/>
  <c r="C441" i="11"/>
  <c r="B441" i="11"/>
  <c r="J417" i="11"/>
  <c r="I417" i="11"/>
  <c r="H417" i="11"/>
  <c r="G417" i="11"/>
  <c r="F417" i="11"/>
  <c r="E417" i="11"/>
  <c r="D417" i="11"/>
  <c r="C417" i="11"/>
  <c r="B417" i="11"/>
  <c r="J395" i="11"/>
  <c r="I395" i="11"/>
  <c r="H395" i="11"/>
  <c r="G395" i="11"/>
  <c r="F395" i="11"/>
  <c r="E395" i="11"/>
  <c r="D395" i="11"/>
  <c r="C395" i="11"/>
  <c r="B395" i="11"/>
  <c r="I283" i="11"/>
  <c r="I330" i="11" s="1"/>
  <c r="I533" i="11" s="1"/>
  <c r="H283" i="11"/>
  <c r="H330" i="11" s="1"/>
  <c r="H533" i="11" s="1"/>
  <c r="G283" i="11"/>
  <c r="G509" i="11" s="1"/>
  <c r="F283" i="11"/>
  <c r="F330" i="11" s="1"/>
  <c r="F533" i="11" s="1"/>
  <c r="E283" i="11"/>
  <c r="E330" i="11" s="1"/>
  <c r="E533" i="11" s="1"/>
  <c r="D283" i="11"/>
  <c r="D330" i="11" s="1"/>
  <c r="D533" i="11" s="1"/>
  <c r="C283" i="11"/>
  <c r="C509" i="11" s="1"/>
  <c r="B283" i="11"/>
  <c r="B330" i="11" s="1"/>
  <c r="B533" i="11" s="1"/>
  <c r="K236" i="11"/>
  <c r="K487" i="11" s="1"/>
  <c r="K189" i="11"/>
  <c r="K463" i="11" s="1"/>
  <c r="K142" i="11"/>
  <c r="K441" i="11" s="1"/>
  <c r="K95" i="11"/>
  <c r="K417" i="11" s="1"/>
  <c r="K48" i="11"/>
  <c r="K395" i="11" s="1"/>
  <c r="S642" i="10"/>
  <c r="R642" i="10"/>
  <c r="Q642" i="10"/>
  <c r="P642" i="10"/>
  <c r="O642" i="10"/>
  <c r="N642" i="10"/>
  <c r="K642" i="10"/>
  <c r="J642" i="10"/>
  <c r="I642" i="10"/>
  <c r="H642" i="10"/>
  <c r="G642" i="10"/>
  <c r="F642" i="10"/>
  <c r="E642" i="10"/>
  <c r="D642" i="10"/>
  <c r="C642" i="10"/>
  <c r="B642" i="10"/>
  <c r="S617" i="10"/>
  <c r="R617" i="10"/>
  <c r="Q617" i="10"/>
  <c r="P617" i="10"/>
  <c r="O617" i="10"/>
  <c r="N617" i="10"/>
  <c r="K617" i="10"/>
  <c r="J617" i="10"/>
  <c r="I617" i="10"/>
  <c r="H617" i="10"/>
  <c r="G617" i="10"/>
  <c r="F617" i="10"/>
  <c r="E617" i="10"/>
  <c r="D617" i="10"/>
  <c r="C617" i="10"/>
  <c r="B617" i="10"/>
  <c r="S595" i="10"/>
  <c r="R595" i="10"/>
  <c r="Q595" i="10"/>
  <c r="P595" i="10"/>
  <c r="O595" i="10"/>
  <c r="N595" i="10"/>
  <c r="J595" i="10"/>
  <c r="I595" i="10"/>
  <c r="H595" i="10"/>
  <c r="G595" i="10"/>
  <c r="F595" i="10"/>
  <c r="E595" i="10"/>
  <c r="D595" i="10"/>
  <c r="C595" i="10"/>
  <c r="B595" i="10"/>
  <c r="S570" i="10"/>
  <c r="R570" i="10"/>
  <c r="Q570" i="10"/>
  <c r="P570" i="10"/>
  <c r="O570" i="10"/>
  <c r="N570" i="10"/>
  <c r="K570" i="10"/>
  <c r="J570" i="10"/>
  <c r="I570" i="10"/>
  <c r="H570" i="10"/>
  <c r="G570" i="10"/>
  <c r="F570" i="10"/>
  <c r="E570" i="10"/>
  <c r="D570" i="10"/>
  <c r="C570" i="10"/>
  <c r="B570" i="10"/>
  <c r="R548" i="10"/>
  <c r="Q548" i="10"/>
  <c r="P548" i="10"/>
  <c r="O548" i="10"/>
  <c r="N548" i="10"/>
  <c r="K548" i="10"/>
  <c r="J548" i="10"/>
  <c r="I548" i="10"/>
  <c r="H548" i="10"/>
  <c r="G548" i="10"/>
  <c r="F548" i="10"/>
  <c r="E548" i="10"/>
  <c r="D548" i="10"/>
  <c r="C548" i="10"/>
  <c r="B548" i="10"/>
  <c r="S426" i="10"/>
  <c r="S664" i="10" s="1"/>
  <c r="R426" i="10"/>
  <c r="R497" i="10" s="1"/>
  <c r="R689" i="10" s="1"/>
  <c r="Q426" i="10"/>
  <c r="Q497" i="10" s="1"/>
  <c r="Q689" i="10" s="1"/>
  <c r="P426" i="10"/>
  <c r="P497" i="10" s="1"/>
  <c r="P689" i="10" s="1"/>
  <c r="O426" i="10"/>
  <c r="O497" i="10" s="1"/>
  <c r="O689" i="10" s="1"/>
  <c r="N426" i="10"/>
  <c r="N497" i="10" s="1"/>
  <c r="N689" i="10" s="1"/>
  <c r="K426" i="10"/>
  <c r="K497" i="10" s="1"/>
  <c r="K689" i="10" s="1"/>
  <c r="J426" i="10"/>
  <c r="J497" i="10" s="1"/>
  <c r="J689" i="10" s="1"/>
  <c r="I426" i="10"/>
  <c r="I664" i="10" s="1"/>
  <c r="H426" i="10"/>
  <c r="H497" i="10" s="1"/>
  <c r="H689" i="10" s="1"/>
  <c r="G426" i="10"/>
  <c r="G497" i="10" s="1"/>
  <c r="G689" i="10" s="1"/>
  <c r="F426" i="10"/>
  <c r="F497" i="10" s="1"/>
  <c r="F689" i="10" s="1"/>
  <c r="E426" i="10"/>
  <c r="E497" i="10" s="1"/>
  <c r="E689" i="10" s="1"/>
  <c r="D426" i="10"/>
  <c r="D497" i="10" s="1"/>
  <c r="D689" i="10" s="1"/>
  <c r="C426" i="10"/>
  <c r="C497" i="10" s="1"/>
  <c r="C689" i="10" s="1"/>
  <c r="B426" i="10"/>
  <c r="B497" i="10" s="1"/>
  <c r="B689" i="10" s="1"/>
  <c r="L355" i="10"/>
  <c r="F46" i="8" s="1"/>
  <c r="L284" i="10"/>
  <c r="L617" i="10" s="1"/>
  <c r="L213" i="10"/>
  <c r="D46" i="8" s="1"/>
  <c r="L142" i="10"/>
  <c r="S71" i="10"/>
  <c r="B72" i="8" s="1"/>
  <c r="L71" i="10"/>
  <c r="L548" i="10" s="1"/>
  <c r="B520" i="9"/>
  <c r="K498" i="9"/>
  <c r="J498" i="9"/>
  <c r="I498" i="9"/>
  <c r="H498" i="9"/>
  <c r="G498" i="9"/>
  <c r="F498" i="9"/>
  <c r="E498" i="9"/>
  <c r="D498" i="9"/>
  <c r="C498" i="9"/>
  <c r="B498" i="9"/>
  <c r="K473" i="9"/>
  <c r="J473" i="9"/>
  <c r="I473" i="9"/>
  <c r="H473" i="9"/>
  <c r="G473" i="9"/>
  <c r="F473" i="9"/>
  <c r="E473" i="9"/>
  <c r="D473" i="9"/>
  <c r="C473" i="9"/>
  <c r="B473" i="9"/>
  <c r="K451" i="9"/>
  <c r="J451" i="9"/>
  <c r="I451" i="9"/>
  <c r="H451" i="9"/>
  <c r="G451" i="9"/>
  <c r="F451" i="9"/>
  <c r="E451" i="9"/>
  <c r="D451" i="9"/>
  <c r="C451" i="9"/>
  <c r="B451" i="9"/>
  <c r="K426" i="9"/>
  <c r="J426" i="9"/>
  <c r="I426" i="9"/>
  <c r="H426" i="9"/>
  <c r="G426" i="9"/>
  <c r="F426" i="9"/>
  <c r="E426" i="9"/>
  <c r="D426" i="9"/>
  <c r="C426" i="9"/>
  <c r="B426" i="9"/>
  <c r="K404" i="9"/>
  <c r="J404" i="9"/>
  <c r="I404" i="9"/>
  <c r="H404" i="9"/>
  <c r="G404" i="9"/>
  <c r="F404" i="9"/>
  <c r="E404" i="9"/>
  <c r="D404" i="9"/>
  <c r="C404" i="9"/>
  <c r="B404" i="9"/>
  <c r="B364" i="9"/>
  <c r="B545" i="9" s="1"/>
  <c r="K312" i="9"/>
  <c r="K364" i="9" s="1"/>
  <c r="K545" i="9" s="1"/>
  <c r="J312" i="9"/>
  <c r="J364" i="9" s="1"/>
  <c r="J545" i="9" s="1"/>
  <c r="I312" i="9"/>
  <c r="I364" i="9" s="1"/>
  <c r="I545" i="9" s="1"/>
  <c r="H312" i="9"/>
  <c r="H364" i="9" s="1"/>
  <c r="H545" i="9" s="1"/>
  <c r="G312" i="9"/>
  <c r="G364" i="9" s="1"/>
  <c r="G545" i="9" s="1"/>
  <c r="F312" i="9"/>
  <c r="F520" i="9" s="1"/>
  <c r="E312" i="9"/>
  <c r="E364" i="9" s="1"/>
  <c r="E545" i="9" s="1"/>
  <c r="D312" i="9"/>
  <c r="D364" i="9" s="1"/>
  <c r="D545" i="9" s="1"/>
  <c r="C312" i="9"/>
  <c r="C364" i="9" s="1"/>
  <c r="C545" i="9" s="1"/>
  <c r="L260" i="9"/>
  <c r="L90" i="22" s="1"/>
  <c r="L240" i="22" s="1"/>
  <c r="L208" i="9"/>
  <c r="L473" i="9" s="1"/>
  <c r="E23" i="8" s="1"/>
  <c r="L156" i="9"/>
  <c r="L451" i="9" s="1"/>
  <c r="D23" i="8" s="1"/>
  <c r="L104" i="9"/>
  <c r="L426" i="9" s="1"/>
  <c r="C23" i="8" s="1"/>
  <c r="L52" i="9"/>
  <c r="L404" i="9" s="1"/>
  <c r="B23" i="8" s="1"/>
  <c r="X404" i="7"/>
  <c r="W404" i="7"/>
  <c r="V404" i="7"/>
  <c r="U404" i="7"/>
  <c r="T404" i="7"/>
  <c r="S404" i="7"/>
  <c r="R404" i="7"/>
  <c r="Q404" i="7"/>
  <c r="P404" i="7"/>
  <c r="O404" i="7"/>
  <c r="N404" i="7"/>
  <c r="K404" i="7"/>
  <c r="J404" i="7"/>
  <c r="I404" i="7"/>
  <c r="H404" i="7"/>
  <c r="G404" i="7"/>
  <c r="F404" i="7"/>
  <c r="E404" i="7"/>
  <c r="D404" i="7"/>
  <c r="C404" i="7"/>
  <c r="B404" i="7"/>
  <c r="W380" i="7"/>
  <c r="V380" i="7"/>
  <c r="U380" i="7"/>
  <c r="T380" i="7"/>
  <c r="S380" i="7"/>
  <c r="R380" i="7"/>
  <c r="Q380" i="7"/>
  <c r="P380" i="7"/>
  <c r="O380" i="7"/>
  <c r="N380" i="7"/>
  <c r="K380" i="7"/>
  <c r="J380" i="7"/>
  <c r="I380" i="7"/>
  <c r="H380" i="7"/>
  <c r="G380" i="7"/>
  <c r="F380" i="7"/>
  <c r="E380" i="7"/>
  <c r="D380" i="7"/>
  <c r="C380" i="7"/>
  <c r="B380" i="7"/>
  <c r="W359" i="7"/>
  <c r="V359" i="7"/>
  <c r="U359" i="7"/>
  <c r="T359" i="7"/>
  <c r="S359" i="7"/>
  <c r="R359" i="7"/>
  <c r="Q359" i="7"/>
  <c r="P359" i="7"/>
  <c r="O359" i="7"/>
  <c r="N359" i="7"/>
  <c r="K359" i="7"/>
  <c r="J359" i="7"/>
  <c r="I359" i="7"/>
  <c r="H359" i="7"/>
  <c r="G359" i="7"/>
  <c r="F359" i="7"/>
  <c r="E359" i="7"/>
  <c r="D359" i="7"/>
  <c r="C359" i="7"/>
  <c r="B359" i="7"/>
  <c r="X335" i="7"/>
  <c r="W335" i="7"/>
  <c r="V335" i="7"/>
  <c r="U335" i="7"/>
  <c r="T335" i="7"/>
  <c r="S335" i="7"/>
  <c r="R335" i="7"/>
  <c r="Q335" i="7"/>
  <c r="P335" i="7"/>
  <c r="O335" i="7"/>
  <c r="N335" i="7"/>
  <c r="L335" i="7"/>
  <c r="K335" i="7"/>
  <c r="J335" i="7"/>
  <c r="I335" i="7"/>
  <c r="H335" i="7"/>
  <c r="G335" i="7"/>
  <c r="F335" i="7"/>
  <c r="E335" i="7"/>
  <c r="D335" i="7"/>
  <c r="C335" i="7"/>
  <c r="B335" i="7"/>
  <c r="X314" i="7"/>
  <c r="W314" i="7"/>
  <c r="V314" i="7"/>
  <c r="U314" i="7"/>
  <c r="T314" i="7"/>
  <c r="S314" i="7"/>
  <c r="R314" i="7"/>
  <c r="Q314" i="7"/>
  <c r="P314" i="7"/>
  <c r="O314" i="7"/>
  <c r="N314" i="7"/>
  <c r="L314" i="7"/>
  <c r="K314" i="7"/>
  <c r="J314" i="7"/>
  <c r="I314" i="7"/>
  <c r="H314" i="7"/>
  <c r="G314" i="7"/>
  <c r="F314" i="7"/>
  <c r="E314" i="7"/>
  <c r="D314" i="7"/>
  <c r="C314" i="7"/>
  <c r="B314" i="7"/>
  <c r="W282" i="7"/>
  <c r="W425" i="7" s="1"/>
  <c r="V282" i="7"/>
  <c r="V425" i="7" s="1"/>
  <c r="U282" i="7"/>
  <c r="U425" i="7" s="1"/>
  <c r="T282" i="7"/>
  <c r="T425" i="7" s="1"/>
  <c r="S282" i="7"/>
  <c r="S425" i="7" s="1"/>
  <c r="R282" i="7"/>
  <c r="R425" i="7" s="1"/>
  <c r="Q282" i="7"/>
  <c r="Q425" i="7" s="1"/>
  <c r="P282" i="7"/>
  <c r="P425" i="7" s="1"/>
  <c r="O282" i="7"/>
  <c r="O425" i="7" s="1"/>
  <c r="N282" i="7"/>
  <c r="N425" i="7" s="1"/>
  <c r="K282" i="7"/>
  <c r="K425" i="7" s="1"/>
  <c r="J282" i="7"/>
  <c r="J425" i="7" s="1"/>
  <c r="I282" i="7"/>
  <c r="I425" i="7" s="1"/>
  <c r="H282" i="7"/>
  <c r="H425" i="7" s="1"/>
  <c r="G282" i="7"/>
  <c r="G425" i="7" s="1"/>
  <c r="F282" i="7"/>
  <c r="F425" i="7" s="1"/>
  <c r="E282" i="7"/>
  <c r="E425" i="7" s="1"/>
  <c r="D282" i="7"/>
  <c r="D425" i="7" s="1"/>
  <c r="C282" i="7"/>
  <c r="C425" i="7" s="1"/>
  <c r="B282" i="7"/>
  <c r="B425" i="7" s="1"/>
  <c r="L235" i="7"/>
  <c r="L404" i="7" s="1"/>
  <c r="X188" i="7"/>
  <c r="X380" i="7" s="1"/>
  <c r="L188" i="7"/>
  <c r="X141" i="7"/>
  <c r="L141" i="7"/>
  <c r="L141" i="25" s="1"/>
  <c r="L265" i="25" s="1"/>
  <c r="K401" i="6"/>
  <c r="J401" i="6"/>
  <c r="I401" i="6"/>
  <c r="H401" i="6"/>
  <c r="G401" i="6"/>
  <c r="F401" i="6"/>
  <c r="E401" i="6"/>
  <c r="D401" i="6"/>
  <c r="C401" i="6"/>
  <c r="B401" i="6"/>
  <c r="K378" i="6"/>
  <c r="J378" i="6"/>
  <c r="I378" i="6"/>
  <c r="H378" i="6"/>
  <c r="G378" i="6"/>
  <c r="F378" i="6"/>
  <c r="E378" i="6"/>
  <c r="D378" i="6"/>
  <c r="C378" i="6"/>
  <c r="B378" i="6"/>
  <c r="L357" i="6"/>
  <c r="K357" i="6"/>
  <c r="J357" i="6"/>
  <c r="I357" i="6"/>
  <c r="H357" i="6"/>
  <c r="G357" i="6"/>
  <c r="F357" i="6"/>
  <c r="E357" i="6"/>
  <c r="D357" i="6"/>
  <c r="C357" i="6"/>
  <c r="B357" i="6"/>
  <c r="L334" i="6"/>
  <c r="K334" i="6"/>
  <c r="J334" i="6"/>
  <c r="I334" i="6"/>
  <c r="H334" i="6"/>
  <c r="G334" i="6"/>
  <c r="F334" i="6"/>
  <c r="E334" i="6"/>
  <c r="D334" i="6"/>
  <c r="C334" i="6"/>
  <c r="B334" i="6"/>
  <c r="L313" i="6"/>
  <c r="K313" i="6"/>
  <c r="J313" i="6"/>
  <c r="I313" i="6"/>
  <c r="H313" i="6"/>
  <c r="G313" i="6"/>
  <c r="F313" i="6"/>
  <c r="E313" i="6"/>
  <c r="D313" i="6"/>
  <c r="C313" i="6"/>
  <c r="B313" i="6"/>
  <c r="K282" i="6"/>
  <c r="K422" i="6" s="1"/>
  <c r="J282" i="6"/>
  <c r="J422" i="6" s="1"/>
  <c r="I282" i="6"/>
  <c r="I422" i="6" s="1"/>
  <c r="H282" i="6"/>
  <c r="H422" i="6" s="1"/>
  <c r="G282" i="6"/>
  <c r="G422" i="6" s="1"/>
  <c r="F282" i="6"/>
  <c r="F422" i="6" s="1"/>
  <c r="E282" i="6"/>
  <c r="E422" i="6" s="1"/>
  <c r="D282" i="6"/>
  <c r="D422" i="6" s="1"/>
  <c r="C282" i="6"/>
  <c r="C422" i="6" s="1"/>
  <c r="B282" i="6"/>
  <c r="B422" i="6" s="1"/>
  <c r="L235" i="6"/>
  <c r="L188" i="6"/>
  <c r="R415" i="5"/>
  <c r="Q415" i="5"/>
  <c r="P415" i="5"/>
  <c r="O415" i="5"/>
  <c r="N415" i="5"/>
  <c r="M415" i="5"/>
  <c r="L415" i="5"/>
  <c r="K415" i="5"/>
  <c r="H415" i="5"/>
  <c r="G415" i="5"/>
  <c r="F415" i="5"/>
  <c r="E415" i="5"/>
  <c r="D415" i="5"/>
  <c r="C415" i="5"/>
  <c r="B415" i="5"/>
  <c r="R391" i="5"/>
  <c r="Q391" i="5"/>
  <c r="P391" i="5"/>
  <c r="O391" i="5"/>
  <c r="N391" i="5"/>
  <c r="M391" i="5"/>
  <c r="L391" i="5"/>
  <c r="K391" i="5"/>
  <c r="H391" i="5"/>
  <c r="G391" i="5"/>
  <c r="F391" i="5"/>
  <c r="E391" i="5"/>
  <c r="D391" i="5"/>
  <c r="C391" i="5"/>
  <c r="B391" i="5"/>
  <c r="R370" i="5"/>
  <c r="Q370" i="5"/>
  <c r="P370" i="5"/>
  <c r="O370" i="5"/>
  <c r="N370" i="5"/>
  <c r="M370" i="5"/>
  <c r="L370" i="5"/>
  <c r="K370" i="5"/>
  <c r="H370" i="5"/>
  <c r="G370" i="5"/>
  <c r="F370" i="5"/>
  <c r="E370" i="5"/>
  <c r="D370" i="5"/>
  <c r="C370" i="5"/>
  <c r="B370" i="5"/>
  <c r="R346" i="5"/>
  <c r="Q346" i="5"/>
  <c r="P346" i="5"/>
  <c r="O346" i="5"/>
  <c r="N346" i="5"/>
  <c r="M346" i="5"/>
  <c r="L346" i="5"/>
  <c r="K346" i="5"/>
  <c r="I346" i="5"/>
  <c r="H346" i="5"/>
  <c r="G346" i="5"/>
  <c r="F346" i="5"/>
  <c r="E346" i="5"/>
  <c r="D346" i="5"/>
  <c r="C346" i="5"/>
  <c r="B346" i="5"/>
  <c r="R325" i="5"/>
  <c r="Q325" i="5"/>
  <c r="P325" i="5"/>
  <c r="O325" i="5"/>
  <c r="N325" i="5"/>
  <c r="M325" i="5"/>
  <c r="L325" i="5"/>
  <c r="K325" i="5"/>
  <c r="H325" i="5"/>
  <c r="G325" i="5"/>
  <c r="F325" i="5"/>
  <c r="E325" i="5"/>
  <c r="D325" i="5"/>
  <c r="C325" i="5"/>
  <c r="B325" i="5"/>
  <c r="R282" i="5"/>
  <c r="H62" i="3" s="1"/>
  <c r="Q282" i="5"/>
  <c r="Q436" i="5" s="1"/>
  <c r="P282" i="5"/>
  <c r="P436" i="5" s="1"/>
  <c r="O282" i="5"/>
  <c r="O436" i="5" s="1"/>
  <c r="N282" i="5"/>
  <c r="N436" i="5" s="1"/>
  <c r="M282" i="5"/>
  <c r="M436" i="5" s="1"/>
  <c r="L282" i="5"/>
  <c r="L436" i="5" s="1"/>
  <c r="K282" i="5"/>
  <c r="K436" i="5" s="1"/>
  <c r="H282" i="5"/>
  <c r="H436" i="5" s="1"/>
  <c r="G282" i="5"/>
  <c r="G436" i="5" s="1"/>
  <c r="F282" i="5"/>
  <c r="F436" i="5" s="1"/>
  <c r="E282" i="5"/>
  <c r="E436" i="5" s="1"/>
  <c r="D282" i="5"/>
  <c r="D436" i="5" s="1"/>
  <c r="C282" i="5"/>
  <c r="C436" i="5" s="1"/>
  <c r="B282" i="5"/>
  <c r="B436" i="5" s="1"/>
  <c r="I235" i="5"/>
  <c r="I415" i="5" s="1"/>
  <c r="I188" i="5"/>
  <c r="E41" i="3" s="1"/>
  <c r="I141" i="5"/>
  <c r="I370" i="5" s="1"/>
  <c r="B41" i="3"/>
  <c r="H403" i="4"/>
  <c r="G403" i="4"/>
  <c r="F403" i="4"/>
  <c r="E403" i="4"/>
  <c r="D403" i="4"/>
  <c r="C403" i="4"/>
  <c r="B403" i="4"/>
  <c r="H382" i="4"/>
  <c r="G382" i="4"/>
  <c r="F382" i="4"/>
  <c r="E382" i="4"/>
  <c r="D382" i="4"/>
  <c r="C382" i="4"/>
  <c r="B382" i="4"/>
  <c r="H359" i="4"/>
  <c r="G359" i="4"/>
  <c r="F359" i="4"/>
  <c r="E359" i="4"/>
  <c r="D359" i="4"/>
  <c r="C359" i="4"/>
  <c r="B359" i="4"/>
  <c r="I338" i="4"/>
  <c r="H338" i="4"/>
  <c r="G338" i="4"/>
  <c r="F338" i="4"/>
  <c r="E338" i="4"/>
  <c r="D338" i="4"/>
  <c r="C338" i="4"/>
  <c r="B338" i="4"/>
  <c r="I317" i="4"/>
  <c r="H317" i="4"/>
  <c r="G317" i="4"/>
  <c r="F317" i="4"/>
  <c r="E317" i="4"/>
  <c r="D317" i="4"/>
  <c r="C317" i="4"/>
  <c r="B317" i="4"/>
  <c r="H269" i="4"/>
  <c r="H424" i="4" s="1"/>
  <c r="G269" i="4"/>
  <c r="G424" i="4" s="1"/>
  <c r="F269" i="4"/>
  <c r="F424" i="4" s="1"/>
  <c r="E269" i="4"/>
  <c r="E424" i="4" s="1"/>
  <c r="D269" i="4"/>
  <c r="D424" i="4" s="1"/>
  <c r="C269" i="4"/>
  <c r="C424" i="4" s="1"/>
  <c r="B269" i="4"/>
  <c r="B424" i="4" s="1"/>
  <c r="I224" i="4"/>
  <c r="I403" i="4" s="1"/>
  <c r="I179" i="4"/>
  <c r="I382" i="4" s="1"/>
  <c r="I134" i="4"/>
  <c r="D20" i="3" s="1"/>
  <c r="D230" i="18" l="1"/>
  <c r="H230" i="18"/>
  <c r="H368" i="16"/>
  <c r="B235" i="27"/>
  <c r="B457" i="27" s="1"/>
  <c r="H201" i="28"/>
  <c r="H47" i="26"/>
  <c r="H363" i="26" s="1"/>
  <c r="F235" i="27"/>
  <c r="F457" i="27" s="1"/>
  <c r="R188" i="23"/>
  <c r="R287" i="23" s="1"/>
  <c r="K235" i="27"/>
  <c r="K457" i="27" s="1"/>
  <c r="P188" i="27"/>
  <c r="P432" i="27" s="1"/>
  <c r="X141" i="25"/>
  <c r="X265" i="25" s="1"/>
  <c r="C282" i="26"/>
  <c r="C476" i="26" s="1"/>
  <c r="D241" i="21"/>
  <c r="H241" i="21"/>
  <c r="M282" i="27"/>
  <c r="M479" i="27" s="1"/>
  <c r="J236" i="17"/>
  <c r="H282" i="27" s="1"/>
  <c r="H479" i="27" s="1"/>
  <c r="P47" i="27"/>
  <c r="P363" i="27" s="1"/>
  <c r="R47" i="30"/>
  <c r="R192" i="30" s="1"/>
  <c r="D282" i="27"/>
  <c r="D479" i="27" s="1"/>
  <c r="E145" i="28"/>
  <c r="E279" i="28" s="1"/>
  <c r="L140" i="24"/>
  <c r="L265" i="24" s="1"/>
  <c r="I325" i="5"/>
  <c r="I391" i="5"/>
  <c r="R436" i="5"/>
  <c r="L378" i="6"/>
  <c r="X282" i="7"/>
  <c r="C520" i="9"/>
  <c r="G520" i="9"/>
  <c r="K520" i="9"/>
  <c r="S548" i="10"/>
  <c r="B664" i="10"/>
  <c r="F664" i="10"/>
  <c r="J664" i="10"/>
  <c r="O664" i="10"/>
  <c r="C330" i="11"/>
  <c r="C533" i="11" s="1"/>
  <c r="B509" i="11"/>
  <c r="F509" i="11"/>
  <c r="K494" i="12"/>
  <c r="K283" i="12"/>
  <c r="H330" i="12"/>
  <c r="H542" i="12" s="1"/>
  <c r="H516" i="12"/>
  <c r="S283" i="12"/>
  <c r="S516" i="12" s="1"/>
  <c r="K47" i="16"/>
  <c r="K277" i="16" s="1"/>
  <c r="I235" i="16"/>
  <c r="I368" i="16" s="1"/>
  <c r="I277" i="16"/>
  <c r="E282" i="26"/>
  <c r="E476" i="26" s="1"/>
  <c r="F368" i="16"/>
  <c r="H94" i="27"/>
  <c r="D145" i="28"/>
  <c r="D279" i="28" s="1"/>
  <c r="E230" i="18"/>
  <c r="I46" i="29"/>
  <c r="I182" i="29" s="1"/>
  <c r="E20" i="3"/>
  <c r="B46" i="8"/>
  <c r="X47" i="25"/>
  <c r="X218" i="25" s="1"/>
  <c r="K188" i="25"/>
  <c r="K287" i="25" s="1"/>
  <c r="K265" i="25"/>
  <c r="H94" i="26"/>
  <c r="I359" i="4"/>
  <c r="I282" i="5"/>
  <c r="F41" i="3"/>
  <c r="L282" i="7"/>
  <c r="L380" i="7"/>
  <c r="D520" i="9"/>
  <c r="H520" i="9"/>
  <c r="L426" i="10"/>
  <c r="E46" i="8"/>
  <c r="L642" i="10"/>
  <c r="C664" i="10"/>
  <c r="G664" i="10"/>
  <c r="K664" i="10"/>
  <c r="P664" i="10"/>
  <c r="G330" i="11"/>
  <c r="G533" i="11" s="1"/>
  <c r="S398" i="12"/>
  <c r="S330" i="12"/>
  <c r="S542" i="12" s="1"/>
  <c r="G236" i="32"/>
  <c r="G341" i="32"/>
  <c r="B45" i="13" s="1"/>
  <c r="J349" i="17"/>
  <c r="O375" i="17"/>
  <c r="I47" i="30"/>
  <c r="I192" i="30" s="1"/>
  <c r="I269" i="4"/>
  <c r="F20" i="3"/>
  <c r="L282" i="6"/>
  <c r="X359" i="7"/>
  <c r="L45" i="22"/>
  <c r="L218" i="22" s="1"/>
  <c r="F364" i="9"/>
  <c r="F545" i="9" s="1"/>
  <c r="L498" i="9"/>
  <c r="F23" i="8" s="1"/>
  <c r="E520" i="9"/>
  <c r="I520" i="9"/>
  <c r="L94" i="23"/>
  <c r="L240" i="23" s="1"/>
  <c r="D664" i="10"/>
  <c r="H664" i="10"/>
  <c r="Q664" i="10"/>
  <c r="D509" i="11"/>
  <c r="H509" i="11"/>
  <c r="L47" i="25"/>
  <c r="L218" i="25" s="1"/>
  <c r="D516" i="12"/>
  <c r="S375" i="17"/>
  <c r="B23" i="13"/>
  <c r="H49" i="28"/>
  <c r="L141" i="23"/>
  <c r="L265" i="23" s="1"/>
  <c r="D41" i="3"/>
  <c r="L401" i="6"/>
  <c r="L359" i="7"/>
  <c r="L312" i="9"/>
  <c r="J520" i="9"/>
  <c r="L47" i="23"/>
  <c r="L218" i="23" s="1"/>
  <c r="C46" i="8"/>
  <c r="I497" i="10"/>
  <c r="I689" i="10" s="1"/>
  <c r="L570" i="10"/>
  <c r="L595" i="10"/>
  <c r="E664" i="10"/>
  <c r="N664" i="10"/>
  <c r="R664" i="10"/>
  <c r="L46" i="24"/>
  <c r="L218" i="24" s="1"/>
  <c r="K283" i="11"/>
  <c r="E509" i="11"/>
  <c r="I509" i="11"/>
  <c r="C330" i="12"/>
  <c r="C542" i="12" s="1"/>
  <c r="C516" i="12"/>
  <c r="G330" i="12"/>
  <c r="G542" i="12" s="1"/>
  <c r="G516" i="12"/>
  <c r="H47" i="27"/>
  <c r="H363" i="27" s="1"/>
  <c r="J235" i="16"/>
  <c r="K48" i="17"/>
  <c r="K279" i="17" s="1"/>
  <c r="I279" i="17"/>
  <c r="I236" i="17"/>
  <c r="I375" i="17" s="1"/>
  <c r="F375" i="17"/>
  <c r="J213" i="18"/>
  <c r="H145" i="28"/>
  <c r="H279" i="28" s="1"/>
  <c r="M516" i="12"/>
  <c r="H277" i="14"/>
  <c r="E23" i="13" s="1"/>
  <c r="N236" i="32"/>
  <c r="E45" i="13"/>
  <c r="E368" i="16"/>
  <c r="K236" i="17"/>
  <c r="K375" i="17" s="1"/>
  <c r="C375" i="17"/>
  <c r="G375" i="17"/>
  <c r="P375" i="17"/>
  <c r="I277" i="19"/>
  <c r="I235" i="20"/>
  <c r="I372" i="20" s="1"/>
  <c r="I347" i="20"/>
  <c r="I278" i="20"/>
  <c r="R278" i="20"/>
  <c r="P94" i="27"/>
  <c r="J282" i="27"/>
  <c r="J479" i="27" s="1"/>
  <c r="N282" i="27"/>
  <c r="N479" i="27" s="1"/>
  <c r="B145" i="28"/>
  <c r="B279" i="28" s="1"/>
  <c r="F145" i="28"/>
  <c r="F279" i="28" s="1"/>
  <c r="P516" i="12"/>
  <c r="U236" i="17"/>
  <c r="D375" i="17"/>
  <c r="H375" i="17"/>
  <c r="I234" i="19"/>
  <c r="R235" i="20"/>
  <c r="R372" i="20" s="1"/>
  <c r="Q516" i="12"/>
  <c r="H235" i="14"/>
  <c r="H321" i="14"/>
  <c r="C23" i="13" s="1"/>
  <c r="E71" i="13"/>
  <c r="N341" i="32"/>
  <c r="B71" i="13" s="1"/>
  <c r="C368" i="16"/>
  <c r="G368" i="16"/>
  <c r="V236" i="17"/>
  <c r="G329" i="27"/>
  <c r="G504" i="27" s="1"/>
  <c r="I93" i="29"/>
  <c r="I204" i="29" s="1"/>
  <c r="I94" i="30"/>
  <c r="I214" i="30" s="1"/>
  <c r="R94" i="30"/>
  <c r="R214" i="30" s="1"/>
  <c r="B141" i="30"/>
  <c r="B239" i="30" s="1"/>
  <c r="F141" i="30"/>
  <c r="F239" i="30" s="1"/>
  <c r="K141" i="30"/>
  <c r="K239" i="30" s="1"/>
  <c r="O141" i="30"/>
  <c r="O239" i="30" s="1"/>
  <c r="C141" i="30"/>
  <c r="C239" i="30" s="1"/>
  <c r="G141" i="30"/>
  <c r="G239" i="30" s="1"/>
  <c r="L141" i="30"/>
  <c r="L239" i="30" s="1"/>
  <c r="P141" i="30"/>
  <c r="P239" i="30" s="1"/>
  <c r="D141" i="30"/>
  <c r="D239" i="30" s="1"/>
  <c r="H141" i="30"/>
  <c r="H239" i="30" s="1"/>
  <c r="M141" i="30"/>
  <c r="M239" i="30" s="1"/>
  <c r="Q141" i="30"/>
  <c r="Q239" i="30" s="1"/>
  <c r="E141" i="30"/>
  <c r="E239" i="30" s="1"/>
  <c r="N141" i="30"/>
  <c r="N239" i="30" s="1"/>
  <c r="B140" i="29"/>
  <c r="B226" i="29" s="1"/>
  <c r="F140" i="29"/>
  <c r="F226" i="29" s="1"/>
  <c r="C140" i="29"/>
  <c r="C226" i="29" s="1"/>
  <c r="G140" i="29"/>
  <c r="G226" i="29" s="1"/>
  <c r="D140" i="29"/>
  <c r="D226" i="29" s="1"/>
  <c r="H140" i="29"/>
  <c r="H226" i="29" s="1"/>
  <c r="E140" i="29"/>
  <c r="E226" i="29" s="1"/>
  <c r="G279" i="28"/>
  <c r="D121" i="28"/>
  <c r="G216" i="28"/>
  <c r="D201" i="28"/>
  <c r="C121" i="28"/>
  <c r="E73" i="28"/>
  <c r="E231" i="28" s="1"/>
  <c r="B121" i="28"/>
  <c r="F121" i="28"/>
  <c r="E121" i="28"/>
  <c r="H97" i="28"/>
  <c r="B73" i="28"/>
  <c r="B231" i="28" s="1"/>
  <c r="F73" i="28"/>
  <c r="F231" i="28" s="1"/>
  <c r="C73" i="28"/>
  <c r="C231" i="28" s="1"/>
  <c r="I25" i="28"/>
  <c r="D73" i="28"/>
  <c r="D231" i="28" s="1"/>
  <c r="G457" i="27"/>
  <c r="G385" i="27"/>
  <c r="O432" i="27"/>
  <c r="K432" i="27"/>
  <c r="G432" i="27"/>
  <c r="J385" i="27"/>
  <c r="K385" i="27"/>
  <c r="O385" i="27"/>
  <c r="O329" i="27"/>
  <c r="O504" i="27" s="1"/>
  <c r="B363" i="27"/>
  <c r="F363" i="27"/>
  <c r="L235" i="27"/>
  <c r="E329" i="27"/>
  <c r="E504" i="27" s="1"/>
  <c r="E363" i="27"/>
  <c r="M235" i="27"/>
  <c r="M141" i="27"/>
  <c r="M410" i="27" s="1"/>
  <c r="C235" i="27"/>
  <c r="N235" i="27"/>
  <c r="D141" i="27"/>
  <c r="D410" i="27" s="1"/>
  <c r="B141" i="27"/>
  <c r="B410" i="27" s="1"/>
  <c r="F141" i="27"/>
  <c r="F410" i="27" s="1"/>
  <c r="D235" i="27"/>
  <c r="L141" i="27"/>
  <c r="L410" i="27" s="1"/>
  <c r="H188" i="27"/>
  <c r="C141" i="27"/>
  <c r="C410" i="27" s="1"/>
  <c r="E141" i="27"/>
  <c r="E410" i="27" s="1"/>
  <c r="N141" i="27"/>
  <c r="N410" i="27" s="1"/>
  <c r="F235" i="26"/>
  <c r="D141" i="26"/>
  <c r="D407" i="26" s="1"/>
  <c r="D235" i="26"/>
  <c r="H188" i="26"/>
  <c r="E235" i="26"/>
  <c r="B141" i="26"/>
  <c r="B407" i="26" s="1"/>
  <c r="C235" i="26"/>
  <c r="G235" i="26"/>
  <c r="F141" i="26"/>
  <c r="F407" i="26" s="1"/>
  <c r="C141" i="26"/>
  <c r="C407" i="26" s="1"/>
  <c r="G141" i="26"/>
  <c r="G407" i="26" s="1"/>
  <c r="B235" i="26"/>
  <c r="E141" i="26"/>
  <c r="E407" i="26" s="1"/>
  <c r="C188" i="25"/>
  <c r="C287" i="25" s="1"/>
  <c r="G188" i="25"/>
  <c r="G287" i="25" s="1"/>
  <c r="G265" i="25"/>
  <c r="B265" i="25"/>
  <c r="F188" i="25"/>
  <c r="F287" i="25" s="1"/>
  <c r="J188" i="25"/>
  <c r="J287" i="25" s="1"/>
  <c r="O188" i="25"/>
  <c r="O287" i="25" s="1"/>
  <c r="S188" i="25"/>
  <c r="S287" i="25" s="1"/>
  <c r="W188" i="25"/>
  <c r="W287" i="25" s="1"/>
  <c r="D188" i="25"/>
  <c r="D287" i="25" s="1"/>
  <c r="H188" i="25"/>
  <c r="H287" i="25" s="1"/>
  <c r="P188" i="25"/>
  <c r="P287" i="25" s="1"/>
  <c r="T188" i="25"/>
  <c r="T287" i="25" s="1"/>
  <c r="Q188" i="25"/>
  <c r="Q287" i="25" s="1"/>
  <c r="U188" i="25"/>
  <c r="U287" i="25" s="1"/>
  <c r="E188" i="25"/>
  <c r="E287" i="25" s="1"/>
  <c r="I188" i="25"/>
  <c r="I287" i="25" s="1"/>
  <c r="N188" i="25"/>
  <c r="N287" i="25" s="1"/>
  <c r="R188" i="25"/>
  <c r="R287" i="25" s="1"/>
  <c r="V188" i="25"/>
  <c r="V287" i="25" s="1"/>
  <c r="L94" i="25"/>
  <c r="X94" i="25"/>
  <c r="D187" i="24"/>
  <c r="D287" i="24" s="1"/>
  <c r="H187" i="24"/>
  <c r="H287" i="24" s="1"/>
  <c r="B187" i="24"/>
  <c r="B287" i="24" s="1"/>
  <c r="H240" i="24"/>
  <c r="F187" i="24"/>
  <c r="F287" i="24" s="1"/>
  <c r="J187" i="24"/>
  <c r="J287" i="24" s="1"/>
  <c r="E187" i="24"/>
  <c r="E287" i="24" s="1"/>
  <c r="I187" i="24"/>
  <c r="I287" i="24" s="1"/>
  <c r="C187" i="24"/>
  <c r="C287" i="24" s="1"/>
  <c r="G187" i="24"/>
  <c r="G287" i="24" s="1"/>
  <c r="L93" i="24"/>
  <c r="Q188" i="23"/>
  <c r="Q287" i="23" s="1"/>
  <c r="E188" i="23"/>
  <c r="E287" i="23" s="1"/>
  <c r="I188" i="23"/>
  <c r="I287" i="23" s="1"/>
  <c r="K188" i="23"/>
  <c r="K287" i="23" s="1"/>
  <c r="F188" i="23"/>
  <c r="F287" i="23" s="1"/>
  <c r="T218" i="23"/>
  <c r="C188" i="23"/>
  <c r="C287" i="23" s="1"/>
  <c r="G188" i="23"/>
  <c r="G287" i="23" s="1"/>
  <c r="U218" i="23"/>
  <c r="R218" i="23"/>
  <c r="B188" i="23"/>
  <c r="B287" i="23" s="1"/>
  <c r="J188" i="23"/>
  <c r="J287" i="23" s="1"/>
  <c r="D188" i="23"/>
  <c r="D287" i="23" s="1"/>
  <c r="H188" i="23"/>
  <c r="H287" i="23" s="1"/>
  <c r="S218" i="23"/>
  <c r="K180" i="22"/>
  <c r="K287" i="22" s="1"/>
  <c r="E180" i="22"/>
  <c r="E287" i="22" s="1"/>
  <c r="I180" i="22"/>
  <c r="I287" i="22" s="1"/>
  <c r="C180" i="22"/>
  <c r="C287" i="22" s="1"/>
  <c r="G180" i="22"/>
  <c r="G287" i="22" s="1"/>
  <c r="B180" i="22"/>
  <c r="B287" i="22" s="1"/>
  <c r="J180" i="22"/>
  <c r="J287" i="22" s="1"/>
  <c r="D180" i="22"/>
  <c r="D287" i="22" s="1"/>
  <c r="H180" i="22"/>
  <c r="H287" i="22" s="1"/>
  <c r="L135" i="22"/>
  <c r="F180" i="22"/>
  <c r="F287" i="22" s="1"/>
  <c r="I121" i="21"/>
  <c r="E516" i="12"/>
  <c r="I516" i="12"/>
  <c r="N516" i="12"/>
  <c r="R516" i="12"/>
  <c r="B516" i="12"/>
  <c r="F516" i="12"/>
  <c r="O516" i="12"/>
  <c r="S497" i="10"/>
  <c r="J375" i="17" l="1"/>
  <c r="F329" i="27"/>
  <c r="F504" i="27" s="1"/>
  <c r="J329" i="27"/>
  <c r="J504" i="27" s="1"/>
  <c r="K329" i="27"/>
  <c r="K504" i="27" s="1"/>
  <c r="R141" i="30"/>
  <c r="R239" i="30" s="1"/>
  <c r="I367" i="19"/>
  <c r="H216" i="28"/>
  <c r="P385" i="27"/>
  <c r="V375" i="17"/>
  <c r="H385" i="27"/>
  <c r="H385" i="26"/>
  <c r="B329" i="27"/>
  <c r="B504" i="27" s="1"/>
  <c r="H141" i="27"/>
  <c r="H410" i="27" s="1"/>
  <c r="F71" i="13"/>
  <c r="J71" i="13" s="1"/>
  <c r="F45" i="13"/>
  <c r="J45" i="13" s="1"/>
  <c r="H141" i="26"/>
  <c r="H407" i="26" s="1"/>
  <c r="H369" i="14"/>
  <c r="F23" i="13" s="1"/>
  <c r="J23" i="13" s="1"/>
  <c r="I140" i="29"/>
  <c r="I226" i="29" s="1"/>
  <c r="P235" i="27"/>
  <c r="X425" i="7"/>
  <c r="L425" i="7"/>
  <c r="L422" i="6"/>
  <c r="I436" i="5"/>
  <c r="H41" i="3"/>
  <c r="I424" i="4"/>
  <c r="H20" i="3" s="1"/>
  <c r="P141" i="27"/>
  <c r="P410" i="27" s="1"/>
  <c r="H73" i="28"/>
  <c r="H231" i="28" s="1"/>
  <c r="I141" i="30"/>
  <c r="K235" i="16"/>
  <c r="K368" i="16" s="1"/>
  <c r="L188" i="23"/>
  <c r="L287" i="23" s="1"/>
  <c r="T516" i="12"/>
  <c r="K330" i="12"/>
  <c r="K516" i="12"/>
  <c r="G72" i="8"/>
  <c r="K72" i="8" s="1"/>
  <c r="S689" i="10"/>
  <c r="L364" i="9"/>
  <c r="L520" i="9"/>
  <c r="L497" i="10"/>
  <c r="L664" i="10"/>
  <c r="P282" i="27"/>
  <c r="U375" i="17"/>
  <c r="J368" i="16"/>
  <c r="H282" i="26"/>
  <c r="H476" i="26" s="1"/>
  <c r="K330" i="11"/>
  <c r="K533" i="11" s="1"/>
  <c r="K509" i="11"/>
  <c r="E169" i="28"/>
  <c r="E294" i="28" s="1"/>
  <c r="E264" i="28"/>
  <c r="C169" i="28"/>
  <c r="C294" i="28" s="1"/>
  <c r="C264" i="28"/>
  <c r="F169" i="28"/>
  <c r="F294" i="28" s="1"/>
  <c r="F264" i="28"/>
  <c r="B169" i="28"/>
  <c r="B294" i="28" s="1"/>
  <c r="B264" i="28"/>
  <c r="D169" i="28"/>
  <c r="D294" i="28" s="1"/>
  <c r="D264" i="28"/>
  <c r="H121" i="28"/>
  <c r="H246" i="28"/>
  <c r="D329" i="27"/>
  <c r="D504" i="27" s="1"/>
  <c r="D457" i="27"/>
  <c r="N329" i="27"/>
  <c r="N504" i="27" s="1"/>
  <c r="N457" i="27"/>
  <c r="C329" i="27"/>
  <c r="C504" i="27" s="1"/>
  <c r="C457" i="27"/>
  <c r="M329" i="27"/>
  <c r="M504" i="27" s="1"/>
  <c r="M457" i="27"/>
  <c r="L329" i="27"/>
  <c r="L504" i="27" s="1"/>
  <c r="L457" i="27"/>
  <c r="H235" i="27"/>
  <c r="H432" i="27"/>
  <c r="E329" i="26"/>
  <c r="E501" i="26" s="1"/>
  <c r="E454" i="26"/>
  <c r="C329" i="26"/>
  <c r="C501" i="26" s="1"/>
  <c r="C454" i="26"/>
  <c r="D329" i="26"/>
  <c r="D501" i="26" s="1"/>
  <c r="D454" i="26"/>
  <c r="B329" i="26"/>
  <c r="B501" i="26" s="1"/>
  <c r="B454" i="26"/>
  <c r="G329" i="26"/>
  <c r="G501" i="26" s="1"/>
  <c r="G454" i="26"/>
  <c r="F329" i="26"/>
  <c r="F501" i="26" s="1"/>
  <c r="F454" i="26"/>
  <c r="H235" i="26"/>
  <c r="H432" i="26"/>
  <c r="L188" i="25"/>
  <c r="L287" i="25" s="1"/>
  <c r="L240" i="25"/>
  <c r="X188" i="25"/>
  <c r="X287" i="25" s="1"/>
  <c r="X240" i="25"/>
  <c r="L187" i="24"/>
  <c r="L287" i="24" s="1"/>
  <c r="L240" i="24"/>
  <c r="L180" i="22"/>
  <c r="L287" i="22" s="1"/>
  <c r="L265" i="22"/>
  <c r="K93" i="30"/>
  <c r="L93" i="30"/>
  <c r="M93" i="30"/>
  <c r="N93" i="30"/>
  <c r="O93" i="30"/>
  <c r="P93" i="30"/>
  <c r="Q93" i="30"/>
  <c r="K96" i="30"/>
  <c r="L96" i="30"/>
  <c r="M96" i="30"/>
  <c r="N96" i="30"/>
  <c r="O96" i="30"/>
  <c r="P96" i="30"/>
  <c r="Q96" i="30"/>
  <c r="B93" i="30"/>
  <c r="C93" i="30"/>
  <c r="D93" i="30"/>
  <c r="E93" i="30"/>
  <c r="F93" i="30"/>
  <c r="G93" i="30"/>
  <c r="H93" i="30"/>
  <c r="B96" i="30"/>
  <c r="C96" i="30"/>
  <c r="D96" i="30"/>
  <c r="E96" i="30"/>
  <c r="F96" i="30"/>
  <c r="G96" i="30"/>
  <c r="H96" i="30"/>
  <c r="K542" i="12" l="1"/>
  <c r="I239" i="30"/>
  <c r="P457" i="27"/>
  <c r="L545" i="9"/>
  <c r="G23" i="8" s="1"/>
  <c r="K23" i="8" s="1"/>
  <c r="G46" i="8"/>
  <c r="K46" i="8" s="1"/>
  <c r="L689" i="10"/>
  <c r="P479" i="27"/>
  <c r="P329" i="27"/>
  <c r="P504" i="27" s="1"/>
  <c r="H169" i="28"/>
  <c r="H294" i="28" s="1"/>
  <c r="H264" i="28"/>
  <c r="H329" i="27"/>
  <c r="H504" i="27" s="1"/>
  <c r="H457" i="27"/>
  <c r="H329" i="26"/>
  <c r="H501" i="26" s="1"/>
  <c r="H454" i="26"/>
  <c r="N567" i="10"/>
  <c r="N568" i="10"/>
  <c r="N569" i="10"/>
  <c r="N572" i="10"/>
  <c r="S138" i="10"/>
  <c r="I323" i="16" l="1"/>
  <c r="B457" i="12"/>
  <c r="C457" i="12"/>
  <c r="D457" i="12"/>
  <c r="E457" i="12"/>
  <c r="F457" i="12"/>
  <c r="G457" i="12"/>
  <c r="H457" i="12"/>
  <c r="I457" i="12"/>
  <c r="J457" i="12"/>
  <c r="M457" i="12"/>
  <c r="N457" i="12"/>
  <c r="O457" i="12"/>
  <c r="P457" i="12"/>
  <c r="Q457" i="12"/>
  <c r="R457" i="12"/>
  <c r="B458" i="12"/>
  <c r="C458" i="12"/>
  <c r="D458" i="12"/>
  <c r="E458" i="12"/>
  <c r="F458" i="12"/>
  <c r="G458" i="12"/>
  <c r="H458" i="12"/>
  <c r="I458" i="12"/>
  <c r="J458" i="12"/>
  <c r="M458" i="12"/>
  <c r="N458" i="12"/>
  <c r="O458" i="12"/>
  <c r="P458" i="12"/>
  <c r="Q458" i="12"/>
  <c r="R458" i="12"/>
  <c r="B459" i="12"/>
  <c r="C459" i="12"/>
  <c r="D459" i="12"/>
  <c r="E459" i="12"/>
  <c r="F459" i="12"/>
  <c r="G459" i="12"/>
  <c r="H459" i="12"/>
  <c r="I459" i="12"/>
  <c r="J459" i="12"/>
  <c r="M459" i="12"/>
  <c r="N459" i="12"/>
  <c r="O459" i="12"/>
  <c r="P459" i="12"/>
  <c r="Q459" i="12"/>
  <c r="R459" i="12"/>
  <c r="B460" i="12"/>
  <c r="C460" i="12"/>
  <c r="D460" i="12"/>
  <c r="E460" i="12"/>
  <c r="F460" i="12"/>
  <c r="G460" i="12"/>
  <c r="H460" i="12"/>
  <c r="I460" i="12"/>
  <c r="J460" i="12"/>
  <c r="M460" i="12"/>
  <c r="N460" i="12"/>
  <c r="O460" i="12"/>
  <c r="P460" i="12"/>
  <c r="Q460" i="12"/>
  <c r="R460" i="12"/>
  <c r="B461" i="12"/>
  <c r="C461" i="12"/>
  <c r="D461" i="12"/>
  <c r="E461" i="12"/>
  <c r="F461" i="12"/>
  <c r="G461" i="12"/>
  <c r="H461" i="12"/>
  <c r="I461" i="12"/>
  <c r="J461" i="12"/>
  <c r="M461" i="12"/>
  <c r="N461" i="12"/>
  <c r="O461" i="12"/>
  <c r="P461" i="12"/>
  <c r="Q461" i="12"/>
  <c r="R461" i="12"/>
  <c r="B462" i="12"/>
  <c r="C462" i="12"/>
  <c r="D462" i="12"/>
  <c r="E462" i="12"/>
  <c r="F462" i="12"/>
  <c r="G462" i="12"/>
  <c r="H462" i="12"/>
  <c r="I462" i="12"/>
  <c r="J462" i="12"/>
  <c r="M462" i="12"/>
  <c r="N462" i="12"/>
  <c r="O462" i="12"/>
  <c r="P462" i="12"/>
  <c r="Q462" i="12"/>
  <c r="R462" i="12"/>
  <c r="B463" i="12"/>
  <c r="C463" i="12"/>
  <c r="D463" i="12"/>
  <c r="E463" i="12"/>
  <c r="F463" i="12"/>
  <c r="G463" i="12"/>
  <c r="H463" i="12"/>
  <c r="I463" i="12"/>
  <c r="J463" i="12"/>
  <c r="M463" i="12"/>
  <c r="N463" i="12"/>
  <c r="O463" i="12"/>
  <c r="P463" i="12"/>
  <c r="Q463" i="12"/>
  <c r="R463" i="12"/>
  <c r="B464" i="12"/>
  <c r="C464" i="12"/>
  <c r="D464" i="12"/>
  <c r="E464" i="12"/>
  <c r="F464" i="12"/>
  <c r="G464" i="12"/>
  <c r="H464" i="12"/>
  <c r="I464" i="12"/>
  <c r="J464" i="12"/>
  <c r="M464" i="12"/>
  <c r="N464" i="12"/>
  <c r="O464" i="12"/>
  <c r="P464" i="12"/>
  <c r="Q464" i="12"/>
  <c r="R464" i="12"/>
  <c r="B465" i="12"/>
  <c r="C465" i="12"/>
  <c r="D465" i="12"/>
  <c r="E465" i="12"/>
  <c r="F465" i="12"/>
  <c r="G465" i="12"/>
  <c r="H465" i="12"/>
  <c r="I465" i="12"/>
  <c r="J465" i="12"/>
  <c r="M465" i="12"/>
  <c r="N465" i="12"/>
  <c r="O465" i="12"/>
  <c r="P465" i="12"/>
  <c r="Q465" i="12"/>
  <c r="R465" i="12"/>
  <c r="B466" i="12"/>
  <c r="C466" i="12"/>
  <c r="D466" i="12"/>
  <c r="E466" i="12"/>
  <c r="F466" i="12"/>
  <c r="G466" i="12"/>
  <c r="H466" i="12"/>
  <c r="I466" i="12"/>
  <c r="J466" i="12"/>
  <c r="M466" i="12"/>
  <c r="N466" i="12"/>
  <c r="O466" i="12"/>
  <c r="P466" i="12"/>
  <c r="Q466" i="12"/>
  <c r="R466" i="12"/>
  <c r="B467" i="12"/>
  <c r="C467" i="12"/>
  <c r="D467" i="12"/>
  <c r="E467" i="12"/>
  <c r="F467" i="12"/>
  <c r="G467" i="12"/>
  <c r="H467" i="12"/>
  <c r="I467" i="12"/>
  <c r="J467" i="12"/>
  <c r="M467" i="12"/>
  <c r="N467" i="12"/>
  <c r="O467" i="12"/>
  <c r="P467" i="12"/>
  <c r="Q467" i="12"/>
  <c r="R467" i="12"/>
  <c r="B470" i="12"/>
  <c r="C470" i="12"/>
  <c r="D470" i="12"/>
  <c r="E470" i="12"/>
  <c r="F470" i="12"/>
  <c r="G470" i="12"/>
  <c r="H470" i="12"/>
  <c r="I470" i="12"/>
  <c r="J470" i="12"/>
  <c r="M470" i="12"/>
  <c r="N470" i="12"/>
  <c r="O470" i="12"/>
  <c r="P470" i="12"/>
  <c r="Q470" i="12"/>
  <c r="R470" i="12"/>
  <c r="B435" i="12"/>
  <c r="C435" i="12"/>
  <c r="D435" i="12"/>
  <c r="E435" i="12"/>
  <c r="F435" i="12"/>
  <c r="G435" i="12"/>
  <c r="H435" i="12"/>
  <c r="I435" i="12"/>
  <c r="J435" i="12"/>
  <c r="M435" i="12"/>
  <c r="N435" i="12"/>
  <c r="O435" i="12"/>
  <c r="P435" i="12"/>
  <c r="Q435" i="12"/>
  <c r="R435" i="12"/>
  <c r="B436" i="12"/>
  <c r="C436" i="12"/>
  <c r="D436" i="12"/>
  <c r="E436" i="12"/>
  <c r="F436" i="12"/>
  <c r="G436" i="12"/>
  <c r="H436" i="12"/>
  <c r="I436" i="12"/>
  <c r="J436" i="12"/>
  <c r="M436" i="12"/>
  <c r="N436" i="12"/>
  <c r="O436" i="12"/>
  <c r="P436" i="12"/>
  <c r="Q436" i="12"/>
  <c r="R436" i="12"/>
  <c r="B437" i="12"/>
  <c r="C437" i="12"/>
  <c r="D437" i="12"/>
  <c r="E437" i="12"/>
  <c r="F437" i="12"/>
  <c r="G437" i="12"/>
  <c r="H437" i="12"/>
  <c r="I437" i="12"/>
  <c r="J437" i="12"/>
  <c r="M437" i="12"/>
  <c r="N437" i="12"/>
  <c r="O437" i="12"/>
  <c r="P437" i="12"/>
  <c r="Q437" i="12"/>
  <c r="R437" i="12"/>
  <c r="B438" i="12"/>
  <c r="C438" i="12"/>
  <c r="D438" i="12"/>
  <c r="E438" i="12"/>
  <c r="F438" i="12"/>
  <c r="G438" i="12"/>
  <c r="H438" i="12"/>
  <c r="I438" i="12"/>
  <c r="J438" i="12"/>
  <c r="M438" i="12"/>
  <c r="N438" i="12"/>
  <c r="O438" i="12"/>
  <c r="P438" i="12"/>
  <c r="Q438" i="12"/>
  <c r="R438" i="12"/>
  <c r="B439" i="12"/>
  <c r="C439" i="12"/>
  <c r="D439" i="12"/>
  <c r="E439" i="12"/>
  <c r="F439" i="12"/>
  <c r="G439" i="12"/>
  <c r="H439" i="12"/>
  <c r="I439" i="12"/>
  <c r="J439" i="12"/>
  <c r="M439" i="12"/>
  <c r="N439" i="12"/>
  <c r="O439" i="12"/>
  <c r="P439" i="12"/>
  <c r="Q439" i="12"/>
  <c r="R439" i="12"/>
  <c r="B440" i="12"/>
  <c r="C440" i="12"/>
  <c r="D440" i="12"/>
  <c r="E440" i="12"/>
  <c r="F440" i="12"/>
  <c r="G440" i="12"/>
  <c r="H440" i="12"/>
  <c r="I440" i="12"/>
  <c r="J440" i="12"/>
  <c r="M440" i="12"/>
  <c r="N440" i="12"/>
  <c r="O440" i="12"/>
  <c r="P440" i="12"/>
  <c r="Q440" i="12"/>
  <c r="R440" i="12"/>
  <c r="B441" i="12"/>
  <c r="C441" i="12"/>
  <c r="D441" i="12"/>
  <c r="E441" i="12"/>
  <c r="F441" i="12"/>
  <c r="G441" i="12"/>
  <c r="H441" i="12"/>
  <c r="I441" i="12"/>
  <c r="J441" i="12"/>
  <c r="M441" i="12"/>
  <c r="N441" i="12"/>
  <c r="O441" i="12"/>
  <c r="P441" i="12"/>
  <c r="Q441" i="12"/>
  <c r="R441" i="12"/>
  <c r="B442" i="12"/>
  <c r="C442" i="12"/>
  <c r="D442" i="12"/>
  <c r="E442" i="12"/>
  <c r="F442" i="12"/>
  <c r="G442" i="12"/>
  <c r="H442" i="12"/>
  <c r="I442" i="12"/>
  <c r="J442" i="12"/>
  <c r="M442" i="12"/>
  <c r="N442" i="12"/>
  <c r="O442" i="12"/>
  <c r="P442" i="12"/>
  <c r="Q442" i="12"/>
  <c r="R442" i="12"/>
  <c r="B443" i="12"/>
  <c r="C443" i="12"/>
  <c r="D443" i="12"/>
  <c r="E443" i="12"/>
  <c r="F443" i="12"/>
  <c r="G443" i="12"/>
  <c r="H443" i="12"/>
  <c r="I443" i="12"/>
  <c r="J443" i="12"/>
  <c r="M443" i="12"/>
  <c r="N443" i="12"/>
  <c r="O443" i="12"/>
  <c r="P443" i="12"/>
  <c r="Q443" i="12"/>
  <c r="R443" i="12"/>
  <c r="B444" i="12"/>
  <c r="C444" i="12"/>
  <c r="D444" i="12"/>
  <c r="E444" i="12"/>
  <c r="F444" i="12"/>
  <c r="G444" i="12"/>
  <c r="H444" i="12"/>
  <c r="I444" i="12"/>
  <c r="J444" i="12"/>
  <c r="M444" i="12"/>
  <c r="N444" i="12"/>
  <c r="O444" i="12"/>
  <c r="P444" i="12"/>
  <c r="Q444" i="12"/>
  <c r="R444" i="12"/>
  <c r="B445" i="12"/>
  <c r="C445" i="12"/>
  <c r="D445" i="12"/>
  <c r="E445" i="12"/>
  <c r="F445" i="12"/>
  <c r="G445" i="12"/>
  <c r="H445" i="12"/>
  <c r="I445" i="12"/>
  <c r="J445" i="12"/>
  <c r="M445" i="12"/>
  <c r="N445" i="12"/>
  <c r="O445" i="12"/>
  <c r="P445" i="12"/>
  <c r="Q445" i="12"/>
  <c r="R445" i="12"/>
  <c r="B448" i="12"/>
  <c r="C448" i="12"/>
  <c r="D448" i="12"/>
  <c r="E448" i="12"/>
  <c r="F448" i="12"/>
  <c r="G448" i="12"/>
  <c r="H448" i="12"/>
  <c r="I448" i="12"/>
  <c r="J448" i="12"/>
  <c r="M448" i="12"/>
  <c r="N448" i="12"/>
  <c r="O448" i="12"/>
  <c r="P448" i="12"/>
  <c r="Q448" i="12"/>
  <c r="R448" i="12"/>
  <c r="B409" i="12"/>
  <c r="C409" i="12"/>
  <c r="D409" i="12"/>
  <c r="E409" i="12"/>
  <c r="F409" i="12"/>
  <c r="G409" i="12"/>
  <c r="H409" i="12"/>
  <c r="I409" i="12"/>
  <c r="J409" i="12"/>
  <c r="M409" i="12"/>
  <c r="N409" i="12"/>
  <c r="O409" i="12"/>
  <c r="P409" i="12"/>
  <c r="Q409" i="12"/>
  <c r="R409" i="12"/>
  <c r="B410" i="12"/>
  <c r="C410" i="12"/>
  <c r="D410" i="12"/>
  <c r="E410" i="12"/>
  <c r="F410" i="12"/>
  <c r="G410" i="12"/>
  <c r="H410" i="12"/>
  <c r="I410" i="12"/>
  <c r="J410" i="12"/>
  <c r="M410" i="12"/>
  <c r="N410" i="12"/>
  <c r="O410" i="12"/>
  <c r="P410" i="12"/>
  <c r="Q410" i="12"/>
  <c r="R410" i="12"/>
  <c r="B411" i="12"/>
  <c r="C411" i="12"/>
  <c r="D411" i="12"/>
  <c r="E411" i="12"/>
  <c r="F411" i="12"/>
  <c r="G411" i="12"/>
  <c r="H411" i="12"/>
  <c r="I411" i="12"/>
  <c r="J411" i="12"/>
  <c r="M411" i="12"/>
  <c r="N411" i="12"/>
  <c r="O411" i="12"/>
  <c r="P411" i="12"/>
  <c r="Q411" i="12"/>
  <c r="R411" i="12"/>
  <c r="B412" i="12"/>
  <c r="C412" i="12"/>
  <c r="D412" i="12"/>
  <c r="E412" i="12"/>
  <c r="F412" i="12"/>
  <c r="G412" i="12"/>
  <c r="H412" i="12"/>
  <c r="I412" i="12"/>
  <c r="J412" i="12"/>
  <c r="M412" i="12"/>
  <c r="N412" i="12"/>
  <c r="O412" i="12"/>
  <c r="P412" i="12"/>
  <c r="Q412" i="12"/>
  <c r="R412" i="12"/>
  <c r="B413" i="12"/>
  <c r="C413" i="12"/>
  <c r="D413" i="12"/>
  <c r="E413" i="12"/>
  <c r="F413" i="12"/>
  <c r="G413" i="12"/>
  <c r="H413" i="12"/>
  <c r="I413" i="12"/>
  <c r="J413" i="12"/>
  <c r="M413" i="12"/>
  <c r="N413" i="12"/>
  <c r="O413" i="12"/>
  <c r="P413" i="12"/>
  <c r="Q413" i="12"/>
  <c r="R413" i="12"/>
  <c r="B414" i="12"/>
  <c r="C414" i="12"/>
  <c r="D414" i="12"/>
  <c r="E414" i="12"/>
  <c r="F414" i="12"/>
  <c r="G414" i="12"/>
  <c r="H414" i="12"/>
  <c r="I414" i="12"/>
  <c r="J414" i="12"/>
  <c r="M414" i="12"/>
  <c r="N414" i="12"/>
  <c r="O414" i="12"/>
  <c r="P414" i="12"/>
  <c r="Q414" i="12"/>
  <c r="R414" i="12"/>
  <c r="B415" i="12"/>
  <c r="C415" i="12"/>
  <c r="D415" i="12"/>
  <c r="E415" i="12"/>
  <c r="F415" i="12"/>
  <c r="G415" i="12"/>
  <c r="H415" i="12"/>
  <c r="I415" i="12"/>
  <c r="J415" i="12"/>
  <c r="M415" i="12"/>
  <c r="N415" i="12"/>
  <c r="O415" i="12"/>
  <c r="P415" i="12"/>
  <c r="Q415" i="12"/>
  <c r="R415" i="12"/>
  <c r="B416" i="12"/>
  <c r="C416" i="12"/>
  <c r="D416" i="12"/>
  <c r="E416" i="12"/>
  <c r="F416" i="12"/>
  <c r="G416" i="12"/>
  <c r="H416" i="12"/>
  <c r="I416" i="12"/>
  <c r="J416" i="12"/>
  <c r="M416" i="12"/>
  <c r="N416" i="12"/>
  <c r="O416" i="12"/>
  <c r="P416" i="12"/>
  <c r="Q416" i="12"/>
  <c r="R416" i="12"/>
  <c r="B417" i="12"/>
  <c r="C417" i="12"/>
  <c r="D417" i="12"/>
  <c r="E417" i="12"/>
  <c r="F417" i="12"/>
  <c r="G417" i="12"/>
  <c r="H417" i="12"/>
  <c r="I417" i="12"/>
  <c r="J417" i="12"/>
  <c r="M417" i="12"/>
  <c r="N417" i="12"/>
  <c r="O417" i="12"/>
  <c r="P417" i="12"/>
  <c r="Q417" i="12"/>
  <c r="R417" i="12"/>
  <c r="B418" i="12"/>
  <c r="C418" i="12"/>
  <c r="D418" i="12"/>
  <c r="E418" i="12"/>
  <c r="F418" i="12"/>
  <c r="G418" i="12"/>
  <c r="H418" i="12"/>
  <c r="I418" i="12"/>
  <c r="J418" i="12"/>
  <c r="M418" i="12"/>
  <c r="N418" i="12"/>
  <c r="O418" i="12"/>
  <c r="P418" i="12"/>
  <c r="Q418" i="12"/>
  <c r="R418" i="12"/>
  <c r="B419" i="12"/>
  <c r="C419" i="12"/>
  <c r="D419" i="12"/>
  <c r="E419" i="12"/>
  <c r="F419" i="12"/>
  <c r="G419" i="12"/>
  <c r="H419" i="12"/>
  <c r="I419" i="12"/>
  <c r="J419" i="12"/>
  <c r="M419" i="12"/>
  <c r="N419" i="12"/>
  <c r="O419" i="12"/>
  <c r="P419" i="12"/>
  <c r="Q419" i="12"/>
  <c r="R419" i="12"/>
  <c r="B422" i="12"/>
  <c r="C422" i="12"/>
  <c r="D422" i="12"/>
  <c r="E422" i="12"/>
  <c r="F422" i="12"/>
  <c r="G422" i="12"/>
  <c r="H422" i="12"/>
  <c r="I422" i="12"/>
  <c r="J422" i="12"/>
  <c r="M422" i="12"/>
  <c r="N422" i="12"/>
  <c r="O422" i="12"/>
  <c r="P422" i="12"/>
  <c r="Q422" i="12"/>
  <c r="R422" i="12"/>
  <c r="B387" i="12"/>
  <c r="C387" i="12"/>
  <c r="D387" i="12"/>
  <c r="E387" i="12"/>
  <c r="F387" i="12"/>
  <c r="G387" i="12"/>
  <c r="H387" i="12"/>
  <c r="I387" i="12"/>
  <c r="J387" i="12"/>
  <c r="M387" i="12"/>
  <c r="N387" i="12"/>
  <c r="O387" i="12"/>
  <c r="P387" i="12"/>
  <c r="Q387" i="12"/>
  <c r="R387" i="12"/>
  <c r="B388" i="12"/>
  <c r="C388" i="12"/>
  <c r="D388" i="12"/>
  <c r="E388" i="12"/>
  <c r="F388" i="12"/>
  <c r="G388" i="12"/>
  <c r="H388" i="12"/>
  <c r="I388" i="12"/>
  <c r="J388" i="12"/>
  <c r="M388" i="12"/>
  <c r="N388" i="12"/>
  <c r="O388" i="12"/>
  <c r="P388" i="12"/>
  <c r="Q388" i="12"/>
  <c r="R388" i="12"/>
  <c r="B389" i="12"/>
  <c r="C389" i="12"/>
  <c r="D389" i="12"/>
  <c r="E389" i="12"/>
  <c r="F389" i="12"/>
  <c r="G389" i="12"/>
  <c r="H389" i="12"/>
  <c r="I389" i="12"/>
  <c r="J389" i="12"/>
  <c r="M389" i="12"/>
  <c r="N389" i="12"/>
  <c r="O389" i="12"/>
  <c r="P389" i="12"/>
  <c r="Q389" i="12"/>
  <c r="R389" i="12"/>
  <c r="B390" i="12"/>
  <c r="C390" i="12"/>
  <c r="D390" i="12"/>
  <c r="E390" i="12"/>
  <c r="F390" i="12"/>
  <c r="G390" i="12"/>
  <c r="H390" i="12"/>
  <c r="I390" i="12"/>
  <c r="J390" i="12"/>
  <c r="M390" i="12"/>
  <c r="N390" i="12"/>
  <c r="O390" i="12"/>
  <c r="P390" i="12"/>
  <c r="Q390" i="12"/>
  <c r="R390" i="12"/>
  <c r="B391" i="12"/>
  <c r="C391" i="12"/>
  <c r="D391" i="12"/>
  <c r="E391" i="12"/>
  <c r="F391" i="12"/>
  <c r="G391" i="12"/>
  <c r="H391" i="12"/>
  <c r="I391" i="12"/>
  <c r="J391" i="12"/>
  <c r="M391" i="12"/>
  <c r="N391" i="12"/>
  <c r="O391" i="12"/>
  <c r="P391" i="12"/>
  <c r="Q391" i="12"/>
  <c r="R391" i="12"/>
  <c r="B392" i="12"/>
  <c r="C392" i="12"/>
  <c r="D392" i="12"/>
  <c r="E392" i="12"/>
  <c r="F392" i="12"/>
  <c r="G392" i="12"/>
  <c r="H392" i="12"/>
  <c r="I392" i="12"/>
  <c r="J392" i="12"/>
  <c r="M392" i="12"/>
  <c r="N392" i="12"/>
  <c r="O392" i="12"/>
  <c r="P392" i="12"/>
  <c r="Q392" i="12"/>
  <c r="R392" i="12"/>
  <c r="B393" i="12"/>
  <c r="C393" i="12"/>
  <c r="D393" i="12"/>
  <c r="E393" i="12"/>
  <c r="F393" i="12"/>
  <c r="G393" i="12"/>
  <c r="H393" i="12"/>
  <c r="I393" i="12"/>
  <c r="J393" i="12"/>
  <c r="M393" i="12"/>
  <c r="N393" i="12"/>
  <c r="O393" i="12"/>
  <c r="P393" i="12"/>
  <c r="Q393" i="12"/>
  <c r="R393" i="12"/>
  <c r="B394" i="12"/>
  <c r="C394" i="12"/>
  <c r="D394" i="12"/>
  <c r="E394" i="12"/>
  <c r="F394" i="12"/>
  <c r="G394" i="12"/>
  <c r="H394" i="12"/>
  <c r="I394" i="12"/>
  <c r="J394" i="12"/>
  <c r="M394" i="12"/>
  <c r="N394" i="12"/>
  <c r="O394" i="12"/>
  <c r="P394" i="12"/>
  <c r="Q394" i="12"/>
  <c r="R394" i="12"/>
  <c r="B395" i="12"/>
  <c r="C395" i="12"/>
  <c r="D395" i="12"/>
  <c r="E395" i="12"/>
  <c r="F395" i="12"/>
  <c r="G395" i="12"/>
  <c r="H395" i="12"/>
  <c r="I395" i="12"/>
  <c r="J395" i="12"/>
  <c r="M395" i="12"/>
  <c r="N395" i="12"/>
  <c r="O395" i="12"/>
  <c r="P395" i="12"/>
  <c r="Q395" i="12"/>
  <c r="R395" i="12"/>
  <c r="B396" i="12"/>
  <c r="C396" i="12"/>
  <c r="D396" i="12"/>
  <c r="E396" i="12"/>
  <c r="F396" i="12"/>
  <c r="G396" i="12"/>
  <c r="H396" i="12"/>
  <c r="I396" i="12"/>
  <c r="J396" i="12"/>
  <c r="M396" i="12"/>
  <c r="N396" i="12"/>
  <c r="O396" i="12"/>
  <c r="P396" i="12"/>
  <c r="Q396" i="12"/>
  <c r="R396" i="12"/>
  <c r="B397" i="12"/>
  <c r="C397" i="12"/>
  <c r="D397" i="12"/>
  <c r="E397" i="12"/>
  <c r="F397" i="12"/>
  <c r="G397" i="12"/>
  <c r="H397" i="12"/>
  <c r="I397" i="12"/>
  <c r="J397" i="12"/>
  <c r="M397" i="12"/>
  <c r="N397" i="12"/>
  <c r="O397" i="12"/>
  <c r="P397" i="12"/>
  <c r="Q397" i="12"/>
  <c r="R397" i="12"/>
  <c r="B400" i="12"/>
  <c r="C400" i="12"/>
  <c r="D400" i="12"/>
  <c r="E400" i="12"/>
  <c r="F400" i="12"/>
  <c r="G400" i="12"/>
  <c r="H400" i="12"/>
  <c r="I400" i="12"/>
  <c r="J400" i="12"/>
  <c r="M400" i="12"/>
  <c r="N400" i="12"/>
  <c r="O400" i="12"/>
  <c r="P400" i="12"/>
  <c r="Q400" i="12"/>
  <c r="R400" i="12"/>
  <c r="A291" i="25" l="1"/>
  <c r="A291" i="24"/>
  <c r="A290" i="22"/>
  <c r="A291" i="22"/>
  <c r="A292" i="22"/>
  <c r="A232" i="18" l="1"/>
  <c r="I214" i="18"/>
  <c r="H214" i="18"/>
  <c r="G214" i="18"/>
  <c r="F214" i="18"/>
  <c r="E214" i="18"/>
  <c r="D214" i="18"/>
  <c r="C214" i="18"/>
  <c r="B214" i="18"/>
  <c r="I212" i="18"/>
  <c r="H212" i="18"/>
  <c r="G212" i="18"/>
  <c r="F212" i="18"/>
  <c r="E212" i="18"/>
  <c r="D212" i="18"/>
  <c r="C212" i="18"/>
  <c r="B212" i="18"/>
  <c r="I211" i="18"/>
  <c r="H211" i="18"/>
  <c r="G211" i="18"/>
  <c r="F211" i="18"/>
  <c r="E211" i="18"/>
  <c r="D211" i="18"/>
  <c r="C211" i="18"/>
  <c r="B211" i="18"/>
  <c r="I210" i="18"/>
  <c r="H210" i="18"/>
  <c r="G210" i="18"/>
  <c r="F210" i="18"/>
  <c r="E210" i="18"/>
  <c r="D210" i="18"/>
  <c r="C210" i="18"/>
  <c r="B210" i="18"/>
  <c r="I209" i="18"/>
  <c r="H209" i="18"/>
  <c r="G209" i="18"/>
  <c r="F209" i="18"/>
  <c r="E209" i="18"/>
  <c r="D209" i="18"/>
  <c r="C209" i="18"/>
  <c r="B209" i="18"/>
  <c r="I208" i="18"/>
  <c r="H208" i="18"/>
  <c r="G208" i="18"/>
  <c r="F208" i="18"/>
  <c r="E208" i="18"/>
  <c r="D208" i="18"/>
  <c r="C208" i="18"/>
  <c r="B208" i="18"/>
  <c r="I207" i="18"/>
  <c r="H207" i="18"/>
  <c r="G207" i="18"/>
  <c r="F207" i="18"/>
  <c r="E207" i="18"/>
  <c r="D207" i="18"/>
  <c r="C207" i="18"/>
  <c r="B207" i="18"/>
  <c r="I206" i="18"/>
  <c r="H206" i="18"/>
  <c r="G206" i="18"/>
  <c r="F206" i="18"/>
  <c r="E206" i="18"/>
  <c r="D206" i="18"/>
  <c r="C206" i="18"/>
  <c r="B206" i="18"/>
  <c r="I205" i="18"/>
  <c r="H205" i="18"/>
  <c r="G205" i="18"/>
  <c r="F205" i="18"/>
  <c r="E205" i="18"/>
  <c r="D205" i="18"/>
  <c r="C205" i="18"/>
  <c r="B205" i="18"/>
  <c r="G204" i="18"/>
  <c r="F204" i="18"/>
  <c r="E204" i="18"/>
  <c r="D204" i="18"/>
  <c r="C204" i="18"/>
  <c r="B204" i="18"/>
  <c r="G203" i="18"/>
  <c r="F203" i="18"/>
  <c r="E203" i="18"/>
  <c r="D203" i="18"/>
  <c r="C203" i="18"/>
  <c r="B203" i="18"/>
  <c r="G202" i="18"/>
  <c r="F202" i="18"/>
  <c r="E202" i="18"/>
  <c r="D202" i="18"/>
  <c r="C202" i="18"/>
  <c r="B202" i="18"/>
  <c r="I201" i="18"/>
  <c r="H201" i="18"/>
  <c r="G201" i="18"/>
  <c r="F201" i="18"/>
  <c r="E201" i="18"/>
  <c r="D201" i="18"/>
  <c r="C201" i="18"/>
  <c r="B201" i="18"/>
  <c r="I191" i="18"/>
  <c r="H191" i="18"/>
  <c r="G191" i="18"/>
  <c r="F191" i="18"/>
  <c r="E191" i="18"/>
  <c r="D191" i="18"/>
  <c r="C191" i="18"/>
  <c r="B191" i="18"/>
  <c r="I190" i="18"/>
  <c r="H190" i="18"/>
  <c r="G190" i="18"/>
  <c r="F190" i="18"/>
  <c r="E190" i="18"/>
  <c r="D190" i="18"/>
  <c r="C190" i="18"/>
  <c r="B190" i="18"/>
  <c r="I189" i="18"/>
  <c r="H189" i="18"/>
  <c r="G189" i="18"/>
  <c r="F189" i="18"/>
  <c r="E189" i="18"/>
  <c r="D189" i="18"/>
  <c r="C189" i="18"/>
  <c r="B189" i="18"/>
  <c r="I188" i="18"/>
  <c r="H188" i="18"/>
  <c r="G188" i="18"/>
  <c r="F188" i="18"/>
  <c r="E188" i="18"/>
  <c r="D188" i="18"/>
  <c r="C188" i="18"/>
  <c r="B188" i="18"/>
  <c r="I187" i="18"/>
  <c r="H187" i="18"/>
  <c r="G187" i="18"/>
  <c r="F187" i="18"/>
  <c r="E187" i="18"/>
  <c r="D187" i="18"/>
  <c r="C187" i="18"/>
  <c r="B187" i="18"/>
  <c r="I186" i="18"/>
  <c r="H186" i="18"/>
  <c r="G186" i="18"/>
  <c r="F186" i="18"/>
  <c r="E186" i="18"/>
  <c r="D186" i="18"/>
  <c r="C186" i="18"/>
  <c r="B186" i="18"/>
  <c r="I185" i="18"/>
  <c r="H185" i="18"/>
  <c r="G185" i="18"/>
  <c r="F185" i="18"/>
  <c r="E185" i="18"/>
  <c r="D185" i="18"/>
  <c r="C185" i="18"/>
  <c r="B185" i="18"/>
  <c r="I184" i="18"/>
  <c r="H184" i="18"/>
  <c r="G184" i="18"/>
  <c r="F184" i="18"/>
  <c r="E184" i="18"/>
  <c r="D184" i="18"/>
  <c r="C184" i="18"/>
  <c r="B184" i="18"/>
  <c r="G183" i="18"/>
  <c r="F183" i="18"/>
  <c r="E183" i="18"/>
  <c r="D183" i="18"/>
  <c r="C183" i="18"/>
  <c r="B183" i="18"/>
  <c r="G182" i="18"/>
  <c r="F182" i="18"/>
  <c r="E182" i="18"/>
  <c r="D182" i="18"/>
  <c r="C182" i="18"/>
  <c r="B182" i="18"/>
  <c r="G181" i="18"/>
  <c r="F181" i="18"/>
  <c r="E181" i="18"/>
  <c r="D181" i="18"/>
  <c r="C181" i="18"/>
  <c r="B181" i="18"/>
  <c r="I180" i="18"/>
  <c r="H180" i="18"/>
  <c r="G180" i="18"/>
  <c r="F180" i="18"/>
  <c r="E180" i="18"/>
  <c r="D180" i="18"/>
  <c r="C180" i="18"/>
  <c r="B180" i="18"/>
  <c r="I172" i="18"/>
  <c r="H172" i="18"/>
  <c r="G172" i="18"/>
  <c r="F172" i="18"/>
  <c r="E172" i="18"/>
  <c r="D172" i="18"/>
  <c r="C172" i="18"/>
  <c r="B172" i="18"/>
  <c r="I171" i="18"/>
  <c r="H171" i="18"/>
  <c r="G171" i="18"/>
  <c r="F171" i="18"/>
  <c r="E171" i="18"/>
  <c r="D171" i="18"/>
  <c r="C171" i="18"/>
  <c r="B171" i="18"/>
  <c r="I170" i="18"/>
  <c r="H170" i="18"/>
  <c r="G170" i="18"/>
  <c r="F170" i="18"/>
  <c r="E170" i="18"/>
  <c r="D170" i="18"/>
  <c r="C170" i="18"/>
  <c r="B170" i="18"/>
  <c r="I169" i="18"/>
  <c r="H169" i="18"/>
  <c r="G169" i="18"/>
  <c r="F169" i="18"/>
  <c r="E169" i="18"/>
  <c r="D169" i="18"/>
  <c r="C169" i="18"/>
  <c r="B169" i="18"/>
  <c r="I168" i="18"/>
  <c r="H168" i="18"/>
  <c r="G168" i="18"/>
  <c r="F168" i="18"/>
  <c r="E168" i="18"/>
  <c r="D168" i="18"/>
  <c r="C168" i="18"/>
  <c r="B168" i="18"/>
  <c r="I167" i="18"/>
  <c r="H167" i="18"/>
  <c r="G167" i="18"/>
  <c r="F167" i="18"/>
  <c r="E167" i="18"/>
  <c r="D167" i="18"/>
  <c r="C167" i="18"/>
  <c r="B167" i="18"/>
  <c r="I166" i="18"/>
  <c r="G166" i="18"/>
  <c r="F166" i="18"/>
  <c r="E166" i="18"/>
  <c r="D166" i="18"/>
  <c r="C166" i="18"/>
  <c r="B166" i="18"/>
  <c r="I165" i="18"/>
  <c r="H165" i="18"/>
  <c r="G165" i="18"/>
  <c r="F165" i="18"/>
  <c r="E165" i="18"/>
  <c r="D165" i="18"/>
  <c r="C165" i="18"/>
  <c r="B165" i="18"/>
  <c r="I164" i="18"/>
  <c r="H164" i="18"/>
  <c r="G164" i="18"/>
  <c r="F164" i="18"/>
  <c r="E164" i="18"/>
  <c r="D164" i="18"/>
  <c r="C164" i="18"/>
  <c r="B164" i="18"/>
  <c r="I163" i="18"/>
  <c r="H163" i="18"/>
  <c r="G163" i="18"/>
  <c r="F163" i="18"/>
  <c r="E163" i="18"/>
  <c r="D163" i="18"/>
  <c r="C163" i="18"/>
  <c r="B163" i="18"/>
  <c r="I159" i="18"/>
  <c r="H159" i="18"/>
  <c r="G159" i="18"/>
  <c r="F159" i="18"/>
  <c r="E159" i="18"/>
  <c r="D159" i="18"/>
  <c r="C159" i="18"/>
  <c r="B159" i="18"/>
  <c r="I157" i="18"/>
  <c r="H157" i="18"/>
  <c r="G157" i="18"/>
  <c r="F157" i="18"/>
  <c r="E157" i="18"/>
  <c r="D157" i="18"/>
  <c r="C157" i="18"/>
  <c r="B157" i="18"/>
  <c r="I156" i="18"/>
  <c r="H156" i="18"/>
  <c r="G156" i="18"/>
  <c r="F156" i="18"/>
  <c r="E156" i="18"/>
  <c r="D156" i="18"/>
  <c r="C156" i="18"/>
  <c r="B156" i="18"/>
  <c r="I155" i="18"/>
  <c r="H155" i="18"/>
  <c r="G155" i="18"/>
  <c r="F155" i="18"/>
  <c r="E155" i="18"/>
  <c r="D155" i="18"/>
  <c r="C155" i="18"/>
  <c r="B155" i="18"/>
  <c r="I154" i="18"/>
  <c r="H154" i="18"/>
  <c r="G154" i="18"/>
  <c r="F154" i="18"/>
  <c r="E154" i="18"/>
  <c r="D154" i="18"/>
  <c r="C154" i="18"/>
  <c r="B154" i="18"/>
  <c r="I153" i="18"/>
  <c r="H153" i="18"/>
  <c r="G153" i="18"/>
  <c r="F153" i="18"/>
  <c r="E153" i="18"/>
  <c r="D153" i="18"/>
  <c r="C153" i="18"/>
  <c r="B153" i="18"/>
  <c r="I152" i="18"/>
  <c r="H152" i="18"/>
  <c r="G152" i="18"/>
  <c r="F152" i="18"/>
  <c r="E152" i="18"/>
  <c r="D152" i="18"/>
  <c r="C152" i="18"/>
  <c r="B152" i="18"/>
  <c r="I151" i="18"/>
  <c r="H151" i="18"/>
  <c r="G151" i="18"/>
  <c r="F151" i="18"/>
  <c r="E151" i="18"/>
  <c r="D151" i="18"/>
  <c r="C151" i="18"/>
  <c r="B151" i="18"/>
  <c r="I150" i="18"/>
  <c r="H150" i="18"/>
  <c r="G150" i="18"/>
  <c r="F150" i="18"/>
  <c r="E150" i="18"/>
  <c r="D150" i="18"/>
  <c r="C150" i="18"/>
  <c r="B150" i="18"/>
  <c r="I149" i="18"/>
  <c r="G149" i="18"/>
  <c r="F149" i="18"/>
  <c r="E149" i="18"/>
  <c r="D149" i="18"/>
  <c r="C149" i="18"/>
  <c r="B149" i="18"/>
  <c r="I148" i="18"/>
  <c r="H148" i="18"/>
  <c r="G148" i="18"/>
  <c r="F148" i="18"/>
  <c r="E148" i="18"/>
  <c r="D148" i="18"/>
  <c r="C148" i="18"/>
  <c r="B148" i="18"/>
  <c r="I147" i="18"/>
  <c r="H147" i="18"/>
  <c r="G147" i="18"/>
  <c r="F147" i="18"/>
  <c r="E147" i="18"/>
  <c r="D147" i="18"/>
  <c r="C147" i="18"/>
  <c r="B147" i="18"/>
  <c r="I146" i="18"/>
  <c r="H146" i="18"/>
  <c r="G146" i="18"/>
  <c r="F146" i="18"/>
  <c r="E146" i="18"/>
  <c r="D146" i="18"/>
  <c r="C146" i="18"/>
  <c r="B146" i="18"/>
  <c r="I231" i="18"/>
  <c r="H231" i="18"/>
  <c r="G231" i="18"/>
  <c r="F231" i="18"/>
  <c r="E231" i="18"/>
  <c r="D231" i="18"/>
  <c r="C231" i="18"/>
  <c r="B231" i="18"/>
  <c r="I229" i="18"/>
  <c r="H229" i="18"/>
  <c r="G229" i="18"/>
  <c r="F229" i="18"/>
  <c r="E229" i="18"/>
  <c r="D229" i="18"/>
  <c r="C229" i="18"/>
  <c r="B229" i="18"/>
  <c r="I125" i="18"/>
  <c r="I228" i="18" s="1"/>
  <c r="H125" i="18"/>
  <c r="H228" i="18" s="1"/>
  <c r="G125" i="18"/>
  <c r="G228" i="18" s="1"/>
  <c r="F125" i="18"/>
  <c r="F228" i="18" s="1"/>
  <c r="E125" i="18"/>
  <c r="E228" i="18" s="1"/>
  <c r="D125" i="18"/>
  <c r="D228" i="18" s="1"/>
  <c r="C125" i="18"/>
  <c r="C228" i="18" s="1"/>
  <c r="B125" i="18"/>
  <c r="B228" i="18" s="1"/>
  <c r="I124" i="18"/>
  <c r="I227" i="18" s="1"/>
  <c r="H124" i="18"/>
  <c r="H227" i="18" s="1"/>
  <c r="G124" i="18"/>
  <c r="G227" i="18" s="1"/>
  <c r="F124" i="18"/>
  <c r="F227" i="18" s="1"/>
  <c r="E124" i="18"/>
  <c r="E227" i="18" s="1"/>
  <c r="D124" i="18"/>
  <c r="D227" i="18" s="1"/>
  <c r="C124" i="18"/>
  <c r="C227" i="18" s="1"/>
  <c r="B124" i="18"/>
  <c r="B227" i="18" s="1"/>
  <c r="I123" i="18"/>
  <c r="I226" i="18" s="1"/>
  <c r="H123" i="18"/>
  <c r="H226" i="18" s="1"/>
  <c r="G123" i="18"/>
  <c r="G226" i="18" s="1"/>
  <c r="F123" i="18"/>
  <c r="F226" i="18" s="1"/>
  <c r="E123" i="18"/>
  <c r="E226" i="18" s="1"/>
  <c r="D123" i="18"/>
  <c r="D226" i="18" s="1"/>
  <c r="C123" i="18"/>
  <c r="C226" i="18" s="1"/>
  <c r="B123" i="18"/>
  <c r="B226" i="18" s="1"/>
  <c r="I122" i="18"/>
  <c r="I225" i="18" s="1"/>
  <c r="H122" i="18"/>
  <c r="H225" i="18" s="1"/>
  <c r="G122" i="18"/>
  <c r="G225" i="18" s="1"/>
  <c r="F122" i="18"/>
  <c r="F225" i="18" s="1"/>
  <c r="E122" i="18"/>
  <c r="E225" i="18" s="1"/>
  <c r="D122" i="18"/>
  <c r="D225" i="18" s="1"/>
  <c r="C122" i="18"/>
  <c r="C225" i="18" s="1"/>
  <c r="B122" i="18"/>
  <c r="B225" i="18" s="1"/>
  <c r="I121" i="18"/>
  <c r="I224" i="18" s="1"/>
  <c r="H121" i="18"/>
  <c r="H224" i="18" s="1"/>
  <c r="G121" i="18"/>
  <c r="G224" i="18" s="1"/>
  <c r="F121" i="18"/>
  <c r="F224" i="18" s="1"/>
  <c r="E121" i="18"/>
  <c r="E224" i="18" s="1"/>
  <c r="D121" i="18"/>
  <c r="D224" i="18" s="1"/>
  <c r="C121" i="18"/>
  <c r="C224" i="18" s="1"/>
  <c r="B121" i="18"/>
  <c r="B224" i="18" s="1"/>
  <c r="I120" i="18"/>
  <c r="I223" i="18" s="1"/>
  <c r="H120" i="18"/>
  <c r="H223" i="18" s="1"/>
  <c r="G120" i="18"/>
  <c r="G223" i="18" s="1"/>
  <c r="F120" i="18"/>
  <c r="F223" i="18" s="1"/>
  <c r="E120" i="18"/>
  <c r="E223" i="18" s="1"/>
  <c r="D120" i="18"/>
  <c r="D223" i="18" s="1"/>
  <c r="C120" i="18"/>
  <c r="C223" i="18" s="1"/>
  <c r="B120" i="18"/>
  <c r="B223" i="18" s="1"/>
  <c r="I119" i="18"/>
  <c r="I222" i="18" s="1"/>
  <c r="H119" i="18"/>
  <c r="H222" i="18" s="1"/>
  <c r="G119" i="18"/>
  <c r="G222" i="18" s="1"/>
  <c r="F119" i="18"/>
  <c r="F222" i="18" s="1"/>
  <c r="E119" i="18"/>
  <c r="E222" i="18" s="1"/>
  <c r="D119" i="18"/>
  <c r="D222" i="18" s="1"/>
  <c r="C119" i="18"/>
  <c r="C222" i="18" s="1"/>
  <c r="B119" i="18"/>
  <c r="B222" i="18" s="1"/>
  <c r="I118" i="18"/>
  <c r="H118" i="18"/>
  <c r="G118" i="18"/>
  <c r="F118" i="18"/>
  <c r="E118" i="18"/>
  <c r="D118" i="18"/>
  <c r="C118" i="18"/>
  <c r="B118" i="18"/>
  <c r="I117" i="18"/>
  <c r="I221" i="18" s="1"/>
  <c r="H117" i="18"/>
  <c r="G117" i="18"/>
  <c r="G221" i="18" s="1"/>
  <c r="F117" i="18"/>
  <c r="E117" i="18"/>
  <c r="E221" i="18" s="1"/>
  <c r="D117" i="18"/>
  <c r="D221" i="18" s="1"/>
  <c r="C117" i="18"/>
  <c r="C221" i="18" s="1"/>
  <c r="B117" i="18"/>
  <c r="I116" i="18"/>
  <c r="H116" i="18"/>
  <c r="G116" i="18"/>
  <c r="F116" i="18"/>
  <c r="E116" i="18"/>
  <c r="D116" i="18"/>
  <c r="C116" i="18"/>
  <c r="B116" i="18"/>
  <c r="I115" i="18"/>
  <c r="H115" i="18"/>
  <c r="G115" i="18"/>
  <c r="F115" i="18"/>
  <c r="E115" i="18"/>
  <c r="D115" i="18"/>
  <c r="C115" i="18"/>
  <c r="B115" i="18"/>
  <c r="I114" i="18"/>
  <c r="H114" i="18"/>
  <c r="G114" i="18"/>
  <c r="F114" i="18"/>
  <c r="E114" i="18"/>
  <c r="D114" i="18"/>
  <c r="D220" i="18" s="1"/>
  <c r="C114" i="18"/>
  <c r="C220" i="18" s="1"/>
  <c r="B114" i="18"/>
  <c r="I113" i="18"/>
  <c r="H113" i="18"/>
  <c r="G113" i="18"/>
  <c r="F113" i="18"/>
  <c r="E113" i="18"/>
  <c r="D113" i="18"/>
  <c r="C113" i="18"/>
  <c r="B113" i="18"/>
  <c r="I112" i="18"/>
  <c r="I219" i="18" s="1"/>
  <c r="H112" i="18"/>
  <c r="G112" i="18"/>
  <c r="G219" i="18" s="1"/>
  <c r="F112" i="18"/>
  <c r="F219" i="18" s="1"/>
  <c r="E112" i="18"/>
  <c r="D112" i="18"/>
  <c r="C112" i="18"/>
  <c r="C219" i="18" s="1"/>
  <c r="B112" i="18"/>
  <c r="B219" i="18" s="1"/>
  <c r="I111" i="18"/>
  <c r="H111" i="18"/>
  <c r="G111" i="18"/>
  <c r="F111" i="18"/>
  <c r="E111" i="18"/>
  <c r="D111" i="18"/>
  <c r="C111" i="18"/>
  <c r="B111" i="18"/>
  <c r="I110" i="18"/>
  <c r="H110" i="18"/>
  <c r="G110" i="18"/>
  <c r="F110" i="18"/>
  <c r="E110" i="18"/>
  <c r="D110" i="18"/>
  <c r="C110" i="18"/>
  <c r="B110" i="18"/>
  <c r="I109" i="18"/>
  <c r="H109" i="18"/>
  <c r="G109" i="18"/>
  <c r="G218" i="18" s="1"/>
  <c r="F109" i="18"/>
  <c r="E109" i="18"/>
  <c r="D109" i="18"/>
  <c r="D218" i="18" s="1"/>
  <c r="C109" i="18"/>
  <c r="C218" i="18" s="1"/>
  <c r="B109" i="18"/>
  <c r="I108" i="18"/>
  <c r="H108" i="18"/>
  <c r="G108" i="18"/>
  <c r="F108" i="18"/>
  <c r="E108" i="18"/>
  <c r="D108" i="18"/>
  <c r="C108" i="18"/>
  <c r="B108" i="18"/>
  <c r="I107" i="18"/>
  <c r="H107" i="18"/>
  <c r="G107" i="18"/>
  <c r="F107" i="18"/>
  <c r="E107" i="18"/>
  <c r="D107" i="18"/>
  <c r="C107" i="18"/>
  <c r="B107" i="18"/>
  <c r="K103" i="18"/>
  <c r="K214" i="18" s="1"/>
  <c r="J103" i="18"/>
  <c r="K101" i="18"/>
  <c r="K212" i="18" s="1"/>
  <c r="J101" i="18"/>
  <c r="J212" i="18" s="1"/>
  <c r="K100" i="18"/>
  <c r="K211" i="18" s="1"/>
  <c r="J100" i="18"/>
  <c r="K99" i="18"/>
  <c r="K210" i="18" s="1"/>
  <c r="J99" i="18"/>
  <c r="J210" i="18" s="1"/>
  <c r="K98" i="18"/>
  <c r="K209" i="18" s="1"/>
  <c r="J98" i="18"/>
  <c r="J209" i="18" s="1"/>
  <c r="K97" i="18"/>
  <c r="K208" i="18" s="1"/>
  <c r="J97" i="18"/>
  <c r="J208" i="18" s="1"/>
  <c r="K96" i="18"/>
  <c r="K207" i="18" s="1"/>
  <c r="J96" i="18"/>
  <c r="J207" i="18" s="1"/>
  <c r="K95" i="18"/>
  <c r="K206" i="18" s="1"/>
  <c r="J95" i="18"/>
  <c r="J206" i="18" s="1"/>
  <c r="K94" i="18"/>
  <c r="K205" i="18" s="1"/>
  <c r="J94" i="18"/>
  <c r="K93" i="18"/>
  <c r="J93" i="18"/>
  <c r="K92" i="18"/>
  <c r="J92" i="18"/>
  <c r="K91" i="18"/>
  <c r="J91" i="18"/>
  <c r="K90" i="18"/>
  <c r="J90" i="18"/>
  <c r="K89" i="18"/>
  <c r="J89" i="18"/>
  <c r="K88" i="18"/>
  <c r="J88" i="18"/>
  <c r="K87" i="18"/>
  <c r="J87" i="18"/>
  <c r="K86" i="18"/>
  <c r="J86" i="18"/>
  <c r="K85" i="18"/>
  <c r="J85" i="18"/>
  <c r="K84" i="18"/>
  <c r="J84" i="18"/>
  <c r="K83" i="18"/>
  <c r="J83" i="18"/>
  <c r="K82" i="18"/>
  <c r="J82" i="18"/>
  <c r="K76" i="18"/>
  <c r="K191" i="18" s="1"/>
  <c r="J76" i="18"/>
  <c r="J191" i="18" s="1"/>
  <c r="K75" i="18"/>
  <c r="K190" i="18" s="1"/>
  <c r="J75" i="18"/>
  <c r="J190" i="18" s="1"/>
  <c r="K74" i="18"/>
  <c r="K189" i="18" s="1"/>
  <c r="J74" i="18"/>
  <c r="J189" i="18" s="1"/>
  <c r="K73" i="18"/>
  <c r="K188" i="18" s="1"/>
  <c r="J73" i="18"/>
  <c r="J188" i="18" s="1"/>
  <c r="K72" i="18"/>
  <c r="K187" i="18" s="1"/>
  <c r="J72" i="18"/>
  <c r="J187" i="18" s="1"/>
  <c r="K71" i="18"/>
  <c r="K186" i="18" s="1"/>
  <c r="J71" i="18"/>
  <c r="J186" i="18" s="1"/>
  <c r="K70" i="18"/>
  <c r="K185" i="18" s="1"/>
  <c r="J70" i="18"/>
  <c r="J185" i="18" s="1"/>
  <c r="K69" i="18"/>
  <c r="K184" i="18" s="1"/>
  <c r="J69" i="18"/>
  <c r="J184" i="18" s="1"/>
  <c r="K68" i="18"/>
  <c r="J68" i="18"/>
  <c r="K67" i="18"/>
  <c r="J67" i="18"/>
  <c r="K66" i="18"/>
  <c r="J66" i="18"/>
  <c r="K65" i="18"/>
  <c r="J65" i="18"/>
  <c r="K64" i="18"/>
  <c r="J64" i="18"/>
  <c r="K63" i="18"/>
  <c r="J63" i="18"/>
  <c r="K62" i="18"/>
  <c r="J62" i="18"/>
  <c r="K61" i="18"/>
  <c r="J61" i="18"/>
  <c r="K60" i="18"/>
  <c r="J60" i="18"/>
  <c r="K59" i="18"/>
  <c r="J59" i="18"/>
  <c r="K58" i="18"/>
  <c r="J58" i="18"/>
  <c r="K57" i="18"/>
  <c r="J57" i="18"/>
  <c r="K50" i="18"/>
  <c r="J50" i="18"/>
  <c r="K49" i="18"/>
  <c r="K173" i="18" s="1"/>
  <c r="J49" i="18"/>
  <c r="J173" i="18" s="1"/>
  <c r="K48" i="18"/>
  <c r="K172" i="18" s="1"/>
  <c r="J48" i="18"/>
  <c r="J172" i="18" s="1"/>
  <c r="K47" i="18"/>
  <c r="K171" i="18" s="1"/>
  <c r="J47" i="18"/>
  <c r="J171" i="18" s="1"/>
  <c r="K46" i="18"/>
  <c r="K170" i="18" s="1"/>
  <c r="J46" i="18"/>
  <c r="J170" i="18" s="1"/>
  <c r="K45" i="18"/>
  <c r="K169" i="18" s="1"/>
  <c r="J45" i="18"/>
  <c r="J169" i="18" s="1"/>
  <c r="K44" i="18"/>
  <c r="K168" i="18" s="1"/>
  <c r="J44" i="18"/>
  <c r="J168" i="18" s="1"/>
  <c r="K43" i="18"/>
  <c r="K167" i="18" s="1"/>
  <c r="J43" i="18"/>
  <c r="J167" i="18" s="1"/>
  <c r="K42" i="18"/>
  <c r="J42" i="18"/>
  <c r="K41" i="18"/>
  <c r="J41" i="18"/>
  <c r="K40" i="18"/>
  <c r="J40" i="18"/>
  <c r="K39" i="18"/>
  <c r="J39" i="18"/>
  <c r="K38" i="18"/>
  <c r="J38" i="18"/>
  <c r="K37" i="18"/>
  <c r="J37" i="18"/>
  <c r="K36" i="18"/>
  <c r="J36" i="18"/>
  <c r="K35" i="18"/>
  <c r="J35" i="18"/>
  <c r="K34" i="18"/>
  <c r="J34" i="18"/>
  <c r="K33" i="18"/>
  <c r="J33" i="18"/>
  <c r="K32" i="18"/>
  <c r="J32" i="18"/>
  <c r="K31" i="18"/>
  <c r="J31" i="18"/>
  <c r="K24" i="18"/>
  <c r="K157" i="18" s="1"/>
  <c r="J24" i="18"/>
  <c r="J157" i="18" s="1"/>
  <c r="K23" i="18"/>
  <c r="K156" i="18" s="1"/>
  <c r="J23" i="18"/>
  <c r="J156" i="18" s="1"/>
  <c r="K22" i="18"/>
  <c r="K155" i="18" s="1"/>
  <c r="J22" i="18"/>
  <c r="K21" i="18"/>
  <c r="K154" i="18" s="1"/>
  <c r="J21" i="18"/>
  <c r="J154" i="18" s="1"/>
  <c r="K20" i="18"/>
  <c r="K153" i="18" s="1"/>
  <c r="J20" i="18"/>
  <c r="J153" i="18" s="1"/>
  <c r="K19" i="18"/>
  <c r="K152" i="18" s="1"/>
  <c r="J19" i="18"/>
  <c r="J152" i="18" s="1"/>
  <c r="K18" i="18"/>
  <c r="K151" i="18" s="1"/>
  <c r="J18" i="18"/>
  <c r="J151" i="18" s="1"/>
  <c r="K17" i="18"/>
  <c r="K150" i="18" s="1"/>
  <c r="J17" i="18"/>
  <c r="J150" i="18" s="1"/>
  <c r="K16" i="18"/>
  <c r="J16" i="18"/>
  <c r="K15" i="18"/>
  <c r="J15" i="18"/>
  <c r="K14" i="18"/>
  <c r="J14" i="18"/>
  <c r="K13" i="18"/>
  <c r="J13" i="18"/>
  <c r="K12" i="18"/>
  <c r="J12" i="18"/>
  <c r="K11" i="18"/>
  <c r="J11" i="18"/>
  <c r="K10" i="18"/>
  <c r="J10" i="18"/>
  <c r="K9" i="18"/>
  <c r="J9" i="18"/>
  <c r="K8" i="18"/>
  <c r="J8" i="18"/>
  <c r="K7" i="18"/>
  <c r="J7" i="18"/>
  <c r="K6" i="18"/>
  <c r="J6" i="18"/>
  <c r="K5" i="18"/>
  <c r="J5" i="18"/>
  <c r="A379" i="17"/>
  <c r="A378" i="17"/>
  <c r="L362" i="17"/>
  <c r="T351" i="17"/>
  <c r="S351" i="17"/>
  <c r="R351" i="17"/>
  <c r="Q351" i="17"/>
  <c r="P351" i="17"/>
  <c r="O351" i="17"/>
  <c r="N351" i="17"/>
  <c r="M351" i="17"/>
  <c r="I351" i="17"/>
  <c r="H351" i="17"/>
  <c r="G351" i="17"/>
  <c r="F351" i="17"/>
  <c r="E351" i="17"/>
  <c r="D351" i="17"/>
  <c r="C351" i="17"/>
  <c r="B351" i="17"/>
  <c r="T348" i="17"/>
  <c r="S348" i="17"/>
  <c r="R348" i="17"/>
  <c r="Q348" i="17"/>
  <c r="P348" i="17"/>
  <c r="O348" i="17"/>
  <c r="N348" i="17"/>
  <c r="M348" i="17"/>
  <c r="I348" i="17"/>
  <c r="H348" i="17"/>
  <c r="G348" i="17"/>
  <c r="F348" i="17"/>
  <c r="E348" i="17"/>
  <c r="D348" i="17"/>
  <c r="C348" i="17"/>
  <c r="B348" i="17"/>
  <c r="T347" i="17"/>
  <c r="S347" i="17"/>
  <c r="R347" i="17"/>
  <c r="Q347" i="17"/>
  <c r="P347" i="17"/>
  <c r="O347" i="17"/>
  <c r="N347" i="17"/>
  <c r="M347" i="17"/>
  <c r="I347" i="17"/>
  <c r="H347" i="17"/>
  <c r="G347" i="17"/>
  <c r="F347" i="17"/>
  <c r="E347" i="17"/>
  <c r="D347" i="17"/>
  <c r="C347" i="17"/>
  <c r="B347" i="17"/>
  <c r="T346" i="17"/>
  <c r="S346" i="17"/>
  <c r="R346" i="17"/>
  <c r="Q346" i="17"/>
  <c r="P346" i="17"/>
  <c r="O346" i="17"/>
  <c r="N346" i="17"/>
  <c r="M346" i="17"/>
  <c r="I346" i="17"/>
  <c r="H346" i="17"/>
  <c r="G346" i="17"/>
  <c r="F346" i="17"/>
  <c r="E346" i="17"/>
  <c r="D346" i="17"/>
  <c r="C346" i="17"/>
  <c r="B346" i="17"/>
  <c r="T345" i="17"/>
  <c r="S345" i="17"/>
  <c r="R345" i="17"/>
  <c r="Q345" i="17"/>
  <c r="P345" i="17"/>
  <c r="O345" i="17"/>
  <c r="N345" i="17"/>
  <c r="M345" i="17"/>
  <c r="I345" i="17"/>
  <c r="H345" i="17"/>
  <c r="G345" i="17"/>
  <c r="F345" i="17"/>
  <c r="E345" i="17"/>
  <c r="D345" i="17"/>
  <c r="C345" i="17"/>
  <c r="B345" i="17"/>
  <c r="T344" i="17"/>
  <c r="S344" i="17"/>
  <c r="R344" i="17"/>
  <c r="Q344" i="17"/>
  <c r="P344" i="17"/>
  <c r="O344" i="17"/>
  <c r="N344" i="17"/>
  <c r="M344" i="17"/>
  <c r="I344" i="17"/>
  <c r="H344" i="17"/>
  <c r="G344" i="17"/>
  <c r="F344" i="17"/>
  <c r="E344" i="17"/>
  <c r="D344" i="17"/>
  <c r="C344" i="17"/>
  <c r="B344" i="17"/>
  <c r="T343" i="17"/>
  <c r="S343" i="17"/>
  <c r="R343" i="17"/>
  <c r="Q343" i="17"/>
  <c r="P343" i="17"/>
  <c r="O343" i="17"/>
  <c r="N343" i="17"/>
  <c r="M343" i="17"/>
  <c r="I343" i="17"/>
  <c r="H343" i="17"/>
  <c r="G343" i="17"/>
  <c r="F343" i="17"/>
  <c r="E343" i="17"/>
  <c r="D343" i="17"/>
  <c r="C343" i="17"/>
  <c r="B343" i="17"/>
  <c r="T342" i="17"/>
  <c r="S342" i="17"/>
  <c r="R342" i="17"/>
  <c r="Q342" i="17"/>
  <c r="P342" i="17"/>
  <c r="O342" i="17"/>
  <c r="N342" i="17"/>
  <c r="M342" i="17"/>
  <c r="I342" i="17"/>
  <c r="H342" i="17"/>
  <c r="G342" i="17"/>
  <c r="F342" i="17"/>
  <c r="E342" i="17"/>
  <c r="D342" i="17"/>
  <c r="C342" i="17"/>
  <c r="B342" i="17"/>
  <c r="T341" i="17"/>
  <c r="S341" i="17"/>
  <c r="R341" i="17"/>
  <c r="Q341" i="17"/>
  <c r="P341" i="17"/>
  <c r="O341" i="17"/>
  <c r="N341" i="17"/>
  <c r="M341" i="17"/>
  <c r="I341" i="17"/>
  <c r="H341" i="17"/>
  <c r="G341" i="17"/>
  <c r="F341" i="17"/>
  <c r="E341" i="17"/>
  <c r="D341" i="17"/>
  <c r="C341" i="17"/>
  <c r="B341" i="17"/>
  <c r="T340" i="17"/>
  <c r="S340" i="17"/>
  <c r="R340" i="17"/>
  <c r="Q340" i="17"/>
  <c r="P340" i="17"/>
  <c r="O340" i="17"/>
  <c r="N340" i="17"/>
  <c r="M340" i="17"/>
  <c r="I340" i="17"/>
  <c r="H340" i="17"/>
  <c r="G340" i="17"/>
  <c r="F340" i="17"/>
  <c r="E340" i="17"/>
  <c r="D340" i="17"/>
  <c r="C340" i="17"/>
  <c r="B340" i="17"/>
  <c r="T339" i="17"/>
  <c r="S339" i="17"/>
  <c r="R339" i="17"/>
  <c r="Q339" i="17"/>
  <c r="P339" i="17"/>
  <c r="O339" i="17"/>
  <c r="N339" i="17"/>
  <c r="M339" i="17"/>
  <c r="I339" i="17"/>
  <c r="H339" i="17"/>
  <c r="G339" i="17"/>
  <c r="F339" i="17"/>
  <c r="E339" i="17"/>
  <c r="D339" i="17"/>
  <c r="C339" i="17"/>
  <c r="B339" i="17"/>
  <c r="T338" i="17"/>
  <c r="S338" i="17"/>
  <c r="R338" i="17"/>
  <c r="Q338" i="17"/>
  <c r="P338" i="17"/>
  <c r="O338" i="17"/>
  <c r="N338" i="17"/>
  <c r="M338" i="17"/>
  <c r="I338" i="17"/>
  <c r="H338" i="17"/>
  <c r="G338" i="17"/>
  <c r="F338" i="17"/>
  <c r="E338" i="17"/>
  <c r="D338" i="17"/>
  <c r="C338" i="17"/>
  <c r="B338" i="17"/>
  <c r="T337" i="17"/>
  <c r="S337" i="17"/>
  <c r="R337" i="17"/>
  <c r="Q337" i="17"/>
  <c r="P337" i="17"/>
  <c r="O337" i="17"/>
  <c r="N337" i="17"/>
  <c r="M337" i="17"/>
  <c r="I337" i="17"/>
  <c r="H337" i="17"/>
  <c r="G337" i="17"/>
  <c r="F337" i="17"/>
  <c r="E337" i="17"/>
  <c r="D337" i="17"/>
  <c r="C337" i="17"/>
  <c r="B337" i="17"/>
  <c r="T336" i="17"/>
  <c r="S336" i="17"/>
  <c r="R336" i="17"/>
  <c r="Q336" i="17"/>
  <c r="P336" i="17"/>
  <c r="O336" i="17"/>
  <c r="N336" i="17"/>
  <c r="M336" i="17"/>
  <c r="L336" i="17"/>
  <c r="I336" i="17"/>
  <c r="H336" i="17"/>
  <c r="G336" i="17"/>
  <c r="F336" i="17"/>
  <c r="E336" i="17"/>
  <c r="D336" i="17"/>
  <c r="C336" i="17"/>
  <c r="B336" i="17"/>
  <c r="R335" i="17"/>
  <c r="Q335" i="17"/>
  <c r="P335" i="17"/>
  <c r="O335" i="17"/>
  <c r="N335" i="17"/>
  <c r="M335" i="17"/>
  <c r="G335" i="17"/>
  <c r="F335" i="17"/>
  <c r="E335" i="17"/>
  <c r="D335" i="17"/>
  <c r="C335" i="17"/>
  <c r="B335" i="17"/>
  <c r="R334" i="17"/>
  <c r="Q334" i="17"/>
  <c r="P334" i="17"/>
  <c r="O334" i="17"/>
  <c r="N334" i="17"/>
  <c r="M334" i="17"/>
  <c r="G334" i="17"/>
  <c r="F334" i="17"/>
  <c r="E334" i="17"/>
  <c r="D334" i="17"/>
  <c r="C334" i="17"/>
  <c r="B334" i="17"/>
  <c r="R333" i="17"/>
  <c r="Q333" i="17"/>
  <c r="P333" i="17"/>
  <c r="O333" i="17"/>
  <c r="N333" i="17"/>
  <c r="M333" i="17"/>
  <c r="G333" i="17"/>
  <c r="F333" i="17"/>
  <c r="E333" i="17"/>
  <c r="D333" i="17"/>
  <c r="C333" i="17"/>
  <c r="B333" i="17"/>
  <c r="T332" i="17"/>
  <c r="S332" i="17"/>
  <c r="R332" i="17"/>
  <c r="Q332" i="17"/>
  <c r="P332" i="17"/>
  <c r="O332" i="17"/>
  <c r="N332" i="17"/>
  <c r="M332" i="17"/>
  <c r="I332" i="17"/>
  <c r="H332" i="17"/>
  <c r="G332" i="17"/>
  <c r="F332" i="17"/>
  <c r="E332" i="17"/>
  <c r="D332" i="17"/>
  <c r="C332" i="17"/>
  <c r="B332" i="17"/>
  <c r="T329" i="17"/>
  <c r="S329" i="17"/>
  <c r="R329" i="17"/>
  <c r="Q329" i="17"/>
  <c r="P329" i="17"/>
  <c r="O329" i="17"/>
  <c r="N329" i="17"/>
  <c r="M329" i="17"/>
  <c r="I329" i="17"/>
  <c r="H329" i="17"/>
  <c r="G329" i="17"/>
  <c r="F329" i="17"/>
  <c r="E329" i="17"/>
  <c r="D329" i="17"/>
  <c r="C329" i="17"/>
  <c r="B329" i="17"/>
  <c r="T326" i="17"/>
  <c r="S326" i="17"/>
  <c r="R326" i="17"/>
  <c r="Q326" i="17"/>
  <c r="P326" i="17"/>
  <c r="O326" i="17"/>
  <c r="N326" i="17"/>
  <c r="M326" i="17"/>
  <c r="I326" i="17"/>
  <c r="H326" i="17"/>
  <c r="G326" i="17"/>
  <c r="F326" i="17"/>
  <c r="E326" i="17"/>
  <c r="D326" i="17"/>
  <c r="C326" i="17"/>
  <c r="B326" i="17"/>
  <c r="T325" i="17"/>
  <c r="S325" i="17"/>
  <c r="R325" i="17"/>
  <c r="Q325" i="17"/>
  <c r="P325" i="17"/>
  <c r="O325" i="17"/>
  <c r="N325" i="17"/>
  <c r="M325" i="17"/>
  <c r="I325" i="17"/>
  <c r="H325" i="17"/>
  <c r="G325" i="17"/>
  <c r="F325" i="17"/>
  <c r="E325" i="17"/>
  <c r="D325" i="17"/>
  <c r="C325" i="17"/>
  <c r="B325" i="17"/>
  <c r="T324" i="17"/>
  <c r="S324" i="17"/>
  <c r="R324" i="17"/>
  <c r="Q324" i="17"/>
  <c r="P324" i="17"/>
  <c r="O324" i="17"/>
  <c r="N324" i="17"/>
  <c r="M324" i="17"/>
  <c r="I324" i="17"/>
  <c r="H324" i="17"/>
  <c r="G324" i="17"/>
  <c r="F324" i="17"/>
  <c r="E324" i="17"/>
  <c r="D324" i="17"/>
  <c r="C324" i="17"/>
  <c r="B324" i="17"/>
  <c r="T323" i="17"/>
  <c r="S323" i="17"/>
  <c r="R323" i="17"/>
  <c r="Q323" i="17"/>
  <c r="P323" i="17"/>
  <c r="O323" i="17"/>
  <c r="N323" i="17"/>
  <c r="M323" i="17"/>
  <c r="I323" i="17"/>
  <c r="H323" i="17"/>
  <c r="G323" i="17"/>
  <c r="F323" i="17"/>
  <c r="E323" i="17"/>
  <c r="D323" i="17"/>
  <c r="C323" i="17"/>
  <c r="B323" i="17"/>
  <c r="T322" i="17"/>
  <c r="S322" i="17"/>
  <c r="R322" i="17"/>
  <c r="Q322" i="17"/>
  <c r="P322" i="17"/>
  <c r="O322" i="17"/>
  <c r="N322" i="17"/>
  <c r="M322" i="17"/>
  <c r="I322" i="17"/>
  <c r="H322" i="17"/>
  <c r="G322" i="17"/>
  <c r="F322" i="17"/>
  <c r="E322" i="17"/>
  <c r="D322" i="17"/>
  <c r="C322" i="17"/>
  <c r="B322" i="17"/>
  <c r="T321" i="17"/>
  <c r="S321" i="17"/>
  <c r="R321" i="17"/>
  <c r="Q321" i="17"/>
  <c r="P321" i="17"/>
  <c r="O321" i="17"/>
  <c r="N321" i="17"/>
  <c r="M321" i="17"/>
  <c r="I321" i="17"/>
  <c r="H321" i="17"/>
  <c r="G321" i="17"/>
  <c r="F321" i="17"/>
  <c r="E321" i="17"/>
  <c r="D321" i="17"/>
  <c r="C321" i="17"/>
  <c r="B321" i="17"/>
  <c r="T320" i="17"/>
  <c r="S320" i="17"/>
  <c r="R320" i="17"/>
  <c r="Q320" i="17"/>
  <c r="P320" i="17"/>
  <c r="O320" i="17"/>
  <c r="N320" i="17"/>
  <c r="M320" i="17"/>
  <c r="I320" i="17"/>
  <c r="H320" i="17"/>
  <c r="G320" i="17"/>
  <c r="F320" i="17"/>
  <c r="E320" i="17"/>
  <c r="D320" i="17"/>
  <c r="C320" i="17"/>
  <c r="B320" i="17"/>
  <c r="T319" i="17"/>
  <c r="S319" i="17"/>
  <c r="R319" i="17"/>
  <c r="Q319" i="17"/>
  <c r="P319" i="17"/>
  <c r="O319" i="17"/>
  <c r="N319" i="17"/>
  <c r="M319" i="17"/>
  <c r="I319" i="17"/>
  <c r="H319" i="17"/>
  <c r="G319" i="17"/>
  <c r="F319" i="17"/>
  <c r="E319" i="17"/>
  <c r="D319" i="17"/>
  <c r="C319" i="17"/>
  <c r="B319" i="17"/>
  <c r="T318" i="17"/>
  <c r="S318" i="17"/>
  <c r="R318" i="17"/>
  <c r="Q318" i="17"/>
  <c r="P318" i="17"/>
  <c r="O318" i="17"/>
  <c r="N318" i="17"/>
  <c r="M318" i="17"/>
  <c r="I318" i="17"/>
  <c r="H318" i="17"/>
  <c r="G318" i="17"/>
  <c r="F318" i="17"/>
  <c r="E318" i="17"/>
  <c r="D318" i="17"/>
  <c r="C318" i="17"/>
  <c r="B318" i="17"/>
  <c r="T317" i="17"/>
  <c r="S317" i="17"/>
  <c r="R317" i="17"/>
  <c r="Q317" i="17"/>
  <c r="P317" i="17"/>
  <c r="O317" i="17"/>
  <c r="N317" i="17"/>
  <c r="M317" i="17"/>
  <c r="I317" i="17"/>
  <c r="H317" i="17"/>
  <c r="G317" i="17"/>
  <c r="F317" i="17"/>
  <c r="E317" i="17"/>
  <c r="D317" i="17"/>
  <c r="C317" i="17"/>
  <c r="B317" i="17"/>
  <c r="T316" i="17"/>
  <c r="S316" i="17"/>
  <c r="R316" i="17"/>
  <c r="Q316" i="17"/>
  <c r="P316" i="17"/>
  <c r="O316" i="17"/>
  <c r="N316" i="17"/>
  <c r="M316" i="17"/>
  <c r="I316" i="17"/>
  <c r="H316" i="17"/>
  <c r="G316" i="17"/>
  <c r="F316" i="17"/>
  <c r="E316" i="17"/>
  <c r="D316" i="17"/>
  <c r="C316" i="17"/>
  <c r="B316" i="17"/>
  <c r="T315" i="17"/>
  <c r="S315" i="17"/>
  <c r="R315" i="17"/>
  <c r="Q315" i="17"/>
  <c r="P315" i="17"/>
  <c r="O315" i="17"/>
  <c r="N315" i="17"/>
  <c r="M315" i="17"/>
  <c r="I315" i="17"/>
  <c r="H315" i="17"/>
  <c r="G315" i="17"/>
  <c r="F315" i="17"/>
  <c r="E315" i="17"/>
  <c r="D315" i="17"/>
  <c r="C315" i="17"/>
  <c r="B315" i="17"/>
  <c r="T314" i="17"/>
  <c r="S314" i="17"/>
  <c r="R314" i="17"/>
  <c r="Q314" i="17"/>
  <c r="P314" i="17"/>
  <c r="O314" i="17"/>
  <c r="N314" i="17"/>
  <c r="M314" i="17"/>
  <c r="L314" i="17"/>
  <c r="I314" i="17"/>
  <c r="H314" i="17"/>
  <c r="G314" i="17"/>
  <c r="F314" i="17"/>
  <c r="E314" i="17"/>
  <c r="D314" i="17"/>
  <c r="C314" i="17"/>
  <c r="B314" i="17"/>
  <c r="R313" i="17"/>
  <c r="Q313" i="17"/>
  <c r="P313" i="17"/>
  <c r="O313" i="17"/>
  <c r="N313" i="17"/>
  <c r="M313" i="17"/>
  <c r="G313" i="17"/>
  <c r="F313" i="17"/>
  <c r="E313" i="17"/>
  <c r="D313" i="17"/>
  <c r="C313" i="17"/>
  <c r="B313" i="17"/>
  <c r="R312" i="17"/>
  <c r="Q312" i="17"/>
  <c r="P312" i="17"/>
  <c r="O312" i="17"/>
  <c r="N312" i="17"/>
  <c r="M312" i="17"/>
  <c r="G312" i="17"/>
  <c r="F312" i="17"/>
  <c r="E312" i="17"/>
  <c r="D312" i="17"/>
  <c r="C312" i="17"/>
  <c r="B312" i="17"/>
  <c r="R311" i="17"/>
  <c r="Q311" i="17"/>
  <c r="P311" i="17"/>
  <c r="O311" i="17"/>
  <c r="N311" i="17"/>
  <c r="M311" i="17"/>
  <c r="G311" i="17"/>
  <c r="F311" i="17"/>
  <c r="E311" i="17"/>
  <c r="D311" i="17"/>
  <c r="C311" i="17"/>
  <c r="B311" i="17"/>
  <c r="T310" i="17"/>
  <c r="S310" i="17"/>
  <c r="R310" i="17"/>
  <c r="Q310" i="17"/>
  <c r="P310" i="17"/>
  <c r="O310" i="17"/>
  <c r="N310" i="17"/>
  <c r="M310" i="17"/>
  <c r="I310" i="17"/>
  <c r="H310" i="17"/>
  <c r="G310" i="17"/>
  <c r="F310" i="17"/>
  <c r="E310" i="17"/>
  <c r="D310" i="17"/>
  <c r="C310" i="17"/>
  <c r="B310" i="17"/>
  <c r="T303" i="17"/>
  <c r="S303" i="17"/>
  <c r="R303" i="17"/>
  <c r="Q303" i="17"/>
  <c r="P303" i="17"/>
  <c r="O303" i="17"/>
  <c r="N303" i="17"/>
  <c r="M303" i="17"/>
  <c r="I303" i="17"/>
  <c r="H303" i="17"/>
  <c r="G303" i="17"/>
  <c r="F303" i="17"/>
  <c r="E303" i="17"/>
  <c r="D303" i="17"/>
  <c r="C303" i="17"/>
  <c r="B303" i="17"/>
  <c r="T300" i="17"/>
  <c r="S300" i="17"/>
  <c r="R300" i="17"/>
  <c r="Q300" i="17"/>
  <c r="P300" i="17"/>
  <c r="O300" i="17"/>
  <c r="N300" i="17"/>
  <c r="M300" i="17"/>
  <c r="I300" i="17"/>
  <c r="H300" i="17"/>
  <c r="G300" i="17"/>
  <c r="F300" i="17"/>
  <c r="E300" i="17"/>
  <c r="D300" i="17"/>
  <c r="C300" i="17"/>
  <c r="B300" i="17"/>
  <c r="T299" i="17"/>
  <c r="S299" i="17"/>
  <c r="R299" i="17"/>
  <c r="Q299" i="17"/>
  <c r="P299" i="17"/>
  <c r="O299" i="17"/>
  <c r="N299" i="17"/>
  <c r="M299" i="17"/>
  <c r="I299" i="17"/>
  <c r="H299" i="17"/>
  <c r="G299" i="17"/>
  <c r="F299" i="17"/>
  <c r="E299" i="17"/>
  <c r="D299" i="17"/>
  <c r="C299" i="17"/>
  <c r="B299" i="17"/>
  <c r="T298" i="17"/>
  <c r="S298" i="17"/>
  <c r="R298" i="17"/>
  <c r="Q298" i="17"/>
  <c r="P298" i="17"/>
  <c r="O298" i="17"/>
  <c r="N298" i="17"/>
  <c r="M298" i="17"/>
  <c r="I298" i="17"/>
  <c r="H298" i="17"/>
  <c r="G298" i="17"/>
  <c r="F298" i="17"/>
  <c r="E298" i="17"/>
  <c r="D298" i="17"/>
  <c r="C298" i="17"/>
  <c r="B298" i="17"/>
  <c r="T297" i="17"/>
  <c r="S297" i="17"/>
  <c r="R297" i="17"/>
  <c r="Q297" i="17"/>
  <c r="P297" i="17"/>
  <c r="O297" i="17"/>
  <c r="N297" i="17"/>
  <c r="M297" i="17"/>
  <c r="I297" i="17"/>
  <c r="H297" i="17"/>
  <c r="G297" i="17"/>
  <c r="F297" i="17"/>
  <c r="E297" i="17"/>
  <c r="D297" i="17"/>
  <c r="C297" i="17"/>
  <c r="B297" i="17"/>
  <c r="T296" i="17"/>
  <c r="S296" i="17"/>
  <c r="R296" i="17"/>
  <c r="Q296" i="17"/>
  <c r="P296" i="17"/>
  <c r="O296" i="17"/>
  <c r="N296" i="17"/>
  <c r="M296" i="17"/>
  <c r="I296" i="17"/>
  <c r="H296" i="17"/>
  <c r="G296" i="17"/>
  <c r="F296" i="17"/>
  <c r="E296" i="17"/>
  <c r="D296" i="17"/>
  <c r="C296" i="17"/>
  <c r="B296" i="17"/>
  <c r="T295" i="17"/>
  <c r="S295" i="17"/>
  <c r="R295" i="17"/>
  <c r="Q295" i="17"/>
  <c r="P295" i="17"/>
  <c r="O295" i="17"/>
  <c r="N295" i="17"/>
  <c r="M295" i="17"/>
  <c r="I295" i="17"/>
  <c r="H295" i="17"/>
  <c r="G295" i="17"/>
  <c r="F295" i="17"/>
  <c r="E295" i="17"/>
  <c r="D295" i="17"/>
  <c r="C295" i="17"/>
  <c r="B295" i="17"/>
  <c r="T294" i="17"/>
  <c r="S294" i="17"/>
  <c r="R294" i="17"/>
  <c r="Q294" i="17"/>
  <c r="P294" i="17"/>
  <c r="O294" i="17"/>
  <c r="N294" i="17"/>
  <c r="M294" i="17"/>
  <c r="I294" i="17"/>
  <c r="H294" i="17"/>
  <c r="G294" i="17"/>
  <c r="F294" i="17"/>
  <c r="E294" i="17"/>
  <c r="D294" i="17"/>
  <c r="C294" i="17"/>
  <c r="B294" i="17"/>
  <c r="T293" i="17"/>
  <c r="S293" i="17"/>
  <c r="R293" i="17"/>
  <c r="Q293" i="17"/>
  <c r="P293" i="17"/>
  <c r="O293" i="17"/>
  <c r="N293" i="17"/>
  <c r="M293" i="17"/>
  <c r="I293" i="17"/>
  <c r="H293" i="17"/>
  <c r="G293" i="17"/>
  <c r="F293" i="17"/>
  <c r="E293" i="17"/>
  <c r="D293" i="17"/>
  <c r="C293" i="17"/>
  <c r="B293" i="17"/>
  <c r="T292" i="17"/>
  <c r="S292" i="17"/>
  <c r="R292" i="17"/>
  <c r="Q292" i="17"/>
  <c r="P292" i="17"/>
  <c r="O292" i="17"/>
  <c r="N292" i="17"/>
  <c r="M292" i="17"/>
  <c r="I292" i="17"/>
  <c r="H292" i="17"/>
  <c r="G292" i="17"/>
  <c r="F292" i="17"/>
  <c r="E292" i="17"/>
  <c r="D292" i="17"/>
  <c r="C292" i="17"/>
  <c r="B292" i="17"/>
  <c r="T291" i="17"/>
  <c r="S291" i="17"/>
  <c r="R291" i="17"/>
  <c r="Q291" i="17"/>
  <c r="P291" i="17"/>
  <c r="O291" i="17"/>
  <c r="N291" i="17"/>
  <c r="M291" i="17"/>
  <c r="I291" i="17"/>
  <c r="H291" i="17"/>
  <c r="G291" i="17"/>
  <c r="F291" i="17"/>
  <c r="E291" i="17"/>
  <c r="D291" i="17"/>
  <c r="C291" i="17"/>
  <c r="B291" i="17"/>
  <c r="T290" i="17"/>
  <c r="S290" i="17"/>
  <c r="R290" i="17"/>
  <c r="Q290" i="17"/>
  <c r="P290" i="17"/>
  <c r="O290" i="17"/>
  <c r="N290" i="17"/>
  <c r="M290" i="17"/>
  <c r="I290" i="17"/>
  <c r="H290" i="17"/>
  <c r="G290" i="17"/>
  <c r="F290" i="17"/>
  <c r="E290" i="17"/>
  <c r="D290" i="17"/>
  <c r="C290" i="17"/>
  <c r="B290" i="17"/>
  <c r="T289" i="17"/>
  <c r="S289" i="17"/>
  <c r="R289" i="17"/>
  <c r="Q289" i="17"/>
  <c r="P289" i="17"/>
  <c r="O289" i="17"/>
  <c r="N289" i="17"/>
  <c r="M289" i="17"/>
  <c r="I289" i="17"/>
  <c r="H289" i="17"/>
  <c r="G289" i="17"/>
  <c r="F289" i="17"/>
  <c r="E289" i="17"/>
  <c r="D289" i="17"/>
  <c r="C289" i="17"/>
  <c r="B289" i="17"/>
  <c r="T288" i="17"/>
  <c r="S288" i="17"/>
  <c r="R288" i="17"/>
  <c r="Q288" i="17"/>
  <c r="P288" i="17"/>
  <c r="O288" i="17"/>
  <c r="N288" i="17"/>
  <c r="M288" i="17"/>
  <c r="I288" i="17"/>
  <c r="H288" i="17"/>
  <c r="G288" i="17"/>
  <c r="F288" i="17"/>
  <c r="E288" i="17"/>
  <c r="D288" i="17"/>
  <c r="C288" i="17"/>
  <c r="B288" i="17"/>
  <c r="T287" i="17"/>
  <c r="R287" i="17"/>
  <c r="Q287" i="17"/>
  <c r="P287" i="17"/>
  <c r="O287" i="17"/>
  <c r="N287" i="17"/>
  <c r="M287" i="17"/>
  <c r="I287" i="17"/>
  <c r="G287" i="17"/>
  <c r="F287" i="17"/>
  <c r="E287" i="17"/>
  <c r="D287" i="17"/>
  <c r="C287" i="17"/>
  <c r="B287" i="17"/>
  <c r="T286" i="17"/>
  <c r="S286" i="17"/>
  <c r="R286" i="17"/>
  <c r="Q286" i="17"/>
  <c r="P286" i="17"/>
  <c r="O286" i="17"/>
  <c r="N286" i="17"/>
  <c r="M286" i="17"/>
  <c r="I286" i="17"/>
  <c r="H286" i="17"/>
  <c r="G286" i="17"/>
  <c r="F286" i="17"/>
  <c r="E286" i="17"/>
  <c r="D286" i="17"/>
  <c r="C286" i="17"/>
  <c r="B286" i="17"/>
  <c r="T285" i="17"/>
  <c r="S285" i="17"/>
  <c r="R285" i="17"/>
  <c r="Q285" i="17"/>
  <c r="P285" i="17"/>
  <c r="O285" i="17"/>
  <c r="N285" i="17"/>
  <c r="M285" i="17"/>
  <c r="I285" i="17"/>
  <c r="H285" i="17"/>
  <c r="G285" i="17"/>
  <c r="F285" i="17"/>
  <c r="E285" i="17"/>
  <c r="D285" i="17"/>
  <c r="C285" i="17"/>
  <c r="B285" i="17"/>
  <c r="T284" i="17"/>
  <c r="S284" i="17"/>
  <c r="R284" i="17"/>
  <c r="Q284" i="17"/>
  <c r="P284" i="17"/>
  <c r="O284" i="17"/>
  <c r="N284" i="17"/>
  <c r="M284" i="17"/>
  <c r="I284" i="17"/>
  <c r="H284" i="17"/>
  <c r="G284" i="17"/>
  <c r="F284" i="17"/>
  <c r="E284" i="17"/>
  <c r="D284" i="17"/>
  <c r="C284" i="17"/>
  <c r="B284" i="17"/>
  <c r="T281" i="17"/>
  <c r="S281" i="17"/>
  <c r="R281" i="17"/>
  <c r="Q281" i="17"/>
  <c r="P281" i="17"/>
  <c r="O281" i="17"/>
  <c r="N281" i="17"/>
  <c r="M281" i="17"/>
  <c r="H281" i="17"/>
  <c r="G281" i="17"/>
  <c r="F281" i="17"/>
  <c r="E281" i="17"/>
  <c r="D281" i="17"/>
  <c r="C281" i="17"/>
  <c r="B281" i="17"/>
  <c r="T278" i="17"/>
  <c r="S278" i="17"/>
  <c r="R278" i="17"/>
  <c r="Q278" i="17"/>
  <c r="P278" i="17"/>
  <c r="O278" i="17"/>
  <c r="N278" i="17"/>
  <c r="M278" i="17"/>
  <c r="I278" i="17"/>
  <c r="H278" i="17"/>
  <c r="G278" i="17"/>
  <c r="F278" i="17"/>
  <c r="E278" i="17"/>
  <c r="D278" i="17"/>
  <c r="C278" i="17"/>
  <c r="B278" i="17"/>
  <c r="T277" i="17"/>
  <c r="S277" i="17"/>
  <c r="R277" i="17"/>
  <c r="Q277" i="17"/>
  <c r="P277" i="17"/>
  <c r="O277" i="17"/>
  <c r="N277" i="17"/>
  <c r="M277" i="17"/>
  <c r="I277" i="17"/>
  <c r="H277" i="17"/>
  <c r="G277" i="17"/>
  <c r="F277" i="17"/>
  <c r="E277" i="17"/>
  <c r="D277" i="17"/>
  <c r="C277" i="17"/>
  <c r="B277" i="17"/>
  <c r="T276" i="17"/>
  <c r="S276" i="17"/>
  <c r="R276" i="17"/>
  <c r="Q276" i="17"/>
  <c r="P276" i="17"/>
  <c r="O276" i="17"/>
  <c r="N276" i="17"/>
  <c r="M276" i="17"/>
  <c r="I276" i="17"/>
  <c r="H276" i="17"/>
  <c r="G276" i="17"/>
  <c r="F276" i="17"/>
  <c r="E276" i="17"/>
  <c r="D276" i="17"/>
  <c r="C276" i="17"/>
  <c r="B276" i="17"/>
  <c r="T275" i="17"/>
  <c r="S275" i="17"/>
  <c r="R275" i="17"/>
  <c r="Q275" i="17"/>
  <c r="P275" i="17"/>
  <c r="O275" i="17"/>
  <c r="N275" i="17"/>
  <c r="M275" i="17"/>
  <c r="I275" i="17"/>
  <c r="H275" i="17"/>
  <c r="G275" i="17"/>
  <c r="F275" i="17"/>
  <c r="E275" i="17"/>
  <c r="D275" i="17"/>
  <c r="C275" i="17"/>
  <c r="B275" i="17"/>
  <c r="T274" i="17"/>
  <c r="S274" i="17"/>
  <c r="R274" i="17"/>
  <c r="Q274" i="17"/>
  <c r="P274" i="17"/>
  <c r="O274" i="17"/>
  <c r="N274" i="17"/>
  <c r="M274" i="17"/>
  <c r="I274" i="17"/>
  <c r="H274" i="17"/>
  <c r="G274" i="17"/>
  <c r="F274" i="17"/>
  <c r="E274" i="17"/>
  <c r="D274" i="17"/>
  <c r="C274" i="17"/>
  <c r="B274" i="17"/>
  <c r="T273" i="17"/>
  <c r="S273" i="17"/>
  <c r="R273" i="17"/>
  <c r="Q273" i="17"/>
  <c r="P273" i="17"/>
  <c r="O273" i="17"/>
  <c r="N273" i="17"/>
  <c r="M273" i="17"/>
  <c r="I273" i="17"/>
  <c r="H273" i="17"/>
  <c r="G273" i="17"/>
  <c r="F273" i="17"/>
  <c r="E273" i="17"/>
  <c r="D273" i="17"/>
  <c r="C273" i="17"/>
  <c r="B273" i="17"/>
  <c r="T272" i="17"/>
  <c r="S272" i="17"/>
  <c r="R272" i="17"/>
  <c r="Q272" i="17"/>
  <c r="P272" i="17"/>
  <c r="O272" i="17"/>
  <c r="N272" i="17"/>
  <c r="M272" i="17"/>
  <c r="I272" i="17"/>
  <c r="H272" i="17"/>
  <c r="G272" i="17"/>
  <c r="F272" i="17"/>
  <c r="E272" i="17"/>
  <c r="D272" i="17"/>
  <c r="C272" i="17"/>
  <c r="B272" i="17"/>
  <c r="T271" i="17"/>
  <c r="S271" i="17"/>
  <c r="R271" i="17"/>
  <c r="Q271" i="17"/>
  <c r="P271" i="17"/>
  <c r="O271" i="17"/>
  <c r="N271" i="17"/>
  <c r="M271" i="17"/>
  <c r="I271" i="17"/>
  <c r="H271" i="17"/>
  <c r="G271" i="17"/>
  <c r="F271" i="17"/>
  <c r="E271" i="17"/>
  <c r="D271" i="17"/>
  <c r="C271" i="17"/>
  <c r="B271" i="17"/>
  <c r="T270" i="17"/>
  <c r="S270" i="17"/>
  <c r="R270" i="17"/>
  <c r="Q270" i="17"/>
  <c r="P270" i="17"/>
  <c r="O270" i="17"/>
  <c r="N270" i="17"/>
  <c r="M270" i="17"/>
  <c r="I270" i="17"/>
  <c r="H270" i="17"/>
  <c r="G270" i="17"/>
  <c r="F270" i="17"/>
  <c r="E270" i="17"/>
  <c r="D270" i="17"/>
  <c r="C270" i="17"/>
  <c r="B270" i="17"/>
  <c r="T269" i="17"/>
  <c r="S269" i="17"/>
  <c r="R269" i="17"/>
  <c r="Q269" i="17"/>
  <c r="P269" i="17"/>
  <c r="O269" i="17"/>
  <c r="N269" i="17"/>
  <c r="M269" i="17"/>
  <c r="I269" i="17"/>
  <c r="H269" i="17"/>
  <c r="G269" i="17"/>
  <c r="F269" i="17"/>
  <c r="E269" i="17"/>
  <c r="D269" i="17"/>
  <c r="C269" i="17"/>
  <c r="B269" i="17"/>
  <c r="T268" i="17"/>
  <c r="S268" i="17"/>
  <c r="R268" i="17"/>
  <c r="Q268" i="17"/>
  <c r="P268" i="17"/>
  <c r="O268" i="17"/>
  <c r="N268" i="17"/>
  <c r="M268" i="17"/>
  <c r="I268" i="17"/>
  <c r="H268" i="17"/>
  <c r="G268" i="17"/>
  <c r="F268" i="17"/>
  <c r="E268" i="17"/>
  <c r="D268" i="17"/>
  <c r="C268" i="17"/>
  <c r="B268" i="17"/>
  <c r="T267" i="17"/>
  <c r="S267" i="17"/>
  <c r="R267" i="17"/>
  <c r="Q267" i="17"/>
  <c r="P267" i="17"/>
  <c r="O267" i="17"/>
  <c r="N267" i="17"/>
  <c r="M267" i="17"/>
  <c r="I267" i="17"/>
  <c r="H267" i="17"/>
  <c r="G267" i="17"/>
  <c r="F267" i="17"/>
  <c r="E267" i="17"/>
  <c r="D267" i="17"/>
  <c r="C267" i="17"/>
  <c r="B267" i="17"/>
  <c r="T266" i="17"/>
  <c r="S266" i="17"/>
  <c r="R266" i="17"/>
  <c r="Q266" i="17"/>
  <c r="P266" i="17"/>
  <c r="O266" i="17"/>
  <c r="N266" i="17"/>
  <c r="M266" i="17"/>
  <c r="L266" i="17"/>
  <c r="I266" i="17"/>
  <c r="H266" i="17"/>
  <c r="G266" i="17"/>
  <c r="F266" i="17"/>
  <c r="E266" i="17"/>
  <c r="D266" i="17"/>
  <c r="C266" i="17"/>
  <c r="B266" i="17"/>
  <c r="T265" i="17"/>
  <c r="R265" i="17"/>
  <c r="Q265" i="17"/>
  <c r="P265" i="17"/>
  <c r="O265" i="17"/>
  <c r="N265" i="17"/>
  <c r="M265" i="17"/>
  <c r="I265" i="17"/>
  <c r="G265" i="17"/>
  <c r="F265" i="17"/>
  <c r="E265" i="17"/>
  <c r="D265" i="17"/>
  <c r="C265" i="17"/>
  <c r="B265" i="17"/>
  <c r="T264" i="17"/>
  <c r="S264" i="17"/>
  <c r="R264" i="17"/>
  <c r="Q264" i="17"/>
  <c r="P264" i="17"/>
  <c r="O264" i="17"/>
  <c r="N264" i="17"/>
  <c r="M264" i="17"/>
  <c r="I264" i="17"/>
  <c r="H264" i="17"/>
  <c r="G264" i="17"/>
  <c r="F264" i="17"/>
  <c r="E264" i="17"/>
  <c r="D264" i="17"/>
  <c r="C264" i="17"/>
  <c r="B264" i="17"/>
  <c r="T263" i="17"/>
  <c r="S263" i="17"/>
  <c r="R263" i="17"/>
  <c r="Q263" i="17"/>
  <c r="P263" i="17"/>
  <c r="O263" i="17"/>
  <c r="N263" i="17"/>
  <c r="M263" i="17"/>
  <c r="I263" i="17"/>
  <c r="H263" i="17"/>
  <c r="G263" i="17"/>
  <c r="F263" i="17"/>
  <c r="E263" i="17"/>
  <c r="D263" i="17"/>
  <c r="C263" i="17"/>
  <c r="B263" i="17"/>
  <c r="T262" i="17"/>
  <c r="S262" i="17"/>
  <c r="R262" i="17"/>
  <c r="Q262" i="17"/>
  <c r="P262" i="17"/>
  <c r="O262" i="17"/>
  <c r="N262" i="17"/>
  <c r="M262" i="17"/>
  <c r="I262" i="17"/>
  <c r="H262" i="17"/>
  <c r="G262" i="17"/>
  <c r="F262" i="17"/>
  <c r="E262" i="17"/>
  <c r="D262" i="17"/>
  <c r="C262" i="17"/>
  <c r="B262" i="17"/>
  <c r="T238" i="17"/>
  <c r="T377" i="17" s="1"/>
  <c r="S238" i="17"/>
  <c r="S377" i="17" s="1"/>
  <c r="R238" i="17"/>
  <c r="R377" i="17" s="1"/>
  <c r="Q238" i="17"/>
  <c r="Q377" i="17" s="1"/>
  <c r="P238" i="17"/>
  <c r="P377" i="17" s="1"/>
  <c r="O238" i="17"/>
  <c r="O377" i="17" s="1"/>
  <c r="N238" i="17"/>
  <c r="N377" i="17" s="1"/>
  <c r="M238" i="17"/>
  <c r="M377" i="17" s="1"/>
  <c r="H238" i="17"/>
  <c r="H377" i="17" s="1"/>
  <c r="G238" i="17"/>
  <c r="G377" i="17" s="1"/>
  <c r="F238" i="17"/>
  <c r="F377" i="17" s="1"/>
  <c r="E238" i="17"/>
  <c r="E377" i="17" s="1"/>
  <c r="D238" i="17"/>
  <c r="D377" i="17" s="1"/>
  <c r="C238" i="17"/>
  <c r="C377" i="17" s="1"/>
  <c r="B238" i="17"/>
  <c r="B377" i="17" s="1"/>
  <c r="T235" i="17"/>
  <c r="T374" i="17" s="1"/>
  <c r="S235" i="17"/>
  <c r="S374" i="17" s="1"/>
  <c r="R235" i="17"/>
  <c r="R374" i="17" s="1"/>
  <c r="Q235" i="17"/>
  <c r="Q374" i="17" s="1"/>
  <c r="P235" i="17"/>
  <c r="P374" i="17" s="1"/>
  <c r="O235" i="17"/>
  <c r="O374" i="17" s="1"/>
  <c r="N235" i="17"/>
  <c r="N374" i="17" s="1"/>
  <c r="M235" i="17"/>
  <c r="M374" i="17" s="1"/>
  <c r="I235" i="17"/>
  <c r="I374" i="17" s="1"/>
  <c r="H235" i="17"/>
  <c r="H374" i="17" s="1"/>
  <c r="G235" i="17"/>
  <c r="G374" i="17" s="1"/>
  <c r="F235" i="17"/>
  <c r="F374" i="17" s="1"/>
  <c r="E235" i="17"/>
  <c r="E374" i="17" s="1"/>
  <c r="D235" i="17"/>
  <c r="D374" i="17" s="1"/>
  <c r="C235" i="17"/>
  <c r="C374" i="17" s="1"/>
  <c r="B235" i="17"/>
  <c r="B374" i="17" s="1"/>
  <c r="T234" i="17"/>
  <c r="T373" i="17" s="1"/>
  <c r="S234" i="17"/>
  <c r="S373" i="17" s="1"/>
  <c r="R234" i="17"/>
  <c r="R373" i="17" s="1"/>
  <c r="Q234" i="17"/>
  <c r="Q373" i="17" s="1"/>
  <c r="P234" i="17"/>
  <c r="P373" i="17" s="1"/>
  <c r="O234" i="17"/>
  <c r="O373" i="17" s="1"/>
  <c r="N234" i="17"/>
  <c r="N373" i="17" s="1"/>
  <c r="M234" i="17"/>
  <c r="M373" i="17" s="1"/>
  <c r="I234" i="17"/>
  <c r="I373" i="17" s="1"/>
  <c r="H234" i="17"/>
  <c r="H373" i="17" s="1"/>
  <c r="G234" i="17"/>
  <c r="G373" i="17" s="1"/>
  <c r="F234" i="17"/>
  <c r="F373" i="17" s="1"/>
  <c r="E234" i="17"/>
  <c r="E373" i="17" s="1"/>
  <c r="D234" i="17"/>
  <c r="D373" i="17" s="1"/>
  <c r="C234" i="17"/>
  <c r="C373" i="17" s="1"/>
  <c r="B234" i="17"/>
  <c r="B373" i="17" s="1"/>
  <c r="T233" i="17"/>
  <c r="T372" i="17" s="1"/>
  <c r="S233" i="17"/>
  <c r="S372" i="17" s="1"/>
  <c r="R233" i="17"/>
  <c r="R372" i="17" s="1"/>
  <c r="Q233" i="17"/>
  <c r="Q372" i="17" s="1"/>
  <c r="P233" i="17"/>
  <c r="P372" i="17" s="1"/>
  <c r="O233" i="17"/>
  <c r="O372" i="17" s="1"/>
  <c r="N233" i="17"/>
  <c r="N372" i="17" s="1"/>
  <c r="M233" i="17"/>
  <c r="M372" i="17" s="1"/>
  <c r="I233" i="17"/>
  <c r="I372" i="17" s="1"/>
  <c r="H233" i="17"/>
  <c r="H372" i="17" s="1"/>
  <c r="G233" i="17"/>
  <c r="G372" i="17" s="1"/>
  <c r="F233" i="17"/>
  <c r="F372" i="17" s="1"/>
  <c r="E233" i="17"/>
  <c r="E372" i="17" s="1"/>
  <c r="D233" i="17"/>
  <c r="D372" i="17" s="1"/>
  <c r="C233" i="17"/>
  <c r="C372" i="17" s="1"/>
  <c r="B233" i="17"/>
  <c r="B372" i="17" s="1"/>
  <c r="T232" i="17"/>
  <c r="T371" i="17" s="1"/>
  <c r="S232" i="17"/>
  <c r="S371" i="17" s="1"/>
  <c r="R232" i="17"/>
  <c r="R371" i="17" s="1"/>
  <c r="Q232" i="17"/>
  <c r="Q371" i="17" s="1"/>
  <c r="P232" i="17"/>
  <c r="P371" i="17" s="1"/>
  <c r="O232" i="17"/>
  <c r="O371" i="17" s="1"/>
  <c r="N232" i="17"/>
  <c r="N371" i="17" s="1"/>
  <c r="M232" i="17"/>
  <c r="M371" i="17" s="1"/>
  <c r="I232" i="17"/>
  <c r="I371" i="17" s="1"/>
  <c r="H232" i="17"/>
  <c r="H371" i="17" s="1"/>
  <c r="G232" i="17"/>
  <c r="G371" i="17" s="1"/>
  <c r="F232" i="17"/>
  <c r="F371" i="17" s="1"/>
  <c r="E232" i="17"/>
  <c r="E371" i="17" s="1"/>
  <c r="D232" i="17"/>
  <c r="D371" i="17" s="1"/>
  <c r="C232" i="17"/>
  <c r="C371" i="17" s="1"/>
  <c r="B232" i="17"/>
  <c r="B371" i="17" s="1"/>
  <c r="T231" i="17"/>
  <c r="T370" i="17" s="1"/>
  <c r="S231" i="17"/>
  <c r="S370" i="17" s="1"/>
  <c r="R231" i="17"/>
  <c r="R370" i="17" s="1"/>
  <c r="Q231" i="17"/>
  <c r="Q370" i="17" s="1"/>
  <c r="P231" i="17"/>
  <c r="P370" i="17" s="1"/>
  <c r="O231" i="17"/>
  <c r="O370" i="17" s="1"/>
  <c r="N231" i="17"/>
  <c r="N370" i="17" s="1"/>
  <c r="M231" i="17"/>
  <c r="M370" i="17" s="1"/>
  <c r="I231" i="17"/>
  <c r="I370" i="17" s="1"/>
  <c r="H231" i="17"/>
  <c r="H370" i="17" s="1"/>
  <c r="G231" i="17"/>
  <c r="G370" i="17" s="1"/>
  <c r="F231" i="17"/>
  <c r="F370" i="17" s="1"/>
  <c r="E231" i="17"/>
  <c r="E370" i="17" s="1"/>
  <c r="D231" i="17"/>
  <c r="D370" i="17" s="1"/>
  <c r="C231" i="17"/>
  <c r="C370" i="17" s="1"/>
  <c r="B231" i="17"/>
  <c r="B370" i="17" s="1"/>
  <c r="T230" i="17"/>
  <c r="T369" i="17" s="1"/>
  <c r="S230" i="17"/>
  <c r="S369" i="17" s="1"/>
  <c r="R230" i="17"/>
  <c r="R369" i="17" s="1"/>
  <c r="Q230" i="17"/>
  <c r="Q369" i="17" s="1"/>
  <c r="P230" i="17"/>
  <c r="P369" i="17" s="1"/>
  <c r="O230" i="17"/>
  <c r="O369" i="17" s="1"/>
  <c r="N230" i="17"/>
  <c r="N369" i="17" s="1"/>
  <c r="M230" i="17"/>
  <c r="M369" i="17" s="1"/>
  <c r="I230" i="17"/>
  <c r="I369" i="17" s="1"/>
  <c r="H230" i="17"/>
  <c r="H369" i="17" s="1"/>
  <c r="G230" i="17"/>
  <c r="G369" i="17" s="1"/>
  <c r="F230" i="17"/>
  <c r="F369" i="17" s="1"/>
  <c r="E230" i="17"/>
  <c r="E369" i="17" s="1"/>
  <c r="D230" i="17"/>
  <c r="D369" i="17" s="1"/>
  <c r="C230" i="17"/>
  <c r="C369" i="17" s="1"/>
  <c r="B230" i="17"/>
  <c r="B369" i="17" s="1"/>
  <c r="T229" i="17"/>
  <c r="T368" i="17" s="1"/>
  <c r="S229" i="17"/>
  <c r="S368" i="17" s="1"/>
  <c r="R229" i="17"/>
  <c r="R368" i="17" s="1"/>
  <c r="Q229" i="17"/>
  <c r="Q368" i="17" s="1"/>
  <c r="P229" i="17"/>
  <c r="P368" i="17" s="1"/>
  <c r="O229" i="17"/>
  <c r="O368" i="17" s="1"/>
  <c r="N229" i="17"/>
  <c r="N368" i="17" s="1"/>
  <c r="M229" i="17"/>
  <c r="M368" i="17" s="1"/>
  <c r="I229" i="17"/>
  <c r="I368" i="17" s="1"/>
  <c r="H229" i="17"/>
  <c r="H368" i="17" s="1"/>
  <c r="G229" i="17"/>
  <c r="G368" i="17" s="1"/>
  <c r="F229" i="17"/>
  <c r="F368" i="17" s="1"/>
  <c r="E229" i="17"/>
  <c r="E368" i="17" s="1"/>
  <c r="D229" i="17"/>
  <c r="D368" i="17" s="1"/>
  <c r="C229" i="17"/>
  <c r="C368" i="17" s="1"/>
  <c r="B229" i="17"/>
  <c r="B368" i="17" s="1"/>
  <c r="T228" i="17"/>
  <c r="T367" i="17" s="1"/>
  <c r="S228" i="17"/>
  <c r="S367" i="17" s="1"/>
  <c r="R228" i="17"/>
  <c r="R367" i="17" s="1"/>
  <c r="Q228" i="17"/>
  <c r="Q367" i="17" s="1"/>
  <c r="P228" i="17"/>
  <c r="P367" i="17" s="1"/>
  <c r="O228" i="17"/>
  <c r="O367" i="17" s="1"/>
  <c r="N228" i="17"/>
  <c r="N367" i="17" s="1"/>
  <c r="M228" i="17"/>
  <c r="M367" i="17" s="1"/>
  <c r="I228" i="17"/>
  <c r="I367" i="17" s="1"/>
  <c r="H228" i="17"/>
  <c r="H367" i="17" s="1"/>
  <c r="G228" i="17"/>
  <c r="G367" i="17" s="1"/>
  <c r="F228" i="17"/>
  <c r="F367" i="17" s="1"/>
  <c r="E228" i="17"/>
  <c r="E367" i="17" s="1"/>
  <c r="D228" i="17"/>
  <c r="D367" i="17" s="1"/>
  <c r="C228" i="17"/>
  <c r="C367" i="17" s="1"/>
  <c r="B228" i="17"/>
  <c r="B367" i="17" s="1"/>
  <c r="T227" i="17"/>
  <c r="T366" i="17" s="1"/>
  <c r="S227" i="17"/>
  <c r="S366" i="17" s="1"/>
  <c r="R227" i="17"/>
  <c r="R366" i="17" s="1"/>
  <c r="Q227" i="17"/>
  <c r="Q366" i="17" s="1"/>
  <c r="P227" i="17"/>
  <c r="P366" i="17" s="1"/>
  <c r="O227" i="17"/>
  <c r="O366" i="17" s="1"/>
  <c r="N227" i="17"/>
  <c r="N366" i="17" s="1"/>
  <c r="M227" i="17"/>
  <c r="M366" i="17" s="1"/>
  <c r="I227" i="17"/>
  <c r="I366" i="17" s="1"/>
  <c r="H227" i="17"/>
  <c r="H366" i="17" s="1"/>
  <c r="G227" i="17"/>
  <c r="G366" i="17" s="1"/>
  <c r="F227" i="17"/>
  <c r="F366" i="17" s="1"/>
  <c r="E227" i="17"/>
  <c r="E366" i="17" s="1"/>
  <c r="D227" i="17"/>
  <c r="D366" i="17" s="1"/>
  <c r="C227" i="17"/>
  <c r="C366" i="17" s="1"/>
  <c r="B227" i="17"/>
  <c r="B366" i="17" s="1"/>
  <c r="T226" i="17"/>
  <c r="T365" i="17" s="1"/>
  <c r="S226" i="17"/>
  <c r="S365" i="17" s="1"/>
  <c r="R226" i="17"/>
  <c r="R365" i="17" s="1"/>
  <c r="Q226" i="17"/>
  <c r="Q365" i="17" s="1"/>
  <c r="P226" i="17"/>
  <c r="P365" i="17" s="1"/>
  <c r="O226" i="17"/>
  <c r="O365" i="17" s="1"/>
  <c r="N226" i="17"/>
  <c r="N365" i="17" s="1"/>
  <c r="M226" i="17"/>
  <c r="M365" i="17" s="1"/>
  <c r="I226" i="17"/>
  <c r="I365" i="17" s="1"/>
  <c r="H226" i="17"/>
  <c r="H365" i="17" s="1"/>
  <c r="G226" i="17"/>
  <c r="G365" i="17" s="1"/>
  <c r="F226" i="17"/>
  <c r="F365" i="17" s="1"/>
  <c r="E226" i="17"/>
  <c r="E365" i="17" s="1"/>
  <c r="D226" i="17"/>
  <c r="D365" i="17" s="1"/>
  <c r="C226" i="17"/>
  <c r="C365" i="17" s="1"/>
  <c r="B226" i="17"/>
  <c r="B365" i="17" s="1"/>
  <c r="T225" i="17"/>
  <c r="T364" i="17" s="1"/>
  <c r="S225" i="17"/>
  <c r="S364" i="17" s="1"/>
  <c r="R225" i="17"/>
  <c r="R364" i="17" s="1"/>
  <c r="Q225" i="17"/>
  <c r="Q364" i="17" s="1"/>
  <c r="P225" i="17"/>
  <c r="P364" i="17" s="1"/>
  <c r="O225" i="17"/>
  <c r="O364" i="17" s="1"/>
  <c r="N225" i="17"/>
  <c r="N364" i="17" s="1"/>
  <c r="M225" i="17"/>
  <c r="M364" i="17" s="1"/>
  <c r="I225" i="17"/>
  <c r="I364" i="17" s="1"/>
  <c r="H225" i="17"/>
  <c r="H364" i="17" s="1"/>
  <c r="G225" i="17"/>
  <c r="G364" i="17" s="1"/>
  <c r="F225" i="17"/>
  <c r="F364" i="17" s="1"/>
  <c r="E225" i="17"/>
  <c r="E364" i="17" s="1"/>
  <c r="D225" i="17"/>
  <c r="D364" i="17" s="1"/>
  <c r="C225" i="17"/>
  <c r="C364" i="17" s="1"/>
  <c r="B225" i="17"/>
  <c r="B364" i="17" s="1"/>
  <c r="T224" i="17"/>
  <c r="T363" i="17" s="1"/>
  <c r="S224" i="17"/>
  <c r="S363" i="17" s="1"/>
  <c r="R224" i="17"/>
  <c r="R363" i="17" s="1"/>
  <c r="Q224" i="17"/>
  <c r="Q363" i="17" s="1"/>
  <c r="P224" i="17"/>
  <c r="P363" i="17" s="1"/>
  <c r="O224" i="17"/>
  <c r="O363" i="17" s="1"/>
  <c r="N224" i="17"/>
  <c r="N363" i="17" s="1"/>
  <c r="M224" i="17"/>
  <c r="M363" i="17" s="1"/>
  <c r="I224" i="17"/>
  <c r="I363" i="17" s="1"/>
  <c r="H224" i="17"/>
  <c r="H363" i="17" s="1"/>
  <c r="G224" i="17"/>
  <c r="G363" i="17" s="1"/>
  <c r="F224" i="17"/>
  <c r="F363" i="17" s="1"/>
  <c r="E224" i="17"/>
  <c r="E363" i="17" s="1"/>
  <c r="D224" i="17"/>
  <c r="D363" i="17" s="1"/>
  <c r="C224" i="17"/>
  <c r="C363" i="17" s="1"/>
  <c r="B224" i="17"/>
  <c r="B363" i="17" s="1"/>
  <c r="T223" i="17"/>
  <c r="S223" i="17"/>
  <c r="R223" i="17"/>
  <c r="Q223" i="17"/>
  <c r="P223" i="17"/>
  <c r="O223" i="17"/>
  <c r="N223" i="17"/>
  <c r="M223" i="17"/>
  <c r="I223" i="17"/>
  <c r="H223" i="17"/>
  <c r="G223" i="17"/>
  <c r="F223" i="17"/>
  <c r="E223" i="17"/>
  <c r="D223" i="17"/>
  <c r="C223" i="17"/>
  <c r="B223" i="17"/>
  <c r="T222" i="17"/>
  <c r="S222" i="17"/>
  <c r="R222" i="17"/>
  <c r="Q222" i="17"/>
  <c r="P222" i="17"/>
  <c r="O222" i="17"/>
  <c r="N222" i="17"/>
  <c r="M222" i="17"/>
  <c r="I222" i="17"/>
  <c r="H222" i="17"/>
  <c r="G222" i="17"/>
  <c r="F222" i="17"/>
  <c r="E222" i="17"/>
  <c r="D222" i="17"/>
  <c r="C222" i="17"/>
  <c r="B222" i="17"/>
  <c r="T221" i="17"/>
  <c r="S221" i="17"/>
  <c r="R221" i="17"/>
  <c r="Q221" i="17"/>
  <c r="P221" i="17"/>
  <c r="O221" i="17"/>
  <c r="N221" i="17"/>
  <c r="M221" i="17"/>
  <c r="I221" i="17"/>
  <c r="H221" i="17"/>
  <c r="G221" i="17"/>
  <c r="F221" i="17"/>
  <c r="E221" i="17"/>
  <c r="D221" i="17"/>
  <c r="C221" i="17"/>
  <c r="B221" i="17"/>
  <c r="T220" i="17"/>
  <c r="S220" i="17"/>
  <c r="R220" i="17"/>
  <c r="Q220" i="17"/>
  <c r="P220" i="17"/>
  <c r="O220" i="17"/>
  <c r="N220" i="17"/>
  <c r="M220" i="17"/>
  <c r="I220" i="17"/>
  <c r="H220" i="17"/>
  <c r="G220" i="17"/>
  <c r="F220" i="17"/>
  <c r="E220" i="17"/>
  <c r="D220" i="17"/>
  <c r="C220" i="17"/>
  <c r="B220" i="17"/>
  <c r="T219" i="17"/>
  <c r="S219" i="17"/>
  <c r="R219" i="17"/>
  <c r="Q219" i="17"/>
  <c r="P219" i="17"/>
  <c r="O219" i="17"/>
  <c r="N219" i="17"/>
  <c r="M219" i="17"/>
  <c r="I219" i="17"/>
  <c r="H219" i="17"/>
  <c r="G219" i="17"/>
  <c r="F219" i="17"/>
  <c r="E219" i="17"/>
  <c r="D219" i="17"/>
  <c r="C219" i="17"/>
  <c r="B219" i="17"/>
  <c r="T218" i="17"/>
  <c r="S218" i="17"/>
  <c r="R218" i="17"/>
  <c r="Q218" i="17"/>
  <c r="P218" i="17"/>
  <c r="O218" i="17"/>
  <c r="N218" i="17"/>
  <c r="M218" i="17"/>
  <c r="I218" i="17"/>
  <c r="H218" i="17"/>
  <c r="G218" i="17"/>
  <c r="F218" i="17"/>
  <c r="E218" i="17"/>
  <c r="D218" i="17"/>
  <c r="C218" i="17"/>
  <c r="B218" i="17"/>
  <c r="T217" i="17"/>
  <c r="S217" i="17"/>
  <c r="R217" i="17"/>
  <c r="Q217" i="17"/>
  <c r="P217" i="17"/>
  <c r="O217" i="17"/>
  <c r="N217" i="17"/>
  <c r="M217" i="17"/>
  <c r="I217" i="17"/>
  <c r="H217" i="17"/>
  <c r="G217" i="17"/>
  <c r="F217" i="17"/>
  <c r="E217" i="17"/>
  <c r="D217" i="17"/>
  <c r="C217" i="17"/>
  <c r="B217" i="17"/>
  <c r="T216" i="17"/>
  <c r="S216" i="17"/>
  <c r="R216" i="17"/>
  <c r="Q216" i="17"/>
  <c r="P216" i="17"/>
  <c r="O216" i="17"/>
  <c r="N216" i="17"/>
  <c r="M216" i="17"/>
  <c r="I216" i="17"/>
  <c r="H216" i="17"/>
  <c r="G216" i="17"/>
  <c r="F216" i="17"/>
  <c r="E216" i="17"/>
  <c r="D216" i="17"/>
  <c r="C216" i="17"/>
  <c r="B216" i="17"/>
  <c r="T215" i="17"/>
  <c r="S215" i="17"/>
  <c r="R215" i="17"/>
  <c r="Q215" i="17"/>
  <c r="P215" i="17"/>
  <c r="O215" i="17"/>
  <c r="N215" i="17"/>
  <c r="M215" i="17"/>
  <c r="I215" i="17"/>
  <c r="H215" i="17"/>
  <c r="G215" i="17"/>
  <c r="F215" i="17"/>
  <c r="E215" i="17"/>
  <c r="D215" i="17"/>
  <c r="C215" i="17"/>
  <c r="B215" i="17"/>
  <c r="T214" i="17"/>
  <c r="S214" i="17"/>
  <c r="R214" i="17"/>
  <c r="Q214" i="17"/>
  <c r="P214" i="17"/>
  <c r="O214" i="17"/>
  <c r="N214" i="17"/>
  <c r="M214" i="17"/>
  <c r="I214" i="17"/>
  <c r="H214" i="17"/>
  <c r="G214" i="17"/>
  <c r="F214" i="17"/>
  <c r="E214" i="17"/>
  <c r="D214" i="17"/>
  <c r="C214" i="17"/>
  <c r="B214" i="17"/>
  <c r="T213" i="17"/>
  <c r="S213" i="17"/>
  <c r="R213" i="17"/>
  <c r="Q213" i="17"/>
  <c r="P213" i="17"/>
  <c r="O213" i="17"/>
  <c r="N213" i="17"/>
  <c r="M213" i="17"/>
  <c r="I213" i="17"/>
  <c r="H213" i="17"/>
  <c r="G213" i="17"/>
  <c r="F213" i="17"/>
  <c r="E213" i="17"/>
  <c r="D213" i="17"/>
  <c r="C213" i="17"/>
  <c r="B213" i="17"/>
  <c r="T212" i="17"/>
  <c r="S212" i="17"/>
  <c r="R212" i="17"/>
  <c r="Q212" i="17"/>
  <c r="P212" i="17"/>
  <c r="O212" i="17"/>
  <c r="N212" i="17"/>
  <c r="M212" i="17"/>
  <c r="I212" i="17"/>
  <c r="H212" i="17"/>
  <c r="G212" i="17"/>
  <c r="F212" i="17"/>
  <c r="E212" i="17"/>
  <c r="D212" i="17"/>
  <c r="C212" i="17"/>
  <c r="B212" i="17"/>
  <c r="T211" i="17"/>
  <c r="S211" i="17"/>
  <c r="R211" i="17"/>
  <c r="Q211" i="17"/>
  <c r="P211" i="17"/>
  <c r="O211" i="17"/>
  <c r="N211" i="17"/>
  <c r="M211" i="17"/>
  <c r="I211" i="17"/>
  <c r="H211" i="17"/>
  <c r="G211" i="17"/>
  <c r="F211" i="17"/>
  <c r="E211" i="17"/>
  <c r="D211" i="17"/>
  <c r="C211" i="17"/>
  <c r="B211" i="17"/>
  <c r="T210" i="17"/>
  <c r="S210" i="17"/>
  <c r="R210" i="17"/>
  <c r="Q210" i="17"/>
  <c r="P210" i="17"/>
  <c r="O210" i="17"/>
  <c r="N210" i="17"/>
  <c r="M210" i="17"/>
  <c r="I210" i="17"/>
  <c r="H210" i="17"/>
  <c r="G210" i="17"/>
  <c r="F210" i="17"/>
  <c r="E210" i="17"/>
  <c r="D210" i="17"/>
  <c r="C210" i="17"/>
  <c r="B210" i="17"/>
  <c r="T209" i="17"/>
  <c r="S209" i="17"/>
  <c r="R209" i="17"/>
  <c r="Q209" i="17"/>
  <c r="P209" i="17"/>
  <c r="O209" i="17"/>
  <c r="N209" i="17"/>
  <c r="M209" i="17"/>
  <c r="I209" i="17"/>
  <c r="H209" i="17"/>
  <c r="G209" i="17"/>
  <c r="G360" i="17" s="1"/>
  <c r="F209" i="17"/>
  <c r="E209" i="17"/>
  <c r="D209" i="17"/>
  <c r="C209" i="17"/>
  <c r="B209" i="17"/>
  <c r="T208" i="17"/>
  <c r="S208" i="17"/>
  <c r="R208" i="17"/>
  <c r="Q208" i="17"/>
  <c r="P208" i="17"/>
  <c r="O208" i="17"/>
  <c r="N208" i="17"/>
  <c r="M208" i="17"/>
  <c r="I208" i="17"/>
  <c r="H208" i="17"/>
  <c r="G208" i="17"/>
  <c r="F208" i="17"/>
  <c r="E208" i="17"/>
  <c r="D208" i="17"/>
  <c r="C208" i="17"/>
  <c r="B208" i="17"/>
  <c r="T207" i="17"/>
  <c r="S207" i="17"/>
  <c r="R207" i="17"/>
  <c r="Q207" i="17"/>
  <c r="P207" i="17"/>
  <c r="O207" i="17"/>
  <c r="N207" i="17"/>
  <c r="M207" i="17"/>
  <c r="I207" i="17"/>
  <c r="H207" i="17"/>
  <c r="G207" i="17"/>
  <c r="F207" i="17"/>
  <c r="E207" i="17"/>
  <c r="D207" i="17"/>
  <c r="C207" i="17"/>
  <c r="B207" i="17"/>
  <c r="T206" i="17"/>
  <c r="S206" i="17"/>
  <c r="R206" i="17"/>
  <c r="Q206" i="17"/>
  <c r="P206" i="17"/>
  <c r="O206" i="17"/>
  <c r="N206" i="17"/>
  <c r="M206" i="17"/>
  <c r="I206" i="17"/>
  <c r="H206" i="17"/>
  <c r="G206" i="17"/>
  <c r="F206" i="17"/>
  <c r="E206" i="17"/>
  <c r="D206" i="17"/>
  <c r="C206" i="17"/>
  <c r="B206" i="17"/>
  <c r="T205" i="17"/>
  <c r="S205" i="17"/>
  <c r="R205" i="17"/>
  <c r="Q205" i="17"/>
  <c r="P205" i="17"/>
  <c r="O205" i="17"/>
  <c r="N205" i="17"/>
  <c r="M205" i="17"/>
  <c r="I205" i="17"/>
  <c r="H205" i="17"/>
  <c r="G205" i="17"/>
  <c r="F205" i="17"/>
  <c r="E205" i="17"/>
  <c r="D205" i="17"/>
  <c r="C205" i="17"/>
  <c r="B205" i="17"/>
  <c r="T204" i="17"/>
  <c r="T359" i="17" s="1"/>
  <c r="S204" i="17"/>
  <c r="R204" i="17"/>
  <c r="Q204" i="17"/>
  <c r="P204" i="17"/>
  <c r="P359" i="17" s="1"/>
  <c r="O204" i="17"/>
  <c r="N204" i="17"/>
  <c r="M204" i="17"/>
  <c r="I204" i="17"/>
  <c r="H204" i="17"/>
  <c r="G204" i="17"/>
  <c r="G359" i="17" s="1"/>
  <c r="F204" i="17"/>
  <c r="E204" i="17"/>
  <c r="D204" i="17"/>
  <c r="C204" i="17"/>
  <c r="B204" i="17"/>
  <c r="T203" i="17"/>
  <c r="S203" i="17"/>
  <c r="R203" i="17"/>
  <c r="Q203" i="17"/>
  <c r="P203" i="17"/>
  <c r="O203" i="17"/>
  <c r="N203" i="17"/>
  <c r="M203" i="17"/>
  <c r="I203" i="17"/>
  <c r="H203" i="17"/>
  <c r="G203" i="17"/>
  <c r="F203" i="17"/>
  <c r="E203" i="17"/>
  <c r="D203" i="17"/>
  <c r="C203" i="17"/>
  <c r="B203" i="17"/>
  <c r="T202" i="17"/>
  <c r="S202" i="17"/>
  <c r="R202" i="17"/>
  <c r="Q202" i="17"/>
  <c r="P202" i="17"/>
  <c r="O202" i="17"/>
  <c r="N202" i="17"/>
  <c r="M202" i="17"/>
  <c r="I202" i="17"/>
  <c r="H202" i="17"/>
  <c r="G202" i="17"/>
  <c r="F202" i="17"/>
  <c r="E202" i="17"/>
  <c r="D202" i="17"/>
  <c r="C202" i="17"/>
  <c r="B202" i="17"/>
  <c r="T201" i="17"/>
  <c r="S201" i="17"/>
  <c r="R201" i="17"/>
  <c r="Q201" i="17"/>
  <c r="P201" i="17"/>
  <c r="O201" i="17"/>
  <c r="N201" i="17"/>
  <c r="M201" i="17"/>
  <c r="I201" i="17"/>
  <c r="H201" i="17"/>
  <c r="G201" i="17"/>
  <c r="F201" i="17"/>
  <c r="E201" i="17"/>
  <c r="D201" i="17"/>
  <c r="C201" i="17"/>
  <c r="B201" i="17"/>
  <c r="T200" i="17"/>
  <c r="S200" i="17"/>
  <c r="R200" i="17"/>
  <c r="Q200" i="17"/>
  <c r="P200" i="17"/>
  <c r="O200" i="17"/>
  <c r="N200" i="17"/>
  <c r="M200" i="17"/>
  <c r="I200" i="17"/>
  <c r="H200" i="17"/>
  <c r="G200" i="17"/>
  <c r="F200" i="17"/>
  <c r="E200" i="17"/>
  <c r="D200" i="17"/>
  <c r="C200" i="17"/>
  <c r="B200" i="17"/>
  <c r="T199" i="17"/>
  <c r="T358" i="17" s="1"/>
  <c r="S199" i="17"/>
  <c r="R199" i="17"/>
  <c r="Q199" i="17"/>
  <c r="P199" i="17"/>
  <c r="P358" i="17" s="1"/>
  <c r="O199" i="17"/>
  <c r="N199" i="17"/>
  <c r="M199" i="17"/>
  <c r="I199" i="17"/>
  <c r="H199" i="17"/>
  <c r="H358" i="17" s="1"/>
  <c r="G199" i="17"/>
  <c r="G358" i="17" s="1"/>
  <c r="F199" i="17"/>
  <c r="E199" i="17"/>
  <c r="D199" i="17"/>
  <c r="D358" i="17" s="1"/>
  <c r="C199" i="17"/>
  <c r="B199" i="17"/>
  <c r="T198" i="17"/>
  <c r="S198" i="17"/>
  <c r="R198" i="17"/>
  <c r="Q198" i="17"/>
  <c r="P198" i="17"/>
  <c r="O198" i="17"/>
  <c r="N198" i="17"/>
  <c r="M198" i="17"/>
  <c r="I198" i="17"/>
  <c r="H198" i="17"/>
  <c r="G198" i="17"/>
  <c r="F198" i="17"/>
  <c r="E198" i="17"/>
  <c r="D198" i="17"/>
  <c r="C198" i="17"/>
  <c r="B198" i="17"/>
  <c r="T197" i="17"/>
  <c r="S197" i="17"/>
  <c r="R197" i="17"/>
  <c r="Q197" i="17"/>
  <c r="P197" i="17"/>
  <c r="O197" i="17"/>
  <c r="N197" i="17"/>
  <c r="M197" i="17"/>
  <c r="I197" i="17"/>
  <c r="H197" i="17"/>
  <c r="G197" i="17"/>
  <c r="F197" i="17"/>
  <c r="E197" i="17"/>
  <c r="D197" i="17"/>
  <c r="C197" i="17"/>
  <c r="B197" i="17"/>
  <c r="T196" i="17"/>
  <c r="S196" i="17"/>
  <c r="R196" i="17"/>
  <c r="Q196" i="17"/>
  <c r="P196" i="17"/>
  <c r="O196" i="17"/>
  <c r="N196" i="17"/>
  <c r="M196" i="17"/>
  <c r="I196" i="17"/>
  <c r="H196" i="17"/>
  <c r="G196" i="17"/>
  <c r="F196" i="17"/>
  <c r="E196" i="17"/>
  <c r="D196" i="17"/>
  <c r="C196" i="17"/>
  <c r="B196" i="17"/>
  <c r="T195" i="17"/>
  <c r="S195" i="17"/>
  <c r="R195" i="17"/>
  <c r="Q195" i="17"/>
  <c r="P195" i="17"/>
  <c r="O195" i="17"/>
  <c r="N195" i="17"/>
  <c r="M195" i="17"/>
  <c r="I195" i="17"/>
  <c r="H195" i="17"/>
  <c r="G195" i="17"/>
  <c r="F195" i="17"/>
  <c r="E195" i="17"/>
  <c r="D195" i="17"/>
  <c r="C195" i="17"/>
  <c r="B195" i="17"/>
  <c r="T194" i="17"/>
  <c r="S194" i="17"/>
  <c r="R194" i="17"/>
  <c r="Q194" i="17"/>
  <c r="P194" i="17"/>
  <c r="O194" i="17"/>
  <c r="N194" i="17"/>
  <c r="M194" i="17"/>
  <c r="I194" i="17"/>
  <c r="H194" i="17"/>
  <c r="G194" i="17"/>
  <c r="F194" i="17"/>
  <c r="E194" i="17"/>
  <c r="D194" i="17"/>
  <c r="C194" i="17"/>
  <c r="B194" i="17"/>
  <c r="V191" i="17"/>
  <c r="V351" i="17" s="1"/>
  <c r="U351" i="17"/>
  <c r="K351" i="17"/>
  <c r="V188" i="17"/>
  <c r="V348" i="17" s="1"/>
  <c r="U348" i="17"/>
  <c r="K188" i="17"/>
  <c r="K348" i="17" s="1"/>
  <c r="J188" i="17"/>
  <c r="V187" i="17"/>
  <c r="V347" i="17" s="1"/>
  <c r="U347" i="17"/>
  <c r="K187" i="17"/>
  <c r="K347" i="17" s="1"/>
  <c r="J187" i="17"/>
  <c r="J347" i="17" s="1"/>
  <c r="V186" i="17"/>
  <c r="V346" i="17" s="1"/>
  <c r="U346" i="17"/>
  <c r="K186" i="17"/>
  <c r="K346" i="17" s="1"/>
  <c r="J186" i="17"/>
  <c r="J346" i="17" s="1"/>
  <c r="V185" i="17"/>
  <c r="V345" i="17" s="1"/>
  <c r="U345" i="17"/>
  <c r="K185" i="17"/>
  <c r="K345" i="17" s="1"/>
  <c r="J185" i="17"/>
  <c r="V184" i="17"/>
  <c r="V344" i="17" s="1"/>
  <c r="U184" i="17"/>
  <c r="U344" i="17" s="1"/>
  <c r="K184" i="17"/>
  <c r="K344" i="17" s="1"/>
  <c r="J184" i="17"/>
  <c r="V183" i="17"/>
  <c r="V343" i="17" s="1"/>
  <c r="U183" i="17"/>
  <c r="U343" i="17" s="1"/>
  <c r="K183" i="17"/>
  <c r="K343" i="17" s="1"/>
  <c r="J183" i="17"/>
  <c r="J343" i="17" s="1"/>
  <c r="V182" i="17"/>
  <c r="V342" i="17" s="1"/>
  <c r="U182" i="17"/>
  <c r="U342" i="17" s="1"/>
  <c r="K182" i="17"/>
  <c r="K342" i="17" s="1"/>
  <c r="J182" i="17"/>
  <c r="J342" i="17" s="1"/>
  <c r="V181" i="17"/>
  <c r="V341" i="17" s="1"/>
  <c r="U181" i="17"/>
  <c r="U341" i="17" s="1"/>
  <c r="K181" i="17"/>
  <c r="K341" i="17" s="1"/>
  <c r="J181" i="17"/>
  <c r="V180" i="17"/>
  <c r="V340" i="17" s="1"/>
  <c r="U180" i="17"/>
  <c r="U340" i="17" s="1"/>
  <c r="K180" i="17"/>
  <c r="K340" i="17" s="1"/>
  <c r="J180" i="17"/>
  <c r="V179" i="17"/>
  <c r="V339" i="17" s="1"/>
  <c r="U179" i="17"/>
  <c r="U339" i="17" s="1"/>
  <c r="K179" i="17"/>
  <c r="K339" i="17" s="1"/>
  <c r="J179" i="17"/>
  <c r="J339" i="17" s="1"/>
  <c r="V178" i="17"/>
  <c r="V338" i="17" s="1"/>
  <c r="U178" i="17"/>
  <c r="U338" i="17" s="1"/>
  <c r="K178" i="17"/>
  <c r="K338" i="17" s="1"/>
  <c r="J178" i="17"/>
  <c r="J338" i="17" s="1"/>
  <c r="V177" i="17"/>
  <c r="V337" i="17" s="1"/>
  <c r="U177" i="17"/>
  <c r="U337" i="17" s="1"/>
  <c r="K177" i="17"/>
  <c r="K337" i="17" s="1"/>
  <c r="J177" i="17"/>
  <c r="V176" i="17"/>
  <c r="U176" i="17"/>
  <c r="K176" i="17"/>
  <c r="J176" i="17"/>
  <c r="V175" i="17"/>
  <c r="U175" i="17"/>
  <c r="K175" i="17"/>
  <c r="J175" i="17"/>
  <c r="V174" i="17"/>
  <c r="U174" i="17"/>
  <c r="K174" i="17"/>
  <c r="J174" i="17"/>
  <c r="V173" i="17"/>
  <c r="U173" i="17"/>
  <c r="K173" i="17"/>
  <c r="J173" i="17"/>
  <c r="V172" i="17"/>
  <c r="V336" i="17" s="1"/>
  <c r="U172" i="17"/>
  <c r="U336" i="17" s="1"/>
  <c r="K172" i="17"/>
  <c r="K336" i="17" s="1"/>
  <c r="J172" i="17"/>
  <c r="V171" i="17"/>
  <c r="U171" i="17"/>
  <c r="K171" i="17"/>
  <c r="J171" i="17"/>
  <c r="V170" i="17"/>
  <c r="U170" i="17"/>
  <c r="K170" i="17"/>
  <c r="J170" i="17"/>
  <c r="V169" i="17"/>
  <c r="U169" i="17"/>
  <c r="K169" i="17"/>
  <c r="J169" i="17"/>
  <c r="V168" i="17"/>
  <c r="U168" i="17"/>
  <c r="K168" i="17"/>
  <c r="J168" i="17"/>
  <c r="V167" i="17"/>
  <c r="V335" i="17" s="1"/>
  <c r="U167" i="17"/>
  <c r="U335" i="17" s="1"/>
  <c r="K167" i="17"/>
  <c r="K335" i="17" s="1"/>
  <c r="J167" i="17"/>
  <c r="J335" i="17" s="1"/>
  <c r="V166" i="17"/>
  <c r="U166" i="17"/>
  <c r="K166" i="17"/>
  <c r="J166" i="17"/>
  <c r="V165" i="17"/>
  <c r="U165" i="17"/>
  <c r="K165" i="17"/>
  <c r="J165" i="17"/>
  <c r="V164" i="17"/>
  <c r="U164" i="17"/>
  <c r="K164" i="17"/>
  <c r="J164" i="17"/>
  <c r="V163" i="17"/>
  <c r="U163" i="17"/>
  <c r="K163" i="17"/>
  <c r="J163" i="17"/>
  <c r="V162" i="17"/>
  <c r="V334" i="17" s="1"/>
  <c r="U162" i="17"/>
  <c r="U334" i="17" s="1"/>
  <c r="K162" i="17"/>
  <c r="K334" i="17" s="1"/>
  <c r="J162" i="17"/>
  <c r="J334" i="17" s="1"/>
  <c r="V161" i="17"/>
  <c r="U161" i="17"/>
  <c r="K161" i="17"/>
  <c r="J161" i="17"/>
  <c r="V160" i="17"/>
  <c r="U160" i="17"/>
  <c r="K160" i="17"/>
  <c r="J160" i="17"/>
  <c r="V159" i="17"/>
  <c r="U159" i="17"/>
  <c r="K159" i="17"/>
  <c r="J159" i="17"/>
  <c r="V158" i="17"/>
  <c r="U158" i="17"/>
  <c r="K158" i="17"/>
  <c r="J158" i="17"/>
  <c r="V157" i="17"/>
  <c r="V333" i="17" s="1"/>
  <c r="U157" i="17"/>
  <c r="K157" i="17"/>
  <c r="K333" i="17" s="1"/>
  <c r="J157" i="17"/>
  <c r="V156" i="17"/>
  <c r="U156" i="17"/>
  <c r="K156" i="17"/>
  <c r="J156" i="17"/>
  <c r="V155" i="17"/>
  <c r="U155" i="17"/>
  <c r="K155" i="17"/>
  <c r="J155" i="17"/>
  <c r="V154" i="17"/>
  <c r="U154" i="17"/>
  <c r="K154" i="17"/>
  <c r="J154" i="17"/>
  <c r="V153" i="17"/>
  <c r="U153" i="17"/>
  <c r="K153" i="17"/>
  <c r="J153" i="17"/>
  <c r="V152" i="17"/>
  <c r="V332" i="17" s="1"/>
  <c r="U152" i="17"/>
  <c r="U332" i="17" s="1"/>
  <c r="K152" i="17"/>
  <c r="K332" i="17" s="1"/>
  <c r="J152" i="17"/>
  <c r="V151" i="17"/>
  <c r="U151" i="17"/>
  <c r="K151" i="17"/>
  <c r="J151" i="17"/>
  <c r="V150" i="17"/>
  <c r="U150" i="17"/>
  <c r="K150" i="17"/>
  <c r="J150" i="17"/>
  <c r="V149" i="17"/>
  <c r="U149" i="17"/>
  <c r="K149" i="17"/>
  <c r="J149" i="17"/>
  <c r="V148" i="17"/>
  <c r="U148" i="17"/>
  <c r="K148" i="17"/>
  <c r="J148" i="17"/>
  <c r="V147" i="17"/>
  <c r="U147" i="17"/>
  <c r="K147" i="17"/>
  <c r="J147" i="17"/>
  <c r="V144" i="17"/>
  <c r="V329" i="17" s="1"/>
  <c r="U329" i="17"/>
  <c r="K144" i="17"/>
  <c r="K329" i="17" s="1"/>
  <c r="J329" i="17"/>
  <c r="V141" i="17"/>
  <c r="V326" i="17" s="1"/>
  <c r="U141" i="17"/>
  <c r="U326" i="17" s="1"/>
  <c r="K141" i="17"/>
  <c r="K326" i="17" s="1"/>
  <c r="J141" i="17"/>
  <c r="J326" i="17" s="1"/>
  <c r="V140" i="17"/>
  <c r="V325" i="17" s="1"/>
  <c r="U140" i="17"/>
  <c r="U325" i="17" s="1"/>
  <c r="K140" i="17"/>
  <c r="K325" i="17" s="1"/>
  <c r="J140" i="17"/>
  <c r="J325" i="17" s="1"/>
  <c r="V139" i="17"/>
  <c r="V324" i="17" s="1"/>
  <c r="U139" i="17"/>
  <c r="U324" i="17" s="1"/>
  <c r="K139" i="17"/>
  <c r="K324" i="17" s="1"/>
  <c r="J139" i="17"/>
  <c r="J324" i="17" s="1"/>
  <c r="V138" i="17"/>
  <c r="V323" i="17" s="1"/>
  <c r="U138" i="17"/>
  <c r="U323" i="17" s="1"/>
  <c r="K138" i="17"/>
  <c r="K323" i="17" s="1"/>
  <c r="J138" i="17"/>
  <c r="J323" i="17" s="1"/>
  <c r="V137" i="17"/>
  <c r="V322" i="17" s="1"/>
  <c r="U137" i="17"/>
  <c r="U322" i="17" s="1"/>
  <c r="K137" i="17"/>
  <c r="K322" i="17" s="1"/>
  <c r="J137" i="17"/>
  <c r="J322" i="17" s="1"/>
  <c r="V136" i="17"/>
  <c r="V321" i="17" s="1"/>
  <c r="U136" i="17"/>
  <c r="U321" i="17" s="1"/>
  <c r="K136" i="17"/>
  <c r="K321" i="17" s="1"/>
  <c r="J136" i="17"/>
  <c r="J321" i="17" s="1"/>
  <c r="V135" i="17"/>
  <c r="V320" i="17" s="1"/>
  <c r="U135" i="17"/>
  <c r="U320" i="17" s="1"/>
  <c r="K135" i="17"/>
  <c r="K320" i="17" s="1"/>
  <c r="J135" i="17"/>
  <c r="J320" i="17" s="1"/>
  <c r="V134" i="17"/>
  <c r="V319" i="17" s="1"/>
  <c r="U134" i="17"/>
  <c r="U319" i="17" s="1"/>
  <c r="K134" i="17"/>
  <c r="K319" i="17" s="1"/>
  <c r="J134" i="17"/>
  <c r="J319" i="17" s="1"/>
  <c r="V133" i="17"/>
  <c r="V318" i="17" s="1"/>
  <c r="U133" i="17"/>
  <c r="U318" i="17" s="1"/>
  <c r="K133" i="17"/>
  <c r="K318" i="17" s="1"/>
  <c r="J133" i="17"/>
  <c r="J318" i="17" s="1"/>
  <c r="V132" i="17"/>
  <c r="V317" i="17" s="1"/>
  <c r="U132" i="17"/>
  <c r="U317" i="17" s="1"/>
  <c r="K132" i="17"/>
  <c r="K317" i="17" s="1"/>
  <c r="J132" i="17"/>
  <c r="J317" i="17" s="1"/>
  <c r="V131" i="17"/>
  <c r="V316" i="17" s="1"/>
  <c r="U131" i="17"/>
  <c r="U316" i="17" s="1"/>
  <c r="K131" i="17"/>
  <c r="K316" i="17" s="1"/>
  <c r="J131" i="17"/>
  <c r="J316" i="17" s="1"/>
  <c r="V130" i="17"/>
  <c r="V315" i="17" s="1"/>
  <c r="U130" i="17"/>
  <c r="U315" i="17" s="1"/>
  <c r="K130" i="17"/>
  <c r="K315" i="17" s="1"/>
  <c r="J130" i="17"/>
  <c r="J315" i="17" s="1"/>
  <c r="V129" i="17"/>
  <c r="U129" i="17"/>
  <c r="K129" i="17"/>
  <c r="J129" i="17"/>
  <c r="V128" i="17"/>
  <c r="U128" i="17"/>
  <c r="K128" i="17"/>
  <c r="J128" i="17"/>
  <c r="V127" i="17"/>
  <c r="U127" i="17"/>
  <c r="K127" i="17"/>
  <c r="J127" i="17"/>
  <c r="V126" i="17"/>
  <c r="U126" i="17"/>
  <c r="K126" i="17"/>
  <c r="J126" i="17"/>
  <c r="V125" i="17"/>
  <c r="V314" i="17" s="1"/>
  <c r="U125" i="17"/>
  <c r="U314" i="17" s="1"/>
  <c r="K125" i="17"/>
  <c r="K314" i="17" s="1"/>
  <c r="J125" i="17"/>
  <c r="J314" i="17" s="1"/>
  <c r="V124" i="17"/>
  <c r="U124" i="17"/>
  <c r="K124" i="17"/>
  <c r="J124" i="17"/>
  <c r="V123" i="17"/>
  <c r="U123" i="17"/>
  <c r="K123" i="17"/>
  <c r="J123" i="17"/>
  <c r="V122" i="17"/>
  <c r="U122" i="17"/>
  <c r="K122" i="17"/>
  <c r="J122" i="17"/>
  <c r="V121" i="17"/>
  <c r="U121" i="17"/>
  <c r="K121" i="17"/>
  <c r="J121" i="17"/>
  <c r="V120" i="17"/>
  <c r="V313" i="17" s="1"/>
  <c r="U120" i="17"/>
  <c r="U313" i="17" s="1"/>
  <c r="K120" i="17"/>
  <c r="K313" i="17" s="1"/>
  <c r="J120" i="17"/>
  <c r="J313" i="17" s="1"/>
  <c r="V119" i="17"/>
  <c r="U119" i="17"/>
  <c r="K119" i="17"/>
  <c r="J119" i="17"/>
  <c r="V118" i="17"/>
  <c r="U118" i="17"/>
  <c r="K118" i="17"/>
  <c r="J118" i="17"/>
  <c r="V117" i="17"/>
  <c r="U117" i="17"/>
  <c r="K117" i="17"/>
  <c r="J117" i="17"/>
  <c r="V116" i="17"/>
  <c r="U116" i="17"/>
  <c r="K116" i="17"/>
  <c r="J116" i="17"/>
  <c r="V115" i="17"/>
  <c r="V312" i="17" s="1"/>
  <c r="U115" i="17"/>
  <c r="U312" i="17" s="1"/>
  <c r="K115" i="17"/>
  <c r="K312" i="17" s="1"/>
  <c r="J115" i="17"/>
  <c r="J312" i="17" s="1"/>
  <c r="V114" i="17"/>
  <c r="U114" i="17"/>
  <c r="K114" i="17"/>
  <c r="J114" i="17"/>
  <c r="V113" i="17"/>
  <c r="U113" i="17"/>
  <c r="K113" i="17"/>
  <c r="J113" i="17"/>
  <c r="V112" i="17"/>
  <c r="U112" i="17"/>
  <c r="K112" i="17"/>
  <c r="J112" i="17"/>
  <c r="V111" i="17"/>
  <c r="U111" i="17"/>
  <c r="K111" i="17"/>
  <c r="J111" i="17"/>
  <c r="V110" i="17"/>
  <c r="V311" i="17" s="1"/>
  <c r="U110" i="17"/>
  <c r="U311" i="17" s="1"/>
  <c r="K110" i="17"/>
  <c r="K311" i="17" s="1"/>
  <c r="J110" i="17"/>
  <c r="J311" i="17" s="1"/>
  <c r="V109" i="17"/>
  <c r="U109" i="17"/>
  <c r="K109" i="17"/>
  <c r="J109" i="17"/>
  <c r="V108" i="17"/>
  <c r="U108" i="17"/>
  <c r="K108" i="17"/>
  <c r="J108" i="17"/>
  <c r="V107" i="17"/>
  <c r="U107" i="17"/>
  <c r="K107" i="17"/>
  <c r="J107" i="17"/>
  <c r="V106" i="17"/>
  <c r="U106" i="17"/>
  <c r="K106" i="17"/>
  <c r="J106" i="17"/>
  <c r="V105" i="17"/>
  <c r="V310" i="17" s="1"/>
  <c r="U105" i="17"/>
  <c r="K105" i="17"/>
  <c r="K310" i="17" s="1"/>
  <c r="J105" i="17"/>
  <c r="J310" i="17" s="1"/>
  <c r="V104" i="17"/>
  <c r="U104" i="17"/>
  <c r="K104" i="17"/>
  <c r="J104" i="17"/>
  <c r="V103" i="17"/>
  <c r="U103" i="17"/>
  <c r="K103" i="17"/>
  <c r="J103" i="17"/>
  <c r="V102" i="17"/>
  <c r="U102" i="17"/>
  <c r="K102" i="17"/>
  <c r="J102" i="17"/>
  <c r="V101" i="17"/>
  <c r="U101" i="17"/>
  <c r="K101" i="17"/>
  <c r="J101" i="17"/>
  <c r="V100" i="17"/>
  <c r="U100" i="17"/>
  <c r="K100" i="17"/>
  <c r="J100" i="17"/>
  <c r="V97" i="17"/>
  <c r="V303" i="17" s="1"/>
  <c r="U97" i="17"/>
  <c r="U303" i="17" s="1"/>
  <c r="K97" i="17"/>
  <c r="K303" i="17" s="1"/>
  <c r="J97" i="17"/>
  <c r="J303" i="17" s="1"/>
  <c r="V94" i="17"/>
  <c r="V300" i="17" s="1"/>
  <c r="U94" i="17"/>
  <c r="U300" i="17" s="1"/>
  <c r="K94" i="17"/>
  <c r="K300" i="17" s="1"/>
  <c r="J94" i="17"/>
  <c r="J300" i="17" s="1"/>
  <c r="V93" i="17"/>
  <c r="V299" i="17" s="1"/>
  <c r="U93" i="17"/>
  <c r="U299" i="17" s="1"/>
  <c r="K93" i="17"/>
  <c r="K299" i="17" s="1"/>
  <c r="J93" i="17"/>
  <c r="J299" i="17" s="1"/>
  <c r="V92" i="17"/>
  <c r="V298" i="17" s="1"/>
  <c r="U92" i="17"/>
  <c r="U298" i="17" s="1"/>
  <c r="K92" i="17"/>
  <c r="K298" i="17" s="1"/>
  <c r="J92" i="17"/>
  <c r="J298" i="17" s="1"/>
  <c r="V91" i="17"/>
  <c r="V297" i="17" s="1"/>
  <c r="U91" i="17"/>
  <c r="U297" i="17" s="1"/>
  <c r="K91" i="17"/>
  <c r="K297" i="17" s="1"/>
  <c r="J91" i="17"/>
  <c r="J297" i="17" s="1"/>
  <c r="V90" i="17"/>
  <c r="V296" i="17" s="1"/>
  <c r="U90" i="17"/>
  <c r="U296" i="17" s="1"/>
  <c r="K90" i="17"/>
  <c r="K296" i="17" s="1"/>
  <c r="J90" i="17"/>
  <c r="J296" i="17" s="1"/>
  <c r="V89" i="17"/>
  <c r="U89" i="17"/>
  <c r="U295" i="17" s="1"/>
  <c r="K89" i="17"/>
  <c r="K295" i="17" s="1"/>
  <c r="J89" i="17"/>
  <c r="J295" i="17" s="1"/>
  <c r="V88" i="17"/>
  <c r="V294" i="17" s="1"/>
  <c r="U88" i="17"/>
  <c r="U294" i="17" s="1"/>
  <c r="K88" i="17"/>
  <c r="K294" i="17" s="1"/>
  <c r="J88" i="17"/>
  <c r="J294" i="17" s="1"/>
  <c r="V87" i="17"/>
  <c r="V293" i="17" s="1"/>
  <c r="U87" i="17"/>
  <c r="U293" i="17" s="1"/>
  <c r="K87" i="17"/>
  <c r="K293" i="17" s="1"/>
  <c r="J87" i="17"/>
  <c r="J293" i="17" s="1"/>
  <c r="V86" i="17"/>
  <c r="V292" i="17" s="1"/>
  <c r="U86" i="17"/>
  <c r="U292" i="17" s="1"/>
  <c r="K86" i="17"/>
  <c r="K292" i="17" s="1"/>
  <c r="J86" i="17"/>
  <c r="J292" i="17" s="1"/>
  <c r="V85" i="17"/>
  <c r="V291" i="17" s="1"/>
  <c r="U85" i="17"/>
  <c r="U291" i="17" s="1"/>
  <c r="K85" i="17"/>
  <c r="K291" i="17" s="1"/>
  <c r="J85" i="17"/>
  <c r="J291" i="17" s="1"/>
  <c r="V84" i="17"/>
  <c r="V290" i="17" s="1"/>
  <c r="U84" i="17"/>
  <c r="U290" i="17" s="1"/>
  <c r="K84" i="17"/>
  <c r="K290" i="17" s="1"/>
  <c r="J84" i="17"/>
  <c r="J290" i="17" s="1"/>
  <c r="V83" i="17"/>
  <c r="V289" i="17" s="1"/>
  <c r="U83" i="17"/>
  <c r="U289" i="17" s="1"/>
  <c r="K83" i="17"/>
  <c r="K289" i="17" s="1"/>
  <c r="J83" i="17"/>
  <c r="J289" i="17" s="1"/>
  <c r="V82" i="17"/>
  <c r="U82" i="17"/>
  <c r="K82" i="17"/>
  <c r="J82" i="17"/>
  <c r="V81" i="17"/>
  <c r="U81" i="17"/>
  <c r="K81" i="17"/>
  <c r="J81" i="17"/>
  <c r="V80" i="17"/>
  <c r="U80" i="17"/>
  <c r="K80" i="17"/>
  <c r="J80" i="17"/>
  <c r="V79" i="17"/>
  <c r="U79" i="17"/>
  <c r="K79" i="17"/>
  <c r="J79" i="17"/>
  <c r="V78" i="17"/>
  <c r="V288" i="17" s="1"/>
  <c r="U78" i="17"/>
  <c r="U288" i="17" s="1"/>
  <c r="K78" i="17"/>
  <c r="K288" i="17" s="1"/>
  <c r="J78" i="17"/>
  <c r="J288" i="17" s="1"/>
  <c r="V77" i="17"/>
  <c r="U77" i="17"/>
  <c r="K77" i="17"/>
  <c r="J77" i="17"/>
  <c r="V76" i="17"/>
  <c r="U76" i="17"/>
  <c r="K76" i="17"/>
  <c r="J76" i="17"/>
  <c r="V75" i="17"/>
  <c r="U75" i="17"/>
  <c r="K75" i="17"/>
  <c r="J75" i="17"/>
  <c r="V74" i="17"/>
  <c r="U74" i="17"/>
  <c r="K74" i="17"/>
  <c r="J74" i="17"/>
  <c r="V73" i="17"/>
  <c r="V287" i="17" s="1"/>
  <c r="U73" i="17"/>
  <c r="U287" i="17" s="1"/>
  <c r="K73" i="17"/>
  <c r="K287" i="17" s="1"/>
  <c r="J73" i="17"/>
  <c r="J287" i="17" s="1"/>
  <c r="V72" i="17"/>
  <c r="U72" i="17"/>
  <c r="K72" i="17"/>
  <c r="J72" i="17"/>
  <c r="V71" i="17"/>
  <c r="U71" i="17"/>
  <c r="K71" i="17"/>
  <c r="J71" i="17"/>
  <c r="V70" i="17"/>
  <c r="U70" i="17"/>
  <c r="K70" i="17"/>
  <c r="J70" i="17"/>
  <c r="V69" i="17"/>
  <c r="U69" i="17"/>
  <c r="K69" i="17"/>
  <c r="J69" i="17"/>
  <c r="V68" i="17"/>
  <c r="V286" i="17" s="1"/>
  <c r="U68" i="17"/>
  <c r="U286" i="17" s="1"/>
  <c r="K68" i="17"/>
  <c r="K286" i="17" s="1"/>
  <c r="J68" i="17"/>
  <c r="J286" i="17" s="1"/>
  <c r="V67" i="17"/>
  <c r="U67" i="17"/>
  <c r="K67" i="17"/>
  <c r="J67" i="17"/>
  <c r="V66" i="17"/>
  <c r="U66" i="17"/>
  <c r="K66" i="17"/>
  <c r="J66" i="17"/>
  <c r="V65" i="17"/>
  <c r="U65" i="17"/>
  <c r="K65" i="17"/>
  <c r="J65" i="17"/>
  <c r="V64" i="17"/>
  <c r="U64" i="17"/>
  <c r="K64" i="17"/>
  <c r="J64" i="17"/>
  <c r="V63" i="17"/>
  <c r="V285" i="17" s="1"/>
  <c r="U63" i="17"/>
  <c r="U285" i="17" s="1"/>
  <c r="K63" i="17"/>
  <c r="K285" i="17" s="1"/>
  <c r="J63" i="17"/>
  <c r="J285" i="17" s="1"/>
  <c r="V62" i="17"/>
  <c r="U62" i="17"/>
  <c r="K62" i="17"/>
  <c r="J62" i="17"/>
  <c r="V61" i="17"/>
  <c r="U61" i="17"/>
  <c r="K61" i="17"/>
  <c r="J61" i="17"/>
  <c r="V60" i="17"/>
  <c r="U60" i="17"/>
  <c r="K60" i="17"/>
  <c r="J60" i="17"/>
  <c r="V59" i="17"/>
  <c r="U59" i="17"/>
  <c r="K59" i="17"/>
  <c r="J59" i="17"/>
  <c r="V58" i="17"/>
  <c r="V284" i="17" s="1"/>
  <c r="U58" i="17"/>
  <c r="U284" i="17" s="1"/>
  <c r="K58" i="17"/>
  <c r="K284" i="17" s="1"/>
  <c r="J58" i="17"/>
  <c r="J284" i="17" s="1"/>
  <c r="V57" i="17"/>
  <c r="U57" i="17"/>
  <c r="K57" i="17"/>
  <c r="J57" i="17"/>
  <c r="V56" i="17"/>
  <c r="U56" i="17"/>
  <c r="K56" i="17"/>
  <c r="J56" i="17"/>
  <c r="V55" i="17"/>
  <c r="U55" i="17"/>
  <c r="K55" i="17"/>
  <c r="J55" i="17"/>
  <c r="V54" i="17"/>
  <c r="U54" i="17"/>
  <c r="K54" i="17"/>
  <c r="J54" i="17"/>
  <c r="V53" i="17"/>
  <c r="U53" i="17"/>
  <c r="K53" i="17"/>
  <c r="J53" i="17"/>
  <c r="V50" i="17"/>
  <c r="V281" i="17" s="1"/>
  <c r="U50" i="17"/>
  <c r="U281" i="17" s="1"/>
  <c r="J50" i="17"/>
  <c r="J281" i="17" s="1"/>
  <c r="V47" i="17"/>
  <c r="V278" i="17" s="1"/>
  <c r="U47" i="17"/>
  <c r="K47" i="17"/>
  <c r="K278" i="17" s="1"/>
  <c r="J47" i="17"/>
  <c r="J278" i="17" s="1"/>
  <c r="V46" i="17"/>
  <c r="V277" i="17" s="1"/>
  <c r="U46" i="17"/>
  <c r="U277" i="17" s="1"/>
  <c r="K46" i="17"/>
  <c r="K277" i="17" s="1"/>
  <c r="J46" i="17"/>
  <c r="J277" i="17" s="1"/>
  <c r="V45" i="17"/>
  <c r="V276" i="17" s="1"/>
  <c r="U45" i="17"/>
  <c r="U276" i="17" s="1"/>
  <c r="K45" i="17"/>
  <c r="K276" i="17" s="1"/>
  <c r="J45" i="17"/>
  <c r="J276" i="17" s="1"/>
  <c r="V44" i="17"/>
  <c r="V275" i="17" s="1"/>
  <c r="U44" i="17"/>
  <c r="U275" i="17" s="1"/>
  <c r="K44" i="17"/>
  <c r="K275" i="17" s="1"/>
  <c r="J44" i="17"/>
  <c r="J275" i="17" s="1"/>
  <c r="V43" i="17"/>
  <c r="V231" i="17" s="1"/>
  <c r="U43" i="17"/>
  <c r="K43" i="17"/>
  <c r="K274" i="17" s="1"/>
  <c r="J43" i="17"/>
  <c r="J274" i="17" s="1"/>
  <c r="V42" i="17"/>
  <c r="V273" i="17" s="1"/>
  <c r="U42" i="17"/>
  <c r="U273" i="17" s="1"/>
  <c r="K42" i="17"/>
  <c r="K273" i="17" s="1"/>
  <c r="J42" i="17"/>
  <c r="J273" i="17" s="1"/>
  <c r="V41" i="17"/>
  <c r="V272" i="17" s="1"/>
  <c r="U41" i="17"/>
  <c r="U272" i="17" s="1"/>
  <c r="K41" i="17"/>
  <c r="K272" i="17" s="1"/>
  <c r="J41" i="17"/>
  <c r="J272" i="17" s="1"/>
  <c r="V40" i="17"/>
  <c r="V228" i="17" s="1"/>
  <c r="U40" i="17"/>
  <c r="U271" i="17" s="1"/>
  <c r="K40" i="17"/>
  <c r="K271" i="17" s="1"/>
  <c r="J40" i="17"/>
  <c r="J271" i="17" s="1"/>
  <c r="V39" i="17"/>
  <c r="V227" i="17" s="1"/>
  <c r="U39" i="17"/>
  <c r="U270" i="17" s="1"/>
  <c r="K39" i="17"/>
  <c r="K270" i="17" s="1"/>
  <c r="J39" i="17"/>
  <c r="J270" i="17" s="1"/>
  <c r="V38" i="17"/>
  <c r="V269" i="17" s="1"/>
  <c r="U38" i="17"/>
  <c r="K38" i="17"/>
  <c r="K269" i="17" s="1"/>
  <c r="J38" i="17"/>
  <c r="J269" i="17" s="1"/>
  <c r="V37" i="17"/>
  <c r="V268" i="17" s="1"/>
  <c r="U37" i="17"/>
  <c r="U268" i="17" s="1"/>
  <c r="K37" i="17"/>
  <c r="K268" i="17" s="1"/>
  <c r="J37" i="17"/>
  <c r="J268" i="17" s="1"/>
  <c r="V36" i="17"/>
  <c r="V267" i="17" s="1"/>
  <c r="U36" i="17"/>
  <c r="U267" i="17" s="1"/>
  <c r="K36" i="17"/>
  <c r="K267" i="17" s="1"/>
  <c r="J36" i="17"/>
  <c r="J267" i="17" s="1"/>
  <c r="V35" i="17"/>
  <c r="U35" i="17"/>
  <c r="U223" i="17" s="1"/>
  <c r="K35" i="17"/>
  <c r="J35" i="17"/>
  <c r="V34" i="17"/>
  <c r="V222" i="17" s="1"/>
  <c r="U34" i="17"/>
  <c r="U222" i="17" s="1"/>
  <c r="K34" i="17"/>
  <c r="J34" i="17"/>
  <c r="V33" i="17"/>
  <c r="U33" i="17"/>
  <c r="K33" i="17"/>
  <c r="J33" i="17"/>
  <c r="V32" i="17"/>
  <c r="U32" i="17"/>
  <c r="K32" i="17"/>
  <c r="J32" i="17"/>
  <c r="V31" i="17"/>
  <c r="V266" i="17" s="1"/>
  <c r="U31" i="17"/>
  <c r="K31" i="17"/>
  <c r="K266" i="17" s="1"/>
  <c r="J31" i="17"/>
  <c r="J266" i="17" s="1"/>
  <c r="V30" i="17"/>
  <c r="V218" i="17" s="1"/>
  <c r="U30" i="17"/>
  <c r="U218" i="17" s="1"/>
  <c r="K30" i="17"/>
  <c r="J30" i="17"/>
  <c r="V29" i="17"/>
  <c r="U29" i="17"/>
  <c r="K29" i="17"/>
  <c r="J29" i="17"/>
  <c r="V28" i="17"/>
  <c r="U28" i="17"/>
  <c r="K28" i="17"/>
  <c r="J28" i="17"/>
  <c r="V27" i="17"/>
  <c r="V215" i="17" s="1"/>
  <c r="U27" i="17"/>
  <c r="U215" i="17" s="1"/>
  <c r="K27" i="17"/>
  <c r="J27" i="17"/>
  <c r="V26" i="17"/>
  <c r="V265" i="17" s="1"/>
  <c r="U26" i="17"/>
  <c r="K26" i="17"/>
  <c r="K265" i="17" s="1"/>
  <c r="J26" i="17"/>
  <c r="J265" i="17" s="1"/>
  <c r="V25" i="17"/>
  <c r="U25" i="17"/>
  <c r="K25" i="17"/>
  <c r="J25" i="17"/>
  <c r="V24" i="17"/>
  <c r="V212" i="17" s="1"/>
  <c r="U24" i="17"/>
  <c r="K24" i="17"/>
  <c r="J24" i="17"/>
  <c r="V23" i="17"/>
  <c r="V211" i="17" s="1"/>
  <c r="U23" i="17"/>
  <c r="U211" i="17" s="1"/>
  <c r="K23" i="17"/>
  <c r="J23" i="17"/>
  <c r="V22" i="17"/>
  <c r="U22" i="17"/>
  <c r="U210" i="17" s="1"/>
  <c r="K22" i="17"/>
  <c r="J22" i="17"/>
  <c r="V21" i="17"/>
  <c r="V264" i="17" s="1"/>
  <c r="U21" i="17"/>
  <c r="U264" i="17" s="1"/>
  <c r="K21" i="17"/>
  <c r="K264" i="17" s="1"/>
  <c r="J21" i="17"/>
  <c r="J264" i="17" s="1"/>
  <c r="V20" i="17"/>
  <c r="V208" i="17" s="1"/>
  <c r="U20" i="17"/>
  <c r="K20" i="17"/>
  <c r="J20" i="17"/>
  <c r="V19" i="17"/>
  <c r="U19" i="17"/>
  <c r="U207" i="17" s="1"/>
  <c r="K19" i="17"/>
  <c r="J19" i="17"/>
  <c r="V18" i="17"/>
  <c r="V206" i="17" s="1"/>
  <c r="U18" i="17"/>
  <c r="U206" i="17" s="1"/>
  <c r="K18" i="17"/>
  <c r="J18" i="17"/>
  <c r="V17" i="17"/>
  <c r="U17" i="17"/>
  <c r="K17" i="17"/>
  <c r="J17" i="17"/>
  <c r="V16" i="17"/>
  <c r="V263" i="17" s="1"/>
  <c r="U16" i="17"/>
  <c r="K16" i="17"/>
  <c r="K263" i="17" s="1"/>
  <c r="J16" i="17"/>
  <c r="J263" i="17" s="1"/>
  <c r="V15" i="17"/>
  <c r="U15" i="17"/>
  <c r="U203" i="17" s="1"/>
  <c r="K15" i="17"/>
  <c r="J15" i="17"/>
  <c r="V14" i="17"/>
  <c r="V202" i="17" s="1"/>
  <c r="U14" i="17"/>
  <c r="U202" i="17" s="1"/>
  <c r="K14" i="17"/>
  <c r="J14" i="17"/>
  <c r="V13" i="17"/>
  <c r="U13" i="17"/>
  <c r="K13" i="17"/>
  <c r="J13" i="17"/>
  <c r="V12" i="17"/>
  <c r="U12" i="17"/>
  <c r="K12" i="17"/>
  <c r="J12" i="17"/>
  <c r="V11" i="17"/>
  <c r="V262" i="17" s="1"/>
  <c r="U11" i="17"/>
  <c r="U199" i="17" s="1"/>
  <c r="K11" i="17"/>
  <c r="J11" i="17"/>
  <c r="J262" i="17" s="1"/>
  <c r="V10" i="17"/>
  <c r="U10" i="17"/>
  <c r="U198" i="17" s="1"/>
  <c r="K10" i="17"/>
  <c r="J10" i="17"/>
  <c r="V9" i="17"/>
  <c r="U9" i="17"/>
  <c r="K9" i="17"/>
  <c r="J9" i="17"/>
  <c r="V8" i="17"/>
  <c r="V196" i="17" s="1"/>
  <c r="U8" i="17"/>
  <c r="K8" i="17"/>
  <c r="J8" i="17"/>
  <c r="V7" i="17"/>
  <c r="V195" i="17" s="1"/>
  <c r="U7" i="17"/>
  <c r="U195" i="17" s="1"/>
  <c r="K7" i="17"/>
  <c r="J7" i="17"/>
  <c r="V6" i="17"/>
  <c r="U6" i="17"/>
  <c r="U194" i="17" s="1"/>
  <c r="K6" i="17"/>
  <c r="J6" i="17"/>
  <c r="A372" i="16"/>
  <c r="A371" i="16"/>
  <c r="I348" i="16"/>
  <c r="H348" i="16"/>
  <c r="G348" i="16"/>
  <c r="F348" i="16"/>
  <c r="E348" i="16"/>
  <c r="D348" i="16"/>
  <c r="C348" i="16"/>
  <c r="B348" i="16"/>
  <c r="I345" i="16"/>
  <c r="H345" i="16"/>
  <c r="G345" i="16"/>
  <c r="F345" i="16"/>
  <c r="E345" i="16"/>
  <c r="D345" i="16"/>
  <c r="C345" i="16"/>
  <c r="B345" i="16"/>
  <c r="I344" i="16"/>
  <c r="H344" i="16"/>
  <c r="G344" i="16"/>
  <c r="F344" i="16"/>
  <c r="E344" i="16"/>
  <c r="D344" i="16"/>
  <c r="C344" i="16"/>
  <c r="B344" i="16"/>
  <c r="I343" i="16"/>
  <c r="H343" i="16"/>
  <c r="G343" i="16"/>
  <c r="F343" i="16"/>
  <c r="E343" i="16"/>
  <c r="D343" i="16"/>
  <c r="C343" i="16"/>
  <c r="B343" i="16"/>
  <c r="I342" i="16"/>
  <c r="H342" i="16"/>
  <c r="G342" i="16"/>
  <c r="F342" i="16"/>
  <c r="E342" i="16"/>
  <c r="D342" i="16"/>
  <c r="C342" i="16"/>
  <c r="B342" i="16"/>
  <c r="I341" i="16"/>
  <c r="H341" i="16"/>
  <c r="G341" i="16"/>
  <c r="F341" i="16"/>
  <c r="E341" i="16"/>
  <c r="D341" i="16"/>
  <c r="C341" i="16"/>
  <c r="B341" i="16"/>
  <c r="I340" i="16"/>
  <c r="H340" i="16"/>
  <c r="G340" i="16"/>
  <c r="F340" i="16"/>
  <c r="E340" i="16"/>
  <c r="D340" i="16"/>
  <c r="C340" i="16"/>
  <c r="B340" i="16"/>
  <c r="I339" i="16"/>
  <c r="H339" i="16"/>
  <c r="G339" i="16"/>
  <c r="F339" i="16"/>
  <c r="E339" i="16"/>
  <c r="D339" i="16"/>
  <c r="C339" i="16"/>
  <c r="B339" i="16"/>
  <c r="I338" i="16"/>
  <c r="H338" i="16"/>
  <c r="G338" i="16"/>
  <c r="F338" i="16"/>
  <c r="E338" i="16"/>
  <c r="D338" i="16"/>
  <c r="C338" i="16"/>
  <c r="B338" i="16"/>
  <c r="I337" i="16"/>
  <c r="H337" i="16"/>
  <c r="G337" i="16"/>
  <c r="F337" i="16"/>
  <c r="E337" i="16"/>
  <c r="D337" i="16"/>
  <c r="C337" i="16"/>
  <c r="B337" i="16"/>
  <c r="I336" i="16"/>
  <c r="H336" i="16"/>
  <c r="G336" i="16"/>
  <c r="F336" i="16"/>
  <c r="E336" i="16"/>
  <c r="D336" i="16"/>
  <c r="C336" i="16"/>
  <c r="B336" i="16"/>
  <c r="I335" i="16"/>
  <c r="H335" i="16"/>
  <c r="G335" i="16"/>
  <c r="F335" i="16"/>
  <c r="E335" i="16"/>
  <c r="D335" i="16"/>
  <c r="C335" i="16"/>
  <c r="B335" i="16"/>
  <c r="I334" i="16"/>
  <c r="H334" i="16"/>
  <c r="G334" i="16"/>
  <c r="F334" i="16"/>
  <c r="E334" i="16"/>
  <c r="D334" i="16"/>
  <c r="C334" i="16"/>
  <c r="B334" i="16"/>
  <c r="I333" i="16"/>
  <c r="H333" i="16"/>
  <c r="G333" i="16"/>
  <c r="F333" i="16"/>
  <c r="E333" i="16"/>
  <c r="D333" i="16"/>
  <c r="C333" i="16"/>
  <c r="B333" i="16"/>
  <c r="G332" i="16"/>
  <c r="F332" i="16"/>
  <c r="E332" i="16"/>
  <c r="D332" i="16"/>
  <c r="C332" i="16"/>
  <c r="B332" i="16"/>
  <c r="G331" i="16"/>
  <c r="F331" i="16"/>
  <c r="E331" i="16"/>
  <c r="D331" i="16"/>
  <c r="C331" i="16"/>
  <c r="B331" i="16"/>
  <c r="G330" i="16"/>
  <c r="F330" i="16"/>
  <c r="E330" i="16"/>
  <c r="D330" i="16"/>
  <c r="C330" i="16"/>
  <c r="B330" i="16"/>
  <c r="I329" i="16"/>
  <c r="H329" i="16"/>
  <c r="G329" i="16"/>
  <c r="F329" i="16"/>
  <c r="E329" i="16"/>
  <c r="D329" i="16"/>
  <c r="C329" i="16"/>
  <c r="B329" i="16"/>
  <c r="H323" i="16"/>
  <c r="G323" i="16"/>
  <c r="F323" i="16"/>
  <c r="E323" i="16"/>
  <c r="D323" i="16"/>
  <c r="C323" i="16"/>
  <c r="B323" i="16"/>
  <c r="I320" i="16"/>
  <c r="H320" i="16"/>
  <c r="G320" i="16"/>
  <c r="F320" i="16"/>
  <c r="E320" i="16"/>
  <c r="D320" i="16"/>
  <c r="C320" i="16"/>
  <c r="B320" i="16"/>
  <c r="I319" i="16"/>
  <c r="H319" i="16"/>
  <c r="G319" i="16"/>
  <c r="F319" i="16"/>
  <c r="E319" i="16"/>
  <c r="D319" i="16"/>
  <c r="C319" i="16"/>
  <c r="B319" i="16"/>
  <c r="I318" i="16"/>
  <c r="H318" i="16"/>
  <c r="G318" i="16"/>
  <c r="F318" i="16"/>
  <c r="E318" i="16"/>
  <c r="D318" i="16"/>
  <c r="C318" i="16"/>
  <c r="B318" i="16"/>
  <c r="I317" i="16"/>
  <c r="H317" i="16"/>
  <c r="G317" i="16"/>
  <c r="F317" i="16"/>
  <c r="E317" i="16"/>
  <c r="D317" i="16"/>
  <c r="C317" i="16"/>
  <c r="B317" i="16"/>
  <c r="I316" i="16"/>
  <c r="H316" i="16"/>
  <c r="G316" i="16"/>
  <c r="F316" i="16"/>
  <c r="E316" i="16"/>
  <c r="D316" i="16"/>
  <c r="C316" i="16"/>
  <c r="B316" i="16"/>
  <c r="I315" i="16"/>
  <c r="H315" i="16"/>
  <c r="G315" i="16"/>
  <c r="F315" i="16"/>
  <c r="E315" i="16"/>
  <c r="D315" i="16"/>
  <c r="C315" i="16"/>
  <c r="B315" i="16"/>
  <c r="I314" i="16"/>
  <c r="H314" i="16"/>
  <c r="G314" i="16"/>
  <c r="F314" i="16"/>
  <c r="E314" i="16"/>
  <c r="D314" i="16"/>
  <c r="C314" i="16"/>
  <c r="B314" i="16"/>
  <c r="I313" i="16"/>
  <c r="H313" i="16"/>
  <c r="G313" i="16"/>
  <c r="F313" i="16"/>
  <c r="E313" i="16"/>
  <c r="D313" i="16"/>
  <c r="C313" i="16"/>
  <c r="B313" i="16"/>
  <c r="I312" i="16"/>
  <c r="H312" i="16"/>
  <c r="G312" i="16"/>
  <c r="F312" i="16"/>
  <c r="E312" i="16"/>
  <c r="D312" i="16"/>
  <c r="C312" i="16"/>
  <c r="B312" i="16"/>
  <c r="I311" i="16"/>
  <c r="H311" i="16"/>
  <c r="G311" i="16"/>
  <c r="F311" i="16"/>
  <c r="E311" i="16"/>
  <c r="D311" i="16"/>
  <c r="C311" i="16"/>
  <c r="B311" i="16"/>
  <c r="I310" i="16"/>
  <c r="H310" i="16"/>
  <c r="G310" i="16"/>
  <c r="F310" i="16"/>
  <c r="E310" i="16"/>
  <c r="D310" i="16"/>
  <c r="C310" i="16"/>
  <c r="B310" i="16"/>
  <c r="I309" i="16"/>
  <c r="H309" i="16"/>
  <c r="G309" i="16"/>
  <c r="F309" i="16"/>
  <c r="E309" i="16"/>
  <c r="D309" i="16"/>
  <c r="C309" i="16"/>
  <c r="B309" i="16"/>
  <c r="H308" i="16"/>
  <c r="G308" i="16"/>
  <c r="F308" i="16"/>
  <c r="E308" i="16"/>
  <c r="D308" i="16"/>
  <c r="C308" i="16"/>
  <c r="B308" i="16"/>
  <c r="G307" i="16"/>
  <c r="F307" i="16"/>
  <c r="E307" i="16"/>
  <c r="D307" i="16"/>
  <c r="C307" i="16"/>
  <c r="B307" i="16"/>
  <c r="G306" i="16"/>
  <c r="F306" i="16"/>
  <c r="E306" i="16"/>
  <c r="D306" i="16"/>
  <c r="C306" i="16"/>
  <c r="B306" i="16"/>
  <c r="G305" i="16"/>
  <c r="F305" i="16"/>
  <c r="E305" i="16"/>
  <c r="D305" i="16"/>
  <c r="C305" i="16"/>
  <c r="B305" i="16"/>
  <c r="I304" i="16"/>
  <c r="H304" i="16"/>
  <c r="G304" i="16"/>
  <c r="F304" i="16"/>
  <c r="E304" i="16"/>
  <c r="D304" i="16"/>
  <c r="C304" i="16"/>
  <c r="B304" i="16"/>
  <c r="I301" i="16"/>
  <c r="H301" i="16"/>
  <c r="G301" i="16"/>
  <c r="F301" i="16"/>
  <c r="E301" i="16"/>
  <c r="D301" i="16"/>
  <c r="C301" i="16"/>
  <c r="B301" i="16"/>
  <c r="I298" i="16"/>
  <c r="H298" i="16"/>
  <c r="G298" i="16"/>
  <c r="F298" i="16"/>
  <c r="E298" i="16"/>
  <c r="D298" i="16"/>
  <c r="C298" i="16"/>
  <c r="B298" i="16"/>
  <c r="I297" i="16"/>
  <c r="H297" i="16"/>
  <c r="G297" i="16"/>
  <c r="F297" i="16"/>
  <c r="E297" i="16"/>
  <c r="D297" i="16"/>
  <c r="C297" i="16"/>
  <c r="B297" i="16"/>
  <c r="I296" i="16"/>
  <c r="H296" i="16"/>
  <c r="G296" i="16"/>
  <c r="F296" i="16"/>
  <c r="E296" i="16"/>
  <c r="D296" i="16"/>
  <c r="C296" i="16"/>
  <c r="B296" i="16"/>
  <c r="I295" i="16"/>
  <c r="H295" i="16"/>
  <c r="G295" i="16"/>
  <c r="F295" i="16"/>
  <c r="E295" i="16"/>
  <c r="D295" i="16"/>
  <c r="C295" i="16"/>
  <c r="B295" i="16"/>
  <c r="I294" i="16"/>
  <c r="H294" i="16"/>
  <c r="G294" i="16"/>
  <c r="F294" i="16"/>
  <c r="E294" i="16"/>
  <c r="D294" i="16"/>
  <c r="C294" i="16"/>
  <c r="B294" i="16"/>
  <c r="I293" i="16"/>
  <c r="H293" i="16"/>
  <c r="G293" i="16"/>
  <c r="F293" i="16"/>
  <c r="E293" i="16"/>
  <c r="D293" i="16"/>
  <c r="C293" i="16"/>
  <c r="B293" i="16"/>
  <c r="I292" i="16"/>
  <c r="H292" i="16"/>
  <c r="G292" i="16"/>
  <c r="F292" i="16"/>
  <c r="E292" i="16"/>
  <c r="D292" i="16"/>
  <c r="C292" i="16"/>
  <c r="B292" i="16"/>
  <c r="I291" i="16"/>
  <c r="H291" i="16"/>
  <c r="G291" i="16"/>
  <c r="F291" i="16"/>
  <c r="E291" i="16"/>
  <c r="D291" i="16"/>
  <c r="C291" i="16"/>
  <c r="B291" i="16"/>
  <c r="I290" i="16"/>
  <c r="H290" i="16"/>
  <c r="G290" i="16"/>
  <c r="F290" i="16"/>
  <c r="E290" i="16"/>
  <c r="D290" i="16"/>
  <c r="C290" i="16"/>
  <c r="B290" i="16"/>
  <c r="I289" i="16"/>
  <c r="H289" i="16"/>
  <c r="G289" i="16"/>
  <c r="F289" i="16"/>
  <c r="E289" i="16"/>
  <c r="D289" i="16"/>
  <c r="C289" i="16"/>
  <c r="B289" i="16"/>
  <c r="I288" i="16"/>
  <c r="H288" i="16"/>
  <c r="G288" i="16"/>
  <c r="F288" i="16"/>
  <c r="E288" i="16"/>
  <c r="D288" i="16"/>
  <c r="C288" i="16"/>
  <c r="B288" i="16"/>
  <c r="I287" i="16"/>
  <c r="H287" i="16"/>
  <c r="G287" i="16"/>
  <c r="F287" i="16"/>
  <c r="E287" i="16"/>
  <c r="D287" i="16"/>
  <c r="C287" i="16"/>
  <c r="B287" i="16"/>
  <c r="I286" i="16"/>
  <c r="H286" i="16"/>
  <c r="G286" i="16"/>
  <c r="F286" i="16"/>
  <c r="E286" i="16"/>
  <c r="D286" i="16"/>
  <c r="C286" i="16"/>
  <c r="B286" i="16"/>
  <c r="I285" i="16"/>
  <c r="G285" i="16"/>
  <c r="F285" i="16"/>
  <c r="E285" i="16"/>
  <c r="D285" i="16"/>
  <c r="C285" i="16"/>
  <c r="B285" i="16"/>
  <c r="I284" i="16"/>
  <c r="H284" i="16"/>
  <c r="G284" i="16"/>
  <c r="F284" i="16"/>
  <c r="E284" i="16"/>
  <c r="D284" i="16"/>
  <c r="C284" i="16"/>
  <c r="B284" i="16"/>
  <c r="I283" i="16"/>
  <c r="H283" i="16"/>
  <c r="G283" i="16"/>
  <c r="F283" i="16"/>
  <c r="E283" i="16"/>
  <c r="D283" i="16"/>
  <c r="C283" i="16"/>
  <c r="B283" i="16"/>
  <c r="I282" i="16"/>
  <c r="H282" i="16"/>
  <c r="G282" i="16"/>
  <c r="F282" i="16"/>
  <c r="E282" i="16"/>
  <c r="D282" i="16"/>
  <c r="C282" i="16"/>
  <c r="B282" i="16"/>
  <c r="H279" i="16"/>
  <c r="G279" i="16"/>
  <c r="F279" i="16"/>
  <c r="E279" i="16"/>
  <c r="D279" i="16"/>
  <c r="C279" i="16"/>
  <c r="B279" i="16"/>
  <c r="I276" i="16"/>
  <c r="H276" i="16"/>
  <c r="G276" i="16"/>
  <c r="F276" i="16"/>
  <c r="E276" i="16"/>
  <c r="D276" i="16"/>
  <c r="C276" i="16"/>
  <c r="B276" i="16"/>
  <c r="I275" i="16"/>
  <c r="H275" i="16"/>
  <c r="G275" i="16"/>
  <c r="F275" i="16"/>
  <c r="E275" i="16"/>
  <c r="D275" i="16"/>
  <c r="C275" i="16"/>
  <c r="B275" i="16"/>
  <c r="I274" i="16"/>
  <c r="H274" i="16"/>
  <c r="G274" i="16"/>
  <c r="F274" i="16"/>
  <c r="E274" i="16"/>
  <c r="D274" i="16"/>
  <c r="C274" i="16"/>
  <c r="B274" i="16"/>
  <c r="I273" i="16"/>
  <c r="H273" i="16"/>
  <c r="G273" i="16"/>
  <c r="F273" i="16"/>
  <c r="E273" i="16"/>
  <c r="D273" i="16"/>
  <c r="C273" i="16"/>
  <c r="B273" i="16"/>
  <c r="I272" i="16"/>
  <c r="H272" i="16"/>
  <c r="G272" i="16"/>
  <c r="F272" i="16"/>
  <c r="E272" i="16"/>
  <c r="D272" i="16"/>
  <c r="C272" i="16"/>
  <c r="B272" i="16"/>
  <c r="I271" i="16"/>
  <c r="H271" i="16"/>
  <c r="G271" i="16"/>
  <c r="F271" i="16"/>
  <c r="E271" i="16"/>
  <c r="D271" i="16"/>
  <c r="C271" i="16"/>
  <c r="B271" i="16"/>
  <c r="I270" i="16"/>
  <c r="H270" i="16"/>
  <c r="G270" i="16"/>
  <c r="F270" i="16"/>
  <c r="E270" i="16"/>
  <c r="D270" i="16"/>
  <c r="C270" i="16"/>
  <c r="B270" i="16"/>
  <c r="I269" i="16"/>
  <c r="H269" i="16"/>
  <c r="G269" i="16"/>
  <c r="F269" i="16"/>
  <c r="E269" i="16"/>
  <c r="D269" i="16"/>
  <c r="C269" i="16"/>
  <c r="B269" i="16"/>
  <c r="I268" i="16"/>
  <c r="H268" i="16"/>
  <c r="G268" i="16"/>
  <c r="F268" i="16"/>
  <c r="E268" i="16"/>
  <c r="D268" i="16"/>
  <c r="C268" i="16"/>
  <c r="B268" i="16"/>
  <c r="I267" i="16"/>
  <c r="H267" i="16"/>
  <c r="G267" i="16"/>
  <c r="F267" i="16"/>
  <c r="E267" i="16"/>
  <c r="D267" i="16"/>
  <c r="C267" i="16"/>
  <c r="B267" i="16"/>
  <c r="I266" i="16"/>
  <c r="H266" i="16"/>
  <c r="G266" i="16"/>
  <c r="F266" i="16"/>
  <c r="E266" i="16"/>
  <c r="D266" i="16"/>
  <c r="C266" i="16"/>
  <c r="B266" i="16"/>
  <c r="I265" i="16"/>
  <c r="H265" i="16"/>
  <c r="G265" i="16"/>
  <c r="F265" i="16"/>
  <c r="E265" i="16"/>
  <c r="D265" i="16"/>
  <c r="C265" i="16"/>
  <c r="B265" i="16"/>
  <c r="I264" i="16"/>
  <c r="H264" i="16"/>
  <c r="G264" i="16"/>
  <c r="F264" i="16"/>
  <c r="E264" i="16"/>
  <c r="D264" i="16"/>
  <c r="C264" i="16"/>
  <c r="B264" i="16"/>
  <c r="I263" i="16"/>
  <c r="G263" i="16"/>
  <c r="F263" i="16"/>
  <c r="E263" i="16"/>
  <c r="D263" i="16"/>
  <c r="C263" i="16"/>
  <c r="B263" i="16"/>
  <c r="I262" i="16"/>
  <c r="H262" i="16"/>
  <c r="G262" i="16"/>
  <c r="F262" i="16"/>
  <c r="E262" i="16"/>
  <c r="D262" i="16"/>
  <c r="C262" i="16"/>
  <c r="B262" i="16"/>
  <c r="I261" i="16"/>
  <c r="H261" i="16"/>
  <c r="G261" i="16"/>
  <c r="F261" i="16"/>
  <c r="E261" i="16"/>
  <c r="D261" i="16"/>
  <c r="C261" i="16"/>
  <c r="B261" i="16"/>
  <c r="I260" i="16"/>
  <c r="H260" i="16"/>
  <c r="G260" i="16"/>
  <c r="F260" i="16"/>
  <c r="E260" i="16"/>
  <c r="D260" i="16"/>
  <c r="C260" i="16"/>
  <c r="B260" i="16"/>
  <c r="H237" i="16"/>
  <c r="H370" i="16" s="1"/>
  <c r="G237" i="16"/>
  <c r="G370" i="16" s="1"/>
  <c r="F237" i="16"/>
  <c r="F370" i="16" s="1"/>
  <c r="E237" i="16"/>
  <c r="E370" i="16" s="1"/>
  <c r="D237" i="16"/>
  <c r="D370" i="16" s="1"/>
  <c r="C237" i="16"/>
  <c r="C370" i="16" s="1"/>
  <c r="B237" i="16"/>
  <c r="B370" i="16" s="1"/>
  <c r="I234" i="16"/>
  <c r="I367" i="16" s="1"/>
  <c r="H234" i="16"/>
  <c r="H367" i="16" s="1"/>
  <c r="G234" i="16"/>
  <c r="G367" i="16" s="1"/>
  <c r="F234" i="16"/>
  <c r="F367" i="16" s="1"/>
  <c r="E234" i="16"/>
  <c r="E367" i="16" s="1"/>
  <c r="D234" i="16"/>
  <c r="D367" i="16" s="1"/>
  <c r="C234" i="16"/>
  <c r="C367" i="16" s="1"/>
  <c r="B234" i="16"/>
  <c r="B367" i="16" s="1"/>
  <c r="I233" i="16"/>
  <c r="I366" i="16" s="1"/>
  <c r="H233" i="16"/>
  <c r="H366" i="16" s="1"/>
  <c r="G233" i="16"/>
  <c r="G366" i="16" s="1"/>
  <c r="F233" i="16"/>
  <c r="F366" i="16" s="1"/>
  <c r="E233" i="16"/>
  <c r="E366" i="16" s="1"/>
  <c r="D233" i="16"/>
  <c r="D366" i="16" s="1"/>
  <c r="C233" i="16"/>
  <c r="C366" i="16" s="1"/>
  <c r="B233" i="16"/>
  <c r="B366" i="16" s="1"/>
  <c r="I232" i="16"/>
  <c r="I365" i="16" s="1"/>
  <c r="H232" i="16"/>
  <c r="H365" i="16" s="1"/>
  <c r="G232" i="16"/>
  <c r="G365" i="16" s="1"/>
  <c r="F232" i="16"/>
  <c r="F365" i="16" s="1"/>
  <c r="E232" i="16"/>
  <c r="E365" i="16" s="1"/>
  <c r="D232" i="16"/>
  <c r="D365" i="16" s="1"/>
  <c r="C232" i="16"/>
  <c r="C365" i="16" s="1"/>
  <c r="B232" i="16"/>
  <c r="B365" i="16" s="1"/>
  <c r="I231" i="16"/>
  <c r="I364" i="16" s="1"/>
  <c r="H231" i="16"/>
  <c r="H364" i="16" s="1"/>
  <c r="G231" i="16"/>
  <c r="G364" i="16" s="1"/>
  <c r="F231" i="16"/>
  <c r="F364" i="16" s="1"/>
  <c r="E231" i="16"/>
  <c r="E364" i="16" s="1"/>
  <c r="D231" i="16"/>
  <c r="D364" i="16" s="1"/>
  <c r="C231" i="16"/>
  <c r="C364" i="16" s="1"/>
  <c r="B231" i="16"/>
  <c r="B364" i="16" s="1"/>
  <c r="I230" i="16"/>
  <c r="I363" i="16" s="1"/>
  <c r="H230" i="16"/>
  <c r="H363" i="16" s="1"/>
  <c r="G230" i="16"/>
  <c r="G363" i="16" s="1"/>
  <c r="F230" i="16"/>
  <c r="F363" i="16" s="1"/>
  <c r="E230" i="16"/>
  <c r="E363" i="16" s="1"/>
  <c r="D230" i="16"/>
  <c r="D363" i="16" s="1"/>
  <c r="C230" i="16"/>
  <c r="C363" i="16" s="1"/>
  <c r="B230" i="16"/>
  <c r="B363" i="16" s="1"/>
  <c r="I229" i="16"/>
  <c r="I362" i="16" s="1"/>
  <c r="H229" i="16"/>
  <c r="H362" i="16" s="1"/>
  <c r="G229" i="16"/>
  <c r="G362" i="16" s="1"/>
  <c r="F229" i="16"/>
  <c r="F362" i="16" s="1"/>
  <c r="E229" i="16"/>
  <c r="E362" i="16" s="1"/>
  <c r="D229" i="16"/>
  <c r="D362" i="16" s="1"/>
  <c r="C229" i="16"/>
  <c r="C362" i="16" s="1"/>
  <c r="B229" i="16"/>
  <c r="B362" i="16" s="1"/>
  <c r="I228" i="16"/>
  <c r="I361" i="16" s="1"/>
  <c r="H228" i="16"/>
  <c r="H361" i="16" s="1"/>
  <c r="G228" i="16"/>
  <c r="G361" i="16" s="1"/>
  <c r="F228" i="16"/>
  <c r="F361" i="16" s="1"/>
  <c r="E228" i="16"/>
  <c r="E361" i="16" s="1"/>
  <c r="D228" i="16"/>
  <c r="D361" i="16" s="1"/>
  <c r="C228" i="16"/>
  <c r="C361" i="16" s="1"/>
  <c r="B228" i="16"/>
  <c r="B361" i="16" s="1"/>
  <c r="I227" i="16"/>
  <c r="I360" i="16" s="1"/>
  <c r="H227" i="16"/>
  <c r="H360" i="16" s="1"/>
  <c r="G227" i="16"/>
  <c r="G360" i="16" s="1"/>
  <c r="F227" i="16"/>
  <c r="F360" i="16" s="1"/>
  <c r="E227" i="16"/>
  <c r="E360" i="16" s="1"/>
  <c r="D227" i="16"/>
  <c r="D360" i="16" s="1"/>
  <c r="C227" i="16"/>
  <c r="C360" i="16" s="1"/>
  <c r="B227" i="16"/>
  <c r="B360" i="16" s="1"/>
  <c r="I226" i="16"/>
  <c r="I359" i="16" s="1"/>
  <c r="H226" i="16"/>
  <c r="H359" i="16" s="1"/>
  <c r="G226" i="16"/>
  <c r="G359" i="16" s="1"/>
  <c r="F226" i="16"/>
  <c r="F359" i="16" s="1"/>
  <c r="E226" i="16"/>
  <c r="E359" i="16" s="1"/>
  <c r="D226" i="16"/>
  <c r="D359" i="16" s="1"/>
  <c r="C226" i="16"/>
  <c r="C359" i="16" s="1"/>
  <c r="B226" i="16"/>
  <c r="B359" i="16" s="1"/>
  <c r="I225" i="16"/>
  <c r="I358" i="16" s="1"/>
  <c r="H225" i="16"/>
  <c r="H358" i="16" s="1"/>
  <c r="G225" i="16"/>
  <c r="G358" i="16" s="1"/>
  <c r="F225" i="16"/>
  <c r="F358" i="16" s="1"/>
  <c r="E225" i="16"/>
  <c r="E358" i="16" s="1"/>
  <c r="D225" i="16"/>
  <c r="D358" i="16" s="1"/>
  <c r="C225" i="16"/>
  <c r="C358" i="16" s="1"/>
  <c r="B225" i="16"/>
  <c r="B358" i="16" s="1"/>
  <c r="I224" i="16"/>
  <c r="I357" i="16" s="1"/>
  <c r="H224" i="16"/>
  <c r="H357" i="16" s="1"/>
  <c r="G224" i="16"/>
  <c r="G357" i="16" s="1"/>
  <c r="F224" i="16"/>
  <c r="F357" i="16" s="1"/>
  <c r="E224" i="16"/>
  <c r="E357" i="16" s="1"/>
  <c r="D224" i="16"/>
  <c r="D357" i="16" s="1"/>
  <c r="C224" i="16"/>
  <c r="C357" i="16" s="1"/>
  <c r="B224" i="16"/>
  <c r="B357" i="16" s="1"/>
  <c r="I223" i="16"/>
  <c r="I356" i="16" s="1"/>
  <c r="H223" i="16"/>
  <c r="H356" i="16" s="1"/>
  <c r="G223" i="16"/>
  <c r="G356" i="16" s="1"/>
  <c r="F223" i="16"/>
  <c r="F356" i="16" s="1"/>
  <c r="E223" i="16"/>
  <c r="E356" i="16" s="1"/>
  <c r="D223" i="16"/>
  <c r="D356" i="16" s="1"/>
  <c r="C223" i="16"/>
  <c r="C356" i="16" s="1"/>
  <c r="B223" i="16"/>
  <c r="B356" i="16" s="1"/>
  <c r="I222" i="16"/>
  <c r="H222" i="16"/>
  <c r="G222" i="16"/>
  <c r="F222" i="16"/>
  <c r="E222" i="16"/>
  <c r="D222" i="16"/>
  <c r="C222" i="16"/>
  <c r="B222" i="16"/>
  <c r="I221" i="16"/>
  <c r="H221" i="16"/>
  <c r="G221" i="16"/>
  <c r="F221" i="16"/>
  <c r="E221" i="16"/>
  <c r="D221" i="16"/>
  <c r="C221" i="16"/>
  <c r="B221" i="16"/>
  <c r="I220" i="16"/>
  <c r="H220" i="16"/>
  <c r="G220" i="16"/>
  <c r="F220" i="16"/>
  <c r="E220" i="16"/>
  <c r="D220" i="16"/>
  <c r="C220" i="16"/>
  <c r="B220" i="16"/>
  <c r="I219" i="16"/>
  <c r="H219" i="16"/>
  <c r="G219" i="16"/>
  <c r="F219" i="16"/>
  <c r="E219" i="16"/>
  <c r="D219" i="16"/>
  <c r="C219" i="16"/>
  <c r="B219" i="16"/>
  <c r="I218" i="16"/>
  <c r="I355" i="16" s="1"/>
  <c r="H218" i="16"/>
  <c r="H355" i="16" s="1"/>
  <c r="G218" i="16"/>
  <c r="F218" i="16"/>
  <c r="E218" i="16"/>
  <c r="E355" i="16" s="1"/>
  <c r="D218" i="16"/>
  <c r="C218" i="16"/>
  <c r="B218" i="16"/>
  <c r="I217" i="16"/>
  <c r="H217" i="16"/>
  <c r="G217" i="16"/>
  <c r="F217" i="16"/>
  <c r="E217" i="16"/>
  <c r="D217" i="16"/>
  <c r="C217" i="16"/>
  <c r="B217" i="16"/>
  <c r="I216" i="16"/>
  <c r="H216" i="16"/>
  <c r="G216" i="16"/>
  <c r="F216" i="16"/>
  <c r="E216" i="16"/>
  <c r="D216" i="16"/>
  <c r="C216" i="16"/>
  <c r="B216" i="16"/>
  <c r="I215" i="16"/>
  <c r="H215" i="16"/>
  <c r="G215" i="16"/>
  <c r="F215" i="16"/>
  <c r="E215" i="16"/>
  <c r="D215" i="16"/>
  <c r="C215" i="16"/>
  <c r="B215" i="16"/>
  <c r="I214" i="16"/>
  <c r="H214" i="16"/>
  <c r="G214" i="16"/>
  <c r="F214" i="16"/>
  <c r="E214" i="16"/>
  <c r="D214" i="16"/>
  <c r="C214" i="16"/>
  <c r="B214" i="16"/>
  <c r="I213" i="16"/>
  <c r="H213" i="16"/>
  <c r="G213" i="16"/>
  <c r="F213" i="16"/>
  <c r="F354" i="16" s="1"/>
  <c r="E213" i="16"/>
  <c r="E354" i="16" s="1"/>
  <c r="D213" i="16"/>
  <c r="C213" i="16"/>
  <c r="B213" i="16"/>
  <c r="B354" i="16" s="1"/>
  <c r="I212" i="16"/>
  <c r="H212" i="16"/>
  <c r="G212" i="16"/>
  <c r="F212" i="16"/>
  <c r="E212" i="16"/>
  <c r="D212" i="16"/>
  <c r="C212" i="16"/>
  <c r="B212" i="16"/>
  <c r="I211" i="16"/>
  <c r="H211" i="16"/>
  <c r="G211" i="16"/>
  <c r="F211" i="16"/>
  <c r="E211" i="16"/>
  <c r="D211" i="16"/>
  <c r="C211" i="16"/>
  <c r="B211" i="16"/>
  <c r="I210" i="16"/>
  <c r="H210" i="16"/>
  <c r="G210" i="16"/>
  <c r="F210" i="16"/>
  <c r="E210" i="16"/>
  <c r="D210" i="16"/>
  <c r="C210" i="16"/>
  <c r="B210" i="16"/>
  <c r="I209" i="16"/>
  <c r="H209" i="16"/>
  <c r="G209" i="16"/>
  <c r="F209" i="16"/>
  <c r="E209" i="16"/>
  <c r="D209" i="16"/>
  <c r="C209" i="16"/>
  <c r="B209" i="16"/>
  <c r="I208" i="16"/>
  <c r="I353" i="16" s="1"/>
  <c r="H208" i="16"/>
  <c r="H353" i="16" s="1"/>
  <c r="G208" i="16"/>
  <c r="G353" i="16" s="1"/>
  <c r="F208" i="16"/>
  <c r="E208" i="16"/>
  <c r="D208" i="16"/>
  <c r="D353" i="16" s="1"/>
  <c r="C208" i="16"/>
  <c r="C353" i="16" s="1"/>
  <c r="B208" i="16"/>
  <c r="I207" i="16"/>
  <c r="H207" i="16"/>
  <c r="G207" i="16"/>
  <c r="F207" i="16"/>
  <c r="E207" i="16"/>
  <c r="D207" i="16"/>
  <c r="C207" i="16"/>
  <c r="B207" i="16"/>
  <c r="I206" i="16"/>
  <c r="H206" i="16"/>
  <c r="G206" i="16"/>
  <c r="F206" i="16"/>
  <c r="E206" i="16"/>
  <c r="D206" i="16"/>
  <c r="C206" i="16"/>
  <c r="B206" i="16"/>
  <c r="I205" i="16"/>
  <c r="H205" i="16"/>
  <c r="G205" i="16"/>
  <c r="F205" i="16"/>
  <c r="E205" i="16"/>
  <c r="D205" i="16"/>
  <c r="C205" i="16"/>
  <c r="B205" i="16"/>
  <c r="I204" i="16"/>
  <c r="H204" i="16"/>
  <c r="G204" i="16"/>
  <c r="F204" i="16"/>
  <c r="E204" i="16"/>
  <c r="D204" i="16"/>
  <c r="C204" i="16"/>
  <c r="B204" i="16"/>
  <c r="I203" i="16"/>
  <c r="I352" i="16" s="1"/>
  <c r="H203" i="16"/>
  <c r="G203" i="16"/>
  <c r="F203" i="16"/>
  <c r="E203" i="16"/>
  <c r="E352" i="16" s="1"/>
  <c r="D203" i="16"/>
  <c r="C203" i="16"/>
  <c r="B203" i="16"/>
  <c r="I202" i="16"/>
  <c r="H202" i="16"/>
  <c r="G202" i="16"/>
  <c r="F202" i="16"/>
  <c r="E202" i="16"/>
  <c r="D202" i="16"/>
  <c r="C202" i="16"/>
  <c r="B202" i="16"/>
  <c r="I201" i="16"/>
  <c r="H201" i="16"/>
  <c r="G201" i="16"/>
  <c r="F201" i="16"/>
  <c r="E201" i="16"/>
  <c r="D201" i="16"/>
  <c r="C201" i="16"/>
  <c r="B201" i="16"/>
  <c r="I200" i="16"/>
  <c r="H200" i="16"/>
  <c r="G200" i="16"/>
  <c r="F200" i="16"/>
  <c r="E200" i="16"/>
  <c r="D200" i="16"/>
  <c r="C200" i="16"/>
  <c r="B200" i="16"/>
  <c r="I199" i="16"/>
  <c r="H199" i="16"/>
  <c r="G199" i="16"/>
  <c r="F199" i="16"/>
  <c r="E199" i="16"/>
  <c r="D199" i="16"/>
  <c r="C199" i="16"/>
  <c r="B199" i="16"/>
  <c r="I198" i="16"/>
  <c r="H198" i="16"/>
  <c r="H351" i="16" s="1"/>
  <c r="G198" i="16"/>
  <c r="F198" i="16"/>
  <c r="E198" i="16"/>
  <c r="E351" i="16" s="1"/>
  <c r="D198" i="16"/>
  <c r="D351" i="16" s="1"/>
  <c r="C198" i="16"/>
  <c r="C351" i="16" s="1"/>
  <c r="B198" i="16"/>
  <c r="I197" i="16"/>
  <c r="H197" i="16"/>
  <c r="G197" i="16"/>
  <c r="F197" i="16"/>
  <c r="E197" i="16"/>
  <c r="D197" i="16"/>
  <c r="C197" i="16"/>
  <c r="B197" i="16"/>
  <c r="I196" i="16"/>
  <c r="H196" i="16"/>
  <c r="G196" i="16"/>
  <c r="F196" i="16"/>
  <c r="E196" i="16"/>
  <c r="D196" i="16"/>
  <c r="C196" i="16"/>
  <c r="B196" i="16"/>
  <c r="I195" i="16"/>
  <c r="H195" i="16"/>
  <c r="G195" i="16"/>
  <c r="F195" i="16"/>
  <c r="E195" i="16"/>
  <c r="D195" i="16"/>
  <c r="C195" i="16"/>
  <c r="B195" i="16"/>
  <c r="I194" i="16"/>
  <c r="H194" i="16"/>
  <c r="G194" i="16"/>
  <c r="F194" i="16"/>
  <c r="E194" i="16"/>
  <c r="D194" i="16"/>
  <c r="C194" i="16"/>
  <c r="B194" i="16"/>
  <c r="I193" i="16"/>
  <c r="H193" i="16"/>
  <c r="G193" i="16"/>
  <c r="F193" i="16"/>
  <c r="E193" i="16"/>
  <c r="D193" i="16"/>
  <c r="C193" i="16"/>
  <c r="B193" i="16"/>
  <c r="K190" i="16"/>
  <c r="J190" i="16"/>
  <c r="J348" i="16" s="1"/>
  <c r="K187" i="16"/>
  <c r="K345" i="16" s="1"/>
  <c r="J187" i="16"/>
  <c r="K186" i="16"/>
  <c r="K344" i="16" s="1"/>
  <c r="J186" i="16"/>
  <c r="J344" i="16" s="1"/>
  <c r="K185" i="16"/>
  <c r="J185" i="16"/>
  <c r="K184" i="16"/>
  <c r="J184" i="16"/>
  <c r="J342" i="16" s="1"/>
  <c r="K183" i="16"/>
  <c r="J183" i="16"/>
  <c r="J341" i="16" s="1"/>
  <c r="K182" i="16"/>
  <c r="J182" i="16"/>
  <c r="J340" i="16" s="1"/>
  <c r="K181" i="16"/>
  <c r="K339" i="16" s="1"/>
  <c r="J181" i="16"/>
  <c r="J339" i="16" s="1"/>
  <c r="K180" i="16"/>
  <c r="K338" i="16" s="1"/>
  <c r="J180" i="16"/>
  <c r="K179" i="16"/>
  <c r="J179" i="16"/>
  <c r="K178" i="16"/>
  <c r="K336" i="16" s="1"/>
  <c r="J178" i="16"/>
  <c r="J336" i="16" s="1"/>
  <c r="K177" i="16"/>
  <c r="J177" i="16"/>
  <c r="K176" i="16"/>
  <c r="K334" i="16" s="1"/>
  <c r="J176" i="16"/>
  <c r="J334" i="16" s="1"/>
  <c r="K175" i="16"/>
  <c r="J175" i="16"/>
  <c r="K174" i="16"/>
  <c r="J174" i="16"/>
  <c r="K173" i="16"/>
  <c r="J173" i="16"/>
  <c r="K172" i="16"/>
  <c r="J172" i="16"/>
  <c r="K171" i="16"/>
  <c r="J171" i="16"/>
  <c r="K170" i="16"/>
  <c r="J170" i="16"/>
  <c r="K169" i="16"/>
  <c r="J169" i="16"/>
  <c r="K168" i="16"/>
  <c r="J168" i="16"/>
  <c r="K167" i="16"/>
  <c r="J167" i="16"/>
  <c r="K166" i="16"/>
  <c r="J166" i="16"/>
  <c r="J332" i="16" s="1"/>
  <c r="K165" i="16"/>
  <c r="J165" i="16"/>
  <c r="K164" i="16"/>
  <c r="J164" i="16"/>
  <c r="K163" i="16"/>
  <c r="J163" i="16"/>
  <c r="K162" i="16"/>
  <c r="J162" i="16"/>
  <c r="K161" i="16"/>
  <c r="J161" i="16"/>
  <c r="K160" i="16"/>
  <c r="J160" i="16"/>
  <c r="K159" i="16"/>
  <c r="J159" i="16"/>
  <c r="K158" i="16"/>
  <c r="J158" i="16"/>
  <c r="K157" i="16"/>
  <c r="J157" i="16"/>
  <c r="K156" i="16"/>
  <c r="J156" i="16"/>
  <c r="K155" i="16"/>
  <c r="J155" i="16"/>
  <c r="K154" i="16"/>
  <c r="J154" i="16"/>
  <c r="K153" i="16"/>
  <c r="J153" i="16"/>
  <c r="K152" i="16"/>
  <c r="J152" i="16"/>
  <c r="K151" i="16"/>
  <c r="J151" i="16"/>
  <c r="K150" i="16"/>
  <c r="J150" i="16"/>
  <c r="K149" i="16"/>
  <c r="J149" i="16"/>
  <c r="K148" i="16"/>
  <c r="J148" i="16"/>
  <c r="K147" i="16"/>
  <c r="J147" i="16"/>
  <c r="K146" i="16"/>
  <c r="J146" i="16"/>
  <c r="K143" i="16"/>
  <c r="K323" i="16" s="1"/>
  <c r="J143" i="16"/>
  <c r="J323" i="16" s="1"/>
  <c r="K140" i="16"/>
  <c r="K320" i="16" s="1"/>
  <c r="J140" i="16"/>
  <c r="J320" i="16" s="1"/>
  <c r="K139" i="16"/>
  <c r="K319" i="16" s="1"/>
  <c r="J139" i="16"/>
  <c r="J319" i="16" s="1"/>
  <c r="K138" i="16"/>
  <c r="K318" i="16" s="1"/>
  <c r="J138" i="16"/>
  <c r="J318" i="16" s="1"/>
  <c r="K137" i="16"/>
  <c r="K317" i="16" s="1"/>
  <c r="J137" i="16"/>
  <c r="J317" i="16" s="1"/>
  <c r="K136" i="16"/>
  <c r="K316" i="16" s="1"/>
  <c r="J136" i="16"/>
  <c r="J316" i="16" s="1"/>
  <c r="K135" i="16"/>
  <c r="K315" i="16" s="1"/>
  <c r="J135" i="16"/>
  <c r="J315" i="16" s="1"/>
  <c r="K134" i="16"/>
  <c r="K314" i="16" s="1"/>
  <c r="J134" i="16"/>
  <c r="J314" i="16" s="1"/>
  <c r="K133" i="16"/>
  <c r="K313" i="16" s="1"/>
  <c r="J133" i="16"/>
  <c r="J313" i="16" s="1"/>
  <c r="K132" i="16"/>
  <c r="K312" i="16" s="1"/>
  <c r="J132" i="16"/>
  <c r="J312" i="16" s="1"/>
  <c r="K131" i="16"/>
  <c r="K311" i="16" s="1"/>
  <c r="J131" i="16"/>
  <c r="J311" i="16" s="1"/>
  <c r="K130" i="16"/>
  <c r="K310" i="16" s="1"/>
  <c r="J130" i="16"/>
  <c r="J310" i="16" s="1"/>
  <c r="K129" i="16"/>
  <c r="K309" i="16" s="1"/>
  <c r="J129" i="16"/>
  <c r="J309" i="16" s="1"/>
  <c r="K128" i="16"/>
  <c r="J128" i="16"/>
  <c r="K127" i="16"/>
  <c r="J127" i="16"/>
  <c r="K126" i="16"/>
  <c r="J126" i="16"/>
  <c r="K125" i="16"/>
  <c r="J125" i="16"/>
  <c r="K124" i="16"/>
  <c r="J124" i="16"/>
  <c r="J308" i="16" s="1"/>
  <c r="K123" i="16"/>
  <c r="J123" i="16"/>
  <c r="K122" i="16"/>
  <c r="J122" i="16"/>
  <c r="K121" i="16"/>
  <c r="J121" i="16"/>
  <c r="K120" i="16"/>
  <c r="J120" i="16"/>
  <c r="K119" i="16"/>
  <c r="J119" i="16"/>
  <c r="K118" i="16"/>
  <c r="J118" i="16"/>
  <c r="K117" i="16"/>
  <c r="J117" i="16"/>
  <c r="K116" i="16"/>
  <c r="J116" i="16"/>
  <c r="K115" i="16"/>
  <c r="J115" i="16"/>
  <c r="K114" i="16"/>
  <c r="J114" i="16"/>
  <c r="K113" i="16"/>
  <c r="J113" i="16"/>
  <c r="K112" i="16"/>
  <c r="J112" i="16"/>
  <c r="K111" i="16"/>
  <c r="J111" i="16"/>
  <c r="K110" i="16"/>
  <c r="J110" i="16"/>
  <c r="K109" i="16"/>
  <c r="J109" i="16"/>
  <c r="K108" i="16"/>
  <c r="J108" i="16"/>
  <c r="K107" i="16"/>
  <c r="J107" i="16"/>
  <c r="K106" i="16"/>
  <c r="J106" i="16"/>
  <c r="K105" i="16"/>
  <c r="J105" i="16"/>
  <c r="K104" i="16"/>
  <c r="J104" i="16"/>
  <c r="K103" i="16"/>
  <c r="J103" i="16"/>
  <c r="K102" i="16"/>
  <c r="J102" i="16"/>
  <c r="K101" i="16"/>
  <c r="J101" i="16"/>
  <c r="K100" i="16"/>
  <c r="J100" i="16"/>
  <c r="K99" i="16"/>
  <c r="J99" i="16"/>
  <c r="K301" i="16"/>
  <c r="J301" i="16"/>
  <c r="K93" i="16"/>
  <c r="K298" i="16" s="1"/>
  <c r="J93" i="16"/>
  <c r="J298" i="16" s="1"/>
  <c r="K92" i="16"/>
  <c r="K297" i="16" s="1"/>
  <c r="J92" i="16"/>
  <c r="J297" i="16" s="1"/>
  <c r="K91" i="16"/>
  <c r="K296" i="16" s="1"/>
  <c r="J91" i="16"/>
  <c r="J296" i="16" s="1"/>
  <c r="K90" i="16"/>
  <c r="K295" i="16" s="1"/>
  <c r="J90" i="16"/>
  <c r="J295" i="16" s="1"/>
  <c r="K89" i="16"/>
  <c r="K294" i="16" s="1"/>
  <c r="J89" i="16"/>
  <c r="J294" i="16" s="1"/>
  <c r="K88" i="16"/>
  <c r="K293" i="16" s="1"/>
  <c r="J88" i="16"/>
  <c r="J293" i="16" s="1"/>
  <c r="K87" i="16"/>
  <c r="K292" i="16" s="1"/>
  <c r="J87" i="16"/>
  <c r="J292" i="16" s="1"/>
  <c r="K86" i="16"/>
  <c r="K291" i="16" s="1"/>
  <c r="J86" i="16"/>
  <c r="J291" i="16" s="1"/>
  <c r="K85" i="16"/>
  <c r="K290" i="16" s="1"/>
  <c r="J85" i="16"/>
  <c r="J290" i="16" s="1"/>
  <c r="K84" i="16"/>
  <c r="K289" i="16" s="1"/>
  <c r="J84" i="16"/>
  <c r="J289" i="16" s="1"/>
  <c r="K83" i="16"/>
  <c r="K288" i="16" s="1"/>
  <c r="J83" i="16"/>
  <c r="J288" i="16" s="1"/>
  <c r="K82" i="16"/>
  <c r="K287" i="16" s="1"/>
  <c r="J82" i="16"/>
  <c r="J287" i="16" s="1"/>
  <c r="K81" i="16"/>
  <c r="J81" i="16"/>
  <c r="K80" i="16"/>
  <c r="J80" i="16"/>
  <c r="K79" i="16"/>
  <c r="J79" i="16"/>
  <c r="K78" i="16"/>
  <c r="J78" i="16"/>
  <c r="K77" i="16"/>
  <c r="J77" i="16"/>
  <c r="K76" i="16"/>
  <c r="J76" i="16"/>
  <c r="K75" i="16"/>
  <c r="J75" i="16"/>
  <c r="K74" i="16"/>
  <c r="J74" i="16"/>
  <c r="K73" i="16"/>
  <c r="J73" i="16"/>
  <c r="K72" i="16"/>
  <c r="J72" i="16"/>
  <c r="K71" i="16"/>
  <c r="J71" i="16"/>
  <c r="K70" i="16"/>
  <c r="J70" i="16"/>
  <c r="K69" i="16"/>
  <c r="J69" i="16"/>
  <c r="K68" i="16"/>
  <c r="J68" i="16"/>
  <c r="K67" i="16"/>
  <c r="J67" i="16"/>
  <c r="K66" i="16"/>
  <c r="J66" i="16"/>
  <c r="K65" i="16"/>
  <c r="J65" i="16"/>
  <c r="K64" i="16"/>
  <c r="J64" i="16"/>
  <c r="K63" i="16"/>
  <c r="J63" i="16"/>
  <c r="K62" i="16"/>
  <c r="J62" i="16"/>
  <c r="K61" i="16"/>
  <c r="J61" i="16"/>
  <c r="K60" i="16"/>
  <c r="J60" i="16"/>
  <c r="K59" i="16"/>
  <c r="J59" i="16"/>
  <c r="K58" i="16"/>
  <c r="J58" i="16"/>
  <c r="K57" i="16"/>
  <c r="J57" i="16"/>
  <c r="K56" i="16"/>
  <c r="J56" i="16"/>
  <c r="K55" i="16"/>
  <c r="J55" i="16"/>
  <c r="K54" i="16"/>
  <c r="J54" i="16"/>
  <c r="K53" i="16"/>
  <c r="J53" i="16"/>
  <c r="K52" i="16"/>
  <c r="J52" i="16"/>
  <c r="J279" i="16"/>
  <c r="K279" i="16"/>
  <c r="K46" i="16"/>
  <c r="K276" i="16" s="1"/>
  <c r="J46" i="16"/>
  <c r="J276" i="16" s="1"/>
  <c r="K45" i="16"/>
  <c r="K275" i="16" s="1"/>
  <c r="J45" i="16"/>
  <c r="J275" i="16" s="1"/>
  <c r="K44" i="16"/>
  <c r="K274" i="16" s="1"/>
  <c r="J44" i="16"/>
  <c r="J274" i="16" s="1"/>
  <c r="K43" i="16"/>
  <c r="K273" i="16" s="1"/>
  <c r="J43" i="16"/>
  <c r="J273" i="16" s="1"/>
  <c r="K42" i="16"/>
  <c r="K272" i="16" s="1"/>
  <c r="J42" i="16"/>
  <c r="J272" i="16" s="1"/>
  <c r="K41" i="16"/>
  <c r="K271" i="16" s="1"/>
  <c r="J41" i="16"/>
  <c r="J271" i="16" s="1"/>
  <c r="K40" i="16"/>
  <c r="K270" i="16" s="1"/>
  <c r="J40" i="16"/>
  <c r="J270" i="16" s="1"/>
  <c r="K39" i="16"/>
  <c r="K269" i="16" s="1"/>
  <c r="J39" i="16"/>
  <c r="J269" i="16" s="1"/>
  <c r="K38" i="16"/>
  <c r="K268" i="16" s="1"/>
  <c r="J38" i="16"/>
  <c r="J268" i="16" s="1"/>
  <c r="K37" i="16"/>
  <c r="J37" i="16"/>
  <c r="J267" i="16" s="1"/>
  <c r="K36" i="16"/>
  <c r="K266" i="16" s="1"/>
  <c r="J36" i="16"/>
  <c r="J266" i="16" s="1"/>
  <c r="K35" i="16"/>
  <c r="K265" i="16" s="1"/>
  <c r="J35" i="16"/>
  <c r="J265" i="16" s="1"/>
  <c r="K34" i="16"/>
  <c r="J34" i="16"/>
  <c r="K33" i="16"/>
  <c r="J33" i="16"/>
  <c r="K32" i="16"/>
  <c r="J32" i="16"/>
  <c r="K31" i="16"/>
  <c r="J31" i="16"/>
  <c r="K30" i="16"/>
  <c r="J30" i="16"/>
  <c r="K29" i="16"/>
  <c r="J29" i="16"/>
  <c r="K28" i="16"/>
  <c r="J28" i="16"/>
  <c r="K27" i="16"/>
  <c r="J27" i="16"/>
  <c r="K26" i="16"/>
  <c r="J26" i="16"/>
  <c r="K25" i="16"/>
  <c r="J25" i="16"/>
  <c r="K24" i="16"/>
  <c r="J24" i="16"/>
  <c r="K23" i="16"/>
  <c r="J23" i="16"/>
  <c r="K22" i="16"/>
  <c r="J22" i="16"/>
  <c r="K21" i="16"/>
  <c r="J21" i="16"/>
  <c r="K20" i="16"/>
  <c r="J20" i="16"/>
  <c r="K19" i="16"/>
  <c r="J19" i="16"/>
  <c r="K18" i="16"/>
  <c r="J18" i="16"/>
  <c r="K17" i="16"/>
  <c r="J17" i="16"/>
  <c r="K16" i="16"/>
  <c r="J16" i="16"/>
  <c r="K15" i="16"/>
  <c r="J15" i="16"/>
  <c r="K14" i="16"/>
  <c r="J14" i="16"/>
  <c r="K13" i="16"/>
  <c r="J13" i="16"/>
  <c r="K12" i="16"/>
  <c r="J12" i="16"/>
  <c r="K11" i="16"/>
  <c r="J11" i="16"/>
  <c r="K10" i="16"/>
  <c r="J10" i="16"/>
  <c r="K9" i="16"/>
  <c r="J9" i="16"/>
  <c r="K8" i="16"/>
  <c r="J8" i="16"/>
  <c r="K7" i="16"/>
  <c r="J7" i="16"/>
  <c r="K6" i="16"/>
  <c r="J6" i="16"/>
  <c r="K5" i="16"/>
  <c r="J5" i="16"/>
  <c r="U263" i="17" l="1"/>
  <c r="U265" i="17"/>
  <c r="V366" i="17"/>
  <c r="V367" i="17"/>
  <c r="V370" i="17"/>
  <c r="K262" i="17"/>
  <c r="C360" i="17"/>
  <c r="U310" i="17"/>
  <c r="K304" i="16"/>
  <c r="J305" i="16"/>
  <c r="J307" i="16"/>
  <c r="K329" i="16"/>
  <c r="K331" i="16"/>
  <c r="K333" i="16"/>
  <c r="V220" i="17"/>
  <c r="T360" i="17"/>
  <c r="I361" i="17"/>
  <c r="K159" i="18"/>
  <c r="K231" i="18"/>
  <c r="K126" i="18"/>
  <c r="K229" i="18" s="1"/>
  <c r="K174" i="18"/>
  <c r="J159" i="18"/>
  <c r="J174" i="18"/>
  <c r="J126" i="18"/>
  <c r="K201" i="18"/>
  <c r="I218" i="18"/>
  <c r="J230" i="18"/>
  <c r="K230" i="18"/>
  <c r="J165" i="18"/>
  <c r="J180" i="18"/>
  <c r="J183" i="18"/>
  <c r="J202" i="18"/>
  <c r="J203" i="18"/>
  <c r="K107" i="18"/>
  <c r="K115" i="18"/>
  <c r="K164" i="18"/>
  <c r="K180" i="18"/>
  <c r="K182" i="18"/>
  <c r="K183" i="18"/>
  <c r="K202" i="18"/>
  <c r="K204" i="18"/>
  <c r="J108" i="18"/>
  <c r="J146" i="18"/>
  <c r="J147" i="18"/>
  <c r="J148" i="18"/>
  <c r="J116" i="18"/>
  <c r="J149" i="18"/>
  <c r="J124" i="18"/>
  <c r="J163" i="18"/>
  <c r="J164" i="18"/>
  <c r="J166" i="18"/>
  <c r="J181" i="18"/>
  <c r="J182" i="18"/>
  <c r="K146" i="18"/>
  <c r="K112" i="18"/>
  <c r="K148" i="18"/>
  <c r="K181" i="18"/>
  <c r="K165" i="18"/>
  <c r="K166" i="18"/>
  <c r="K109" i="18"/>
  <c r="K117" i="18"/>
  <c r="K125" i="18"/>
  <c r="K228" i="18" s="1"/>
  <c r="F221" i="18"/>
  <c r="E219" i="18"/>
  <c r="K123" i="18"/>
  <c r="K226" i="18" s="1"/>
  <c r="J155" i="18"/>
  <c r="J110" i="18"/>
  <c r="H220" i="18"/>
  <c r="B221" i="18"/>
  <c r="J118" i="18"/>
  <c r="K120" i="18"/>
  <c r="K223" i="18" s="1"/>
  <c r="K147" i="18"/>
  <c r="K149" i="18"/>
  <c r="K111" i="18"/>
  <c r="K113" i="18"/>
  <c r="K108" i="18"/>
  <c r="K110" i="18"/>
  <c r="K114" i="18"/>
  <c r="K116" i="18"/>
  <c r="E218" i="18"/>
  <c r="H218" i="18"/>
  <c r="D219" i="18"/>
  <c r="H219" i="18"/>
  <c r="G220" i="18"/>
  <c r="V200" i="17"/>
  <c r="V210" i="17"/>
  <c r="V274" i="17"/>
  <c r="V194" i="17"/>
  <c r="V198" i="17"/>
  <c r="V203" i="17"/>
  <c r="V207" i="17"/>
  <c r="V216" i="17"/>
  <c r="V223" i="17"/>
  <c r="V230" i="17"/>
  <c r="V232" i="17"/>
  <c r="V214" i="17"/>
  <c r="V235" i="17"/>
  <c r="V238" i="17"/>
  <c r="V204" i="17"/>
  <c r="V226" i="17"/>
  <c r="V295" i="17"/>
  <c r="V219" i="17"/>
  <c r="V270" i="17"/>
  <c r="U266" i="17"/>
  <c r="U219" i="17"/>
  <c r="U269" i="17"/>
  <c r="U226" i="17"/>
  <c r="U365" i="17" s="1"/>
  <c r="U274" i="17"/>
  <c r="U231" i="17"/>
  <c r="U370" i="17" s="1"/>
  <c r="U278" i="17"/>
  <c r="U235" i="17"/>
  <c r="U196" i="17"/>
  <c r="U197" i="17"/>
  <c r="U200" i="17"/>
  <c r="U201" i="17"/>
  <c r="U204" i="17"/>
  <c r="U205" i="17"/>
  <c r="U208" i="17"/>
  <c r="U212" i="17"/>
  <c r="U213" i="17"/>
  <c r="U216" i="17"/>
  <c r="U217" i="17"/>
  <c r="U220" i="17"/>
  <c r="U221" i="17"/>
  <c r="U225" i="17"/>
  <c r="U364" i="17" s="1"/>
  <c r="U230" i="17"/>
  <c r="U369" i="17" s="1"/>
  <c r="U262" i="17"/>
  <c r="M361" i="17"/>
  <c r="Q361" i="17"/>
  <c r="U214" i="17"/>
  <c r="C361" i="17"/>
  <c r="G361" i="17"/>
  <c r="C362" i="17"/>
  <c r="G362" i="17"/>
  <c r="U227" i="17"/>
  <c r="U366" i="17" s="1"/>
  <c r="U234" i="17"/>
  <c r="U373" i="17" s="1"/>
  <c r="V197" i="17"/>
  <c r="V201" i="17"/>
  <c r="V205" i="17"/>
  <c r="V213" i="17"/>
  <c r="V217" i="17"/>
  <c r="V221" i="17"/>
  <c r="C359" i="17"/>
  <c r="N359" i="17"/>
  <c r="R359" i="17"/>
  <c r="P360" i="17"/>
  <c r="P362" i="17"/>
  <c r="T362" i="17"/>
  <c r="V224" i="17"/>
  <c r="V234" i="17"/>
  <c r="V271" i="17"/>
  <c r="J194" i="17"/>
  <c r="J197" i="17"/>
  <c r="J198" i="17"/>
  <c r="J201" i="17"/>
  <c r="J202" i="17"/>
  <c r="J205" i="17"/>
  <c r="J206" i="17"/>
  <c r="J210" i="17"/>
  <c r="J213" i="17"/>
  <c r="J217" i="17"/>
  <c r="J218" i="17"/>
  <c r="J221" i="17"/>
  <c r="J222" i="17"/>
  <c r="C358" i="17"/>
  <c r="V199" i="17"/>
  <c r="S359" i="17"/>
  <c r="Q360" i="17"/>
  <c r="H360" i="17"/>
  <c r="P361" i="17"/>
  <c r="T361" i="17"/>
  <c r="K306" i="16"/>
  <c r="K308" i="16"/>
  <c r="J329" i="16"/>
  <c r="J330" i="16"/>
  <c r="K225" i="16"/>
  <c r="K358" i="16" s="1"/>
  <c r="J260" i="16"/>
  <c r="J262" i="16"/>
  <c r="J264" i="16"/>
  <c r="K282" i="16"/>
  <c r="K284" i="16"/>
  <c r="K286" i="16"/>
  <c r="K305" i="16"/>
  <c r="K307" i="16"/>
  <c r="J285" i="16"/>
  <c r="K263" i="16"/>
  <c r="K264" i="16"/>
  <c r="K261" i="16"/>
  <c r="J282" i="16"/>
  <c r="J284" i="16"/>
  <c r="J286" i="16"/>
  <c r="J193" i="16"/>
  <c r="J197" i="16"/>
  <c r="J201" i="16"/>
  <c r="J205" i="16"/>
  <c r="J209" i="16"/>
  <c r="J217" i="16"/>
  <c r="J219" i="16"/>
  <c r="J221" i="16"/>
  <c r="J261" i="16"/>
  <c r="K233" i="16"/>
  <c r="K366" i="16" s="1"/>
  <c r="I351" i="16"/>
  <c r="E353" i="16"/>
  <c r="B355" i="16"/>
  <c r="K194" i="16"/>
  <c r="K196" i="16"/>
  <c r="K200" i="16"/>
  <c r="K202" i="16"/>
  <c r="K204" i="16"/>
  <c r="K206" i="16"/>
  <c r="K210" i="16"/>
  <c r="K212" i="16"/>
  <c r="K214" i="16"/>
  <c r="K216" i="16"/>
  <c r="K220" i="16"/>
  <c r="K222" i="16"/>
  <c r="C352" i="16"/>
  <c r="F355" i="16"/>
  <c r="J195" i="16"/>
  <c r="J199" i="16"/>
  <c r="J203" i="16"/>
  <c r="J207" i="16"/>
  <c r="J211" i="16"/>
  <c r="J215" i="16"/>
  <c r="E220" i="18"/>
  <c r="I220" i="18"/>
  <c r="K118" i="18"/>
  <c r="K121" i="18"/>
  <c r="K224" i="18" s="1"/>
  <c r="J107" i="18"/>
  <c r="J201" i="18"/>
  <c r="J109" i="18"/>
  <c r="J111" i="18"/>
  <c r="J113" i="18"/>
  <c r="J115" i="18"/>
  <c r="J204" i="18"/>
  <c r="J117" i="18"/>
  <c r="J119" i="18"/>
  <c r="J222" i="18" s="1"/>
  <c r="J121" i="18"/>
  <c r="J224" i="18" s="1"/>
  <c r="J123" i="18"/>
  <c r="J125" i="18"/>
  <c r="B220" i="18"/>
  <c r="F220" i="18"/>
  <c r="J114" i="18"/>
  <c r="K119" i="18"/>
  <c r="K222" i="18" s="1"/>
  <c r="J122" i="18"/>
  <c r="K124" i="18"/>
  <c r="K227" i="18" s="1"/>
  <c r="K203" i="18"/>
  <c r="J205" i="18"/>
  <c r="J214" i="18"/>
  <c r="K163" i="18"/>
  <c r="B218" i="18"/>
  <c r="F218" i="18"/>
  <c r="J112" i="18"/>
  <c r="J120" i="18"/>
  <c r="J223" i="18" s="1"/>
  <c r="K122" i="18"/>
  <c r="K225" i="18" s="1"/>
  <c r="J211" i="18"/>
  <c r="K50" i="17"/>
  <c r="K281" i="17" s="1"/>
  <c r="I281" i="17"/>
  <c r="J195" i="17"/>
  <c r="J196" i="17"/>
  <c r="J332" i="17"/>
  <c r="J199" i="17"/>
  <c r="J200" i="17"/>
  <c r="J203" i="17"/>
  <c r="J333" i="17"/>
  <c r="J204" i="17"/>
  <c r="J207" i="17"/>
  <c r="J208" i="17"/>
  <c r="J211" i="17"/>
  <c r="J212" i="17"/>
  <c r="J215" i="17"/>
  <c r="J216" i="17"/>
  <c r="J336" i="17"/>
  <c r="J219" i="17"/>
  <c r="J220" i="17"/>
  <c r="J223" i="17"/>
  <c r="J337" i="17"/>
  <c r="J224" i="17"/>
  <c r="J363" i="17" s="1"/>
  <c r="J340" i="17"/>
  <c r="J227" i="17"/>
  <c r="J366" i="17" s="1"/>
  <c r="J341" i="17"/>
  <c r="J228" i="17"/>
  <c r="J367" i="17" s="1"/>
  <c r="J344" i="17"/>
  <c r="J231" i="17"/>
  <c r="J370" i="17" s="1"/>
  <c r="J345" i="17"/>
  <c r="J232" i="17"/>
  <c r="J371" i="17" s="1"/>
  <c r="J348" i="17"/>
  <c r="J235" i="17"/>
  <c r="J351" i="17"/>
  <c r="J238" i="17"/>
  <c r="J377" i="17" s="1"/>
  <c r="J226" i="17"/>
  <c r="J365" i="17" s="1"/>
  <c r="K194" i="17"/>
  <c r="K195" i="17"/>
  <c r="K196" i="17"/>
  <c r="K197" i="17"/>
  <c r="K198" i="17"/>
  <c r="K200" i="17"/>
  <c r="K201" i="17"/>
  <c r="K202" i="17"/>
  <c r="K203" i="17"/>
  <c r="K204" i="17"/>
  <c r="K205" i="17"/>
  <c r="K206" i="17"/>
  <c r="K207" i="17"/>
  <c r="K208" i="17"/>
  <c r="K209" i="17"/>
  <c r="K210" i="17"/>
  <c r="K211" i="17"/>
  <c r="K212" i="17"/>
  <c r="K213" i="17"/>
  <c r="K214" i="17"/>
  <c r="K215" i="17"/>
  <c r="K216" i="17"/>
  <c r="K217" i="17"/>
  <c r="K218" i="17"/>
  <c r="K220" i="17"/>
  <c r="K221" i="17"/>
  <c r="K222" i="17"/>
  <c r="K223" i="17"/>
  <c r="K224" i="17"/>
  <c r="K363" i="17" s="1"/>
  <c r="K225" i="17"/>
  <c r="K364" i="17" s="1"/>
  <c r="K226" i="17"/>
  <c r="K365" i="17" s="1"/>
  <c r="K229" i="17"/>
  <c r="K368" i="17" s="1"/>
  <c r="K232" i="17"/>
  <c r="K371" i="17" s="1"/>
  <c r="K233" i="17"/>
  <c r="K372" i="17" s="1"/>
  <c r="K234" i="17"/>
  <c r="K373" i="17" s="1"/>
  <c r="K238" i="17"/>
  <c r="K377" i="17" s="1"/>
  <c r="D359" i="17"/>
  <c r="H359" i="17"/>
  <c r="O359" i="17"/>
  <c r="F362" i="17"/>
  <c r="M362" i="17"/>
  <c r="Q362" i="17"/>
  <c r="J233" i="17"/>
  <c r="J372" i="17" s="1"/>
  <c r="M358" i="17"/>
  <c r="Q358" i="17"/>
  <c r="E359" i="17"/>
  <c r="I359" i="17"/>
  <c r="E360" i="17"/>
  <c r="I360" i="17"/>
  <c r="O360" i="17"/>
  <c r="S360" i="17"/>
  <c r="N362" i="17"/>
  <c r="R362" i="17"/>
  <c r="J229" i="17"/>
  <c r="J368" i="17" s="1"/>
  <c r="J234" i="17"/>
  <c r="I238" i="17"/>
  <c r="I377" i="17" s="1"/>
  <c r="N358" i="17"/>
  <c r="R358" i="17"/>
  <c r="B360" i="17"/>
  <c r="F360" i="17"/>
  <c r="J209" i="17"/>
  <c r="B361" i="17"/>
  <c r="F361" i="17"/>
  <c r="J214" i="17"/>
  <c r="D362" i="17"/>
  <c r="H362" i="17"/>
  <c r="J225" i="17"/>
  <c r="J364" i="17" s="1"/>
  <c r="J230" i="17"/>
  <c r="J369" i="17" s="1"/>
  <c r="E358" i="17"/>
  <c r="I358" i="17"/>
  <c r="O358" i="17"/>
  <c r="S358" i="17"/>
  <c r="B359" i="17"/>
  <c r="F359" i="17"/>
  <c r="M360" i="17"/>
  <c r="U209" i="17"/>
  <c r="D361" i="17"/>
  <c r="N361" i="17"/>
  <c r="R361" i="17"/>
  <c r="E362" i="17"/>
  <c r="I362" i="17"/>
  <c r="O362" i="17"/>
  <c r="S362" i="17"/>
  <c r="U229" i="17"/>
  <c r="U368" i="17" s="1"/>
  <c r="U233" i="17"/>
  <c r="U372" i="17" s="1"/>
  <c r="U333" i="17"/>
  <c r="B358" i="17"/>
  <c r="F358" i="17"/>
  <c r="M359" i="17"/>
  <c r="Q359" i="17"/>
  <c r="D360" i="17"/>
  <c r="N360" i="17"/>
  <c r="R360" i="17"/>
  <c r="V209" i="17"/>
  <c r="E361" i="17"/>
  <c r="O361" i="17"/>
  <c r="B362" i="17"/>
  <c r="U224" i="17"/>
  <c r="U363" i="17" s="1"/>
  <c r="V225" i="17"/>
  <c r="U228" i="17"/>
  <c r="U367" i="17" s="1"/>
  <c r="V229" i="17"/>
  <c r="U232" i="17"/>
  <c r="U371" i="17" s="1"/>
  <c r="V233" i="17"/>
  <c r="U238" i="17"/>
  <c r="U377" i="17" s="1"/>
  <c r="K199" i="17"/>
  <c r="K219" i="17"/>
  <c r="K227" i="17"/>
  <c r="K366" i="17" s="1"/>
  <c r="K228" i="17"/>
  <c r="K367" i="17" s="1"/>
  <c r="K230" i="17"/>
  <c r="K369" i="17" s="1"/>
  <c r="K231" i="17"/>
  <c r="K370" i="17" s="1"/>
  <c r="K235" i="17"/>
  <c r="K374" i="17" s="1"/>
  <c r="J196" i="16"/>
  <c r="J202" i="16"/>
  <c r="J206" i="16"/>
  <c r="J210" i="16"/>
  <c r="J214" i="16"/>
  <c r="J333" i="16"/>
  <c r="J218" i="16"/>
  <c r="J222" i="16"/>
  <c r="J337" i="16"/>
  <c r="J226" i="16"/>
  <c r="J359" i="16" s="1"/>
  <c r="J345" i="16"/>
  <c r="J234" i="16"/>
  <c r="J367" i="16" s="1"/>
  <c r="J213" i="16"/>
  <c r="J231" i="16"/>
  <c r="J364" i="16" s="1"/>
  <c r="K226" i="16"/>
  <c r="K359" i="16" s="1"/>
  <c r="C354" i="16"/>
  <c r="K227" i="16"/>
  <c r="K360" i="16" s="1"/>
  <c r="J233" i="16"/>
  <c r="J366" i="16" s="1"/>
  <c r="K260" i="16"/>
  <c r="K262" i="16"/>
  <c r="J283" i="16"/>
  <c r="J304" i="16"/>
  <c r="J306" i="16"/>
  <c r="J227" i="16"/>
  <c r="J360" i="16" s="1"/>
  <c r="J229" i="16"/>
  <c r="J362" i="16" s="1"/>
  <c r="G351" i="16"/>
  <c r="B352" i="16"/>
  <c r="F352" i="16"/>
  <c r="C355" i="16"/>
  <c r="G355" i="16"/>
  <c r="J223" i="16"/>
  <c r="J356" i="16" s="1"/>
  <c r="J228" i="16"/>
  <c r="J361" i="16" s="1"/>
  <c r="K267" i="16"/>
  <c r="J194" i="16"/>
  <c r="J198" i="16"/>
  <c r="J200" i="16"/>
  <c r="J204" i="16"/>
  <c r="J208" i="16"/>
  <c r="J212" i="16"/>
  <c r="J216" i="16"/>
  <c r="J220" i="16"/>
  <c r="J335" i="16"/>
  <c r="J224" i="16"/>
  <c r="J357" i="16" s="1"/>
  <c r="J343" i="16"/>
  <c r="J232" i="16"/>
  <c r="J365" i="16" s="1"/>
  <c r="J331" i="16"/>
  <c r="K224" i="16"/>
  <c r="K357" i="16" s="1"/>
  <c r="K335" i="16"/>
  <c r="K198" i="16"/>
  <c r="G354" i="16"/>
  <c r="K218" i="16"/>
  <c r="J263" i="16"/>
  <c r="I237" i="16"/>
  <c r="I370" i="16" s="1"/>
  <c r="I279" i="16"/>
  <c r="K283" i="16"/>
  <c r="K285" i="16"/>
  <c r="K193" i="16"/>
  <c r="K195" i="16"/>
  <c r="K197" i="16"/>
  <c r="K199" i="16"/>
  <c r="K201" i="16"/>
  <c r="K330" i="16"/>
  <c r="K203" i="16"/>
  <c r="K205" i="16"/>
  <c r="K207" i="16"/>
  <c r="K209" i="16"/>
  <c r="K211" i="16"/>
  <c r="K332" i="16"/>
  <c r="K213" i="16"/>
  <c r="K215" i="16"/>
  <c r="K217" i="16"/>
  <c r="K219" i="16"/>
  <c r="K221" i="16"/>
  <c r="K223" i="16"/>
  <c r="K356" i="16" s="1"/>
  <c r="K229" i="16"/>
  <c r="K362" i="16" s="1"/>
  <c r="K340" i="16"/>
  <c r="K231" i="16"/>
  <c r="K364" i="16" s="1"/>
  <c r="K348" i="16"/>
  <c r="K237" i="16"/>
  <c r="K370" i="16" s="1"/>
  <c r="G352" i="16"/>
  <c r="K208" i="16"/>
  <c r="I354" i="16"/>
  <c r="D355" i="16"/>
  <c r="J225" i="16"/>
  <c r="J358" i="16" s="1"/>
  <c r="J230" i="16"/>
  <c r="J363" i="16" s="1"/>
  <c r="K337" i="16"/>
  <c r="K342" i="16"/>
  <c r="K228" i="16"/>
  <c r="K361" i="16" s="1"/>
  <c r="K230" i="16"/>
  <c r="K363" i="16" s="1"/>
  <c r="K232" i="16"/>
  <c r="K365" i="16" s="1"/>
  <c r="K234" i="16"/>
  <c r="K367" i="16" s="1"/>
  <c r="J237" i="16"/>
  <c r="J370" i="16" s="1"/>
  <c r="J338" i="16"/>
  <c r="K343" i="16"/>
  <c r="B351" i="16"/>
  <c r="F351" i="16"/>
  <c r="D352" i="16"/>
  <c r="H352" i="16"/>
  <c r="B353" i="16"/>
  <c r="F353" i="16"/>
  <c r="D354" i="16"/>
  <c r="K341" i="16"/>
  <c r="J226" i="18" l="1"/>
  <c r="J229" i="18"/>
  <c r="J227" i="18"/>
  <c r="J231" i="18"/>
  <c r="J225" i="18"/>
  <c r="J228" i="18"/>
  <c r="V364" i="17"/>
  <c r="J373" i="17"/>
  <c r="V373" i="17"/>
  <c r="V377" i="17"/>
  <c r="V369" i="17"/>
  <c r="V368" i="17"/>
  <c r="J374" i="17"/>
  <c r="V363" i="17"/>
  <c r="V374" i="17"/>
  <c r="V365" i="17"/>
  <c r="V372" i="17"/>
  <c r="U374" i="17"/>
  <c r="V371" i="17"/>
  <c r="K219" i="18"/>
  <c r="K221" i="18"/>
  <c r="K220" i="18"/>
  <c r="K218" i="18"/>
  <c r="J220" i="18"/>
  <c r="J221" i="18"/>
  <c r="V362" i="17"/>
  <c r="U358" i="17"/>
  <c r="V359" i="17"/>
  <c r="V358" i="17"/>
  <c r="V361" i="17"/>
  <c r="U359" i="17"/>
  <c r="U362" i="17"/>
  <c r="V360" i="17"/>
  <c r="K358" i="17"/>
  <c r="J360" i="17"/>
  <c r="U360" i="17"/>
  <c r="U361" i="17"/>
  <c r="J352" i="16"/>
  <c r="K352" i="16"/>
  <c r="K355" i="16"/>
  <c r="J351" i="16"/>
  <c r="J355" i="16"/>
  <c r="J219" i="18"/>
  <c r="J218" i="18"/>
  <c r="K361" i="17"/>
  <c r="K360" i="17"/>
  <c r="J362" i="17"/>
  <c r="J359" i="17"/>
  <c r="J358" i="17"/>
  <c r="J361" i="17"/>
  <c r="K359" i="17"/>
  <c r="K362" i="17"/>
  <c r="K353" i="16"/>
  <c r="K354" i="16"/>
  <c r="K351" i="16"/>
  <c r="J354" i="16"/>
  <c r="J353" i="16"/>
  <c r="J534" i="12" l="1"/>
  <c r="J533" i="12"/>
  <c r="J532" i="12"/>
  <c r="L529" i="12"/>
  <c r="A524" i="12"/>
  <c r="J518" i="12"/>
  <c r="J515" i="12"/>
  <c r="J514" i="12"/>
  <c r="J513" i="12"/>
  <c r="J512" i="12"/>
  <c r="J511" i="12"/>
  <c r="J508" i="12"/>
  <c r="J507" i="12"/>
  <c r="J506" i="12"/>
  <c r="R496" i="12"/>
  <c r="Q496" i="12"/>
  <c r="P496" i="12"/>
  <c r="O496" i="12"/>
  <c r="N496" i="12"/>
  <c r="M496" i="12"/>
  <c r="J496" i="12"/>
  <c r="I496" i="12"/>
  <c r="H496" i="12"/>
  <c r="G496" i="12"/>
  <c r="F496" i="12"/>
  <c r="E496" i="12"/>
  <c r="D496" i="12"/>
  <c r="C496" i="12"/>
  <c r="B496" i="12"/>
  <c r="S493" i="12"/>
  <c r="R493" i="12"/>
  <c r="Q493" i="12"/>
  <c r="P493" i="12"/>
  <c r="O493" i="12"/>
  <c r="N493" i="12"/>
  <c r="M493" i="12"/>
  <c r="J493" i="12"/>
  <c r="I493" i="12"/>
  <c r="H493" i="12"/>
  <c r="G493" i="12"/>
  <c r="F493" i="12"/>
  <c r="E493" i="12"/>
  <c r="D493" i="12"/>
  <c r="C493" i="12"/>
  <c r="B493" i="12"/>
  <c r="R492" i="12"/>
  <c r="Q492" i="12"/>
  <c r="P492" i="12"/>
  <c r="O492" i="12"/>
  <c r="N492" i="12"/>
  <c r="M492" i="12"/>
  <c r="J492" i="12"/>
  <c r="I492" i="12"/>
  <c r="H492" i="12"/>
  <c r="G492" i="12"/>
  <c r="F492" i="12"/>
  <c r="E492" i="12"/>
  <c r="D492" i="12"/>
  <c r="C492" i="12"/>
  <c r="B492" i="12"/>
  <c r="R491" i="12"/>
  <c r="Q491" i="12"/>
  <c r="P491" i="12"/>
  <c r="O491" i="12"/>
  <c r="N491" i="12"/>
  <c r="M491" i="12"/>
  <c r="J491" i="12"/>
  <c r="I491" i="12"/>
  <c r="H491" i="12"/>
  <c r="G491" i="12"/>
  <c r="F491" i="12"/>
  <c r="E491" i="12"/>
  <c r="D491" i="12"/>
  <c r="C491" i="12"/>
  <c r="B491" i="12"/>
  <c r="R490" i="12"/>
  <c r="Q490" i="12"/>
  <c r="P490" i="12"/>
  <c r="O490" i="12"/>
  <c r="N490" i="12"/>
  <c r="M490" i="12"/>
  <c r="J490" i="12"/>
  <c r="I490" i="12"/>
  <c r="H490" i="12"/>
  <c r="G490" i="12"/>
  <c r="F490" i="12"/>
  <c r="E490" i="12"/>
  <c r="D490" i="12"/>
  <c r="C490" i="12"/>
  <c r="B490" i="12"/>
  <c r="R489" i="12"/>
  <c r="Q489" i="12"/>
  <c r="P489" i="12"/>
  <c r="O489" i="12"/>
  <c r="N489" i="12"/>
  <c r="M489" i="12"/>
  <c r="J489" i="12"/>
  <c r="I489" i="12"/>
  <c r="H489" i="12"/>
  <c r="G489" i="12"/>
  <c r="F489" i="12"/>
  <c r="E489" i="12"/>
  <c r="D489" i="12"/>
  <c r="C489" i="12"/>
  <c r="B489" i="12"/>
  <c r="R488" i="12"/>
  <c r="Q488" i="12"/>
  <c r="P488" i="12"/>
  <c r="O488" i="12"/>
  <c r="N488" i="12"/>
  <c r="M488" i="12"/>
  <c r="J488" i="12"/>
  <c r="I488" i="12"/>
  <c r="H488" i="12"/>
  <c r="G488" i="12"/>
  <c r="F488" i="12"/>
  <c r="E488" i="12"/>
  <c r="D488" i="12"/>
  <c r="C488" i="12"/>
  <c r="B488" i="12"/>
  <c r="R487" i="12"/>
  <c r="Q487" i="12"/>
  <c r="P487" i="12"/>
  <c r="O487" i="12"/>
  <c r="N487" i="12"/>
  <c r="M487" i="12"/>
  <c r="J487" i="12"/>
  <c r="I487" i="12"/>
  <c r="H487" i="12"/>
  <c r="G487" i="12"/>
  <c r="F487" i="12"/>
  <c r="E487" i="12"/>
  <c r="D487" i="12"/>
  <c r="C487" i="12"/>
  <c r="B487" i="12"/>
  <c r="R486" i="12"/>
  <c r="Q486" i="12"/>
  <c r="P486" i="12"/>
  <c r="O486" i="12"/>
  <c r="N486" i="12"/>
  <c r="M486" i="12"/>
  <c r="J486" i="12"/>
  <c r="I486" i="12"/>
  <c r="H486" i="12"/>
  <c r="G486" i="12"/>
  <c r="F486" i="12"/>
  <c r="E486" i="12"/>
  <c r="D486" i="12"/>
  <c r="C486" i="12"/>
  <c r="B486" i="12"/>
  <c r="R485" i="12"/>
  <c r="Q485" i="12"/>
  <c r="P485" i="12"/>
  <c r="O485" i="12"/>
  <c r="N485" i="12"/>
  <c r="M485" i="12"/>
  <c r="J485" i="12"/>
  <c r="I485" i="12"/>
  <c r="H485" i="12"/>
  <c r="G485" i="12"/>
  <c r="F485" i="12"/>
  <c r="E485" i="12"/>
  <c r="D485" i="12"/>
  <c r="C485" i="12"/>
  <c r="B485" i="12"/>
  <c r="R484" i="12"/>
  <c r="Q484" i="12"/>
  <c r="P484" i="12"/>
  <c r="O484" i="12"/>
  <c r="N484" i="12"/>
  <c r="M484" i="12"/>
  <c r="J484" i="12"/>
  <c r="I484" i="12"/>
  <c r="H484" i="12"/>
  <c r="G484" i="12"/>
  <c r="F484" i="12"/>
  <c r="E484" i="12"/>
  <c r="D484" i="12"/>
  <c r="C484" i="12"/>
  <c r="B484" i="12"/>
  <c r="R483" i="12"/>
  <c r="Q483" i="12"/>
  <c r="P483" i="12"/>
  <c r="O483" i="12"/>
  <c r="N483" i="12"/>
  <c r="M483" i="12"/>
  <c r="J483" i="12"/>
  <c r="I483" i="12"/>
  <c r="H483" i="12"/>
  <c r="G483" i="12"/>
  <c r="F483" i="12"/>
  <c r="E483" i="12"/>
  <c r="D483" i="12"/>
  <c r="C483" i="12"/>
  <c r="B483" i="12"/>
  <c r="R482" i="12"/>
  <c r="Q482" i="12"/>
  <c r="P482" i="12"/>
  <c r="O482" i="12"/>
  <c r="N482" i="12"/>
  <c r="M482" i="12"/>
  <c r="J482" i="12"/>
  <c r="I482" i="12"/>
  <c r="H482" i="12"/>
  <c r="G482" i="12"/>
  <c r="F482" i="12"/>
  <c r="E482" i="12"/>
  <c r="D482" i="12"/>
  <c r="C482" i="12"/>
  <c r="B482" i="12"/>
  <c r="R481" i="12"/>
  <c r="Q481" i="12"/>
  <c r="P481" i="12"/>
  <c r="O481" i="12"/>
  <c r="N481" i="12"/>
  <c r="M481" i="12"/>
  <c r="J481" i="12"/>
  <c r="I481" i="12"/>
  <c r="H481" i="12"/>
  <c r="G481" i="12"/>
  <c r="F481" i="12"/>
  <c r="E481" i="12"/>
  <c r="D481" i="12"/>
  <c r="C481" i="12"/>
  <c r="B481" i="12"/>
  <c r="R480" i="12"/>
  <c r="Q480" i="12"/>
  <c r="P480" i="12"/>
  <c r="O480" i="12"/>
  <c r="N480" i="12"/>
  <c r="M480" i="12"/>
  <c r="I480" i="12"/>
  <c r="H480" i="12"/>
  <c r="G480" i="12"/>
  <c r="F480" i="12"/>
  <c r="E480" i="12"/>
  <c r="D480" i="12"/>
  <c r="R479" i="12"/>
  <c r="Q479" i="12"/>
  <c r="P479" i="12"/>
  <c r="O479" i="12"/>
  <c r="N479" i="12"/>
  <c r="M479" i="12"/>
  <c r="I479" i="12"/>
  <c r="H479" i="12"/>
  <c r="G479" i="12"/>
  <c r="F479" i="12"/>
  <c r="E479" i="12"/>
  <c r="D479" i="12"/>
  <c r="R478" i="12"/>
  <c r="Q478" i="12"/>
  <c r="P478" i="12"/>
  <c r="O478" i="12"/>
  <c r="N478" i="12"/>
  <c r="M478" i="12"/>
  <c r="I478" i="12"/>
  <c r="H478" i="12"/>
  <c r="G478" i="12"/>
  <c r="F478" i="12"/>
  <c r="E478" i="12"/>
  <c r="D478" i="12"/>
  <c r="R477" i="12"/>
  <c r="Q477" i="12"/>
  <c r="P477" i="12"/>
  <c r="O477" i="12"/>
  <c r="N477" i="12"/>
  <c r="M477" i="12"/>
  <c r="J477" i="12"/>
  <c r="I477" i="12"/>
  <c r="H477" i="12"/>
  <c r="G477" i="12"/>
  <c r="F477" i="12"/>
  <c r="E477" i="12"/>
  <c r="D477" i="12"/>
  <c r="A476" i="12"/>
  <c r="R456" i="12"/>
  <c r="Q456" i="12"/>
  <c r="P456" i="12"/>
  <c r="O456" i="12"/>
  <c r="N456" i="12"/>
  <c r="M456" i="12"/>
  <c r="J456" i="12"/>
  <c r="I456" i="12"/>
  <c r="H456" i="12"/>
  <c r="G456" i="12"/>
  <c r="F456" i="12"/>
  <c r="E456" i="12"/>
  <c r="D456" i="12"/>
  <c r="C456" i="12"/>
  <c r="B456" i="12"/>
  <c r="Q455" i="12"/>
  <c r="P455" i="12"/>
  <c r="O455" i="12"/>
  <c r="N455" i="12"/>
  <c r="M455" i="12"/>
  <c r="J455" i="12"/>
  <c r="I455" i="12"/>
  <c r="H455" i="12"/>
  <c r="G455" i="12"/>
  <c r="F455" i="12"/>
  <c r="E455" i="12"/>
  <c r="D455" i="12"/>
  <c r="C455" i="12"/>
  <c r="B455" i="12"/>
  <c r="Q454" i="12"/>
  <c r="P454" i="12"/>
  <c r="O454" i="12"/>
  <c r="I454" i="12"/>
  <c r="H454" i="12"/>
  <c r="G454" i="12"/>
  <c r="F454" i="12"/>
  <c r="E454" i="12"/>
  <c r="D454" i="12"/>
  <c r="Q453" i="12"/>
  <c r="P453" i="12"/>
  <c r="O453" i="12"/>
  <c r="N453" i="12"/>
  <c r="M453" i="12"/>
  <c r="I453" i="12"/>
  <c r="H453" i="12"/>
  <c r="G453" i="12"/>
  <c r="F453" i="12"/>
  <c r="E453" i="12"/>
  <c r="D453" i="12"/>
  <c r="Q452" i="12"/>
  <c r="P452" i="12"/>
  <c r="O452" i="12"/>
  <c r="N452" i="12"/>
  <c r="M452" i="12"/>
  <c r="H452" i="12"/>
  <c r="G452" i="12"/>
  <c r="F452" i="12"/>
  <c r="E452" i="12"/>
  <c r="D452" i="12"/>
  <c r="Q451" i="12"/>
  <c r="P451" i="12"/>
  <c r="O451" i="12"/>
  <c r="N451" i="12"/>
  <c r="M451" i="12"/>
  <c r="H451" i="12"/>
  <c r="G451" i="12"/>
  <c r="F451" i="12"/>
  <c r="E451" i="12"/>
  <c r="D451" i="12"/>
  <c r="A450" i="12"/>
  <c r="R434" i="12"/>
  <c r="Q434" i="12"/>
  <c r="P434" i="12"/>
  <c r="O434" i="12"/>
  <c r="N434" i="12"/>
  <c r="M434" i="12"/>
  <c r="J434" i="12"/>
  <c r="I434" i="12"/>
  <c r="H434" i="12"/>
  <c r="G434" i="12"/>
  <c r="F434" i="12"/>
  <c r="E434" i="12"/>
  <c r="D434" i="12"/>
  <c r="C434" i="12"/>
  <c r="B434" i="12"/>
  <c r="R433" i="12"/>
  <c r="Q433" i="12"/>
  <c r="P433" i="12"/>
  <c r="O433" i="12"/>
  <c r="N433" i="12"/>
  <c r="M433" i="12"/>
  <c r="J433" i="12"/>
  <c r="I433" i="12"/>
  <c r="H433" i="12"/>
  <c r="G433" i="12"/>
  <c r="F433" i="12"/>
  <c r="E433" i="12"/>
  <c r="D433" i="12"/>
  <c r="C433" i="12"/>
  <c r="B433" i="12"/>
  <c r="R432" i="12"/>
  <c r="Q432" i="12"/>
  <c r="P432" i="12"/>
  <c r="O432" i="12"/>
  <c r="J432" i="12"/>
  <c r="I432" i="12"/>
  <c r="H432" i="12"/>
  <c r="G432" i="12"/>
  <c r="F432" i="12"/>
  <c r="E432" i="12"/>
  <c r="D432" i="12"/>
  <c r="C432" i="12"/>
  <c r="B432" i="12"/>
  <c r="R431" i="12"/>
  <c r="Q431" i="12"/>
  <c r="P431" i="12"/>
  <c r="O431" i="12"/>
  <c r="N431" i="12"/>
  <c r="M431" i="12"/>
  <c r="J431" i="12"/>
  <c r="I431" i="12"/>
  <c r="H431" i="12"/>
  <c r="G431" i="12"/>
  <c r="F431" i="12"/>
  <c r="E431" i="12"/>
  <c r="D431" i="12"/>
  <c r="C431" i="12"/>
  <c r="B431" i="12"/>
  <c r="R430" i="12"/>
  <c r="Q430" i="12"/>
  <c r="P430" i="12"/>
  <c r="O430" i="12"/>
  <c r="N430" i="12"/>
  <c r="M430" i="12"/>
  <c r="J430" i="12"/>
  <c r="I430" i="12"/>
  <c r="H430" i="12"/>
  <c r="G430" i="12"/>
  <c r="F430" i="12"/>
  <c r="E430" i="12"/>
  <c r="D430" i="12"/>
  <c r="C430" i="12"/>
  <c r="B430" i="12"/>
  <c r="R429" i="12"/>
  <c r="Q429" i="12"/>
  <c r="P429" i="12"/>
  <c r="O429" i="12"/>
  <c r="N429" i="12"/>
  <c r="M429" i="12"/>
  <c r="J429" i="12"/>
  <c r="H429" i="12"/>
  <c r="G429" i="12"/>
  <c r="F429" i="12"/>
  <c r="E429" i="12"/>
  <c r="D429" i="12"/>
  <c r="C429" i="12"/>
  <c r="B429" i="12"/>
  <c r="A428" i="12"/>
  <c r="R408" i="12"/>
  <c r="Q408" i="12"/>
  <c r="P408" i="12"/>
  <c r="O408" i="12"/>
  <c r="N408" i="12"/>
  <c r="M408" i="12"/>
  <c r="J408" i="12"/>
  <c r="I408" i="12"/>
  <c r="H408" i="12"/>
  <c r="G408" i="12"/>
  <c r="F408" i="12"/>
  <c r="E408" i="12"/>
  <c r="D408" i="12"/>
  <c r="C408" i="12"/>
  <c r="B408" i="12"/>
  <c r="R407" i="12"/>
  <c r="Q407" i="12"/>
  <c r="P407" i="12"/>
  <c r="O407" i="12"/>
  <c r="N407" i="12"/>
  <c r="M407" i="12"/>
  <c r="J407" i="12"/>
  <c r="I407" i="12"/>
  <c r="H407" i="12"/>
  <c r="G407" i="12"/>
  <c r="F407" i="12"/>
  <c r="E407" i="12"/>
  <c r="D407" i="12"/>
  <c r="C407" i="12"/>
  <c r="B407" i="12"/>
  <c r="R406" i="12"/>
  <c r="Q406" i="12"/>
  <c r="P406" i="12"/>
  <c r="O406" i="12"/>
  <c r="I406" i="12"/>
  <c r="H406" i="12"/>
  <c r="G406" i="12"/>
  <c r="F406" i="12"/>
  <c r="E406" i="12"/>
  <c r="D406" i="12"/>
  <c r="C406" i="12"/>
  <c r="B406" i="12"/>
  <c r="R405" i="12"/>
  <c r="Q405" i="12"/>
  <c r="P405" i="12"/>
  <c r="O405" i="12"/>
  <c r="N405" i="12"/>
  <c r="M405" i="12"/>
  <c r="J405" i="12"/>
  <c r="I405" i="12"/>
  <c r="H405" i="12"/>
  <c r="G405" i="12"/>
  <c r="F405" i="12"/>
  <c r="E405" i="12"/>
  <c r="D405" i="12"/>
  <c r="C405" i="12"/>
  <c r="B405" i="12"/>
  <c r="R404" i="12"/>
  <c r="Q404" i="12"/>
  <c r="P404" i="12"/>
  <c r="O404" i="12"/>
  <c r="N404" i="12"/>
  <c r="M404" i="12"/>
  <c r="H404" i="12"/>
  <c r="G404" i="12"/>
  <c r="F404" i="12"/>
  <c r="E404" i="12"/>
  <c r="D404" i="12"/>
  <c r="C404" i="12"/>
  <c r="B404" i="12"/>
  <c r="R403" i="12"/>
  <c r="Q403" i="12"/>
  <c r="P403" i="12"/>
  <c r="O403" i="12"/>
  <c r="N403" i="12"/>
  <c r="M403" i="12"/>
  <c r="J403" i="12"/>
  <c r="I403" i="12"/>
  <c r="H403" i="12"/>
  <c r="G403" i="12"/>
  <c r="F403" i="12"/>
  <c r="E403" i="12"/>
  <c r="D403" i="12"/>
  <c r="C403" i="12"/>
  <c r="B403" i="12"/>
  <c r="A402" i="12"/>
  <c r="R386" i="12"/>
  <c r="Q386" i="12"/>
  <c r="P386" i="12"/>
  <c r="O386" i="12"/>
  <c r="N386" i="12"/>
  <c r="M386" i="12"/>
  <c r="J386" i="12"/>
  <c r="I386" i="12"/>
  <c r="H386" i="12"/>
  <c r="G386" i="12"/>
  <c r="F386" i="12"/>
  <c r="E386" i="12"/>
  <c r="D386" i="12"/>
  <c r="C386" i="12"/>
  <c r="B386" i="12"/>
  <c r="R385" i="12"/>
  <c r="Q385" i="12"/>
  <c r="P385" i="12"/>
  <c r="O385" i="12"/>
  <c r="N385" i="12"/>
  <c r="M385" i="12"/>
  <c r="J385" i="12"/>
  <c r="I385" i="12"/>
  <c r="H385" i="12"/>
  <c r="G385" i="12"/>
  <c r="F385" i="12"/>
  <c r="E385" i="12"/>
  <c r="D385" i="12"/>
  <c r="C385" i="12"/>
  <c r="B385" i="12"/>
  <c r="R384" i="12"/>
  <c r="Q384" i="12"/>
  <c r="P384" i="12"/>
  <c r="O384" i="12"/>
  <c r="M384" i="12"/>
  <c r="J384" i="12"/>
  <c r="I384" i="12"/>
  <c r="H384" i="12"/>
  <c r="G384" i="12"/>
  <c r="F384" i="12"/>
  <c r="D384" i="12"/>
  <c r="C384" i="12"/>
  <c r="B384" i="12"/>
  <c r="R383" i="12"/>
  <c r="Q383" i="12"/>
  <c r="P383" i="12"/>
  <c r="O383" i="12"/>
  <c r="N383" i="12"/>
  <c r="M383" i="12"/>
  <c r="J383" i="12"/>
  <c r="I383" i="12"/>
  <c r="H383" i="12"/>
  <c r="G383" i="12"/>
  <c r="F383" i="12"/>
  <c r="E383" i="12"/>
  <c r="D383" i="12"/>
  <c r="C383" i="12"/>
  <c r="B383" i="12"/>
  <c r="R382" i="12"/>
  <c r="Q382" i="12"/>
  <c r="P382" i="12"/>
  <c r="O382" i="12"/>
  <c r="N382" i="12"/>
  <c r="M382" i="12"/>
  <c r="J382" i="12"/>
  <c r="I382" i="12"/>
  <c r="H382" i="12"/>
  <c r="G382" i="12"/>
  <c r="F382" i="12"/>
  <c r="E382" i="12"/>
  <c r="D382" i="12"/>
  <c r="C382" i="12"/>
  <c r="B382" i="12"/>
  <c r="R381" i="12"/>
  <c r="Q381" i="12"/>
  <c r="P381" i="12"/>
  <c r="O381" i="12"/>
  <c r="N381" i="12"/>
  <c r="M381" i="12"/>
  <c r="J381" i="12"/>
  <c r="I381" i="12"/>
  <c r="H381" i="12"/>
  <c r="G381" i="12"/>
  <c r="F381" i="12"/>
  <c r="E381" i="12"/>
  <c r="D381" i="12"/>
  <c r="C381" i="12"/>
  <c r="B381" i="12"/>
  <c r="R285" i="12"/>
  <c r="P285" i="12"/>
  <c r="O285" i="12"/>
  <c r="O518" i="12" s="1"/>
  <c r="N285" i="12"/>
  <c r="N332" i="12" s="1"/>
  <c r="N544" i="12" s="1"/>
  <c r="M285" i="12"/>
  <c r="I285" i="12"/>
  <c r="I518" i="12" s="1"/>
  <c r="H285" i="12"/>
  <c r="H518" i="12" s="1"/>
  <c r="G285" i="12"/>
  <c r="F285" i="12"/>
  <c r="F518" i="12" s="1"/>
  <c r="E285" i="12"/>
  <c r="D285" i="12"/>
  <c r="D518" i="12" s="1"/>
  <c r="C285" i="12"/>
  <c r="B285" i="12"/>
  <c r="B518" i="12" s="1"/>
  <c r="R282" i="12"/>
  <c r="Q282" i="12"/>
  <c r="P282" i="12"/>
  <c r="P515" i="12" s="1"/>
  <c r="O282" i="12"/>
  <c r="O515" i="12" s="1"/>
  <c r="N282" i="12"/>
  <c r="N515" i="12" s="1"/>
  <c r="M282" i="12"/>
  <c r="I282" i="12"/>
  <c r="I515" i="12" s="1"/>
  <c r="H282" i="12"/>
  <c r="H515" i="12" s="1"/>
  <c r="G282" i="12"/>
  <c r="F282" i="12"/>
  <c r="F515" i="12" s="1"/>
  <c r="E282" i="12"/>
  <c r="D282" i="12"/>
  <c r="D515" i="12" s="1"/>
  <c r="C282" i="12"/>
  <c r="C329" i="12" s="1"/>
  <c r="C541" i="12" s="1"/>
  <c r="B282" i="12"/>
  <c r="B515" i="12" s="1"/>
  <c r="R281" i="12"/>
  <c r="Q281" i="12"/>
  <c r="P281" i="12"/>
  <c r="P514" i="12" s="1"/>
  <c r="O281" i="12"/>
  <c r="O514" i="12" s="1"/>
  <c r="N281" i="12"/>
  <c r="N514" i="12" s="1"/>
  <c r="M281" i="12"/>
  <c r="I281" i="12"/>
  <c r="I514" i="12" s="1"/>
  <c r="H281" i="12"/>
  <c r="H328" i="12" s="1"/>
  <c r="H540" i="12" s="1"/>
  <c r="G281" i="12"/>
  <c r="F281" i="12"/>
  <c r="F514" i="12" s="1"/>
  <c r="E281" i="12"/>
  <c r="D281" i="12"/>
  <c r="D514" i="12" s="1"/>
  <c r="C281" i="12"/>
  <c r="B281" i="12"/>
  <c r="B514" i="12" s="1"/>
  <c r="R280" i="12"/>
  <c r="Q280" i="12"/>
  <c r="Q327" i="12" s="1"/>
  <c r="Q539" i="12" s="1"/>
  <c r="P280" i="12"/>
  <c r="P513" i="12" s="1"/>
  <c r="O280" i="12"/>
  <c r="O513" i="12" s="1"/>
  <c r="N280" i="12"/>
  <c r="M280" i="12"/>
  <c r="M327" i="12" s="1"/>
  <c r="M539" i="12" s="1"/>
  <c r="I280" i="12"/>
  <c r="I513" i="12" s="1"/>
  <c r="H280" i="12"/>
  <c r="G280" i="12"/>
  <c r="F280" i="12"/>
  <c r="F513" i="12" s="1"/>
  <c r="E280" i="12"/>
  <c r="E327" i="12" s="1"/>
  <c r="E539" i="12" s="1"/>
  <c r="D280" i="12"/>
  <c r="D513" i="12" s="1"/>
  <c r="C280" i="12"/>
  <c r="B280" i="12"/>
  <c r="B513" i="12" s="1"/>
  <c r="R279" i="12"/>
  <c r="R326" i="12" s="1"/>
  <c r="R538" i="12" s="1"/>
  <c r="Q279" i="12"/>
  <c r="P279" i="12"/>
  <c r="P512" i="12" s="1"/>
  <c r="O279" i="12"/>
  <c r="O326" i="12" s="1"/>
  <c r="O538" i="12" s="1"/>
  <c r="N279" i="12"/>
  <c r="N512" i="12" s="1"/>
  <c r="M279" i="12"/>
  <c r="I279" i="12"/>
  <c r="I512" i="12" s="1"/>
  <c r="H279" i="12"/>
  <c r="G279" i="12"/>
  <c r="G326" i="12" s="1"/>
  <c r="G538" i="12" s="1"/>
  <c r="F279" i="12"/>
  <c r="F512" i="12" s="1"/>
  <c r="E279" i="12"/>
  <c r="D279" i="12"/>
  <c r="D512" i="12" s="1"/>
  <c r="C279" i="12"/>
  <c r="C326" i="12" s="1"/>
  <c r="C538" i="12" s="1"/>
  <c r="B279" i="12"/>
  <c r="R278" i="12"/>
  <c r="Q278" i="12"/>
  <c r="P278" i="12"/>
  <c r="P511" i="12" s="1"/>
  <c r="O278" i="12"/>
  <c r="O511" i="12" s="1"/>
  <c r="N278" i="12"/>
  <c r="N511" i="12" s="1"/>
  <c r="M278" i="12"/>
  <c r="M325" i="12" s="1"/>
  <c r="M537" i="12" s="1"/>
  <c r="I278" i="12"/>
  <c r="I511" i="12" s="1"/>
  <c r="H278" i="12"/>
  <c r="H511" i="12" s="1"/>
  <c r="G278" i="12"/>
  <c r="G325" i="12" s="1"/>
  <c r="G537" i="12" s="1"/>
  <c r="F278" i="12"/>
  <c r="F511" i="12" s="1"/>
  <c r="E278" i="12"/>
  <c r="D278" i="12"/>
  <c r="D511" i="12" s="1"/>
  <c r="C278" i="12"/>
  <c r="C325" i="12" s="1"/>
  <c r="C537" i="12" s="1"/>
  <c r="B278" i="12"/>
  <c r="B511" i="12" s="1"/>
  <c r="R277" i="12"/>
  <c r="Q277" i="12"/>
  <c r="Q324" i="12" s="1"/>
  <c r="Q536" i="12" s="1"/>
  <c r="P277" i="12"/>
  <c r="P324" i="12" s="1"/>
  <c r="P536" i="12" s="1"/>
  <c r="O277" i="12"/>
  <c r="O510" i="12" s="1"/>
  <c r="N277" i="12"/>
  <c r="N510" i="12" s="1"/>
  <c r="M277" i="12"/>
  <c r="J277" i="12"/>
  <c r="J510" i="12" s="1"/>
  <c r="I277" i="12"/>
  <c r="I324" i="12" s="1"/>
  <c r="I536" i="12" s="1"/>
  <c r="H277" i="12"/>
  <c r="G277" i="12"/>
  <c r="G510" i="12" s="1"/>
  <c r="F277" i="12"/>
  <c r="E277" i="12"/>
  <c r="E510" i="12" s="1"/>
  <c r="D277" i="12"/>
  <c r="D324" i="12" s="1"/>
  <c r="D536" i="12" s="1"/>
  <c r="C277" i="12"/>
  <c r="C324" i="12" s="1"/>
  <c r="C536" i="12" s="1"/>
  <c r="B277" i="12"/>
  <c r="B510" i="12" s="1"/>
  <c r="R276" i="12"/>
  <c r="R323" i="12" s="1"/>
  <c r="R535" i="12" s="1"/>
  <c r="Q276" i="12"/>
  <c r="Q509" i="12" s="1"/>
  <c r="P276" i="12"/>
  <c r="P509" i="12" s="1"/>
  <c r="O276" i="12"/>
  <c r="O509" i="12" s="1"/>
  <c r="N276" i="12"/>
  <c r="M276" i="12"/>
  <c r="M323" i="12" s="1"/>
  <c r="M535" i="12" s="1"/>
  <c r="J276" i="12"/>
  <c r="J323" i="12" s="1"/>
  <c r="J535" i="12" s="1"/>
  <c r="I276" i="12"/>
  <c r="I323" i="12" s="1"/>
  <c r="I535" i="12" s="1"/>
  <c r="H276" i="12"/>
  <c r="H509" i="12" s="1"/>
  <c r="G276" i="12"/>
  <c r="F276" i="12"/>
  <c r="F509" i="12" s="1"/>
  <c r="E276" i="12"/>
  <c r="E323" i="12" s="1"/>
  <c r="E535" i="12" s="1"/>
  <c r="D276" i="12"/>
  <c r="D323" i="12" s="1"/>
  <c r="D535" i="12" s="1"/>
  <c r="C276" i="12"/>
  <c r="C509" i="12" s="1"/>
  <c r="B276" i="12"/>
  <c r="R275" i="12"/>
  <c r="R508" i="12" s="1"/>
  <c r="Q275" i="12"/>
  <c r="Q508" i="12" s="1"/>
  <c r="P275" i="12"/>
  <c r="P508" i="12" s="1"/>
  <c r="O275" i="12"/>
  <c r="N275" i="12"/>
  <c r="N322" i="12" s="1"/>
  <c r="N534" i="12" s="1"/>
  <c r="M275" i="12"/>
  <c r="M508" i="12" s="1"/>
  <c r="I275" i="12"/>
  <c r="H275" i="12"/>
  <c r="H508" i="12" s="1"/>
  <c r="G275" i="12"/>
  <c r="G322" i="12" s="1"/>
  <c r="G534" i="12" s="1"/>
  <c r="F275" i="12"/>
  <c r="F508" i="12" s="1"/>
  <c r="E275" i="12"/>
  <c r="E322" i="12" s="1"/>
  <c r="E534" i="12" s="1"/>
  <c r="D275" i="12"/>
  <c r="D508" i="12" s="1"/>
  <c r="C275" i="12"/>
  <c r="C508" i="12" s="1"/>
  <c r="B275" i="12"/>
  <c r="R274" i="12"/>
  <c r="R507" i="12" s="1"/>
  <c r="Q274" i="12"/>
  <c r="P274" i="12"/>
  <c r="P507" i="12" s="1"/>
  <c r="O274" i="12"/>
  <c r="O321" i="12" s="1"/>
  <c r="O533" i="12" s="1"/>
  <c r="N274" i="12"/>
  <c r="M274" i="12"/>
  <c r="M507" i="12" s="1"/>
  <c r="I274" i="12"/>
  <c r="H274" i="12"/>
  <c r="H507" i="12" s="1"/>
  <c r="G274" i="12"/>
  <c r="F274" i="12"/>
  <c r="F507" i="12" s="1"/>
  <c r="E274" i="12"/>
  <c r="D274" i="12"/>
  <c r="D507" i="12" s="1"/>
  <c r="C274" i="12"/>
  <c r="C321" i="12" s="1"/>
  <c r="C533" i="12" s="1"/>
  <c r="B274" i="12"/>
  <c r="R273" i="12"/>
  <c r="R506" i="12" s="1"/>
  <c r="Q273" i="12"/>
  <c r="Q506" i="12" s="1"/>
  <c r="P273" i="12"/>
  <c r="P506" i="12" s="1"/>
  <c r="O273" i="12"/>
  <c r="N273" i="12"/>
  <c r="N320" i="12" s="1"/>
  <c r="N532" i="12" s="1"/>
  <c r="M273" i="12"/>
  <c r="M506" i="12" s="1"/>
  <c r="I273" i="12"/>
  <c r="H273" i="12"/>
  <c r="H320" i="12" s="1"/>
  <c r="H532" i="12" s="1"/>
  <c r="G273" i="12"/>
  <c r="F273" i="12"/>
  <c r="F506" i="12" s="1"/>
  <c r="E273" i="12"/>
  <c r="E506" i="12" s="1"/>
  <c r="D273" i="12"/>
  <c r="D506" i="12" s="1"/>
  <c r="C273" i="12"/>
  <c r="C320" i="12" s="1"/>
  <c r="C532" i="12" s="1"/>
  <c r="B273" i="12"/>
  <c r="B506" i="12" s="1"/>
  <c r="R272" i="12"/>
  <c r="R319" i="12" s="1"/>
  <c r="R531" i="12" s="1"/>
  <c r="Q272" i="12"/>
  <c r="P272" i="12"/>
  <c r="P505" i="12" s="1"/>
  <c r="O272" i="12"/>
  <c r="O319" i="12" s="1"/>
  <c r="O531" i="12" s="1"/>
  <c r="N272" i="12"/>
  <c r="N505" i="12" s="1"/>
  <c r="M272" i="12"/>
  <c r="M319" i="12" s="1"/>
  <c r="M531" i="12" s="1"/>
  <c r="J272" i="12"/>
  <c r="I272" i="12"/>
  <c r="I505" i="12" s="1"/>
  <c r="H272" i="12"/>
  <c r="G272" i="12"/>
  <c r="G505" i="12" s="1"/>
  <c r="F272" i="12"/>
  <c r="F319" i="12" s="1"/>
  <c r="F531" i="12" s="1"/>
  <c r="E272" i="12"/>
  <c r="E319" i="12" s="1"/>
  <c r="E531" i="12" s="1"/>
  <c r="D272" i="12"/>
  <c r="D319" i="12" s="1"/>
  <c r="D531" i="12" s="1"/>
  <c r="C272" i="12"/>
  <c r="C505" i="12" s="1"/>
  <c r="B272" i="12"/>
  <c r="R271" i="12"/>
  <c r="Q271" i="12"/>
  <c r="Q504" i="12" s="1"/>
  <c r="P271" i="12"/>
  <c r="P504" i="12" s="1"/>
  <c r="O271" i="12"/>
  <c r="O504" i="12" s="1"/>
  <c r="N271" i="12"/>
  <c r="N318" i="12" s="1"/>
  <c r="N530" i="12" s="1"/>
  <c r="M271" i="12"/>
  <c r="M504" i="12" s="1"/>
  <c r="J271" i="12"/>
  <c r="J504" i="12" s="1"/>
  <c r="I271" i="12"/>
  <c r="H271" i="12"/>
  <c r="H504" i="12" s="1"/>
  <c r="G271" i="12"/>
  <c r="G504" i="12" s="1"/>
  <c r="F271" i="12"/>
  <c r="F318" i="12" s="1"/>
  <c r="F530" i="12" s="1"/>
  <c r="E271" i="12"/>
  <c r="D271" i="12"/>
  <c r="D504" i="12" s="1"/>
  <c r="C271" i="12"/>
  <c r="B271" i="12"/>
  <c r="B504" i="12" s="1"/>
  <c r="R270" i="12"/>
  <c r="R317" i="12" s="1"/>
  <c r="Q270" i="12"/>
  <c r="Q317" i="12" s="1"/>
  <c r="P270" i="12"/>
  <c r="P317" i="12" s="1"/>
  <c r="O270" i="12"/>
  <c r="O317" i="12" s="1"/>
  <c r="N270" i="12"/>
  <c r="N317" i="12" s="1"/>
  <c r="M270" i="12"/>
  <c r="M317" i="12" s="1"/>
  <c r="J270" i="12"/>
  <c r="J317" i="12" s="1"/>
  <c r="I270" i="12"/>
  <c r="I317" i="12" s="1"/>
  <c r="H270" i="12"/>
  <c r="H317" i="12" s="1"/>
  <c r="G270" i="12"/>
  <c r="G317" i="12" s="1"/>
  <c r="F270" i="12"/>
  <c r="F317" i="12" s="1"/>
  <c r="E270" i="12"/>
  <c r="E317" i="12" s="1"/>
  <c r="D270" i="12"/>
  <c r="D317" i="12" s="1"/>
  <c r="C270" i="12"/>
  <c r="C317" i="12" s="1"/>
  <c r="B270" i="12"/>
  <c r="B317" i="12" s="1"/>
  <c r="R269" i="12"/>
  <c r="R316" i="12" s="1"/>
  <c r="Q269" i="12"/>
  <c r="Q316" i="12" s="1"/>
  <c r="P269" i="12"/>
  <c r="P316" i="12" s="1"/>
  <c r="O269" i="12"/>
  <c r="O316" i="12" s="1"/>
  <c r="N269" i="12"/>
  <c r="N316" i="12" s="1"/>
  <c r="M269" i="12"/>
  <c r="M316" i="12" s="1"/>
  <c r="J269" i="12"/>
  <c r="J316" i="12" s="1"/>
  <c r="I269" i="12"/>
  <c r="I316" i="12" s="1"/>
  <c r="H269" i="12"/>
  <c r="H316" i="12" s="1"/>
  <c r="G269" i="12"/>
  <c r="G316" i="12" s="1"/>
  <c r="F269" i="12"/>
  <c r="F316" i="12" s="1"/>
  <c r="E269" i="12"/>
  <c r="E316" i="12" s="1"/>
  <c r="D269" i="12"/>
  <c r="D316" i="12" s="1"/>
  <c r="C269" i="12"/>
  <c r="C316" i="12" s="1"/>
  <c r="B269" i="12"/>
  <c r="B316" i="12" s="1"/>
  <c r="R268" i="12"/>
  <c r="R315" i="12" s="1"/>
  <c r="Q268" i="12"/>
  <c r="Q315" i="12" s="1"/>
  <c r="P268" i="12"/>
  <c r="P315" i="12" s="1"/>
  <c r="O268" i="12"/>
  <c r="O315" i="12" s="1"/>
  <c r="N268" i="12"/>
  <c r="N315" i="12" s="1"/>
  <c r="M268" i="12"/>
  <c r="M315" i="12" s="1"/>
  <c r="J268" i="12"/>
  <c r="J315" i="12" s="1"/>
  <c r="I268" i="12"/>
  <c r="I315" i="12" s="1"/>
  <c r="H268" i="12"/>
  <c r="H315" i="12" s="1"/>
  <c r="G268" i="12"/>
  <c r="G315" i="12" s="1"/>
  <c r="F268" i="12"/>
  <c r="F315" i="12" s="1"/>
  <c r="E268" i="12"/>
  <c r="E315" i="12" s="1"/>
  <c r="D268" i="12"/>
  <c r="D315" i="12" s="1"/>
  <c r="C268" i="12"/>
  <c r="C315" i="12" s="1"/>
  <c r="B268" i="12"/>
  <c r="B315" i="12" s="1"/>
  <c r="R267" i="12"/>
  <c r="R314" i="12" s="1"/>
  <c r="Q267" i="12"/>
  <c r="Q314" i="12" s="1"/>
  <c r="P267" i="12"/>
  <c r="P314" i="12" s="1"/>
  <c r="O267" i="12"/>
  <c r="O314" i="12" s="1"/>
  <c r="N267" i="12"/>
  <c r="N314" i="12" s="1"/>
  <c r="M267" i="12"/>
  <c r="M314" i="12" s="1"/>
  <c r="J267" i="12"/>
  <c r="J314" i="12" s="1"/>
  <c r="I267" i="12"/>
  <c r="I314" i="12" s="1"/>
  <c r="H267" i="12"/>
  <c r="H314" i="12" s="1"/>
  <c r="G267" i="12"/>
  <c r="G314" i="12" s="1"/>
  <c r="F267" i="12"/>
  <c r="F314" i="12" s="1"/>
  <c r="E267" i="12"/>
  <c r="E314" i="12" s="1"/>
  <c r="D267" i="12"/>
  <c r="D314" i="12" s="1"/>
  <c r="C267" i="12"/>
  <c r="C314" i="12" s="1"/>
  <c r="B267" i="12"/>
  <c r="R266" i="12"/>
  <c r="R313" i="12" s="1"/>
  <c r="Q266" i="12"/>
  <c r="Q313" i="12" s="1"/>
  <c r="P266" i="12"/>
  <c r="O266" i="12"/>
  <c r="O313" i="12" s="1"/>
  <c r="N266" i="12"/>
  <c r="N313" i="12" s="1"/>
  <c r="M266" i="12"/>
  <c r="M313" i="12" s="1"/>
  <c r="J266" i="12"/>
  <c r="I266" i="12"/>
  <c r="H266" i="12"/>
  <c r="H313" i="12" s="1"/>
  <c r="G266" i="12"/>
  <c r="G313" i="12" s="1"/>
  <c r="F266" i="12"/>
  <c r="F313" i="12" s="1"/>
  <c r="E266" i="12"/>
  <c r="D266" i="12"/>
  <c r="D313" i="12" s="1"/>
  <c r="C266" i="12"/>
  <c r="B266" i="12"/>
  <c r="B313" i="12" s="1"/>
  <c r="R265" i="12"/>
  <c r="R312" i="12" s="1"/>
  <c r="Q265" i="12"/>
  <c r="Q312" i="12" s="1"/>
  <c r="P265" i="12"/>
  <c r="P312" i="12" s="1"/>
  <c r="O265" i="12"/>
  <c r="O312" i="12" s="1"/>
  <c r="N265" i="12"/>
  <c r="N312" i="12" s="1"/>
  <c r="M265" i="12"/>
  <c r="M312" i="12" s="1"/>
  <c r="J265" i="12"/>
  <c r="J312" i="12" s="1"/>
  <c r="I265" i="12"/>
  <c r="I312" i="12" s="1"/>
  <c r="H265" i="12"/>
  <c r="H312" i="12" s="1"/>
  <c r="G265" i="12"/>
  <c r="G312" i="12" s="1"/>
  <c r="F265" i="12"/>
  <c r="F312" i="12" s="1"/>
  <c r="E265" i="12"/>
  <c r="E312" i="12" s="1"/>
  <c r="D265" i="12"/>
  <c r="D312" i="12" s="1"/>
  <c r="C265" i="12"/>
  <c r="C312" i="12" s="1"/>
  <c r="B265" i="12"/>
  <c r="B312" i="12" s="1"/>
  <c r="R264" i="12"/>
  <c r="R311" i="12" s="1"/>
  <c r="Q264" i="12"/>
  <c r="Q311" i="12" s="1"/>
  <c r="P264" i="12"/>
  <c r="P311" i="12" s="1"/>
  <c r="O264" i="12"/>
  <c r="O311" i="12" s="1"/>
  <c r="N264" i="12"/>
  <c r="N311" i="12" s="1"/>
  <c r="M264" i="12"/>
  <c r="M311" i="12" s="1"/>
  <c r="J264" i="12"/>
  <c r="J311" i="12" s="1"/>
  <c r="I264" i="12"/>
  <c r="I311" i="12" s="1"/>
  <c r="H264" i="12"/>
  <c r="H311" i="12" s="1"/>
  <c r="G264" i="12"/>
  <c r="G311" i="12" s="1"/>
  <c r="F264" i="12"/>
  <c r="F311" i="12" s="1"/>
  <c r="E264" i="12"/>
  <c r="E311" i="12" s="1"/>
  <c r="D264" i="12"/>
  <c r="D311" i="12" s="1"/>
  <c r="C264" i="12"/>
  <c r="C311" i="12" s="1"/>
  <c r="B264" i="12"/>
  <c r="B311" i="12" s="1"/>
  <c r="R263" i="12"/>
  <c r="R310" i="12" s="1"/>
  <c r="Q263" i="12"/>
  <c r="Q310" i="12" s="1"/>
  <c r="P263" i="12"/>
  <c r="P310" i="12" s="1"/>
  <c r="O263" i="12"/>
  <c r="O310" i="12" s="1"/>
  <c r="N263" i="12"/>
  <c r="N310" i="12" s="1"/>
  <c r="M263" i="12"/>
  <c r="M310" i="12" s="1"/>
  <c r="J263" i="12"/>
  <c r="J310" i="12" s="1"/>
  <c r="I263" i="12"/>
  <c r="I310" i="12" s="1"/>
  <c r="H263" i="12"/>
  <c r="H310" i="12" s="1"/>
  <c r="G263" i="12"/>
  <c r="G310" i="12" s="1"/>
  <c r="F263" i="12"/>
  <c r="F310" i="12" s="1"/>
  <c r="E263" i="12"/>
  <c r="E310" i="12" s="1"/>
  <c r="D263" i="12"/>
  <c r="D310" i="12" s="1"/>
  <c r="C263" i="12"/>
  <c r="C310" i="12" s="1"/>
  <c r="B263" i="12"/>
  <c r="B310" i="12" s="1"/>
  <c r="R262" i="12"/>
  <c r="R309" i="12" s="1"/>
  <c r="Q262" i="12"/>
  <c r="Q309" i="12" s="1"/>
  <c r="P262" i="12"/>
  <c r="P309" i="12" s="1"/>
  <c r="O262" i="12"/>
  <c r="O309" i="12" s="1"/>
  <c r="N262" i="12"/>
  <c r="N309" i="12" s="1"/>
  <c r="M262" i="12"/>
  <c r="M309" i="12" s="1"/>
  <c r="J262" i="12"/>
  <c r="J309" i="12" s="1"/>
  <c r="I262" i="12"/>
  <c r="I309" i="12" s="1"/>
  <c r="H262" i="12"/>
  <c r="H309" i="12" s="1"/>
  <c r="G262" i="12"/>
  <c r="G309" i="12" s="1"/>
  <c r="F262" i="12"/>
  <c r="F309" i="12" s="1"/>
  <c r="E262" i="12"/>
  <c r="E309" i="12" s="1"/>
  <c r="D262" i="12"/>
  <c r="D309" i="12" s="1"/>
  <c r="C262" i="12"/>
  <c r="C309" i="12" s="1"/>
  <c r="B262" i="12"/>
  <c r="B309" i="12" s="1"/>
  <c r="R261" i="12"/>
  <c r="R308" i="12" s="1"/>
  <c r="Q261" i="12"/>
  <c r="P261" i="12"/>
  <c r="P308" i="12" s="1"/>
  <c r="O261" i="12"/>
  <c r="O502" i="12" s="1"/>
  <c r="N261" i="12"/>
  <c r="N308" i="12" s="1"/>
  <c r="M261" i="12"/>
  <c r="M308" i="12" s="1"/>
  <c r="J261" i="12"/>
  <c r="J308" i="12" s="1"/>
  <c r="I261" i="12"/>
  <c r="I308" i="12" s="1"/>
  <c r="H261" i="12"/>
  <c r="H308" i="12" s="1"/>
  <c r="G261" i="12"/>
  <c r="G308" i="12" s="1"/>
  <c r="F261" i="12"/>
  <c r="E261" i="12"/>
  <c r="E308" i="12" s="1"/>
  <c r="D261" i="12"/>
  <c r="D308" i="12" s="1"/>
  <c r="C261" i="12"/>
  <c r="C308" i="12" s="1"/>
  <c r="B261" i="12"/>
  <c r="B308" i="12" s="1"/>
  <c r="R260" i="12"/>
  <c r="R307" i="12" s="1"/>
  <c r="Q260" i="12"/>
  <c r="Q307" i="12" s="1"/>
  <c r="P260" i="12"/>
  <c r="P307" i="12" s="1"/>
  <c r="O260" i="12"/>
  <c r="O307" i="12" s="1"/>
  <c r="N260" i="12"/>
  <c r="N307" i="12" s="1"/>
  <c r="M260" i="12"/>
  <c r="M307" i="12" s="1"/>
  <c r="J260" i="12"/>
  <c r="J307" i="12" s="1"/>
  <c r="I260" i="12"/>
  <c r="I307" i="12" s="1"/>
  <c r="H260" i="12"/>
  <c r="H307" i="12" s="1"/>
  <c r="G260" i="12"/>
  <c r="G307" i="12" s="1"/>
  <c r="F260" i="12"/>
  <c r="F307" i="12" s="1"/>
  <c r="E260" i="12"/>
  <c r="E307" i="12" s="1"/>
  <c r="D260" i="12"/>
  <c r="D307" i="12" s="1"/>
  <c r="C260" i="12"/>
  <c r="C307" i="12" s="1"/>
  <c r="B260" i="12"/>
  <c r="B307" i="12" s="1"/>
  <c r="R259" i="12"/>
  <c r="R306" i="12" s="1"/>
  <c r="Q259" i="12"/>
  <c r="Q306" i="12" s="1"/>
  <c r="P259" i="12"/>
  <c r="P306" i="12" s="1"/>
  <c r="O259" i="12"/>
  <c r="O306" i="12" s="1"/>
  <c r="N259" i="12"/>
  <c r="N306" i="12" s="1"/>
  <c r="M259" i="12"/>
  <c r="M306" i="12" s="1"/>
  <c r="J259" i="12"/>
  <c r="J306" i="12" s="1"/>
  <c r="I259" i="12"/>
  <c r="I306" i="12" s="1"/>
  <c r="H259" i="12"/>
  <c r="H306" i="12" s="1"/>
  <c r="G259" i="12"/>
  <c r="G306" i="12" s="1"/>
  <c r="F259" i="12"/>
  <c r="F306" i="12" s="1"/>
  <c r="E259" i="12"/>
  <c r="E306" i="12" s="1"/>
  <c r="D259" i="12"/>
  <c r="D306" i="12" s="1"/>
  <c r="C259" i="12"/>
  <c r="C306" i="12" s="1"/>
  <c r="B259" i="12"/>
  <c r="B306" i="12" s="1"/>
  <c r="R258" i="12"/>
  <c r="R305" i="12" s="1"/>
  <c r="Q258" i="12"/>
  <c r="Q305" i="12" s="1"/>
  <c r="P258" i="12"/>
  <c r="P305" i="12" s="1"/>
  <c r="O258" i="12"/>
  <c r="O305" i="12" s="1"/>
  <c r="N258" i="12"/>
  <c r="N305" i="12" s="1"/>
  <c r="M258" i="12"/>
  <c r="M305" i="12" s="1"/>
  <c r="J258" i="12"/>
  <c r="J305" i="12" s="1"/>
  <c r="I258" i="12"/>
  <c r="I305" i="12" s="1"/>
  <c r="H258" i="12"/>
  <c r="H305" i="12" s="1"/>
  <c r="G258" i="12"/>
  <c r="G305" i="12" s="1"/>
  <c r="F258" i="12"/>
  <c r="F305" i="12" s="1"/>
  <c r="E258" i="12"/>
  <c r="E305" i="12" s="1"/>
  <c r="D258" i="12"/>
  <c r="D305" i="12" s="1"/>
  <c r="C258" i="12"/>
  <c r="C305" i="12" s="1"/>
  <c r="B258" i="12"/>
  <c r="B305" i="12" s="1"/>
  <c r="R257" i="12"/>
  <c r="R304" i="12" s="1"/>
  <c r="Q257" i="12"/>
  <c r="Q304" i="12" s="1"/>
  <c r="P257" i="12"/>
  <c r="P304" i="12" s="1"/>
  <c r="O257" i="12"/>
  <c r="N257" i="12"/>
  <c r="N304" i="12" s="1"/>
  <c r="M257" i="12"/>
  <c r="M304" i="12" s="1"/>
  <c r="J257" i="12"/>
  <c r="J304" i="12" s="1"/>
  <c r="I257" i="12"/>
  <c r="I304" i="12" s="1"/>
  <c r="H257" i="12"/>
  <c r="H304" i="12" s="1"/>
  <c r="G257" i="12"/>
  <c r="G304" i="12" s="1"/>
  <c r="F257" i="12"/>
  <c r="E257" i="12"/>
  <c r="E304" i="12" s="1"/>
  <c r="D257" i="12"/>
  <c r="D304" i="12" s="1"/>
  <c r="C257" i="12"/>
  <c r="C304" i="12" s="1"/>
  <c r="B257" i="12"/>
  <c r="B304" i="12" s="1"/>
  <c r="R256" i="12"/>
  <c r="R303" i="12" s="1"/>
  <c r="Q256" i="12"/>
  <c r="P256" i="12"/>
  <c r="P303" i="12" s="1"/>
  <c r="O256" i="12"/>
  <c r="O303" i="12" s="1"/>
  <c r="N256" i="12"/>
  <c r="N303" i="12" s="1"/>
  <c r="M256" i="12"/>
  <c r="J256" i="12"/>
  <c r="J303" i="12" s="1"/>
  <c r="I256" i="12"/>
  <c r="I303" i="12" s="1"/>
  <c r="H256" i="12"/>
  <c r="G256" i="12"/>
  <c r="F256" i="12"/>
  <c r="F303" i="12" s="1"/>
  <c r="E256" i="12"/>
  <c r="D256" i="12"/>
  <c r="C256" i="12"/>
  <c r="C303" i="12" s="1"/>
  <c r="B256" i="12"/>
  <c r="B303" i="12" s="1"/>
  <c r="R255" i="12"/>
  <c r="R302" i="12" s="1"/>
  <c r="Q255" i="12"/>
  <c r="Q302" i="12" s="1"/>
  <c r="P255" i="12"/>
  <c r="P302" i="12" s="1"/>
  <c r="O255" i="12"/>
  <c r="O302" i="12" s="1"/>
  <c r="N255" i="12"/>
  <c r="N302" i="12" s="1"/>
  <c r="M255" i="12"/>
  <c r="M302" i="12" s="1"/>
  <c r="J255" i="12"/>
  <c r="J302" i="12" s="1"/>
  <c r="I255" i="12"/>
  <c r="I302" i="12" s="1"/>
  <c r="H255" i="12"/>
  <c r="H302" i="12" s="1"/>
  <c r="G255" i="12"/>
  <c r="G302" i="12" s="1"/>
  <c r="F255" i="12"/>
  <c r="F302" i="12" s="1"/>
  <c r="E255" i="12"/>
  <c r="E302" i="12" s="1"/>
  <c r="D255" i="12"/>
  <c r="C255" i="12"/>
  <c r="C302" i="12" s="1"/>
  <c r="B255" i="12"/>
  <c r="B302" i="12" s="1"/>
  <c r="R254" i="12"/>
  <c r="R301" i="12" s="1"/>
  <c r="Q254" i="12"/>
  <c r="Q301" i="12" s="1"/>
  <c r="P254" i="12"/>
  <c r="P301" i="12" s="1"/>
  <c r="O254" i="12"/>
  <c r="O301" i="12" s="1"/>
  <c r="N254" i="12"/>
  <c r="N301" i="12" s="1"/>
  <c r="M254" i="12"/>
  <c r="M301" i="12" s="1"/>
  <c r="J254" i="12"/>
  <c r="J301" i="12" s="1"/>
  <c r="I254" i="12"/>
  <c r="H254" i="12"/>
  <c r="H301" i="12" s="1"/>
  <c r="G254" i="12"/>
  <c r="G301" i="12" s="1"/>
  <c r="F254" i="12"/>
  <c r="F301" i="12" s="1"/>
  <c r="E254" i="12"/>
  <c r="D254" i="12"/>
  <c r="D301" i="12" s="1"/>
  <c r="C254" i="12"/>
  <c r="C301" i="12" s="1"/>
  <c r="B254" i="12"/>
  <c r="B301" i="12" s="1"/>
  <c r="R253" i="12"/>
  <c r="R300" i="12" s="1"/>
  <c r="Q253" i="12"/>
  <c r="Q300" i="12" s="1"/>
  <c r="P253" i="12"/>
  <c r="P300" i="12" s="1"/>
  <c r="O253" i="12"/>
  <c r="O300" i="12" s="1"/>
  <c r="N253" i="12"/>
  <c r="N300" i="12" s="1"/>
  <c r="M253" i="12"/>
  <c r="M300" i="12" s="1"/>
  <c r="J253" i="12"/>
  <c r="J300" i="12" s="1"/>
  <c r="I253" i="12"/>
  <c r="I300" i="12" s="1"/>
  <c r="H253" i="12"/>
  <c r="H300" i="12" s="1"/>
  <c r="G253" i="12"/>
  <c r="G300" i="12" s="1"/>
  <c r="F253" i="12"/>
  <c r="F300" i="12" s="1"/>
  <c r="E253" i="12"/>
  <c r="E300" i="12" s="1"/>
  <c r="D253" i="12"/>
  <c r="D300" i="12" s="1"/>
  <c r="C253" i="12"/>
  <c r="C300" i="12" s="1"/>
  <c r="B253" i="12"/>
  <c r="B300" i="12" s="1"/>
  <c r="R252" i="12"/>
  <c r="R299" i="12" s="1"/>
  <c r="Q252" i="12"/>
  <c r="Q299" i="12" s="1"/>
  <c r="P252" i="12"/>
  <c r="P299" i="12" s="1"/>
  <c r="O252" i="12"/>
  <c r="O299" i="12" s="1"/>
  <c r="N252" i="12"/>
  <c r="N299" i="12" s="1"/>
  <c r="M252" i="12"/>
  <c r="M299" i="12" s="1"/>
  <c r="J252" i="12"/>
  <c r="J299" i="12" s="1"/>
  <c r="I252" i="12"/>
  <c r="I299" i="12" s="1"/>
  <c r="H252" i="12"/>
  <c r="H299" i="12" s="1"/>
  <c r="G252" i="12"/>
  <c r="F252" i="12"/>
  <c r="F299" i="12" s="1"/>
  <c r="E252" i="12"/>
  <c r="E299" i="12" s="1"/>
  <c r="D252" i="12"/>
  <c r="D299" i="12" s="1"/>
  <c r="C252" i="12"/>
  <c r="C299" i="12" s="1"/>
  <c r="B252" i="12"/>
  <c r="B299" i="12" s="1"/>
  <c r="R251" i="12"/>
  <c r="R298" i="12" s="1"/>
  <c r="Q251" i="12"/>
  <c r="P251" i="12"/>
  <c r="P298" i="12" s="1"/>
  <c r="O251" i="12"/>
  <c r="O298" i="12" s="1"/>
  <c r="N251" i="12"/>
  <c r="N298" i="12" s="1"/>
  <c r="M251" i="12"/>
  <c r="M298" i="12" s="1"/>
  <c r="J251" i="12"/>
  <c r="J298" i="12" s="1"/>
  <c r="I251" i="12"/>
  <c r="I298" i="12" s="1"/>
  <c r="H251" i="12"/>
  <c r="H298" i="12" s="1"/>
  <c r="G251" i="12"/>
  <c r="G298" i="12" s="1"/>
  <c r="F251" i="12"/>
  <c r="E251" i="12"/>
  <c r="E298" i="12" s="1"/>
  <c r="D251" i="12"/>
  <c r="D298" i="12" s="1"/>
  <c r="C251" i="12"/>
  <c r="C298" i="12" s="1"/>
  <c r="B251" i="12"/>
  <c r="B298" i="12" s="1"/>
  <c r="R250" i="12"/>
  <c r="R297" i="12" s="1"/>
  <c r="Q250" i="12"/>
  <c r="Q297" i="12" s="1"/>
  <c r="P250" i="12"/>
  <c r="P297" i="12" s="1"/>
  <c r="O250" i="12"/>
  <c r="O297" i="12" s="1"/>
  <c r="N250" i="12"/>
  <c r="N297" i="12" s="1"/>
  <c r="M250" i="12"/>
  <c r="M297" i="12" s="1"/>
  <c r="J250" i="12"/>
  <c r="J297" i="12" s="1"/>
  <c r="I250" i="12"/>
  <c r="I297" i="12" s="1"/>
  <c r="H250" i="12"/>
  <c r="H297" i="12" s="1"/>
  <c r="G250" i="12"/>
  <c r="G297" i="12" s="1"/>
  <c r="F250" i="12"/>
  <c r="F297" i="12" s="1"/>
  <c r="E250" i="12"/>
  <c r="E297" i="12" s="1"/>
  <c r="D250" i="12"/>
  <c r="D297" i="12" s="1"/>
  <c r="C250" i="12"/>
  <c r="C297" i="12" s="1"/>
  <c r="B250" i="12"/>
  <c r="B297" i="12" s="1"/>
  <c r="R249" i="12"/>
  <c r="R296" i="12" s="1"/>
  <c r="Q249" i="12"/>
  <c r="Q296" i="12" s="1"/>
  <c r="P249" i="12"/>
  <c r="P296" i="12" s="1"/>
  <c r="O249" i="12"/>
  <c r="O296" i="12" s="1"/>
  <c r="N249" i="12"/>
  <c r="N296" i="12" s="1"/>
  <c r="M249" i="12"/>
  <c r="M296" i="12" s="1"/>
  <c r="J249" i="12"/>
  <c r="J296" i="12" s="1"/>
  <c r="I249" i="12"/>
  <c r="I296" i="12" s="1"/>
  <c r="H249" i="12"/>
  <c r="H296" i="12" s="1"/>
  <c r="G249" i="12"/>
  <c r="G296" i="12" s="1"/>
  <c r="F249" i="12"/>
  <c r="F296" i="12" s="1"/>
  <c r="E249" i="12"/>
  <c r="E296" i="12" s="1"/>
  <c r="D249" i="12"/>
  <c r="D296" i="12" s="1"/>
  <c r="C249" i="12"/>
  <c r="C296" i="12" s="1"/>
  <c r="B249" i="12"/>
  <c r="B296" i="12" s="1"/>
  <c r="R248" i="12"/>
  <c r="R295" i="12" s="1"/>
  <c r="Q248" i="12"/>
  <c r="Q295" i="12" s="1"/>
  <c r="P248" i="12"/>
  <c r="P295" i="12" s="1"/>
  <c r="O248" i="12"/>
  <c r="O295" i="12" s="1"/>
  <c r="N248" i="12"/>
  <c r="N295" i="12" s="1"/>
  <c r="M248" i="12"/>
  <c r="M295" i="12" s="1"/>
  <c r="J248" i="12"/>
  <c r="J295" i="12" s="1"/>
  <c r="I248" i="12"/>
  <c r="I295" i="12" s="1"/>
  <c r="H248" i="12"/>
  <c r="H295" i="12" s="1"/>
  <c r="G248" i="12"/>
  <c r="G295" i="12" s="1"/>
  <c r="F248" i="12"/>
  <c r="F295" i="12" s="1"/>
  <c r="E248" i="12"/>
  <c r="E295" i="12" s="1"/>
  <c r="D248" i="12"/>
  <c r="D295" i="12" s="1"/>
  <c r="C248" i="12"/>
  <c r="C295" i="12" s="1"/>
  <c r="B248" i="12"/>
  <c r="B295" i="12" s="1"/>
  <c r="R247" i="12"/>
  <c r="R294" i="12" s="1"/>
  <c r="Q247" i="12"/>
  <c r="Q294" i="12" s="1"/>
  <c r="P247" i="12"/>
  <c r="P294" i="12" s="1"/>
  <c r="O247" i="12"/>
  <c r="O294" i="12" s="1"/>
  <c r="N247" i="12"/>
  <c r="N294" i="12" s="1"/>
  <c r="M247" i="12"/>
  <c r="M294" i="12" s="1"/>
  <c r="J247" i="12"/>
  <c r="J294" i="12" s="1"/>
  <c r="I247" i="12"/>
  <c r="I294" i="12" s="1"/>
  <c r="H247" i="12"/>
  <c r="G247" i="12"/>
  <c r="G294" i="12" s="1"/>
  <c r="F247" i="12"/>
  <c r="F294" i="12" s="1"/>
  <c r="E247" i="12"/>
  <c r="E294" i="12" s="1"/>
  <c r="D247" i="12"/>
  <c r="D294" i="12" s="1"/>
  <c r="C247" i="12"/>
  <c r="C294" i="12" s="1"/>
  <c r="B247" i="12"/>
  <c r="B294" i="12" s="1"/>
  <c r="R246" i="12"/>
  <c r="Q246" i="12"/>
  <c r="Q293" i="12" s="1"/>
  <c r="P246" i="12"/>
  <c r="O246" i="12"/>
  <c r="O293" i="12" s="1"/>
  <c r="N246" i="12"/>
  <c r="M246" i="12"/>
  <c r="M293" i="12" s="1"/>
  <c r="J246" i="12"/>
  <c r="I246" i="12"/>
  <c r="H246" i="12"/>
  <c r="H293" i="12" s="1"/>
  <c r="G246" i="12"/>
  <c r="G293" i="12" s="1"/>
  <c r="F246" i="12"/>
  <c r="F293" i="12" s="1"/>
  <c r="E246" i="12"/>
  <c r="D246" i="12"/>
  <c r="D293" i="12" s="1"/>
  <c r="C246" i="12"/>
  <c r="C293" i="12" s="1"/>
  <c r="B246" i="12"/>
  <c r="B293" i="12" s="1"/>
  <c r="R245" i="12"/>
  <c r="R292" i="12" s="1"/>
  <c r="Q245" i="12"/>
  <c r="Q292" i="12" s="1"/>
  <c r="P245" i="12"/>
  <c r="P292" i="12" s="1"/>
  <c r="O245" i="12"/>
  <c r="O292" i="12" s="1"/>
  <c r="N245" i="12"/>
  <c r="N292" i="12" s="1"/>
  <c r="M245" i="12"/>
  <c r="M292" i="12" s="1"/>
  <c r="J245" i="12"/>
  <c r="J292" i="12" s="1"/>
  <c r="I245" i="12"/>
  <c r="I292" i="12" s="1"/>
  <c r="H245" i="12"/>
  <c r="H292" i="12" s="1"/>
  <c r="G245" i="12"/>
  <c r="G292" i="12" s="1"/>
  <c r="F245" i="12"/>
  <c r="F292" i="12" s="1"/>
  <c r="E245" i="12"/>
  <c r="E292" i="12" s="1"/>
  <c r="D245" i="12"/>
  <c r="D292" i="12" s="1"/>
  <c r="C245" i="12"/>
  <c r="C292" i="12" s="1"/>
  <c r="B245" i="12"/>
  <c r="B292" i="12" s="1"/>
  <c r="R244" i="12"/>
  <c r="R291" i="12" s="1"/>
  <c r="Q244" i="12"/>
  <c r="Q291" i="12" s="1"/>
  <c r="P244" i="12"/>
  <c r="P291" i="12" s="1"/>
  <c r="O244" i="12"/>
  <c r="O291" i="12" s="1"/>
  <c r="N244" i="12"/>
  <c r="N291" i="12" s="1"/>
  <c r="M244" i="12"/>
  <c r="M291" i="12" s="1"/>
  <c r="J244" i="12"/>
  <c r="J291" i="12" s="1"/>
  <c r="I244" i="12"/>
  <c r="I291" i="12" s="1"/>
  <c r="H244" i="12"/>
  <c r="H291" i="12" s="1"/>
  <c r="G244" i="12"/>
  <c r="G291" i="12" s="1"/>
  <c r="F244" i="12"/>
  <c r="F291" i="12" s="1"/>
  <c r="E244" i="12"/>
  <c r="E291" i="12" s="1"/>
  <c r="D244" i="12"/>
  <c r="D291" i="12" s="1"/>
  <c r="C244" i="12"/>
  <c r="C291" i="12" s="1"/>
  <c r="B244" i="12"/>
  <c r="B291" i="12" s="1"/>
  <c r="R243" i="12"/>
  <c r="R290" i="12" s="1"/>
  <c r="Q243" i="12"/>
  <c r="Q290" i="12" s="1"/>
  <c r="P243" i="12"/>
  <c r="P290" i="12" s="1"/>
  <c r="O243" i="12"/>
  <c r="O290" i="12" s="1"/>
  <c r="N243" i="12"/>
  <c r="N290" i="12" s="1"/>
  <c r="M243" i="12"/>
  <c r="M290" i="12" s="1"/>
  <c r="J243" i="12"/>
  <c r="J290" i="12" s="1"/>
  <c r="I243" i="12"/>
  <c r="I290" i="12" s="1"/>
  <c r="H243" i="12"/>
  <c r="H290" i="12" s="1"/>
  <c r="G243" i="12"/>
  <c r="G290" i="12" s="1"/>
  <c r="F243" i="12"/>
  <c r="F290" i="12" s="1"/>
  <c r="E243" i="12"/>
  <c r="E290" i="12" s="1"/>
  <c r="D243" i="12"/>
  <c r="D290" i="12" s="1"/>
  <c r="C243" i="12"/>
  <c r="C290" i="12" s="1"/>
  <c r="B243" i="12"/>
  <c r="B290" i="12" s="1"/>
  <c r="R242" i="12"/>
  <c r="R289" i="12" s="1"/>
  <c r="Q242" i="12"/>
  <c r="Q289" i="12" s="1"/>
  <c r="P242" i="12"/>
  <c r="P289" i="12" s="1"/>
  <c r="O242" i="12"/>
  <c r="O289" i="12" s="1"/>
  <c r="N242" i="12"/>
  <c r="N289" i="12" s="1"/>
  <c r="M242" i="12"/>
  <c r="M289" i="12" s="1"/>
  <c r="J242" i="12"/>
  <c r="J289" i="12" s="1"/>
  <c r="I242" i="12"/>
  <c r="I289" i="12" s="1"/>
  <c r="H242" i="12"/>
  <c r="H289" i="12" s="1"/>
  <c r="G242" i="12"/>
  <c r="G289" i="12" s="1"/>
  <c r="F242" i="12"/>
  <c r="F289" i="12" s="1"/>
  <c r="E242" i="12"/>
  <c r="E289" i="12" s="1"/>
  <c r="D242" i="12"/>
  <c r="D289" i="12" s="1"/>
  <c r="C242" i="12"/>
  <c r="C289" i="12" s="1"/>
  <c r="B242" i="12"/>
  <c r="B289" i="12" s="1"/>
  <c r="R241" i="12"/>
  <c r="R288" i="12" s="1"/>
  <c r="Q241" i="12"/>
  <c r="Q288" i="12" s="1"/>
  <c r="P241" i="12"/>
  <c r="P288" i="12" s="1"/>
  <c r="O241" i="12"/>
  <c r="O288" i="12" s="1"/>
  <c r="N241" i="12"/>
  <c r="N288" i="12" s="1"/>
  <c r="M241" i="12"/>
  <c r="M288" i="12" s="1"/>
  <c r="J241" i="12"/>
  <c r="J288" i="12" s="1"/>
  <c r="I241" i="12"/>
  <c r="I288" i="12" s="1"/>
  <c r="H241" i="12"/>
  <c r="H288" i="12" s="1"/>
  <c r="G241" i="12"/>
  <c r="G288" i="12" s="1"/>
  <c r="F241" i="12"/>
  <c r="F288" i="12" s="1"/>
  <c r="E241" i="12"/>
  <c r="E288" i="12" s="1"/>
  <c r="D241" i="12"/>
  <c r="D288" i="12" s="1"/>
  <c r="C241" i="12"/>
  <c r="C288" i="12" s="1"/>
  <c r="B241" i="12"/>
  <c r="B288" i="12" s="1"/>
  <c r="S496" i="12"/>
  <c r="K238" i="12"/>
  <c r="K496" i="12" s="1"/>
  <c r="K235" i="12"/>
  <c r="K493" i="12" s="1"/>
  <c r="S234" i="12"/>
  <c r="S492" i="12" s="1"/>
  <c r="K234" i="12"/>
  <c r="K492" i="12" s="1"/>
  <c r="S233" i="12"/>
  <c r="S491" i="12" s="1"/>
  <c r="K233" i="12"/>
  <c r="K491" i="12" s="1"/>
  <c r="S232" i="12"/>
  <c r="S490" i="12" s="1"/>
  <c r="K232" i="12"/>
  <c r="K490" i="12" s="1"/>
  <c r="S231" i="12"/>
  <c r="S489" i="12" s="1"/>
  <c r="K231" i="12"/>
  <c r="K489" i="12" s="1"/>
  <c r="S230" i="12"/>
  <c r="S488" i="12" s="1"/>
  <c r="K230" i="12"/>
  <c r="K488" i="12" s="1"/>
  <c r="S229" i="12"/>
  <c r="K229" i="12"/>
  <c r="K487" i="12" s="1"/>
  <c r="S228" i="12"/>
  <c r="S486" i="12" s="1"/>
  <c r="K228" i="12"/>
  <c r="K486" i="12" s="1"/>
  <c r="S227" i="12"/>
  <c r="K227" i="12"/>
  <c r="K485" i="12" s="1"/>
  <c r="S226" i="12"/>
  <c r="K226" i="12"/>
  <c r="K484" i="12" s="1"/>
  <c r="S225" i="12"/>
  <c r="K225" i="12"/>
  <c r="K483" i="12" s="1"/>
  <c r="S224" i="12"/>
  <c r="S482" i="12" s="1"/>
  <c r="K224" i="12"/>
  <c r="K482" i="12" s="1"/>
  <c r="S223" i="12"/>
  <c r="K223" i="12"/>
  <c r="S222" i="12"/>
  <c r="K222" i="12"/>
  <c r="S221" i="12"/>
  <c r="K221" i="12"/>
  <c r="S220" i="12"/>
  <c r="K220" i="12"/>
  <c r="S219" i="12"/>
  <c r="K219" i="12"/>
  <c r="S218" i="12"/>
  <c r="K218" i="12"/>
  <c r="S217" i="12"/>
  <c r="K217" i="12"/>
  <c r="S216" i="12"/>
  <c r="K216" i="12"/>
  <c r="S215" i="12"/>
  <c r="K215" i="12"/>
  <c r="S214" i="12"/>
  <c r="K214" i="12"/>
  <c r="S213" i="12"/>
  <c r="K213" i="12"/>
  <c r="S212" i="12"/>
  <c r="S259" i="12" s="1"/>
  <c r="S306" i="12" s="1"/>
  <c r="K212" i="12"/>
  <c r="S211" i="12"/>
  <c r="K211" i="12"/>
  <c r="S210" i="12"/>
  <c r="K210" i="12"/>
  <c r="S209" i="12"/>
  <c r="K209" i="12"/>
  <c r="S208" i="12"/>
  <c r="K208" i="12"/>
  <c r="S207" i="12"/>
  <c r="K207" i="12"/>
  <c r="S206" i="12"/>
  <c r="K206" i="12"/>
  <c r="S205" i="12"/>
  <c r="K205" i="12"/>
  <c r="S204" i="12"/>
  <c r="K204" i="12"/>
  <c r="S203" i="12"/>
  <c r="K203" i="12"/>
  <c r="S202" i="12"/>
  <c r="K202" i="12"/>
  <c r="S201" i="12"/>
  <c r="K201" i="12"/>
  <c r="S200" i="12"/>
  <c r="K200" i="12"/>
  <c r="S199" i="12"/>
  <c r="K199" i="12"/>
  <c r="S198" i="12"/>
  <c r="K198" i="12"/>
  <c r="S197" i="12"/>
  <c r="K197" i="12"/>
  <c r="S196" i="12"/>
  <c r="K196" i="12"/>
  <c r="S195" i="12"/>
  <c r="K195" i="12"/>
  <c r="S194" i="12"/>
  <c r="K194" i="12"/>
  <c r="S191" i="12"/>
  <c r="S470" i="12" s="1"/>
  <c r="K191" i="12"/>
  <c r="K470" i="12" s="1"/>
  <c r="S188" i="12"/>
  <c r="S467" i="12" s="1"/>
  <c r="K188" i="12"/>
  <c r="K467" i="12" s="1"/>
  <c r="S187" i="12"/>
  <c r="S466" i="12" s="1"/>
  <c r="K187" i="12"/>
  <c r="K466" i="12" s="1"/>
  <c r="S186" i="12"/>
  <c r="S465" i="12" s="1"/>
  <c r="K186" i="12"/>
  <c r="K465" i="12" s="1"/>
  <c r="S185" i="12"/>
  <c r="S464" i="12" s="1"/>
  <c r="K185" i="12"/>
  <c r="K464" i="12" s="1"/>
  <c r="S184" i="12"/>
  <c r="S463" i="12" s="1"/>
  <c r="K184" i="12"/>
  <c r="K463" i="12" s="1"/>
  <c r="S183" i="12"/>
  <c r="S462" i="12" s="1"/>
  <c r="K183" i="12"/>
  <c r="K462" i="12" s="1"/>
  <c r="S182" i="12"/>
  <c r="S461" i="12" s="1"/>
  <c r="K182" i="12"/>
  <c r="K461" i="12" s="1"/>
  <c r="S181" i="12"/>
  <c r="S460" i="12" s="1"/>
  <c r="K181" i="12"/>
  <c r="K460" i="12" s="1"/>
  <c r="S180" i="12"/>
  <c r="S459" i="12" s="1"/>
  <c r="K180" i="12"/>
  <c r="K459" i="12" s="1"/>
  <c r="S179" i="12"/>
  <c r="S458" i="12" s="1"/>
  <c r="K179" i="12"/>
  <c r="K458" i="12" s="1"/>
  <c r="S178" i="12"/>
  <c r="S457" i="12" s="1"/>
  <c r="K178" i="12"/>
  <c r="K457" i="12" s="1"/>
  <c r="S177" i="12"/>
  <c r="S456" i="12" s="1"/>
  <c r="K177" i="12"/>
  <c r="K456" i="12" s="1"/>
  <c r="S176" i="12"/>
  <c r="K176" i="12"/>
  <c r="S175" i="12"/>
  <c r="K175" i="12"/>
  <c r="S174" i="12"/>
  <c r="K174" i="12"/>
  <c r="S173" i="12"/>
  <c r="K173" i="12"/>
  <c r="S172" i="12"/>
  <c r="K172" i="12"/>
  <c r="S171" i="12"/>
  <c r="K171" i="12"/>
  <c r="S170" i="12"/>
  <c r="K170" i="12"/>
  <c r="K169" i="12"/>
  <c r="S168" i="12"/>
  <c r="K168" i="12"/>
  <c r="S167" i="12"/>
  <c r="K167" i="12"/>
  <c r="K166" i="12"/>
  <c r="K165" i="12"/>
  <c r="S164" i="12"/>
  <c r="K164" i="12"/>
  <c r="S163" i="12"/>
  <c r="K163" i="12"/>
  <c r="S162" i="12"/>
  <c r="K162" i="12"/>
  <c r="S161" i="12"/>
  <c r="K161" i="12"/>
  <c r="S160" i="12"/>
  <c r="K160" i="12"/>
  <c r="S159" i="12"/>
  <c r="K159" i="12"/>
  <c r="S158" i="12"/>
  <c r="K158" i="12"/>
  <c r="S157" i="12"/>
  <c r="K157" i="12"/>
  <c r="S156" i="12"/>
  <c r="K156" i="12"/>
  <c r="S155" i="12"/>
  <c r="K155" i="12"/>
  <c r="S154" i="12"/>
  <c r="K154" i="12"/>
  <c r="S153" i="12"/>
  <c r="K153" i="12"/>
  <c r="S152" i="12"/>
  <c r="K152" i="12"/>
  <c r="S151" i="12"/>
  <c r="K151" i="12"/>
  <c r="S150" i="12"/>
  <c r="K150" i="12"/>
  <c r="S149" i="12"/>
  <c r="K149" i="12"/>
  <c r="S148" i="12"/>
  <c r="K148" i="12"/>
  <c r="S147" i="12"/>
  <c r="K147" i="12"/>
  <c r="S144" i="12"/>
  <c r="S448" i="12" s="1"/>
  <c r="K144" i="12"/>
  <c r="K448" i="12" s="1"/>
  <c r="S141" i="12"/>
  <c r="S445" i="12" s="1"/>
  <c r="K141" i="12"/>
  <c r="K445" i="12" s="1"/>
  <c r="S140" i="12"/>
  <c r="S444" i="12" s="1"/>
  <c r="K140" i="12"/>
  <c r="K444" i="12" s="1"/>
  <c r="S139" i="12"/>
  <c r="S443" i="12" s="1"/>
  <c r="K139" i="12"/>
  <c r="K443" i="12" s="1"/>
  <c r="S138" i="12"/>
  <c r="S442" i="12" s="1"/>
  <c r="K138" i="12"/>
  <c r="S137" i="12"/>
  <c r="S441" i="12" s="1"/>
  <c r="K137" i="12"/>
  <c r="K441" i="12" s="1"/>
  <c r="S136" i="12"/>
  <c r="S440" i="12" s="1"/>
  <c r="K136" i="12"/>
  <c r="K440" i="12" s="1"/>
  <c r="S135" i="12"/>
  <c r="S439" i="12" s="1"/>
  <c r="K135" i="12"/>
  <c r="K439" i="12" s="1"/>
  <c r="S134" i="12"/>
  <c r="S438" i="12" s="1"/>
  <c r="K134" i="12"/>
  <c r="K438" i="12" s="1"/>
  <c r="S133" i="12"/>
  <c r="S437" i="12" s="1"/>
  <c r="K133" i="12"/>
  <c r="K437" i="12" s="1"/>
  <c r="S132" i="12"/>
  <c r="S436" i="12" s="1"/>
  <c r="K132" i="12"/>
  <c r="S131" i="12"/>
  <c r="S435" i="12" s="1"/>
  <c r="K131" i="12"/>
  <c r="K435" i="12" s="1"/>
  <c r="S130" i="12"/>
  <c r="S434" i="12" s="1"/>
  <c r="K130" i="12"/>
  <c r="K434" i="12" s="1"/>
  <c r="S129" i="12"/>
  <c r="K129" i="12"/>
  <c r="S128" i="12"/>
  <c r="K128" i="12"/>
  <c r="S127" i="12"/>
  <c r="K127" i="12"/>
  <c r="S126" i="12"/>
  <c r="K126" i="12"/>
  <c r="S125" i="12"/>
  <c r="K125" i="12"/>
  <c r="S124" i="12"/>
  <c r="K124" i="12"/>
  <c r="S123" i="12"/>
  <c r="K123" i="12"/>
  <c r="S122" i="12"/>
  <c r="K122" i="12"/>
  <c r="S121" i="12"/>
  <c r="K121" i="12"/>
  <c r="S120" i="12"/>
  <c r="K120" i="12"/>
  <c r="S119" i="12"/>
  <c r="K119" i="12"/>
  <c r="K118" i="12"/>
  <c r="S117" i="12"/>
  <c r="K117" i="12"/>
  <c r="S116" i="12"/>
  <c r="K116" i="12"/>
  <c r="S115" i="12"/>
  <c r="K115" i="12"/>
  <c r="S114" i="12"/>
  <c r="K114" i="12"/>
  <c r="S113" i="12"/>
  <c r="K113" i="12"/>
  <c r="S112" i="12"/>
  <c r="K112" i="12"/>
  <c r="S111" i="12"/>
  <c r="K111" i="12"/>
  <c r="S110" i="12"/>
  <c r="K110" i="12"/>
  <c r="S109" i="12"/>
  <c r="K109" i="12"/>
  <c r="S108" i="12"/>
  <c r="K108" i="12"/>
  <c r="S107" i="12"/>
  <c r="K107" i="12"/>
  <c r="S106" i="12"/>
  <c r="K106" i="12"/>
  <c r="S105" i="12"/>
  <c r="K105" i="12"/>
  <c r="S104" i="12"/>
  <c r="K104" i="12"/>
  <c r="S103" i="12"/>
  <c r="K103" i="12"/>
  <c r="S102" i="12"/>
  <c r="K102" i="12"/>
  <c r="S101" i="12"/>
  <c r="K101" i="12"/>
  <c r="S100" i="12"/>
  <c r="K100" i="12"/>
  <c r="S97" i="12"/>
  <c r="S422" i="12" s="1"/>
  <c r="K97" i="12"/>
  <c r="K422" i="12" s="1"/>
  <c r="S94" i="12"/>
  <c r="S419" i="12" s="1"/>
  <c r="K94" i="12"/>
  <c r="S93" i="12"/>
  <c r="S418" i="12" s="1"/>
  <c r="K93" i="12"/>
  <c r="K418" i="12" s="1"/>
  <c r="S92" i="12"/>
  <c r="S417" i="12" s="1"/>
  <c r="K92" i="12"/>
  <c r="K417" i="12" s="1"/>
  <c r="S91" i="12"/>
  <c r="S416" i="12" s="1"/>
  <c r="K91" i="12"/>
  <c r="K416" i="12" s="1"/>
  <c r="S90" i="12"/>
  <c r="S415" i="12" s="1"/>
  <c r="K90" i="12"/>
  <c r="S89" i="12"/>
  <c r="S414" i="12" s="1"/>
  <c r="K89" i="12"/>
  <c r="K414" i="12" s="1"/>
  <c r="S88" i="12"/>
  <c r="S413" i="12" s="1"/>
  <c r="K88" i="12"/>
  <c r="S87" i="12"/>
  <c r="S412" i="12" s="1"/>
  <c r="K87" i="12"/>
  <c r="K412" i="12" s="1"/>
  <c r="S86" i="12"/>
  <c r="S411" i="12" s="1"/>
  <c r="K86" i="12"/>
  <c r="S85" i="12"/>
  <c r="S410" i="12" s="1"/>
  <c r="K85" i="12"/>
  <c r="K410" i="12" s="1"/>
  <c r="S84" i="12"/>
  <c r="S409" i="12" s="1"/>
  <c r="K84" i="12"/>
  <c r="K409" i="12" s="1"/>
  <c r="S83" i="12"/>
  <c r="S408" i="12" s="1"/>
  <c r="K83" i="12"/>
  <c r="K408" i="12" s="1"/>
  <c r="S82" i="12"/>
  <c r="K82" i="12"/>
  <c r="S81" i="12"/>
  <c r="K81" i="12"/>
  <c r="S80" i="12"/>
  <c r="K80" i="12"/>
  <c r="S79" i="12"/>
  <c r="K79" i="12"/>
  <c r="S78" i="12"/>
  <c r="K78" i="12"/>
  <c r="S77" i="12"/>
  <c r="K77" i="12"/>
  <c r="S76" i="12"/>
  <c r="K76" i="12"/>
  <c r="S75" i="12"/>
  <c r="K75" i="12"/>
  <c r="S74" i="12"/>
  <c r="K74" i="12"/>
  <c r="S73" i="12"/>
  <c r="K73" i="12"/>
  <c r="S72" i="12"/>
  <c r="K72" i="12"/>
  <c r="K71" i="12"/>
  <c r="S70" i="12"/>
  <c r="K70" i="12"/>
  <c r="S69" i="12"/>
  <c r="K69" i="12"/>
  <c r="S68" i="12"/>
  <c r="K68" i="12"/>
  <c r="S67" i="12"/>
  <c r="K67" i="12"/>
  <c r="S66" i="12"/>
  <c r="K66" i="12"/>
  <c r="S65" i="12"/>
  <c r="K65" i="12"/>
  <c r="S64" i="12"/>
  <c r="K64" i="12"/>
  <c r="S63" i="12"/>
  <c r="K63" i="12"/>
  <c r="S62" i="12"/>
  <c r="K62" i="12"/>
  <c r="S61" i="12"/>
  <c r="K61" i="12"/>
  <c r="S60" i="12"/>
  <c r="K60" i="12"/>
  <c r="S59" i="12"/>
  <c r="K59" i="12"/>
  <c r="S58" i="12"/>
  <c r="K58" i="12"/>
  <c r="S57" i="12"/>
  <c r="K57" i="12"/>
  <c r="S56" i="12"/>
  <c r="K56" i="12"/>
  <c r="S55" i="12"/>
  <c r="K55" i="12"/>
  <c r="S54" i="12"/>
  <c r="K54" i="12"/>
  <c r="S53" i="12"/>
  <c r="K53" i="12"/>
  <c r="S50" i="12"/>
  <c r="K50" i="12"/>
  <c r="S47" i="12"/>
  <c r="K47" i="12"/>
  <c r="S46" i="12"/>
  <c r="S396" i="12" s="1"/>
  <c r="K46" i="12"/>
  <c r="K396" i="12" s="1"/>
  <c r="S45" i="12"/>
  <c r="S395" i="12" s="1"/>
  <c r="K45" i="12"/>
  <c r="K395" i="12" s="1"/>
  <c r="S44" i="12"/>
  <c r="S394" i="12" s="1"/>
  <c r="K44" i="12"/>
  <c r="K394" i="12" s="1"/>
  <c r="S43" i="12"/>
  <c r="S393" i="12" s="1"/>
  <c r="K43" i="12"/>
  <c r="S42" i="12"/>
  <c r="S392" i="12" s="1"/>
  <c r="K42" i="12"/>
  <c r="K392" i="12" s="1"/>
  <c r="S41" i="12"/>
  <c r="S391" i="12" s="1"/>
  <c r="K41" i="12"/>
  <c r="K391" i="12" s="1"/>
  <c r="S40" i="12"/>
  <c r="S390" i="12" s="1"/>
  <c r="K40" i="12"/>
  <c r="K390" i="12" s="1"/>
  <c r="S39" i="12"/>
  <c r="S389" i="12" s="1"/>
  <c r="K39" i="12"/>
  <c r="K389" i="12" s="1"/>
  <c r="S38" i="12"/>
  <c r="S388" i="12" s="1"/>
  <c r="K38" i="12"/>
  <c r="K388" i="12" s="1"/>
  <c r="S37" i="12"/>
  <c r="S387" i="12" s="1"/>
  <c r="K37" i="12"/>
  <c r="K387" i="12" s="1"/>
  <c r="S36" i="12"/>
  <c r="S386" i="12" s="1"/>
  <c r="K36" i="12"/>
  <c r="K386" i="12" s="1"/>
  <c r="S35" i="12"/>
  <c r="K35" i="12"/>
  <c r="S34" i="12"/>
  <c r="K34" i="12"/>
  <c r="S33" i="12"/>
  <c r="K33" i="12"/>
  <c r="S32" i="12"/>
  <c r="K32" i="12"/>
  <c r="S31" i="12"/>
  <c r="K31" i="12"/>
  <c r="S30" i="12"/>
  <c r="K30" i="12"/>
  <c r="S29" i="12"/>
  <c r="K29" i="12"/>
  <c r="S28" i="12"/>
  <c r="K28" i="12"/>
  <c r="S27" i="12"/>
  <c r="K27" i="12"/>
  <c r="S26" i="12"/>
  <c r="K26" i="12"/>
  <c r="S25" i="12"/>
  <c r="K25" i="12"/>
  <c r="S23" i="12"/>
  <c r="K23" i="12"/>
  <c r="S22" i="12"/>
  <c r="K22" i="12"/>
  <c r="S21" i="12"/>
  <c r="K21" i="12"/>
  <c r="S20" i="12"/>
  <c r="K20" i="12"/>
  <c r="S19" i="12"/>
  <c r="K19" i="12"/>
  <c r="S18" i="12"/>
  <c r="K18" i="12"/>
  <c r="S17" i="12"/>
  <c r="K17" i="12"/>
  <c r="S16" i="12"/>
  <c r="K16" i="12"/>
  <c r="S15" i="12"/>
  <c r="K15" i="12"/>
  <c r="S14" i="12"/>
  <c r="K14" i="12"/>
  <c r="S13" i="12"/>
  <c r="K13" i="12"/>
  <c r="S12" i="12"/>
  <c r="K12" i="12"/>
  <c r="S11" i="12"/>
  <c r="K11" i="12"/>
  <c r="S10" i="12"/>
  <c r="K10" i="12"/>
  <c r="S9" i="12"/>
  <c r="K9" i="12"/>
  <c r="S8" i="12"/>
  <c r="K8" i="12"/>
  <c r="S7" i="12"/>
  <c r="K7" i="12"/>
  <c r="S6" i="12"/>
  <c r="K6" i="12"/>
  <c r="A537" i="11"/>
  <c r="A536" i="11"/>
  <c r="J535" i="11"/>
  <c r="J532" i="11"/>
  <c r="J531" i="11"/>
  <c r="J530" i="11"/>
  <c r="J529" i="11"/>
  <c r="J528" i="11"/>
  <c r="J525" i="11"/>
  <c r="J524" i="11"/>
  <c r="J523" i="11"/>
  <c r="A515" i="11"/>
  <c r="J511" i="11"/>
  <c r="J508" i="11"/>
  <c r="J507" i="11"/>
  <c r="J506" i="11"/>
  <c r="J505" i="11"/>
  <c r="J504" i="11"/>
  <c r="J501" i="11"/>
  <c r="J500" i="11"/>
  <c r="J499" i="11"/>
  <c r="A491" i="11"/>
  <c r="J489" i="11"/>
  <c r="I489" i="11"/>
  <c r="H489" i="11"/>
  <c r="G489" i="11"/>
  <c r="F489" i="11"/>
  <c r="E489" i="11"/>
  <c r="D489" i="11"/>
  <c r="C489" i="11"/>
  <c r="B489" i="11"/>
  <c r="J486" i="11"/>
  <c r="I486" i="11"/>
  <c r="H486" i="11"/>
  <c r="G486" i="11"/>
  <c r="F486" i="11"/>
  <c r="E486" i="11"/>
  <c r="D486" i="11"/>
  <c r="C486" i="11"/>
  <c r="B486" i="11"/>
  <c r="J485" i="11"/>
  <c r="I485" i="11"/>
  <c r="H485" i="11"/>
  <c r="G485" i="11"/>
  <c r="F485" i="11"/>
  <c r="E485" i="11"/>
  <c r="D485" i="11"/>
  <c r="C485" i="11"/>
  <c r="B485" i="11"/>
  <c r="J484" i="11"/>
  <c r="I484" i="11"/>
  <c r="H484" i="11"/>
  <c r="G484" i="11"/>
  <c r="F484" i="11"/>
  <c r="E484" i="11"/>
  <c r="D484" i="11"/>
  <c r="C484" i="11"/>
  <c r="B484" i="11"/>
  <c r="J483" i="11"/>
  <c r="I483" i="11"/>
  <c r="H483" i="11"/>
  <c r="G483" i="11"/>
  <c r="F483" i="11"/>
  <c r="E483" i="11"/>
  <c r="D483" i="11"/>
  <c r="C483" i="11"/>
  <c r="B483" i="11"/>
  <c r="J482" i="11"/>
  <c r="I482" i="11"/>
  <c r="H482" i="11"/>
  <c r="G482" i="11"/>
  <c r="F482" i="11"/>
  <c r="E482" i="11"/>
  <c r="D482" i="11"/>
  <c r="C482" i="11"/>
  <c r="B482" i="11"/>
  <c r="J481" i="11"/>
  <c r="I481" i="11"/>
  <c r="H481" i="11"/>
  <c r="G481" i="11"/>
  <c r="F481" i="11"/>
  <c r="E481" i="11"/>
  <c r="D481" i="11"/>
  <c r="C481" i="11"/>
  <c r="B481" i="11"/>
  <c r="J480" i="11"/>
  <c r="I480" i="11"/>
  <c r="H480" i="11"/>
  <c r="G480" i="11"/>
  <c r="F480" i="11"/>
  <c r="E480" i="11"/>
  <c r="D480" i="11"/>
  <c r="C480" i="11"/>
  <c r="B480" i="11"/>
  <c r="J479" i="11"/>
  <c r="I479" i="11"/>
  <c r="H479" i="11"/>
  <c r="G479" i="11"/>
  <c r="F479" i="11"/>
  <c r="E479" i="11"/>
  <c r="D479" i="11"/>
  <c r="C479" i="11"/>
  <c r="B479" i="11"/>
  <c r="J478" i="11"/>
  <c r="I478" i="11"/>
  <c r="H478" i="11"/>
  <c r="G478" i="11"/>
  <c r="F478" i="11"/>
  <c r="E478" i="11"/>
  <c r="D478" i="11"/>
  <c r="C478" i="11"/>
  <c r="B478" i="11"/>
  <c r="J477" i="11"/>
  <c r="I477" i="11"/>
  <c r="H477" i="11"/>
  <c r="G477" i="11"/>
  <c r="F477" i="11"/>
  <c r="E477" i="11"/>
  <c r="D477" i="11"/>
  <c r="C477" i="11"/>
  <c r="B477" i="11"/>
  <c r="J476" i="11"/>
  <c r="I476" i="11"/>
  <c r="H476" i="11"/>
  <c r="G476" i="11"/>
  <c r="F476" i="11"/>
  <c r="E476" i="11"/>
  <c r="D476" i="11"/>
  <c r="C476" i="11"/>
  <c r="B476" i="11"/>
  <c r="J475" i="11"/>
  <c r="I475" i="11"/>
  <c r="H475" i="11"/>
  <c r="G475" i="11"/>
  <c r="F475" i="11"/>
  <c r="E475" i="11"/>
  <c r="D475" i="11"/>
  <c r="C475" i="11"/>
  <c r="B475" i="11"/>
  <c r="J474" i="11"/>
  <c r="I474" i="11"/>
  <c r="H474" i="11"/>
  <c r="G474" i="11"/>
  <c r="F474" i="11"/>
  <c r="E474" i="11"/>
  <c r="D474" i="11"/>
  <c r="C474" i="11"/>
  <c r="B474" i="11"/>
  <c r="I473" i="11"/>
  <c r="H473" i="11"/>
  <c r="G473" i="11"/>
  <c r="F473" i="11"/>
  <c r="E473" i="11"/>
  <c r="D473" i="11"/>
  <c r="I472" i="11"/>
  <c r="H472" i="11"/>
  <c r="G472" i="11"/>
  <c r="F472" i="11"/>
  <c r="E472" i="11"/>
  <c r="D472" i="11"/>
  <c r="I471" i="11"/>
  <c r="H471" i="11"/>
  <c r="G471" i="11"/>
  <c r="F471" i="11"/>
  <c r="E471" i="11"/>
  <c r="D471" i="11"/>
  <c r="J470" i="11"/>
  <c r="I470" i="11"/>
  <c r="H470" i="11"/>
  <c r="G470" i="11"/>
  <c r="F470" i="11"/>
  <c r="E470" i="11"/>
  <c r="D470" i="11"/>
  <c r="A469" i="11"/>
  <c r="J465" i="11"/>
  <c r="I465" i="11"/>
  <c r="H465" i="11"/>
  <c r="G465" i="11"/>
  <c r="F465" i="11"/>
  <c r="E465" i="11"/>
  <c r="D465" i="11"/>
  <c r="C465" i="11"/>
  <c r="B465" i="11"/>
  <c r="J462" i="11"/>
  <c r="I462" i="11"/>
  <c r="H462" i="11"/>
  <c r="G462" i="11"/>
  <c r="F462" i="11"/>
  <c r="E462" i="11"/>
  <c r="D462" i="11"/>
  <c r="C462" i="11"/>
  <c r="B462" i="11"/>
  <c r="J461" i="11"/>
  <c r="I461" i="11"/>
  <c r="H461" i="11"/>
  <c r="G461" i="11"/>
  <c r="F461" i="11"/>
  <c r="E461" i="11"/>
  <c r="D461" i="11"/>
  <c r="C461" i="11"/>
  <c r="B461" i="11"/>
  <c r="J460" i="11"/>
  <c r="I460" i="11"/>
  <c r="H460" i="11"/>
  <c r="G460" i="11"/>
  <c r="F460" i="11"/>
  <c r="E460" i="11"/>
  <c r="D460" i="11"/>
  <c r="C460" i="11"/>
  <c r="B460" i="11"/>
  <c r="J459" i="11"/>
  <c r="I459" i="11"/>
  <c r="H459" i="11"/>
  <c r="G459" i="11"/>
  <c r="F459" i="11"/>
  <c r="E459" i="11"/>
  <c r="D459" i="11"/>
  <c r="C459" i="11"/>
  <c r="B459" i="11"/>
  <c r="J458" i="11"/>
  <c r="I458" i="11"/>
  <c r="H458" i="11"/>
  <c r="G458" i="11"/>
  <c r="F458" i="11"/>
  <c r="E458" i="11"/>
  <c r="D458" i="11"/>
  <c r="C458" i="11"/>
  <c r="B458" i="11"/>
  <c r="J457" i="11"/>
  <c r="I457" i="11"/>
  <c r="H457" i="11"/>
  <c r="G457" i="11"/>
  <c r="F457" i="11"/>
  <c r="E457" i="11"/>
  <c r="D457" i="11"/>
  <c r="C457" i="11"/>
  <c r="B457" i="11"/>
  <c r="J456" i="11"/>
  <c r="I456" i="11"/>
  <c r="H456" i="11"/>
  <c r="G456" i="11"/>
  <c r="F456" i="11"/>
  <c r="E456" i="11"/>
  <c r="D456" i="11"/>
  <c r="C456" i="11"/>
  <c r="B456" i="11"/>
  <c r="J455" i="11"/>
  <c r="I455" i="11"/>
  <c r="H455" i="11"/>
  <c r="G455" i="11"/>
  <c r="F455" i="11"/>
  <c r="E455" i="11"/>
  <c r="D455" i="11"/>
  <c r="C455" i="11"/>
  <c r="B455" i="11"/>
  <c r="J454" i="11"/>
  <c r="I454" i="11"/>
  <c r="H454" i="11"/>
  <c r="G454" i="11"/>
  <c r="F454" i="11"/>
  <c r="E454" i="11"/>
  <c r="D454" i="11"/>
  <c r="C454" i="11"/>
  <c r="B454" i="11"/>
  <c r="J453" i="11"/>
  <c r="I453" i="11"/>
  <c r="H453" i="11"/>
  <c r="G453" i="11"/>
  <c r="F453" i="11"/>
  <c r="E453" i="11"/>
  <c r="D453" i="11"/>
  <c r="C453" i="11"/>
  <c r="B453" i="11"/>
  <c r="J452" i="11"/>
  <c r="I452" i="11"/>
  <c r="H452" i="11"/>
  <c r="G452" i="11"/>
  <c r="F452" i="11"/>
  <c r="E452" i="11"/>
  <c r="D452" i="11"/>
  <c r="C452" i="11"/>
  <c r="B452" i="11"/>
  <c r="J451" i="11"/>
  <c r="I451" i="11"/>
  <c r="H451" i="11"/>
  <c r="G451" i="11"/>
  <c r="F451" i="11"/>
  <c r="E451" i="11"/>
  <c r="D451" i="11"/>
  <c r="C451" i="11"/>
  <c r="B451" i="11"/>
  <c r="J450" i="11"/>
  <c r="I450" i="11"/>
  <c r="H450" i="11"/>
  <c r="G450" i="11"/>
  <c r="F450" i="11"/>
  <c r="E450" i="11"/>
  <c r="D450" i="11"/>
  <c r="C450" i="11"/>
  <c r="B450" i="11"/>
  <c r="I449" i="11"/>
  <c r="H449" i="11"/>
  <c r="G449" i="11"/>
  <c r="F449" i="11"/>
  <c r="E449" i="11"/>
  <c r="D449" i="11"/>
  <c r="I448" i="11"/>
  <c r="H448" i="11"/>
  <c r="G448" i="11"/>
  <c r="F448" i="11"/>
  <c r="E448" i="11"/>
  <c r="D448" i="11"/>
  <c r="H447" i="11"/>
  <c r="G447" i="11"/>
  <c r="F447" i="11"/>
  <c r="E447" i="11"/>
  <c r="D447" i="11"/>
  <c r="H446" i="11"/>
  <c r="G446" i="11"/>
  <c r="F446" i="11"/>
  <c r="E446" i="11"/>
  <c r="D446" i="11"/>
  <c r="A445" i="11"/>
  <c r="J443" i="11"/>
  <c r="I443" i="11"/>
  <c r="H443" i="11"/>
  <c r="G443" i="11"/>
  <c r="F443" i="11"/>
  <c r="E443" i="11"/>
  <c r="D443" i="11"/>
  <c r="C443" i="11"/>
  <c r="B443" i="11"/>
  <c r="J440" i="11"/>
  <c r="I440" i="11"/>
  <c r="H440" i="11"/>
  <c r="G440" i="11"/>
  <c r="F440" i="11"/>
  <c r="E440" i="11"/>
  <c r="D440" i="11"/>
  <c r="C440" i="11"/>
  <c r="B440" i="11"/>
  <c r="J439" i="11"/>
  <c r="I439" i="11"/>
  <c r="H439" i="11"/>
  <c r="G439" i="11"/>
  <c r="F439" i="11"/>
  <c r="E439" i="11"/>
  <c r="D439" i="11"/>
  <c r="C439" i="11"/>
  <c r="B439" i="11"/>
  <c r="J438" i="11"/>
  <c r="I438" i="11"/>
  <c r="H438" i="11"/>
  <c r="G438" i="11"/>
  <c r="F438" i="11"/>
  <c r="E438" i="11"/>
  <c r="D438" i="11"/>
  <c r="C438" i="11"/>
  <c r="B438" i="11"/>
  <c r="J437" i="11"/>
  <c r="I437" i="11"/>
  <c r="H437" i="11"/>
  <c r="G437" i="11"/>
  <c r="F437" i="11"/>
  <c r="E437" i="11"/>
  <c r="D437" i="11"/>
  <c r="C437" i="11"/>
  <c r="B437" i="11"/>
  <c r="J436" i="11"/>
  <c r="I436" i="11"/>
  <c r="H436" i="11"/>
  <c r="G436" i="11"/>
  <c r="F436" i="11"/>
  <c r="E436" i="11"/>
  <c r="D436" i="11"/>
  <c r="C436" i="11"/>
  <c r="B436" i="11"/>
  <c r="J435" i="11"/>
  <c r="I435" i="11"/>
  <c r="H435" i="11"/>
  <c r="G435" i="11"/>
  <c r="F435" i="11"/>
  <c r="E435" i="11"/>
  <c r="D435" i="11"/>
  <c r="C435" i="11"/>
  <c r="B435" i="11"/>
  <c r="J434" i="11"/>
  <c r="I434" i="11"/>
  <c r="H434" i="11"/>
  <c r="G434" i="11"/>
  <c r="F434" i="11"/>
  <c r="E434" i="11"/>
  <c r="D434" i="11"/>
  <c r="C434" i="11"/>
  <c r="B434" i="11"/>
  <c r="J433" i="11"/>
  <c r="I433" i="11"/>
  <c r="H433" i="11"/>
  <c r="G433" i="11"/>
  <c r="F433" i="11"/>
  <c r="E433" i="11"/>
  <c r="D433" i="11"/>
  <c r="C433" i="11"/>
  <c r="B433" i="11"/>
  <c r="J432" i="11"/>
  <c r="I432" i="11"/>
  <c r="H432" i="11"/>
  <c r="G432" i="11"/>
  <c r="F432" i="11"/>
  <c r="E432" i="11"/>
  <c r="D432" i="11"/>
  <c r="C432" i="11"/>
  <c r="B432" i="11"/>
  <c r="J431" i="11"/>
  <c r="I431" i="11"/>
  <c r="H431" i="11"/>
  <c r="G431" i="11"/>
  <c r="F431" i="11"/>
  <c r="E431" i="11"/>
  <c r="D431" i="11"/>
  <c r="C431" i="11"/>
  <c r="B431" i="11"/>
  <c r="J430" i="11"/>
  <c r="I430" i="11"/>
  <c r="H430" i="11"/>
  <c r="G430" i="11"/>
  <c r="F430" i="11"/>
  <c r="E430" i="11"/>
  <c r="D430" i="11"/>
  <c r="C430" i="11"/>
  <c r="B430" i="11"/>
  <c r="J429" i="11"/>
  <c r="I429" i="11"/>
  <c r="H429" i="11"/>
  <c r="G429" i="11"/>
  <c r="F429" i="11"/>
  <c r="E429" i="11"/>
  <c r="D429" i="11"/>
  <c r="C429" i="11"/>
  <c r="B429" i="11"/>
  <c r="J428" i="11"/>
  <c r="I428" i="11"/>
  <c r="H428" i="11"/>
  <c r="G428" i="11"/>
  <c r="F428" i="11"/>
  <c r="E428" i="11"/>
  <c r="D428" i="11"/>
  <c r="C428" i="11"/>
  <c r="B428" i="11"/>
  <c r="I427" i="11"/>
  <c r="H427" i="11"/>
  <c r="G427" i="11"/>
  <c r="F427" i="11"/>
  <c r="E427" i="11"/>
  <c r="D427" i="11"/>
  <c r="I426" i="11"/>
  <c r="H426" i="11"/>
  <c r="G426" i="11"/>
  <c r="F426" i="11"/>
  <c r="E426" i="11"/>
  <c r="D426" i="11"/>
  <c r="H425" i="11"/>
  <c r="G425" i="11"/>
  <c r="F425" i="11"/>
  <c r="E425" i="11"/>
  <c r="D425" i="11"/>
  <c r="H424" i="11"/>
  <c r="G424" i="11"/>
  <c r="F424" i="11"/>
  <c r="E424" i="11"/>
  <c r="D424" i="11"/>
  <c r="A423" i="11"/>
  <c r="J419" i="11"/>
  <c r="I419" i="11"/>
  <c r="H419" i="11"/>
  <c r="G419" i="11"/>
  <c r="F419" i="11"/>
  <c r="E419" i="11"/>
  <c r="D419" i="11"/>
  <c r="C419" i="11"/>
  <c r="B419" i="11"/>
  <c r="J416" i="11"/>
  <c r="I416" i="11"/>
  <c r="H416" i="11"/>
  <c r="G416" i="11"/>
  <c r="F416" i="11"/>
  <c r="E416" i="11"/>
  <c r="D416" i="11"/>
  <c r="C416" i="11"/>
  <c r="B416" i="11"/>
  <c r="J415" i="11"/>
  <c r="I415" i="11"/>
  <c r="H415" i="11"/>
  <c r="G415" i="11"/>
  <c r="F415" i="11"/>
  <c r="E415" i="11"/>
  <c r="D415" i="11"/>
  <c r="C415" i="11"/>
  <c r="B415" i="11"/>
  <c r="J414" i="11"/>
  <c r="I414" i="11"/>
  <c r="H414" i="11"/>
  <c r="G414" i="11"/>
  <c r="F414" i="11"/>
  <c r="E414" i="11"/>
  <c r="D414" i="11"/>
  <c r="C414" i="11"/>
  <c r="B414" i="11"/>
  <c r="J413" i="11"/>
  <c r="I413" i="11"/>
  <c r="H413" i="11"/>
  <c r="G413" i="11"/>
  <c r="F413" i="11"/>
  <c r="E413" i="11"/>
  <c r="D413" i="11"/>
  <c r="C413" i="11"/>
  <c r="B413" i="11"/>
  <c r="J412" i="11"/>
  <c r="I412" i="11"/>
  <c r="H412" i="11"/>
  <c r="G412" i="11"/>
  <c r="F412" i="11"/>
  <c r="E412" i="11"/>
  <c r="D412" i="11"/>
  <c r="C412" i="11"/>
  <c r="B412" i="11"/>
  <c r="J411" i="11"/>
  <c r="I411" i="11"/>
  <c r="H411" i="11"/>
  <c r="G411" i="11"/>
  <c r="F411" i="11"/>
  <c r="E411" i="11"/>
  <c r="D411" i="11"/>
  <c r="C411" i="11"/>
  <c r="B411" i="11"/>
  <c r="J410" i="11"/>
  <c r="I410" i="11"/>
  <c r="H410" i="11"/>
  <c r="G410" i="11"/>
  <c r="F410" i="11"/>
  <c r="E410" i="11"/>
  <c r="D410" i="11"/>
  <c r="C410" i="11"/>
  <c r="B410" i="11"/>
  <c r="J409" i="11"/>
  <c r="I409" i="11"/>
  <c r="H409" i="11"/>
  <c r="G409" i="11"/>
  <c r="F409" i="11"/>
  <c r="E409" i="11"/>
  <c r="D409" i="11"/>
  <c r="C409" i="11"/>
  <c r="B409" i="11"/>
  <c r="J408" i="11"/>
  <c r="I408" i="11"/>
  <c r="H408" i="11"/>
  <c r="G408" i="11"/>
  <c r="F408" i="11"/>
  <c r="D408" i="11"/>
  <c r="C408" i="11"/>
  <c r="B408" i="11"/>
  <c r="J407" i="11"/>
  <c r="I407" i="11"/>
  <c r="H407" i="11"/>
  <c r="G407" i="11"/>
  <c r="F407" i="11"/>
  <c r="E407" i="11"/>
  <c r="D407" i="11"/>
  <c r="C407" i="11"/>
  <c r="B407" i="11"/>
  <c r="J406" i="11"/>
  <c r="I406" i="11"/>
  <c r="H406" i="11"/>
  <c r="G406" i="11"/>
  <c r="F406" i="11"/>
  <c r="E406" i="11"/>
  <c r="D406" i="11"/>
  <c r="C406" i="11"/>
  <c r="B406" i="11"/>
  <c r="J405" i="11"/>
  <c r="I405" i="11"/>
  <c r="H405" i="11"/>
  <c r="G405" i="11"/>
  <c r="F405" i="11"/>
  <c r="E405" i="11"/>
  <c r="D405" i="11"/>
  <c r="C405" i="11"/>
  <c r="B405" i="11"/>
  <c r="J404" i="11"/>
  <c r="I404" i="11"/>
  <c r="H404" i="11"/>
  <c r="G404" i="11"/>
  <c r="F404" i="11"/>
  <c r="E404" i="11"/>
  <c r="D404" i="11"/>
  <c r="C404" i="11"/>
  <c r="B404" i="11"/>
  <c r="J403" i="11"/>
  <c r="I403" i="11"/>
  <c r="H403" i="11"/>
  <c r="G403" i="11"/>
  <c r="F403" i="11"/>
  <c r="E403" i="11"/>
  <c r="D403" i="11"/>
  <c r="J402" i="11"/>
  <c r="I402" i="11"/>
  <c r="H402" i="11"/>
  <c r="G402" i="11"/>
  <c r="F402" i="11"/>
  <c r="E402" i="11"/>
  <c r="D402" i="11"/>
  <c r="H401" i="11"/>
  <c r="G401" i="11"/>
  <c r="F401" i="11"/>
  <c r="E401" i="11"/>
  <c r="D401" i="11"/>
  <c r="I400" i="11"/>
  <c r="H400" i="11"/>
  <c r="G400" i="11"/>
  <c r="F400" i="11"/>
  <c r="E400" i="11"/>
  <c r="D400" i="11"/>
  <c r="A399" i="11"/>
  <c r="J397" i="11"/>
  <c r="I397" i="11"/>
  <c r="H397" i="11"/>
  <c r="G397" i="11"/>
  <c r="F397" i="11"/>
  <c r="E397" i="11"/>
  <c r="D397" i="11"/>
  <c r="C397" i="11"/>
  <c r="B397" i="11"/>
  <c r="J394" i="11"/>
  <c r="I394" i="11"/>
  <c r="H394" i="11"/>
  <c r="G394" i="11"/>
  <c r="F394" i="11"/>
  <c r="E394" i="11"/>
  <c r="D394" i="11"/>
  <c r="C394" i="11"/>
  <c r="B394" i="11"/>
  <c r="J393" i="11"/>
  <c r="I393" i="11"/>
  <c r="H393" i="11"/>
  <c r="G393" i="11"/>
  <c r="F393" i="11"/>
  <c r="E393" i="11"/>
  <c r="D393" i="11"/>
  <c r="C393" i="11"/>
  <c r="B393" i="11"/>
  <c r="J392" i="11"/>
  <c r="I392" i="11"/>
  <c r="H392" i="11"/>
  <c r="G392" i="11"/>
  <c r="F392" i="11"/>
  <c r="E392" i="11"/>
  <c r="D392" i="11"/>
  <c r="C392" i="11"/>
  <c r="B392" i="11"/>
  <c r="J391" i="11"/>
  <c r="I391" i="11"/>
  <c r="H391" i="11"/>
  <c r="G391" i="11"/>
  <c r="F391" i="11"/>
  <c r="E391" i="11"/>
  <c r="D391" i="11"/>
  <c r="C391" i="11"/>
  <c r="B391" i="11"/>
  <c r="J390" i="11"/>
  <c r="I390" i="11"/>
  <c r="H390" i="11"/>
  <c r="G390" i="11"/>
  <c r="F390" i="11"/>
  <c r="E390" i="11"/>
  <c r="D390" i="11"/>
  <c r="C390" i="11"/>
  <c r="B390" i="11"/>
  <c r="J389" i="11"/>
  <c r="I389" i="11"/>
  <c r="H389" i="11"/>
  <c r="G389" i="11"/>
  <c r="F389" i="11"/>
  <c r="E389" i="11"/>
  <c r="D389" i="11"/>
  <c r="C389" i="11"/>
  <c r="B389" i="11"/>
  <c r="J388" i="11"/>
  <c r="I388" i="11"/>
  <c r="H388" i="11"/>
  <c r="G388" i="11"/>
  <c r="F388" i="11"/>
  <c r="E388" i="11"/>
  <c r="D388" i="11"/>
  <c r="C388" i="11"/>
  <c r="B388" i="11"/>
  <c r="J387" i="11"/>
  <c r="I387" i="11"/>
  <c r="H387" i="11"/>
  <c r="G387" i="11"/>
  <c r="F387" i="11"/>
  <c r="E387" i="11"/>
  <c r="D387" i="11"/>
  <c r="C387" i="11"/>
  <c r="B387" i="11"/>
  <c r="J386" i="11"/>
  <c r="I386" i="11"/>
  <c r="H386" i="11"/>
  <c r="G386" i="11"/>
  <c r="F386" i="11"/>
  <c r="E386" i="11"/>
  <c r="D386" i="11"/>
  <c r="C386" i="11"/>
  <c r="B386" i="11"/>
  <c r="J385" i="11"/>
  <c r="I385" i="11"/>
  <c r="H385" i="11"/>
  <c r="G385" i="11"/>
  <c r="F385" i="11"/>
  <c r="E385" i="11"/>
  <c r="D385" i="11"/>
  <c r="C385" i="11"/>
  <c r="B385" i="11"/>
  <c r="J384" i="11"/>
  <c r="I384" i="11"/>
  <c r="H384" i="11"/>
  <c r="G384" i="11"/>
  <c r="F384" i="11"/>
  <c r="E384" i="11"/>
  <c r="D384" i="11"/>
  <c r="C384" i="11"/>
  <c r="B384" i="11"/>
  <c r="J383" i="11"/>
  <c r="I383" i="11"/>
  <c r="H383" i="11"/>
  <c r="G383" i="11"/>
  <c r="F383" i="11"/>
  <c r="E383" i="11"/>
  <c r="D383" i="11"/>
  <c r="C383" i="11"/>
  <c r="B383" i="11"/>
  <c r="J382" i="11"/>
  <c r="I382" i="11"/>
  <c r="H382" i="11"/>
  <c r="G382" i="11"/>
  <c r="F382" i="11"/>
  <c r="E382" i="11"/>
  <c r="D382" i="11"/>
  <c r="C382" i="11"/>
  <c r="B382" i="11"/>
  <c r="H381" i="11"/>
  <c r="G381" i="11"/>
  <c r="F381" i="11"/>
  <c r="H380" i="11"/>
  <c r="G380" i="11"/>
  <c r="F380" i="11"/>
  <c r="E380" i="11"/>
  <c r="H379" i="11"/>
  <c r="G379" i="11"/>
  <c r="F379" i="11"/>
  <c r="E379" i="11"/>
  <c r="D379" i="11"/>
  <c r="H378" i="11"/>
  <c r="G378" i="11"/>
  <c r="F378" i="11"/>
  <c r="E378" i="11"/>
  <c r="D378" i="11"/>
  <c r="I285" i="11"/>
  <c r="I511" i="11" s="1"/>
  <c r="H285" i="11"/>
  <c r="H511" i="11" s="1"/>
  <c r="G285" i="11"/>
  <c r="G511" i="11" s="1"/>
  <c r="F285" i="11"/>
  <c r="F332" i="11" s="1"/>
  <c r="F535" i="11" s="1"/>
  <c r="E285" i="11"/>
  <c r="E511" i="11" s="1"/>
  <c r="D285" i="11"/>
  <c r="C285" i="11"/>
  <c r="C511" i="11" s="1"/>
  <c r="B285" i="11"/>
  <c r="B332" i="11" s="1"/>
  <c r="B535" i="11" s="1"/>
  <c r="I282" i="11"/>
  <c r="H282" i="11"/>
  <c r="G282" i="11"/>
  <c r="F282" i="11"/>
  <c r="F508" i="11" s="1"/>
  <c r="E282" i="11"/>
  <c r="D282" i="11"/>
  <c r="C282" i="11"/>
  <c r="B282" i="11"/>
  <c r="B329" i="11" s="1"/>
  <c r="B532" i="11" s="1"/>
  <c r="I281" i="11"/>
  <c r="I507" i="11" s="1"/>
  <c r="H281" i="11"/>
  <c r="G281" i="11"/>
  <c r="G328" i="11" s="1"/>
  <c r="G531" i="11" s="1"/>
  <c r="F281" i="11"/>
  <c r="E281" i="11"/>
  <c r="E507" i="11" s="1"/>
  <c r="D281" i="11"/>
  <c r="D328" i="11" s="1"/>
  <c r="D531" i="11" s="1"/>
  <c r="C281" i="11"/>
  <c r="C507" i="11" s="1"/>
  <c r="B281" i="11"/>
  <c r="I280" i="11"/>
  <c r="I327" i="11" s="1"/>
  <c r="I530" i="11" s="1"/>
  <c r="H280" i="11"/>
  <c r="H506" i="11" s="1"/>
  <c r="G280" i="11"/>
  <c r="F280" i="11"/>
  <c r="E280" i="11"/>
  <c r="E327" i="11" s="1"/>
  <c r="E530" i="11" s="1"/>
  <c r="D280" i="11"/>
  <c r="D327" i="11" s="1"/>
  <c r="D530" i="11" s="1"/>
  <c r="C280" i="11"/>
  <c r="B280" i="11"/>
  <c r="B506" i="11" s="1"/>
  <c r="I279" i="11"/>
  <c r="I505" i="11" s="1"/>
  <c r="H279" i="11"/>
  <c r="G279" i="11"/>
  <c r="G505" i="11" s="1"/>
  <c r="F279" i="11"/>
  <c r="F326" i="11" s="1"/>
  <c r="F529" i="11" s="1"/>
  <c r="E279" i="11"/>
  <c r="E505" i="11" s="1"/>
  <c r="D279" i="11"/>
  <c r="D326" i="11" s="1"/>
  <c r="D529" i="11" s="1"/>
  <c r="C279" i="11"/>
  <c r="B279" i="11"/>
  <c r="I278" i="11"/>
  <c r="I504" i="11" s="1"/>
  <c r="H278" i="11"/>
  <c r="G278" i="11"/>
  <c r="F278" i="11"/>
  <c r="F504" i="11" s="1"/>
  <c r="E278" i="11"/>
  <c r="E504" i="11" s="1"/>
  <c r="D278" i="11"/>
  <c r="C278" i="11"/>
  <c r="B278" i="11"/>
  <c r="B325" i="11" s="1"/>
  <c r="B528" i="11" s="1"/>
  <c r="J277" i="11"/>
  <c r="I277" i="11"/>
  <c r="H277" i="11"/>
  <c r="H503" i="11" s="1"/>
  <c r="G277" i="11"/>
  <c r="F277" i="11"/>
  <c r="E277" i="11"/>
  <c r="D277" i="11"/>
  <c r="D503" i="11" s="1"/>
  <c r="C277" i="11"/>
  <c r="C503" i="11" s="1"/>
  <c r="B277" i="11"/>
  <c r="J276" i="11"/>
  <c r="J502" i="11" s="1"/>
  <c r="I276" i="11"/>
  <c r="I502" i="11" s="1"/>
  <c r="H276" i="11"/>
  <c r="H502" i="11" s="1"/>
  <c r="G276" i="11"/>
  <c r="F276" i="11"/>
  <c r="F323" i="11" s="1"/>
  <c r="F526" i="11" s="1"/>
  <c r="E276" i="11"/>
  <c r="D276" i="11"/>
  <c r="D502" i="11" s="1"/>
  <c r="C276" i="11"/>
  <c r="B276" i="11"/>
  <c r="B502" i="11" s="1"/>
  <c r="I275" i="11"/>
  <c r="H275" i="11"/>
  <c r="H322" i="11" s="1"/>
  <c r="H525" i="11" s="1"/>
  <c r="G275" i="11"/>
  <c r="G501" i="11" s="1"/>
  <c r="F275" i="11"/>
  <c r="F501" i="11" s="1"/>
  <c r="E275" i="11"/>
  <c r="D275" i="11"/>
  <c r="C275" i="11"/>
  <c r="C322" i="11" s="1"/>
  <c r="C525" i="11" s="1"/>
  <c r="B275" i="11"/>
  <c r="B501" i="11" s="1"/>
  <c r="I274" i="11"/>
  <c r="H274" i="11"/>
  <c r="H321" i="11" s="1"/>
  <c r="H524" i="11" s="1"/>
  <c r="G274" i="11"/>
  <c r="F274" i="11"/>
  <c r="F500" i="11" s="1"/>
  <c r="D274" i="11"/>
  <c r="D500" i="11" s="1"/>
  <c r="C274" i="11"/>
  <c r="B274" i="11"/>
  <c r="I273" i="11"/>
  <c r="I499" i="11" s="1"/>
  <c r="H273" i="11"/>
  <c r="G273" i="11"/>
  <c r="F273" i="11"/>
  <c r="F320" i="11" s="1"/>
  <c r="F523" i="11" s="1"/>
  <c r="E273" i="11"/>
  <c r="E499" i="11" s="1"/>
  <c r="D273" i="11"/>
  <c r="C273" i="11"/>
  <c r="B273" i="11"/>
  <c r="B320" i="11" s="1"/>
  <c r="B523" i="11" s="1"/>
  <c r="J272" i="11"/>
  <c r="I272" i="11"/>
  <c r="I498" i="11" s="1"/>
  <c r="H272" i="11"/>
  <c r="G272" i="11"/>
  <c r="G498" i="11" s="1"/>
  <c r="F272" i="11"/>
  <c r="F319" i="11" s="1"/>
  <c r="F522" i="11" s="1"/>
  <c r="E272" i="11"/>
  <c r="D272" i="11"/>
  <c r="D319" i="11" s="1"/>
  <c r="D522" i="11" s="1"/>
  <c r="C272" i="11"/>
  <c r="C498" i="11" s="1"/>
  <c r="B272" i="11"/>
  <c r="B498" i="11" s="1"/>
  <c r="J271" i="11"/>
  <c r="J318" i="11" s="1"/>
  <c r="J521" i="11" s="1"/>
  <c r="I271" i="11"/>
  <c r="I497" i="11" s="1"/>
  <c r="H271" i="11"/>
  <c r="H497" i="11" s="1"/>
  <c r="G271" i="11"/>
  <c r="F271" i="11"/>
  <c r="F318" i="11" s="1"/>
  <c r="F521" i="11" s="1"/>
  <c r="E271" i="11"/>
  <c r="E497" i="11" s="1"/>
  <c r="D271" i="11"/>
  <c r="C271" i="11"/>
  <c r="C318" i="11" s="1"/>
  <c r="C521" i="11" s="1"/>
  <c r="B271" i="11"/>
  <c r="J270" i="11"/>
  <c r="J317" i="11" s="1"/>
  <c r="I270" i="11"/>
  <c r="I317" i="11" s="1"/>
  <c r="H270" i="11"/>
  <c r="H317" i="11" s="1"/>
  <c r="G270" i="11"/>
  <c r="G317" i="11" s="1"/>
  <c r="F270" i="11"/>
  <c r="F317" i="11" s="1"/>
  <c r="E270" i="11"/>
  <c r="E317" i="11" s="1"/>
  <c r="D270" i="11"/>
  <c r="D317" i="11" s="1"/>
  <c r="C270" i="11"/>
  <c r="C317" i="11" s="1"/>
  <c r="B270" i="11"/>
  <c r="B317" i="11" s="1"/>
  <c r="J269" i="11"/>
  <c r="J316" i="11" s="1"/>
  <c r="I269" i="11"/>
  <c r="I316" i="11" s="1"/>
  <c r="H269" i="11"/>
  <c r="H316" i="11" s="1"/>
  <c r="G269" i="11"/>
  <c r="G316" i="11" s="1"/>
  <c r="F269" i="11"/>
  <c r="F316" i="11" s="1"/>
  <c r="E269" i="11"/>
  <c r="E316" i="11" s="1"/>
  <c r="D269" i="11"/>
  <c r="D316" i="11" s="1"/>
  <c r="C269" i="11"/>
  <c r="C316" i="11" s="1"/>
  <c r="B269" i="11"/>
  <c r="B316" i="11" s="1"/>
  <c r="J268" i="11"/>
  <c r="J315" i="11" s="1"/>
  <c r="I268" i="11"/>
  <c r="I315" i="11" s="1"/>
  <c r="H268" i="11"/>
  <c r="H315" i="11" s="1"/>
  <c r="G268" i="11"/>
  <c r="G315" i="11" s="1"/>
  <c r="F268" i="11"/>
  <c r="F315" i="11" s="1"/>
  <c r="E268" i="11"/>
  <c r="E315" i="11" s="1"/>
  <c r="D268" i="11"/>
  <c r="D315" i="11" s="1"/>
  <c r="C268" i="11"/>
  <c r="C315" i="11" s="1"/>
  <c r="B268" i="11"/>
  <c r="B315" i="11" s="1"/>
  <c r="J267" i="11"/>
  <c r="J314" i="11" s="1"/>
  <c r="I267" i="11"/>
  <c r="I314" i="11" s="1"/>
  <c r="H267" i="11"/>
  <c r="G267" i="11"/>
  <c r="G314" i="11" s="1"/>
  <c r="F267" i="11"/>
  <c r="F314" i="11" s="1"/>
  <c r="E267" i="11"/>
  <c r="E314" i="11" s="1"/>
  <c r="D267" i="11"/>
  <c r="C267" i="11"/>
  <c r="C314" i="11" s="1"/>
  <c r="B267" i="11"/>
  <c r="B314" i="11" s="1"/>
  <c r="J266" i="11"/>
  <c r="I266" i="11"/>
  <c r="H266" i="11"/>
  <c r="H313" i="11" s="1"/>
  <c r="G266" i="11"/>
  <c r="F266" i="11"/>
  <c r="E266" i="11"/>
  <c r="D266" i="11"/>
  <c r="D313" i="11" s="1"/>
  <c r="C266" i="11"/>
  <c r="C313" i="11" s="1"/>
  <c r="B266" i="11"/>
  <c r="J265" i="11"/>
  <c r="J312" i="11" s="1"/>
  <c r="I265" i="11"/>
  <c r="I312" i="11" s="1"/>
  <c r="H265" i="11"/>
  <c r="H312" i="11" s="1"/>
  <c r="G265" i="11"/>
  <c r="G312" i="11" s="1"/>
  <c r="F265" i="11"/>
  <c r="F312" i="11" s="1"/>
  <c r="E265" i="11"/>
  <c r="E312" i="11" s="1"/>
  <c r="D265" i="11"/>
  <c r="D312" i="11" s="1"/>
  <c r="C265" i="11"/>
  <c r="C312" i="11" s="1"/>
  <c r="B265" i="11"/>
  <c r="B312" i="11" s="1"/>
  <c r="J264" i="11"/>
  <c r="I264" i="11"/>
  <c r="I311" i="11" s="1"/>
  <c r="H264" i="11"/>
  <c r="H311" i="11" s="1"/>
  <c r="G264" i="11"/>
  <c r="G311" i="11" s="1"/>
  <c r="F264" i="11"/>
  <c r="F311" i="11" s="1"/>
  <c r="E264" i="11"/>
  <c r="E311" i="11" s="1"/>
  <c r="D264" i="11"/>
  <c r="D311" i="11" s="1"/>
  <c r="C264" i="11"/>
  <c r="C311" i="11" s="1"/>
  <c r="B264" i="11"/>
  <c r="B311" i="11" s="1"/>
  <c r="I263" i="11"/>
  <c r="I310" i="11" s="1"/>
  <c r="H263" i="11"/>
  <c r="H310" i="11" s="1"/>
  <c r="G263" i="11"/>
  <c r="G310" i="11" s="1"/>
  <c r="F263" i="11"/>
  <c r="F310" i="11" s="1"/>
  <c r="E263" i="11"/>
  <c r="E310" i="11" s="1"/>
  <c r="D263" i="11"/>
  <c r="D310" i="11" s="1"/>
  <c r="C263" i="11"/>
  <c r="C310" i="11" s="1"/>
  <c r="B263" i="11"/>
  <c r="B310" i="11" s="1"/>
  <c r="I262" i="11"/>
  <c r="I309" i="11" s="1"/>
  <c r="H262" i="11"/>
  <c r="H309" i="11" s="1"/>
  <c r="G262" i="11"/>
  <c r="G309" i="11" s="1"/>
  <c r="F262" i="11"/>
  <c r="F309" i="11" s="1"/>
  <c r="E262" i="11"/>
  <c r="E309" i="11" s="1"/>
  <c r="D262" i="11"/>
  <c r="D309" i="11" s="1"/>
  <c r="C262" i="11"/>
  <c r="C309" i="11" s="1"/>
  <c r="B262" i="11"/>
  <c r="B309" i="11" s="1"/>
  <c r="I261" i="11"/>
  <c r="I495" i="11" s="1"/>
  <c r="H261" i="11"/>
  <c r="H308" i="11" s="1"/>
  <c r="G261" i="11"/>
  <c r="G308" i="11" s="1"/>
  <c r="F261" i="11"/>
  <c r="E261" i="11"/>
  <c r="D261" i="11"/>
  <c r="D308" i="11" s="1"/>
  <c r="C261" i="11"/>
  <c r="C308" i="11" s="1"/>
  <c r="B261" i="11"/>
  <c r="B308" i="11" s="1"/>
  <c r="J260" i="11"/>
  <c r="J307" i="11" s="1"/>
  <c r="I260" i="11"/>
  <c r="I307" i="11" s="1"/>
  <c r="H260" i="11"/>
  <c r="H307" i="11" s="1"/>
  <c r="G260" i="11"/>
  <c r="G307" i="11" s="1"/>
  <c r="F260" i="11"/>
  <c r="F307" i="11" s="1"/>
  <c r="E260" i="11"/>
  <c r="E307" i="11" s="1"/>
  <c r="D260" i="11"/>
  <c r="D307" i="11" s="1"/>
  <c r="C260" i="11"/>
  <c r="C307" i="11" s="1"/>
  <c r="B260" i="11"/>
  <c r="B307" i="11" s="1"/>
  <c r="J259" i="11"/>
  <c r="J306" i="11" s="1"/>
  <c r="I259" i="11"/>
  <c r="I306" i="11" s="1"/>
  <c r="H259" i="11"/>
  <c r="H306" i="11" s="1"/>
  <c r="G259" i="11"/>
  <c r="G306" i="11" s="1"/>
  <c r="F259" i="11"/>
  <c r="F306" i="11" s="1"/>
  <c r="E259" i="11"/>
  <c r="E306" i="11" s="1"/>
  <c r="D259" i="11"/>
  <c r="D306" i="11" s="1"/>
  <c r="C259" i="11"/>
  <c r="C306" i="11" s="1"/>
  <c r="B259" i="11"/>
  <c r="B306" i="11" s="1"/>
  <c r="H258" i="11"/>
  <c r="H305" i="11" s="1"/>
  <c r="G258" i="11"/>
  <c r="G305" i="11" s="1"/>
  <c r="F258" i="11"/>
  <c r="F305" i="11" s="1"/>
  <c r="E258" i="11"/>
  <c r="E305" i="11" s="1"/>
  <c r="D258" i="11"/>
  <c r="D305" i="11" s="1"/>
  <c r="C258" i="11"/>
  <c r="C305" i="11" s="1"/>
  <c r="B258" i="11"/>
  <c r="B305" i="11" s="1"/>
  <c r="J257" i="11"/>
  <c r="I257" i="11"/>
  <c r="H257" i="11"/>
  <c r="H304" i="11" s="1"/>
  <c r="G257" i="11"/>
  <c r="G304" i="11" s="1"/>
  <c r="F257" i="11"/>
  <c r="F304" i="11" s="1"/>
  <c r="E257" i="11"/>
  <c r="E304" i="11" s="1"/>
  <c r="D257" i="11"/>
  <c r="D304" i="11" s="1"/>
  <c r="C257" i="11"/>
  <c r="C304" i="11" s="1"/>
  <c r="B257" i="11"/>
  <c r="B304" i="11" s="1"/>
  <c r="J256" i="11"/>
  <c r="J303" i="11" s="1"/>
  <c r="H256" i="11"/>
  <c r="G256" i="11"/>
  <c r="F256" i="11"/>
  <c r="F303" i="11" s="1"/>
  <c r="E256" i="11"/>
  <c r="D256" i="11"/>
  <c r="C256" i="11"/>
  <c r="C303" i="11" s="1"/>
  <c r="B256" i="11"/>
  <c r="B303" i="11" s="1"/>
  <c r="J255" i="11"/>
  <c r="J302" i="11" s="1"/>
  <c r="H255" i="11"/>
  <c r="H302" i="11" s="1"/>
  <c r="G255" i="11"/>
  <c r="G302" i="11" s="1"/>
  <c r="F255" i="11"/>
  <c r="F302" i="11" s="1"/>
  <c r="E255" i="11"/>
  <c r="E302" i="11" s="1"/>
  <c r="D255" i="11"/>
  <c r="D302" i="11" s="1"/>
  <c r="C255" i="11"/>
  <c r="C302" i="11" s="1"/>
  <c r="B255" i="11"/>
  <c r="B302" i="11" s="1"/>
  <c r="H254" i="11"/>
  <c r="H301" i="11" s="1"/>
  <c r="G254" i="11"/>
  <c r="G301" i="11" s="1"/>
  <c r="F254" i="11"/>
  <c r="F301" i="11" s="1"/>
  <c r="E254" i="11"/>
  <c r="E301" i="11" s="1"/>
  <c r="D254" i="11"/>
  <c r="D301" i="11" s="1"/>
  <c r="C254" i="11"/>
  <c r="C301" i="11" s="1"/>
  <c r="B254" i="11"/>
  <c r="B301" i="11" s="1"/>
  <c r="H253" i="11"/>
  <c r="H300" i="11" s="1"/>
  <c r="G253" i="11"/>
  <c r="G300" i="11" s="1"/>
  <c r="F253" i="11"/>
  <c r="F300" i="11" s="1"/>
  <c r="E253" i="11"/>
  <c r="E300" i="11" s="1"/>
  <c r="D253" i="11"/>
  <c r="D300" i="11" s="1"/>
  <c r="C253" i="11"/>
  <c r="C300" i="11" s="1"/>
  <c r="B253" i="11"/>
  <c r="B300" i="11" s="1"/>
  <c r="I252" i="11"/>
  <c r="I299" i="11" s="1"/>
  <c r="H252" i="11"/>
  <c r="H299" i="11" s="1"/>
  <c r="G252" i="11"/>
  <c r="G299" i="11" s="1"/>
  <c r="F252" i="11"/>
  <c r="F299" i="11" s="1"/>
  <c r="E252" i="11"/>
  <c r="E299" i="11" s="1"/>
  <c r="D252" i="11"/>
  <c r="D299" i="11" s="1"/>
  <c r="C252" i="11"/>
  <c r="C299" i="11" s="1"/>
  <c r="B252" i="11"/>
  <c r="B299" i="11" s="1"/>
  <c r="I251" i="11"/>
  <c r="I298" i="11" s="1"/>
  <c r="H251" i="11"/>
  <c r="H298" i="11" s="1"/>
  <c r="G251" i="11"/>
  <c r="G298" i="11" s="1"/>
  <c r="F251" i="11"/>
  <c r="E251" i="11"/>
  <c r="D251" i="11"/>
  <c r="C251" i="11"/>
  <c r="C298" i="11" s="1"/>
  <c r="B251" i="11"/>
  <c r="B298" i="11" s="1"/>
  <c r="I250" i="11"/>
  <c r="I297" i="11" s="1"/>
  <c r="H250" i="11"/>
  <c r="H297" i="11" s="1"/>
  <c r="G250" i="11"/>
  <c r="G297" i="11" s="1"/>
  <c r="F250" i="11"/>
  <c r="F297" i="11" s="1"/>
  <c r="E250" i="11"/>
  <c r="E297" i="11" s="1"/>
  <c r="D250" i="11"/>
  <c r="D297" i="11" s="1"/>
  <c r="C250" i="11"/>
  <c r="C297" i="11" s="1"/>
  <c r="B250" i="11"/>
  <c r="B297" i="11" s="1"/>
  <c r="I249" i="11"/>
  <c r="H249" i="11"/>
  <c r="H296" i="11" s="1"/>
  <c r="G249" i="11"/>
  <c r="G296" i="11" s="1"/>
  <c r="F249" i="11"/>
  <c r="F296" i="11" s="1"/>
  <c r="E249" i="11"/>
  <c r="E296" i="11" s="1"/>
  <c r="D249" i="11"/>
  <c r="D296" i="11" s="1"/>
  <c r="C249" i="11"/>
  <c r="C296" i="11" s="1"/>
  <c r="B249" i="11"/>
  <c r="B296" i="11" s="1"/>
  <c r="J248" i="11"/>
  <c r="J295" i="11" s="1"/>
  <c r="I248" i="11"/>
  <c r="I295" i="11" s="1"/>
  <c r="H248" i="11"/>
  <c r="H295" i="11" s="1"/>
  <c r="G248" i="11"/>
  <c r="G295" i="11" s="1"/>
  <c r="F248" i="11"/>
  <c r="F295" i="11" s="1"/>
  <c r="E248" i="11"/>
  <c r="E295" i="11" s="1"/>
  <c r="D248" i="11"/>
  <c r="D295" i="11" s="1"/>
  <c r="C248" i="11"/>
  <c r="C295" i="11" s="1"/>
  <c r="B248" i="11"/>
  <c r="B295" i="11" s="1"/>
  <c r="J247" i="11"/>
  <c r="J294" i="11" s="1"/>
  <c r="I247" i="11"/>
  <c r="I294" i="11" s="1"/>
  <c r="H247" i="11"/>
  <c r="H294" i="11" s="1"/>
  <c r="G247" i="11"/>
  <c r="G294" i="11" s="1"/>
  <c r="F247" i="11"/>
  <c r="F294" i="11" s="1"/>
  <c r="E247" i="11"/>
  <c r="D247" i="11"/>
  <c r="D294" i="11" s="1"/>
  <c r="C247" i="11"/>
  <c r="C294" i="11" s="1"/>
  <c r="B247" i="11"/>
  <c r="B294" i="11" s="1"/>
  <c r="J246" i="11"/>
  <c r="I246" i="11"/>
  <c r="I293" i="11" s="1"/>
  <c r="H246" i="11"/>
  <c r="H293" i="11" s="1"/>
  <c r="G246" i="11"/>
  <c r="F246" i="11"/>
  <c r="E246" i="11"/>
  <c r="E293" i="11" s="1"/>
  <c r="D246" i="11"/>
  <c r="D293" i="11" s="1"/>
  <c r="C246" i="11"/>
  <c r="C293" i="11" s="1"/>
  <c r="B246" i="11"/>
  <c r="B293" i="11" s="1"/>
  <c r="J245" i="11"/>
  <c r="J292" i="11" s="1"/>
  <c r="I245" i="11"/>
  <c r="I292" i="11" s="1"/>
  <c r="H245" i="11"/>
  <c r="H292" i="11" s="1"/>
  <c r="G245" i="11"/>
  <c r="G292" i="11" s="1"/>
  <c r="F245" i="11"/>
  <c r="F292" i="11" s="1"/>
  <c r="E245" i="11"/>
  <c r="E292" i="11" s="1"/>
  <c r="D245" i="11"/>
  <c r="D292" i="11" s="1"/>
  <c r="C245" i="11"/>
  <c r="C292" i="11" s="1"/>
  <c r="B245" i="11"/>
  <c r="B292" i="11" s="1"/>
  <c r="J244" i="11"/>
  <c r="J291" i="11" s="1"/>
  <c r="I244" i="11"/>
  <c r="I291" i="11" s="1"/>
  <c r="H244" i="11"/>
  <c r="H291" i="11" s="1"/>
  <c r="G244" i="11"/>
  <c r="G291" i="11" s="1"/>
  <c r="F244" i="11"/>
  <c r="F291" i="11" s="1"/>
  <c r="E244" i="11"/>
  <c r="E291" i="11" s="1"/>
  <c r="D244" i="11"/>
  <c r="D291" i="11" s="1"/>
  <c r="C244" i="11"/>
  <c r="C291" i="11" s="1"/>
  <c r="B244" i="11"/>
  <c r="B291" i="11" s="1"/>
  <c r="J243" i="11"/>
  <c r="J290" i="11" s="1"/>
  <c r="I243" i="11"/>
  <c r="I290" i="11" s="1"/>
  <c r="H243" i="11"/>
  <c r="H290" i="11" s="1"/>
  <c r="G243" i="11"/>
  <c r="G290" i="11" s="1"/>
  <c r="F243" i="11"/>
  <c r="F290" i="11" s="1"/>
  <c r="E243" i="11"/>
  <c r="E290" i="11" s="1"/>
  <c r="D243" i="11"/>
  <c r="D290" i="11" s="1"/>
  <c r="C243" i="11"/>
  <c r="C290" i="11" s="1"/>
  <c r="B243" i="11"/>
  <c r="B290" i="11" s="1"/>
  <c r="J242" i="11"/>
  <c r="J289" i="11" s="1"/>
  <c r="I242" i="11"/>
  <c r="I289" i="11" s="1"/>
  <c r="H242" i="11"/>
  <c r="H289" i="11" s="1"/>
  <c r="G242" i="11"/>
  <c r="G289" i="11" s="1"/>
  <c r="F242" i="11"/>
  <c r="F289" i="11" s="1"/>
  <c r="E242" i="11"/>
  <c r="E289" i="11" s="1"/>
  <c r="D242" i="11"/>
  <c r="D289" i="11" s="1"/>
  <c r="C242" i="11"/>
  <c r="C289" i="11" s="1"/>
  <c r="B242" i="11"/>
  <c r="B289" i="11" s="1"/>
  <c r="J241" i="11"/>
  <c r="J288" i="11" s="1"/>
  <c r="I241" i="11"/>
  <c r="I288" i="11" s="1"/>
  <c r="H241" i="11"/>
  <c r="H288" i="11" s="1"/>
  <c r="G241" i="11"/>
  <c r="G288" i="11" s="1"/>
  <c r="F241" i="11"/>
  <c r="F288" i="11" s="1"/>
  <c r="E241" i="11"/>
  <c r="E288" i="11" s="1"/>
  <c r="D241" i="11"/>
  <c r="D288" i="11" s="1"/>
  <c r="C241" i="11"/>
  <c r="C288" i="11" s="1"/>
  <c r="B241" i="11"/>
  <c r="B288" i="11" s="1"/>
  <c r="K238" i="11"/>
  <c r="K235" i="11"/>
  <c r="K234" i="11"/>
  <c r="K485" i="11" s="1"/>
  <c r="K233" i="11"/>
  <c r="K484" i="11" s="1"/>
  <c r="K232" i="11"/>
  <c r="K231" i="11"/>
  <c r="K230" i="11"/>
  <c r="K481" i="11" s="1"/>
  <c r="K229" i="11"/>
  <c r="K480" i="11" s="1"/>
  <c r="K228" i="11"/>
  <c r="K227" i="11"/>
  <c r="K226" i="11"/>
  <c r="K477" i="11" s="1"/>
  <c r="K225" i="11"/>
  <c r="K476" i="11" s="1"/>
  <c r="K224" i="11"/>
  <c r="K475" i="11" s="1"/>
  <c r="K223" i="11"/>
  <c r="K222" i="11"/>
  <c r="K221" i="11"/>
  <c r="K220" i="11"/>
  <c r="K219" i="11"/>
  <c r="K218" i="11"/>
  <c r="K217" i="11"/>
  <c r="K216" i="11"/>
  <c r="K215" i="11"/>
  <c r="K214" i="11"/>
  <c r="K213" i="11"/>
  <c r="K212" i="11"/>
  <c r="K211" i="11"/>
  <c r="K210" i="11"/>
  <c r="K209" i="11"/>
  <c r="K208" i="11"/>
  <c r="K207" i="11"/>
  <c r="K206" i="11"/>
  <c r="K205" i="11"/>
  <c r="K204" i="11"/>
  <c r="K203" i="11"/>
  <c r="K202" i="11"/>
  <c r="K201" i="11"/>
  <c r="K200" i="11"/>
  <c r="K199" i="11"/>
  <c r="K198" i="11"/>
  <c r="K197" i="11"/>
  <c r="K196" i="11"/>
  <c r="K195" i="11"/>
  <c r="K194" i="11"/>
  <c r="K191" i="11"/>
  <c r="K465" i="11" s="1"/>
  <c r="K188" i="11"/>
  <c r="K462" i="11" s="1"/>
  <c r="K187" i="11"/>
  <c r="K461" i="11" s="1"/>
  <c r="K186" i="11"/>
  <c r="K460" i="11" s="1"/>
  <c r="K185" i="11"/>
  <c r="K459" i="11" s="1"/>
  <c r="K184" i="11"/>
  <c r="K458" i="11" s="1"/>
  <c r="K183" i="11"/>
  <c r="K182" i="11"/>
  <c r="K456" i="11" s="1"/>
  <c r="K181" i="11"/>
  <c r="K455" i="11" s="1"/>
  <c r="K180" i="11"/>
  <c r="K454" i="11" s="1"/>
  <c r="K179" i="11"/>
  <c r="K453" i="11" s="1"/>
  <c r="K178" i="11"/>
  <c r="K452" i="11" s="1"/>
  <c r="K177" i="11"/>
  <c r="K451" i="11" s="1"/>
  <c r="K176" i="11"/>
  <c r="K175" i="11"/>
  <c r="K174" i="11"/>
  <c r="K173" i="11"/>
  <c r="K172" i="11"/>
  <c r="K171"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4" i="11"/>
  <c r="K443" i="11" s="1"/>
  <c r="K141" i="11"/>
  <c r="K440" i="11" s="1"/>
  <c r="K140" i="11"/>
  <c r="K439" i="11" s="1"/>
  <c r="K139" i="11"/>
  <c r="K138" i="11"/>
  <c r="K437" i="11" s="1"/>
  <c r="K137" i="11"/>
  <c r="K436" i="11" s="1"/>
  <c r="K136" i="11"/>
  <c r="K435" i="11" s="1"/>
  <c r="K135" i="11"/>
  <c r="K434" i="11" s="1"/>
  <c r="K134" i="11"/>
  <c r="K433" i="11" s="1"/>
  <c r="K133" i="11"/>
  <c r="K432" i="11" s="1"/>
  <c r="K132" i="11"/>
  <c r="K431" i="11" s="1"/>
  <c r="K131" i="11"/>
  <c r="K430" i="11" s="1"/>
  <c r="K130" i="11"/>
  <c r="K429" i="11" s="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7" i="11"/>
  <c r="K419" i="11" s="1"/>
  <c r="K94" i="11"/>
  <c r="K416" i="11" s="1"/>
  <c r="K93" i="11"/>
  <c r="K415" i="11" s="1"/>
  <c r="K92" i="11"/>
  <c r="K414" i="11" s="1"/>
  <c r="K91" i="11"/>
  <c r="K413" i="11" s="1"/>
  <c r="K90" i="11"/>
  <c r="K412" i="11" s="1"/>
  <c r="K89" i="11"/>
  <c r="K411" i="11" s="1"/>
  <c r="K88" i="11"/>
  <c r="K410" i="11" s="1"/>
  <c r="K87" i="11"/>
  <c r="K409" i="11" s="1"/>
  <c r="E86" i="11"/>
  <c r="E274" i="11" s="1"/>
  <c r="K85" i="11"/>
  <c r="K407" i="11" s="1"/>
  <c r="K84" i="11"/>
  <c r="K406" i="11" s="1"/>
  <c r="K83" i="11"/>
  <c r="K405" i="11" s="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0" i="11"/>
  <c r="K47" i="11"/>
  <c r="K394" i="11" s="1"/>
  <c r="K46" i="11"/>
  <c r="K393" i="11" s="1"/>
  <c r="K45" i="11"/>
  <c r="K392" i="11" s="1"/>
  <c r="K44" i="11"/>
  <c r="K43" i="11"/>
  <c r="K390" i="11" s="1"/>
  <c r="K42" i="11"/>
  <c r="K389" i="11" s="1"/>
  <c r="K41" i="11"/>
  <c r="K40" i="11"/>
  <c r="K39" i="11"/>
  <c r="K386" i="11" s="1"/>
  <c r="K38" i="11"/>
  <c r="K37" i="11"/>
  <c r="K384" i="11" s="1"/>
  <c r="K36" i="11"/>
  <c r="K35" i="11"/>
  <c r="K34" i="11"/>
  <c r="K33" i="11"/>
  <c r="K32" i="11"/>
  <c r="K31" i="11"/>
  <c r="K30" i="11"/>
  <c r="K29" i="11"/>
  <c r="K28" i="11"/>
  <c r="K27" i="11"/>
  <c r="K26" i="11"/>
  <c r="K25" i="11"/>
  <c r="K23" i="11"/>
  <c r="K22" i="11"/>
  <c r="K21" i="11"/>
  <c r="K20" i="11"/>
  <c r="K19" i="11"/>
  <c r="K18" i="11"/>
  <c r="K17" i="11"/>
  <c r="K16" i="11"/>
  <c r="K15" i="11"/>
  <c r="K14" i="11"/>
  <c r="K13" i="11"/>
  <c r="K12" i="11"/>
  <c r="K11" i="11"/>
  <c r="K10" i="11"/>
  <c r="K9" i="11"/>
  <c r="K8" i="11"/>
  <c r="K7" i="11"/>
  <c r="K6" i="11"/>
  <c r="A697" i="10"/>
  <c r="A692" i="10"/>
  <c r="A671" i="10"/>
  <c r="A646" i="10"/>
  <c r="S644" i="10"/>
  <c r="R644" i="10"/>
  <c r="Q644" i="10"/>
  <c r="P644" i="10"/>
  <c r="O644" i="10"/>
  <c r="N644" i="10"/>
  <c r="K644" i="10"/>
  <c r="J644" i="10"/>
  <c r="I644" i="10"/>
  <c r="H644" i="10"/>
  <c r="G644" i="10"/>
  <c r="F644" i="10"/>
  <c r="E644" i="10"/>
  <c r="D644" i="10"/>
  <c r="C644" i="10"/>
  <c r="B644" i="10"/>
  <c r="S641" i="10"/>
  <c r="R641" i="10"/>
  <c r="Q641" i="10"/>
  <c r="P641" i="10"/>
  <c r="O641" i="10"/>
  <c r="N641" i="10"/>
  <c r="K641" i="10"/>
  <c r="J641" i="10"/>
  <c r="I641" i="10"/>
  <c r="H641" i="10"/>
  <c r="G641" i="10"/>
  <c r="F641" i="10"/>
  <c r="E641" i="10"/>
  <c r="D641" i="10"/>
  <c r="C641" i="10"/>
  <c r="B641" i="10"/>
  <c r="S640" i="10"/>
  <c r="R640" i="10"/>
  <c r="Q640" i="10"/>
  <c r="P640" i="10"/>
  <c r="O640" i="10"/>
  <c r="N640" i="10"/>
  <c r="K640" i="10"/>
  <c r="J640" i="10"/>
  <c r="I640" i="10"/>
  <c r="H640" i="10"/>
  <c r="G640" i="10"/>
  <c r="F640" i="10"/>
  <c r="E640" i="10"/>
  <c r="D640" i="10"/>
  <c r="C640" i="10"/>
  <c r="B640" i="10"/>
  <c r="S639" i="10"/>
  <c r="R639" i="10"/>
  <c r="Q639" i="10"/>
  <c r="P639" i="10"/>
  <c r="O639" i="10"/>
  <c r="N639" i="10"/>
  <c r="K639" i="10"/>
  <c r="J639" i="10"/>
  <c r="I639" i="10"/>
  <c r="H639" i="10"/>
  <c r="G639" i="10"/>
  <c r="F639" i="10"/>
  <c r="E639" i="10"/>
  <c r="D639" i="10"/>
  <c r="C639" i="10"/>
  <c r="B639" i="10"/>
  <c r="S638" i="10"/>
  <c r="R638" i="10"/>
  <c r="Q638" i="10"/>
  <c r="P638" i="10"/>
  <c r="O638" i="10"/>
  <c r="N638" i="10"/>
  <c r="K638" i="10"/>
  <c r="J638" i="10"/>
  <c r="I638" i="10"/>
  <c r="H638" i="10"/>
  <c r="G638" i="10"/>
  <c r="F638" i="10"/>
  <c r="E638" i="10"/>
  <c r="D638" i="10"/>
  <c r="C638" i="10"/>
  <c r="B638" i="10"/>
  <c r="S637" i="10"/>
  <c r="R637" i="10"/>
  <c r="Q637" i="10"/>
  <c r="P637" i="10"/>
  <c r="O637" i="10"/>
  <c r="N637" i="10"/>
  <c r="K637" i="10"/>
  <c r="J637" i="10"/>
  <c r="I637" i="10"/>
  <c r="H637" i="10"/>
  <c r="G637" i="10"/>
  <c r="F637" i="10"/>
  <c r="E637" i="10"/>
  <c r="D637" i="10"/>
  <c r="C637" i="10"/>
  <c r="B637" i="10"/>
  <c r="S636" i="10"/>
  <c r="R636" i="10"/>
  <c r="Q636" i="10"/>
  <c r="P636" i="10"/>
  <c r="O636" i="10"/>
  <c r="N636" i="10"/>
  <c r="K636" i="10"/>
  <c r="J636" i="10"/>
  <c r="I636" i="10"/>
  <c r="H636" i="10"/>
  <c r="G636" i="10"/>
  <c r="F636" i="10"/>
  <c r="E636" i="10"/>
  <c r="D636" i="10"/>
  <c r="C636" i="10"/>
  <c r="B636" i="10"/>
  <c r="S635" i="10"/>
  <c r="R635" i="10"/>
  <c r="Q635" i="10"/>
  <c r="P635" i="10"/>
  <c r="O635" i="10"/>
  <c r="N635" i="10"/>
  <c r="K635" i="10"/>
  <c r="J635" i="10"/>
  <c r="I635" i="10"/>
  <c r="H635" i="10"/>
  <c r="G635" i="10"/>
  <c r="F635" i="10"/>
  <c r="E635" i="10"/>
  <c r="D635" i="10"/>
  <c r="C635" i="10"/>
  <c r="B635" i="10"/>
  <c r="S634" i="10"/>
  <c r="R634" i="10"/>
  <c r="Q634" i="10"/>
  <c r="P634" i="10"/>
  <c r="O634" i="10"/>
  <c r="N634" i="10"/>
  <c r="K634" i="10"/>
  <c r="J634" i="10"/>
  <c r="H634" i="10"/>
  <c r="G634" i="10"/>
  <c r="E634" i="10"/>
  <c r="D634" i="10"/>
  <c r="C634" i="10"/>
  <c r="B634" i="10"/>
  <c r="S633" i="10"/>
  <c r="R633" i="10"/>
  <c r="Q633" i="10"/>
  <c r="P633" i="10"/>
  <c r="O633" i="10"/>
  <c r="N633" i="10"/>
  <c r="L633" i="10"/>
  <c r="K633" i="10"/>
  <c r="J633" i="10"/>
  <c r="I633" i="10"/>
  <c r="H633" i="10"/>
  <c r="G633" i="10"/>
  <c r="F633" i="10"/>
  <c r="E633" i="10"/>
  <c r="D633" i="10"/>
  <c r="C633" i="10"/>
  <c r="B633" i="10"/>
  <c r="S632" i="10"/>
  <c r="R632" i="10"/>
  <c r="Q632" i="10"/>
  <c r="P632" i="10"/>
  <c r="O632" i="10"/>
  <c r="N632" i="10"/>
  <c r="K632" i="10"/>
  <c r="J632" i="10"/>
  <c r="I632" i="10"/>
  <c r="H632" i="10"/>
  <c r="G632" i="10"/>
  <c r="F632" i="10"/>
  <c r="E632" i="10"/>
  <c r="D632" i="10"/>
  <c r="C632" i="10"/>
  <c r="B632" i="10"/>
  <c r="S631" i="10"/>
  <c r="R631" i="10"/>
  <c r="Q631" i="10"/>
  <c r="P631" i="10"/>
  <c r="O631" i="10"/>
  <c r="N631" i="10"/>
  <c r="K631" i="10"/>
  <c r="J631" i="10"/>
  <c r="I631" i="10"/>
  <c r="H631" i="10"/>
  <c r="G631" i="10"/>
  <c r="F631" i="10"/>
  <c r="E631" i="10"/>
  <c r="D631" i="10"/>
  <c r="C631" i="10"/>
  <c r="B631" i="10"/>
  <c r="S630" i="10"/>
  <c r="R630" i="10"/>
  <c r="Q630" i="10"/>
  <c r="P630" i="10"/>
  <c r="O630" i="10"/>
  <c r="N630" i="10"/>
  <c r="K630" i="10"/>
  <c r="J630" i="10"/>
  <c r="I630" i="10"/>
  <c r="H630" i="10"/>
  <c r="G630" i="10"/>
  <c r="F630" i="10"/>
  <c r="E630" i="10"/>
  <c r="D630" i="10"/>
  <c r="C630" i="10"/>
  <c r="B630" i="10"/>
  <c r="S629" i="10"/>
  <c r="R629" i="10"/>
  <c r="Q629" i="10"/>
  <c r="P629" i="10"/>
  <c r="O629" i="10"/>
  <c r="N629" i="10"/>
  <c r="K629" i="10"/>
  <c r="J629" i="10"/>
  <c r="I629" i="10"/>
  <c r="H629" i="10"/>
  <c r="G629" i="10"/>
  <c r="F629" i="10"/>
  <c r="E629" i="10"/>
  <c r="D629" i="10"/>
  <c r="C629" i="10"/>
  <c r="B629" i="10"/>
  <c r="I628" i="10"/>
  <c r="H628" i="10"/>
  <c r="G628" i="10"/>
  <c r="D628" i="10"/>
  <c r="I627" i="10"/>
  <c r="H627" i="10"/>
  <c r="G627" i="10"/>
  <c r="F627" i="10"/>
  <c r="D627" i="10"/>
  <c r="O626" i="10"/>
  <c r="N626" i="10"/>
  <c r="J626" i="10"/>
  <c r="I626" i="10"/>
  <c r="H626" i="10"/>
  <c r="G626" i="10"/>
  <c r="F626" i="10"/>
  <c r="E626" i="10"/>
  <c r="D626" i="10"/>
  <c r="P625" i="10"/>
  <c r="O625" i="10"/>
  <c r="J625" i="10"/>
  <c r="I625" i="10"/>
  <c r="H625" i="10"/>
  <c r="G625" i="10"/>
  <c r="F625" i="10"/>
  <c r="E625" i="10"/>
  <c r="D625" i="10"/>
  <c r="A624" i="10"/>
  <c r="S619" i="10"/>
  <c r="R619" i="10"/>
  <c r="Q619" i="10"/>
  <c r="P619" i="10"/>
  <c r="O619" i="10"/>
  <c r="N619" i="10"/>
  <c r="K619" i="10"/>
  <c r="J619" i="10"/>
  <c r="I619" i="10"/>
  <c r="H619" i="10"/>
  <c r="G619" i="10"/>
  <c r="F619" i="10"/>
  <c r="E619" i="10"/>
  <c r="D619" i="10"/>
  <c r="C619" i="10"/>
  <c r="B619" i="10"/>
  <c r="S616" i="10"/>
  <c r="R616" i="10"/>
  <c r="Q616" i="10"/>
  <c r="P616" i="10"/>
  <c r="O616" i="10"/>
  <c r="N616" i="10"/>
  <c r="K616" i="10"/>
  <c r="J616" i="10"/>
  <c r="I616" i="10"/>
  <c r="H616" i="10"/>
  <c r="G616" i="10"/>
  <c r="F616" i="10"/>
  <c r="E616" i="10"/>
  <c r="D616" i="10"/>
  <c r="C616" i="10"/>
  <c r="B616" i="10"/>
  <c r="S615" i="10"/>
  <c r="R615" i="10"/>
  <c r="Q615" i="10"/>
  <c r="P615" i="10"/>
  <c r="O615" i="10"/>
  <c r="N615" i="10"/>
  <c r="K615" i="10"/>
  <c r="J615" i="10"/>
  <c r="I615" i="10"/>
  <c r="H615" i="10"/>
  <c r="G615" i="10"/>
  <c r="F615" i="10"/>
  <c r="E615" i="10"/>
  <c r="D615" i="10"/>
  <c r="C615" i="10"/>
  <c r="B615" i="10"/>
  <c r="S614" i="10"/>
  <c r="R614" i="10"/>
  <c r="Q614" i="10"/>
  <c r="P614" i="10"/>
  <c r="O614" i="10"/>
  <c r="N614" i="10"/>
  <c r="K614" i="10"/>
  <c r="J614" i="10"/>
  <c r="I614" i="10"/>
  <c r="H614" i="10"/>
  <c r="G614" i="10"/>
  <c r="F614" i="10"/>
  <c r="E614" i="10"/>
  <c r="D614" i="10"/>
  <c r="C614" i="10"/>
  <c r="B614" i="10"/>
  <c r="R613" i="10"/>
  <c r="Q613" i="10"/>
  <c r="P613" i="10"/>
  <c r="O613" i="10"/>
  <c r="N613" i="10"/>
  <c r="K613" i="10"/>
  <c r="J613" i="10"/>
  <c r="I613" i="10"/>
  <c r="H613" i="10"/>
  <c r="G613" i="10"/>
  <c r="F613" i="10"/>
  <c r="E613" i="10"/>
  <c r="D613" i="10"/>
  <c r="C613" i="10"/>
  <c r="B613" i="10"/>
  <c r="S612" i="10"/>
  <c r="R612" i="10"/>
  <c r="Q612" i="10"/>
  <c r="P612" i="10"/>
  <c r="O612" i="10"/>
  <c r="N612" i="10"/>
  <c r="K612" i="10"/>
  <c r="J612" i="10"/>
  <c r="I612" i="10"/>
  <c r="H612" i="10"/>
  <c r="G612" i="10"/>
  <c r="F612" i="10"/>
  <c r="E612" i="10"/>
  <c r="D612" i="10"/>
  <c r="C612" i="10"/>
  <c r="B612" i="10"/>
  <c r="S611" i="10"/>
  <c r="R611" i="10"/>
  <c r="Q611" i="10"/>
  <c r="P611" i="10"/>
  <c r="O611" i="10"/>
  <c r="N611" i="10"/>
  <c r="K611" i="10"/>
  <c r="J611" i="10"/>
  <c r="I611" i="10"/>
  <c r="H611" i="10"/>
  <c r="G611" i="10"/>
  <c r="F611" i="10"/>
  <c r="E611" i="10"/>
  <c r="D611" i="10"/>
  <c r="C611" i="10"/>
  <c r="B611" i="10"/>
  <c r="S610" i="10"/>
  <c r="R610" i="10"/>
  <c r="Q610" i="10"/>
  <c r="P610" i="10"/>
  <c r="O610" i="10"/>
  <c r="N610" i="10"/>
  <c r="K610" i="10"/>
  <c r="J610" i="10"/>
  <c r="I610" i="10"/>
  <c r="H610" i="10"/>
  <c r="G610" i="10"/>
  <c r="F610" i="10"/>
  <c r="E610" i="10"/>
  <c r="D610" i="10"/>
  <c r="C610" i="10"/>
  <c r="B610" i="10"/>
  <c r="S609" i="10"/>
  <c r="R609" i="10"/>
  <c r="Q609" i="10"/>
  <c r="P609" i="10"/>
  <c r="O609" i="10"/>
  <c r="N609" i="10"/>
  <c r="K609" i="10"/>
  <c r="J609" i="10"/>
  <c r="H609" i="10"/>
  <c r="G609" i="10"/>
  <c r="C609" i="10"/>
  <c r="B609" i="10"/>
  <c r="R608" i="10"/>
  <c r="Q608" i="10"/>
  <c r="P608" i="10"/>
  <c r="O608" i="10"/>
  <c r="N608" i="10"/>
  <c r="K608" i="10"/>
  <c r="J608" i="10"/>
  <c r="I608" i="10"/>
  <c r="H608" i="10"/>
  <c r="G608" i="10"/>
  <c r="F608" i="10"/>
  <c r="E608" i="10"/>
  <c r="D608" i="10"/>
  <c r="C608" i="10"/>
  <c r="B608" i="10"/>
  <c r="S607" i="10"/>
  <c r="R607" i="10"/>
  <c r="Q607" i="10"/>
  <c r="P607" i="10"/>
  <c r="O607" i="10"/>
  <c r="N607" i="10"/>
  <c r="K607" i="10"/>
  <c r="J607" i="10"/>
  <c r="I607" i="10"/>
  <c r="H607" i="10"/>
  <c r="G607" i="10"/>
  <c r="F607" i="10"/>
  <c r="E607" i="10"/>
  <c r="D607" i="10"/>
  <c r="C607" i="10"/>
  <c r="B607" i="10"/>
  <c r="R606" i="10"/>
  <c r="Q606" i="10"/>
  <c r="P606" i="10"/>
  <c r="O606" i="10"/>
  <c r="N606" i="10"/>
  <c r="K606" i="10"/>
  <c r="J606" i="10"/>
  <c r="I606" i="10"/>
  <c r="H606" i="10"/>
  <c r="G606" i="10"/>
  <c r="F606" i="10"/>
  <c r="E606" i="10"/>
  <c r="D606" i="10"/>
  <c r="C606" i="10"/>
  <c r="B606" i="10"/>
  <c r="S605" i="10"/>
  <c r="R605" i="10"/>
  <c r="Q605" i="10"/>
  <c r="P605" i="10"/>
  <c r="O605" i="10"/>
  <c r="N605" i="10"/>
  <c r="K605" i="10"/>
  <c r="J605" i="10"/>
  <c r="I605" i="10"/>
  <c r="H605" i="10"/>
  <c r="G605" i="10"/>
  <c r="F605" i="10"/>
  <c r="E605" i="10"/>
  <c r="D605" i="10"/>
  <c r="C605" i="10"/>
  <c r="B605" i="10"/>
  <c r="S604" i="10"/>
  <c r="R604" i="10"/>
  <c r="Q604" i="10"/>
  <c r="P604" i="10"/>
  <c r="O604" i="10"/>
  <c r="N604" i="10"/>
  <c r="K604" i="10"/>
  <c r="J604" i="10"/>
  <c r="I604" i="10"/>
  <c r="H604" i="10"/>
  <c r="G604" i="10"/>
  <c r="F604" i="10"/>
  <c r="E604" i="10"/>
  <c r="C604" i="10"/>
  <c r="B604" i="10"/>
  <c r="N603" i="10"/>
  <c r="J603" i="10"/>
  <c r="I603" i="10"/>
  <c r="H603" i="10"/>
  <c r="G603" i="10"/>
  <c r="F603" i="10"/>
  <c r="E603" i="10"/>
  <c r="D603" i="10"/>
  <c r="P602" i="10"/>
  <c r="O602" i="10"/>
  <c r="N602" i="10"/>
  <c r="J602" i="10"/>
  <c r="I602" i="10"/>
  <c r="H602" i="10"/>
  <c r="G602" i="10"/>
  <c r="F602" i="10"/>
  <c r="E602" i="10"/>
  <c r="D602" i="10"/>
  <c r="Q601" i="10"/>
  <c r="P601" i="10"/>
  <c r="O601" i="10"/>
  <c r="N601" i="10"/>
  <c r="J601" i="10"/>
  <c r="I601" i="10"/>
  <c r="H601" i="10"/>
  <c r="G601" i="10"/>
  <c r="F601" i="10"/>
  <c r="E601" i="10"/>
  <c r="D601" i="10"/>
  <c r="Q600" i="10"/>
  <c r="P600" i="10"/>
  <c r="O600" i="10"/>
  <c r="J600" i="10"/>
  <c r="I600" i="10"/>
  <c r="H600" i="10"/>
  <c r="G600" i="10"/>
  <c r="F600" i="10"/>
  <c r="E600" i="10"/>
  <c r="D600" i="10"/>
  <c r="A599" i="10"/>
  <c r="S597" i="10"/>
  <c r="R597" i="10"/>
  <c r="Q597" i="10"/>
  <c r="P597" i="10"/>
  <c r="O597" i="10"/>
  <c r="N597" i="10"/>
  <c r="J597" i="10"/>
  <c r="I597" i="10"/>
  <c r="H597" i="10"/>
  <c r="G597" i="10"/>
  <c r="F597" i="10"/>
  <c r="E597" i="10"/>
  <c r="D597" i="10"/>
  <c r="C597" i="10"/>
  <c r="B597" i="10"/>
  <c r="S594" i="10"/>
  <c r="R594" i="10"/>
  <c r="Q594" i="10"/>
  <c r="P594" i="10"/>
  <c r="O594" i="10"/>
  <c r="N594" i="10"/>
  <c r="J594" i="10"/>
  <c r="I594" i="10"/>
  <c r="H594" i="10"/>
  <c r="G594" i="10"/>
  <c r="F594" i="10"/>
  <c r="E594" i="10"/>
  <c r="D594" i="10"/>
  <c r="C594" i="10"/>
  <c r="B594" i="10"/>
  <c r="S593" i="10"/>
  <c r="R593" i="10"/>
  <c r="Q593" i="10"/>
  <c r="P593" i="10"/>
  <c r="O593" i="10"/>
  <c r="N593" i="10"/>
  <c r="J593" i="10"/>
  <c r="I593" i="10"/>
  <c r="H593" i="10"/>
  <c r="G593" i="10"/>
  <c r="F593" i="10"/>
  <c r="E593" i="10"/>
  <c r="D593" i="10"/>
  <c r="C593" i="10"/>
  <c r="B593" i="10"/>
  <c r="S592" i="10"/>
  <c r="R592" i="10"/>
  <c r="Q592" i="10"/>
  <c r="P592" i="10"/>
  <c r="O592" i="10"/>
  <c r="N592" i="10"/>
  <c r="J592" i="10"/>
  <c r="I592" i="10"/>
  <c r="H592" i="10"/>
  <c r="G592" i="10"/>
  <c r="F592" i="10"/>
  <c r="E592" i="10"/>
  <c r="D592" i="10"/>
  <c r="C592" i="10"/>
  <c r="B592" i="10"/>
  <c r="R591" i="10"/>
  <c r="Q591" i="10"/>
  <c r="P591" i="10"/>
  <c r="O591" i="10"/>
  <c r="N591" i="10"/>
  <c r="J591" i="10"/>
  <c r="I591" i="10"/>
  <c r="H591" i="10"/>
  <c r="G591" i="10"/>
  <c r="F591" i="10"/>
  <c r="E591" i="10"/>
  <c r="D591" i="10"/>
  <c r="C591" i="10"/>
  <c r="B591" i="10"/>
  <c r="S590" i="10"/>
  <c r="R590" i="10"/>
  <c r="Q590" i="10"/>
  <c r="P590" i="10"/>
  <c r="O590" i="10"/>
  <c r="N590" i="10"/>
  <c r="J590" i="10"/>
  <c r="I590" i="10"/>
  <c r="H590" i="10"/>
  <c r="G590" i="10"/>
  <c r="F590" i="10"/>
  <c r="E590" i="10"/>
  <c r="D590" i="10"/>
  <c r="C590" i="10"/>
  <c r="B590" i="10"/>
  <c r="S589" i="10"/>
  <c r="R589" i="10"/>
  <c r="Q589" i="10"/>
  <c r="P589" i="10"/>
  <c r="O589" i="10"/>
  <c r="N589" i="10"/>
  <c r="J589" i="10"/>
  <c r="I589" i="10"/>
  <c r="H589" i="10"/>
  <c r="G589" i="10"/>
  <c r="F589" i="10"/>
  <c r="E589" i="10"/>
  <c r="D589" i="10"/>
  <c r="C589" i="10"/>
  <c r="B589" i="10"/>
  <c r="S588" i="10"/>
  <c r="R588" i="10"/>
  <c r="Q588" i="10"/>
  <c r="P588" i="10"/>
  <c r="O588" i="10"/>
  <c r="N588" i="10"/>
  <c r="J588" i="10"/>
  <c r="I588" i="10"/>
  <c r="H588" i="10"/>
  <c r="G588" i="10"/>
  <c r="F588" i="10"/>
  <c r="E588" i="10"/>
  <c r="D588" i="10"/>
  <c r="C588" i="10"/>
  <c r="B588" i="10"/>
  <c r="S587" i="10"/>
  <c r="R587" i="10"/>
  <c r="Q587" i="10"/>
  <c r="P587" i="10"/>
  <c r="O587" i="10"/>
  <c r="N587" i="10"/>
  <c r="J587" i="10"/>
  <c r="I587" i="10"/>
  <c r="H587" i="10"/>
  <c r="C587" i="10"/>
  <c r="B587" i="10"/>
  <c r="R586" i="10"/>
  <c r="Q586" i="10"/>
  <c r="P586" i="10"/>
  <c r="O586" i="10"/>
  <c r="N586" i="10"/>
  <c r="L586" i="10"/>
  <c r="J586" i="10"/>
  <c r="I586" i="10"/>
  <c r="H586" i="10"/>
  <c r="G586" i="10"/>
  <c r="F586" i="10"/>
  <c r="E586" i="10"/>
  <c r="D586" i="10"/>
  <c r="C586" i="10"/>
  <c r="B586" i="10"/>
  <c r="S585" i="10"/>
  <c r="R585" i="10"/>
  <c r="Q585" i="10"/>
  <c r="P585" i="10"/>
  <c r="O585" i="10"/>
  <c r="N585" i="10"/>
  <c r="L585" i="10"/>
  <c r="J585" i="10"/>
  <c r="I585" i="10"/>
  <c r="H585" i="10"/>
  <c r="G585" i="10"/>
  <c r="F585" i="10"/>
  <c r="E585" i="10"/>
  <c r="D585" i="10"/>
  <c r="C585" i="10"/>
  <c r="B585" i="10"/>
  <c r="R584" i="10"/>
  <c r="Q584" i="10"/>
  <c r="P584" i="10"/>
  <c r="O584" i="10"/>
  <c r="N584" i="10"/>
  <c r="J584" i="10"/>
  <c r="I584" i="10"/>
  <c r="H584" i="10"/>
  <c r="G584" i="10"/>
  <c r="F584" i="10"/>
  <c r="E584" i="10"/>
  <c r="D584" i="10"/>
  <c r="C584" i="10"/>
  <c r="B584" i="10"/>
  <c r="S583" i="10"/>
  <c r="R583" i="10"/>
  <c r="Q583" i="10"/>
  <c r="P583" i="10"/>
  <c r="O583" i="10"/>
  <c r="N583" i="10"/>
  <c r="J583" i="10"/>
  <c r="I583" i="10"/>
  <c r="H583" i="10"/>
  <c r="G583" i="10"/>
  <c r="F583" i="10"/>
  <c r="E583" i="10"/>
  <c r="D583" i="10"/>
  <c r="C583" i="10"/>
  <c r="B583" i="10"/>
  <c r="S582" i="10"/>
  <c r="R582" i="10"/>
  <c r="Q582" i="10"/>
  <c r="P582" i="10"/>
  <c r="O582" i="10"/>
  <c r="N582" i="10"/>
  <c r="J582" i="10"/>
  <c r="I582" i="10"/>
  <c r="H582" i="10"/>
  <c r="G582" i="10"/>
  <c r="F582" i="10"/>
  <c r="E582" i="10"/>
  <c r="D582" i="10"/>
  <c r="C582" i="10"/>
  <c r="B582" i="10"/>
  <c r="I581" i="10"/>
  <c r="H581" i="10"/>
  <c r="G581" i="10"/>
  <c r="F581" i="10"/>
  <c r="E581" i="10"/>
  <c r="D581" i="10"/>
  <c r="P580" i="10"/>
  <c r="O580" i="10"/>
  <c r="N580" i="10"/>
  <c r="I580" i="10"/>
  <c r="H580" i="10"/>
  <c r="G580" i="10"/>
  <c r="F580" i="10"/>
  <c r="E580" i="10"/>
  <c r="D580" i="10"/>
  <c r="Q579" i="10"/>
  <c r="P579" i="10"/>
  <c r="O579" i="10"/>
  <c r="N579" i="10"/>
  <c r="I579" i="10"/>
  <c r="H579" i="10"/>
  <c r="G579" i="10"/>
  <c r="F579" i="10"/>
  <c r="E579" i="10"/>
  <c r="D579" i="10"/>
  <c r="Q578" i="10"/>
  <c r="P578" i="10"/>
  <c r="O578" i="10"/>
  <c r="J578" i="10"/>
  <c r="I578" i="10"/>
  <c r="H578" i="10"/>
  <c r="G578" i="10"/>
  <c r="F578" i="10"/>
  <c r="E578" i="10"/>
  <c r="D578" i="10"/>
  <c r="A577" i="10"/>
  <c r="S572" i="10"/>
  <c r="R572" i="10"/>
  <c r="Q572" i="10"/>
  <c r="P572" i="10"/>
  <c r="O572" i="10"/>
  <c r="K572" i="10"/>
  <c r="J572" i="10"/>
  <c r="I572" i="10"/>
  <c r="H572" i="10"/>
  <c r="G572" i="10"/>
  <c r="F572" i="10"/>
  <c r="E572" i="10"/>
  <c r="D572" i="10"/>
  <c r="C572" i="10"/>
  <c r="B572" i="10"/>
  <c r="S569" i="10"/>
  <c r="R569" i="10"/>
  <c r="Q569" i="10"/>
  <c r="P569" i="10"/>
  <c r="O569" i="10"/>
  <c r="K569" i="10"/>
  <c r="J569" i="10"/>
  <c r="I569" i="10"/>
  <c r="H569" i="10"/>
  <c r="G569" i="10"/>
  <c r="F569" i="10"/>
  <c r="E569" i="10"/>
  <c r="D569" i="10"/>
  <c r="C569" i="10"/>
  <c r="B569" i="10"/>
  <c r="S568" i="10"/>
  <c r="R568" i="10"/>
  <c r="Q568" i="10"/>
  <c r="P568" i="10"/>
  <c r="O568" i="10"/>
  <c r="K568" i="10"/>
  <c r="J568" i="10"/>
  <c r="I568" i="10"/>
  <c r="H568" i="10"/>
  <c r="G568" i="10"/>
  <c r="F568" i="10"/>
  <c r="E568" i="10"/>
  <c r="D568" i="10"/>
  <c r="C568" i="10"/>
  <c r="B568" i="10"/>
  <c r="S567" i="10"/>
  <c r="R567" i="10"/>
  <c r="Q567" i="10"/>
  <c r="P567" i="10"/>
  <c r="O567" i="10"/>
  <c r="K567" i="10"/>
  <c r="J567" i="10"/>
  <c r="I567" i="10"/>
  <c r="H567" i="10"/>
  <c r="G567" i="10"/>
  <c r="F567" i="10"/>
  <c r="E567" i="10"/>
  <c r="D567" i="10"/>
  <c r="C567" i="10"/>
  <c r="B567" i="10"/>
  <c r="R566" i="10"/>
  <c r="Q566" i="10"/>
  <c r="P566" i="10"/>
  <c r="O566" i="10"/>
  <c r="N566" i="10"/>
  <c r="K566" i="10"/>
  <c r="J566" i="10"/>
  <c r="I566" i="10"/>
  <c r="H566" i="10"/>
  <c r="G566" i="10"/>
  <c r="F566" i="10"/>
  <c r="E566" i="10"/>
  <c r="D566" i="10"/>
  <c r="C566" i="10"/>
  <c r="B566" i="10"/>
  <c r="S565" i="10"/>
  <c r="R565" i="10"/>
  <c r="Q565" i="10"/>
  <c r="P565" i="10"/>
  <c r="O565" i="10"/>
  <c r="N565" i="10"/>
  <c r="K565" i="10"/>
  <c r="J565" i="10"/>
  <c r="I565" i="10"/>
  <c r="H565" i="10"/>
  <c r="G565" i="10"/>
  <c r="F565" i="10"/>
  <c r="E565" i="10"/>
  <c r="D565" i="10"/>
  <c r="C565" i="10"/>
  <c r="B565" i="10"/>
  <c r="S564" i="10"/>
  <c r="R564" i="10"/>
  <c r="Q564" i="10"/>
  <c r="P564" i="10"/>
  <c r="O564" i="10"/>
  <c r="N564" i="10"/>
  <c r="K564" i="10"/>
  <c r="J564" i="10"/>
  <c r="I564" i="10"/>
  <c r="H564" i="10"/>
  <c r="G564" i="10"/>
  <c r="F564" i="10"/>
  <c r="E564" i="10"/>
  <c r="D564" i="10"/>
  <c r="C564" i="10"/>
  <c r="B564" i="10"/>
  <c r="S563" i="10"/>
  <c r="R563" i="10"/>
  <c r="Q563" i="10"/>
  <c r="P563" i="10"/>
  <c r="O563" i="10"/>
  <c r="N563" i="10"/>
  <c r="K563" i="10"/>
  <c r="J563" i="10"/>
  <c r="I563" i="10"/>
  <c r="H563" i="10"/>
  <c r="G563" i="10"/>
  <c r="F563" i="10"/>
  <c r="E563" i="10"/>
  <c r="D563" i="10"/>
  <c r="C563" i="10"/>
  <c r="B563" i="10"/>
  <c r="S562" i="10"/>
  <c r="R562" i="10"/>
  <c r="Q562" i="10"/>
  <c r="P562" i="10"/>
  <c r="O562" i="10"/>
  <c r="N562" i="10"/>
  <c r="K562" i="10"/>
  <c r="J562" i="10"/>
  <c r="H562" i="10"/>
  <c r="C562" i="10"/>
  <c r="B562" i="10"/>
  <c r="R561" i="10"/>
  <c r="Q561" i="10"/>
  <c r="P561" i="10"/>
  <c r="O561" i="10"/>
  <c r="N561" i="10"/>
  <c r="K561" i="10"/>
  <c r="J561" i="10"/>
  <c r="I561" i="10"/>
  <c r="G561" i="10"/>
  <c r="F561" i="10"/>
  <c r="E561" i="10"/>
  <c r="D561" i="10"/>
  <c r="C561" i="10"/>
  <c r="B561" i="10"/>
  <c r="S560" i="10"/>
  <c r="R560" i="10"/>
  <c r="Q560" i="10"/>
  <c r="P560" i="10"/>
  <c r="O560" i="10"/>
  <c r="N560" i="10"/>
  <c r="K560" i="10"/>
  <c r="J560" i="10"/>
  <c r="I560" i="10"/>
  <c r="H560" i="10"/>
  <c r="G560" i="10"/>
  <c r="F560" i="10"/>
  <c r="E560" i="10"/>
  <c r="D560" i="10"/>
  <c r="C560" i="10"/>
  <c r="B560" i="10"/>
  <c r="R559" i="10"/>
  <c r="Q559" i="10"/>
  <c r="P559" i="10"/>
  <c r="O559" i="10"/>
  <c r="N559" i="10"/>
  <c r="K559" i="10"/>
  <c r="J559" i="10"/>
  <c r="I559" i="10"/>
  <c r="H559" i="10"/>
  <c r="G559" i="10"/>
  <c r="F559" i="10"/>
  <c r="E559" i="10"/>
  <c r="D559" i="10"/>
  <c r="C559" i="10"/>
  <c r="B559" i="10"/>
  <c r="S558" i="10"/>
  <c r="R558" i="10"/>
  <c r="Q558" i="10"/>
  <c r="P558" i="10"/>
  <c r="O558" i="10"/>
  <c r="N558" i="10"/>
  <c r="K558" i="10"/>
  <c r="J558" i="10"/>
  <c r="I558" i="10"/>
  <c r="H558" i="10"/>
  <c r="G558" i="10"/>
  <c r="F558" i="10"/>
  <c r="E558" i="10"/>
  <c r="D558" i="10"/>
  <c r="C558" i="10"/>
  <c r="B558" i="10"/>
  <c r="S557" i="10"/>
  <c r="R557" i="10"/>
  <c r="Q557" i="10"/>
  <c r="P557" i="10"/>
  <c r="O557" i="10"/>
  <c r="N557" i="10"/>
  <c r="K557" i="10"/>
  <c r="J557" i="10"/>
  <c r="I557" i="10"/>
  <c r="H557" i="10"/>
  <c r="G557" i="10"/>
  <c r="F557" i="10"/>
  <c r="E557" i="10"/>
  <c r="D557" i="10"/>
  <c r="C557" i="10"/>
  <c r="B557" i="10"/>
  <c r="J556" i="10"/>
  <c r="I556" i="10"/>
  <c r="H556" i="10"/>
  <c r="G556" i="10"/>
  <c r="F556" i="10"/>
  <c r="E556" i="10"/>
  <c r="D556" i="10"/>
  <c r="P555" i="10"/>
  <c r="O555" i="10"/>
  <c r="J555" i="10"/>
  <c r="I555" i="10"/>
  <c r="H555" i="10"/>
  <c r="G555" i="10"/>
  <c r="F555" i="10"/>
  <c r="E555" i="10"/>
  <c r="D555" i="10"/>
  <c r="Q554" i="10"/>
  <c r="P554" i="10"/>
  <c r="O554" i="10"/>
  <c r="J554" i="10"/>
  <c r="I554" i="10"/>
  <c r="H554" i="10"/>
  <c r="G554" i="10"/>
  <c r="F554" i="10"/>
  <c r="E554" i="10"/>
  <c r="D554" i="10"/>
  <c r="Q553" i="10"/>
  <c r="P553" i="10"/>
  <c r="O553" i="10"/>
  <c r="J553" i="10"/>
  <c r="I553" i="10"/>
  <c r="H553" i="10"/>
  <c r="G553" i="10"/>
  <c r="F553" i="10"/>
  <c r="E553" i="10"/>
  <c r="D553" i="10"/>
  <c r="A552" i="10"/>
  <c r="R550" i="10"/>
  <c r="Q550" i="10"/>
  <c r="P550" i="10"/>
  <c r="O550" i="10"/>
  <c r="N550" i="10"/>
  <c r="K550" i="10"/>
  <c r="J550" i="10"/>
  <c r="I550" i="10"/>
  <c r="H550" i="10"/>
  <c r="G550" i="10"/>
  <c r="F550" i="10"/>
  <c r="E550" i="10"/>
  <c r="D550" i="10"/>
  <c r="C550" i="10"/>
  <c r="B550" i="10"/>
  <c r="R547" i="10"/>
  <c r="Q547" i="10"/>
  <c r="P547" i="10"/>
  <c r="O547" i="10"/>
  <c r="N547" i="10"/>
  <c r="K547" i="10"/>
  <c r="J547" i="10"/>
  <c r="I547" i="10"/>
  <c r="H547" i="10"/>
  <c r="G547" i="10"/>
  <c r="F547" i="10"/>
  <c r="E547" i="10"/>
  <c r="D547" i="10"/>
  <c r="C547" i="10"/>
  <c r="B547" i="10"/>
  <c r="S546" i="10"/>
  <c r="R546" i="10"/>
  <c r="Q546" i="10"/>
  <c r="P546" i="10"/>
  <c r="O546" i="10"/>
  <c r="N546" i="10"/>
  <c r="K546" i="10"/>
  <c r="J546" i="10"/>
  <c r="I546" i="10"/>
  <c r="H546" i="10"/>
  <c r="G546" i="10"/>
  <c r="F546" i="10"/>
  <c r="E546" i="10"/>
  <c r="D546" i="10"/>
  <c r="C546" i="10"/>
  <c r="B546" i="10"/>
  <c r="R545" i="10"/>
  <c r="Q545" i="10"/>
  <c r="P545" i="10"/>
  <c r="O545" i="10"/>
  <c r="N545" i="10"/>
  <c r="K545" i="10"/>
  <c r="J545" i="10"/>
  <c r="I545" i="10"/>
  <c r="H545" i="10"/>
  <c r="G545" i="10"/>
  <c r="F545" i="10"/>
  <c r="E545" i="10"/>
  <c r="D545" i="10"/>
  <c r="C545" i="10"/>
  <c r="B545" i="10"/>
  <c r="R544" i="10"/>
  <c r="Q544" i="10"/>
  <c r="P544" i="10"/>
  <c r="O544" i="10"/>
  <c r="N544" i="10"/>
  <c r="K544" i="10"/>
  <c r="J544" i="10"/>
  <c r="I544" i="10"/>
  <c r="H544" i="10"/>
  <c r="G544" i="10"/>
  <c r="F544" i="10"/>
  <c r="E544" i="10"/>
  <c r="D544" i="10"/>
  <c r="C544" i="10"/>
  <c r="B544" i="10"/>
  <c r="R543" i="10"/>
  <c r="Q543" i="10"/>
  <c r="P543" i="10"/>
  <c r="O543" i="10"/>
  <c r="N543" i="10"/>
  <c r="K543" i="10"/>
  <c r="J543" i="10"/>
  <c r="I543" i="10"/>
  <c r="H543" i="10"/>
  <c r="G543" i="10"/>
  <c r="F543" i="10"/>
  <c r="E543" i="10"/>
  <c r="D543" i="10"/>
  <c r="C543" i="10"/>
  <c r="B543" i="10"/>
  <c r="R542" i="10"/>
  <c r="Q542" i="10"/>
  <c r="P542" i="10"/>
  <c r="O542" i="10"/>
  <c r="N542" i="10"/>
  <c r="K542" i="10"/>
  <c r="J542" i="10"/>
  <c r="I542" i="10"/>
  <c r="H542" i="10"/>
  <c r="G542" i="10"/>
  <c r="F542" i="10"/>
  <c r="E542" i="10"/>
  <c r="D542" i="10"/>
  <c r="C542" i="10"/>
  <c r="B542" i="10"/>
  <c r="R541" i="10"/>
  <c r="Q541" i="10"/>
  <c r="P541" i="10"/>
  <c r="O541" i="10"/>
  <c r="N541" i="10"/>
  <c r="K541" i="10"/>
  <c r="J541" i="10"/>
  <c r="I541" i="10"/>
  <c r="H541" i="10"/>
  <c r="G541" i="10"/>
  <c r="F541" i="10"/>
  <c r="E541" i="10"/>
  <c r="D541" i="10"/>
  <c r="C541" i="10"/>
  <c r="B541" i="10"/>
  <c r="R540" i="10"/>
  <c r="P540" i="10"/>
  <c r="O540" i="10"/>
  <c r="N540" i="10"/>
  <c r="K540" i="10"/>
  <c r="J540" i="10"/>
  <c r="I540" i="10"/>
  <c r="H540" i="10"/>
  <c r="C540" i="10"/>
  <c r="B540" i="10"/>
  <c r="R539" i="10"/>
  <c r="Q539" i="10"/>
  <c r="P539" i="10"/>
  <c r="O539" i="10"/>
  <c r="N539" i="10"/>
  <c r="K539" i="10"/>
  <c r="J539" i="10"/>
  <c r="I539" i="10"/>
  <c r="G539" i="10"/>
  <c r="F539" i="10"/>
  <c r="E539" i="10"/>
  <c r="D539" i="10"/>
  <c r="C539" i="10"/>
  <c r="B539" i="10"/>
  <c r="R538" i="10"/>
  <c r="Q538" i="10"/>
  <c r="P538" i="10"/>
  <c r="O538" i="10"/>
  <c r="N538" i="10"/>
  <c r="K538" i="10"/>
  <c r="J538" i="10"/>
  <c r="I538" i="10"/>
  <c r="H538" i="10"/>
  <c r="G538" i="10"/>
  <c r="F538" i="10"/>
  <c r="E538" i="10"/>
  <c r="D538" i="10"/>
  <c r="C538" i="10"/>
  <c r="B538" i="10"/>
  <c r="R537" i="10"/>
  <c r="Q537" i="10"/>
  <c r="P537" i="10"/>
  <c r="O537" i="10"/>
  <c r="N537" i="10"/>
  <c r="K537" i="10"/>
  <c r="J537" i="10"/>
  <c r="I537" i="10"/>
  <c r="H537" i="10"/>
  <c r="G537" i="10"/>
  <c r="F537" i="10"/>
  <c r="E537" i="10"/>
  <c r="D537" i="10"/>
  <c r="C537" i="10"/>
  <c r="B537" i="10"/>
  <c r="R536" i="10"/>
  <c r="Q536" i="10"/>
  <c r="P536" i="10"/>
  <c r="O536" i="10"/>
  <c r="N536" i="10"/>
  <c r="K536" i="10"/>
  <c r="J536" i="10"/>
  <c r="I536" i="10"/>
  <c r="H536" i="10"/>
  <c r="G536" i="10"/>
  <c r="F536" i="10"/>
  <c r="E536" i="10"/>
  <c r="D536" i="10"/>
  <c r="C536" i="10"/>
  <c r="B536" i="10"/>
  <c r="Q535" i="10"/>
  <c r="P535" i="10"/>
  <c r="O535" i="10"/>
  <c r="H535" i="10"/>
  <c r="G535" i="10"/>
  <c r="F535" i="10"/>
  <c r="E535" i="10"/>
  <c r="D535" i="10"/>
  <c r="Q534" i="10"/>
  <c r="P534" i="10"/>
  <c r="H534" i="10"/>
  <c r="G534" i="10"/>
  <c r="E534" i="10"/>
  <c r="D534" i="10"/>
  <c r="Q533" i="10"/>
  <c r="P533" i="10"/>
  <c r="O533" i="10"/>
  <c r="H533" i="10"/>
  <c r="G533" i="10"/>
  <c r="F533" i="10"/>
  <c r="E533" i="10"/>
  <c r="D533" i="10"/>
  <c r="R532" i="10"/>
  <c r="Q532" i="10"/>
  <c r="P532" i="10"/>
  <c r="O532" i="10"/>
  <c r="I532" i="10"/>
  <c r="H532" i="10"/>
  <c r="G532" i="10"/>
  <c r="F532" i="10"/>
  <c r="E532" i="10"/>
  <c r="D532" i="10"/>
  <c r="Q531" i="10"/>
  <c r="P531" i="10"/>
  <c r="O531" i="10"/>
  <c r="I531" i="10"/>
  <c r="H531" i="10"/>
  <c r="G531" i="10"/>
  <c r="F531" i="10"/>
  <c r="E531" i="10"/>
  <c r="D531" i="10"/>
  <c r="S428" i="10"/>
  <c r="S666" i="10" s="1"/>
  <c r="R428" i="10"/>
  <c r="Q428" i="10"/>
  <c r="P428" i="10"/>
  <c r="O428" i="10"/>
  <c r="N428" i="10"/>
  <c r="K428" i="10"/>
  <c r="J428" i="10"/>
  <c r="I428" i="10"/>
  <c r="H428" i="10"/>
  <c r="G428" i="10"/>
  <c r="F428" i="10"/>
  <c r="E428" i="10"/>
  <c r="D428" i="10"/>
  <c r="C428" i="10"/>
  <c r="C666" i="10" s="1"/>
  <c r="B428" i="10"/>
  <c r="S425" i="10"/>
  <c r="S663" i="10" s="1"/>
  <c r="R425" i="10"/>
  <c r="Q425" i="10"/>
  <c r="P425" i="10"/>
  <c r="O425" i="10"/>
  <c r="N425" i="10"/>
  <c r="K425" i="10"/>
  <c r="J425" i="10"/>
  <c r="I425" i="10"/>
  <c r="H425" i="10"/>
  <c r="G425" i="10"/>
  <c r="F425" i="10"/>
  <c r="E425" i="10"/>
  <c r="D425" i="10"/>
  <c r="D663" i="10" s="1"/>
  <c r="C425" i="10"/>
  <c r="B425" i="10"/>
  <c r="S424" i="10"/>
  <c r="R424" i="10"/>
  <c r="Q424" i="10"/>
  <c r="P424" i="10"/>
  <c r="O424" i="10"/>
  <c r="N424" i="10"/>
  <c r="K424" i="10"/>
  <c r="J424" i="10"/>
  <c r="I424" i="10"/>
  <c r="H424" i="10"/>
  <c r="G424" i="10"/>
  <c r="F424" i="10"/>
  <c r="E424" i="10"/>
  <c r="E662" i="10" s="1"/>
  <c r="D424" i="10"/>
  <c r="C424" i="10"/>
  <c r="B424" i="10"/>
  <c r="S423" i="10"/>
  <c r="S661" i="10" s="1"/>
  <c r="R423" i="10"/>
  <c r="Q423" i="10"/>
  <c r="P423" i="10"/>
  <c r="O423" i="10"/>
  <c r="N423" i="10"/>
  <c r="K423" i="10"/>
  <c r="J423" i="10"/>
  <c r="I423" i="10"/>
  <c r="H423" i="10"/>
  <c r="G423" i="10"/>
  <c r="F423" i="10"/>
  <c r="F661" i="10" s="1"/>
  <c r="E423" i="10"/>
  <c r="D423" i="10"/>
  <c r="C423" i="10"/>
  <c r="B423" i="10"/>
  <c r="R422" i="10"/>
  <c r="Q422" i="10"/>
  <c r="P422" i="10"/>
  <c r="O422" i="10"/>
  <c r="N422" i="10"/>
  <c r="K422" i="10"/>
  <c r="J422" i="10"/>
  <c r="I422" i="10"/>
  <c r="H422" i="10"/>
  <c r="G422" i="10"/>
  <c r="G660" i="10" s="1"/>
  <c r="F422" i="10"/>
  <c r="E422" i="10"/>
  <c r="D422" i="10"/>
  <c r="C422" i="10"/>
  <c r="B422" i="10"/>
  <c r="S421" i="10"/>
  <c r="S659" i="10" s="1"/>
  <c r="R421" i="10"/>
  <c r="Q421" i="10"/>
  <c r="P421" i="10"/>
  <c r="O421" i="10"/>
  <c r="N421" i="10"/>
  <c r="K421" i="10"/>
  <c r="J421" i="10"/>
  <c r="I421" i="10"/>
  <c r="H421" i="10"/>
  <c r="H659" i="10" s="1"/>
  <c r="G421" i="10"/>
  <c r="F421" i="10"/>
  <c r="E421" i="10"/>
  <c r="D421" i="10"/>
  <c r="C421" i="10"/>
  <c r="B421" i="10"/>
  <c r="S420" i="10"/>
  <c r="S658" i="10" s="1"/>
  <c r="R420" i="10"/>
  <c r="Q420" i="10"/>
  <c r="P420" i="10"/>
  <c r="O420" i="10"/>
  <c r="N420" i="10"/>
  <c r="K420" i="10"/>
  <c r="J420" i="10"/>
  <c r="I420" i="10"/>
  <c r="I658" i="10" s="1"/>
  <c r="H420" i="10"/>
  <c r="G420" i="10"/>
  <c r="F420" i="10"/>
  <c r="E420" i="10"/>
  <c r="D420" i="10"/>
  <c r="C420" i="10"/>
  <c r="B420" i="10"/>
  <c r="S419" i="10"/>
  <c r="S657" i="10" s="1"/>
  <c r="R419" i="10"/>
  <c r="Q419" i="10"/>
  <c r="P419" i="10"/>
  <c r="O419" i="10"/>
  <c r="N419" i="10"/>
  <c r="K419" i="10"/>
  <c r="J419" i="10"/>
  <c r="J657" i="10" s="1"/>
  <c r="I419" i="10"/>
  <c r="H419" i="10"/>
  <c r="G419" i="10"/>
  <c r="F419" i="10"/>
  <c r="E419" i="10"/>
  <c r="D419" i="10"/>
  <c r="C419" i="10"/>
  <c r="B419" i="10"/>
  <c r="S418" i="10"/>
  <c r="S656" i="10" s="1"/>
  <c r="R418" i="10"/>
  <c r="Q418" i="10"/>
  <c r="Q656" i="10" s="1"/>
  <c r="P418" i="10"/>
  <c r="O418" i="10"/>
  <c r="N418" i="10"/>
  <c r="K418" i="10"/>
  <c r="J418" i="10"/>
  <c r="J656" i="10" s="1"/>
  <c r="H418" i="10"/>
  <c r="C418" i="10"/>
  <c r="B418" i="10"/>
  <c r="B656" i="10" s="1"/>
  <c r="R417" i="10"/>
  <c r="Q417" i="10"/>
  <c r="P417" i="10"/>
  <c r="O417" i="10"/>
  <c r="N417" i="10"/>
  <c r="K417" i="10"/>
  <c r="K655" i="10" s="1"/>
  <c r="J417" i="10"/>
  <c r="I417" i="10"/>
  <c r="G417" i="10"/>
  <c r="F417" i="10"/>
  <c r="E417" i="10"/>
  <c r="D417" i="10"/>
  <c r="C417" i="10"/>
  <c r="C655" i="10" s="1"/>
  <c r="B417" i="10"/>
  <c r="S416" i="10"/>
  <c r="S654" i="10" s="1"/>
  <c r="R416" i="10"/>
  <c r="Q416" i="10"/>
  <c r="P416" i="10"/>
  <c r="O416" i="10"/>
  <c r="N416" i="10"/>
  <c r="K416" i="10"/>
  <c r="J416" i="10"/>
  <c r="I416" i="10"/>
  <c r="H416" i="10"/>
  <c r="G416" i="10"/>
  <c r="F416" i="10"/>
  <c r="E416" i="10"/>
  <c r="D416" i="10"/>
  <c r="D654" i="10" s="1"/>
  <c r="C416" i="10"/>
  <c r="B416" i="10"/>
  <c r="R415" i="10"/>
  <c r="Q415" i="10"/>
  <c r="P415" i="10"/>
  <c r="O415" i="10"/>
  <c r="N415" i="10"/>
  <c r="N653" i="10" s="1"/>
  <c r="K415" i="10"/>
  <c r="J415" i="10"/>
  <c r="I415" i="10"/>
  <c r="H415" i="10"/>
  <c r="G415" i="10"/>
  <c r="F415" i="10"/>
  <c r="E415" i="10"/>
  <c r="E653" i="10" s="1"/>
  <c r="D415" i="10"/>
  <c r="C415" i="10"/>
  <c r="B415" i="10"/>
  <c r="S414" i="10"/>
  <c r="S652" i="10" s="1"/>
  <c r="R414" i="10"/>
  <c r="Q414" i="10"/>
  <c r="P414" i="10"/>
  <c r="O414" i="10"/>
  <c r="N414" i="10"/>
  <c r="K414" i="10"/>
  <c r="J414" i="10"/>
  <c r="J652" i="10" s="1"/>
  <c r="I414" i="10"/>
  <c r="H414" i="10"/>
  <c r="H485" i="10" s="1"/>
  <c r="H677" i="10" s="1"/>
  <c r="G414" i="10"/>
  <c r="F414" i="10"/>
  <c r="E414" i="10"/>
  <c r="D414" i="10"/>
  <c r="C414" i="10"/>
  <c r="B414" i="10"/>
  <c r="S413" i="10"/>
  <c r="R413" i="10"/>
  <c r="R484" i="10" s="1"/>
  <c r="Q413" i="10"/>
  <c r="Q484" i="10" s="1"/>
  <c r="P413" i="10"/>
  <c r="P484" i="10" s="1"/>
  <c r="O413" i="10"/>
  <c r="O484" i="10" s="1"/>
  <c r="N413" i="10"/>
  <c r="N484" i="10" s="1"/>
  <c r="K413" i="10"/>
  <c r="K484" i="10" s="1"/>
  <c r="J413" i="10"/>
  <c r="J484" i="10" s="1"/>
  <c r="I413" i="10"/>
  <c r="I484" i="10" s="1"/>
  <c r="H413" i="10"/>
  <c r="H484" i="10" s="1"/>
  <c r="G413" i="10"/>
  <c r="G484" i="10" s="1"/>
  <c r="F413" i="10"/>
  <c r="F484" i="10" s="1"/>
  <c r="E413" i="10"/>
  <c r="E484" i="10" s="1"/>
  <c r="C413" i="10"/>
  <c r="C484" i="10" s="1"/>
  <c r="B413" i="10"/>
  <c r="B484" i="10" s="1"/>
  <c r="S412" i="10"/>
  <c r="R412" i="10"/>
  <c r="R483" i="10" s="1"/>
  <c r="Q412" i="10"/>
  <c r="Q483" i="10" s="1"/>
  <c r="P412" i="10"/>
  <c r="P483" i="10" s="1"/>
  <c r="O412" i="10"/>
  <c r="O483" i="10" s="1"/>
  <c r="N412" i="10"/>
  <c r="N483" i="10" s="1"/>
  <c r="K412" i="10"/>
  <c r="K483" i="10" s="1"/>
  <c r="J412" i="10"/>
  <c r="J483" i="10" s="1"/>
  <c r="I412" i="10"/>
  <c r="I483" i="10" s="1"/>
  <c r="H412" i="10"/>
  <c r="H483" i="10" s="1"/>
  <c r="G412" i="10"/>
  <c r="G483" i="10" s="1"/>
  <c r="F412" i="10"/>
  <c r="F483" i="10" s="1"/>
  <c r="E412" i="10"/>
  <c r="E483" i="10" s="1"/>
  <c r="D412" i="10"/>
  <c r="D483" i="10" s="1"/>
  <c r="C412" i="10"/>
  <c r="C483" i="10" s="1"/>
  <c r="B412" i="10"/>
  <c r="B483" i="10" s="1"/>
  <c r="S411" i="10"/>
  <c r="R411" i="10"/>
  <c r="R482" i="10" s="1"/>
  <c r="Q411" i="10"/>
  <c r="Q482" i="10" s="1"/>
  <c r="P411" i="10"/>
  <c r="P482" i="10" s="1"/>
  <c r="O411" i="10"/>
  <c r="O482" i="10" s="1"/>
  <c r="N411" i="10"/>
  <c r="N482" i="10" s="1"/>
  <c r="K411" i="10"/>
  <c r="K482" i="10" s="1"/>
  <c r="J411" i="10"/>
  <c r="J482" i="10" s="1"/>
  <c r="I411" i="10"/>
  <c r="I482" i="10" s="1"/>
  <c r="H411" i="10"/>
  <c r="H482" i="10" s="1"/>
  <c r="G411" i="10"/>
  <c r="G482" i="10" s="1"/>
  <c r="F411" i="10"/>
  <c r="F482" i="10" s="1"/>
  <c r="E411" i="10"/>
  <c r="E482" i="10" s="1"/>
  <c r="D411" i="10"/>
  <c r="D482" i="10" s="1"/>
  <c r="C411" i="10"/>
  <c r="C482" i="10" s="1"/>
  <c r="B411" i="10"/>
  <c r="B482" i="10" s="1"/>
  <c r="S410" i="10"/>
  <c r="R410" i="10"/>
  <c r="R481" i="10" s="1"/>
  <c r="Q410" i="10"/>
  <c r="Q481" i="10" s="1"/>
  <c r="P410" i="10"/>
  <c r="P481" i="10" s="1"/>
  <c r="O410" i="10"/>
  <c r="O481" i="10" s="1"/>
  <c r="N410" i="10"/>
  <c r="N481" i="10" s="1"/>
  <c r="K410" i="10"/>
  <c r="K481" i="10" s="1"/>
  <c r="J410" i="10"/>
  <c r="J481" i="10" s="1"/>
  <c r="I410" i="10"/>
  <c r="I481" i="10" s="1"/>
  <c r="H410" i="10"/>
  <c r="H481" i="10" s="1"/>
  <c r="G410" i="10"/>
  <c r="G481" i="10" s="1"/>
  <c r="F410" i="10"/>
  <c r="F481" i="10" s="1"/>
  <c r="E410" i="10"/>
  <c r="E481" i="10" s="1"/>
  <c r="D410" i="10"/>
  <c r="D481" i="10" s="1"/>
  <c r="C410" i="10"/>
  <c r="C481" i="10" s="1"/>
  <c r="B410" i="10"/>
  <c r="B481" i="10" s="1"/>
  <c r="S409" i="10"/>
  <c r="S651" i="10" s="1"/>
  <c r="R409" i="10"/>
  <c r="Q409" i="10"/>
  <c r="P409" i="10"/>
  <c r="P651" i="10" s="1"/>
  <c r="O409" i="10"/>
  <c r="N409" i="10"/>
  <c r="K409" i="10"/>
  <c r="J409" i="10"/>
  <c r="J651" i="10" s="1"/>
  <c r="I409" i="10"/>
  <c r="H409" i="10"/>
  <c r="G409" i="10"/>
  <c r="F409" i="10"/>
  <c r="E409" i="10"/>
  <c r="D409" i="10"/>
  <c r="C409" i="10"/>
  <c r="B409" i="10"/>
  <c r="S408" i="10"/>
  <c r="R408" i="10"/>
  <c r="R479" i="10" s="1"/>
  <c r="Q408" i="10"/>
  <c r="Q479" i="10" s="1"/>
  <c r="P408" i="10"/>
  <c r="P479" i="10" s="1"/>
  <c r="O408" i="10"/>
  <c r="O479" i="10" s="1"/>
  <c r="N408" i="10"/>
  <c r="N479" i="10" s="1"/>
  <c r="K408" i="10"/>
  <c r="K479" i="10" s="1"/>
  <c r="J408" i="10"/>
  <c r="J479" i="10" s="1"/>
  <c r="I408" i="10"/>
  <c r="I479" i="10" s="1"/>
  <c r="H408" i="10"/>
  <c r="H479" i="10" s="1"/>
  <c r="G408" i="10"/>
  <c r="G479" i="10" s="1"/>
  <c r="F408" i="10"/>
  <c r="F479" i="10" s="1"/>
  <c r="E408" i="10"/>
  <c r="E479" i="10" s="1"/>
  <c r="D408" i="10"/>
  <c r="D479" i="10" s="1"/>
  <c r="C408" i="10"/>
  <c r="C479" i="10" s="1"/>
  <c r="B408" i="10"/>
  <c r="B479" i="10" s="1"/>
  <c r="S407" i="10"/>
  <c r="S478" i="10" s="1"/>
  <c r="R407" i="10"/>
  <c r="R478" i="10" s="1"/>
  <c r="Q407" i="10"/>
  <c r="Q478" i="10" s="1"/>
  <c r="P407" i="10"/>
  <c r="P478" i="10" s="1"/>
  <c r="O407" i="10"/>
  <c r="O478" i="10" s="1"/>
  <c r="N407" i="10"/>
  <c r="N478" i="10" s="1"/>
  <c r="K407" i="10"/>
  <c r="K478" i="10" s="1"/>
  <c r="J407" i="10"/>
  <c r="J478" i="10" s="1"/>
  <c r="I407" i="10"/>
  <c r="I478" i="10" s="1"/>
  <c r="H407" i="10"/>
  <c r="H478" i="10" s="1"/>
  <c r="G407" i="10"/>
  <c r="G478" i="10" s="1"/>
  <c r="F407" i="10"/>
  <c r="F478" i="10" s="1"/>
  <c r="E407" i="10"/>
  <c r="E478" i="10" s="1"/>
  <c r="D407" i="10"/>
  <c r="D478" i="10" s="1"/>
  <c r="C407" i="10"/>
  <c r="C478" i="10" s="1"/>
  <c r="B407" i="10"/>
  <c r="B478" i="10" s="1"/>
  <c r="S406" i="10"/>
  <c r="S477" i="10" s="1"/>
  <c r="R406" i="10"/>
  <c r="R477" i="10" s="1"/>
  <c r="Q406" i="10"/>
  <c r="Q477" i="10" s="1"/>
  <c r="P406" i="10"/>
  <c r="P477" i="10" s="1"/>
  <c r="O406" i="10"/>
  <c r="O477" i="10" s="1"/>
  <c r="N406" i="10"/>
  <c r="N477" i="10" s="1"/>
  <c r="K406" i="10"/>
  <c r="K477" i="10" s="1"/>
  <c r="J406" i="10"/>
  <c r="J477" i="10" s="1"/>
  <c r="I406" i="10"/>
  <c r="I477" i="10" s="1"/>
  <c r="H406" i="10"/>
  <c r="H477" i="10" s="1"/>
  <c r="G406" i="10"/>
  <c r="G477" i="10" s="1"/>
  <c r="F406" i="10"/>
  <c r="F477" i="10" s="1"/>
  <c r="E406" i="10"/>
  <c r="E477" i="10" s="1"/>
  <c r="D406" i="10"/>
  <c r="D477" i="10" s="1"/>
  <c r="C406" i="10"/>
  <c r="C477" i="10" s="1"/>
  <c r="B406" i="10"/>
  <c r="B477" i="10" s="1"/>
  <c r="S405" i="10"/>
  <c r="S476" i="10" s="1"/>
  <c r="R405" i="10"/>
  <c r="R476" i="10" s="1"/>
  <c r="Q405" i="10"/>
  <c r="Q476" i="10" s="1"/>
  <c r="P405" i="10"/>
  <c r="P476" i="10" s="1"/>
  <c r="O405" i="10"/>
  <c r="O476" i="10" s="1"/>
  <c r="N405" i="10"/>
  <c r="N476" i="10" s="1"/>
  <c r="K405" i="10"/>
  <c r="K476" i="10" s="1"/>
  <c r="J405" i="10"/>
  <c r="J476" i="10" s="1"/>
  <c r="I405" i="10"/>
  <c r="I476" i="10" s="1"/>
  <c r="H405" i="10"/>
  <c r="H476" i="10" s="1"/>
  <c r="G405" i="10"/>
  <c r="G476" i="10" s="1"/>
  <c r="F405" i="10"/>
  <c r="F476" i="10" s="1"/>
  <c r="E405" i="10"/>
  <c r="E476" i="10" s="1"/>
  <c r="D405" i="10"/>
  <c r="D476" i="10" s="1"/>
  <c r="C405" i="10"/>
  <c r="C476" i="10" s="1"/>
  <c r="B405" i="10"/>
  <c r="B476" i="10" s="1"/>
  <c r="R404" i="10"/>
  <c r="R475" i="10" s="1"/>
  <c r="Q404" i="10"/>
  <c r="Q475" i="10" s="1"/>
  <c r="P404" i="10"/>
  <c r="P475" i="10" s="1"/>
  <c r="O404" i="10"/>
  <c r="O475" i="10" s="1"/>
  <c r="N404" i="10"/>
  <c r="K404" i="10"/>
  <c r="K475" i="10" s="1"/>
  <c r="J404" i="10"/>
  <c r="I404" i="10"/>
  <c r="H404" i="10"/>
  <c r="G404" i="10"/>
  <c r="F404" i="10"/>
  <c r="E404" i="10"/>
  <c r="D404" i="10"/>
  <c r="D475" i="10" s="1"/>
  <c r="C404" i="10"/>
  <c r="C475" i="10" s="1"/>
  <c r="B404" i="10"/>
  <c r="B475" i="10" s="1"/>
  <c r="S403" i="10"/>
  <c r="S474" i="10" s="1"/>
  <c r="R403" i="10"/>
  <c r="R474" i="10" s="1"/>
  <c r="Q403" i="10"/>
  <c r="Q474" i="10" s="1"/>
  <c r="P403" i="10"/>
  <c r="P474" i="10" s="1"/>
  <c r="O403" i="10"/>
  <c r="O474" i="10" s="1"/>
  <c r="N403" i="10"/>
  <c r="N474" i="10" s="1"/>
  <c r="K403" i="10"/>
  <c r="K474" i="10" s="1"/>
  <c r="J403" i="10"/>
  <c r="J474" i="10" s="1"/>
  <c r="I403" i="10"/>
  <c r="I474" i="10" s="1"/>
  <c r="H403" i="10"/>
  <c r="H474" i="10" s="1"/>
  <c r="G403" i="10"/>
  <c r="G474" i="10" s="1"/>
  <c r="F403" i="10"/>
  <c r="F474" i="10" s="1"/>
  <c r="E403" i="10"/>
  <c r="E474" i="10" s="1"/>
  <c r="D403" i="10"/>
  <c r="D474" i="10" s="1"/>
  <c r="C403" i="10"/>
  <c r="C474" i="10" s="1"/>
  <c r="B403" i="10"/>
  <c r="B474" i="10" s="1"/>
  <c r="S402" i="10"/>
  <c r="S473" i="10" s="1"/>
  <c r="R402" i="10"/>
  <c r="R473" i="10" s="1"/>
  <c r="Q402" i="10"/>
  <c r="Q473" i="10" s="1"/>
  <c r="P402" i="10"/>
  <c r="P473" i="10" s="1"/>
  <c r="O402" i="10"/>
  <c r="O473" i="10" s="1"/>
  <c r="N402" i="10"/>
  <c r="N473" i="10" s="1"/>
  <c r="K402" i="10"/>
  <c r="K473" i="10" s="1"/>
  <c r="J402" i="10"/>
  <c r="J473" i="10" s="1"/>
  <c r="I402" i="10"/>
  <c r="I473" i="10" s="1"/>
  <c r="H402" i="10"/>
  <c r="H473" i="10" s="1"/>
  <c r="G402" i="10"/>
  <c r="G473" i="10" s="1"/>
  <c r="F402" i="10"/>
  <c r="F473" i="10" s="1"/>
  <c r="E402" i="10"/>
  <c r="E473" i="10" s="1"/>
  <c r="D402" i="10"/>
  <c r="D473" i="10" s="1"/>
  <c r="C402" i="10"/>
  <c r="C473" i="10" s="1"/>
  <c r="B402" i="10"/>
  <c r="B473" i="10" s="1"/>
  <c r="R401" i="10"/>
  <c r="R472" i="10" s="1"/>
  <c r="Q401" i="10"/>
  <c r="Q472" i="10" s="1"/>
  <c r="P401" i="10"/>
  <c r="P472" i="10" s="1"/>
  <c r="O401" i="10"/>
  <c r="O472" i="10" s="1"/>
  <c r="N401" i="10"/>
  <c r="N472" i="10" s="1"/>
  <c r="K401" i="10"/>
  <c r="K472" i="10" s="1"/>
  <c r="J401" i="10"/>
  <c r="J472" i="10" s="1"/>
  <c r="I401" i="10"/>
  <c r="I472" i="10" s="1"/>
  <c r="H401" i="10"/>
  <c r="H472" i="10" s="1"/>
  <c r="G401" i="10"/>
  <c r="G472" i="10" s="1"/>
  <c r="F401" i="10"/>
  <c r="F472" i="10" s="1"/>
  <c r="E401" i="10"/>
  <c r="E472" i="10" s="1"/>
  <c r="D401" i="10"/>
  <c r="D472" i="10" s="1"/>
  <c r="C401" i="10"/>
  <c r="C472" i="10" s="1"/>
  <c r="B401" i="10"/>
  <c r="B472" i="10" s="1"/>
  <c r="R400" i="10"/>
  <c r="R471" i="10" s="1"/>
  <c r="Q400" i="10"/>
  <c r="Q471" i="10" s="1"/>
  <c r="P400" i="10"/>
  <c r="P471" i="10" s="1"/>
  <c r="O400" i="10"/>
  <c r="O471" i="10" s="1"/>
  <c r="N400" i="10"/>
  <c r="N471" i="10" s="1"/>
  <c r="K400" i="10"/>
  <c r="K471" i="10" s="1"/>
  <c r="J400" i="10"/>
  <c r="J471" i="10" s="1"/>
  <c r="I400" i="10"/>
  <c r="I471" i="10" s="1"/>
  <c r="H400" i="10"/>
  <c r="H471" i="10" s="1"/>
  <c r="G400" i="10"/>
  <c r="G471" i="10" s="1"/>
  <c r="F400" i="10"/>
  <c r="F471" i="10" s="1"/>
  <c r="E400" i="10"/>
  <c r="E471" i="10" s="1"/>
  <c r="D400" i="10"/>
  <c r="D471" i="10" s="1"/>
  <c r="C400" i="10"/>
  <c r="C471" i="10" s="1"/>
  <c r="B400" i="10"/>
  <c r="B471" i="10" s="1"/>
  <c r="R399" i="10"/>
  <c r="R470" i="10" s="1"/>
  <c r="Q399" i="10"/>
  <c r="Q470" i="10" s="1"/>
  <c r="P399" i="10"/>
  <c r="O399" i="10"/>
  <c r="N399" i="10"/>
  <c r="K399" i="10"/>
  <c r="K470" i="10" s="1"/>
  <c r="J399" i="10"/>
  <c r="I399" i="10"/>
  <c r="I470" i="10" s="1"/>
  <c r="H399" i="10"/>
  <c r="G399" i="10"/>
  <c r="F399" i="10"/>
  <c r="E399" i="10"/>
  <c r="D399" i="10"/>
  <c r="C399" i="10"/>
  <c r="C470" i="10" s="1"/>
  <c r="B399" i="10"/>
  <c r="B470" i="10" s="1"/>
  <c r="R398" i="10"/>
  <c r="R469" i="10" s="1"/>
  <c r="Q398" i="10"/>
  <c r="Q469" i="10" s="1"/>
  <c r="P398" i="10"/>
  <c r="P469" i="10" s="1"/>
  <c r="O398" i="10"/>
  <c r="O469" i="10" s="1"/>
  <c r="N398" i="10"/>
  <c r="N469" i="10" s="1"/>
  <c r="K398" i="10"/>
  <c r="K469" i="10" s="1"/>
  <c r="J398" i="10"/>
  <c r="J469" i="10" s="1"/>
  <c r="I398" i="10"/>
  <c r="I469" i="10" s="1"/>
  <c r="H398" i="10"/>
  <c r="H469" i="10" s="1"/>
  <c r="G398" i="10"/>
  <c r="G469" i="10" s="1"/>
  <c r="F398" i="10"/>
  <c r="F469" i="10" s="1"/>
  <c r="E398" i="10"/>
  <c r="E469" i="10" s="1"/>
  <c r="D398" i="10"/>
  <c r="D469" i="10" s="1"/>
  <c r="C398" i="10"/>
  <c r="C469" i="10" s="1"/>
  <c r="B398" i="10"/>
  <c r="B469" i="10" s="1"/>
  <c r="R397" i="10"/>
  <c r="R468" i="10" s="1"/>
  <c r="Q397" i="10"/>
  <c r="Q468" i="10" s="1"/>
  <c r="P397" i="10"/>
  <c r="P468" i="10" s="1"/>
  <c r="O397" i="10"/>
  <c r="O468" i="10" s="1"/>
  <c r="N397" i="10"/>
  <c r="N468" i="10" s="1"/>
  <c r="K397" i="10"/>
  <c r="K468" i="10" s="1"/>
  <c r="J397" i="10"/>
  <c r="J468" i="10" s="1"/>
  <c r="I397" i="10"/>
  <c r="I468" i="10" s="1"/>
  <c r="H397" i="10"/>
  <c r="H468" i="10" s="1"/>
  <c r="G397" i="10"/>
  <c r="G468" i="10" s="1"/>
  <c r="F397" i="10"/>
  <c r="F468" i="10" s="1"/>
  <c r="E397" i="10"/>
  <c r="E468" i="10" s="1"/>
  <c r="D397" i="10"/>
  <c r="D468" i="10" s="1"/>
  <c r="C397" i="10"/>
  <c r="C468" i="10" s="1"/>
  <c r="B397" i="10"/>
  <c r="B468" i="10" s="1"/>
  <c r="R396" i="10"/>
  <c r="R467" i="10" s="1"/>
  <c r="Q396" i="10"/>
  <c r="Q467" i="10" s="1"/>
  <c r="P396" i="10"/>
  <c r="P467" i="10" s="1"/>
  <c r="O396" i="10"/>
  <c r="O467" i="10" s="1"/>
  <c r="N396" i="10"/>
  <c r="N467" i="10" s="1"/>
  <c r="K396" i="10"/>
  <c r="K467" i="10" s="1"/>
  <c r="J396" i="10"/>
  <c r="J467" i="10" s="1"/>
  <c r="I396" i="10"/>
  <c r="I467" i="10" s="1"/>
  <c r="H396" i="10"/>
  <c r="H467" i="10" s="1"/>
  <c r="G396" i="10"/>
  <c r="G467" i="10" s="1"/>
  <c r="F396" i="10"/>
  <c r="F467" i="10" s="1"/>
  <c r="E396" i="10"/>
  <c r="E467" i="10" s="1"/>
  <c r="D396" i="10"/>
  <c r="D467" i="10" s="1"/>
  <c r="C396" i="10"/>
  <c r="C467" i="10" s="1"/>
  <c r="B396" i="10"/>
  <c r="B467" i="10" s="1"/>
  <c r="R395" i="10"/>
  <c r="R466" i="10" s="1"/>
  <c r="Q395" i="10"/>
  <c r="Q466" i="10" s="1"/>
  <c r="P395" i="10"/>
  <c r="P466" i="10" s="1"/>
  <c r="O395" i="10"/>
  <c r="O466" i="10" s="1"/>
  <c r="N395" i="10"/>
  <c r="N466" i="10" s="1"/>
  <c r="K395" i="10"/>
  <c r="K466" i="10" s="1"/>
  <c r="J395" i="10"/>
  <c r="J466" i="10" s="1"/>
  <c r="I395" i="10"/>
  <c r="I466" i="10" s="1"/>
  <c r="H395" i="10"/>
  <c r="H466" i="10" s="1"/>
  <c r="G395" i="10"/>
  <c r="G466" i="10" s="1"/>
  <c r="F395" i="10"/>
  <c r="F466" i="10" s="1"/>
  <c r="E395" i="10"/>
  <c r="E466" i="10" s="1"/>
  <c r="D395" i="10"/>
  <c r="D466" i="10" s="1"/>
  <c r="C395" i="10"/>
  <c r="C466" i="10" s="1"/>
  <c r="B395" i="10"/>
  <c r="B466" i="10" s="1"/>
  <c r="R394" i="10"/>
  <c r="R465" i="10" s="1"/>
  <c r="Q394" i="10"/>
  <c r="P394" i="10"/>
  <c r="O394" i="10"/>
  <c r="N394" i="10"/>
  <c r="K394" i="10"/>
  <c r="K465" i="10" s="1"/>
  <c r="J394" i="10"/>
  <c r="I394" i="10"/>
  <c r="H394" i="10"/>
  <c r="G394" i="10"/>
  <c r="F394" i="10"/>
  <c r="E394" i="10"/>
  <c r="D394" i="10"/>
  <c r="C394" i="10"/>
  <c r="C465" i="10" s="1"/>
  <c r="B394" i="10"/>
  <c r="B465" i="10" s="1"/>
  <c r="R393" i="10"/>
  <c r="R464" i="10" s="1"/>
  <c r="Q393" i="10"/>
  <c r="Q464" i="10" s="1"/>
  <c r="P393" i="10"/>
  <c r="P464" i="10" s="1"/>
  <c r="O393" i="10"/>
  <c r="O464" i="10" s="1"/>
  <c r="N393" i="10"/>
  <c r="N464" i="10" s="1"/>
  <c r="K393" i="10"/>
  <c r="K464" i="10" s="1"/>
  <c r="J393" i="10"/>
  <c r="J464" i="10" s="1"/>
  <c r="I393" i="10"/>
  <c r="I464" i="10" s="1"/>
  <c r="H393" i="10"/>
  <c r="H464" i="10" s="1"/>
  <c r="G393" i="10"/>
  <c r="G464" i="10" s="1"/>
  <c r="F393" i="10"/>
  <c r="F464" i="10" s="1"/>
  <c r="E393" i="10"/>
  <c r="E464" i="10" s="1"/>
  <c r="D393" i="10"/>
  <c r="D464" i="10" s="1"/>
  <c r="C393" i="10"/>
  <c r="C464" i="10" s="1"/>
  <c r="B393" i="10"/>
  <c r="B464" i="10" s="1"/>
  <c r="S392" i="10"/>
  <c r="R392" i="10"/>
  <c r="R463" i="10" s="1"/>
  <c r="Q392" i="10"/>
  <c r="Q463" i="10" s="1"/>
  <c r="P392" i="10"/>
  <c r="P463" i="10" s="1"/>
  <c r="O392" i="10"/>
  <c r="O463" i="10" s="1"/>
  <c r="N392" i="10"/>
  <c r="N463" i="10" s="1"/>
  <c r="K392" i="10"/>
  <c r="K463" i="10" s="1"/>
  <c r="J392" i="10"/>
  <c r="J463" i="10" s="1"/>
  <c r="I392" i="10"/>
  <c r="I463" i="10" s="1"/>
  <c r="H392" i="10"/>
  <c r="H463" i="10" s="1"/>
  <c r="G392" i="10"/>
  <c r="G463" i="10" s="1"/>
  <c r="F392" i="10"/>
  <c r="F463" i="10" s="1"/>
  <c r="E392" i="10"/>
  <c r="E463" i="10" s="1"/>
  <c r="D392" i="10"/>
  <c r="D463" i="10" s="1"/>
  <c r="C392" i="10"/>
  <c r="C463" i="10" s="1"/>
  <c r="B392" i="10"/>
  <c r="B463" i="10" s="1"/>
  <c r="R391" i="10"/>
  <c r="R462" i="10" s="1"/>
  <c r="Q391" i="10"/>
  <c r="Q462" i="10" s="1"/>
  <c r="P391" i="10"/>
  <c r="P462" i="10" s="1"/>
  <c r="O391" i="10"/>
  <c r="O462" i="10" s="1"/>
  <c r="N391" i="10"/>
  <c r="N462" i="10" s="1"/>
  <c r="K391" i="10"/>
  <c r="K462" i="10" s="1"/>
  <c r="J391" i="10"/>
  <c r="J462" i="10" s="1"/>
  <c r="I391" i="10"/>
  <c r="I462" i="10" s="1"/>
  <c r="H391" i="10"/>
  <c r="H462" i="10" s="1"/>
  <c r="G391" i="10"/>
  <c r="G462" i="10" s="1"/>
  <c r="F391" i="10"/>
  <c r="F462" i="10" s="1"/>
  <c r="E391" i="10"/>
  <c r="E462" i="10" s="1"/>
  <c r="D391" i="10"/>
  <c r="D462" i="10" s="1"/>
  <c r="C391" i="10"/>
  <c r="C462" i="10" s="1"/>
  <c r="B391" i="10"/>
  <c r="B462" i="10" s="1"/>
  <c r="R390" i="10"/>
  <c r="R461" i="10" s="1"/>
  <c r="Q390" i="10"/>
  <c r="Q461" i="10" s="1"/>
  <c r="P390" i="10"/>
  <c r="P461" i="10" s="1"/>
  <c r="O390" i="10"/>
  <c r="O461" i="10" s="1"/>
  <c r="N390" i="10"/>
  <c r="N461" i="10" s="1"/>
  <c r="K390" i="10"/>
  <c r="K461" i="10" s="1"/>
  <c r="J390" i="10"/>
  <c r="J461" i="10" s="1"/>
  <c r="I390" i="10"/>
  <c r="I461" i="10" s="1"/>
  <c r="H390" i="10"/>
  <c r="H461" i="10" s="1"/>
  <c r="G390" i="10"/>
  <c r="G461" i="10" s="1"/>
  <c r="F390" i="10"/>
  <c r="F461" i="10" s="1"/>
  <c r="E390" i="10"/>
  <c r="E461" i="10" s="1"/>
  <c r="D390" i="10"/>
  <c r="D461" i="10" s="1"/>
  <c r="C390" i="10"/>
  <c r="C461" i="10" s="1"/>
  <c r="B390" i="10"/>
  <c r="B461" i="10" s="1"/>
  <c r="R389" i="10"/>
  <c r="R460" i="10" s="1"/>
  <c r="Q389" i="10"/>
  <c r="P389" i="10"/>
  <c r="O389" i="10"/>
  <c r="N389" i="10"/>
  <c r="N460" i="10" s="1"/>
  <c r="K389" i="10"/>
  <c r="K460" i="10" s="1"/>
  <c r="J389" i="10"/>
  <c r="I389" i="10"/>
  <c r="H389" i="10"/>
  <c r="G389" i="10"/>
  <c r="F389" i="10"/>
  <c r="E389" i="10"/>
  <c r="E460" i="10" s="1"/>
  <c r="D389" i="10"/>
  <c r="C389" i="10"/>
  <c r="C460" i="10" s="1"/>
  <c r="B389" i="10"/>
  <c r="B460" i="10" s="1"/>
  <c r="R388" i="10"/>
  <c r="R459" i="10" s="1"/>
  <c r="Q388" i="10"/>
  <c r="Q459" i="10" s="1"/>
  <c r="P388" i="10"/>
  <c r="P459" i="10" s="1"/>
  <c r="O388" i="10"/>
  <c r="O459" i="10" s="1"/>
  <c r="N388" i="10"/>
  <c r="N459" i="10" s="1"/>
  <c r="K388" i="10"/>
  <c r="K459" i="10" s="1"/>
  <c r="J388" i="10"/>
  <c r="J459" i="10" s="1"/>
  <c r="I388" i="10"/>
  <c r="I459" i="10" s="1"/>
  <c r="H388" i="10"/>
  <c r="H459" i="10" s="1"/>
  <c r="G388" i="10"/>
  <c r="G459" i="10" s="1"/>
  <c r="F388" i="10"/>
  <c r="F459" i="10" s="1"/>
  <c r="E388" i="10"/>
  <c r="E459" i="10" s="1"/>
  <c r="D388" i="10"/>
  <c r="D459" i="10" s="1"/>
  <c r="C388" i="10"/>
  <c r="C459" i="10" s="1"/>
  <c r="B388" i="10"/>
  <c r="B459" i="10" s="1"/>
  <c r="R387" i="10"/>
  <c r="R458" i="10" s="1"/>
  <c r="Q387" i="10"/>
  <c r="Q458" i="10" s="1"/>
  <c r="P387" i="10"/>
  <c r="P458" i="10" s="1"/>
  <c r="O387" i="10"/>
  <c r="O458" i="10" s="1"/>
  <c r="N387" i="10"/>
  <c r="N458" i="10" s="1"/>
  <c r="K387" i="10"/>
  <c r="K458" i="10" s="1"/>
  <c r="J387" i="10"/>
  <c r="J458" i="10" s="1"/>
  <c r="I387" i="10"/>
  <c r="I458" i="10" s="1"/>
  <c r="H387" i="10"/>
  <c r="H458" i="10" s="1"/>
  <c r="G387" i="10"/>
  <c r="G458" i="10" s="1"/>
  <c r="F387" i="10"/>
  <c r="F458" i="10" s="1"/>
  <c r="E387" i="10"/>
  <c r="E458" i="10" s="1"/>
  <c r="D387" i="10"/>
  <c r="D458" i="10" s="1"/>
  <c r="C387" i="10"/>
  <c r="C458" i="10" s="1"/>
  <c r="B387" i="10"/>
  <c r="B458" i="10" s="1"/>
  <c r="R386" i="10"/>
  <c r="R457" i="10" s="1"/>
  <c r="Q386" i="10"/>
  <c r="Q457" i="10" s="1"/>
  <c r="P386" i="10"/>
  <c r="P457" i="10" s="1"/>
  <c r="O386" i="10"/>
  <c r="O457" i="10" s="1"/>
  <c r="N386" i="10"/>
  <c r="N457" i="10" s="1"/>
  <c r="K386" i="10"/>
  <c r="K457" i="10" s="1"/>
  <c r="J386" i="10"/>
  <c r="J457" i="10" s="1"/>
  <c r="I386" i="10"/>
  <c r="I457" i="10" s="1"/>
  <c r="H386" i="10"/>
  <c r="H457" i="10" s="1"/>
  <c r="G386" i="10"/>
  <c r="G457" i="10" s="1"/>
  <c r="F386" i="10"/>
  <c r="F457" i="10" s="1"/>
  <c r="E386" i="10"/>
  <c r="E457" i="10" s="1"/>
  <c r="D386" i="10"/>
  <c r="D457" i="10" s="1"/>
  <c r="C386" i="10"/>
  <c r="C457" i="10" s="1"/>
  <c r="B386" i="10"/>
  <c r="B457" i="10" s="1"/>
  <c r="R385" i="10"/>
  <c r="R456" i="10" s="1"/>
  <c r="Q385" i="10"/>
  <c r="Q456" i="10" s="1"/>
  <c r="P385" i="10"/>
  <c r="P456" i="10" s="1"/>
  <c r="O385" i="10"/>
  <c r="O456" i="10" s="1"/>
  <c r="N385" i="10"/>
  <c r="N456" i="10" s="1"/>
  <c r="K385" i="10"/>
  <c r="K456" i="10" s="1"/>
  <c r="J385" i="10"/>
  <c r="J456" i="10" s="1"/>
  <c r="I385" i="10"/>
  <c r="I456" i="10" s="1"/>
  <c r="H385" i="10"/>
  <c r="H456" i="10" s="1"/>
  <c r="G385" i="10"/>
  <c r="G456" i="10" s="1"/>
  <c r="F385" i="10"/>
  <c r="F456" i="10" s="1"/>
  <c r="E385" i="10"/>
  <c r="E456" i="10" s="1"/>
  <c r="D385" i="10"/>
  <c r="D456" i="10" s="1"/>
  <c r="C385" i="10"/>
  <c r="C456" i="10" s="1"/>
  <c r="B385" i="10"/>
  <c r="B456" i="10" s="1"/>
  <c r="R384" i="10"/>
  <c r="R455" i="10" s="1"/>
  <c r="Q384" i="10"/>
  <c r="Q455" i="10" s="1"/>
  <c r="P384" i="10"/>
  <c r="P455" i="10" s="1"/>
  <c r="O384" i="10"/>
  <c r="O455" i="10" s="1"/>
  <c r="N384" i="10"/>
  <c r="N455" i="10" s="1"/>
  <c r="K384" i="10"/>
  <c r="K455" i="10" s="1"/>
  <c r="J384" i="10"/>
  <c r="J455" i="10" s="1"/>
  <c r="I384" i="10"/>
  <c r="I455" i="10" s="1"/>
  <c r="H384" i="10"/>
  <c r="H455" i="10" s="1"/>
  <c r="G384" i="10"/>
  <c r="G455" i="10" s="1"/>
  <c r="F384" i="10"/>
  <c r="F455" i="10" s="1"/>
  <c r="E384" i="10"/>
  <c r="E455" i="10" s="1"/>
  <c r="D384" i="10"/>
  <c r="D455" i="10" s="1"/>
  <c r="C384" i="10"/>
  <c r="C455" i="10" s="1"/>
  <c r="B384" i="10"/>
  <c r="B455" i="10" s="1"/>
  <c r="R383" i="10"/>
  <c r="R454" i="10" s="1"/>
  <c r="Q383" i="10"/>
  <c r="Q454" i="10" s="1"/>
  <c r="P383" i="10"/>
  <c r="P454" i="10" s="1"/>
  <c r="O383" i="10"/>
  <c r="O454" i="10" s="1"/>
  <c r="N383" i="10"/>
  <c r="N454" i="10" s="1"/>
  <c r="K383" i="10"/>
  <c r="K454" i="10" s="1"/>
  <c r="J383" i="10"/>
  <c r="J454" i="10" s="1"/>
  <c r="I383" i="10"/>
  <c r="I454" i="10" s="1"/>
  <c r="H383" i="10"/>
  <c r="H454" i="10" s="1"/>
  <c r="G383" i="10"/>
  <c r="G454" i="10" s="1"/>
  <c r="F383" i="10"/>
  <c r="F454" i="10" s="1"/>
  <c r="E383" i="10"/>
  <c r="E454" i="10" s="1"/>
  <c r="D383" i="10"/>
  <c r="D454" i="10" s="1"/>
  <c r="C383" i="10"/>
  <c r="C454" i="10" s="1"/>
  <c r="B383" i="10"/>
  <c r="B454" i="10" s="1"/>
  <c r="R382" i="10"/>
  <c r="R453" i="10" s="1"/>
  <c r="Q382" i="10"/>
  <c r="Q453" i="10" s="1"/>
  <c r="P382" i="10"/>
  <c r="P453" i="10" s="1"/>
  <c r="O382" i="10"/>
  <c r="O453" i="10" s="1"/>
  <c r="N382" i="10"/>
  <c r="N453" i="10" s="1"/>
  <c r="K382" i="10"/>
  <c r="K453" i="10" s="1"/>
  <c r="J382" i="10"/>
  <c r="J453" i="10" s="1"/>
  <c r="I382" i="10"/>
  <c r="I453" i="10" s="1"/>
  <c r="H382" i="10"/>
  <c r="H453" i="10" s="1"/>
  <c r="G382" i="10"/>
  <c r="G453" i="10" s="1"/>
  <c r="F382" i="10"/>
  <c r="F453" i="10" s="1"/>
  <c r="E382" i="10"/>
  <c r="E453" i="10" s="1"/>
  <c r="D382" i="10"/>
  <c r="D453" i="10" s="1"/>
  <c r="C382" i="10"/>
  <c r="C453" i="10" s="1"/>
  <c r="B382" i="10"/>
  <c r="B453" i="10" s="1"/>
  <c r="R381" i="10"/>
  <c r="R452" i="10" s="1"/>
  <c r="Q381" i="10"/>
  <c r="Q452" i="10" s="1"/>
  <c r="P381" i="10"/>
  <c r="P452" i="10" s="1"/>
  <c r="O381" i="10"/>
  <c r="O452" i="10" s="1"/>
  <c r="N381" i="10"/>
  <c r="N452" i="10" s="1"/>
  <c r="K381" i="10"/>
  <c r="K452" i="10" s="1"/>
  <c r="J381" i="10"/>
  <c r="J452" i="10" s="1"/>
  <c r="I381" i="10"/>
  <c r="I452" i="10" s="1"/>
  <c r="H381" i="10"/>
  <c r="H452" i="10" s="1"/>
  <c r="G381" i="10"/>
  <c r="G452" i="10" s="1"/>
  <c r="F381" i="10"/>
  <c r="F452" i="10" s="1"/>
  <c r="E381" i="10"/>
  <c r="E452" i="10" s="1"/>
  <c r="D381" i="10"/>
  <c r="D452" i="10" s="1"/>
  <c r="C381" i="10"/>
  <c r="C452" i="10" s="1"/>
  <c r="B381" i="10"/>
  <c r="B452" i="10" s="1"/>
  <c r="R380" i="10"/>
  <c r="R451" i="10" s="1"/>
  <c r="Q380" i="10"/>
  <c r="Q451" i="10" s="1"/>
  <c r="P380" i="10"/>
  <c r="P451" i="10" s="1"/>
  <c r="O380" i="10"/>
  <c r="O451" i="10" s="1"/>
  <c r="N380" i="10"/>
  <c r="N451" i="10" s="1"/>
  <c r="K380" i="10"/>
  <c r="K451" i="10" s="1"/>
  <c r="J380" i="10"/>
  <c r="J451" i="10" s="1"/>
  <c r="I380" i="10"/>
  <c r="I451" i="10" s="1"/>
  <c r="H380" i="10"/>
  <c r="H451" i="10" s="1"/>
  <c r="G380" i="10"/>
  <c r="G451" i="10" s="1"/>
  <c r="F380" i="10"/>
  <c r="F451" i="10" s="1"/>
  <c r="E380" i="10"/>
  <c r="E451" i="10" s="1"/>
  <c r="D380" i="10"/>
  <c r="D451" i="10" s="1"/>
  <c r="C380" i="10"/>
  <c r="C451" i="10" s="1"/>
  <c r="B380" i="10"/>
  <c r="B451" i="10" s="1"/>
  <c r="R379" i="10"/>
  <c r="R450" i="10" s="1"/>
  <c r="Q379" i="10"/>
  <c r="Q450" i="10" s="1"/>
  <c r="P379" i="10"/>
  <c r="P450" i="10" s="1"/>
  <c r="O379" i="10"/>
  <c r="O450" i="10" s="1"/>
  <c r="N379" i="10"/>
  <c r="N450" i="10" s="1"/>
  <c r="K379" i="10"/>
  <c r="K450" i="10" s="1"/>
  <c r="J379" i="10"/>
  <c r="J450" i="10" s="1"/>
  <c r="I379" i="10"/>
  <c r="I450" i="10" s="1"/>
  <c r="H379" i="10"/>
  <c r="H450" i="10" s="1"/>
  <c r="G379" i="10"/>
  <c r="G450" i="10" s="1"/>
  <c r="F379" i="10"/>
  <c r="F450" i="10" s="1"/>
  <c r="E379" i="10"/>
  <c r="E450" i="10" s="1"/>
  <c r="D379" i="10"/>
  <c r="D450" i="10" s="1"/>
  <c r="C379" i="10"/>
  <c r="C450" i="10" s="1"/>
  <c r="B379" i="10"/>
  <c r="B450" i="10" s="1"/>
  <c r="R378" i="10"/>
  <c r="R449" i="10" s="1"/>
  <c r="Q378" i="10"/>
  <c r="Q449" i="10" s="1"/>
  <c r="P378" i="10"/>
  <c r="P449" i="10" s="1"/>
  <c r="O378" i="10"/>
  <c r="O449" i="10" s="1"/>
  <c r="N378" i="10"/>
  <c r="N449" i="10" s="1"/>
  <c r="K378" i="10"/>
  <c r="K449" i="10" s="1"/>
  <c r="J378" i="10"/>
  <c r="J449" i="10" s="1"/>
  <c r="I378" i="10"/>
  <c r="I449" i="10" s="1"/>
  <c r="H378" i="10"/>
  <c r="H449" i="10" s="1"/>
  <c r="G378" i="10"/>
  <c r="G449" i="10" s="1"/>
  <c r="F378" i="10"/>
  <c r="F449" i="10" s="1"/>
  <c r="E378" i="10"/>
  <c r="E449" i="10" s="1"/>
  <c r="D378" i="10"/>
  <c r="D449" i="10" s="1"/>
  <c r="C378" i="10"/>
  <c r="C449" i="10" s="1"/>
  <c r="B378" i="10"/>
  <c r="B449" i="10" s="1"/>
  <c r="R377" i="10"/>
  <c r="R448" i="10" s="1"/>
  <c r="Q377" i="10"/>
  <c r="Q448" i="10" s="1"/>
  <c r="P377" i="10"/>
  <c r="P448" i="10" s="1"/>
  <c r="O377" i="10"/>
  <c r="O448" i="10" s="1"/>
  <c r="N377" i="10"/>
  <c r="N448" i="10" s="1"/>
  <c r="K377" i="10"/>
  <c r="K448" i="10" s="1"/>
  <c r="J377" i="10"/>
  <c r="J448" i="10" s="1"/>
  <c r="I377" i="10"/>
  <c r="I448" i="10" s="1"/>
  <c r="H377" i="10"/>
  <c r="H448" i="10" s="1"/>
  <c r="G377" i="10"/>
  <c r="G448" i="10" s="1"/>
  <c r="F377" i="10"/>
  <c r="F448" i="10" s="1"/>
  <c r="E377" i="10"/>
  <c r="E448" i="10" s="1"/>
  <c r="D377" i="10"/>
  <c r="D448" i="10" s="1"/>
  <c r="C377" i="10"/>
  <c r="C448" i="10" s="1"/>
  <c r="B377" i="10"/>
  <c r="B448" i="10" s="1"/>
  <c r="R376" i="10"/>
  <c r="R447" i="10" s="1"/>
  <c r="Q376" i="10"/>
  <c r="Q447" i="10" s="1"/>
  <c r="P376" i="10"/>
  <c r="P447" i="10" s="1"/>
  <c r="O376" i="10"/>
  <c r="O447" i="10" s="1"/>
  <c r="N376" i="10"/>
  <c r="N447" i="10" s="1"/>
  <c r="K376" i="10"/>
  <c r="K447" i="10" s="1"/>
  <c r="J376" i="10"/>
  <c r="J447" i="10" s="1"/>
  <c r="I376" i="10"/>
  <c r="I447" i="10" s="1"/>
  <c r="H376" i="10"/>
  <c r="H447" i="10" s="1"/>
  <c r="G376" i="10"/>
  <c r="G447" i="10" s="1"/>
  <c r="F376" i="10"/>
  <c r="F447" i="10" s="1"/>
  <c r="E376" i="10"/>
  <c r="E447" i="10" s="1"/>
  <c r="D376" i="10"/>
  <c r="D447" i="10" s="1"/>
  <c r="C376" i="10"/>
  <c r="C447" i="10" s="1"/>
  <c r="B376" i="10"/>
  <c r="B447" i="10" s="1"/>
  <c r="R375" i="10"/>
  <c r="R446" i="10" s="1"/>
  <c r="Q375" i="10"/>
  <c r="Q446" i="10" s="1"/>
  <c r="P375" i="10"/>
  <c r="P446" i="10" s="1"/>
  <c r="O375" i="10"/>
  <c r="O446" i="10" s="1"/>
  <c r="N375" i="10"/>
  <c r="N446" i="10" s="1"/>
  <c r="K375" i="10"/>
  <c r="K446" i="10" s="1"/>
  <c r="J375" i="10"/>
  <c r="J446" i="10" s="1"/>
  <c r="I375" i="10"/>
  <c r="I446" i="10" s="1"/>
  <c r="H375" i="10"/>
  <c r="H446" i="10" s="1"/>
  <c r="G375" i="10"/>
  <c r="G446" i="10" s="1"/>
  <c r="F375" i="10"/>
  <c r="F446" i="10" s="1"/>
  <c r="E375" i="10"/>
  <c r="E446" i="10" s="1"/>
  <c r="D375" i="10"/>
  <c r="D446" i="10" s="1"/>
  <c r="C375" i="10"/>
  <c r="C446" i="10" s="1"/>
  <c r="B375" i="10"/>
  <c r="B446" i="10" s="1"/>
  <c r="R374" i="10"/>
  <c r="R445" i="10" s="1"/>
  <c r="Q374" i="10"/>
  <c r="Q445" i="10" s="1"/>
  <c r="P374" i="10"/>
  <c r="P445" i="10" s="1"/>
  <c r="O374" i="10"/>
  <c r="O445" i="10" s="1"/>
  <c r="N374" i="10"/>
  <c r="N445" i="10" s="1"/>
  <c r="K374" i="10"/>
  <c r="K445" i="10" s="1"/>
  <c r="J374" i="10"/>
  <c r="J445" i="10" s="1"/>
  <c r="I374" i="10"/>
  <c r="I445" i="10" s="1"/>
  <c r="H374" i="10"/>
  <c r="H445" i="10" s="1"/>
  <c r="G374" i="10"/>
  <c r="G445" i="10" s="1"/>
  <c r="F374" i="10"/>
  <c r="F445" i="10" s="1"/>
  <c r="E374" i="10"/>
  <c r="E445" i="10" s="1"/>
  <c r="D374" i="10"/>
  <c r="D445" i="10" s="1"/>
  <c r="C374" i="10"/>
  <c r="C445" i="10" s="1"/>
  <c r="B374" i="10"/>
  <c r="B445" i="10" s="1"/>
  <c r="R373" i="10"/>
  <c r="R444" i="10" s="1"/>
  <c r="Q373" i="10"/>
  <c r="Q444" i="10" s="1"/>
  <c r="P373" i="10"/>
  <c r="P444" i="10" s="1"/>
  <c r="O373" i="10"/>
  <c r="O444" i="10" s="1"/>
  <c r="N373" i="10"/>
  <c r="N444" i="10" s="1"/>
  <c r="K373" i="10"/>
  <c r="K444" i="10" s="1"/>
  <c r="J373" i="10"/>
  <c r="J444" i="10" s="1"/>
  <c r="I373" i="10"/>
  <c r="I444" i="10" s="1"/>
  <c r="H373" i="10"/>
  <c r="H444" i="10" s="1"/>
  <c r="G373" i="10"/>
  <c r="G444" i="10" s="1"/>
  <c r="F373" i="10"/>
  <c r="F444" i="10" s="1"/>
  <c r="E373" i="10"/>
  <c r="E444" i="10" s="1"/>
  <c r="D373" i="10"/>
  <c r="D444" i="10" s="1"/>
  <c r="C373" i="10"/>
  <c r="C444" i="10" s="1"/>
  <c r="B373" i="10"/>
  <c r="B444" i="10" s="1"/>
  <c r="R372" i="10"/>
  <c r="R443" i="10" s="1"/>
  <c r="Q372" i="10"/>
  <c r="Q443" i="10" s="1"/>
  <c r="P372" i="10"/>
  <c r="P443" i="10" s="1"/>
  <c r="O372" i="10"/>
  <c r="O443" i="10" s="1"/>
  <c r="N372" i="10"/>
  <c r="N443" i="10" s="1"/>
  <c r="K372" i="10"/>
  <c r="K443" i="10" s="1"/>
  <c r="J372" i="10"/>
  <c r="J443" i="10" s="1"/>
  <c r="I372" i="10"/>
  <c r="I443" i="10" s="1"/>
  <c r="H372" i="10"/>
  <c r="H443" i="10" s="1"/>
  <c r="G372" i="10"/>
  <c r="G443" i="10" s="1"/>
  <c r="F372" i="10"/>
  <c r="F443" i="10" s="1"/>
  <c r="E372" i="10"/>
  <c r="E443" i="10" s="1"/>
  <c r="D372" i="10"/>
  <c r="D443" i="10" s="1"/>
  <c r="C372" i="10"/>
  <c r="C443" i="10" s="1"/>
  <c r="B372" i="10"/>
  <c r="B443" i="10" s="1"/>
  <c r="R371" i="10"/>
  <c r="R442" i="10" s="1"/>
  <c r="Q371" i="10"/>
  <c r="Q442" i="10" s="1"/>
  <c r="P371" i="10"/>
  <c r="P442" i="10" s="1"/>
  <c r="O371" i="10"/>
  <c r="O442" i="10" s="1"/>
  <c r="N371" i="10"/>
  <c r="N442" i="10" s="1"/>
  <c r="K371" i="10"/>
  <c r="K442" i="10" s="1"/>
  <c r="J371" i="10"/>
  <c r="J442" i="10" s="1"/>
  <c r="I371" i="10"/>
  <c r="I442" i="10" s="1"/>
  <c r="H371" i="10"/>
  <c r="H442" i="10" s="1"/>
  <c r="G371" i="10"/>
  <c r="G442" i="10" s="1"/>
  <c r="F371" i="10"/>
  <c r="F442" i="10" s="1"/>
  <c r="E371" i="10"/>
  <c r="E442" i="10" s="1"/>
  <c r="D371" i="10"/>
  <c r="D442" i="10" s="1"/>
  <c r="C371" i="10"/>
  <c r="C442" i="10" s="1"/>
  <c r="B371" i="10"/>
  <c r="B442" i="10" s="1"/>
  <c r="R370" i="10"/>
  <c r="R441" i="10" s="1"/>
  <c r="Q370" i="10"/>
  <c r="Q441" i="10" s="1"/>
  <c r="P370" i="10"/>
  <c r="P441" i="10" s="1"/>
  <c r="O370" i="10"/>
  <c r="O441" i="10" s="1"/>
  <c r="N370" i="10"/>
  <c r="N441" i="10" s="1"/>
  <c r="K370" i="10"/>
  <c r="K441" i="10" s="1"/>
  <c r="J370" i="10"/>
  <c r="J441" i="10" s="1"/>
  <c r="I370" i="10"/>
  <c r="I441" i="10" s="1"/>
  <c r="H370" i="10"/>
  <c r="H441" i="10" s="1"/>
  <c r="G370" i="10"/>
  <c r="G441" i="10" s="1"/>
  <c r="F370" i="10"/>
  <c r="F441" i="10" s="1"/>
  <c r="E370" i="10"/>
  <c r="E441" i="10" s="1"/>
  <c r="D370" i="10"/>
  <c r="D441" i="10" s="1"/>
  <c r="C370" i="10"/>
  <c r="C441" i="10" s="1"/>
  <c r="B370" i="10"/>
  <c r="B441" i="10" s="1"/>
  <c r="R369" i="10"/>
  <c r="R440" i="10" s="1"/>
  <c r="Q369" i="10"/>
  <c r="Q440" i="10" s="1"/>
  <c r="P369" i="10"/>
  <c r="P440" i="10" s="1"/>
  <c r="O369" i="10"/>
  <c r="O440" i="10" s="1"/>
  <c r="N369" i="10"/>
  <c r="N440" i="10" s="1"/>
  <c r="K369" i="10"/>
  <c r="K440" i="10" s="1"/>
  <c r="J369" i="10"/>
  <c r="J440" i="10" s="1"/>
  <c r="I369" i="10"/>
  <c r="I440" i="10" s="1"/>
  <c r="H369" i="10"/>
  <c r="H440" i="10" s="1"/>
  <c r="G369" i="10"/>
  <c r="G440" i="10" s="1"/>
  <c r="F369" i="10"/>
  <c r="F440" i="10" s="1"/>
  <c r="E369" i="10"/>
  <c r="E440" i="10" s="1"/>
  <c r="D369" i="10"/>
  <c r="D440" i="10" s="1"/>
  <c r="C369" i="10"/>
  <c r="C440" i="10" s="1"/>
  <c r="B369" i="10"/>
  <c r="B440" i="10" s="1"/>
  <c r="R368" i="10"/>
  <c r="R439" i="10" s="1"/>
  <c r="Q368" i="10"/>
  <c r="Q439" i="10" s="1"/>
  <c r="P368" i="10"/>
  <c r="P439" i="10" s="1"/>
  <c r="O368" i="10"/>
  <c r="O439" i="10" s="1"/>
  <c r="N368" i="10"/>
  <c r="N439" i="10" s="1"/>
  <c r="K368" i="10"/>
  <c r="K439" i="10" s="1"/>
  <c r="J368" i="10"/>
  <c r="J439" i="10" s="1"/>
  <c r="I368" i="10"/>
  <c r="I439" i="10" s="1"/>
  <c r="H368" i="10"/>
  <c r="H439" i="10" s="1"/>
  <c r="G368" i="10"/>
  <c r="G439" i="10" s="1"/>
  <c r="F368" i="10"/>
  <c r="F439" i="10" s="1"/>
  <c r="E368" i="10"/>
  <c r="E439" i="10" s="1"/>
  <c r="D368" i="10"/>
  <c r="D439" i="10" s="1"/>
  <c r="C368" i="10"/>
  <c r="C439" i="10" s="1"/>
  <c r="B368" i="10"/>
  <c r="B439" i="10" s="1"/>
  <c r="R367" i="10"/>
  <c r="R438" i="10" s="1"/>
  <c r="Q367" i="10"/>
  <c r="Q438" i="10" s="1"/>
  <c r="P367" i="10"/>
  <c r="P438" i="10" s="1"/>
  <c r="O367" i="10"/>
  <c r="O438" i="10" s="1"/>
  <c r="N367" i="10"/>
  <c r="N438" i="10" s="1"/>
  <c r="K367" i="10"/>
  <c r="K438" i="10" s="1"/>
  <c r="J367" i="10"/>
  <c r="J438" i="10" s="1"/>
  <c r="I367" i="10"/>
  <c r="I438" i="10" s="1"/>
  <c r="H367" i="10"/>
  <c r="H438" i="10" s="1"/>
  <c r="G367" i="10"/>
  <c r="G438" i="10" s="1"/>
  <c r="F367" i="10"/>
  <c r="F438" i="10" s="1"/>
  <c r="E367" i="10"/>
  <c r="E438" i="10" s="1"/>
  <c r="D367" i="10"/>
  <c r="D438" i="10" s="1"/>
  <c r="C367" i="10"/>
  <c r="C438" i="10" s="1"/>
  <c r="B367" i="10"/>
  <c r="B438" i="10" s="1"/>
  <c r="R366" i="10"/>
  <c r="R437" i="10" s="1"/>
  <c r="Q366" i="10"/>
  <c r="Q437" i="10" s="1"/>
  <c r="P366" i="10"/>
  <c r="P437" i="10" s="1"/>
  <c r="O366" i="10"/>
  <c r="O437" i="10" s="1"/>
  <c r="N366" i="10"/>
  <c r="N437" i="10" s="1"/>
  <c r="K366" i="10"/>
  <c r="K437" i="10" s="1"/>
  <c r="J366" i="10"/>
  <c r="J437" i="10" s="1"/>
  <c r="I366" i="10"/>
  <c r="I437" i="10" s="1"/>
  <c r="H366" i="10"/>
  <c r="H437" i="10" s="1"/>
  <c r="G366" i="10"/>
  <c r="G437" i="10" s="1"/>
  <c r="F366" i="10"/>
  <c r="F437" i="10" s="1"/>
  <c r="E366" i="10"/>
  <c r="E437" i="10" s="1"/>
  <c r="D366" i="10"/>
  <c r="D437" i="10" s="1"/>
  <c r="C366" i="10"/>
  <c r="C437" i="10" s="1"/>
  <c r="B366" i="10"/>
  <c r="B437" i="10" s="1"/>
  <c r="R365" i="10"/>
  <c r="R436" i="10" s="1"/>
  <c r="Q365" i="10"/>
  <c r="Q436" i="10" s="1"/>
  <c r="P365" i="10"/>
  <c r="P436" i="10" s="1"/>
  <c r="O365" i="10"/>
  <c r="O436" i="10" s="1"/>
  <c r="N365" i="10"/>
  <c r="N436" i="10" s="1"/>
  <c r="K365" i="10"/>
  <c r="K436" i="10" s="1"/>
  <c r="J365" i="10"/>
  <c r="J436" i="10" s="1"/>
  <c r="I365" i="10"/>
  <c r="I436" i="10" s="1"/>
  <c r="H365" i="10"/>
  <c r="H436" i="10" s="1"/>
  <c r="G365" i="10"/>
  <c r="G436" i="10" s="1"/>
  <c r="F365" i="10"/>
  <c r="F436" i="10" s="1"/>
  <c r="E365" i="10"/>
  <c r="E436" i="10" s="1"/>
  <c r="D365" i="10"/>
  <c r="D436" i="10" s="1"/>
  <c r="C365" i="10"/>
  <c r="C436" i="10" s="1"/>
  <c r="B365" i="10"/>
  <c r="B436" i="10" s="1"/>
  <c r="R364" i="10"/>
  <c r="R435" i="10" s="1"/>
  <c r="Q364" i="10"/>
  <c r="Q435" i="10" s="1"/>
  <c r="P364" i="10"/>
  <c r="P435" i="10" s="1"/>
  <c r="O364" i="10"/>
  <c r="O435" i="10" s="1"/>
  <c r="N364" i="10"/>
  <c r="N435" i="10" s="1"/>
  <c r="K364" i="10"/>
  <c r="K435" i="10" s="1"/>
  <c r="J364" i="10"/>
  <c r="J435" i="10" s="1"/>
  <c r="I364" i="10"/>
  <c r="I435" i="10" s="1"/>
  <c r="H364" i="10"/>
  <c r="H435" i="10" s="1"/>
  <c r="G364" i="10"/>
  <c r="G435" i="10" s="1"/>
  <c r="F364" i="10"/>
  <c r="F435" i="10" s="1"/>
  <c r="E364" i="10"/>
  <c r="E435" i="10" s="1"/>
  <c r="D364" i="10"/>
  <c r="D435" i="10" s="1"/>
  <c r="C364" i="10"/>
  <c r="C435" i="10" s="1"/>
  <c r="B364" i="10"/>
  <c r="B435" i="10" s="1"/>
  <c r="R363" i="10"/>
  <c r="R434" i="10" s="1"/>
  <c r="Q363" i="10"/>
  <c r="Q434" i="10" s="1"/>
  <c r="P363" i="10"/>
  <c r="P434" i="10" s="1"/>
  <c r="O363" i="10"/>
  <c r="O434" i="10" s="1"/>
  <c r="N363" i="10"/>
  <c r="N434" i="10" s="1"/>
  <c r="K363" i="10"/>
  <c r="K434" i="10" s="1"/>
  <c r="J363" i="10"/>
  <c r="J434" i="10" s="1"/>
  <c r="I363" i="10"/>
  <c r="I434" i="10" s="1"/>
  <c r="H363" i="10"/>
  <c r="H434" i="10" s="1"/>
  <c r="G363" i="10"/>
  <c r="G434" i="10" s="1"/>
  <c r="F363" i="10"/>
  <c r="F434" i="10" s="1"/>
  <c r="E363" i="10"/>
  <c r="E434" i="10" s="1"/>
  <c r="D363" i="10"/>
  <c r="D434" i="10" s="1"/>
  <c r="C363" i="10"/>
  <c r="C434" i="10" s="1"/>
  <c r="B363" i="10"/>
  <c r="B434" i="10" s="1"/>
  <c r="R362" i="10"/>
  <c r="R433" i="10" s="1"/>
  <c r="Q362" i="10"/>
  <c r="Q433" i="10" s="1"/>
  <c r="P362" i="10"/>
  <c r="P433" i="10" s="1"/>
  <c r="O362" i="10"/>
  <c r="O433" i="10" s="1"/>
  <c r="N362" i="10"/>
  <c r="N433" i="10" s="1"/>
  <c r="K362" i="10"/>
  <c r="K433" i="10" s="1"/>
  <c r="J362" i="10"/>
  <c r="J433" i="10" s="1"/>
  <c r="I362" i="10"/>
  <c r="I433" i="10" s="1"/>
  <c r="H362" i="10"/>
  <c r="H433" i="10" s="1"/>
  <c r="G362" i="10"/>
  <c r="G433" i="10" s="1"/>
  <c r="F362" i="10"/>
  <c r="F433" i="10" s="1"/>
  <c r="E362" i="10"/>
  <c r="E433" i="10" s="1"/>
  <c r="D362" i="10"/>
  <c r="D433" i="10" s="1"/>
  <c r="C362" i="10"/>
  <c r="C433" i="10" s="1"/>
  <c r="B362" i="10"/>
  <c r="B433" i="10" s="1"/>
  <c r="R361" i="10"/>
  <c r="R432" i="10" s="1"/>
  <c r="Q361" i="10"/>
  <c r="Q432" i="10" s="1"/>
  <c r="P361" i="10"/>
  <c r="P432" i="10" s="1"/>
  <c r="O361" i="10"/>
  <c r="O432" i="10" s="1"/>
  <c r="N361" i="10"/>
  <c r="N432" i="10" s="1"/>
  <c r="K361" i="10"/>
  <c r="K432" i="10" s="1"/>
  <c r="J361" i="10"/>
  <c r="J432" i="10" s="1"/>
  <c r="I361" i="10"/>
  <c r="I432" i="10" s="1"/>
  <c r="H361" i="10"/>
  <c r="H432" i="10" s="1"/>
  <c r="G361" i="10"/>
  <c r="G432" i="10" s="1"/>
  <c r="F361" i="10"/>
  <c r="F432" i="10" s="1"/>
  <c r="E361" i="10"/>
  <c r="E432" i="10" s="1"/>
  <c r="D361" i="10"/>
  <c r="D432" i="10" s="1"/>
  <c r="C361" i="10"/>
  <c r="C432" i="10" s="1"/>
  <c r="B361" i="10"/>
  <c r="B432" i="10" s="1"/>
  <c r="R360" i="10"/>
  <c r="R431" i="10" s="1"/>
  <c r="Q360" i="10"/>
  <c r="Q431" i="10" s="1"/>
  <c r="P360" i="10"/>
  <c r="P431" i="10" s="1"/>
  <c r="O360" i="10"/>
  <c r="O431" i="10" s="1"/>
  <c r="N360" i="10"/>
  <c r="N431" i="10" s="1"/>
  <c r="K360" i="10"/>
  <c r="K431" i="10" s="1"/>
  <c r="J360" i="10"/>
  <c r="J431" i="10" s="1"/>
  <c r="I360" i="10"/>
  <c r="I431" i="10" s="1"/>
  <c r="H360" i="10"/>
  <c r="H431" i="10" s="1"/>
  <c r="G360" i="10"/>
  <c r="G431" i="10" s="1"/>
  <c r="F360" i="10"/>
  <c r="F431" i="10" s="1"/>
  <c r="E360" i="10"/>
  <c r="E431" i="10" s="1"/>
  <c r="D360" i="10"/>
  <c r="D431" i="10" s="1"/>
  <c r="C360" i="10"/>
  <c r="C431" i="10" s="1"/>
  <c r="B360" i="10"/>
  <c r="B431" i="10" s="1"/>
  <c r="L357" i="10"/>
  <c r="L644" i="10" s="1"/>
  <c r="L354" i="10"/>
  <c r="L353" i="10"/>
  <c r="L352" i="10"/>
  <c r="L639" i="10" s="1"/>
  <c r="L351" i="10"/>
  <c r="L638" i="10" s="1"/>
  <c r="L350" i="10"/>
  <c r="L349" i="10"/>
  <c r="L348" i="10"/>
  <c r="L635" i="10" s="1"/>
  <c r="I347" i="10"/>
  <c r="I634" i="10" s="1"/>
  <c r="F347" i="10"/>
  <c r="L345" i="10"/>
  <c r="L344" i="10"/>
  <c r="L631" i="10" s="1"/>
  <c r="L343" i="10"/>
  <c r="L630" i="10" s="1"/>
  <c r="L342" i="10"/>
  <c r="L341" i="10"/>
  <c r="L340" i="10"/>
  <c r="L339" i="10"/>
  <c r="L338" i="10"/>
  <c r="L337" i="10"/>
  <c r="L336" i="10"/>
  <c r="L335" i="10"/>
  <c r="L334" i="10"/>
  <c r="L333" i="10"/>
  <c r="L332" i="10"/>
  <c r="L331" i="10"/>
  <c r="L328" i="10"/>
  <c r="L327" i="10"/>
  <c r="S326" i="10"/>
  <c r="L326" i="10"/>
  <c r="S325" i="10"/>
  <c r="L325" i="10"/>
  <c r="S324" i="10"/>
  <c r="L324" i="10"/>
  <c r="S323" i="10"/>
  <c r="L323" i="10"/>
  <c r="S322" i="10"/>
  <c r="L322" i="10"/>
  <c r="L321" i="10"/>
  <c r="S320" i="10"/>
  <c r="L320" i="10"/>
  <c r="S319" i="10"/>
  <c r="L319" i="10"/>
  <c r="S318" i="10"/>
  <c r="L318" i="10"/>
  <c r="S317" i="10"/>
  <c r="L317" i="10"/>
  <c r="S316" i="10"/>
  <c r="L316" i="10"/>
  <c r="S315" i="10"/>
  <c r="L315" i="10"/>
  <c r="S314" i="10"/>
  <c r="L314" i="10"/>
  <c r="S313" i="10"/>
  <c r="L313" i="10"/>
  <c r="S312" i="10"/>
  <c r="L312" i="10"/>
  <c r="S311" i="10"/>
  <c r="L311" i="10"/>
  <c r="S310" i="10"/>
  <c r="L310" i="10"/>
  <c r="S309" i="10"/>
  <c r="L309" i="10"/>
  <c r="S308" i="10"/>
  <c r="L308" i="10"/>
  <c r="S307" i="10"/>
  <c r="L307" i="10"/>
  <c r="S306" i="10"/>
  <c r="L306" i="10"/>
  <c r="S305" i="10"/>
  <c r="L305" i="10"/>
  <c r="S304" i="10"/>
  <c r="L304" i="10"/>
  <c r="S303" i="10"/>
  <c r="L303" i="10"/>
  <c r="S302" i="10"/>
  <c r="L302" i="10"/>
  <c r="S301" i="10"/>
  <c r="L301" i="10"/>
  <c r="S300" i="10"/>
  <c r="L300" i="10"/>
  <c r="S299" i="10"/>
  <c r="L299" i="10"/>
  <c r="S298" i="10"/>
  <c r="L298" i="10"/>
  <c r="S297" i="10"/>
  <c r="L297" i="10"/>
  <c r="S296" i="10"/>
  <c r="L296" i="10"/>
  <c r="S295" i="10"/>
  <c r="L295" i="10"/>
  <c r="S294" i="10"/>
  <c r="L294" i="10"/>
  <c r="S293" i="10"/>
  <c r="L293" i="10"/>
  <c r="S292" i="10"/>
  <c r="L292" i="10"/>
  <c r="S291" i="10"/>
  <c r="L291" i="10"/>
  <c r="S290" i="10"/>
  <c r="L290" i="10"/>
  <c r="S289" i="10"/>
  <c r="L289" i="10"/>
  <c r="L286" i="10"/>
  <c r="L619" i="10" s="1"/>
  <c r="L283" i="10"/>
  <c r="L616" i="10" s="1"/>
  <c r="L282" i="10"/>
  <c r="L615" i="10" s="1"/>
  <c r="L281" i="10"/>
  <c r="L614" i="10" s="1"/>
  <c r="S280" i="10"/>
  <c r="L280" i="10"/>
  <c r="L613" i="10" s="1"/>
  <c r="L279" i="10"/>
  <c r="L612" i="10" s="1"/>
  <c r="L278" i="10"/>
  <c r="L611" i="10" s="1"/>
  <c r="L277" i="10"/>
  <c r="L610" i="10" s="1"/>
  <c r="I276" i="10"/>
  <c r="I609" i="10" s="1"/>
  <c r="F276" i="10"/>
  <c r="F609" i="10" s="1"/>
  <c r="E276" i="10"/>
  <c r="E609" i="10" s="1"/>
  <c r="D276" i="10"/>
  <c r="D609" i="10" s="1"/>
  <c r="S275" i="10"/>
  <c r="S608" i="10" s="1"/>
  <c r="L275" i="10"/>
  <c r="L274" i="10"/>
  <c r="L607" i="10" s="1"/>
  <c r="S273" i="10"/>
  <c r="L273" i="10"/>
  <c r="L606" i="10" s="1"/>
  <c r="L272" i="10"/>
  <c r="L605" i="10" s="1"/>
  <c r="D271" i="10"/>
  <c r="D604" i="10" s="1"/>
  <c r="L270" i="10"/>
  <c r="L269" i="10"/>
  <c r="L268" i="10"/>
  <c r="L267" i="10"/>
  <c r="L266" i="10"/>
  <c r="L265" i="10"/>
  <c r="L264" i="10"/>
  <c r="L263" i="10"/>
  <c r="S262" i="10"/>
  <c r="S603" i="10" s="1"/>
  <c r="L262" i="10"/>
  <c r="L261" i="10"/>
  <c r="L260" i="10"/>
  <c r="S259" i="10"/>
  <c r="L259" i="10"/>
  <c r="S258" i="10"/>
  <c r="L258" i="10"/>
  <c r="S257" i="10"/>
  <c r="L257" i="10"/>
  <c r="S256" i="10"/>
  <c r="L256" i="10"/>
  <c r="S255" i="10"/>
  <c r="L255" i="10"/>
  <c r="S254" i="10"/>
  <c r="L254" i="10"/>
  <c r="S253" i="10"/>
  <c r="L253" i="10"/>
  <c r="S252" i="10"/>
  <c r="L252" i="10"/>
  <c r="S251" i="10"/>
  <c r="L251" i="10"/>
  <c r="L250" i="10"/>
  <c r="S249" i="10"/>
  <c r="L249" i="10"/>
  <c r="S248" i="10"/>
  <c r="L248" i="10"/>
  <c r="S247" i="10"/>
  <c r="L247" i="10"/>
  <c r="S246" i="10"/>
  <c r="L246" i="10"/>
  <c r="S245" i="10"/>
  <c r="L245" i="10"/>
  <c r="S244" i="10"/>
  <c r="L244" i="10"/>
  <c r="S243" i="10"/>
  <c r="L243" i="10"/>
  <c r="S242" i="10"/>
  <c r="L242" i="10"/>
  <c r="S241" i="10"/>
  <c r="L241" i="10"/>
  <c r="S240" i="10"/>
  <c r="L240" i="10"/>
  <c r="S239" i="10"/>
  <c r="L239" i="10"/>
  <c r="S238" i="10"/>
  <c r="L238" i="10"/>
  <c r="S237" i="10"/>
  <c r="L237" i="10"/>
  <c r="S236" i="10"/>
  <c r="L236" i="10"/>
  <c r="S235" i="10"/>
  <c r="L235" i="10"/>
  <c r="S234" i="10"/>
  <c r="L234" i="10"/>
  <c r="S233" i="10"/>
  <c r="L233" i="10"/>
  <c r="S232" i="10"/>
  <c r="L232" i="10"/>
  <c r="S231" i="10"/>
  <c r="L231" i="10"/>
  <c r="S230" i="10"/>
  <c r="L230" i="10"/>
  <c r="S229" i="10"/>
  <c r="L229" i="10"/>
  <c r="S228" i="10"/>
  <c r="L228" i="10"/>
  <c r="S227" i="10"/>
  <c r="L227" i="10"/>
  <c r="S226" i="10"/>
  <c r="L226" i="10"/>
  <c r="S225" i="10"/>
  <c r="L225" i="10"/>
  <c r="S224" i="10"/>
  <c r="L224" i="10"/>
  <c r="S223" i="10"/>
  <c r="L223" i="10"/>
  <c r="S222" i="10"/>
  <c r="L222" i="10"/>
  <c r="S221" i="10"/>
  <c r="L221" i="10"/>
  <c r="S220" i="10"/>
  <c r="L220" i="10"/>
  <c r="S219" i="10"/>
  <c r="L219" i="10"/>
  <c r="S218" i="10"/>
  <c r="L218" i="10"/>
  <c r="L215" i="10"/>
  <c r="L597" i="10" s="1"/>
  <c r="L212" i="10"/>
  <c r="L594" i="10" s="1"/>
  <c r="L211" i="10"/>
  <c r="L593" i="10" s="1"/>
  <c r="L210" i="10"/>
  <c r="L592" i="10" s="1"/>
  <c r="S209" i="10"/>
  <c r="S591" i="10" s="1"/>
  <c r="L209" i="10"/>
  <c r="L591" i="10" s="1"/>
  <c r="L208" i="10"/>
  <c r="L590" i="10" s="1"/>
  <c r="L207" i="10"/>
  <c r="L589" i="10" s="1"/>
  <c r="L206" i="10"/>
  <c r="L588" i="10" s="1"/>
  <c r="G205" i="10"/>
  <c r="F205" i="10"/>
  <c r="F587" i="10" s="1"/>
  <c r="E205" i="10"/>
  <c r="E587" i="10" s="1"/>
  <c r="D205" i="10"/>
  <c r="D587" i="10" s="1"/>
  <c r="S204" i="10"/>
  <c r="S586" i="10" s="1"/>
  <c r="S202" i="10"/>
  <c r="S584" i="10" s="1"/>
  <c r="L202" i="10"/>
  <c r="L584" i="10" s="1"/>
  <c r="L201" i="10"/>
  <c r="L583" i="10" s="1"/>
  <c r="L200" i="10"/>
  <c r="L199" i="10"/>
  <c r="L198" i="10"/>
  <c r="L197" i="10"/>
  <c r="L196" i="10"/>
  <c r="L195" i="10"/>
  <c r="L194" i="10"/>
  <c r="L193" i="10"/>
  <c r="L192" i="10"/>
  <c r="L191" i="10"/>
  <c r="L190" i="10"/>
  <c r="L189" i="10"/>
  <c r="S188" i="10"/>
  <c r="L188" i="10"/>
  <c r="S187" i="10"/>
  <c r="L187" i="10"/>
  <c r="S186" i="10"/>
  <c r="L186" i="10"/>
  <c r="S185" i="10"/>
  <c r="L185" i="10"/>
  <c r="S184" i="10"/>
  <c r="L184" i="10"/>
  <c r="S183" i="10"/>
  <c r="L183" i="10"/>
  <c r="S182" i="10"/>
  <c r="L182" i="10"/>
  <c r="S181" i="10"/>
  <c r="L181" i="10"/>
  <c r="S180" i="10"/>
  <c r="L180" i="10"/>
  <c r="L179" i="10"/>
  <c r="S178" i="10"/>
  <c r="L178" i="10"/>
  <c r="S177" i="10"/>
  <c r="L177" i="10"/>
  <c r="S176" i="10"/>
  <c r="L176" i="10"/>
  <c r="S175" i="10"/>
  <c r="L175" i="10"/>
  <c r="S174" i="10"/>
  <c r="L174" i="10"/>
  <c r="S173" i="10"/>
  <c r="L173" i="10"/>
  <c r="S172" i="10"/>
  <c r="L172" i="10"/>
  <c r="S171" i="10"/>
  <c r="L171" i="10"/>
  <c r="S170" i="10"/>
  <c r="L170" i="10"/>
  <c r="S169" i="10"/>
  <c r="L169" i="10"/>
  <c r="S168" i="10"/>
  <c r="L168" i="10"/>
  <c r="S167" i="10"/>
  <c r="L167" i="10"/>
  <c r="S166" i="10"/>
  <c r="L166" i="10"/>
  <c r="S165" i="10"/>
  <c r="L165" i="10"/>
  <c r="S164" i="10"/>
  <c r="L164" i="10"/>
  <c r="S163" i="10"/>
  <c r="L163" i="10"/>
  <c r="S162" i="10"/>
  <c r="L162" i="10"/>
  <c r="S161" i="10"/>
  <c r="L161" i="10"/>
  <c r="S160" i="10"/>
  <c r="L160" i="10"/>
  <c r="S159" i="10"/>
  <c r="L159" i="10"/>
  <c r="S158" i="10"/>
  <c r="L158" i="10"/>
  <c r="S157" i="10"/>
  <c r="L157" i="10"/>
  <c r="S156" i="10"/>
  <c r="L156" i="10"/>
  <c r="S155" i="10"/>
  <c r="L155" i="10"/>
  <c r="S154" i="10"/>
  <c r="L154" i="10"/>
  <c r="S153" i="10"/>
  <c r="L153" i="10"/>
  <c r="S152" i="10"/>
  <c r="L152" i="10"/>
  <c r="S151" i="10"/>
  <c r="L151" i="10"/>
  <c r="S150" i="10"/>
  <c r="L150" i="10"/>
  <c r="S149" i="10"/>
  <c r="L149" i="10"/>
  <c r="S148" i="10"/>
  <c r="L148" i="10"/>
  <c r="S147" i="10"/>
  <c r="L147" i="10"/>
  <c r="L144" i="10"/>
  <c r="L572" i="10" s="1"/>
  <c r="L141" i="10"/>
  <c r="L569" i="10" s="1"/>
  <c r="L140" i="10"/>
  <c r="L568" i="10" s="1"/>
  <c r="L139" i="10"/>
  <c r="L567" i="10" s="1"/>
  <c r="S566" i="10"/>
  <c r="L138" i="10"/>
  <c r="L566" i="10" s="1"/>
  <c r="L137" i="10"/>
  <c r="L565" i="10" s="1"/>
  <c r="L136" i="10"/>
  <c r="L564" i="10" s="1"/>
  <c r="L135" i="10"/>
  <c r="L563" i="10" s="1"/>
  <c r="I134" i="10"/>
  <c r="I562" i="10" s="1"/>
  <c r="G134" i="10"/>
  <c r="G562" i="10" s="1"/>
  <c r="F134" i="10"/>
  <c r="F562" i="10" s="1"/>
  <c r="E134" i="10"/>
  <c r="E562" i="10" s="1"/>
  <c r="D134" i="10"/>
  <c r="D562" i="10" s="1"/>
  <c r="S133" i="10"/>
  <c r="S561" i="10" s="1"/>
  <c r="H133" i="10"/>
  <c r="L133" i="10" s="1"/>
  <c r="L561" i="10" s="1"/>
  <c r="L132" i="10"/>
  <c r="L560" i="10" s="1"/>
  <c r="S131" i="10"/>
  <c r="S559" i="10" s="1"/>
  <c r="L131" i="10"/>
  <c r="L559" i="10" s="1"/>
  <c r="L130" i="10"/>
  <c r="L558" i="10" s="1"/>
  <c r="L129" i="10"/>
  <c r="L128" i="10"/>
  <c r="L127" i="10"/>
  <c r="L126" i="10"/>
  <c r="L125" i="10"/>
  <c r="L124" i="10"/>
  <c r="L123" i="10"/>
  <c r="L122" i="10"/>
  <c r="L121" i="10"/>
  <c r="L120" i="10"/>
  <c r="L119" i="10"/>
  <c r="L118" i="10"/>
  <c r="L117" i="10"/>
  <c r="S116" i="10"/>
  <c r="L116" i="10"/>
  <c r="S115" i="10"/>
  <c r="L115" i="10"/>
  <c r="S114" i="10"/>
  <c r="L114" i="10"/>
  <c r="S113" i="10"/>
  <c r="L113" i="10"/>
  <c r="S112" i="10"/>
  <c r="L112" i="10"/>
  <c r="S111" i="10"/>
  <c r="L111" i="10"/>
  <c r="S110" i="10"/>
  <c r="L110" i="10"/>
  <c r="S109" i="10"/>
  <c r="L109" i="10"/>
  <c r="L108" i="10"/>
  <c r="S107" i="10"/>
  <c r="L107" i="10"/>
  <c r="S106" i="10"/>
  <c r="L106" i="10"/>
  <c r="S105" i="10"/>
  <c r="L105" i="10"/>
  <c r="S104" i="10"/>
  <c r="L104" i="10"/>
  <c r="S103" i="10"/>
  <c r="L103" i="10"/>
  <c r="S102" i="10"/>
  <c r="L102" i="10"/>
  <c r="S101" i="10"/>
  <c r="L101" i="10"/>
  <c r="S100" i="10"/>
  <c r="L100" i="10"/>
  <c r="S99" i="10"/>
  <c r="L99" i="10"/>
  <c r="S98" i="10"/>
  <c r="L98" i="10"/>
  <c r="S97" i="10"/>
  <c r="L97" i="10"/>
  <c r="S96" i="10"/>
  <c r="L96" i="10"/>
  <c r="S95" i="10"/>
  <c r="L95" i="10"/>
  <c r="S94" i="10"/>
  <c r="L94" i="10"/>
  <c r="S93" i="10"/>
  <c r="L93" i="10"/>
  <c r="S92" i="10"/>
  <c r="L92" i="10"/>
  <c r="S91" i="10"/>
  <c r="L91" i="10"/>
  <c r="S90" i="10"/>
  <c r="L90" i="10"/>
  <c r="S89" i="10"/>
  <c r="L89" i="10"/>
  <c r="S88" i="10"/>
  <c r="L88" i="10"/>
  <c r="S87" i="10"/>
  <c r="L87" i="10"/>
  <c r="S86" i="10"/>
  <c r="L86" i="10"/>
  <c r="S85" i="10"/>
  <c r="L85" i="10"/>
  <c r="S84" i="10"/>
  <c r="L84" i="10"/>
  <c r="S83" i="10"/>
  <c r="L83" i="10"/>
  <c r="S82" i="10"/>
  <c r="L82" i="10"/>
  <c r="S81" i="10"/>
  <c r="L81" i="10"/>
  <c r="S80" i="10"/>
  <c r="L80" i="10"/>
  <c r="S79" i="10"/>
  <c r="L79" i="10"/>
  <c r="S78" i="10"/>
  <c r="L78" i="10"/>
  <c r="S77" i="10"/>
  <c r="L77" i="10"/>
  <c r="S76" i="10"/>
  <c r="L76" i="10"/>
  <c r="S73" i="10"/>
  <c r="S499" i="10" s="1"/>
  <c r="L73" i="10"/>
  <c r="S70" i="10"/>
  <c r="L70" i="10"/>
  <c r="L69" i="10"/>
  <c r="S68" i="10"/>
  <c r="L68" i="10"/>
  <c r="S67" i="10"/>
  <c r="L67" i="10"/>
  <c r="S66" i="10"/>
  <c r="L66" i="10"/>
  <c r="S65" i="10"/>
  <c r="L65" i="10"/>
  <c r="S64" i="10"/>
  <c r="L64" i="10"/>
  <c r="Q63" i="10"/>
  <c r="S63" i="10" s="1"/>
  <c r="G63" i="10"/>
  <c r="F63" i="10"/>
  <c r="E63" i="10"/>
  <c r="D63" i="10"/>
  <c r="S62" i="10"/>
  <c r="H62" i="10"/>
  <c r="L62" i="10" s="1"/>
  <c r="S61" i="10"/>
  <c r="L61" i="10"/>
  <c r="S60" i="10"/>
  <c r="L60" i="10"/>
  <c r="S59" i="10"/>
  <c r="L59" i="10"/>
  <c r="S58" i="10"/>
  <c r="L58" i="10"/>
  <c r="S57" i="10"/>
  <c r="S483" i="10" s="1"/>
  <c r="L57" i="10"/>
  <c r="S56" i="10"/>
  <c r="S482" i="10" s="1"/>
  <c r="L56" i="10"/>
  <c r="S55" i="10"/>
  <c r="S481" i="10" s="1"/>
  <c r="L55" i="10"/>
  <c r="S54" i="10"/>
  <c r="L54" i="10"/>
  <c r="S53" i="10"/>
  <c r="L53" i="10"/>
  <c r="L52" i="10"/>
  <c r="L51" i="10"/>
  <c r="L50" i="10"/>
  <c r="S46" i="10"/>
  <c r="L46" i="10"/>
  <c r="S45" i="10"/>
  <c r="L45" i="10"/>
  <c r="S44" i="10"/>
  <c r="L44" i="10"/>
  <c r="S43" i="10"/>
  <c r="L43" i="10"/>
  <c r="S42" i="10"/>
  <c r="L42" i="10"/>
  <c r="L41" i="10"/>
  <c r="S40" i="10"/>
  <c r="L40" i="10"/>
  <c r="S39" i="10"/>
  <c r="L39" i="10"/>
  <c r="S38" i="10"/>
  <c r="L38" i="10"/>
  <c r="S37" i="10"/>
  <c r="L37" i="10"/>
  <c r="S36" i="10"/>
  <c r="L36" i="10"/>
  <c r="S35" i="10"/>
  <c r="L35" i="10"/>
  <c r="S34" i="10"/>
  <c r="L34" i="10"/>
  <c r="S33" i="10"/>
  <c r="L33" i="10"/>
  <c r="S32" i="10"/>
  <c r="L32" i="10"/>
  <c r="S31" i="10"/>
  <c r="L31" i="10"/>
  <c r="S30" i="10"/>
  <c r="S29" i="10"/>
  <c r="L29" i="10"/>
  <c r="S28" i="10"/>
  <c r="L28" i="10"/>
  <c r="S27" i="10"/>
  <c r="L27" i="10"/>
  <c r="S26" i="10"/>
  <c r="L26" i="10"/>
  <c r="S25" i="10"/>
  <c r="L25" i="10"/>
  <c r="S24" i="10"/>
  <c r="L24" i="10"/>
  <c r="S23" i="10"/>
  <c r="L23" i="10"/>
  <c r="S22" i="10"/>
  <c r="L22" i="10"/>
  <c r="S21" i="10"/>
  <c r="L21" i="10"/>
  <c r="S20" i="10"/>
  <c r="L20" i="10"/>
  <c r="S19" i="10"/>
  <c r="L19" i="10"/>
  <c r="S18" i="10"/>
  <c r="L18" i="10"/>
  <c r="S17" i="10"/>
  <c r="L17" i="10"/>
  <c r="S16" i="10"/>
  <c r="L16" i="10"/>
  <c r="S15" i="10"/>
  <c r="L15" i="10"/>
  <c r="S14" i="10"/>
  <c r="L14" i="10"/>
  <c r="S13" i="10"/>
  <c r="L13" i="10"/>
  <c r="S12" i="10"/>
  <c r="L12" i="10"/>
  <c r="S11" i="10"/>
  <c r="L11" i="10"/>
  <c r="S10" i="10"/>
  <c r="L10" i="10"/>
  <c r="S9" i="10"/>
  <c r="L9" i="10"/>
  <c r="S8" i="10"/>
  <c r="L8" i="10"/>
  <c r="S7" i="10"/>
  <c r="L7" i="10"/>
  <c r="S6" i="10"/>
  <c r="L6" i="10"/>
  <c r="A6" i="10"/>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S5" i="10"/>
  <c r="L5" i="10"/>
  <c r="B522" i="9"/>
  <c r="B519" i="9"/>
  <c r="B518" i="9"/>
  <c r="B517" i="9"/>
  <c r="J512" i="9"/>
  <c r="J511" i="9"/>
  <c r="A502" i="9"/>
  <c r="K500" i="9"/>
  <c r="J500" i="9"/>
  <c r="I500" i="9"/>
  <c r="H500" i="9"/>
  <c r="G500" i="9"/>
  <c r="F500" i="9"/>
  <c r="E500" i="9"/>
  <c r="D500" i="9"/>
  <c r="C500" i="9"/>
  <c r="B500" i="9"/>
  <c r="K497" i="9"/>
  <c r="J497" i="9"/>
  <c r="I497" i="9"/>
  <c r="H497" i="9"/>
  <c r="G497" i="9"/>
  <c r="F497" i="9"/>
  <c r="E497" i="9"/>
  <c r="D497" i="9"/>
  <c r="C497" i="9"/>
  <c r="B497" i="9"/>
  <c r="K496" i="9"/>
  <c r="J496" i="9"/>
  <c r="I496" i="9"/>
  <c r="H496" i="9"/>
  <c r="G496" i="9"/>
  <c r="F496" i="9"/>
  <c r="E496" i="9"/>
  <c r="D496" i="9"/>
  <c r="C496" i="9"/>
  <c r="B496" i="9"/>
  <c r="K495" i="9"/>
  <c r="J495" i="9"/>
  <c r="I495" i="9"/>
  <c r="H495" i="9"/>
  <c r="G495" i="9"/>
  <c r="F495" i="9"/>
  <c r="E495" i="9"/>
  <c r="D495" i="9"/>
  <c r="C495" i="9"/>
  <c r="B495" i="9"/>
  <c r="K494" i="9"/>
  <c r="J494" i="9"/>
  <c r="I494" i="9"/>
  <c r="H494" i="9"/>
  <c r="G494" i="9"/>
  <c r="F494" i="9"/>
  <c r="E494" i="9"/>
  <c r="D494" i="9"/>
  <c r="C494" i="9"/>
  <c r="B494" i="9"/>
  <c r="K493" i="9"/>
  <c r="J493" i="9"/>
  <c r="I493" i="9"/>
  <c r="H493" i="9"/>
  <c r="G493" i="9"/>
  <c r="F493" i="9"/>
  <c r="E493" i="9"/>
  <c r="D493" i="9"/>
  <c r="C493" i="9"/>
  <c r="B493" i="9"/>
  <c r="K492" i="9"/>
  <c r="J492" i="9"/>
  <c r="I492" i="9"/>
  <c r="H492" i="9"/>
  <c r="G492" i="9"/>
  <c r="F492" i="9"/>
  <c r="E492" i="9"/>
  <c r="D492" i="9"/>
  <c r="C492" i="9"/>
  <c r="B492" i="9"/>
  <c r="K491" i="9"/>
  <c r="J491" i="9"/>
  <c r="I491" i="9"/>
  <c r="H491" i="9"/>
  <c r="G491" i="9"/>
  <c r="F491" i="9"/>
  <c r="E491" i="9"/>
  <c r="D491" i="9"/>
  <c r="C491" i="9"/>
  <c r="B491" i="9"/>
  <c r="K490" i="9"/>
  <c r="J490" i="9"/>
  <c r="H490" i="9"/>
  <c r="G490" i="9"/>
  <c r="E490" i="9"/>
  <c r="D490" i="9"/>
  <c r="C490" i="9"/>
  <c r="B490" i="9"/>
  <c r="L489" i="9"/>
  <c r="K489" i="9"/>
  <c r="J489" i="9"/>
  <c r="I489" i="9"/>
  <c r="H489" i="9"/>
  <c r="G489" i="9"/>
  <c r="F489" i="9"/>
  <c r="E489" i="9"/>
  <c r="D489" i="9"/>
  <c r="C489" i="9"/>
  <c r="B489" i="9"/>
  <c r="K488" i="9"/>
  <c r="J488" i="9"/>
  <c r="I488" i="9"/>
  <c r="H488" i="9"/>
  <c r="G488" i="9"/>
  <c r="F488" i="9"/>
  <c r="E488" i="9"/>
  <c r="D488" i="9"/>
  <c r="C488" i="9"/>
  <c r="B488" i="9"/>
  <c r="K487" i="9"/>
  <c r="J487" i="9"/>
  <c r="I487" i="9"/>
  <c r="H487" i="9"/>
  <c r="G487" i="9"/>
  <c r="F487" i="9"/>
  <c r="E487" i="9"/>
  <c r="D487" i="9"/>
  <c r="C487" i="9"/>
  <c r="B487" i="9"/>
  <c r="K486" i="9"/>
  <c r="J486" i="9"/>
  <c r="I486" i="9"/>
  <c r="H486" i="9"/>
  <c r="G486" i="9"/>
  <c r="F486" i="9"/>
  <c r="E486" i="9"/>
  <c r="D486" i="9"/>
  <c r="C486" i="9"/>
  <c r="B486" i="9"/>
  <c r="J485" i="9"/>
  <c r="I485" i="9"/>
  <c r="H485" i="9"/>
  <c r="G485" i="9"/>
  <c r="F485" i="9"/>
  <c r="E485" i="9"/>
  <c r="D485" i="9"/>
  <c r="C485" i="9"/>
  <c r="B485" i="9"/>
  <c r="I484" i="9"/>
  <c r="H484" i="9"/>
  <c r="G484" i="9"/>
  <c r="D484" i="9"/>
  <c r="I483" i="9"/>
  <c r="H483" i="9"/>
  <c r="G483" i="9"/>
  <c r="F483" i="9"/>
  <c r="D483" i="9"/>
  <c r="J482" i="9"/>
  <c r="I482" i="9"/>
  <c r="H482" i="9"/>
  <c r="G482" i="9"/>
  <c r="F482" i="9"/>
  <c r="E482" i="9"/>
  <c r="D482" i="9"/>
  <c r="J481" i="9"/>
  <c r="I481" i="9"/>
  <c r="H481" i="9"/>
  <c r="G481" i="9"/>
  <c r="F481" i="9"/>
  <c r="E481" i="9"/>
  <c r="D481" i="9"/>
  <c r="K475" i="9"/>
  <c r="J475" i="9"/>
  <c r="I475" i="9"/>
  <c r="H475" i="9"/>
  <c r="G475" i="9"/>
  <c r="F475" i="9"/>
  <c r="E475" i="9"/>
  <c r="D475" i="9"/>
  <c r="C475" i="9"/>
  <c r="B475" i="9"/>
  <c r="K472" i="9"/>
  <c r="J472" i="9"/>
  <c r="I472" i="9"/>
  <c r="H472" i="9"/>
  <c r="G472" i="9"/>
  <c r="F472" i="9"/>
  <c r="E472" i="9"/>
  <c r="D472" i="9"/>
  <c r="C472" i="9"/>
  <c r="B472" i="9"/>
  <c r="K471" i="9"/>
  <c r="J471" i="9"/>
  <c r="I471" i="9"/>
  <c r="H471" i="9"/>
  <c r="G471" i="9"/>
  <c r="F471" i="9"/>
  <c r="E471" i="9"/>
  <c r="D471" i="9"/>
  <c r="C471" i="9"/>
  <c r="B471" i="9"/>
  <c r="K470" i="9"/>
  <c r="J470" i="9"/>
  <c r="I470" i="9"/>
  <c r="H470" i="9"/>
  <c r="G470" i="9"/>
  <c r="F470" i="9"/>
  <c r="E470" i="9"/>
  <c r="D470" i="9"/>
  <c r="C470" i="9"/>
  <c r="B470" i="9"/>
  <c r="K469" i="9"/>
  <c r="J469" i="9"/>
  <c r="I469" i="9"/>
  <c r="H469" i="9"/>
  <c r="G469" i="9"/>
  <c r="F469" i="9"/>
  <c r="E469" i="9"/>
  <c r="D469" i="9"/>
  <c r="C469" i="9"/>
  <c r="B469" i="9"/>
  <c r="K468" i="9"/>
  <c r="J468" i="9"/>
  <c r="I468" i="9"/>
  <c r="H468" i="9"/>
  <c r="G468" i="9"/>
  <c r="F468" i="9"/>
  <c r="E468" i="9"/>
  <c r="D468" i="9"/>
  <c r="C468" i="9"/>
  <c r="B468" i="9"/>
  <c r="K467" i="9"/>
  <c r="J467" i="9"/>
  <c r="I467" i="9"/>
  <c r="H467" i="9"/>
  <c r="G467" i="9"/>
  <c r="F467" i="9"/>
  <c r="E467" i="9"/>
  <c r="D467" i="9"/>
  <c r="C467" i="9"/>
  <c r="B467" i="9"/>
  <c r="K466" i="9"/>
  <c r="J466" i="9"/>
  <c r="I466" i="9"/>
  <c r="H466" i="9"/>
  <c r="G466" i="9"/>
  <c r="F466" i="9"/>
  <c r="E466" i="9"/>
  <c r="D466" i="9"/>
  <c r="C466" i="9"/>
  <c r="B466" i="9"/>
  <c r="K465" i="9"/>
  <c r="J465" i="9"/>
  <c r="H465" i="9"/>
  <c r="G465" i="9"/>
  <c r="F465" i="9"/>
  <c r="E465" i="9"/>
  <c r="D465" i="9"/>
  <c r="C465" i="9"/>
  <c r="B465" i="9"/>
  <c r="K464" i="9"/>
  <c r="J464" i="9"/>
  <c r="I464" i="9"/>
  <c r="H464" i="9"/>
  <c r="G464" i="9"/>
  <c r="F464" i="9"/>
  <c r="E464" i="9"/>
  <c r="D464" i="9"/>
  <c r="C464" i="9"/>
  <c r="B464" i="9"/>
  <c r="K463" i="9"/>
  <c r="J463" i="9"/>
  <c r="I463" i="9"/>
  <c r="H463" i="9"/>
  <c r="G463" i="9"/>
  <c r="F463" i="9"/>
  <c r="E463" i="9"/>
  <c r="D463" i="9"/>
  <c r="C463" i="9"/>
  <c r="B463" i="9"/>
  <c r="K462" i="9"/>
  <c r="J462" i="9"/>
  <c r="I462" i="9"/>
  <c r="H462" i="9"/>
  <c r="G462" i="9"/>
  <c r="F462" i="9"/>
  <c r="E462" i="9"/>
  <c r="D462" i="9"/>
  <c r="C462" i="9"/>
  <c r="B462" i="9"/>
  <c r="K461" i="9"/>
  <c r="J461" i="9"/>
  <c r="I461" i="9"/>
  <c r="H461" i="9"/>
  <c r="G461" i="9"/>
  <c r="F461" i="9"/>
  <c r="E461" i="9"/>
  <c r="D461" i="9"/>
  <c r="C461" i="9"/>
  <c r="B461" i="9"/>
  <c r="K460" i="9"/>
  <c r="J460" i="9"/>
  <c r="I460" i="9"/>
  <c r="H460" i="9"/>
  <c r="G460" i="9"/>
  <c r="F460" i="9"/>
  <c r="E460" i="9"/>
  <c r="C460" i="9"/>
  <c r="B460" i="9"/>
  <c r="J459" i="9"/>
  <c r="I459" i="9"/>
  <c r="H459" i="9"/>
  <c r="G459" i="9"/>
  <c r="F459" i="9"/>
  <c r="E459" i="9"/>
  <c r="D459" i="9"/>
  <c r="J458" i="9"/>
  <c r="I458" i="9"/>
  <c r="H458" i="9"/>
  <c r="G458" i="9"/>
  <c r="F458" i="9"/>
  <c r="E458" i="9"/>
  <c r="D458" i="9"/>
  <c r="J457" i="9"/>
  <c r="I457" i="9"/>
  <c r="H457" i="9"/>
  <c r="G457" i="9"/>
  <c r="F457" i="9"/>
  <c r="E457" i="9"/>
  <c r="D457" i="9"/>
  <c r="J456" i="9"/>
  <c r="I456" i="9"/>
  <c r="H456" i="9"/>
  <c r="G456" i="9"/>
  <c r="F456" i="9"/>
  <c r="E456" i="9"/>
  <c r="D456" i="9"/>
  <c r="A455" i="9"/>
  <c r="K453" i="9"/>
  <c r="J453" i="9"/>
  <c r="I453" i="9"/>
  <c r="H453" i="9"/>
  <c r="G453" i="9"/>
  <c r="F453" i="9"/>
  <c r="E453" i="9"/>
  <c r="D453" i="9"/>
  <c r="C453" i="9"/>
  <c r="B453" i="9"/>
  <c r="K450" i="9"/>
  <c r="J450" i="9"/>
  <c r="I450" i="9"/>
  <c r="H450" i="9"/>
  <c r="G450" i="9"/>
  <c r="F450" i="9"/>
  <c r="E450" i="9"/>
  <c r="D450" i="9"/>
  <c r="C450" i="9"/>
  <c r="B450" i="9"/>
  <c r="K449" i="9"/>
  <c r="J449" i="9"/>
  <c r="I449" i="9"/>
  <c r="H449" i="9"/>
  <c r="G449" i="9"/>
  <c r="F449" i="9"/>
  <c r="E449" i="9"/>
  <c r="D449" i="9"/>
  <c r="C449" i="9"/>
  <c r="B449" i="9"/>
  <c r="K448" i="9"/>
  <c r="J448" i="9"/>
  <c r="I448" i="9"/>
  <c r="H448" i="9"/>
  <c r="G448" i="9"/>
  <c r="F448" i="9"/>
  <c r="E448" i="9"/>
  <c r="D448" i="9"/>
  <c r="C448" i="9"/>
  <c r="B448" i="9"/>
  <c r="K447" i="9"/>
  <c r="J447" i="9"/>
  <c r="I447" i="9"/>
  <c r="H447" i="9"/>
  <c r="G447" i="9"/>
  <c r="F447" i="9"/>
  <c r="E447" i="9"/>
  <c r="D447" i="9"/>
  <c r="C447" i="9"/>
  <c r="B447" i="9"/>
  <c r="K446" i="9"/>
  <c r="J446" i="9"/>
  <c r="I446" i="9"/>
  <c r="H446" i="9"/>
  <c r="G446" i="9"/>
  <c r="F446" i="9"/>
  <c r="E446" i="9"/>
  <c r="D446" i="9"/>
  <c r="C446" i="9"/>
  <c r="B446" i="9"/>
  <c r="K445" i="9"/>
  <c r="J445" i="9"/>
  <c r="I445" i="9"/>
  <c r="H445" i="9"/>
  <c r="G445" i="9"/>
  <c r="F445" i="9"/>
  <c r="E445" i="9"/>
  <c r="D445" i="9"/>
  <c r="C445" i="9"/>
  <c r="B445" i="9"/>
  <c r="K444" i="9"/>
  <c r="J444" i="9"/>
  <c r="I444" i="9"/>
  <c r="H444" i="9"/>
  <c r="G444" i="9"/>
  <c r="F444" i="9"/>
  <c r="E444" i="9"/>
  <c r="D444" i="9"/>
  <c r="C444" i="9"/>
  <c r="B444" i="9"/>
  <c r="K443" i="9"/>
  <c r="J443" i="9"/>
  <c r="I443" i="9"/>
  <c r="H443" i="9"/>
  <c r="F443" i="9"/>
  <c r="E443" i="9"/>
  <c r="D443" i="9"/>
  <c r="C443" i="9"/>
  <c r="B443" i="9"/>
  <c r="K442" i="9"/>
  <c r="J442" i="9"/>
  <c r="I442" i="9"/>
  <c r="H442" i="9"/>
  <c r="G442" i="9"/>
  <c r="F442" i="9"/>
  <c r="E442" i="9"/>
  <c r="D442" i="9"/>
  <c r="C442" i="9"/>
  <c r="B442" i="9"/>
  <c r="L441" i="9"/>
  <c r="K441" i="9"/>
  <c r="J441" i="9"/>
  <c r="I441" i="9"/>
  <c r="H441" i="9"/>
  <c r="G441" i="9"/>
  <c r="F441" i="9"/>
  <c r="E441" i="9"/>
  <c r="D441" i="9"/>
  <c r="C441" i="9"/>
  <c r="B441" i="9"/>
  <c r="K440" i="9"/>
  <c r="J440" i="9"/>
  <c r="I440" i="9"/>
  <c r="H440" i="9"/>
  <c r="G440" i="9"/>
  <c r="F440" i="9"/>
  <c r="E440" i="9"/>
  <c r="D440" i="9"/>
  <c r="C440" i="9"/>
  <c r="B440" i="9"/>
  <c r="K439" i="9"/>
  <c r="J439" i="9"/>
  <c r="I439" i="9"/>
  <c r="H439" i="9"/>
  <c r="G439" i="9"/>
  <c r="F439" i="9"/>
  <c r="E439" i="9"/>
  <c r="D439" i="9"/>
  <c r="C439" i="9"/>
  <c r="B439" i="9"/>
  <c r="I438" i="9"/>
  <c r="H438" i="9"/>
  <c r="G438" i="9"/>
  <c r="F438" i="9"/>
  <c r="E438" i="9"/>
  <c r="D438" i="9"/>
  <c r="C438" i="9"/>
  <c r="B438" i="9"/>
  <c r="I437" i="9"/>
  <c r="H437" i="9"/>
  <c r="G437" i="9"/>
  <c r="F437" i="9"/>
  <c r="E437" i="9"/>
  <c r="D437" i="9"/>
  <c r="I436" i="9"/>
  <c r="H436" i="9"/>
  <c r="G436" i="9"/>
  <c r="F436" i="9"/>
  <c r="E436" i="9"/>
  <c r="D436" i="9"/>
  <c r="I435" i="9"/>
  <c r="H435" i="9"/>
  <c r="G435" i="9"/>
  <c r="F435" i="9"/>
  <c r="E435" i="9"/>
  <c r="D435" i="9"/>
  <c r="J434" i="9"/>
  <c r="I434" i="9"/>
  <c r="H434" i="9"/>
  <c r="G434" i="9"/>
  <c r="F434" i="9"/>
  <c r="E434" i="9"/>
  <c r="D434" i="9"/>
  <c r="A433" i="9"/>
  <c r="K428" i="9"/>
  <c r="J428" i="9"/>
  <c r="I428" i="9"/>
  <c r="H428" i="9"/>
  <c r="G428" i="9"/>
  <c r="F428" i="9"/>
  <c r="E428" i="9"/>
  <c r="D428" i="9"/>
  <c r="C428" i="9"/>
  <c r="B428" i="9"/>
  <c r="K425" i="9"/>
  <c r="J425" i="9"/>
  <c r="I425" i="9"/>
  <c r="H425" i="9"/>
  <c r="G425" i="9"/>
  <c r="F425" i="9"/>
  <c r="E425" i="9"/>
  <c r="D425" i="9"/>
  <c r="C425" i="9"/>
  <c r="B425" i="9"/>
  <c r="K424" i="9"/>
  <c r="J424" i="9"/>
  <c r="I424" i="9"/>
  <c r="H424" i="9"/>
  <c r="G424" i="9"/>
  <c r="F424" i="9"/>
  <c r="E424" i="9"/>
  <c r="D424" i="9"/>
  <c r="C424" i="9"/>
  <c r="B424" i="9"/>
  <c r="K423" i="9"/>
  <c r="J423" i="9"/>
  <c r="I423" i="9"/>
  <c r="H423" i="9"/>
  <c r="G423" i="9"/>
  <c r="F423" i="9"/>
  <c r="E423" i="9"/>
  <c r="D423" i="9"/>
  <c r="C423" i="9"/>
  <c r="B423" i="9"/>
  <c r="K422" i="9"/>
  <c r="J422" i="9"/>
  <c r="I422" i="9"/>
  <c r="H422" i="9"/>
  <c r="G422" i="9"/>
  <c r="F422" i="9"/>
  <c r="E422" i="9"/>
  <c r="D422" i="9"/>
  <c r="C422" i="9"/>
  <c r="B422" i="9"/>
  <c r="K421" i="9"/>
  <c r="J421" i="9"/>
  <c r="I421" i="9"/>
  <c r="H421" i="9"/>
  <c r="G421" i="9"/>
  <c r="F421" i="9"/>
  <c r="E421" i="9"/>
  <c r="D421" i="9"/>
  <c r="C421" i="9"/>
  <c r="B421" i="9"/>
  <c r="K420" i="9"/>
  <c r="J420" i="9"/>
  <c r="I420" i="9"/>
  <c r="H420" i="9"/>
  <c r="G420" i="9"/>
  <c r="F420" i="9"/>
  <c r="E420" i="9"/>
  <c r="D420" i="9"/>
  <c r="C420" i="9"/>
  <c r="B420" i="9"/>
  <c r="K419" i="9"/>
  <c r="J419" i="9"/>
  <c r="I419" i="9"/>
  <c r="H419" i="9"/>
  <c r="G419" i="9"/>
  <c r="F419" i="9"/>
  <c r="E419" i="9"/>
  <c r="D419" i="9"/>
  <c r="C419" i="9"/>
  <c r="B419" i="9"/>
  <c r="K418" i="9"/>
  <c r="J418" i="9"/>
  <c r="H418" i="9"/>
  <c r="G418" i="9"/>
  <c r="E418" i="9"/>
  <c r="D418" i="9"/>
  <c r="C418" i="9"/>
  <c r="B418" i="9"/>
  <c r="K417" i="9"/>
  <c r="J417" i="9"/>
  <c r="I417" i="9"/>
  <c r="H417" i="9"/>
  <c r="G417" i="9"/>
  <c r="F417" i="9"/>
  <c r="E417" i="9"/>
  <c r="D417" i="9"/>
  <c r="C417" i="9"/>
  <c r="B417" i="9"/>
  <c r="K416" i="9"/>
  <c r="J416" i="9"/>
  <c r="I416" i="9"/>
  <c r="H416" i="9"/>
  <c r="G416" i="9"/>
  <c r="F416" i="9"/>
  <c r="E416" i="9"/>
  <c r="D416" i="9"/>
  <c r="C416" i="9"/>
  <c r="B416" i="9"/>
  <c r="K415" i="9"/>
  <c r="J415" i="9"/>
  <c r="I415" i="9"/>
  <c r="H415" i="9"/>
  <c r="G415" i="9"/>
  <c r="F415" i="9"/>
  <c r="E415" i="9"/>
  <c r="D415" i="9"/>
  <c r="C415" i="9"/>
  <c r="B415" i="9"/>
  <c r="K414" i="9"/>
  <c r="J414" i="9"/>
  <c r="I414" i="9"/>
  <c r="H414" i="9"/>
  <c r="G414" i="9"/>
  <c r="F414" i="9"/>
  <c r="E414" i="9"/>
  <c r="D414" i="9"/>
  <c r="C414" i="9"/>
  <c r="B414" i="9"/>
  <c r="K413" i="9"/>
  <c r="J413" i="9"/>
  <c r="I413" i="9"/>
  <c r="H413" i="9"/>
  <c r="G413" i="9"/>
  <c r="F413" i="9"/>
  <c r="E413" i="9"/>
  <c r="D413" i="9"/>
  <c r="C413" i="9"/>
  <c r="B413" i="9"/>
  <c r="J412" i="9"/>
  <c r="I412" i="9"/>
  <c r="H412" i="9"/>
  <c r="G412" i="9"/>
  <c r="F412" i="9"/>
  <c r="E412" i="9"/>
  <c r="D412" i="9"/>
  <c r="J411" i="9"/>
  <c r="I411" i="9"/>
  <c r="H411" i="9"/>
  <c r="G411" i="9"/>
  <c r="F411" i="9"/>
  <c r="E411" i="9"/>
  <c r="D411" i="9"/>
  <c r="J410" i="9"/>
  <c r="I410" i="9"/>
  <c r="H410" i="9"/>
  <c r="G410" i="9"/>
  <c r="F410" i="9"/>
  <c r="E410" i="9"/>
  <c r="D410" i="9"/>
  <c r="I409" i="9"/>
  <c r="H409" i="9"/>
  <c r="G409" i="9"/>
  <c r="F409" i="9"/>
  <c r="E409" i="9"/>
  <c r="D409" i="9"/>
  <c r="A408" i="9"/>
  <c r="K406" i="9"/>
  <c r="J406" i="9"/>
  <c r="I406" i="9"/>
  <c r="H406" i="9"/>
  <c r="G406" i="9"/>
  <c r="F406" i="9"/>
  <c r="E406" i="9"/>
  <c r="D406" i="9"/>
  <c r="C406" i="9"/>
  <c r="B406" i="9"/>
  <c r="K403" i="9"/>
  <c r="J403" i="9"/>
  <c r="I403" i="9"/>
  <c r="H403" i="9"/>
  <c r="G403" i="9"/>
  <c r="F403" i="9"/>
  <c r="E403" i="9"/>
  <c r="D403" i="9"/>
  <c r="C403" i="9"/>
  <c r="B403" i="9"/>
  <c r="K402" i="9"/>
  <c r="J402" i="9"/>
  <c r="I402" i="9"/>
  <c r="H402" i="9"/>
  <c r="G402" i="9"/>
  <c r="F402" i="9"/>
  <c r="E402" i="9"/>
  <c r="D402" i="9"/>
  <c r="C402" i="9"/>
  <c r="B402" i="9"/>
  <c r="K401" i="9"/>
  <c r="J401" i="9"/>
  <c r="I401" i="9"/>
  <c r="H401" i="9"/>
  <c r="G401" i="9"/>
  <c r="F401" i="9"/>
  <c r="E401" i="9"/>
  <c r="D401" i="9"/>
  <c r="C401" i="9"/>
  <c r="B401" i="9"/>
  <c r="K400" i="9"/>
  <c r="J400" i="9"/>
  <c r="I400" i="9"/>
  <c r="H400" i="9"/>
  <c r="G400" i="9"/>
  <c r="F400" i="9"/>
  <c r="E400" i="9"/>
  <c r="D400" i="9"/>
  <c r="C400" i="9"/>
  <c r="B400" i="9"/>
  <c r="K399" i="9"/>
  <c r="J399" i="9"/>
  <c r="I399" i="9"/>
  <c r="H399" i="9"/>
  <c r="G399" i="9"/>
  <c r="F399" i="9"/>
  <c r="E399" i="9"/>
  <c r="D399" i="9"/>
  <c r="C399" i="9"/>
  <c r="B399" i="9"/>
  <c r="K398" i="9"/>
  <c r="J398" i="9"/>
  <c r="I398" i="9"/>
  <c r="H398" i="9"/>
  <c r="G398" i="9"/>
  <c r="F398" i="9"/>
  <c r="E398" i="9"/>
  <c r="D398" i="9"/>
  <c r="C398" i="9"/>
  <c r="B398" i="9"/>
  <c r="K397" i="9"/>
  <c r="J397" i="9"/>
  <c r="I397" i="9"/>
  <c r="H397" i="9"/>
  <c r="G397" i="9"/>
  <c r="F397" i="9"/>
  <c r="E397" i="9"/>
  <c r="D397" i="9"/>
  <c r="C397" i="9"/>
  <c r="B397" i="9"/>
  <c r="K396" i="9"/>
  <c r="J396" i="9"/>
  <c r="I396" i="9"/>
  <c r="H396" i="9"/>
  <c r="G396" i="9"/>
  <c r="D396" i="9"/>
  <c r="C396" i="9"/>
  <c r="B396" i="9"/>
  <c r="K395" i="9"/>
  <c r="J395" i="9"/>
  <c r="I395" i="9"/>
  <c r="H395" i="9"/>
  <c r="G395" i="9"/>
  <c r="F395" i="9"/>
  <c r="E395" i="9"/>
  <c r="D395" i="9"/>
  <c r="C395" i="9"/>
  <c r="B395" i="9"/>
  <c r="K394" i="9"/>
  <c r="J394" i="9"/>
  <c r="I394" i="9"/>
  <c r="H394" i="9"/>
  <c r="G394" i="9"/>
  <c r="F394" i="9"/>
  <c r="E394" i="9"/>
  <c r="D394" i="9"/>
  <c r="C394" i="9"/>
  <c r="B394" i="9"/>
  <c r="K393" i="9"/>
  <c r="J393" i="9"/>
  <c r="I393" i="9"/>
  <c r="H393" i="9"/>
  <c r="G393" i="9"/>
  <c r="F393" i="9"/>
  <c r="E393" i="9"/>
  <c r="D393" i="9"/>
  <c r="C393" i="9"/>
  <c r="B393" i="9"/>
  <c r="K392" i="9"/>
  <c r="J392" i="9"/>
  <c r="I392" i="9"/>
  <c r="H392" i="9"/>
  <c r="G392" i="9"/>
  <c r="F392" i="9"/>
  <c r="E392" i="9"/>
  <c r="D392" i="9"/>
  <c r="C392" i="9"/>
  <c r="B392" i="9"/>
  <c r="K391" i="9"/>
  <c r="J391" i="9"/>
  <c r="I391" i="9"/>
  <c r="H391" i="9"/>
  <c r="G391" i="9"/>
  <c r="F391" i="9"/>
  <c r="E391" i="9"/>
  <c r="D391" i="9"/>
  <c r="C391" i="9"/>
  <c r="B391" i="9"/>
  <c r="H390" i="9"/>
  <c r="G390" i="9"/>
  <c r="E390" i="9"/>
  <c r="D390" i="9"/>
  <c r="H389" i="9"/>
  <c r="G389" i="9"/>
  <c r="F389" i="9"/>
  <c r="E389" i="9"/>
  <c r="D389" i="9"/>
  <c r="I388" i="9"/>
  <c r="H388" i="9"/>
  <c r="G388" i="9"/>
  <c r="F388" i="9"/>
  <c r="E388" i="9"/>
  <c r="D388" i="9"/>
  <c r="I387" i="9"/>
  <c r="H387" i="9"/>
  <c r="G387" i="9"/>
  <c r="F387" i="9"/>
  <c r="E387" i="9"/>
  <c r="D387" i="9"/>
  <c r="B366" i="9"/>
  <c r="B547" i="9" s="1"/>
  <c r="B363" i="9"/>
  <c r="B544" i="9" s="1"/>
  <c r="B362" i="9"/>
  <c r="B543" i="9" s="1"/>
  <c r="B361" i="9"/>
  <c r="B542" i="9" s="1"/>
  <c r="B354" i="9"/>
  <c r="C333" i="9"/>
  <c r="K314" i="9"/>
  <c r="K366" i="9" s="1"/>
  <c r="K547" i="9" s="1"/>
  <c r="J314" i="9"/>
  <c r="J522" i="9" s="1"/>
  <c r="I314" i="9"/>
  <c r="H314" i="9"/>
  <c r="G314" i="9"/>
  <c r="F314" i="9"/>
  <c r="F522" i="9" s="1"/>
  <c r="E314" i="9"/>
  <c r="E522" i="9" s="1"/>
  <c r="D314" i="9"/>
  <c r="C314" i="9"/>
  <c r="K311" i="9"/>
  <c r="J311" i="9"/>
  <c r="J519" i="9" s="1"/>
  <c r="I311" i="9"/>
  <c r="H311" i="9"/>
  <c r="H363" i="9" s="1"/>
  <c r="H544" i="9" s="1"/>
  <c r="G311" i="9"/>
  <c r="F311" i="9"/>
  <c r="F519" i="9" s="1"/>
  <c r="E311" i="9"/>
  <c r="E519" i="9" s="1"/>
  <c r="D311" i="9"/>
  <c r="C311" i="9"/>
  <c r="K310" i="9"/>
  <c r="K518" i="9" s="1"/>
  <c r="J310" i="9"/>
  <c r="I310" i="9"/>
  <c r="H310" i="9"/>
  <c r="H518" i="9" s="1"/>
  <c r="G310" i="9"/>
  <c r="G362" i="9" s="1"/>
  <c r="G543" i="9" s="1"/>
  <c r="F310" i="9"/>
  <c r="E310" i="9"/>
  <c r="E518" i="9" s="1"/>
  <c r="D310" i="9"/>
  <c r="D518" i="9" s="1"/>
  <c r="C310" i="9"/>
  <c r="K309" i="9"/>
  <c r="J309" i="9"/>
  <c r="J517" i="9" s="1"/>
  <c r="I309" i="9"/>
  <c r="H309" i="9"/>
  <c r="H517" i="9" s="1"/>
  <c r="G309" i="9"/>
  <c r="G517" i="9" s="1"/>
  <c r="F309" i="9"/>
  <c r="F517" i="9" s="1"/>
  <c r="E309" i="9"/>
  <c r="D309" i="9"/>
  <c r="D361" i="9" s="1"/>
  <c r="D542" i="9" s="1"/>
  <c r="C309" i="9"/>
  <c r="C517" i="9" s="1"/>
  <c r="K308" i="9"/>
  <c r="J308" i="9"/>
  <c r="I308" i="9"/>
  <c r="I516" i="9" s="1"/>
  <c r="H308" i="9"/>
  <c r="G308" i="9"/>
  <c r="G516" i="9" s="1"/>
  <c r="F308" i="9"/>
  <c r="E308" i="9"/>
  <c r="D308" i="9"/>
  <c r="C308" i="9"/>
  <c r="C516" i="9" s="1"/>
  <c r="B308" i="9"/>
  <c r="B516" i="9" s="1"/>
  <c r="K307" i="9"/>
  <c r="J307" i="9"/>
  <c r="J359" i="9" s="1"/>
  <c r="J540" i="9" s="1"/>
  <c r="I307" i="9"/>
  <c r="I515" i="9" s="1"/>
  <c r="H307" i="9"/>
  <c r="H515" i="9" s="1"/>
  <c r="G307" i="9"/>
  <c r="F307" i="9"/>
  <c r="E307" i="9"/>
  <c r="E359" i="9" s="1"/>
  <c r="E540" i="9" s="1"/>
  <c r="D307" i="9"/>
  <c r="D359" i="9" s="1"/>
  <c r="D540" i="9" s="1"/>
  <c r="C307" i="9"/>
  <c r="B307" i="9"/>
  <c r="B515" i="9" s="1"/>
  <c r="K306" i="9"/>
  <c r="J306" i="9"/>
  <c r="I306" i="9"/>
  <c r="I514" i="9" s="1"/>
  <c r="H306" i="9"/>
  <c r="H514" i="9" s="1"/>
  <c r="G306" i="9"/>
  <c r="F306" i="9"/>
  <c r="E306" i="9"/>
  <c r="D306" i="9"/>
  <c r="D514" i="9" s="1"/>
  <c r="C306" i="9"/>
  <c r="C358" i="9" s="1"/>
  <c r="C539" i="9" s="1"/>
  <c r="B306" i="9"/>
  <c r="K305" i="9"/>
  <c r="K357" i="9" s="1"/>
  <c r="K538" i="9" s="1"/>
  <c r="J305" i="9"/>
  <c r="J513" i="9" s="1"/>
  <c r="I305" i="9"/>
  <c r="H305" i="9"/>
  <c r="H513" i="9" s="1"/>
  <c r="G305" i="9"/>
  <c r="F305" i="9"/>
  <c r="F357" i="9" s="1"/>
  <c r="F538" i="9" s="1"/>
  <c r="E305" i="9"/>
  <c r="D305" i="9"/>
  <c r="D357" i="9" s="1"/>
  <c r="D538" i="9" s="1"/>
  <c r="C305" i="9"/>
  <c r="C513" i="9" s="1"/>
  <c r="B305" i="9"/>
  <c r="K304" i="9"/>
  <c r="H304" i="9"/>
  <c r="H512" i="9" s="1"/>
  <c r="E304" i="9"/>
  <c r="E512" i="9" s="1"/>
  <c r="D304" i="9"/>
  <c r="D512" i="9" s="1"/>
  <c r="C304" i="9"/>
  <c r="C356" i="9" s="1"/>
  <c r="C537" i="9" s="1"/>
  <c r="B304" i="9"/>
  <c r="B512" i="9" s="1"/>
  <c r="K303" i="9"/>
  <c r="I303" i="9"/>
  <c r="I355" i="9" s="1"/>
  <c r="I536" i="9" s="1"/>
  <c r="H303" i="9"/>
  <c r="H511" i="9" s="1"/>
  <c r="G303" i="9"/>
  <c r="G511" i="9" s="1"/>
  <c r="F303" i="9"/>
  <c r="F355" i="9" s="1"/>
  <c r="F536" i="9" s="1"/>
  <c r="E303" i="9"/>
  <c r="E355" i="9" s="1"/>
  <c r="E536" i="9" s="1"/>
  <c r="D303" i="9"/>
  <c r="C303" i="9"/>
  <c r="C511" i="9" s="1"/>
  <c r="B303" i="9"/>
  <c r="B511" i="9" s="1"/>
  <c r="K302" i="9"/>
  <c r="K354" i="9" s="1"/>
  <c r="J302" i="9"/>
  <c r="I302" i="9"/>
  <c r="I354" i="9" s="1"/>
  <c r="H302" i="9"/>
  <c r="G302" i="9"/>
  <c r="G510" i="9" s="1"/>
  <c r="F302" i="9"/>
  <c r="E302" i="9"/>
  <c r="D302" i="9"/>
  <c r="D354" i="9" s="1"/>
  <c r="C302" i="9"/>
  <c r="C510" i="9" s="1"/>
  <c r="B302" i="9"/>
  <c r="B510" i="9" s="1"/>
  <c r="K301" i="9"/>
  <c r="K353" i="9" s="1"/>
  <c r="J301" i="9"/>
  <c r="I301" i="9"/>
  <c r="I509" i="9" s="1"/>
  <c r="H301" i="9"/>
  <c r="H509" i="9" s="1"/>
  <c r="G301" i="9"/>
  <c r="G353" i="9" s="1"/>
  <c r="F301" i="9"/>
  <c r="F353" i="9" s="1"/>
  <c r="E301" i="9"/>
  <c r="D301" i="9"/>
  <c r="D509" i="9" s="1"/>
  <c r="C301" i="9"/>
  <c r="B301" i="9"/>
  <c r="B509" i="9" s="1"/>
  <c r="K300" i="9"/>
  <c r="K352" i="9" s="1"/>
  <c r="J300" i="9"/>
  <c r="J352" i="9" s="1"/>
  <c r="I300" i="9"/>
  <c r="I508" i="9" s="1"/>
  <c r="H300" i="9"/>
  <c r="H508" i="9" s="1"/>
  <c r="G300" i="9"/>
  <c r="F300" i="9"/>
  <c r="F352" i="9" s="1"/>
  <c r="E300" i="9"/>
  <c r="E352" i="9" s="1"/>
  <c r="D300" i="9"/>
  <c r="D508" i="9" s="1"/>
  <c r="C300" i="9"/>
  <c r="C508" i="9" s="1"/>
  <c r="B300" i="9"/>
  <c r="B352" i="9" s="1"/>
  <c r="K299" i="9"/>
  <c r="K351" i="9" s="1"/>
  <c r="J299" i="9"/>
  <c r="J351" i="9" s="1"/>
  <c r="I299" i="9"/>
  <c r="I351" i="9" s="1"/>
  <c r="H299" i="9"/>
  <c r="H351" i="9" s="1"/>
  <c r="G299" i="9"/>
  <c r="G351" i="9" s="1"/>
  <c r="F299" i="9"/>
  <c r="F351" i="9" s="1"/>
  <c r="E299" i="9"/>
  <c r="E351" i="9" s="1"/>
  <c r="C299" i="9"/>
  <c r="C351" i="9" s="1"/>
  <c r="B299" i="9"/>
  <c r="B351" i="9" s="1"/>
  <c r="K298" i="9"/>
  <c r="K350" i="9" s="1"/>
  <c r="J298" i="9"/>
  <c r="J350" i="9" s="1"/>
  <c r="I298" i="9"/>
  <c r="I350" i="9" s="1"/>
  <c r="H298" i="9"/>
  <c r="H350" i="9" s="1"/>
  <c r="G298" i="9"/>
  <c r="G350" i="9" s="1"/>
  <c r="F298" i="9"/>
  <c r="F350" i="9" s="1"/>
  <c r="E298" i="9"/>
  <c r="E350" i="9" s="1"/>
  <c r="D298" i="9"/>
  <c r="D350" i="9" s="1"/>
  <c r="C298" i="9"/>
  <c r="C350" i="9" s="1"/>
  <c r="B298" i="9"/>
  <c r="B350" i="9" s="1"/>
  <c r="K297" i="9"/>
  <c r="K349" i="9" s="1"/>
  <c r="J297" i="9"/>
  <c r="J349" i="9" s="1"/>
  <c r="I297" i="9"/>
  <c r="I349" i="9" s="1"/>
  <c r="H297" i="9"/>
  <c r="H349" i="9" s="1"/>
  <c r="G297" i="9"/>
  <c r="G349" i="9" s="1"/>
  <c r="F297" i="9"/>
  <c r="F349" i="9" s="1"/>
  <c r="E297" i="9"/>
  <c r="E349" i="9" s="1"/>
  <c r="D297" i="9"/>
  <c r="D349" i="9" s="1"/>
  <c r="C297" i="9"/>
  <c r="C349" i="9" s="1"/>
  <c r="B297" i="9"/>
  <c r="B349" i="9" s="1"/>
  <c r="K296" i="9"/>
  <c r="K348" i="9" s="1"/>
  <c r="J296" i="9"/>
  <c r="J348" i="9" s="1"/>
  <c r="I296" i="9"/>
  <c r="I348" i="9" s="1"/>
  <c r="H296" i="9"/>
  <c r="H348" i="9" s="1"/>
  <c r="G296" i="9"/>
  <c r="G348" i="9" s="1"/>
  <c r="F296" i="9"/>
  <c r="F348" i="9" s="1"/>
  <c r="E296" i="9"/>
  <c r="E348" i="9" s="1"/>
  <c r="D296" i="9"/>
  <c r="D348" i="9" s="1"/>
  <c r="C296" i="9"/>
  <c r="C348" i="9" s="1"/>
  <c r="B296" i="9"/>
  <c r="B348" i="9" s="1"/>
  <c r="K295" i="9"/>
  <c r="J295" i="9"/>
  <c r="J347" i="9" s="1"/>
  <c r="I295" i="9"/>
  <c r="H295" i="9"/>
  <c r="H347" i="9" s="1"/>
  <c r="G295" i="9"/>
  <c r="F295" i="9"/>
  <c r="F347" i="9" s="1"/>
  <c r="E295" i="9"/>
  <c r="E347" i="9" s="1"/>
  <c r="D295" i="9"/>
  <c r="C295" i="9"/>
  <c r="B295" i="9"/>
  <c r="K294" i="9"/>
  <c r="K346" i="9" s="1"/>
  <c r="J294" i="9"/>
  <c r="J346" i="9" s="1"/>
  <c r="I294" i="9"/>
  <c r="I346" i="9" s="1"/>
  <c r="H294" i="9"/>
  <c r="H346" i="9" s="1"/>
  <c r="G294" i="9"/>
  <c r="G346" i="9" s="1"/>
  <c r="F294" i="9"/>
  <c r="F346" i="9" s="1"/>
  <c r="E294" i="9"/>
  <c r="E346" i="9" s="1"/>
  <c r="D294" i="9"/>
  <c r="D346" i="9" s="1"/>
  <c r="C294" i="9"/>
  <c r="C346" i="9" s="1"/>
  <c r="B294" i="9"/>
  <c r="B346" i="9" s="1"/>
  <c r="K293" i="9"/>
  <c r="K345" i="9" s="1"/>
  <c r="J293" i="9"/>
  <c r="J345" i="9" s="1"/>
  <c r="I293" i="9"/>
  <c r="I345" i="9" s="1"/>
  <c r="H293" i="9"/>
  <c r="H345" i="9" s="1"/>
  <c r="G293" i="9"/>
  <c r="G345" i="9" s="1"/>
  <c r="F293" i="9"/>
  <c r="F345" i="9" s="1"/>
  <c r="E293" i="9"/>
  <c r="E345" i="9" s="1"/>
  <c r="D293" i="9"/>
  <c r="D345" i="9" s="1"/>
  <c r="C293" i="9"/>
  <c r="C345" i="9" s="1"/>
  <c r="B293" i="9"/>
  <c r="B345" i="9" s="1"/>
  <c r="K292" i="9"/>
  <c r="K344" i="9" s="1"/>
  <c r="J292" i="9"/>
  <c r="J344" i="9" s="1"/>
  <c r="I292" i="9"/>
  <c r="I344" i="9" s="1"/>
  <c r="H292" i="9"/>
  <c r="H344" i="9" s="1"/>
  <c r="G292" i="9"/>
  <c r="G344" i="9" s="1"/>
  <c r="F292" i="9"/>
  <c r="F344" i="9" s="1"/>
  <c r="E292" i="9"/>
  <c r="E344" i="9" s="1"/>
  <c r="D292" i="9"/>
  <c r="D344" i="9" s="1"/>
  <c r="C292" i="9"/>
  <c r="C344" i="9" s="1"/>
  <c r="B292" i="9"/>
  <c r="B344" i="9" s="1"/>
  <c r="K291" i="9"/>
  <c r="K343" i="9" s="1"/>
  <c r="J291" i="9"/>
  <c r="J343" i="9" s="1"/>
  <c r="I291" i="9"/>
  <c r="I343" i="9" s="1"/>
  <c r="H291" i="9"/>
  <c r="H343" i="9" s="1"/>
  <c r="G291" i="9"/>
  <c r="G343" i="9" s="1"/>
  <c r="F291" i="9"/>
  <c r="F343" i="9" s="1"/>
  <c r="E291" i="9"/>
  <c r="E343" i="9" s="1"/>
  <c r="D291" i="9"/>
  <c r="D343" i="9" s="1"/>
  <c r="C291" i="9"/>
  <c r="C343" i="9" s="1"/>
  <c r="B291" i="9"/>
  <c r="B343" i="9" s="1"/>
  <c r="K290" i="9"/>
  <c r="K342" i="9" s="1"/>
  <c r="J290" i="9"/>
  <c r="J342" i="9" s="1"/>
  <c r="I290" i="9"/>
  <c r="H290" i="9"/>
  <c r="G290" i="9"/>
  <c r="F290" i="9"/>
  <c r="E290" i="9"/>
  <c r="E342" i="9" s="1"/>
  <c r="D290" i="9"/>
  <c r="C290" i="9"/>
  <c r="C342" i="9" s="1"/>
  <c r="B290" i="9"/>
  <c r="B342" i="9" s="1"/>
  <c r="K289" i="9"/>
  <c r="K341" i="9" s="1"/>
  <c r="J289" i="9"/>
  <c r="J341" i="9" s="1"/>
  <c r="I289" i="9"/>
  <c r="I341" i="9" s="1"/>
  <c r="H289" i="9"/>
  <c r="H341" i="9" s="1"/>
  <c r="G289" i="9"/>
  <c r="G341" i="9" s="1"/>
  <c r="F289" i="9"/>
  <c r="F341" i="9" s="1"/>
  <c r="E289" i="9"/>
  <c r="E341" i="9" s="1"/>
  <c r="D289" i="9"/>
  <c r="D341" i="9" s="1"/>
  <c r="C289" i="9"/>
  <c r="C341" i="9" s="1"/>
  <c r="B289" i="9"/>
  <c r="B341" i="9" s="1"/>
  <c r="K288" i="9"/>
  <c r="K340" i="9" s="1"/>
  <c r="J288" i="9"/>
  <c r="J340" i="9" s="1"/>
  <c r="I288" i="9"/>
  <c r="I340" i="9" s="1"/>
  <c r="H288" i="9"/>
  <c r="H340" i="9" s="1"/>
  <c r="G288" i="9"/>
  <c r="G340" i="9" s="1"/>
  <c r="F288" i="9"/>
  <c r="F340" i="9" s="1"/>
  <c r="E288" i="9"/>
  <c r="E340" i="9" s="1"/>
  <c r="D288" i="9"/>
  <c r="D340" i="9" s="1"/>
  <c r="C288" i="9"/>
  <c r="C340" i="9" s="1"/>
  <c r="B288" i="9"/>
  <c r="B340" i="9" s="1"/>
  <c r="K287" i="9"/>
  <c r="K339" i="9" s="1"/>
  <c r="J287" i="9"/>
  <c r="J339" i="9" s="1"/>
  <c r="I287" i="9"/>
  <c r="I339" i="9" s="1"/>
  <c r="H287" i="9"/>
  <c r="H339" i="9" s="1"/>
  <c r="G287" i="9"/>
  <c r="G339" i="9" s="1"/>
  <c r="F287" i="9"/>
  <c r="F339" i="9" s="1"/>
  <c r="E287" i="9"/>
  <c r="E339" i="9" s="1"/>
  <c r="D287" i="9"/>
  <c r="D339" i="9" s="1"/>
  <c r="C287" i="9"/>
  <c r="C339" i="9" s="1"/>
  <c r="B287" i="9"/>
  <c r="B339" i="9" s="1"/>
  <c r="K286" i="9"/>
  <c r="K338" i="9" s="1"/>
  <c r="J286" i="9"/>
  <c r="J338" i="9" s="1"/>
  <c r="I286" i="9"/>
  <c r="I338" i="9" s="1"/>
  <c r="H286" i="9"/>
  <c r="H338" i="9" s="1"/>
  <c r="G286" i="9"/>
  <c r="G338" i="9" s="1"/>
  <c r="F286" i="9"/>
  <c r="F338" i="9" s="1"/>
  <c r="E286" i="9"/>
  <c r="E338" i="9" s="1"/>
  <c r="D286" i="9"/>
  <c r="D338" i="9" s="1"/>
  <c r="C286" i="9"/>
  <c r="C338" i="9" s="1"/>
  <c r="B286" i="9"/>
  <c r="B338" i="9" s="1"/>
  <c r="K285" i="9"/>
  <c r="K337" i="9" s="1"/>
  <c r="J285" i="9"/>
  <c r="I285" i="9"/>
  <c r="H285" i="9"/>
  <c r="G285" i="9"/>
  <c r="G337" i="9" s="1"/>
  <c r="F285" i="9"/>
  <c r="E285" i="9"/>
  <c r="D285" i="9"/>
  <c r="C285" i="9"/>
  <c r="C337" i="9" s="1"/>
  <c r="B285" i="9"/>
  <c r="B337" i="9" s="1"/>
  <c r="K284" i="9"/>
  <c r="K336" i="9" s="1"/>
  <c r="J284" i="9"/>
  <c r="J336" i="9" s="1"/>
  <c r="I284" i="9"/>
  <c r="I336" i="9" s="1"/>
  <c r="H284" i="9"/>
  <c r="H336" i="9" s="1"/>
  <c r="G284" i="9"/>
  <c r="G336" i="9" s="1"/>
  <c r="F284" i="9"/>
  <c r="F336" i="9" s="1"/>
  <c r="E284" i="9"/>
  <c r="E336" i="9" s="1"/>
  <c r="D284" i="9"/>
  <c r="D336" i="9" s="1"/>
  <c r="C284" i="9"/>
  <c r="C336" i="9" s="1"/>
  <c r="B284" i="9"/>
  <c r="B336" i="9" s="1"/>
  <c r="K283" i="9"/>
  <c r="K335" i="9" s="1"/>
  <c r="J283" i="9"/>
  <c r="J335" i="9" s="1"/>
  <c r="I283" i="9"/>
  <c r="I335" i="9" s="1"/>
  <c r="H283" i="9"/>
  <c r="H335" i="9" s="1"/>
  <c r="G283" i="9"/>
  <c r="G335" i="9" s="1"/>
  <c r="F283" i="9"/>
  <c r="F335" i="9" s="1"/>
  <c r="E283" i="9"/>
  <c r="E335" i="9" s="1"/>
  <c r="D283" i="9"/>
  <c r="D335" i="9" s="1"/>
  <c r="C283" i="9"/>
  <c r="C335" i="9" s="1"/>
  <c r="B283" i="9"/>
  <c r="B335" i="9" s="1"/>
  <c r="K282" i="9"/>
  <c r="K334" i="9" s="1"/>
  <c r="J282" i="9"/>
  <c r="J334" i="9" s="1"/>
  <c r="I282" i="9"/>
  <c r="I334" i="9" s="1"/>
  <c r="H282" i="9"/>
  <c r="H334" i="9" s="1"/>
  <c r="G282" i="9"/>
  <c r="G334" i="9" s="1"/>
  <c r="F282" i="9"/>
  <c r="F334" i="9" s="1"/>
  <c r="E282" i="9"/>
  <c r="E334" i="9" s="1"/>
  <c r="D282" i="9"/>
  <c r="D334" i="9" s="1"/>
  <c r="C282" i="9"/>
  <c r="C334" i="9" s="1"/>
  <c r="B282" i="9"/>
  <c r="B334" i="9" s="1"/>
  <c r="K281" i="9"/>
  <c r="K333" i="9" s="1"/>
  <c r="J281" i="9"/>
  <c r="I281" i="9"/>
  <c r="I333" i="9" s="1"/>
  <c r="H281" i="9"/>
  <c r="H333" i="9" s="1"/>
  <c r="G281" i="9"/>
  <c r="G333" i="9" s="1"/>
  <c r="F281" i="9"/>
  <c r="E281" i="9"/>
  <c r="E333" i="9" s="1"/>
  <c r="D281" i="9"/>
  <c r="D333" i="9" s="1"/>
  <c r="C281" i="9"/>
  <c r="B281" i="9"/>
  <c r="B333" i="9" s="1"/>
  <c r="K280" i="9"/>
  <c r="K332" i="9" s="1"/>
  <c r="J280" i="9"/>
  <c r="J332" i="9" s="1"/>
  <c r="I280" i="9"/>
  <c r="I332" i="9" s="1"/>
  <c r="H280" i="9"/>
  <c r="G280" i="9"/>
  <c r="F280" i="9"/>
  <c r="F332" i="9" s="1"/>
  <c r="E280" i="9"/>
  <c r="E332" i="9" s="1"/>
  <c r="D280" i="9"/>
  <c r="C280" i="9"/>
  <c r="C332" i="9" s="1"/>
  <c r="B280" i="9"/>
  <c r="B332" i="9" s="1"/>
  <c r="K279" i="9"/>
  <c r="K331" i="9" s="1"/>
  <c r="J279" i="9"/>
  <c r="J331" i="9" s="1"/>
  <c r="I279" i="9"/>
  <c r="I331" i="9" s="1"/>
  <c r="H279" i="9"/>
  <c r="H331" i="9" s="1"/>
  <c r="G279" i="9"/>
  <c r="G331" i="9" s="1"/>
  <c r="F279" i="9"/>
  <c r="F331" i="9" s="1"/>
  <c r="E279" i="9"/>
  <c r="E331" i="9" s="1"/>
  <c r="D279" i="9"/>
  <c r="D331" i="9" s="1"/>
  <c r="C279" i="9"/>
  <c r="C331" i="9" s="1"/>
  <c r="B279" i="9"/>
  <c r="B331" i="9" s="1"/>
  <c r="K278" i="9"/>
  <c r="K330" i="9" s="1"/>
  <c r="J278" i="9"/>
  <c r="J330" i="9" s="1"/>
  <c r="I278" i="9"/>
  <c r="I330" i="9" s="1"/>
  <c r="H278" i="9"/>
  <c r="H330" i="9" s="1"/>
  <c r="G278" i="9"/>
  <c r="G330" i="9" s="1"/>
  <c r="F278" i="9"/>
  <c r="F330" i="9" s="1"/>
  <c r="E278" i="9"/>
  <c r="E330" i="9" s="1"/>
  <c r="D278" i="9"/>
  <c r="D330" i="9" s="1"/>
  <c r="C278" i="9"/>
  <c r="C330" i="9" s="1"/>
  <c r="B278" i="9"/>
  <c r="B330" i="9" s="1"/>
  <c r="K277" i="9"/>
  <c r="K329" i="9" s="1"/>
  <c r="J277" i="9"/>
  <c r="J329" i="9" s="1"/>
  <c r="I277" i="9"/>
  <c r="I329" i="9" s="1"/>
  <c r="H277" i="9"/>
  <c r="H329" i="9" s="1"/>
  <c r="G277" i="9"/>
  <c r="G329" i="9" s="1"/>
  <c r="F277" i="9"/>
  <c r="F329" i="9" s="1"/>
  <c r="E277" i="9"/>
  <c r="E329" i="9" s="1"/>
  <c r="D277" i="9"/>
  <c r="D329" i="9" s="1"/>
  <c r="C277" i="9"/>
  <c r="C329" i="9" s="1"/>
  <c r="B277" i="9"/>
  <c r="B329" i="9" s="1"/>
  <c r="K276" i="9"/>
  <c r="K328" i="9" s="1"/>
  <c r="J276" i="9"/>
  <c r="J328" i="9" s="1"/>
  <c r="I276" i="9"/>
  <c r="I328" i="9" s="1"/>
  <c r="H276" i="9"/>
  <c r="H328" i="9" s="1"/>
  <c r="G276" i="9"/>
  <c r="G328" i="9" s="1"/>
  <c r="F276" i="9"/>
  <c r="F328" i="9" s="1"/>
  <c r="E276" i="9"/>
  <c r="E328" i="9" s="1"/>
  <c r="D276" i="9"/>
  <c r="D328" i="9" s="1"/>
  <c r="C276" i="9"/>
  <c r="C328" i="9" s="1"/>
  <c r="B276" i="9"/>
  <c r="B328" i="9" s="1"/>
  <c r="K275" i="9"/>
  <c r="K327" i="9" s="1"/>
  <c r="J275" i="9"/>
  <c r="J503" i="9" s="1"/>
  <c r="I275" i="9"/>
  <c r="I327" i="9" s="1"/>
  <c r="H275" i="9"/>
  <c r="G275" i="9"/>
  <c r="G327" i="9" s="1"/>
  <c r="F275" i="9"/>
  <c r="F327" i="9" s="1"/>
  <c r="E275" i="9"/>
  <c r="E327" i="9" s="1"/>
  <c r="D275" i="9"/>
  <c r="D327" i="9" s="1"/>
  <c r="C275" i="9"/>
  <c r="C327" i="9" s="1"/>
  <c r="B275" i="9"/>
  <c r="B327" i="9" s="1"/>
  <c r="K274" i="9"/>
  <c r="K326" i="9" s="1"/>
  <c r="J274" i="9"/>
  <c r="J326" i="9" s="1"/>
  <c r="I274" i="9"/>
  <c r="I326" i="9" s="1"/>
  <c r="H274" i="9"/>
  <c r="H326" i="9" s="1"/>
  <c r="G274" i="9"/>
  <c r="G326" i="9" s="1"/>
  <c r="F274" i="9"/>
  <c r="F326" i="9" s="1"/>
  <c r="E274" i="9"/>
  <c r="E326" i="9" s="1"/>
  <c r="D274" i="9"/>
  <c r="D326" i="9" s="1"/>
  <c r="C274" i="9"/>
  <c r="C326" i="9" s="1"/>
  <c r="B274" i="9"/>
  <c r="B326" i="9" s="1"/>
  <c r="K273" i="9"/>
  <c r="K325" i="9" s="1"/>
  <c r="J273" i="9"/>
  <c r="J325" i="9" s="1"/>
  <c r="I273" i="9"/>
  <c r="I325" i="9" s="1"/>
  <c r="H273" i="9"/>
  <c r="H325" i="9" s="1"/>
  <c r="G273" i="9"/>
  <c r="G325" i="9" s="1"/>
  <c r="F273" i="9"/>
  <c r="F325" i="9" s="1"/>
  <c r="E273" i="9"/>
  <c r="E325" i="9" s="1"/>
  <c r="D273" i="9"/>
  <c r="D325" i="9" s="1"/>
  <c r="C273" i="9"/>
  <c r="C325" i="9" s="1"/>
  <c r="B273" i="9"/>
  <c r="B325" i="9" s="1"/>
  <c r="K272" i="9"/>
  <c r="K324" i="9" s="1"/>
  <c r="J272" i="9"/>
  <c r="J324" i="9" s="1"/>
  <c r="I272" i="9"/>
  <c r="I324" i="9" s="1"/>
  <c r="H272" i="9"/>
  <c r="H324" i="9" s="1"/>
  <c r="G272" i="9"/>
  <c r="G324" i="9" s="1"/>
  <c r="F272" i="9"/>
  <c r="F324" i="9" s="1"/>
  <c r="E272" i="9"/>
  <c r="E324" i="9" s="1"/>
  <c r="D272" i="9"/>
  <c r="D324" i="9" s="1"/>
  <c r="C272" i="9"/>
  <c r="C324" i="9" s="1"/>
  <c r="B272" i="9"/>
  <c r="B324" i="9" s="1"/>
  <c r="K271" i="9"/>
  <c r="K323" i="9" s="1"/>
  <c r="J271" i="9"/>
  <c r="J323" i="9" s="1"/>
  <c r="I271" i="9"/>
  <c r="I323" i="9" s="1"/>
  <c r="H271" i="9"/>
  <c r="H323" i="9" s="1"/>
  <c r="G271" i="9"/>
  <c r="G323" i="9" s="1"/>
  <c r="F271" i="9"/>
  <c r="F323" i="9" s="1"/>
  <c r="E271" i="9"/>
  <c r="E323" i="9" s="1"/>
  <c r="D271" i="9"/>
  <c r="D323" i="9" s="1"/>
  <c r="C271" i="9"/>
  <c r="C323" i="9" s="1"/>
  <c r="B271" i="9"/>
  <c r="B323" i="9" s="1"/>
  <c r="K270" i="9"/>
  <c r="K322" i="9" s="1"/>
  <c r="J270" i="9"/>
  <c r="J322" i="9" s="1"/>
  <c r="I270" i="9"/>
  <c r="I322" i="9" s="1"/>
  <c r="H270" i="9"/>
  <c r="H322" i="9" s="1"/>
  <c r="G270" i="9"/>
  <c r="G322" i="9" s="1"/>
  <c r="F270" i="9"/>
  <c r="F322" i="9" s="1"/>
  <c r="E270" i="9"/>
  <c r="E322" i="9" s="1"/>
  <c r="D270" i="9"/>
  <c r="D322" i="9" s="1"/>
  <c r="C270" i="9"/>
  <c r="C322" i="9" s="1"/>
  <c r="B270" i="9"/>
  <c r="B322" i="9" s="1"/>
  <c r="K269" i="9"/>
  <c r="K321" i="9" s="1"/>
  <c r="J269" i="9"/>
  <c r="J321" i="9" s="1"/>
  <c r="I269" i="9"/>
  <c r="I321" i="9" s="1"/>
  <c r="H269" i="9"/>
  <c r="H321" i="9" s="1"/>
  <c r="G269" i="9"/>
  <c r="G321" i="9" s="1"/>
  <c r="F269" i="9"/>
  <c r="F321" i="9" s="1"/>
  <c r="E269" i="9"/>
  <c r="E321" i="9" s="1"/>
  <c r="D269" i="9"/>
  <c r="D321" i="9" s="1"/>
  <c r="C269" i="9"/>
  <c r="C321" i="9" s="1"/>
  <c r="B269" i="9"/>
  <c r="B321" i="9" s="1"/>
  <c r="K268" i="9"/>
  <c r="K320" i="9" s="1"/>
  <c r="J268" i="9"/>
  <c r="J320" i="9" s="1"/>
  <c r="I268" i="9"/>
  <c r="I320" i="9" s="1"/>
  <c r="H268" i="9"/>
  <c r="H320" i="9" s="1"/>
  <c r="G268" i="9"/>
  <c r="G320" i="9" s="1"/>
  <c r="F268" i="9"/>
  <c r="F320" i="9" s="1"/>
  <c r="E268" i="9"/>
  <c r="E320" i="9" s="1"/>
  <c r="D268" i="9"/>
  <c r="D320" i="9" s="1"/>
  <c r="C268" i="9"/>
  <c r="C320" i="9" s="1"/>
  <c r="B268" i="9"/>
  <c r="B320" i="9" s="1"/>
  <c r="K267" i="9"/>
  <c r="K319" i="9" s="1"/>
  <c r="J267" i="9"/>
  <c r="J319" i="9" s="1"/>
  <c r="I267" i="9"/>
  <c r="I319" i="9" s="1"/>
  <c r="H267" i="9"/>
  <c r="H319" i="9" s="1"/>
  <c r="G267" i="9"/>
  <c r="G319" i="9" s="1"/>
  <c r="F267" i="9"/>
  <c r="F319" i="9" s="1"/>
  <c r="E267" i="9"/>
  <c r="E319" i="9" s="1"/>
  <c r="D267" i="9"/>
  <c r="D319" i="9" s="1"/>
  <c r="C267" i="9"/>
  <c r="C319" i="9" s="1"/>
  <c r="B267" i="9"/>
  <c r="B319" i="9" s="1"/>
  <c r="K266" i="9"/>
  <c r="K318" i="9" s="1"/>
  <c r="J266" i="9"/>
  <c r="J318" i="9" s="1"/>
  <c r="I266" i="9"/>
  <c r="I318" i="9" s="1"/>
  <c r="H266" i="9"/>
  <c r="H318" i="9" s="1"/>
  <c r="G266" i="9"/>
  <c r="G318" i="9" s="1"/>
  <c r="F266" i="9"/>
  <c r="F318" i="9" s="1"/>
  <c r="E266" i="9"/>
  <c r="E318" i="9" s="1"/>
  <c r="D266" i="9"/>
  <c r="D318" i="9" s="1"/>
  <c r="C266" i="9"/>
  <c r="C318" i="9" s="1"/>
  <c r="B266" i="9"/>
  <c r="B318" i="9" s="1"/>
  <c r="K265" i="9"/>
  <c r="K317" i="9" s="1"/>
  <c r="J265" i="9"/>
  <c r="J317" i="9" s="1"/>
  <c r="I265" i="9"/>
  <c r="I317" i="9" s="1"/>
  <c r="H265" i="9"/>
  <c r="H317" i="9" s="1"/>
  <c r="G265" i="9"/>
  <c r="G317" i="9" s="1"/>
  <c r="F265" i="9"/>
  <c r="F317" i="9" s="1"/>
  <c r="E265" i="9"/>
  <c r="E317" i="9" s="1"/>
  <c r="D317" i="9"/>
  <c r="C317" i="9"/>
  <c r="B265" i="9"/>
  <c r="B317" i="9" s="1"/>
  <c r="L262" i="9"/>
  <c r="L259" i="9"/>
  <c r="L497" i="9" s="1"/>
  <c r="L258" i="9"/>
  <c r="L496" i="9" s="1"/>
  <c r="L257" i="9"/>
  <c r="L495" i="9" s="1"/>
  <c r="L256" i="9"/>
  <c r="L255" i="9"/>
  <c r="L493" i="9" s="1"/>
  <c r="L254" i="9"/>
  <c r="L492" i="9" s="1"/>
  <c r="L253" i="9"/>
  <c r="L491" i="9" s="1"/>
  <c r="I252" i="9"/>
  <c r="I490" i="9" s="1"/>
  <c r="F252" i="9"/>
  <c r="F490" i="9" s="1"/>
  <c r="L250" i="9"/>
  <c r="L249" i="9"/>
  <c r="L487" i="9" s="1"/>
  <c r="L248" i="9"/>
  <c r="L486" i="9" s="1"/>
  <c r="L247" i="9"/>
  <c r="L246" i="9"/>
  <c r="L245" i="9"/>
  <c r="L244" i="9"/>
  <c r="L243" i="9"/>
  <c r="L242" i="9"/>
  <c r="L241" i="9"/>
  <c r="L240" i="9"/>
  <c r="L239" i="9"/>
  <c r="L238" i="9"/>
  <c r="L237" i="9"/>
  <c r="L236" i="9"/>
  <c r="L233" i="9"/>
  <c r="L232" i="9"/>
  <c r="L231" i="9"/>
  <c r="L230" i="9"/>
  <c r="L229" i="9"/>
  <c r="L228" i="9"/>
  <c r="L227" i="9"/>
  <c r="L226" i="9"/>
  <c r="L225" i="9"/>
  <c r="L224" i="9"/>
  <c r="L223" i="9"/>
  <c r="L222" i="9"/>
  <c r="L221" i="9"/>
  <c r="L220" i="9"/>
  <c r="L219" i="9"/>
  <c r="L218" i="9"/>
  <c r="L217" i="9"/>
  <c r="L216" i="9"/>
  <c r="L215" i="9"/>
  <c r="L214" i="9"/>
  <c r="L213" i="9"/>
  <c r="L210" i="9"/>
  <c r="L475" i="9" s="1"/>
  <c r="L207" i="9"/>
  <c r="L472" i="9" s="1"/>
  <c r="L206" i="9"/>
  <c r="L471" i="9" s="1"/>
  <c r="L205" i="9"/>
  <c r="L470" i="9" s="1"/>
  <c r="L204" i="9"/>
  <c r="L469" i="9" s="1"/>
  <c r="L203" i="9"/>
  <c r="L468" i="9" s="1"/>
  <c r="L202" i="9"/>
  <c r="L467" i="9" s="1"/>
  <c r="L201" i="9"/>
  <c r="L466" i="9" s="1"/>
  <c r="I200" i="9"/>
  <c r="I465" i="9" s="1"/>
  <c r="L199" i="9"/>
  <c r="L464" i="9" s="1"/>
  <c r="L198" i="9"/>
  <c r="L463" i="9" s="1"/>
  <c r="L197" i="9"/>
  <c r="L462" i="9" s="1"/>
  <c r="L196" i="9"/>
  <c r="L461" i="9" s="1"/>
  <c r="D195" i="9"/>
  <c r="D299" i="9" s="1"/>
  <c r="D351" i="9" s="1"/>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67" i="9"/>
  <c r="L166" i="9"/>
  <c r="L165" i="9"/>
  <c r="L164" i="9"/>
  <c r="L163" i="9"/>
  <c r="L162" i="9"/>
  <c r="L161" i="9"/>
  <c r="L158" i="9"/>
  <c r="L453" i="9" s="1"/>
  <c r="L155" i="9"/>
  <c r="L450" i="9" s="1"/>
  <c r="L154" i="9"/>
  <c r="L449" i="9" s="1"/>
  <c r="L153" i="9"/>
  <c r="L448" i="9" s="1"/>
  <c r="L152" i="9"/>
  <c r="L447" i="9" s="1"/>
  <c r="L151" i="9"/>
  <c r="L446" i="9" s="1"/>
  <c r="L150" i="9"/>
  <c r="L445" i="9" s="1"/>
  <c r="L149" i="9"/>
  <c r="L444" i="9" s="1"/>
  <c r="G148" i="9"/>
  <c r="G443" i="9" s="1"/>
  <c r="L147" i="9"/>
  <c r="L442" i="9" s="1"/>
  <c r="L145" i="9"/>
  <c r="L440" i="9" s="1"/>
  <c r="L144" i="9"/>
  <c r="L439" i="9" s="1"/>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10" i="9"/>
  <c r="L109" i="9"/>
  <c r="L106" i="9"/>
  <c r="L428" i="9" s="1"/>
  <c r="L103" i="9"/>
  <c r="L425" i="9" s="1"/>
  <c r="L102" i="9"/>
  <c r="L424" i="9" s="1"/>
  <c r="L101" i="9"/>
  <c r="L423" i="9" s="1"/>
  <c r="L100" i="9"/>
  <c r="L422" i="9" s="1"/>
  <c r="L99" i="9"/>
  <c r="L421" i="9" s="1"/>
  <c r="L98" i="9"/>
  <c r="L420" i="9" s="1"/>
  <c r="L97" i="9"/>
  <c r="L419" i="9" s="1"/>
  <c r="I96" i="9"/>
  <c r="I418" i="9" s="1"/>
  <c r="F96" i="9"/>
  <c r="L95" i="9"/>
  <c r="L417" i="9" s="1"/>
  <c r="L94" i="9"/>
  <c r="L416" i="9" s="1"/>
  <c r="L93" i="9"/>
  <c r="L415" i="9" s="1"/>
  <c r="L92" i="9"/>
  <c r="L414" i="9" s="1"/>
  <c r="L91" i="9"/>
  <c r="L90" i="9"/>
  <c r="L89" i="9"/>
  <c r="L88" i="9"/>
  <c r="L87" i="9"/>
  <c r="L86" i="9"/>
  <c r="L85" i="9"/>
  <c r="L84" i="9"/>
  <c r="L83" i="9"/>
  <c r="L82" i="9"/>
  <c r="L81" i="9"/>
  <c r="L80" i="9"/>
  <c r="L79" i="9"/>
  <c r="L78" i="9"/>
  <c r="L77" i="9"/>
  <c r="L76" i="9"/>
  <c r="L75" i="9"/>
  <c r="L74" i="9"/>
  <c r="L73" i="9"/>
  <c r="L72" i="9"/>
  <c r="L71" i="9"/>
  <c r="L70" i="9"/>
  <c r="L69" i="9"/>
  <c r="L68" i="9"/>
  <c r="L67" i="9"/>
  <c r="L66" i="9"/>
  <c r="L65" i="9"/>
  <c r="L64" i="9"/>
  <c r="L63" i="9"/>
  <c r="L62" i="9"/>
  <c r="L61" i="9"/>
  <c r="L60" i="9"/>
  <c r="L59" i="9"/>
  <c r="L58" i="9"/>
  <c r="L57" i="9"/>
  <c r="L54" i="9"/>
  <c r="L51" i="9"/>
  <c r="L403" i="9" s="1"/>
  <c r="L50" i="9"/>
  <c r="L402" i="9" s="1"/>
  <c r="L49" i="9"/>
  <c r="L401" i="9" s="1"/>
  <c r="L48" i="9"/>
  <c r="L47" i="9"/>
  <c r="L46" i="9"/>
  <c r="L45" i="9"/>
  <c r="L397" i="9" s="1"/>
  <c r="F44" i="9"/>
  <c r="E44" i="9"/>
  <c r="L43" i="9"/>
  <c r="L395" i="9" s="1"/>
  <c r="L42" i="9"/>
  <c r="L394" i="9" s="1"/>
  <c r="L41" i="9"/>
  <c r="L40" i="9"/>
  <c r="L39" i="9"/>
  <c r="L38" i="9"/>
  <c r="L37" i="9"/>
  <c r="L36" i="9"/>
  <c r="L35" i="9"/>
  <c r="L34" i="9"/>
  <c r="L33" i="9"/>
  <c r="L32" i="9"/>
  <c r="L31" i="9"/>
  <c r="L27" i="9"/>
  <c r="L26" i="9"/>
  <c r="L25" i="9"/>
  <c r="L24" i="9"/>
  <c r="L23" i="9"/>
  <c r="L22" i="9"/>
  <c r="L21" i="9"/>
  <c r="L20" i="9"/>
  <c r="L19" i="9"/>
  <c r="L18" i="9"/>
  <c r="L17" i="9"/>
  <c r="L16" i="9"/>
  <c r="L15" i="9"/>
  <c r="L14" i="9"/>
  <c r="L13" i="9"/>
  <c r="L12" i="9"/>
  <c r="L11" i="9"/>
  <c r="L10" i="9"/>
  <c r="L9" i="9"/>
  <c r="L8" i="9"/>
  <c r="L7" i="9"/>
  <c r="L6" i="9"/>
  <c r="L5" i="9"/>
  <c r="S691" i="10" l="1"/>
  <c r="E501" i="12"/>
  <c r="L195" i="9"/>
  <c r="N499" i="12"/>
  <c r="R499" i="12"/>
  <c r="L148" i="9"/>
  <c r="L443" i="9" s="1"/>
  <c r="G361" i="9"/>
  <c r="G542" i="9" s="1"/>
  <c r="G501" i="12"/>
  <c r="G360" i="9"/>
  <c r="G541" i="9" s="1"/>
  <c r="E362" i="9"/>
  <c r="E543" i="9" s="1"/>
  <c r="H519" i="9"/>
  <c r="I353" i="9"/>
  <c r="D460" i="9"/>
  <c r="D510" i="9"/>
  <c r="L271" i="10"/>
  <c r="L413" i="10" s="1"/>
  <c r="L484" i="10" s="1"/>
  <c r="I650" i="10"/>
  <c r="H318" i="11"/>
  <c r="H521" i="11" s="1"/>
  <c r="B323" i="11"/>
  <c r="B526" i="11" s="1"/>
  <c r="H332" i="11"/>
  <c r="H535" i="11" s="1"/>
  <c r="Q318" i="12"/>
  <c r="Q530" i="12" s="1"/>
  <c r="M321" i="12"/>
  <c r="M533" i="12" s="1"/>
  <c r="D325" i="12"/>
  <c r="D537" i="12" s="1"/>
  <c r="J509" i="12"/>
  <c r="M511" i="12"/>
  <c r="F304" i="9"/>
  <c r="F512" i="9" s="1"/>
  <c r="H359" i="9"/>
  <c r="H540" i="9" s="1"/>
  <c r="E511" i="9"/>
  <c r="C514" i="9"/>
  <c r="L580" i="10"/>
  <c r="B319" i="11"/>
  <c r="B522" i="11" s="1"/>
  <c r="I325" i="11"/>
  <c r="I528" i="11" s="1"/>
  <c r="E408" i="11"/>
  <c r="I506" i="11"/>
  <c r="G303" i="12"/>
  <c r="C319" i="12"/>
  <c r="C531" i="12" s="1"/>
  <c r="H323" i="12"/>
  <c r="H535" i="12" s="1"/>
  <c r="N326" i="12"/>
  <c r="N538" i="12" s="1"/>
  <c r="P502" i="12"/>
  <c r="G508" i="12"/>
  <c r="D510" i="12"/>
  <c r="C512" i="12"/>
  <c r="M513" i="12"/>
  <c r="L484" i="9"/>
  <c r="L252" i="9"/>
  <c r="H352" i="9"/>
  <c r="F418" i="9"/>
  <c r="I511" i="9"/>
  <c r="L63" i="10"/>
  <c r="S580" i="10"/>
  <c r="I320" i="11"/>
  <c r="I523" i="11" s="1"/>
  <c r="E326" i="11"/>
  <c r="E529" i="11" s="1"/>
  <c r="G319" i="12"/>
  <c r="G531" i="12" s="1"/>
  <c r="D328" i="12"/>
  <c r="D540" i="12" s="1"/>
  <c r="O505" i="12"/>
  <c r="I510" i="12"/>
  <c r="Q513" i="12"/>
  <c r="G322" i="11"/>
  <c r="G525" i="11" s="1"/>
  <c r="E328" i="11"/>
  <c r="E531" i="11" s="1"/>
  <c r="B499" i="11"/>
  <c r="G500" i="12"/>
  <c r="B503" i="12"/>
  <c r="D321" i="12"/>
  <c r="D533" i="12" s="1"/>
  <c r="E324" i="12"/>
  <c r="E536" i="12" s="1"/>
  <c r="D329" i="12"/>
  <c r="D541" i="12" s="1"/>
  <c r="D509" i="12"/>
  <c r="R512" i="12"/>
  <c r="H514" i="12"/>
  <c r="S453" i="12"/>
  <c r="D332" i="12"/>
  <c r="D544" i="12" s="1"/>
  <c r="K429" i="12"/>
  <c r="S451" i="12"/>
  <c r="K477" i="12"/>
  <c r="K479" i="12"/>
  <c r="K481" i="12"/>
  <c r="K452" i="12"/>
  <c r="S455" i="12"/>
  <c r="S452" i="12"/>
  <c r="K480" i="12"/>
  <c r="K478" i="12"/>
  <c r="S247" i="12"/>
  <c r="S294" i="12" s="1"/>
  <c r="S477" i="12"/>
  <c r="S454" i="12"/>
  <c r="K451" i="12"/>
  <c r="K453" i="12"/>
  <c r="K454" i="12"/>
  <c r="S385" i="12"/>
  <c r="S245" i="12"/>
  <c r="S292" i="12" s="1"/>
  <c r="S404" i="12"/>
  <c r="S253" i="12"/>
  <c r="S300" i="12" s="1"/>
  <c r="S255" i="12"/>
  <c r="S302" i="12" s="1"/>
  <c r="K260" i="12"/>
  <c r="K307" i="12" s="1"/>
  <c r="K266" i="12"/>
  <c r="K313" i="12" s="1"/>
  <c r="K268" i="12"/>
  <c r="K315" i="12" s="1"/>
  <c r="K430" i="12"/>
  <c r="S432" i="12"/>
  <c r="K455" i="12"/>
  <c r="K270" i="12"/>
  <c r="K317" i="12" s="1"/>
  <c r="K262" i="12"/>
  <c r="K309" i="12" s="1"/>
  <c r="S241" i="12"/>
  <c r="S288" i="12" s="1"/>
  <c r="S243" i="12"/>
  <c r="S290" i="12" s="1"/>
  <c r="S249" i="12"/>
  <c r="S296" i="12" s="1"/>
  <c r="S257" i="12"/>
  <c r="S304" i="12" s="1"/>
  <c r="S433" i="12"/>
  <c r="K382" i="12"/>
  <c r="K385" i="12"/>
  <c r="K245" i="12"/>
  <c r="K292" i="12" s="1"/>
  <c r="K403" i="12"/>
  <c r="K404" i="12"/>
  <c r="K253" i="12"/>
  <c r="K300" i="12" s="1"/>
  <c r="S406" i="12"/>
  <c r="S263" i="12"/>
  <c r="S310" i="12" s="1"/>
  <c r="S407" i="12"/>
  <c r="S429" i="12"/>
  <c r="S430" i="12"/>
  <c r="S431" i="12"/>
  <c r="K432" i="12"/>
  <c r="K269" i="12"/>
  <c r="K316" i="12" s="1"/>
  <c r="K273" i="12"/>
  <c r="K506" i="12" s="1"/>
  <c r="K436" i="12"/>
  <c r="K279" i="12"/>
  <c r="K512" i="12" s="1"/>
  <c r="K442" i="12"/>
  <c r="K242" i="12"/>
  <c r="K289" i="12" s="1"/>
  <c r="K244" i="12"/>
  <c r="K291" i="12" s="1"/>
  <c r="K250" i="12"/>
  <c r="K297" i="12" s="1"/>
  <c r="K252" i="12"/>
  <c r="K299" i="12" s="1"/>
  <c r="K254" i="12"/>
  <c r="K301" i="12" s="1"/>
  <c r="K258" i="12"/>
  <c r="K305" i="12" s="1"/>
  <c r="S242" i="12"/>
  <c r="S289" i="12" s="1"/>
  <c r="S250" i="12"/>
  <c r="S297" i="12" s="1"/>
  <c r="S254" i="12"/>
  <c r="S301" i="12" s="1"/>
  <c r="S258" i="12"/>
  <c r="S305" i="12" s="1"/>
  <c r="S260" i="12"/>
  <c r="S307" i="12" s="1"/>
  <c r="S262" i="12"/>
  <c r="S309" i="12" s="1"/>
  <c r="S264" i="12"/>
  <c r="S311" i="12" s="1"/>
  <c r="S266" i="12"/>
  <c r="S313" i="12" s="1"/>
  <c r="S268" i="12"/>
  <c r="S315" i="12" s="1"/>
  <c r="S270" i="12"/>
  <c r="S317" i="12" s="1"/>
  <c r="S272" i="12"/>
  <c r="S505" i="12" s="1"/>
  <c r="S276" i="12"/>
  <c r="S509" i="12" s="1"/>
  <c r="S269" i="12"/>
  <c r="S316" i="12" s="1"/>
  <c r="B505" i="12"/>
  <c r="B319" i="12"/>
  <c r="B531" i="12" s="1"/>
  <c r="J505" i="12"/>
  <c r="J319" i="12"/>
  <c r="J531" i="12" s="1"/>
  <c r="P319" i="12"/>
  <c r="P531" i="12" s="1"/>
  <c r="N518" i="12"/>
  <c r="K405" i="12"/>
  <c r="K241" i="12"/>
  <c r="K288" i="12" s="1"/>
  <c r="K249" i="12"/>
  <c r="K296" i="12" s="1"/>
  <c r="K257" i="12"/>
  <c r="K304" i="12" s="1"/>
  <c r="S265" i="12"/>
  <c r="S312" i="12" s="1"/>
  <c r="S267" i="12"/>
  <c r="S314" i="12" s="1"/>
  <c r="J293" i="12"/>
  <c r="J525" i="12" s="1"/>
  <c r="J499" i="12"/>
  <c r="P499" i="12"/>
  <c r="F500" i="12"/>
  <c r="C504" i="12"/>
  <c r="C318" i="12"/>
  <c r="C530" i="12" s="1"/>
  <c r="I320" i="12"/>
  <c r="I532" i="12" s="1"/>
  <c r="I506" i="12"/>
  <c r="H324" i="12"/>
  <c r="H536" i="12" s="1"/>
  <c r="H510" i="12"/>
  <c r="S282" i="12"/>
  <c r="S515" i="12" s="1"/>
  <c r="P518" i="12"/>
  <c r="P332" i="12"/>
  <c r="P544" i="12" s="1"/>
  <c r="G318" i="12"/>
  <c r="G530" i="12" s="1"/>
  <c r="P320" i="12"/>
  <c r="P532" i="12" s="1"/>
  <c r="F505" i="12"/>
  <c r="G511" i="12"/>
  <c r="S381" i="12"/>
  <c r="S383" i="12"/>
  <c r="S384" i="12"/>
  <c r="S403" i="12"/>
  <c r="K406" i="12"/>
  <c r="K265" i="12"/>
  <c r="K312" i="12" s="1"/>
  <c r="M528" i="12"/>
  <c r="H512" i="12"/>
  <c r="H326" i="12"/>
  <c r="H538" i="12" s="1"/>
  <c r="K280" i="12"/>
  <c r="K513" i="12" s="1"/>
  <c r="C328" i="12"/>
  <c r="C540" i="12" s="1"/>
  <c r="C514" i="12"/>
  <c r="O318" i="12"/>
  <c r="O530" i="12" s="1"/>
  <c r="N319" i="12"/>
  <c r="N531" i="12" s="1"/>
  <c r="D326" i="12"/>
  <c r="D538" i="12" s="1"/>
  <c r="N328" i="12"/>
  <c r="N540" i="12" s="1"/>
  <c r="I501" i="12"/>
  <c r="K411" i="12"/>
  <c r="K274" i="12"/>
  <c r="K507" i="12" s="1"/>
  <c r="K413" i="12"/>
  <c r="K276" i="12"/>
  <c r="K509" i="12" s="1"/>
  <c r="K415" i="12"/>
  <c r="K278" i="12"/>
  <c r="K511" i="12" s="1"/>
  <c r="K419" i="12"/>
  <c r="K282" i="12"/>
  <c r="K515" i="12" s="1"/>
  <c r="E499" i="12"/>
  <c r="I499" i="12"/>
  <c r="F501" i="12"/>
  <c r="F304" i="12"/>
  <c r="Q321" i="12"/>
  <c r="Q533" i="12" s="1"/>
  <c r="Q507" i="12"/>
  <c r="B326" i="12"/>
  <c r="B538" i="12" s="1"/>
  <c r="B512" i="12"/>
  <c r="H513" i="12"/>
  <c r="H327" i="12"/>
  <c r="H539" i="12" s="1"/>
  <c r="N327" i="12"/>
  <c r="N539" i="12" s="1"/>
  <c r="N513" i="12"/>
  <c r="E320" i="12"/>
  <c r="E532" i="12" s="1"/>
  <c r="D322" i="12"/>
  <c r="D534" i="12" s="1"/>
  <c r="N324" i="12"/>
  <c r="N536" i="12" s="1"/>
  <c r="F327" i="12"/>
  <c r="F539" i="12" s="1"/>
  <c r="C507" i="12"/>
  <c r="C515" i="12"/>
  <c r="K248" i="12"/>
  <c r="K295" i="12" s="1"/>
  <c r="K256" i="12"/>
  <c r="K303" i="12" s="1"/>
  <c r="K264" i="12"/>
  <c r="K311" i="12" s="1"/>
  <c r="D525" i="12"/>
  <c r="H499" i="12"/>
  <c r="M500" i="12"/>
  <c r="Q500" i="12"/>
  <c r="E500" i="12"/>
  <c r="I500" i="12"/>
  <c r="F502" i="12"/>
  <c r="J528" i="12"/>
  <c r="C503" i="12"/>
  <c r="G529" i="12"/>
  <c r="P503" i="12"/>
  <c r="J318" i="12"/>
  <c r="J530" i="12" s="1"/>
  <c r="B320" i="12"/>
  <c r="B532" i="12" s="1"/>
  <c r="Q320" i="12"/>
  <c r="Q532" i="12" s="1"/>
  <c r="C322" i="12"/>
  <c r="C534" i="12" s="1"/>
  <c r="B325" i="12"/>
  <c r="B537" i="12" s="1"/>
  <c r="B329" i="12"/>
  <c r="B541" i="12" s="1"/>
  <c r="H332" i="12"/>
  <c r="H544" i="12" s="1"/>
  <c r="F504" i="12"/>
  <c r="E509" i="12"/>
  <c r="D500" i="12"/>
  <c r="N501" i="12"/>
  <c r="O501" i="12"/>
  <c r="D502" i="12"/>
  <c r="I503" i="12"/>
  <c r="I313" i="12"/>
  <c r="P318" i="12"/>
  <c r="P530" i="12" s="1"/>
  <c r="F320" i="12"/>
  <c r="F532" i="12" s="1"/>
  <c r="H321" i="12"/>
  <c r="H533" i="12" s="1"/>
  <c r="R322" i="12"/>
  <c r="R534" i="12" s="1"/>
  <c r="N325" i="12"/>
  <c r="N537" i="12" s="1"/>
  <c r="P326" i="12"/>
  <c r="P538" i="12" s="1"/>
  <c r="N329" i="12"/>
  <c r="N541" i="12" s="1"/>
  <c r="R501" i="12"/>
  <c r="R509" i="12"/>
  <c r="Q510" i="12"/>
  <c r="S397" i="12"/>
  <c r="R527" i="12"/>
  <c r="R529" i="12"/>
  <c r="E528" i="12"/>
  <c r="K383" i="12"/>
  <c r="K400" i="12"/>
  <c r="K393" i="12"/>
  <c r="K397" i="12"/>
  <c r="S400" i="12"/>
  <c r="K446" i="11"/>
  <c r="K450" i="11"/>
  <c r="K242" i="11"/>
  <c r="K289" i="11" s="1"/>
  <c r="K248" i="11"/>
  <c r="K295" i="11" s="1"/>
  <c r="K260" i="11"/>
  <c r="K307" i="11" s="1"/>
  <c r="K257" i="11"/>
  <c r="K304" i="11" s="1"/>
  <c r="K427" i="11"/>
  <c r="K265" i="11"/>
  <c r="K312" i="11" s="1"/>
  <c r="K258" i="11"/>
  <c r="K305" i="11" s="1"/>
  <c r="I323" i="11"/>
  <c r="I526" i="11" s="1"/>
  <c r="C328" i="11"/>
  <c r="C531" i="11" s="1"/>
  <c r="G332" i="11"/>
  <c r="G535" i="11" s="1"/>
  <c r="I493" i="11"/>
  <c r="F498" i="11"/>
  <c r="H500" i="11"/>
  <c r="F502" i="11"/>
  <c r="E506" i="11"/>
  <c r="K255" i="11"/>
  <c r="K302" i="11" s="1"/>
  <c r="K263" i="11"/>
  <c r="K310" i="11" s="1"/>
  <c r="D321" i="11"/>
  <c r="D524" i="11" s="1"/>
  <c r="D324" i="11"/>
  <c r="D527" i="11" s="1"/>
  <c r="H495" i="11"/>
  <c r="F505" i="11"/>
  <c r="B508" i="11"/>
  <c r="C319" i="11"/>
  <c r="C522" i="11" s="1"/>
  <c r="B322" i="11"/>
  <c r="B525" i="11" s="1"/>
  <c r="D323" i="11"/>
  <c r="D526" i="11" s="1"/>
  <c r="H324" i="11"/>
  <c r="H527" i="11" s="1"/>
  <c r="B327" i="11"/>
  <c r="B530" i="11" s="1"/>
  <c r="F329" i="11"/>
  <c r="F532" i="11" s="1"/>
  <c r="F499" i="11"/>
  <c r="C501" i="11"/>
  <c r="B504" i="11"/>
  <c r="K401" i="11"/>
  <c r="K402" i="11"/>
  <c r="K243" i="11"/>
  <c r="K290" i="11" s="1"/>
  <c r="K247" i="11"/>
  <c r="K294" i="11" s="1"/>
  <c r="K259" i="11"/>
  <c r="K306" i="11" s="1"/>
  <c r="K267" i="11"/>
  <c r="K314" i="11" s="1"/>
  <c r="G493" i="11"/>
  <c r="E496" i="11"/>
  <c r="G319" i="11"/>
  <c r="G522" i="11" s="1"/>
  <c r="F322" i="11"/>
  <c r="F525" i="11" s="1"/>
  <c r="H323" i="11"/>
  <c r="H526" i="11" s="1"/>
  <c r="E325" i="11"/>
  <c r="E528" i="11" s="1"/>
  <c r="H327" i="11"/>
  <c r="H530" i="11" s="1"/>
  <c r="C332" i="11"/>
  <c r="C535" i="11" s="1"/>
  <c r="J497" i="11"/>
  <c r="D506" i="11"/>
  <c r="G507" i="11"/>
  <c r="B511" i="11"/>
  <c r="F518" i="11"/>
  <c r="H519" i="11"/>
  <c r="E495" i="10"/>
  <c r="E687" i="10" s="1"/>
  <c r="N486" i="10"/>
  <c r="N678" i="10" s="1"/>
  <c r="S550" i="10"/>
  <c r="S463" i="10"/>
  <c r="S484" i="10"/>
  <c r="S555" i="10"/>
  <c r="S601" i="10"/>
  <c r="S626" i="10"/>
  <c r="L627" i="10"/>
  <c r="S625" i="10"/>
  <c r="L626" i="10"/>
  <c r="S373" i="10"/>
  <c r="S444" i="10" s="1"/>
  <c r="L629" i="10"/>
  <c r="L578" i="10"/>
  <c r="S361" i="10"/>
  <c r="S365" i="10"/>
  <c r="S436" i="10" s="1"/>
  <c r="S369" i="10"/>
  <c r="S440" i="10" s="1"/>
  <c r="L602" i="10"/>
  <c r="L603" i="10"/>
  <c r="S404" i="10"/>
  <c r="S475" i="10" s="1"/>
  <c r="L582" i="10"/>
  <c r="S401" i="10"/>
  <c r="S472" i="10" s="1"/>
  <c r="L400" i="10"/>
  <c r="L471" i="10" s="1"/>
  <c r="S363" i="10"/>
  <c r="S434" i="10" s="1"/>
  <c r="S367" i="10"/>
  <c r="S438" i="10" s="1"/>
  <c r="S371" i="10"/>
  <c r="S442" i="10" s="1"/>
  <c r="S375" i="10"/>
  <c r="S446" i="10" s="1"/>
  <c r="S377" i="10"/>
  <c r="S448" i="10" s="1"/>
  <c r="S379" i="10"/>
  <c r="S381" i="10"/>
  <c r="S452" i="10" s="1"/>
  <c r="S383" i="10"/>
  <c r="S454" i="10" s="1"/>
  <c r="S385" i="10"/>
  <c r="S456" i="10" s="1"/>
  <c r="S387" i="10"/>
  <c r="S458" i="10" s="1"/>
  <c r="S391" i="10"/>
  <c r="S462" i="10" s="1"/>
  <c r="L396" i="10"/>
  <c r="L467" i="10" s="1"/>
  <c r="L398" i="10"/>
  <c r="L469" i="10" s="1"/>
  <c r="L402" i="10"/>
  <c r="L473" i="10" s="1"/>
  <c r="L410" i="10"/>
  <c r="L481" i="10" s="1"/>
  <c r="I491" i="10"/>
  <c r="I683" i="10" s="1"/>
  <c r="L553" i="10"/>
  <c r="S398" i="10"/>
  <c r="S400" i="10"/>
  <c r="S471" i="10" s="1"/>
  <c r="L406" i="10"/>
  <c r="L360" i="10"/>
  <c r="L431" i="10" s="1"/>
  <c r="L362" i="10"/>
  <c r="L433" i="10" s="1"/>
  <c r="L364" i="10"/>
  <c r="L435" i="10" s="1"/>
  <c r="L366" i="10"/>
  <c r="L437" i="10" s="1"/>
  <c r="L368" i="10"/>
  <c r="L439" i="10" s="1"/>
  <c r="L370" i="10"/>
  <c r="L441" i="10" s="1"/>
  <c r="L372" i="10"/>
  <c r="L443" i="10" s="1"/>
  <c r="L374" i="10"/>
  <c r="L445" i="10" s="1"/>
  <c r="L376" i="10"/>
  <c r="L447" i="10" s="1"/>
  <c r="L378" i="10"/>
  <c r="L449" i="10" s="1"/>
  <c r="L380" i="10"/>
  <c r="L451" i="10" s="1"/>
  <c r="L382" i="10"/>
  <c r="L453" i="10" s="1"/>
  <c r="L384" i="10"/>
  <c r="L455" i="10" s="1"/>
  <c r="L386" i="10"/>
  <c r="L388" i="10"/>
  <c r="L459" i="10" s="1"/>
  <c r="L390" i="10"/>
  <c r="L392" i="10"/>
  <c r="L463" i="10" s="1"/>
  <c r="S396" i="10"/>
  <c r="S467" i="10" s="1"/>
  <c r="L405" i="10"/>
  <c r="L476" i="10" s="1"/>
  <c r="E648" i="10"/>
  <c r="D487" i="10"/>
  <c r="D679" i="10" s="1"/>
  <c r="F494" i="10"/>
  <c r="F686" i="10" s="1"/>
  <c r="S432" i="10"/>
  <c r="S364" i="10"/>
  <c r="S435" i="10" s="1"/>
  <c r="S372" i="10"/>
  <c r="S443" i="10" s="1"/>
  <c r="S384" i="10"/>
  <c r="S455" i="10" s="1"/>
  <c r="L401" i="10"/>
  <c r="L472" i="10" s="1"/>
  <c r="S362" i="10"/>
  <c r="S433" i="10" s="1"/>
  <c r="S370" i="10"/>
  <c r="S441" i="10" s="1"/>
  <c r="S382" i="10"/>
  <c r="S453" i="10" s="1"/>
  <c r="J647" i="10"/>
  <c r="S360" i="10"/>
  <c r="S431" i="10" s="1"/>
  <c r="S368" i="10"/>
  <c r="S439" i="10" s="1"/>
  <c r="S376" i="10"/>
  <c r="S447" i="10" s="1"/>
  <c r="S380" i="10"/>
  <c r="S451" i="10" s="1"/>
  <c r="L395" i="10"/>
  <c r="L466" i="10" s="1"/>
  <c r="S366" i="10"/>
  <c r="S437" i="10" s="1"/>
  <c r="S374" i="10"/>
  <c r="S445" i="10" s="1"/>
  <c r="S378" i="10"/>
  <c r="S449" i="10" s="1"/>
  <c r="S386" i="10"/>
  <c r="S457" i="10" s="1"/>
  <c r="S388" i="10"/>
  <c r="S459" i="10" s="1"/>
  <c r="S390" i="10"/>
  <c r="S461" i="10" s="1"/>
  <c r="L393" i="10"/>
  <c r="L464" i="10" s="1"/>
  <c r="L397" i="10"/>
  <c r="L468" i="10" s="1"/>
  <c r="K488" i="10"/>
  <c r="K680" i="10" s="1"/>
  <c r="L363" i="10"/>
  <c r="L434" i="10" s="1"/>
  <c r="L367" i="10"/>
  <c r="L438" i="10" s="1"/>
  <c r="L371" i="10"/>
  <c r="L442" i="10" s="1"/>
  <c r="L375" i="10"/>
  <c r="L446" i="10" s="1"/>
  <c r="L379" i="10"/>
  <c r="L450" i="10" s="1"/>
  <c r="L383" i="10"/>
  <c r="L454" i="10" s="1"/>
  <c r="L361" i="10"/>
  <c r="L432" i="10" s="1"/>
  <c r="L365" i="10"/>
  <c r="L436" i="10" s="1"/>
  <c r="L369" i="10"/>
  <c r="L440" i="10" s="1"/>
  <c r="L373" i="10"/>
  <c r="L444" i="10" s="1"/>
  <c r="L377" i="10"/>
  <c r="L448" i="10" s="1"/>
  <c r="L381" i="10"/>
  <c r="L452" i="10" s="1"/>
  <c r="L385" i="10"/>
  <c r="L456" i="10" s="1"/>
  <c r="L387" i="10"/>
  <c r="L458" i="10" s="1"/>
  <c r="L391" i="10"/>
  <c r="L462" i="10" s="1"/>
  <c r="S393" i="10"/>
  <c r="S464" i="10" s="1"/>
  <c r="S395" i="10"/>
  <c r="S466" i="10" s="1"/>
  <c r="S397" i="10"/>
  <c r="S468" i="10" s="1"/>
  <c r="L403" i="10"/>
  <c r="L474" i="10" s="1"/>
  <c r="L407" i="10"/>
  <c r="L478" i="10" s="1"/>
  <c r="L411" i="10"/>
  <c r="L482" i="10" s="1"/>
  <c r="J485" i="10"/>
  <c r="J677" i="10" s="1"/>
  <c r="B489" i="10"/>
  <c r="B681" i="10" s="1"/>
  <c r="R673" i="10"/>
  <c r="K522" i="9"/>
  <c r="L287" i="9"/>
  <c r="L339" i="9" s="1"/>
  <c r="L291" i="9"/>
  <c r="L343" i="9" s="1"/>
  <c r="L295" i="9"/>
  <c r="L347" i="9" s="1"/>
  <c r="L435" i="9"/>
  <c r="L267" i="9"/>
  <c r="L319" i="9" s="1"/>
  <c r="L271" i="9"/>
  <c r="L323" i="9" s="1"/>
  <c r="L481" i="9"/>
  <c r="L279" i="9"/>
  <c r="L331" i="9" s="1"/>
  <c r="L283" i="9"/>
  <c r="L335" i="9" s="1"/>
  <c r="L299" i="9"/>
  <c r="L351" i="9" s="1"/>
  <c r="L458" i="9"/>
  <c r="L436" i="9"/>
  <c r="L268" i="9"/>
  <c r="L320" i="9" s="1"/>
  <c r="L272" i="9"/>
  <c r="L276" i="9"/>
  <c r="L328" i="9" s="1"/>
  <c r="L284" i="9"/>
  <c r="L336" i="9" s="1"/>
  <c r="L280" i="9"/>
  <c r="L332" i="9" s="1"/>
  <c r="L288" i="9"/>
  <c r="L340" i="9" s="1"/>
  <c r="L292" i="9"/>
  <c r="L344" i="9" s="1"/>
  <c r="L296" i="9"/>
  <c r="L348" i="9" s="1"/>
  <c r="B356" i="9"/>
  <c r="B537" i="9" s="1"/>
  <c r="J363" i="9"/>
  <c r="J544" i="9" s="1"/>
  <c r="L265" i="9"/>
  <c r="L269" i="9"/>
  <c r="L281" i="9"/>
  <c r="L333" i="9" s="1"/>
  <c r="L309" i="9"/>
  <c r="L361" i="9" s="1"/>
  <c r="L409" i="9"/>
  <c r="J504" i="9"/>
  <c r="F505" i="9"/>
  <c r="J505" i="9"/>
  <c r="L306" i="9"/>
  <c r="L514" i="9" s="1"/>
  <c r="J333" i="9"/>
  <c r="H353" i="9"/>
  <c r="G355" i="9"/>
  <c r="G536" i="9" s="1"/>
  <c r="J357" i="9"/>
  <c r="J538" i="9" s="1"/>
  <c r="I360" i="9"/>
  <c r="I541" i="9" s="1"/>
  <c r="J361" i="9"/>
  <c r="J542" i="9" s="1"/>
  <c r="E366" i="9"/>
  <c r="E547" i="9" s="1"/>
  <c r="F508" i="9"/>
  <c r="I510" i="9"/>
  <c r="C512" i="9"/>
  <c r="L289" i="9"/>
  <c r="L341" i="9" s="1"/>
  <c r="L297" i="9"/>
  <c r="L314" i="9"/>
  <c r="L522" i="9" s="1"/>
  <c r="G509" i="9"/>
  <c r="L273" i="9"/>
  <c r="L325" i="9" s="1"/>
  <c r="L277" i="9"/>
  <c r="L329" i="9" s="1"/>
  <c r="H357" i="9"/>
  <c r="H538" i="9" s="1"/>
  <c r="H361" i="9"/>
  <c r="H542" i="9" s="1"/>
  <c r="H362" i="9"/>
  <c r="H543" i="9" s="1"/>
  <c r="B508" i="9"/>
  <c r="D515" i="9"/>
  <c r="D517" i="9"/>
  <c r="L390" i="9"/>
  <c r="L300" i="9"/>
  <c r="L508" i="9" s="1"/>
  <c r="K507" i="9"/>
  <c r="H355" i="9"/>
  <c r="H536" i="9" s="1"/>
  <c r="F363" i="9"/>
  <c r="F544" i="9" s="1"/>
  <c r="F366" i="9"/>
  <c r="F547" i="9" s="1"/>
  <c r="J508" i="9"/>
  <c r="L387" i="9"/>
  <c r="L317" i="9"/>
  <c r="L321" i="9"/>
  <c r="D529" i="12"/>
  <c r="I527" i="12"/>
  <c r="O529" i="12"/>
  <c r="G527" i="12"/>
  <c r="S244" i="12"/>
  <c r="S291" i="12" s="1"/>
  <c r="S248" i="12"/>
  <c r="S295" i="12" s="1"/>
  <c r="S252" i="12"/>
  <c r="S299" i="12" s="1"/>
  <c r="S479" i="12"/>
  <c r="S256" i="12"/>
  <c r="S485" i="12"/>
  <c r="S274" i="12"/>
  <c r="S507" i="12" s="1"/>
  <c r="D501" i="12"/>
  <c r="D303" i="12"/>
  <c r="D527" i="12" s="1"/>
  <c r="H501" i="12"/>
  <c r="H303" i="12"/>
  <c r="H527" i="12" s="1"/>
  <c r="M501" i="12"/>
  <c r="M303" i="12"/>
  <c r="M527" i="12" s="1"/>
  <c r="Q501" i="12"/>
  <c r="Q303" i="12"/>
  <c r="Q527" i="12" s="1"/>
  <c r="S261" i="12"/>
  <c r="R318" i="12"/>
  <c r="R530" i="12" s="1"/>
  <c r="R504" i="12"/>
  <c r="H505" i="12"/>
  <c r="H319" i="12"/>
  <c r="H531" i="12" s="1"/>
  <c r="Q505" i="12"/>
  <c r="Q319" i="12"/>
  <c r="Q531" i="12" s="1"/>
  <c r="B322" i="12"/>
  <c r="B534" i="12" s="1"/>
  <c r="B508" i="12"/>
  <c r="K275" i="12"/>
  <c r="G509" i="12"/>
  <c r="G323" i="12"/>
  <c r="G535" i="12" s="1"/>
  <c r="F510" i="12"/>
  <c r="F324" i="12"/>
  <c r="F536" i="12" s="1"/>
  <c r="S277" i="12"/>
  <c r="S510" i="12" s="1"/>
  <c r="E511" i="12"/>
  <c r="E325" i="12"/>
  <c r="E537" i="12" s="1"/>
  <c r="S278" i="12"/>
  <c r="E512" i="12"/>
  <c r="E326" i="12"/>
  <c r="E538" i="12" s="1"/>
  <c r="S279" i="12"/>
  <c r="S280" i="12"/>
  <c r="E514" i="12"/>
  <c r="E328" i="12"/>
  <c r="E540" i="12" s="1"/>
  <c r="S281" i="12"/>
  <c r="S514" i="12" s="1"/>
  <c r="E515" i="12"/>
  <c r="E329" i="12"/>
  <c r="E541" i="12" s="1"/>
  <c r="E332" i="12"/>
  <c r="E544" i="12" s="1"/>
  <c r="E518" i="12"/>
  <c r="S285" i="12"/>
  <c r="G525" i="12"/>
  <c r="M525" i="12"/>
  <c r="R293" i="12"/>
  <c r="R525" i="12" s="1"/>
  <c r="M526" i="12"/>
  <c r="I301" i="12"/>
  <c r="I526" i="12" s="1"/>
  <c r="N527" i="12"/>
  <c r="H528" i="12"/>
  <c r="N528" i="12"/>
  <c r="C313" i="12"/>
  <c r="C529" i="12" s="1"/>
  <c r="H529" i="12"/>
  <c r="N529" i="12"/>
  <c r="B314" i="12"/>
  <c r="H318" i="12"/>
  <c r="H530" i="12" s="1"/>
  <c r="P323" i="12"/>
  <c r="P535" i="12" s="1"/>
  <c r="I325" i="12"/>
  <c r="I537" i="12" s="1"/>
  <c r="O327" i="12"/>
  <c r="O539" i="12" s="1"/>
  <c r="I329" i="12"/>
  <c r="I541" i="12" s="1"/>
  <c r="S481" i="12"/>
  <c r="S483" i="12"/>
  <c r="Q499" i="12"/>
  <c r="R500" i="12"/>
  <c r="H502" i="12"/>
  <c r="F503" i="12"/>
  <c r="N503" i="12"/>
  <c r="D505" i="12"/>
  <c r="M505" i="12"/>
  <c r="H506" i="12"/>
  <c r="O512" i="12"/>
  <c r="K243" i="12"/>
  <c r="K290" i="12" s="1"/>
  <c r="K247" i="12"/>
  <c r="K294" i="12" s="1"/>
  <c r="K255" i="12"/>
  <c r="K302" i="12" s="1"/>
  <c r="K259" i="12"/>
  <c r="K306" i="12" s="1"/>
  <c r="K263" i="12"/>
  <c r="K310" i="12" s="1"/>
  <c r="K267" i="12"/>
  <c r="K314" i="12" s="1"/>
  <c r="F525" i="12"/>
  <c r="O525" i="12"/>
  <c r="S246" i="12"/>
  <c r="G528" i="12"/>
  <c r="K261" i="12"/>
  <c r="P528" i="12"/>
  <c r="E504" i="12"/>
  <c r="E318" i="12"/>
  <c r="E530" i="12" s="1"/>
  <c r="I504" i="12"/>
  <c r="I318" i="12"/>
  <c r="I530" i="12" s="1"/>
  <c r="S271" i="12"/>
  <c r="S504" i="12" s="1"/>
  <c r="B507" i="12"/>
  <c r="B321" i="12"/>
  <c r="B533" i="12" s="1"/>
  <c r="K277" i="12"/>
  <c r="K510" i="12" s="1"/>
  <c r="K281" i="12"/>
  <c r="K514" i="12" s="1"/>
  <c r="K285" i="12"/>
  <c r="K518" i="12" s="1"/>
  <c r="N293" i="12"/>
  <c r="N525" i="12" s="1"/>
  <c r="H526" i="12"/>
  <c r="O526" i="12"/>
  <c r="G299" i="12"/>
  <c r="G526" i="12" s="1"/>
  <c r="E301" i="12"/>
  <c r="E526" i="12" s="1"/>
  <c r="D302" i="12"/>
  <c r="D526" i="12" s="1"/>
  <c r="D528" i="12"/>
  <c r="I528" i="12"/>
  <c r="O308" i="12"/>
  <c r="O528" i="12" s="1"/>
  <c r="I529" i="12"/>
  <c r="P313" i="12"/>
  <c r="P529" i="12" s="1"/>
  <c r="D318" i="12"/>
  <c r="D530" i="12" s="1"/>
  <c r="I319" i="12"/>
  <c r="I531" i="12" s="1"/>
  <c r="F321" i="12"/>
  <c r="F533" i="12" s="1"/>
  <c r="P321" i="12"/>
  <c r="P533" i="12" s="1"/>
  <c r="M322" i="12"/>
  <c r="M534" i="12" s="1"/>
  <c r="C323" i="12"/>
  <c r="C535" i="12" s="1"/>
  <c r="Q323" i="12"/>
  <c r="Q535" i="12" s="1"/>
  <c r="G324" i="12"/>
  <c r="G536" i="12" s="1"/>
  <c r="O324" i="12"/>
  <c r="O536" i="12" s="1"/>
  <c r="I326" i="12"/>
  <c r="I538" i="12" s="1"/>
  <c r="P327" i="12"/>
  <c r="P539" i="12" s="1"/>
  <c r="F328" i="12"/>
  <c r="F540" i="12" s="1"/>
  <c r="O328" i="12"/>
  <c r="O540" i="12" s="1"/>
  <c r="B332" i="12"/>
  <c r="B544" i="12" s="1"/>
  <c r="I332" i="12"/>
  <c r="I544" i="12" s="1"/>
  <c r="S487" i="12"/>
  <c r="D499" i="12"/>
  <c r="J502" i="12"/>
  <c r="G503" i="12"/>
  <c r="O503" i="12"/>
  <c r="E505" i="12"/>
  <c r="C510" i="12"/>
  <c r="P510" i="12"/>
  <c r="K381" i="12"/>
  <c r="K433" i="12"/>
  <c r="S478" i="12"/>
  <c r="S480" i="12"/>
  <c r="S484" i="12"/>
  <c r="S273" i="12"/>
  <c r="S506" i="12" s="1"/>
  <c r="S275" i="12"/>
  <c r="S508" i="12" s="1"/>
  <c r="G499" i="12"/>
  <c r="K246" i="12"/>
  <c r="K293" i="12" s="1"/>
  <c r="H500" i="12"/>
  <c r="N526" i="12"/>
  <c r="R526" i="12"/>
  <c r="J501" i="12"/>
  <c r="Q502" i="12"/>
  <c r="E503" i="12"/>
  <c r="G321" i="12"/>
  <c r="G533" i="12" s="1"/>
  <c r="G507" i="12"/>
  <c r="I293" i="12"/>
  <c r="I525" i="12" s="1"/>
  <c r="P293" i="12"/>
  <c r="P525" i="12" s="1"/>
  <c r="H294" i="12"/>
  <c r="H525" i="12" s="1"/>
  <c r="P526" i="12"/>
  <c r="E303" i="12"/>
  <c r="E527" i="12" s="1"/>
  <c r="J527" i="12"/>
  <c r="P527" i="12"/>
  <c r="O304" i="12"/>
  <c r="O527" i="12" s="1"/>
  <c r="Q308" i="12"/>
  <c r="Q528" i="12" s="1"/>
  <c r="E313" i="12"/>
  <c r="E529" i="12" s="1"/>
  <c r="Q529" i="12"/>
  <c r="D320" i="12"/>
  <c r="D532" i="12" s="1"/>
  <c r="R320" i="12"/>
  <c r="R532" i="12" s="1"/>
  <c r="F322" i="12"/>
  <c r="F534" i="12" s="1"/>
  <c r="P322" i="12"/>
  <c r="P534" i="12" s="1"/>
  <c r="B324" i="12"/>
  <c r="B536" i="12" s="1"/>
  <c r="F325" i="12"/>
  <c r="F537" i="12" s="1"/>
  <c r="O325" i="12"/>
  <c r="O537" i="12" s="1"/>
  <c r="B327" i="12"/>
  <c r="B539" i="12" s="1"/>
  <c r="I327" i="12"/>
  <c r="I539" i="12" s="1"/>
  <c r="P328" i="12"/>
  <c r="P540" i="12" s="1"/>
  <c r="F329" i="12"/>
  <c r="F541" i="12" s="1"/>
  <c r="O329" i="12"/>
  <c r="O541" i="12" s="1"/>
  <c r="F499" i="12"/>
  <c r="O499" i="12"/>
  <c r="N500" i="12"/>
  <c r="M502" i="12"/>
  <c r="R503" i="12"/>
  <c r="N504" i="12"/>
  <c r="R505" i="12"/>
  <c r="N508" i="12"/>
  <c r="E513" i="12"/>
  <c r="S405" i="12"/>
  <c r="K431" i="12"/>
  <c r="M499" i="12"/>
  <c r="O500" i="12"/>
  <c r="S251" i="12"/>
  <c r="P501" i="12"/>
  <c r="B529" i="12"/>
  <c r="F529" i="12"/>
  <c r="J503" i="12"/>
  <c r="J313" i="12"/>
  <c r="J529" i="12" s="1"/>
  <c r="K272" i="12"/>
  <c r="K505" i="12" s="1"/>
  <c r="G506" i="12"/>
  <c r="G320" i="12"/>
  <c r="G532" i="12" s="1"/>
  <c r="N507" i="12"/>
  <c r="N321" i="12"/>
  <c r="N533" i="12" s="1"/>
  <c r="B509" i="12"/>
  <c r="B323" i="12"/>
  <c r="B535" i="12" s="1"/>
  <c r="R510" i="12"/>
  <c r="R324" i="12"/>
  <c r="R536" i="12" s="1"/>
  <c r="R511" i="12"/>
  <c r="R325" i="12"/>
  <c r="R537" i="12" s="1"/>
  <c r="R513" i="12"/>
  <c r="R327" i="12"/>
  <c r="R539" i="12" s="1"/>
  <c r="R514" i="12"/>
  <c r="R328" i="12"/>
  <c r="R540" i="12" s="1"/>
  <c r="R515" i="12"/>
  <c r="R329" i="12"/>
  <c r="R541" i="12" s="1"/>
  <c r="R518" i="12"/>
  <c r="R332" i="12"/>
  <c r="R544" i="12" s="1"/>
  <c r="E293" i="12"/>
  <c r="E525" i="12" s="1"/>
  <c r="Q525" i="12"/>
  <c r="F298" i="12"/>
  <c r="F526" i="12" s="1"/>
  <c r="Q298" i="12"/>
  <c r="Q526" i="12" s="1"/>
  <c r="F527" i="12"/>
  <c r="F308" i="12"/>
  <c r="F528" i="12" s="1"/>
  <c r="R528" i="12"/>
  <c r="M529" i="12"/>
  <c r="B318" i="12"/>
  <c r="B530" i="12" s="1"/>
  <c r="M318" i="12"/>
  <c r="M530" i="12" s="1"/>
  <c r="M320" i="12"/>
  <c r="M532" i="12" s="1"/>
  <c r="R321" i="12"/>
  <c r="R533" i="12" s="1"/>
  <c r="H322" i="12"/>
  <c r="H534" i="12" s="1"/>
  <c r="Q322" i="12"/>
  <c r="Q534" i="12" s="1"/>
  <c r="F323" i="12"/>
  <c r="F535" i="12" s="1"/>
  <c r="O323" i="12"/>
  <c r="O535" i="12" s="1"/>
  <c r="J324" i="12"/>
  <c r="J536" i="12" s="1"/>
  <c r="H325" i="12"/>
  <c r="H537" i="12" s="1"/>
  <c r="P325" i="12"/>
  <c r="P537" i="12" s="1"/>
  <c r="F326" i="12"/>
  <c r="F538" i="12" s="1"/>
  <c r="D327" i="12"/>
  <c r="D539" i="12" s="1"/>
  <c r="B328" i="12"/>
  <c r="B540" i="12" s="1"/>
  <c r="I328" i="12"/>
  <c r="I540" i="12" s="1"/>
  <c r="H329" i="12"/>
  <c r="H541" i="12" s="1"/>
  <c r="P329" i="12"/>
  <c r="P541" i="12" s="1"/>
  <c r="F332" i="12"/>
  <c r="F544" i="12" s="1"/>
  <c r="O332" i="12"/>
  <c r="O544" i="12" s="1"/>
  <c r="K384" i="12"/>
  <c r="G502" i="12"/>
  <c r="C506" i="12"/>
  <c r="N506" i="12"/>
  <c r="M509" i="12"/>
  <c r="S382" i="12"/>
  <c r="K407" i="12"/>
  <c r="K251" i="12"/>
  <c r="P500" i="12"/>
  <c r="E502" i="12"/>
  <c r="I502" i="12"/>
  <c r="N502" i="12"/>
  <c r="R502" i="12"/>
  <c r="D503" i="12"/>
  <c r="H503" i="12"/>
  <c r="M503" i="12"/>
  <c r="Q503" i="12"/>
  <c r="K271" i="12"/>
  <c r="K504" i="12" s="1"/>
  <c r="O506" i="12"/>
  <c r="O320" i="12"/>
  <c r="O532" i="12" s="1"/>
  <c r="E507" i="12"/>
  <c r="E321" i="12"/>
  <c r="E533" i="12" s="1"/>
  <c r="I507" i="12"/>
  <c r="I321" i="12"/>
  <c r="I533" i="12" s="1"/>
  <c r="I508" i="12"/>
  <c r="I322" i="12"/>
  <c r="I534" i="12" s="1"/>
  <c r="O508" i="12"/>
  <c r="O322" i="12"/>
  <c r="O534" i="12" s="1"/>
  <c r="N509" i="12"/>
  <c r="N323" i="12"/>
  <c r="N535" i="12" s="1"/>
  <c r="M510" i="12"/>
  <c r="M324" i="12"/>
  <c r="M536" i="12" s="1"/>
  <c r="Q511" i="12"/>
  <c r="Q325" i="12"/>
  <c r="Q537" i="12" s="1"/>
  <c r="M512" i="12"/>
  <c r="M326" i="12"/>
  <c r="M538" i="12" s="1"/>
  <c r="Q512" i="12"/>
  <c r="Q326" i="12"/>
  <c r="Q538" i="12" s="1"/>
  <c r="C513" i="12"/>
  <c r="C327" i="12"/>
  <c r="C539" i="12" s="1"/>
  <c r="G513" i="12"/>
  <c r="G327" i="12"/>
  <c r="G539" i="12" s="1"/>
  <c r="G514" i="12"/>
  <c r="G328" i="12"/>
  <c r="G540" i="12" s="1"/>
  <c r="M514" i="12"/>
  <c r="M328" i="12"/>
  <c r="M540" i="12" s="1"/>
  <c r="Q514" i="12"/>
  <c r="Q328" i="12"/>
  <c r="Q540" i="12" s="1"/>
  <c r="G515" i="12"/>
  <c r="G329" i="12"/>
  <c r="G541" i="12" s="1"/>
  <c r="M515" i="12"/>
  <c r="M329" i="12"/>
  <c r="M541" i="12" s="1"/>
  <c r="Q515" i="12"/>
  <c r="Q329" i="12"/>
  <c r="Q541" i="12" s="1"/>
  <c r="C518" i="12"/>
  <c r="C332" i="12"/>
  <c r="C544" i="12" s="1"/>
  <c r="G518" i="12"/>
  <c r="G332" i="12"/>
  <c r="G544" i="12" s="1"/>
  <c r="M518" i="12"/>
  <c r="M332" i="12"/>
  <c r="M544" i="12" s="1"/>
  <c r="Q518" i="12"/>
  <c r="Q332" i="12"/>
  <c r="Q544" i="12" s="1"/>
  <c r="O507" i="12"/>
  <c r="E508" i="12"/>
  <c r="I509" i="12"/>
  <c r="C511" i="12"/>
  <c r="G512" i="12"/>
  <c r="K382" i="11"/>
  <c r="K383" i="11"/>
  <c r="K387" i="11"/>
  <c r="K391" i="11"/>
  <c r="K397" i="11"/>
  <c r="K471" i="11"/>
  <c r="K251" i="11"/>
  <c r="K298" i="11" s="1"/>
  <c r="K479" i="11"/>
  <c r="K275" i="11"/>
  <c r="K501" i="11" s="1"/>
  <c r="K483" i="11"/>
  <c r="K279" i="11"/>
  <c r="K505" i="11" s="1"/>
  <c r="K489" i="11"/>
  <c r="K285" i="11"/>
  <c r="K511" i="11" s="1"/>
  <c r="D519" i="11"/>
  <c r="G497" i="11"/>
  <c r="G318" i="11"/>
  <c r="G521" i="11" s="1"/>
  <c r="K271" i="11"/>
  <c r="K497" i="11" s="1"/>
  <c r="H499" i="11"/>
  <c r="H320" i="11"/>
  <c r="H523" i="11" s="1"/>
  <c r="G506" i="11"/>
  <c r="G327" i="11"/>
  <c r="G530" i="11" s="1"/>
  <c r="G326" i="11"/>
  <c r="G529" i="11" s="1"/>
  <c r="J494" i="11"/>
  <c r="J304" i="11"/>
  <c r="J518" i="11" s="1"/>
  <c r="D314" i="11"/>
  <c r="D520" i="11" s="1"/>
  <c r="D496" i="11"/>
  <c r="H314" i="11"/>
  <c r="H520" i="11" s="1"/>
  <c r="H496" i="11"/>
  <c r="D504" i="11"/>
  <c r="D325" i="11"/>
  <c r="D528" i="11" s="1"/>
  <c r="H325" i="11"/>
  <c r="H528" i="11" s="1"/>
  <c r="H504" i="11"/>
  <c r="E313" i="11"/>
  <c r="E520" i="11" s="1"/>
  <c r="I319" i="11"/>
  <c r="I522" i="11" s="1"/>
  <c r="I296" i="11"/>
  <c r="I516" i="11" s="1"/>
  <c r="I492" i="11"/>
  <c r="G494" i="11"/>
  <c r="G303" i="11"/>
  <c r="G518" i="11" s="1"/>
  <c r="B496" i="11"/>
  <c r="B313" i="11"/>
  <c r="B520" i="11" s="1"/>
  <c r="F496" i="11"/>
  <c r="F313" i="11"/>
  <c r="F520" i="11" s="1"/>
  <c r="J496" i="11"/>
  <c r="J313" i="11"/>
  <c r="J520" i="11" s="1"/>
  <c r="B503" i="11"/>
  <c r="B324" i="11"/>
  <c r="B527" i="11" s="1"/>
  <c r="F503" i="11"/>
  <c r="F324" i="11"/>
  <c r="F527" i="11" s="1"/>
  <c r="J324" i="11"/>
  <c r="J527" i="11" s="1"/>
  <c r="J503" i="11"/>
  <c r="H516" i="11"/>
  <c r="C497" i="11"/>
  <c r="E319" i="11"/>
  <c r="E522" i="11" s="1"/>
  <c r="E498" i="11"/>
  <c r="D499" i="11"/>
  <c r="D320" i="11"/>
  <c r="D523" i="11" s="1"/>
  <c r="C505" i="11"/>
  <c r="C326" i="11"/>
  <c r="C529" i="11" s="1"/>
  <c r="C506" i="11"/>
  <c r="C327" i="11"/>
  <c r="C530" i="11" s="1"/>
  <c r="K403" i="11"/>
  <c r="E495" i="11"/>
  <c r="E308" i="11"/>
  <c r="E519" i="11" s="1"/>
  <c r="I496" i="11"/>
  <c r="I313" i="11"/>
  <c r="I520" i="11" s="1"/>
  <c r="K244" i="11"/>
  <c r="K291" i="11" s="1"/>
  <c r="K252" i="11"/>
  <c r="K299" i="11" s="1"/>
  <c r="K426" i="11"/>
  <c r="K438" i="11"/>
  <c r="K280" i="11"/>
  <c r="K506" i="11" s="1"/>
  <c r="K249" i="11"/>
  <c r="K296" i="11" s="1"/>
  <c r="K253" i="11"/>
  <c r="K300" i="11" s="1"/>
  <c r="K447" i="11"/>
  <c r="K449" i="11"/>
  <c r="K261" i="11"/>
  <c r="K308" i="11" s="1"/>
  <c r="K269" i="11"/>
  <c r="K316" i="11" s="1"/>
  <c r="K457" i="11"/>
  <c r="K277" i="11"/>
  <c r="K503" i="11" s="1"/>
  <c r="K470" i="11"/>
  <c r="K246" i="11"/>
  <c r="K293" i="11" s="1"/>
  <c r="K250" i="11"/>
  <c r="K297" i="11" s="1"/>
  <c r="K254" i="11"/>
  <c r="K301" i="11" s="1"/>
  <c r="K262" i="11"/>
  <c r="K309" i="11" s="1"/>
  <c r="K266" i="11"/>
  <c r="K474" i="11"/>
  <c r="K270" i="11"/>
  <c r="K317" i="11" s="1"/>
  <c r="K478" i="11"/>
  <c r="K278" i="11"/>
  <c r="K482" i="11"/>
  <c r="K282" i="11"/>
  <c r="K486" i="11"/>
  <c r="F492" i="11"/>
  <c r="F293" i="11"/>
  <c r="F516" i="11" s="1"/>
  <c r="J293" i="11"/>
  <c r="J516" i="11" s="1"/>
  <c r="J492" i="11"/>
  <c r="C499" i="11"/>
  <c r="C320" i="11"/>
  <c r="C523" i="11" s="1"/>
  <c r="G499" i="11"/>
  <c r="G320" i="11"/>
  <c r="G523" i="11" s="1"/>
  <c r="C500" i="11"/>
  <c r="C321" i="11"/>
  <c r="C524" i="11" s="1"/>
  <c r="B328" i="11"/>
  <c r="B531" i="11" s="1"/>
  <c r="B507" i="11"/>
  <c r="F328" i="11"/>
  <c r="F531" i="11" s="1"/>
  <c r="F507" i="11"/>
  <c r="K281" i="11"/>
  <c r="E508" i="11"/>
  <c r="E329" i="11"/>
  <c r="E532" i="11" s="1"/>
  <c r="I508" i="11"/>
  <c r="I329" i="11"/>
  <c r="I532" i="11" s="1"/>
  <c r="I308" i="11"/>
  <c r="I519" i="11" s="1"/>
  <c r="K378" i="11"/>
  <c r="D492" i="11"/>
  <c r="H505" i="11"/>
  <c r="H326" i="11"/>
  <c r="H529" i="11" s="1"/>
  <c r="K379" i="11"/>
  <c r="K424" i="11"/>
  <c r="K264" i="11"/>
  <c r="K311" i="11" s="1"/>
  <c r="K268" i="11"/>
  <c r="K315" i="11" s="1"/>
  <c r="K272" i="11"/>
  <c r="K498" i="11" s="1"/>
  <c r="K276" i="11"/>
  <c r="K502" i="11" s="1"/>
  <c r="G492" i="11"/>
  <c r="E492" i="11"/>
  <c r="E294" i="11"/>
  <c r="E516" i="11" s="1"/>
  <c r="F493" i="11"/>
  <c r="F298" i="11"/>
  <c r="F517" i="11" s="1"/>
  <c r="D494" i="11"/>
  <c r="D303" i="11"/>
  <c r="D518" i="11" s="1"/>
  <c r="H494" i="11"/>
  <c r="G519" i="11"/>
  <c r="J495" i="11"/>
  <c r="J311" i="11"/>
  <c r="J519" i="11" s="1"/>
  <c r="D497" i="11"/>
  <c r="D318" i="11"/>
  <c r="D521" i="11" s="1"/>
  <c r="J498" i="11"/>
  <c r="J319" i="11"/>
  <c r="J522" i="11" s="1"/>
  <c r="E501" i="11"/>
  <c r="E322" i="11"/>
  <c r="E525" i="11" s="1"/>
  <c r="I501" i="11"/>
  <c r="I322" i="11"/>
  <c r="I525" i="11" s="1"/>
  <c r="G324" i="11"/>
  <c r="G527" i="11" s="1"/>
  <c r="G503" i="11"/>
  <c r="H517" i="11"/>
  <c r="H303" i="11"/>
  <c r="H518" i="11" s="1"/>
  <c r="F321" i="11"/>
  <c r="F524" i="11" s="1"/>
  <c r="D505" i="11"/>
  <c r="G517" i="11"/>
  <c r="K381" i="11"/>
  <c r="K400" i="11"/>
  <c r="K404" i="11"/>
  <c r="E321" i="11"/>
  <c r="E524" i="11" s="1"/>
  <c r="E500" i="11"/>
  <c r="K448" i="11"/>
  <c r="K241" i="11"/>
  <c r="K288" i="11" s="1"/>
  <c r="K245" i="11"/>
  <c r="K292" i="11" s="1"/>
  <c r="K473" i="11"/>
  <c r="D516" i="11"/>
  <c r="D495" i="11"/>
  <c r="B500" i="11"/>
  <c r="B321" i="11"/>
  <c r="B524" i="11" s="1"/>
  <c r="G500" i="11"/>
  <c r="G321" i="11"/>
  <c r="G524" i="11" s="1"/>
  <c r="E502" i="11"/>
  <c r="E323" i="11"/>
  <c r="E526" i="11" s="1"/>
  <c r="F506" i="11"/>
  <c r="F327" i="11"/>
  <c r="F530" i="11" s="1"/>
  <c r="D508" i="11"/>
  <c r="D329" i="11"/>
  <c r="D532" i="11" s="1"/>
  <c r="H508" i="11"/>
  <c r="H329" i="11"/>
  <c r="H532" i="11" s="1"/>
  <c r="D511" i="11"/>
  <c r="D332" i="11"/>
  <c r="D535" i="11" s="1"/>
  <c r="G293" i="11"/>
  <c r="G516" i="11" s="1"/>
  <c r="C520" i="11"/>
  <c r="C324" i="11"/>
  <c r="C527" i="11" s="1"/>
  <c r="I328" i="11"/>
  <c r="I531" i="11" s="1"/>
  <c r="K388" i="11"/>
  <c r="G495" i="11"/>
  <c r="K428" i="11"/>
  <c r="K472" i="11"/>
  <c r="H492" i="11"/>
  <c r="D493" i="11"/>
  <c r="H493" i="11"/>
  <c r="E494" i="11"/>
  <c r="F495" i="11"/>
  <c r="C496" i="11"/>
  <c r="G496" i="11"/>
  <c r="D298" i="11"/>
  <c r="D517" i="11" s="1"/>
  <c r="I318" i="11"/>
  <c r="I521" i="11" s="1"/>
  <c r="E320" i="11"/>
  <c r="E523" i="11" s="1"/>
  <c r="J323" i="11"/>
  <c r="J526" i="11" s="1"/>
  <c r="F325" i="11"/>
  <c r="F528" i="11" s="1"/>
  <c r="I332" i="11"/>
  <c r="I535" i="11" s="1"/>
  <c r="K380" i="11"/>
  <c r="K385" i="11"/>
  <c r="K86" i="11"/>
  <c r="K408" i="11" s="1"/>
  <c r="K425" i="11"/>
  <c r="E493" i="11"/>
  <c r="E298" i="11"/>
  <c r="E517" i="11" s="1"/>
  <c r="I517" i="11"/>
  <c r="K256" i="11"/>
  <c r="I494" i="11"/>
  <c r="I304" i="11"/>
  <c r="I518" i="11" s="1"/>
  <c r="B497" i="11"/>
  <c r="B318" i="11"/>
  <c r="B521" i="11" s="1"/>
  <c r="H498" i="11"/>
  <c r="H319" i="11"/>
  <c r="H522" i="11" s="1"/>
  <c r="K273" i="11"/>
  <c r="K499" i="11" s="1"/>
  <c r="I500" i="11"/>
  <c r="I321" i="11"/>
  <c r="I524" i="11" s="1"/>
  <c r="D501" i="11"/>
  <c r="D322" i="11"/>
  <c r="D525" i="11" s="1"/>
  <c r="C502" i="11"/>
  <c r="C323" i="11"/>
  <c r="C526" i="11" s="1"/>
  <c r="G502" i="11"/>
  <c r="G323" i="11"/>
  <c r="G526" i="11" s="1"/>
  <c r="E503" i="11"/>
  <c r="E324" i="11"/>
  <c r="E527" i="11" s="1"/>
  <c r="I503" i="11"/>
  <c r="I324" i="11"/>
  <c r="I527" i="11" s="1"/>
  <c r="C504" i="11"/>
  <c r="C325" i="11"/>
  <c r="C528" i="11" s="1"/>
  <c r="G504" i="11"/>
  <c r="G325" i="11"/>
  <c r="G528" i="11" s="1"/>
  <c r="B505" i="11"/>
  <c r="B326" i="11"/>
  <c r="B529" i="11" s="1"/>
  <c r="H507" i="11"/>
  <c r="H328" i="11"/>
  <c r="H531" i="11" s="1"/>
  <c r="C508" i="11"/>
  <c r="C329" i="11"/>
  <c r="C532" i="11" s="1"/>
  <c r="G508" i="11"/>
  <c r="G329" i="11"/>
  <c r="G532" i="11" s="1"/>
  <c r="E303" i="11"/>
  <c r="E518" i="11" s="1"/>
  <c r="F308" i="11"/>
  <c r="F519" i="11" s="1"/>
  <c r="G313" i="11"/>
  <c r="G520" i="11" s="1"/>
  <c r="E318" i="11"/>
  <c r="E521" i="11" s="1"/>
  <c r="I326" i="11"/>
  <c r="I529" i="11" s="1"/>
  <c r="E332" i="11"/>
  <c r="E535" i="11" s="1"/>
  <c r="F494" i="11"/>
  <c r="F497" i="11"/>
  <c r="D498" i="11"/>
  <c r="H501" i="11"/>
  <c r="D507" i="11"/>
  <c r="F511" i="11"/>
  <c r="L540" i="10"/>
  <c r="S531" i="10"/>
  <c r="L534" i="10"/>
  <c r="S450" i="10"/>
  <c r="L531" i="10"/>
  <c r="S533" i="10"/>
  <c r="L536" i="10"/>
  <c r="L538" i="10"/>
  <c r="S539" i="10"/>
  <c r="G540" i="10"/>
  <c r="L541" i="10"/>
  <c r="L543" i="10"/>
  <c r="L545" i="10"/>
  <c r="S547" i="10"/>
  <c r="S496" i="10"/>
  <c r="L555" i="10"/>
  <c r="L557" i="10"/>
  <c r="L581" i="10"/>
  <c r="S613" i="10"/>
  <c r="S422" i="10"/>
  <c r="S660" i="10" s="1"/>
  <c r="L628" i="10"/>
  <c r="L404" i="10"/>
  <c r="L408" i="10"/>
  <c r="L479" i="10" s="1"/>
  <c r="L412" i="10"/>
  <c r="L483" i="10" s="1"/>
  <c r="L632" i="10"/>
  <c r="L416" i="10"/>
  <c r="L654" i="10" s="1"/>
  <c r="E647" i="10"/>
  <c r="I647" i="10"/>
  <c r="I460" i="10"/>
  <c r="I672" i="10" s="1"/>
  <c r="D648" i="10"/>
  <c r="D465" i="10"/>
  <c r="D673" i="10" s="1"/>
  <c r="H648" i="10"/>
  <c r="H465" i="10"/>
  <c r="H673" i="10" s="1"/>
  <c r="L394" i="10"/>
  <c r="Q648" i="10"/>
  <c r="Q465" i="10"/>
  <c r="Q673" i="10" s="1"/>
  <c r="D649" i="10"/>
  <c r="D470" i="10"/>
  <c r="D674" i="10" s="1"/>
  <c r="H649" i="10"/>
  <c r="H470" i="10"/>
  <c r="H674" i="10" s="1"/>
  <c r="L399" i="10"/>
  <c r="Q674" i="10"/>
  <c r="N650" i="10"/>
  <c r="N475" i="10"/>
  <c r="N675" i="10" s="1"/>
  <c r="E651" i="10"/>
  <c r="E480" i="10"/>
  <c r="E676" i="10" s="1"/>
  <c r="I651" i="10"/>
  <c r="I480" i="10"/>
  <c r="I676" i="10" s="1"/>
  <c r="N651" i="10"/>
  <c r="N480" i="10"/>
  <c r="N676" i="10" s="1"/>
  <c r="R651" i="10"/>
  <c r="R480" i="10"/>
  <c r="R676" i="10" s="1"/>
  <c r="E652" i="10"/>
  <c r="E485" i="10"/>
  <c r="E677" i="10" s="1"/>
  <c r="I652" i="10"/>
  <c r="I485" i="10"/>
  <c r="I677" i="10" s="1"/>
  <c r="N652" i="10"/>
  <c r="N485" i="10"/>
  <c r="N677" i="10" s="1"/>
  <c r="R652" i="10"/>
  <c r="R485" i="10"/>
  <c r="R677" i="10" s="1"/>
  <c r="D653" i="10"/>
  <c r="D486" i="10"/>
  <c r="D678" i="10" s="1"/>
  <c r="H653" i="10"/>
  <c r="H486" i="10"/>
  <c r="H678" i="10" s="1"/>
  <c r="L415" i="10"/>
  <c r="L653" i="10" s="1"/>
  <c r="Q653" i="10"/>
  <c r="Q486" i="10"/>
  <c r="Q678" i="10" s="1"/>
  <c r="I655" i="10"/>
  <c r="I488" i="10"/>
  <c r="I680" i="10" s="1"/>
  <c r="O655" i="10"/>
  <c r="O488" i="10"/>
  <c r="O680" i="10" s="1"/>
  <c r="S417" i="10"/>
  <c r="S655" i="10" s="1"/>
  <c r="E418" i="10"/>
  <c r="E656" i="10" s="1"/>
  <c r="O658" i="10"/>
  <c r="O491" i="10"/>
  <c r="O683" i="10" s="1"/>
  <c r="E659" i="10"/>
  <c r="E492" i="10"/>
  <c r="E684" i="10" s="1"/>
  <c r="I492" i="10"/>
  <c r="I684" i="10" s="1"/>
  <c r="I659" i="10"/>
  <c r="O659" i="10"/>
  <c r="O492" i="10"/>
  <c r="O684" i="10" s="1"/>
  <c r="E660" i="10"/>
  <c r="E493" i="10"/>
  <c r="E685" i="10" s="1"/>
  <c r="I660" i="10"/>
  <c r="I493" i="10"/>
  <c r="I685" i="10" s="1"/>
  <c r="N660" i="10"/>
  <c r="N493" i="10"/>
  <c r="N685" i="10" s="1"/>
  <c r="R660" i="10"/>
  <c r="R493" i="10"/>
  <c r="R685" i="10" s="1"/>
  <c r="N663" i="10"/>
  <c r="N496" i="10"/>
  <c r="N688" i="10" s="1"/>
  <c r="R663" i="10"/>
  <c r="R496" i="10"/>
  <c r="R688" i="10" s="1"/>
  <c r="D666" i="10"/>
  <c r="D499" i="10"/>
  <c r="D691" i="10" s="1"/>
  <c r="H666" i="10"/>
  <c r="H499" i="10"/>
  <c r="H691" i="10" s="1"/>
  <c r="L428" i="10"/>
  <c r="L666" i="10" s="1"/>
  <c r="Q666" i="10"/>
  <c r="Q499" i="10"/>
  <c r="Q691" i="10" s="1"/>
  <c r="I475" i="10"/>
  <c r="I675" i="10" s="1"/>
  <c r="S479" i="10"/>
  <c r="S534" i="10"/>
  <c r="S487" i="10"/>
  <c r="S538" i="10"/>
  <c r="S543" i="10"/>
  <c r="S492" i="10"/>
  <c r="L550" i="10"/>
  <c r="G587" i="10"/>
  <c r="G418" i="10"/>
  <c r="G656" i="10" s="1"/>
  <c r="L608" i="10"/>
  <c r="L417" i="10"/>
  <c r="L655" i="10" s="1"/>
  <c r="F634" i="10"/>
  <c r="F418" i="10"/>
  <c r="F656" i="10" s="1"/>
  <c r="L636" i="10"/>
  <c r="L420" i="10"/>
  <c r="L658" i="10" s="1"/>
  <c r="L640" i="10"/>
  <c r="L424" i="10"/>
  <c r="L662" i="10" s="1"/>
  <c r="F647" i="10"/>
  <c r="F460" i="10"/>
  <c r="F672" i="10" s="1"/>
  <c r="O647" i="10"/>
  <c r="O460" i="10"/>
  <c r="O672" i="10" s="1"/>
  <c r="S389" i="10"/>
  <c r="I648" i="10"/>
  <c r="I465" i="10"/>
  <c r="I673" i="10" s="1"/>
  <c r="N648" i="10"/>
  <c r="N465" i="10"/>
  <c r="N673" i="10" s="1"/>
  <c r="E650" i="10"/>
  <c r="E475" i="10"/>
  <c r="E675" i="10" s="1"/>
  <c r="B651" i="10"/>
  <c r="B480" i="10"/>
  <c r="B676" i="10" s="1"/>
  <c r="F651" i="10"/>
  <c r="F480" i="10"/>
  <c r="F676" i="10" s="1"/>
  <c r="O651" i="10"/>
  <c r="O480" i="10"/>
  <c r="O676" i="10" s="1"/>
  <c r="O654" i="10"/>
  <c r="O487" i="10"/>
  <c r="O679" i="10" s="1"/>
  <c r="E488" i="10"/>
  <c r="E680" i="10" s="1"/>
  <c r="E655" i="10"/>
  <c r="J655" i="10"/>
  <c r="J488" i="10"/>
  <c r="J680" i="10" s="1"/>
  <c r="H656" i="10"/>
  <c r="H489" i="10"/>
  <c r="H681" i="10" s="1"/>
  <c r="C490" i="10"/>
  <c r="C682" i="10" s="1"/>
  <c r="C657" i="10"/>
  <c r="G657" i="10"/>
  <c r="G490" i="10"/>
  <c r="G682" i="10" s="1"/>
  <c r="K490" i="10"/>
  <c r="K682" i="10" s="1"/>
  <c r="K657" i="10"/>
  <c r="P657" i="10"/>
  <c r="P490" i="10"/>
  <c r="P682" i="10" s="1"/>
  <c r="B658" i="10"/>
  <c r="B491" i="10"/>
  <c r="B683" i="10" s="1"/>
  <c r="F658" i="10"/>
  <c r="F491" i="10"/>
  <c r="F683" i="10" s="1"/>
  <c r="J658" i="10"/>
  <c r="J491" i="10"/>
  <c r="J683" i="10" s="1"/>
  <c r="P658" i="10"/>
  <c r="P491" i="10"/>
  <c r="P683" i="10" s="1"/>
  <c r="B659" i="10"/>
  <c r="B492" i="10"/>
  <c r="B684" i="10" s="1"/>
  <c r="F659" i="10"/>
  <c r="F492" i="10"/>
  <c r="F684" i="10" s="1"/>
  <c r="J659" i="10"/>
  <c r="J492" i="10"/>
  <c r="J684" i="10" s="1"/>
  <c r="O662" i="10"/>
  <c r="O495" i="10"/>
  <c r="O687" i="10" s="1"/>
  <c r="S662" i="10"/>
  <c r="S495" i="10"/>
  <c r="E663" i="10"/>
  <c r="E496" i="10"/>
  <c r="E688" i="10" s="1"/>
  <c r="I663" i="10"/>
  <c r="I496" i="10"/>
  <c r="I688" i="10" s="1"/>
  <c r="O663" i="10"/>
  <c r="O496" i="10"/>
  <c r="O688" i="10" s="1"/>
  <c r="E666" i="10"/>
  <c r="E499" i="10"/>
  <c r="E691" i="10" s="1"/>
  <c r="I666" i="10"/>
  <c r="I499" i="10"/>
  <c r="I691" i="10" s="1"/>
  <c r="N666" i="10"/>
  <c r="N499" i="10"/>
  <c r="N691" i="10" s="1"/>
  <c r="R666" i="10"/>
  <c r="R499" i="10"/>
  <c r="R691" i="10" s="1"/>
  <c r="E672" i="10"/>
  <c r="E465" i="10"/>
  <c r="E673" i="10" s="1"/>
  <c r="J480" i="10"/>
  <c r="J676" i="10" s="1"/>
  <c r="L457" i="10"/>
  <c r="L461" i="10"/>
  <c r="L532" i="10"/>
  <c r="S469" i="10"/>
  <c r="L477" i="10"/>
  <c r="L535" i="10"/>
  <c r="L537" i="10"/>
  <c r="H539" i="10"/>
  <c r="E540" i="10"/>
  <c r="E489" i="10"/>
  <c r="E681" i="10" s="1"/>
  <c r="Q540" i="10"/>
  <c r="Q489" i="10"/>
  <c r="Q681" i="10" s="1"/>
  <c r="L542" i="10"/>
  <c r="L544" i="10"/>
  <c r="L546" i="10"/>
  <c r="S553" i="10"/>
  <c r="L554" i="10"/>
  <c r="S578" i="10"/>
  <c r="L579" i="10"/>
  <c r="L205" i="10"/>
  <c r="L587" i="10" s="1"/>
  <c r="L600" i="10"/>
  <c r="S602" i="10"/>
  <c r="L637" i="10"/>
  <c r="L421" i="10"/>
  <c r="L659" i="10" s="1"/>
  <c r="L641" i="10"/>
  <c r="L425" i="10"/>
  <c r="L663" i="10" s="1"/>
  <c r="G647" i="10"/>
  <c r="G460" i="10"/>
  <c r="G672" i="10" s="1"/>
  <c r="P647" i="10"/>
  <c r="P460" i="10"/>
  <c r="P672" i="10" s="1"/>
  <c r="F648" i="10"/>
  <c r="F465" i="10"/>
  <c r="F673" i="10" s="1"/>
  <c r="J648" i="10"/>
  <c r="J465" i="10"/>
  <c r="J673" i="10" s="1"/>
  <c r="O648" i="10"/>
  <c r="S394" i="10"/>
  <c r="S465" i="10" s="1"/>
  <c r="F649" i="10"/>
  <c r="F470" i="10"/>
  <c r="F674" i="10" s="1"/>
  <c r="J649" i="10"/>
  <c r="J470" i="10"/>
  <c r="J674" i="10" s="1"/>
  <c r="O649" i="10"/>
  <c r="O470" i="10"/>
  <c r="O674" i="10" s="1"/>
  <c r="S399" i="10"/>
  <c r="F650" i="10"/>
  <c r="F475" i="10"/>
  <c r="F675" i="10" s="1"/>
  <c r="J650" i="10"/>
  <c r="J475" i="10"/>
  <c r="J675" i="10" s="1"/>
  <c r="P675" i="10"/>
  <c r="D413" i="10"/>
  <c r="D484" i="10" s="1"/>
  <c r="C652" i="10"/>
  <c r="C485" i="10"/>
  <c r="C677" i="10" s="1"/>
  <c r="G652" i="10"/>
  <c r="G485" i="10"/>
  <c r="G677" i="10" s="1"/>
  <c r="K652" i="10"/>
  <c r="K485" i="10"/>
  <c r="K677" i="10" s="1"/>
  <c r="P652" i="10"/>
  <c r="P485" i="10"/>
  <c r="P677" i="10" s="1"/>
  <c r="B653" i="10"/>
  <c r="B486" i="10"/>
  <c r="B678" i="10" s="1"/>
  <c r="F653" i="10"/>
  <c r="F486" i="10"/>
  <c r="F678" i="10" s="1"/>
  <c r="J653" i="10"/>
  <c r="J486" i="10"/>
  <c r="J678" i="10" s="1"/>
  <c r="O653" i="10"/>
  <c r="O486" i="10"/>
  <c r="O678" i="10" s="1"/>
  <c r="B654" i="10"/>
  <c r="B487" i="10"/>
  <c r="B679" i="10" s="1"/>
  <c r="F654" i="10"/>
  <c r="F487" i="10"/>
  <c r="F679" i="10" s="1"/>
  <c r="J654" i="10"/>
  <c r="J487" i="10"/>
  <c r="J679" i="10" s="1"/>
  <c r="P654" i="10"/>
  <c r="P487" i="10"/>
  <c r="P679" i="10" s="1"/>
  <c r="B655" i="10"/>
  <c r="B488" i="10"/>
  <c r="B680" i="10" s="1"/>
  <c r="F655" i="10"/>
  <c r="F488" i="10"/>
  <c r="F680" i="10" s="1"/>
  <c r="I418" i="10"/>
  <c r="N656" i="10"/>
  <c r="N489" i="10"/>
  <c r="N681" i="10" s="1"/>
  <c r="R656" i="10"/>
  <c r="R489" i="10"/>
  <c r="R681" i="10" s="1"/>
  <c r="D657" i="10"/>
  <c r="D490" i="10"/>
  <c r="D682" i="10" s="1"/>
  <c r="H657" i="10"/>
  <c r="H490" i="10"/>
  <c r="H682" i="10" s="1"/>
  <c r="L419" i="10"/>
  <c r="L657" i="10" s="1"/>
  <c r="Q657" i="10"/>
  <c r="Q490" i="10"/>
  <c r="Q682" i="10" s="1"/>
  <c r="C658" i="10"/>
  <c r="C491" i="10"/>
  <c r="C683" i="10" s="1"/>
  <c r="G658" i="10"/>
  <c r="G491" i="10"/>
  <c r="G683" i="10" s="1"/>
  <c r="K658" i="10"/>
  <c r="K491" i="10"/>
  <c r="K683" i="10" s="1"/>
  <c r="C661" i="10"/>
  <c r="C494" i="10"/>
  <c r="C686" i="10" s="1"/>
  <c r="G494" i="10"/>
  <c r="G686" i="10" s="1"/>
  <c r="G661" i="10"/>
  <c r="K661" i="10"/>
  <c r="K494" i="10"/>
  <c r="K686" i="10" s="1"/>
  <c r="P661" i="10"/>
  <c r="P494" i="10"/>
  <c r="P686" i="10" s="1"/>
  <c r="B662" i="10"/>
  <c r="B495" i="10"/>
  <c r="B687" i="10" s="1"/>
  <c r="F662" i="10"/>
  <c r="F495" i="10"/>
  <c r="F687" i="10" s="1"/>
  <c r="J662" i="10"/>
  <c r="J495" i="10"/>
  <c r="J687" i="10" s="1"/>
  <c r="P662" i="10"/>
  <c r="P495" i="10"/>
  <c r="P687" i="10" s="1"/>
  <c r="B663" i="10"/>
  <c r="B496" i="10"/>
  <c r="B688" i="10" s="1"/>
  <c r="F663" i="10"/>
  <c r="F496" i="10"/>
  <c r="F688" i="10" s="1"/>
  <c r="J663" i="10"/>
  <c r="J496" i="10"/>
  <c r="J688" i="10" s="1"/>
  <c r="J460" i="10"/>
  <c r="J672" i="10" s="1"/>
  <c r="O465" i="10"/>
  <c r="O673" i="10" s="1"/>
  <c r="S536" i="10"/>
  <c r="S485" i="10"/>
  <c r="D540" i="10"/>
  <c r="S490" i="10"/>
  <c r="S541" i="10"/>
  <c r="S545" i="10"/>
  <c r="S494" i="10"/>
  <c r="H561" i="10"/>
  <c r="H417" i="10"/>
  <c r="H655" i="10" s="1"/>
  <c r="L134" i="10"/>
  <c r="L562" i="10" s="1"/>
  <c r="S532" i="10"/>
  <c r="L533" i="10"/>
  <c r="S535" i="10"/>
  <c r="S480" i="10"/>
  <c r="S676" i="10" s="1"/>
  <c r="S537" i="10"/>
  <c r="L539" i="10"/>
  <c r="F540" i="10"/>
  <c r="S540" i="10"/>
  <c r="S489" i="10"/>
  <c r="S542" i="10"/>
  <c r="S491" i="10"/>
  <c r="S544" i="10"/>
  <c r="L547" i="10"/>
  <c r="S554" i="10"/>
  <c r="L556" i="10"/>
  <c r="S579" i="10"/>
  <c r="S600" i="10"/>
  <c r="L601" i="10"/>
  <c r="S606" i="10"/>
  <c r="S415" i="10"/>
  <c r="S653" i="10" s="1"/>
  <c r="L276" i="10"/>
  <c r="L609" i="10" s="1"/>
  <c r="L625" i="10"/>
  <c r="L347" i="10"/>
  <c r="D647" i="10"/>
  <c r="D460" i="10"/>
  <c r="D672" i="10" s="1"/>
  <c r="H647" i="10"/>
  <c r="H460" i="10"/>
  <c r="H672" i="10" s="1"/>
  <c r="L389" i="10"/>
  <c r="Q647" i="10"/>
  <c r="G648" i="10"/>
  <c r="G465" i="10"/>
  <c r="G673" i="10" s="1"/>
  <c r="P648" i="10"/>
  <c r="P465" i="10"/>
  <c r="P673" i="10" s="1"/>
  <c r="G649" i="10"/>
  <c r="G470" i="10"/>
  <c r="G674" i="10" s="1"/>
  <c r="P649" i="10"/>
  <c r="P470" i="10"/>
  <c r="P674" i="10" s="1"/>
  <c r="G650" i="10"/>
  <c r="G475" i="10"/>
  <c r="G675" i="10" s="1"/>
  <c r="D651" i="10"/>
  <c r="D480" i="10"/>
  <c r="D676" i="10" s="1"/>
  <c r="H651" i="10"/>
  <c r="H480" i="10"/>
  <c r="H676" i="10" s="1"/>
  <c r="L409" i="10"/>
  <c r="Q651" i="10"/>
  <c r="Q480" i="10"/>
  <c r="Q676" i="10" s="1"/>
  <c r="D652" i="10"/>
  <c r="D485" i="10"/>
  <c r="D677" i="10" s="1"/>
  <c r="L414" i="10"/>
  <c r="L652" i="10" s="1"/>
  <c r="Q652" i="10"/>
  <c r="Q485" i="10"/>
  <c r="Q677" i="10" s="1"/>
  <c r="C653" i="10"/>
  <c r="C486" i="10"/>
  <c r="C678" i="10" s="1"/>
  <c r="G486" i="10"/>
  <c r="G678" i="10" s="1"/>
  <c r="G653" i="10"/>
  <c r="K653" i="10"/>
  <c r="K486" i="10"/>
  <c r="K678" i="10" s="1"/>
  <c r="P486" i="10"/>
  <c r="P678" i="10" s="1"/>
  <c r="P653" i="10"/>
  <c r="C654" i="10"/>
  <c r="C487" i="10"/>
  <c r="C679" i="10" s="1"/>
  <c r="G654" i="10"/>
  <c r="G487" i="10"/>
  <c r="G679" i="10" s="1"/>
  <c r="K654" i="10"/>
  <c r="K487" i="10"/>
  <c r="K679" i="10" s="1"/>
  <c r="N488" i="10"/>
  <c r="N680" i="10" s="1"/>
  <c r="N655" i="10"/>
  <c r="R655" i="10"/>
  <c r="R488" i="10"/>
  <c r="R680" i="10" s="1"/>
  <c r="D418" i="10"/>
  <c r="D656" i="10" s="1"/>
  <c r="N659" i="10"/>
  <c r="N492" i="10"/>
  <c r="N684" i="10" s="1"/>
  <c r="R659" i="10"/>
  <c r="R492" i="10"/>
  <c r="R684" i="10" s="1"/>
  <c r="D660" i="10"/>
  <c r="D493" i="10"/>
  <c r="D685" i="10" s="1"/>
  <c r="H660" i="10"/>
  <c r="H493" i="10"/>
  <c r="H685" i="10" s="1"/>
  <c r="L422" i="10"/>
  <c r="L660" i="10" s="1"/>
  <c r="Q493" i="10"/>
  <c r="Q685" i="10" s="1"/>
  <c r="Q660" i="10"/>
  <c r="D661" i="10"/>
  <c r="D494" i="10"/>
  <c r="D686" i="10" s="1"/>
  <c r="H661" i="10"/>
  <c r="H494" i="10"/>
  <c r="H686" i="10" s="1"/>
  <c r="L423" i="10"/>
  <c r="L661" i="10" s="1"/>
  <c r="Q661" i="10"/>
  <c r="Q494" i="10"/>
  <c r="Q686" i="10" s="1"/>
  <c r="C662" i="10"/>
  <c r="C495" i="10"/>
  <c r="C687" i="10" s="1"/>
  <c r="G662" i="10"/>
  <c r="G495" i="10"/>
  <c r="G687" i="10" s="1"/>
  <c r="K662" i="10"/>
  <c r="K495" i="10"/>
  <c r="K687" i="10" s="1"/>
  <c r="Q460" i="10"/>
  <c r="Q672" i="10" s="1"/>
  <c r="I674" i="10"/>
  <c r="H652" i="10"/>
  <c r="D675" i="10"/>
  <c r="J490" i="10"/>
  <c r="J682" i="10" s="1"/>
  <c r="E649" i="10"/>
  <c r="E470" i="10"/>
  <c r="E674" i="10" s="1"/>
  <c r="I649" i="10"/>
  <c r="N649" i="10"/>
  <c r="N470" i="10"/>
  <c r="N674" i="10" s="1"/>
  <c r="R674" i="10"/>
  <c r="D650" i="10"/>
  <c r="H650" i="10"/>
  <c r="H475" i="10"/>
  <c r="H675" i="10" s="1"/>
  <c r="Q675" i="10"/>
  <c r="C651" i="10"/>
  <c r="C480" i="10"/>
  <c r="C676" i="10" s="1"/>
  <c r="G651" i="10"/>
  <c r="G480" i="10"/>
  <c r="G676" i="10" s="1"/>
  <c r="K651" i="10"/>
  <c r="K480" i="10"/>
  <c r="K676" i="10" s="1"/>
  <c r="B652" i="10"/>
  <c r="B485" i="10"/>
  <c r="B677" i="10" s="1"/>
  <c r="F652" i="10"/>
  <c r="F485" i="10"/>
  <c r="F677" i="10" s="1"/>
  <c r="O652" i="10"/>
  <c r="O485" i="10"/>
  <c r="O677" i="10" s="1"/>
  <c r="I653" i="10"/>
  <c r="I486" i="10"/>
  <c r="I678" i="10" s="1"/>
  <c r="R653" i="10"/>
  <c r="R486" i="10"/>
  <c r="R678" i="10" s="1"/>
  <c r="H654" i="10"/>
  <c r="H487" i="10"/>
  <c r="H679" i="10" s="1"/>
  <c r="Q654" i="10"/>
  <c r="Q487" i="10"/>
  <c r="Q679" i="10" s="1"/>
  <c r="G655" i="10"/>
  <c r="G488" i="10"/>
  <c r="G680" i="10" s="1"/>
  <c r="P655" i="10"/>
  <c r="P488" i="10"/>
  <c r="P680" i="10" s="1"/>
  <c r="O656" i="10"/>
  <c r="O489" i="10"/>
  <c r="O681" i="10" s="1"/>
  <c r="E657" i="10"/>
  <c r="E490" i="10"/>
  <c r="E682" i="10" s="1"/>
  <c r="I657" i="10"/>
  <c r="I490" i="10"/>
  <c r="I682" i="10" s="1"/>
  <c r="N657" i="10"/>
  <c r="N490" i="10"/>
  <c r="N682" i="10" s="1"/>
  <c r="R657" i="10"/>
  <c r="R490" i="10"/>
  <c r="R682" i="10" s="1"/>
  <c r="D658" i="10"/>
  <c r="D491" i="10"/>
  <c r="D683" i="10" s="1"/>
  <c r="H658" i="10"/>
  <c r="H491" i="10"/>
  <c r="H683" i="10" s="1"/>
  <c r="Q658" i="10"/>
  <c r="Q491" i="10"/>
  <c r="Q683" i="10" s="1"/>
  <c r="C659" i="10"/>
  <c r="C492" i="10"/>
  <c r="C684" i="10" s="1"/>
  <c r="G659" i="10"/>
  <c r="G492" i="10"/>
  <c r="G684" i="10" s="1"/>
  <c r="K659" i="10"/>
  <c r="K492" i="10"/>
  <c r="K684" i="10" s="1"/>
  <c r="P659" i="10"/>
  <c r="P492" i="10"/>
  <c r="P684" i="10" s="1"/>
  <c r="B660" i="10"/>
  <c r="B493" i="10"/>
  <c r="B685" i="10" s="1"/>
  <c r="F660" i="10"/>
  <c r="F493" i="10"/>
  <c r="F685" i="10" s="1"/>
  <c r="J660" i="10"/>
  <c r="J493" i="10"/>
  <c r="J685" i="10" s="1"/>
  <c r="O660" i="10"/>
  <c r="O493" i="10"/>
  <c r="O685" i="10" s="1"/>
  <c r="E661" i="10"/>
  <c r="E494" i="10"/>
  <c r="E686" i="10" s="1"/>
  <c r="I661" i="10"/>
  <c r="I494" i="10"/>
  <c r="I686" i="10" s="1"/>
  <c r="N661" i="10"/>
  <c r="N494" i="10"/>
  <c r="N686" i="10" s="1"/>
  <c r="R661" i="10"/>
  <c r="R494" i="10"/>
  <c r="R686" i="10" s="1"/>
  <c r="D662" i="10"/>
  <c r="D495" i="10"/>
  <c r="D687" i="10" s="1"/>
  <c r="H662" i="10"/>
  <c r="H495" i="10"/>
  <c r="H687" i="10" s="1"/>
  <c r="Q662" i="10"/>
  <c r="Q495" i="10"/>
  <c r="Q687" i="10" s="1"/>
  <c r="C663" i="10"/>
  <c r="C496" i="10"/>
  <c r="C688" i="10" s="1"/>
  <c r="G663" i="10"/>
  <c r="G496" i="10"/>
  <c r="G688" i="10" s="1"/>
  <c r="K663" i="10"/>
  <c r="K496" i="10"/>
  <c r="K688" i="10" s="1"/>
  <c r="P663" i="10"/>
  <c r="P496" i="10"/>
  <c r="P688" i="10" s="1"/>
  <c r="B666" i="10"/>
  <c r="B499" i="10"/>
  <c r="B691" i="10" s="1"/>
  <c r="F499" i="10"/>
  <c r="F691" i="10" s="1"/>
  <c r="F666" i="10"/>
  <c r="J666" i="10"/>
  <c r="J499" i="10"/>
  <c r="J691" i="10" s="1"/>
  <c r="O666" i="10"/>
  <c r="O499" i="10"/>
  <c r="O691" i="10" s="1"/>
  <c r="P480" i="10"/>
  <c r="P676" i="10" s="1"/>
  <c r="J489" i="10"/>
  <c r="J681" i="10" s="1"/>
  <c r="H492" i="10"/>
  <c r="H684" i="10" s="1"/>
  <c r="D496" i="10"/>
  <c r="D688" i="10" s="1"/>
  <c r="E654" i="10"/>
  <c r="E487" i="10"/>
  <c r="E679" i="10" s="1"/>
  <c r="I654" i="10"/>
  <c r="I487" i="10"/>
  <c r="I679" i="10" s="1"/>
  <c r="N654" i="10"/>
  <c r="N487" i="10"/>
  <c r="N679" i="10" s="1"/>
  <c r="R654" i="10"/>
  <c r="R487" i="10"/>
  <c r="R679" i="10" s="1"/>
  <c r="D655" i="10"/>
  <c r="D488" i="10"/>
  <c r="D680" i="10" s="1"/>
  <c r="Q655" i="10"/>
  <c r="Q488" i="10"/>
  <c r="Q680" i="10" s="1"/>
  <c r="C656" i="10"/>
  <c r="C489" i="10"/>
  <c r="C681" i="10" s="1"/>
  <c r="K656" i="10"/>
  <c r="K489" i="10"/>
  <c r="K681" i="10" s="1"/>
  <c r="P656" i="10"/>
  <c r="P489" i="10"/>
  <c r="P681" i="10" s="1"/>
  <c r="B657" i="10"/>
  <c r="B490" i="10"/>
  <c r="B682" i="10" s="1"/>
  <c r="F657" i="10"/>
  <c r="F490" i="10"/>
  <c r="F682" i="10" s="1"/>
  <c r="O657" i="10"/>
  <c r="O490" i="10"/>
  <c r="O682" i="10" s="1"/>
  <c r="E658" i="10"/>
  <c r="E491" i="10"/>
  <c r="E683" i="10" s="1"/>
  <c r="N658" i="10"/>
  <c r="N491" i="10"/>
  <c r="N683" i="10" s="1"/>
  <c r="R658" i="10"/>
  <c r="R491" i="10"/>
  <c r="R683" i="10" s="1"/>
  <c r="D659" i="10"/>
  <c r="D492" i="10"/>
  <c r="D684" i="10" s="1"/>
  <c r="Q659" i="10"/>
  <c r="Q492" i="10"/>
  <c r="Q684" i="10" s="1"/>
  <c r="C660" i="10"/>
  <c r="C493" i="10"/>
  <c r="C685" i="10" s="1"/>
  <c r="K660" i="10"/>
  <c r="K493" i="10"/>
  <c r="K685" i="10" s="1"/>
  <c r="P660" i="10"/>
  <c r="P493" i="10"/>
  <c r="P685" i="10" s="1"/>
  <c r="B661" i="10"/>
  <c r="B494" i="10"/>
  <c r="B686" i="10" s="1"/>
  <c r="J661" i="10"/>
  <c r="J494" i="10"/>
  <c r="J686" i="10" s="1"/>
  <c r="O661" i="10"/>
  <c r="O494" i="10"/>
  <c r="O686" i="10" s="1"/>
  <c r="I662" i="10"/>
  <c r="I495" i="10"/>
  <c r="I687" i="10" s="1"/>
  <c r="N662" i="10"/>
  <c r="N495" i="10"/>
  <c r="N687" i="10" s="1"/>
  <c r="R662" i="10"/>
  <c r="R495" i="10"/>
  <c r="R687" i="10" s="1"/>
  <c r="H663" i="10"/>
  <c r="H496" i="10"/>
  <c r="H688" i="10" s="1"/>
  <c r="Q663" i="10"/>
  <c r="Q496" i="10"/>
  <c r="Q688" i="10" s="1"/>
  <c r="G666" i="10"/>
  <c r="G499" i="10"/>
  <c r="G691" i="10" s="1"/>
  <c r="K666" i="10"/>
  <c r="K499" i="10"/>
  <c r="K691" i="10" s="1"/>
  <c r="P666" i="10"/>
  <c r="P499" i="10"/>
  <c r="P691" i="10" s="1"/>
  <c r="E486" i="10"/>
  <c r="E678" i="10" s="1"/>
  <c r="C488" i="10"/>
  <c r="C680" i="10" s="1"/>
  <c r="G493" i="10"/>
  <c r="G685" i="10" s="1"/>
  <c r="C499" i="10"/>
  <c r="C691" i="10" s="1"/>
  <c r="F356" i="9"/>
  <c r="F537" i="9" s="1"/>
  <c r="F396" i="9"/>
  <c r="L399" i="9"/>
  <c r="L490" i="9"/>
  <c r="L308" i="9"/>
  <c r="L516" i="9" s="1"/>
  <c r="L494" i="9"/>
  <c r="D504" i="9"/>
  <c r="D332" i="9"/>
  <c r="H504" i="9"/>
  <c r="H332" i="9"/>
  <c r="L293" i="9"/>
  <c r="L345" i="9" s="1"/>
  <c r="C507" i="9"/>
  <c r="C347" i="9"/>
  <c r="G507" i="9"/>
  <c r="G347" i="9"/>
  <c r="J509" i="9"/>
  <c r="J353" i="9"/>
  <c r="G513" i="9"/>
  <c r="G357" i="9"/>
  <c r="G538" i="9" s="1"/>
  <c r="F516" i="9"/>
  <c r="F360" i="9"/>
  <c r="F541" i="9" s="1"/>
  <c r="J516" i="9"/>
  <c r="J360" i="9"/>
  <c r="J541" i="9" s="1"/>
  <c r="E517" i="9"/>
  <c r="E361" i="9"/>
  <c r="E542" i="9" s="1"/>
  <c r="I517" i="9"/>
  <c r="I361" i="9"/>
  <c r="I542" i="9" s="1"/>
  <c r="C518" i="9"/>
  <c r="C362" i="9"/>
  <c r="C543" i="9" s="1"/>
  <c r="F337" i="9"/>
  <c r="G354" i="9"/>
  <c r="H356" i="9"/>
  <c r="H537" i="9" s="1"/>
  <c r="H358" i="9"/>
  <c r="H539" i="9" s="1"/>
  <c r="K362" i="9"/>
  <c r="K543" i="9" s="1"/>
  <c r="L413" i="9"/>
  <c r="E504" i="9"/>
  <c r="G505" i="9"/>
  <c r="E508" i="9"/>
  <c r="F509" i="9"/>
  <c r="K513" i="9"/>
  <c r="L44" i="9"/>
  <c r="L400" i="9"/>
  <c r="L406" i="9"/>
  <c r="L410" i="9"/>
  <c r="L437" i="9"/>
  <c r="L286" i="9"/>
  <c r="L338" i="9" s="1"/>
  <c r="L459" i="9"/>
  <c r="L200" i="9"/>
  <c r="L465" i="9" s="1"/>
  <c r="L482" i="9"/>
  <c r="L290" i="9"/>
  <c r="L294" i="9"/>
  <c r="L346" i="9" s="1"/>
  <c r="L298" i="9"/>
  <c r="L350" i="9" s="1"/>
  <c r="L488" i="9"/>
  <c r="L302" i="9"/>
  <c r="L510" i="9" s="1"/>
  <c r="F504" i="9"/>
  <c r="I506" i="9"/>
  <c r="I342" i="9"/>
  <c r="D507" i="9"/>
  <c r="K511" i="9"/>
  <c r="K355" i="9"/>
  <c r="K536" i="9" s="1"/>
  <c r="I304" i="9"/>
  <c r="L305" i="9"/>
  <c r="L513" i="9" s="1"/>
  <c r="E514" i="9"/>
  <c r="E358" i="9"/>
  <c r="E539" i="9" s="1"/>
  <c r="F515" i="9"/>
  <c r="F359" i="9"/>
  <c r="F540" i="9" s="1"/>
  <c r="K516" i="9"/>
  <c r="K360" i="9"/>
  <c r="K541" i="9" s="1"/>
  <c r="C519" i="9"/>
  <c r="C363" i="9"/>
  <c r="C544" i="9" s="1"/>
  <c r="G519" i="9"/>
  <c r="G363" i="9"/>
  <c r="G544" i="9" s="1"/>
  <c r="K519" i="9"/>
  <c r="K363" i="9"/>
  <c r="K544" i="9" s="1"/>
  <c r="I522" i="9"/>
  <c r="I366" i="9"/>
  <c r="I547" i="9" s="1"/>
  <c r="J327" i="9"/>
  <c r="K347" i="9"/>
  <c r="I352" i="9"/>
  <c r="I358" i="9"/>
  <c r="I539" i="9" s="1"/>
  <c r="I359" i="9"/>
  <c r="I540" i="9" s="1"/>
  <c r="L393" i="9"/>
  <c r="F503" i="9"/>
  <c r="I504" i="9"/>
  <c r="F507" i="9"/>
  <c r="K510" i="9"/>
  <c r="E515" i="9"/>
  <c r="G518" i="9"/>
  <c r="L324" i="9"/>
  <c r="L388" i="9"/>
  <c r="D503" i="9"/>
  <c r="H503" i="9"/>
  <c r="L275" i="9"/>
  <c r="L327" i="9" s="1"/>
  <c r="I503" i="9"/>
  <c r="D505" i="9"/>
  <c r="D337" i="9"/>
  <c r="H505" i="9"/>
  <c r="H337" i="9"/>
  <c r="L285" i="9"/>
  <c r="F506" i="9"/>
  <c r="G508" i="9"/>
  <c r="G352" i="9"/>
  <c r="L301" i="9"/>
  <c r="L509" i="9" s="1"/>
  <c r="E510" i="9"/>
  <c r="E354" i="9"/>
  <c r="L303" i="9"/>
  <c r="L511" i="9" s="1"/>
  <c r="K512" i="9"/>
  <c r="K356" i="9"/>
  <c r="K537" i="9" s="1"/>
  <c r="K517" i="9"/>
  <c r="K361" i="9"/>
  <c r="K542" i="9" s="1"/>
  <c r="I518" i="9"/>
  <c r="I362" i="9"/>
  <c r="I543" i="9" s="1"/>
  <c r="D519" i="9"/>
  <c r="D363" i="9"/>
  <c r="D544" i="9" s="1"/>
  <c r="L311" i="9"/>
  <c r="L519" i="9" s="1"/>
  <c r="F333" i="9"/>
  <c r="J337" i="9"/>
  <c r="F342" i="9"/>
  <c r="D347" i="9"/>
  <c r="C352" i="9"/>
  <c r="B353" i="9"/>
  <c r="B355" i="9"/>
  <c r="B536" i="9" s="1"/>
  <c r="C357" i="9"/>
  <c r="C538" i="9" s="1"/>
  <c r="B359" i="9"/>
  <c r="B540" i="9" s="1"/>
  <c r="B360" i="9"/>
  <c r="B541" i="9" s="1"/>
  <c r="J366" i="9"/>
  <c r="J547" i="9" s="1"/>
  <c r="G503" i="9"/>
  <c r="E506" i="9"/>
  <c r="H507" i="9"/>
  <c r="D513" i="9"/>
  <c r="J515" i="9"/>
  <c r="L389" i="9"/>
  <c r="L392" i="9"/>
  <c r="E396" i="9"/>
  <c r="E356" i="9"/>
  <c r="E537" i="9" s="1"/>
  <c r="L398" i="9"/>
  <c r="L411" i="9"/>
  <c r="L412" i="9"/>
  <c r="L96" i="9"/>
  <c r="L418" i="9" s="1"/>
  <c r="L434" i="9"/>
  <c r="L457" i="9"/>
  <c r="L460" i="9"/>
  <c r="L266" i="9"/>
  <c r="L318" i="9" s="1"/>
  <c r="L270" i="9"/>
  <c r="L322" i="9" s="1"/>
  <c r="L274" i="9"/>
  <c r="L326" i="9" s="1"/>
  <c r="L278" i="9"/>
  <c r="L330" i="9" s="1"/>
  <c r="L282" i="9"/>
  <c r="L485" i="9"/>
  <c r="E503" i="9"/>
  <c r="G504" i="9"/>
  <c r="G332" i="9"/>
  <c r="E505" i="9"/>
  <c r="E337" i="9"/>
  <c r="I337" i="9"/>
  <c r="I505" i="9"/>
  <c r="G506" i="9"/>
  <c r="B507" i="9"/>
  <c r="B347" i="9"/>
  <c r="J507" i="9"/>
  <c r="E509" i="9"/>
  <c r="E353" i="9"/>
  <c r="F510" i="9"/>
  <c r="F354" i="9"/>
  <c r="J510" i="9"/>
  <c r="J354" i="9"/>
  <c r="D511" i="9"/>
  <c r="D355" i="9"/>
  <c r="D536" i="9" s="1"/>
  <c r="B513" i="9"/>
  <c r="B357" i="9"/>
  <c r="B538" i="9" s="1"/>
  <c r="G514" i="9"/>
  <c r="G358" i="9"/>
  <c r="G539" i="9" s="1"/>
  <c r="K514" i="9"/>
  <c r="K358" i="9"/>
  <c r="K539" i="9" s="1"/>
  <c r="L307" i="9"/>
  <c r="L515" i="9" s="1"/>
  <c r="E516" i="9"/>
  <c r="E360" i="9"/>
  <c r="E541" i="9" s="1"/>
  <c r="F518" i="9"/>
  <c r="F362" i="9"/>
  <c r="F543" i="9" s="1"/>
  <c r="J518" i="9"/>
  <c r="J362" i="9"/>
  <c r="J543" i="9" s="1"/>
  <c r="I519" i="9"/>
  <c r="I363" i="9"/>
  <c r="I544" i="9" s="1"/>
  <c r="C522" i="9"/>
  <c r="C366" i="9"/>
  <c r="C547" i="9" s="1"/>
  <c r="G522" i="9"/>
  <c r="G366" i="9"/>
  <c r="G547" i="9" s="1"/>
  <c r="H327" i="9"/>
  <c r="G342" i="9"/>
  <c r="D352" i="9"/>
  <c r="D353" i="9"/>
  <c r="C354" i="9"/>
  <c r="C355" i="9"/>
  <c r="C536" i="9" s="1"/>
  <c r="D356" i="9"/>
  <c r="D537" i="9" s="1"/>
  <c r="D358" i="9"/>
  <c r="D539" i="9" s="1"/>
  <c r="C360" i="9"/>
  <c r="C541" i="9" s="1"/>
  <c r="C361" i="9"/>
  <c r="C542" i="9" s="1"/>
  <c r="E363" i="9"/>
  <c r="E544" i="9" s="1"/>
  <c r="L500" i="9"/>
  <c r="J506" i="9"/>
  <c r="K508" i="9"/>
  <c r="F511" i="9"/>
  <c r="F513" i="9"/>
  <c r="L391" i="9"/>
  <c r="L438" i="9"/>
  <c r="L456" i="9"/>
  <c r="L483" i="9"/>
  <c r="D506" i="9"/>
  <c r="D342" i="9"/>
  <c r="H506" i="9"/>
  <c r="H342" i="9"/>
  <c r="I507" i="9"/>
  <c r="I347" i="9"/>
  <c r="C509" i="9"/>
  <c r="C353" i="9"/>
  <c r="H510" i="9"/>
  <c r="H354" i="9"/>
  <c r="G304" i="9"/>
  <c r="E513" i="9"/>
  <c r="E357" i="9"/>
  <c r="E538" i="9" s="1"/>
  <c r="I513" i="9"/>
  <c r="I357" i="9"/>
  <c r="I538" i="9" s="1"/>
  <c r="B514" i="9"/>
  <c r="B358" i="9"/>
  <c r="B539" i="9" s="1"/>
  <c r="F514" i="9"/>
  <c r="F358" i="9"/>
  <c r="F539" i="9" s="1"/>
  <c r="J514" i="9"/>
  <c r="J358" i="9"/>
  <c r="J539" i="9" s="1"/>
  <c r="C515" i="9"/>
  <c r="C359" i="9"/>
  <c r="C540" i="9" s="1"/>
  <c r="G515" i="9"/>
  <c r="G359" i="9"/>
  <c r="G540" i="9" s="1"/>
  <c r="K515" i="9"/>
  <c r="K359" i="9"/>
  <c r="K540" i="9" s="1"/>
  <c r="D516" i="9"/>
  <c r="D360" i="9"/>
  <c r="D541" i="9" s="1"/>
  <c r="H516" i="9"/>
  <c r="H360" i="9"/>
  <c r="H541" i="9" s="1"/>
  <c r="L310" i="9"/>
  <c r="D522" i="9"/>
  <c r="D366" i="9"/>
  <c r="D547" i="9" s="1"/>
  <c r="H522" i="9"/>
  <c r="H366" i="9"/>
  <c r="H547" i="9" s="1"/>
  <c r="F361" i="9"/>
  <c r="F542" i="9" s="1"/>
  <c r="D362" i="9"/>
  <c r="D543" i="9" s="1"/>
  <c r="E507" i="9"/>
  <c r="K509" i="9"/>
  <c r="L604" i="10" l="1"/>
  <c r="S683" i="10"/>
  <c r="S677" i="10"/>
  <c r="S684" i="10"/>
  <c r="S688" i="10"/>
  <c r="S681" i="10"/>
  <c r="S682" i="10"/>
  <c r="S687" i="10"/>
  <c r="S686" i="10"/>
  <c r="S679" i="10"/>
  <c r="L517" i="9"/>
  <c r="L542" i="9"/>
  <c r="L528" i="9"/>
  <c r="S319" i="12"/>
  <c r="K323" i="12"/>
  <c r="T514" i="12"/>
  <c r="K320" i="12"/>
  <c r="S324" i="12"/>
  <c r="S499" i="12"/>
  <c r="K326" i="12"/>
  <c r="S329" i="12"/>
  <c r="K327" i="12"/>
  <c r="S322" i="12"/>
  <c r="S323" i="12"/>
  <c r="S320" i="12"/>
  <c r="S321" i="12"/>
  <c r="K324" i="12"/>
  <c r="K321" i="12"/>
  <c r="K325" i="12"/>
  <c r="S293" i="12"/>
  <c r="S525" i="12" s="1"/>
  <c r="K502" i="12"/>
  <c r="S328" i="12"/>
  <c r="K319" i="12"/>
  <c r="K499" i="12"/>
  <c r="K308" i="12"/>
  <c r="K528" i="12" s="1"/>
  <c r="S503" i="12"/>
  <c r="K329" i="12"/>
  <c r="S529" i="12"/>
  <c r="K274" i="11"/>
  <c r="K321" i="11" s="1"/>
  <c r="K324" i="11"/>
  <c r="K327" i="11"/>
  <c r="K494" i="11"/>
  <c r="K323" i="11"/>
  <c r="K320" i="11"/>
  <c r="S648" i="10"/>
  <c r="S650" i="10"/>
  <c r="L649" i="10"/>
  <c r="L470" i="10"/>
  <c r="L674" i="10" s="1"/>
  <c r="L648" i="10"/>
  <c r="L647" i="10"/>
  <c r="L486" i="10"/>
  <c r="S675" i="10"/>
  <c r="S647" i="10"/>
  <c r="L491" i="10"/>
  <c r="L465" i="10"/>
  <c r="L673" i="10" s="1"/>
  <c r="L499" i="10"/>
  <c r="S649" i="10"/>
  <c r="L488" i="10"/>
  <c r="D489" i="10"/>
  <c r="D681" i="10" s="1"/>
  <c r="L363" i="9"/>
  <c r="L504" i="9"/>
  <c r="L366" i="9"/>
  <c r="L360" i="9"/>
  <c r="L507" i="9"/>
  <c r="L349" i="9"/>
  <c r="L532" i="9" s="1"/>
  <c r="L505" i="9"/>
  <c r="L503" i="9"/>
  <c r="L359" i="9"/>
  <c r="L358" i="9"/>
  <c r="L352" i="9"/>
  <c r="K318" i="12"/>
  <c r="K525" i="12"/>
  <c r="K500" i="12"/>
  <c r="K298" i="12"/>
  <c r="K526" i="12" s="1"/>
  <c r="K529" i="12"/>
  <c r="K328" i="12"/>
  <c r="S518" i="12"/>
  <c r="T518" i="12" s="1"/>
  <c r="S332" i="12"/>
  <c r="S327" i="12"/>
  <c r="S513" i="12"/>
  <c r="T513" i="12" s="1"/>
  <c r="S511" i="12"/>
  <c r="S325" i="12"/>
  <c r="K508" i="12"/>
  <c r="K322" i="12"/>
  <c r="S501" i="12"/>
  <c r="S303" i="12"/>
  <c r="S527" i="12" s="1"/>
  <c r="K503" i="12"/>
  <c r="K332" i="12"/>
  <c r="K527" i="12"/>
  <c r="S500" i="12"/>
  <c r="S298" i="12"/>
  <c r="S526" i="12" s="1"/>
  <c r="S512" i="12"/>
  <c r="S326" i="12"/>
  <c r="S502" i="12"/>
  <c r="S308" i="12"/>
  <c r="S528" i="12" s="1"/>
  <c r="K501" i="12"/>
  <c r="S318" i="12"/>
  <c r="K516" i="11"/>
  <c r="K517" i="11"/>
  <c r="K496" i="11"/>
  <c r="K313" i="11"/>
  <c r="K520" i="11" s="1"/>
  <c r="K332" i="11"/>
  <c r="K322" i="11"/>
  <c r="K519" i="11"/>
  <c r="K303" i="11"/>
  <c r="K518" i="11" s="1"/>
  <c r="K319" i="11"/>
  <c r="K507" i="11"/>
  <c r="K328" i="11"/>
  <c r="K508" i="11"/>
  <c r="K329" i="11"/>
  <c r="K495" i="11"/>
  <c r="K493" i="11"/>
  <c r="K504" i="11"/>
  <c r="K325" i="11"/>
  <c r="K500" i="11"/>
  <c r="K492" i="11"/>
  <c r="K326" i="11"/>
  <c r="K318" i="11"/>
  <c r="L496" i="10"/>
  <c r="F489" i="10"/>
  <c r="F681" i="10" s="1"/>
  <c r="S486" i="10"/>
  <c r="H488" i="10"/>
  <c r="H680" i="10" s="1"/>
  <c r="L492" i="10"/>
  <c r="G489" i="10"/>
  <c r="G681" i="10" s="1"/>
  <c r="L487" i="10"/>
  <c r="S470" i="10"/>
  <c r="S674" i="10" s="1"/>
  <c r="L460" i="10"/>
  <c r="L672" i="10" s="1"/>
  <c r="S460" i="10"/>
  <c r="S672" i="10" s="1"/>
  <c r="I656" i="10"/>
  <c r="I489" i="10"/>
  <c r="I681" i="10" s="1"/>
  <c r="L651" i="10"/>
  <c r="L634" i="10"/>
  <c r="L418" i="10"/>
  <c r="S673" i="10"/>
  <c r="L493" i="10"/>
  <c r="L650" i="10"/>
  <c r="L475" i="10"/>
  <c r="L675" i="10" s="1"/>
  <c r="S493" i="10"/>
  <c r="L495" i="10"/>
  <c r="L480" i="10"/>
  <c r="L676" i="10" s="1"/>
  <c r="L494" i="10"/>
  <c r="L490" i="10"/>
  <c r="S488" i="10"/>
  <c r="L485" i="10"/>
  <c r="L518" i="9"/>
  <c r="L362" i="9"/>
  <c r="L334" i="9"/>
  <c r="L529" i="9" s="1"/>
  <c r="L357" i="9"/>
  <c r="G512" i="9"/>
  <c r="G356" i="9"/>
  <c r="G537" i="9" s="1"/>
  <c r="I356" i="9"/>
  <c r="I537" i="9" s="1"/>
  <c r="I512" i="9"/>
  <c r="L396" i="9"/>
  <c r="L304" i="9"/>
  <c r="L512" i="9" s="1"/>
  <c r="L353" i="9"/>
  <c r="L355" i="9"/>
  <c r="L337" i="9"/>
  <c r="L530" i="9" s="1"/>
  <c r="L342" i="9"/>
  <c r="L531" i="9" s="1"/>
  <c r="L506" i="9"/>
  <c r="L354" i="9"/>
  <c r="S530" i="12" l="1"/>
  <c r="S538" i="12"/>
  <c r="K541" i="12"/>
  <c r="K531" i="12"/>
  <c r="K537" i="12"/>
  <c r="S532" i="12"/>
  <c r="S541" i="12"/>
  <c r="K532" i="12"/>
  <c r="K534" i="12"/>
  <c r="K540" i="12"/>
  <c r="S540" i="12"/>
  <c r="K533" i="12"/>
  <c r="S535" i="12"/>
  <c r="K538" i="12"/>
  <c r="S539" i="12"/>
  <c r="K530" i="12"/>
  <c r="K536" i="12"/>
  <c r="S534" i="12"/>
  <c r="K535" i="12"/>
  <c r="S537" i="12"/>
  <c r="S544" i="12"/>
  <c r="S533" i="12"/>
  <c r="K539" i="12"/>
  <c r="S536" i="12"/>
  <c r="S531" i="12"/>
  <c r="K528" i="11"/>
  <c r="K530" i="11"/>
  <c r="K529" i="11"/>
  <c r="K531" i="11"/>
  <c r="K523" i="11"/>
  <c r="K527" i="11"/>
  <c r="K532" i="11"/>
  <c r="K525" i="11"/>
  <c r="K526" i="11"/>
  <c r="K524" i="11"/>
  <c r="K521" i="11"/>
  <c r="K522" i="11"/>
  <c r="L682" i="10"/>
  <c r="L691" i="10"/>
  <c r="S680" i="10"/>
  <c r="L685" i="10"/>
  <c r="L684" i="10"/>
  <c r="S685" i="10"/>
  <c r="L680" i="10"/>
  <c r="L683" i="10"/>
  <c r="L677" i="10"/>
  <c r="L687" i="10"/>
  <c r="L688" i="10"/>
  <c r="L678" i="10"/>
  <c r="L686" i="10"/>
  <c r="L679" i="10"/>
  <c r="S678" i="10"/>
  <c r="L539" i="9"/>
  <c r="L543" i="9"/>
  <c r="L547" i="9"/>
  <c r="L535" i="9"/>
  <c r="L536" i="9"/>
  <c r="L538" i="9"/>
  <c r="L540" i="9"/>
  <c r="L544" i="9"/>
  <c r="L533" i="9"/>
  <c r="L534" i="9"/>
  <c r="L541" i="9"/>
  <c r="K544" i="12"/>
  <c r="K535" i="11"/>
  <c r="L656" i="10"/>
  <c r="L489" i="10"/>
  <c r="L356" i="9"/>
  <c r="L681" i="10" l="1"/>
  <c r="L537" i="9"/>
  <c r="B225" i="21"/>
  <c r="H222" i="21"/>
  <c r="G222" i="21"/>
  <c r="F222" i="21"/>
  <c r="E222" i="21"/>
  <c r="D222" i="21"/>
  <c r="C222" i="21"/>
  <c r="B222" i="21"/>
  <c r="H220" i="21"/>
  <c r="G220" i="21"/>
  <c r="F220" i="21"/>
  <c r="E220" i="21"/>
  <c r="D220" i="21"/>
  <c r="C220" i="21"/>
  <c r="B220" i="21"/>
  <c r="H219" i="21"/>
  <c r="G219" i="21"/>
  <c r="F219" i="21"/>
  <c r="E219" i="21"/>
  <c r="D219" i="21"/>
  <c r="C219" i="21"/>
  <c r="B219" i="21"/>
  <c r="H218" i="21"/>
  <c r="G218" i="21"/>
  <c r="F218" i="21"/>
  <c r="E218" i="21"/>
  <c r="D218" i="21"/>
  <c r="C218" i="21"/>
  <c r="B218" i="21"/>
  <c r="H217" i="21"/>
  <c r="G217" i="21"/>
  <c r="F217" i="21"/>
  <c r="E217" i="21"/>
  <c r="D217" i="21"/>
  <c r="C217" i="21"/>
  <c r="B217" i="21"/>
  <c r="H216" i="21"/>
  <c r="G216" i="21"/>
  <c r="F216" i="21"/>
  <c r="E216" i="21"/>
  <c r="D216" i="21"/>
  <c r="C216" i="21"/>
  <c r="B216" i="21"/>
  <c r="H215" i="21"/>
  <c r="G215" i="21"/>
  <c r="F215" i="21"/>
  <c r="E215" i="21"/>
  <c r="D215" i="21"/>
  <c r="C215" i="21"/>
  <c r="B215" i="21"/>
  <c r="H214" i="21"/>
  <c r="G214" i="21"/>
  <c r="F214" i="21"/>
  <c r="E214" i="21"/>
  <c r="D214" i="21"/>
  <c r="C214" i="21"/>
  <c r="B214" i="21"/>
  <c r="H213" i="21"/>
  <c r="G213" i="21"/>
  <c r="F213" i="21"/>
  <c r="E213" i="21"/>
  <c r="D213" i="21"/>
  <c r="C213" i="21"/>
  <c r="B213" i="21"/>
  <c r="H212" i="21"/>
  <c r="G212" i="21"/>
  <c r="F212" i="21"/>
  <c r="E212" i="21"/>
  <c r="D212" i="21"/>
  <c r="C212" i="21"/>
  <c r="B212" i="21"/>
  <c r="H211" i="21"/>
  <c r="G211" i="21"/>
  <c r="F211" i="21"/>
  <c r="E211" i="21"/>
  <c r="D211" i="21"/>
  <c r="C211" i="21"/>
  <c r="B211" i="21"/>
  <c r="H210" i="21"/>
  <c r="G210" i="21"/>
  <c r="F210" i="21"/>
  <c r="E210" i="21"/>
  <c r="D210" i="21"/>
  <c r="C210" i="21"/>
  <c r="B210" i="21"/>
  <c r="H209" i="21"/>
  <c r="G209" i="21"/>
  <c r="F209" i="21"/>
  <c r="E209" i="21"/>
  <c r="D209" i="21"/>
  <c r="C209" i="21"/>
  <c r="B209" i="21"/>
  <c r="H208" i="21"/>
  <c r="G208" i="21"/>
  <c r="F208" i="21"/>
  <c r="E208" i="21"/>
  <c r="D208" i="21"/>
  <c r="C208" i="21"/>
  <c r="B208" i="21"/>
  <c r="H207" i="21"/>
  <c r="G207" i="21"/>
  <c r="F207" i="21"/>
  <c r="E207" i="21"/>
  <c r="D207" i="21"/>
  <c r="C207" i="21"/>
  <c r="B207" i="21"/>
  <c r="H206" i="21"/>
  <c r="G206" i="21"/>
  <c r="F206" i="21"/>
  <c r="E206" i="21"/>
  <c r="D206" i="21"/>
  <c r="C206" i="21"/>
  <c r="B206" i="21"/>
  <c r="G205" i="21"/>
  <c r="F205" i="21"/>
  <c r="E205" i="21"/>
  <c r="D205" i="21"/>
  <c r="C205" i="21"/>
  <c r="H199" i="21"/>
  <c r="G199" i="21"/>
  <c r="F199" i="21"/>
  <c r="E199" i="21"/>
  <c r="D199" i="21"/>
  <c r="C199" i="21"/>
  <c r="B199" i="21"/>
  <c r="H197" i="21"/>
  <c r="G197" i="21"/>
  <c r="F197" i="21"/>
  <c r="E197" i="21"/>
  <c r="D197" i="21"/>
  <c r="C197" i="21"/>
  <c r="B197" i="21"/>
  <c r="H196" i="21"/>
  <c r="G196" i="21"/>
  <c r="F196" i="21"/>
  <c r="E196" i="21"/>
  <c r="D196" i="21"/>
  <c r="C196" i="21"/>
  <c r="B196" i="21"/>
  <c r="H195" i="21"/>
  <c r="G195" i="21"/>
  <c r="F195" i="21"/>
  <c r="E195" i="21"/>
  <c r="D195" i="21"/>
  <c r="C195" i="21"/>
  <c r="B195" i="21"/>
  <c r="H194" i="21"/>
  <c r="G194" i="21"/>
  <c r="F194" i="21"/>
  <c r="E194" i="21"/>
  <c r="D194" i="21"/>
  <c r="C194" i="21"/>
  <c r="B194" i="21"/>
  <c r="H193" i="21"/>
  <c r="G193" i="21"/>
  <c r="F193" i="21"/>
  <c r="E193" i="21"/>
  <c r="D193" i="21"/>
  <c r="C193" i="21"/>
  <c r="B193" i="21"/>
  <c r="H192" i="21"/>
  <c r="G192" i="21"/>
  <c r="F192" i="21"/>
  <c r="E192" i="21"/>
  <c r="D192" i="21"/>
  <c r="C192" i="21"/>
  <c r="B192" i="21"/>
  <c r="H191" i="21"/>
  <c r="G191" i="21"/>
  <c r="F191" i="21"/>
  <c r="E191" i="21"/>
  <c r="D191" i="21"/>
  <c r="C191" i="21"/>
  <c r="B191" i="21"/>
  <c r="H190" i="21"/>
  <c r="G190" i="21"/>
  <c r="F190" i="21"/>
  <c r="E190" i="21"/>
  <c r="D190" i="21"/>
  <c r="C190" i="21"/>
  <c r="B190" i="21"/>
  <c r="H189" i="21"/>
  <c r="G189" i="21"/>
  <c r="F189" i="21"/>
  <c r="E189" i="21"/>
  <c r="D189" i="21"/>
  <c r="C189" i="21"/>
  <c r="B189" i="21"/>
  <c r="H188" i="21"/>
  <c r="G188" i="21"/>
  <c r="F188" i="21"/>
  <c r="E188" i="21"/>
  <c r="D188" i="21"/>
  <c r="C188" i="21"/>
  <c r="B188" i="21"/>
  <c r="H187" i="21"/>
  <c r="G187" i="21"/>
  <c r="F187" i="21"/>
  <c r="E187" i="21"/>
  <c r="D187" i="21"/>
  <c r="C187" i="21"/>
  <c r="B187" i="21"/>
  <c r="H186" i="21"/>
  <c r="G186" i="21"/>
  <c r="F186" i="21"/>
  <c r="E186" i="21"/>
  <c r="D186" i="21"/>
  <c r="C186" i="21"/>
  <c r="B186" i="21"/>
  <c r="H185" i="21"/>
  <c r="G185" i="21"/>
  <c r="F185" i="21"/>
  <c r="E185" i="21"/>
  <c r="D185" i="21"/>
  <c r="C185" i="21"/>
  <c r="B185" i="21"/>
  <c r="H184" i="21"/>
  <c r="G184" i="21"/>
  <c r="F184" i="21"/>
  <c r="E184" i="21"/>
  <c r="D184" i="21"/>
  <c r="C184" i="21"/>
  <c r="B184" i="21"/>
  <c r="H183" i="21"/>
  <c r="G183" i="21"/>
  <c r="F183" i="21"/>
  <c r="E183" i="21"/>
  <c r="D183" i="21"/>
  <c r="C183" i="21"/>
  <c r="B183" i="21"/>
  <c r="G182" i="21"/>
  <c r="E182" i="21"/>
  <c r="D182" i="21"/>
  <c r="C182" i="21"/>
  <c r="H179" i="21"/>
  <c r="G179" i="21"/>
  <c r="F179" i="21"/>
  <c r="E179" i="21"/>
  <c r="D179" i="21"/>
  <c r="C179" i="21"/>
  <c r="B179" i="21"/>
  <c r="H177" i="21"/>
  <c r="G177" i="21"/>
  <c r="F177" i="21"/>
  <c r="E177" i="21"/>
  <c r="D177" i="21"/>
  <c r="C177" i="21"/>
  <c r="B177" i="21"/>
  <c r="H176" i="21"/>
  <c r="G176" i="21"/>
  <c r="F176" i="21"/>
  <c r="E176" i="21"/>
  <c r="D176" i="21"/>
  <c r="C176" i="21"/>
  <c r="B176" i="21"/>
  <c r="H175" i="21"/>
  <c r="G175" i="21"/>
  <c r="F175" i="21"/>
  <c r="E175" i="21"/>
  <c r="D175" i="21"/>
  <c r="C175" i="21"/>
  <c r="B175" i="21"/>
  <c r="H174" i="21"/>
  <c r="G174" i="21"/>
  <c r="F174" i="21"/>
  <c r="E174" i="21"/>
  <c r="D174" i="21"/>
  <c r="C174" i="21"/>
  <c r="B174" i="21"/>
  <c r="H173" i="21"/>
  <c r="G173" i="21"/>
  <c r="F173" i="21"/>
  <c r="E173" i="21"/>
  <c r="D173" i="21"/>
  <c r="C173" i="21"/>
  <c r="B173" i="21"/>
  <c r="H172" i="21"/>
  <c r="G172" i="21"/>
  <c r="F172" i="21"/>
  <c r="E172" i="21"/>
  <c r="D172" i="21"/>
  <c r="C172" i="21"/>
  <c r="B172" i="21"/>
  <c r="H171" i="21"/>
  <c r="G171" i="21"/>
  <c r="F171" i="21"/>
  <c r="E171" i="21"/>
  <c r="D171" i="21"/>
  <c r="C171" i="21"/>
  <c r="B171" i="21"/>
  <c r="H170" i="21"/>
  <c r="G170" i="21"/>
  <c r="F170" i="21"/>
  <c r="E170" i="21"/>
  <c r="D170" i="21"/>
  <c r="C170" i="21"/>
  <c r="B170" i="21"/>
  <c r="H169" i="21"/>
  <c r="G169" i="21"/>
  <c r="F169" i="21"/>
  <c r="E169" i="21"/>
  <c r="D169" i="21"/>
  <c r="C169" i="21"/>
  <c r="B169" i="21"/>
  <c r="H168" i="21"/>
  <c r="G168" i="21"/>
  <c r="F168" i="21"/>
  <c r="E168" i="21"/>
  <c r="D168" i="21"/>
  <c r="C168" i="21"/>
  <c r="B168" i="21"/>
  <c r="H167" i="21"/>
  <c r="G167" i="21"/>
  <c r="F167" i="21"/>
  <c r="E167" i="21"/>
  <c r="D167" i="21"/>
  <c r="C167" i="21"/>
  <c r="B167" i="21"/>
  <c r="H166" i="21"/>
  <c r="G166" i="21"/>
  <c r="F166" i="21"/>
  <c r="E166" i="21"/>
  <c r="D166" i="21"/>
  <c r="C166" i="21"/>
  <c r="B166" i="21"/>
  <c r="H165" i="21"/>
  <c r="G165" i="21"/>
  <c r="F165" i="21"/>
  <c r="E165" i="21"/>
  <c r="D165" i="21"/>
  <c r="C165" i="21"/>
  <c r="B165" i="21"/>
  <c r="H164" i="21"/>
  <c r="G164" i="21"/>
  <c r="F164" i="21"/>
  <c r="E164" i="21"/>
  <c r="D164" i="21"/>
  <c r="C164" i="21"/>
  <c r="B164" i="21"/>
  <c r="H163" i="21"/>
  <c r="G163" i="21"/>
  <c r="F163" i="21"/>
  <c r="E163" i="21"/>
  <c r="D163" i="21"/>
  <c r="C163" i="21"/>
  <c r="B163" i="21"/>
  <c r="G162" i="21"/>
  <c r="F162" i="21"/>
  <c r="E162" i="21"/>
  <c r="D162" i="21"/>
  <c r="C162" i="21"/>
  <c r="H159" i="21"/>
  <c r="G159" i="21"/>
  <c r="F159" i="21"/>
  <c r="E159" i="21"/>
  <c r="D159" i="21"/>
  <c r="C159" i="21"/>
  <c r="B159" i="21"/>
  <c r="H157" i="21"/>
  <c r="G157" i="21"/>
  <c r="F157" i="21"/>
  <c r="E157" i="21"/>
  <c r="D157" i="21"/>
  <c r="C157" i="21"/>
  <c r="B157" i="21"/>
  <c r="H156" i="21"/>
  <c r="G156" i="21"/>
  <c r="F156" i="21"/>
  <c r="E156" i="21"/>
  <c r="D156" i="21"/>
  <c r="C156" i="21"/>
  <c r="B156" i="21"/>
  <c r="H155" i="21"/>
  <c r="G155" i="21"/>
  <c r="F155" i="21"/>
  <c r="E155" i="21"/>
  <c r="D155" i="21"/>
  <c r="C155" i="21"/>
  <c r="B155" i="21"/>
  <c r="H154" i="21"/>
  <c r="G154" i="21"/>
  <c r="F154" i="21"/>
  <c r="E154" i="21"/>
  <c r="D154" i="21"/>
  <c r="C154" i="21"/>
  <c r="B154" i="21"/>
  <c r="H153" i="21"/>
  <c r="G153" i="21"/>
  <c r="F153" i="21"/>
  <c r="E153" i="21"/>
  <c r="D153" i="21"/>
  <c r="C153" i="21"/>
  <c r="B153" i="21"/>
  <c r="H152" i="21"/>
  <c r="G152" i="21"/>
  <c r="F152" i="21"/>
  <c r="E152" i="21"/>
  <c r="D152" i="21"/>
  <c r="C152" i="21"/>
  <c r="B152" i="21"/>
  <c r="H151" i="21"/>
  <c r="G151" i="21"/>
  <c r="F151" i="21"/>
  <c r="E151" i="21"/>
  <c r="D151" i="21"/>
  <c r="C151" i="21"/>
  <c r="B151" i="21"/>
  <c r="H150" i="21"/>
  <c r="G150" i="21"/>
  <c r="F150" i="21"/>
  <c r="E150" i="21"/>
  <c r="D150" i="21"/>
  <c r="C150" i="21"/>
  <c r="B150" i="21"/>
  <c r="H149" i="21"/>
  <c r="G149" i="21"/>
  <c r="F149" i="21"/>
  <c r="E149" i="21"/>
  <c r="D149" i="21"/>
  <c r="C149" i="21"/>
  <c r="B149" i="21"/>
  <c r="I148" i="21"/>
  <c r="H148" i="21"/>
  <c r="G148" i="21"/>
  <c r="F148" i="21"/>
  <c r="E148" i="21"/>
  <c r="D148" i="21"/>
  <c r="C148" i="21"/>
  <c r="B148" i="21"/>
  <c r="H147" i="21"/>
  <c r="G147" i="21"/>
  <c r="F147" i="21"/>
  <c r="E147" i="21"/>
  <c r="D147" i="21"/>
  <c r="C147" i="21"/>
  <c r="B147" i="21"/>
  <c r="H146" i="21"/>
  <c r="G146" i="21"/>
  <c r="F146" i="21"/>
  <c r="E146" i="21"/>
  <c r="D146" i="21"/>
  <c r="C146" i="21"/>
  <c r="B146" i="21"/>
  <c r="H145" i="21"/>
  <c r="G145" i="21"/>
  <c r="F145" i="21"/>
  <c r="E145" i="21"/>
  <c r="D145" i="21"/>
  <c r="C145" i="21"/>
  <c r="B145" i="21"/>
  <c r="H144" i="21"/>
  <c r="G144" i="21"/>
  <c r="F144" i="21"/>
  <c r="E144" i="21"/>
  <c r="D144" i="21"/>
  <c r="C144" i="21"/>
  <c r="B144" i="21"/>
  <c r="H143" i="21"/>
  <c r="G143" i="21"/>
  <c r="F143" i="21"/>
  <c r="E143" i="21"/>
  <c r="D143" i="21"/>
  <c r="C143" i="21"/>
  <c r="B143" i="21"/>
  <c r="H142" i="21"/>
  <c r="H225" i="21" s="1"/>
  <c r="G142" i="21"/>
  <c r="E142" i="21"/>
  <c r="D142" i="21"/>
  <c r="C142" i="21"/>
  <c r="H122" i="21"/>
  <c r="G122" i="21"/>
  <c r="F122" i="21"/>
  <c r="E122" i="21"/>
  <c r="D122" i="21"/>
  <c r="C122" i="21"/>
  <c r="B122" i="21"/>
  <c r="H120" i="21"/>
  <c r="G120" i="21"/>
  <c r="F120" i="21"/>
  <c r="E120" i="21"/>
  <c r="D120" i="21"/>
  <c r="C120" i="21"/>
  <c r="B120" i="21"/>
  <c r="H119" i="21"/>
  <c r="G119" i="21"/>
  <c r="F119" i="21"/>
  <c r="E119" i="21"/>
  <c r="D119" i="21"/>
  <c r="C119" i="21"/>
  <c r="B119" i="21"/>
  <c r="H118" i="21"/>
  <c r="G118" i="21"/>
  <c r="F118" i="21"/>
  <c r="E118" i="21"/>
  <c r="D118" i="21"/>
  <c r="C118" i="21"/>
  <c r="B118" i="21"/>
  <c r="H117" i="21"/>
  <c r="G117" i="21"/>
  <c r="F117" i="21"/>
  <c r="E117" i="21"/>
  <c r="D117" i="21"/>
  <c r="C117" i="21"/>
  <c r="B117" i="21"/>
  <c r="H116" i="21"/>
  <c r="G116" i="21"/>
  <c r="F116" i="21"/>
  <c r="E116" i="21"/>
  <c r="D116" i="21"/>
  <c r="C116" i="21"/>
  <c r="B116" i="21"/>
  <c r="H115" i="21"/>
  <c r="G115" i="21"/>
  <c r="F115" i="21"/>
  <c r="E115" i="21"/>
  <c r="D115" i="21"/>
  <c r="C115" i="21"/>
  <c r="B115" i="21"/>
  <c r="H114" i="21"/>
  <c r="G114" i="21"/>
  <c r="F114" i="21"/>
  <c r="E114" i="21"/>
  <c r="D114" i="21"/>
  <c r="C114" i="21"/>
  <c r="B114" i="21"/>
  <c r="H113" i="21"/>
  <c r="G113" i="21"/>
  <c r="F113" i="21"/>
  <c r="E113" i="21"/>
  <c r="D113" i="21"/>
  <c r="C113" i="21"/>
  <c r="B113" i="21"/>
  <c r="H112" i="21"/>
  <c r="G112" i="21"/>
  <c r="F112" i="21"/>
  <c r="E112" i="21"/>
  <c r="D112" i="21"/>
  <c r="C112" i="21"/>
  <c r="B112" i="21"/>
  <c r="H111" i="21"/>
  <c r="G111" i="21"/>
  <c r="F111" i="21"/>
  <c r="E111" i="21"/>
  <c r="D111" i="21"/>
  <c r="C111" i="21"/>
  <c r="B111" i="21"/>
  <c r="H110" i="21"/>
  <c r="G110" i="21"/>
  <c r="F110" i="21"/>
  <c r="E110" i="21"/>
  <c r="D110" i="21"/>
  <c r="C110" i="21"/>
  <c r="B110" i="21"/>
  <c r="H109" i="21"/>
  <c r="G109" i="21"/>
  <c r="F109" i="21"/>
  <c r="E109" i="21"/>
  <c r="D109" i="21"/>
  <c r="C109" i="21"/>
  <c r="B109" i="21"/>
  <c r="H108" i="21"/>
  <c r="G108" i="21"/>
  <c r="F108" i="21"/>
  <c r="E108" i="21"/>
  <c r="D108" i="21"/>
  <c r="C108" i="21"/>
  <c r="B108" i="21"/>
  <c r="H107" i="21"/>
  <c r="G107" i="21"/>
  <c r="F107" i="21"/>
  <c r="E107" i="21"/>
  <c r="D107" i="21"/>
  <c r="C107" i="21"/>
  <c r="B107" i="21"/>
  <c r="H106" i="21"/>
  <c r="G106" i="21"/>
  <c r="F106" i="21"/>
  <c r="E106" i="21"/>
  <c r="D106" i="21"/>
  <c r="C106" i="21"/>
  <c r="B106" i="21"/>
  <c r="H105" i="21"/>
  <c r="G105" i="21"/>
  <c r="F105" i="21"/>
  <c r="E105" i="21"/>
  <c r="D105" i="21"/>
  <c r="C105" i="21"/>
  <c r="B105" i="21"/>
  <c r="H104" i="21"/>
  <c r="G104" i="21"/>
  <c r="F104" i="21"/>
  <c r="E104" i="21"/>
  <c r="D104" i="21"/>
  <c r="C104" i="21"/>
  <c r="B104" i="21"/>
  <c r="H103" i="21"/>
  <c r="G103" i="21"/>
  <c r="E103" i="21"/>
  <c r="D103" i="21"/>
  <c r="C103" i="21"/>
  <c r="B103" i="21"/>
  <c r="H102" i="21"/>
  <c r="G102" i="21"/>
  <c r="F102" i="21"/>
  <c r="E102" i="21"/>
  <c r="D102" i="21"/>
  <c r="C102" i="21"/>
  <c r="B102" i="21"/>
  <c r="H101" i="21"/>
  <c r="G101" i="21"/>
  <c r="F101" i="21"/>
  <c r="E101" i="21"/>
  <c r="D101" i="21"/>
  <c r="C101" i="21"/>
  <c r="B101" i="21"/>
  <c r="I98" i="21"/>
  <c r="I222" i="21" s="1"/>
  <c r="I96" i="21"/>
  <c r="I220" i="21" s="1"/>
  <c r="I95" i="21"/>
  <c r="I219" i="21" s="1"/>
  <c r="I94" i="21"/>
  <c r="I218" i="21" s="1"/>
  <c r="I93" i="21"/>
  <c r="I217" i="21" s="1"/>
  <c r="I92" i="21"/>
  <c r="I216" i="21" s="1"/>
  <c r="I91" i="21"/>
  <c r="I215" i="21" s="1"/>
  <c r="I90" i="21"/>
  <c r="I214" i="21" s="1"/>
  <c r="I89" i="21"/>
  <c r="I213" i="21" s="1"/>
  <c r="I88" i="21"/>
  <c r="I212" i="21" s="1"/>
  <c r="I87" i="21"/>
  <c r="I211" i="21" s="1"/>
  <c r="I86" i="21"/>
  <c r="I210" i="21" s="1"/>
  <c r="I85" i="21"/>
  <c r="I209" i="21" s="1"/>
  <c r="I84" i="21"/>
  <c r="I208" i="21" s="1"/>
  <c r="I83" i="21"/>
  <c r="I207" i="21" s="1"/>
  <c r="I82" i="21"/>
  <c r="I206" i="21" s="1"/>
  <c r="I81" i="21"/>
  <c r="I80" i="21"/>
  <c r="I79" i="21"/>
  <c r="I78" i="21"/>
  <c r="I77" i="21"/>
  <c r="I74" i="21"/>
  <c r="I199" i="21" s="1"/>
  <c r="I72" i="21"/>
  <c r="I197" i="21" s="1"/>
  <c r="I71" i="21"/>
  <c r="I196" i="21" s="1"/>
  <c r="I70" i="21"/>
  <c r="I195" i="21" s="1"/>
  <c r="I69" i="21"/>
  <c r="I194" i="21" s="1"/>
  <c r="I68" i="21"/>
  <c r="I193" i="21" s="1"/>
  <c r="I67" i="21"/>
  <c r="I192" i="21" s="1"/>
  <c r="I66" i="21"/>
  <c r="I191" i="21" s="1"/>
  <c r="I65" i="21"/>
  <c r="I190" i="21" s="1"/>
  <c r="I64" i="21"/>
  <c r="I189" i="21" s="1"/>
  <c r="I63" i="21"/>
  <c r="I188" i="21" s="1"/>
  <c r="I62" i="21"/>
  <c r="I187" i="21" s="1"/>
  <c r="I61" i="21"/>
  <c r="I186" i="21" s="1"/>
  <c r="I60" i="21"/>
  <c r="I185" i="21" s="1"/>
  <c r="I59" i="21"/>
  <c r="I184" i="21" s="1"/>
  <c r="I58" i="21"/>
  <c r="I183" i="21" s="1"/>
  <c r="I57" i="21"/>
  <c r="I56" i="21"/>
  <c r="F55" i="21"/>
  <c r="I54" i="21"/>
  <c r="I53" i="21"/>
  <c r="I50" i="21"/>
  <c r="I179" i="21" s="1"/>
  <c r="I48" i="21"/>
  <c r="I177" i="21" s="1"/>
  <c r="I47" i="21"/>
  <c r="I176" i="21" s="1"/>
  <c r="I46" i="21"/>
  <c r="I175" i="21" s="1"/>
  <c r="I45" i="21"/>
  <c r="I174" i="21" s="1"/>
  <c r="I44" i="21"/>
  <c r="I173" i="21" s="1"/>
  <c r="I43" i="21"/>
  <c r="I172" i="21" s="1"/>
  <c r="I42" i="21"/>
  <c r="I171" i="21" s="1"/>
  <c r="I41" i="21"/>
  <c r="I170" i="21" s="1"/>
  <c r="I40" i="21"/>
  <c r="I169" i="21" s="1"/>
  <c r="I39" i="21"/>
  <c r="I168" i="21" s="1"/>
  <c r="I38" i="21"/>
  <c r="I167" i="21" s="1"/>
  <c r="I37" i="21"/>
  <c r="I166" i="21" s="1"/>
  <c r="I36" i="21"/>
  <c r="I165" i="21" s="1"/>
  <c r="I35" i="21"/>
  <c r="I164" i="21" s="1"/>
  <c r="I34" i="21"/>
  <c r="I163" i="21" s="1"/>
  <c r="I33" i="21"/>
  <c r="I32" i="21"/>
  <c r="I31" i="21"/>
  <c r="I30" i="21"/>
  <c r="I29" i="21"/>
  <c r="I26" i="21"/>
  <c r="I159" i="21" s="1"/>
  <c r="I24" i="21"/>
  <c r="I157" i="21" s="1"/>
  <c r="I23" i="21"/>
  <c r="I156" i="21" s="1"/>
  <c r="I22" i="21"/>
  <c r="I155" i="21" s="1"/>
  <c r="I21" i="21"/>
  <c r="I154" i="21" s="1"/>
  <c r="I20" i="21"/>
  <c r="I153" i="21" s="1"/>
  <c r="I19" i="21"/>
  <c r="I152" i="21" s="1"/>
  <c r="I18" i="21"/>
  <c r="I151" i="21" s="1"/>
  <c r="I17" i="21"/>
  <c r="I150" i="21" s="1"/>
  <c r="I16" i="21"/>
  <c r="I149" i="21" s="1"/>
  <c r="I14" i="21"/>
  <c r="I147" i="21" s="1"/>
  <c r="I13" i="21"/>
  <c r="I146" i="21" s="1"/>
  <c r="I12" i="21"/>
  <c r="I145" i="21" s="1"/>
  <c r="I11" i="21"/>
  <c r="I144" i="21" s="1"/>
  <c r="I10" i="21"/>
  <c r="I143" i="21" s="1"/>
  <c r="I9" i="21"/>
  <c r="I8" i="21"/>
  <c r="F7" i="21"/>
  <c r="I7" i="21" s="1"/>
  <c r="I6" i="21"/>
  <c r="I5" i="21"/>
  <c r="B227" i="21" l="1"/>
  <c r="F232" i="21"/>
  <c r="C233" i="21"/>
  <c r="G233" i="21"/>
  <c r="I205" i="21"/>
  <c r="I231" i="21"/>
  <c r="B229" i="21"/>
  <c r="B237" i="21"/>
  <c r="B242" i="21"/>
  <c r="F228" i="21"/>
  <c r="C229" i="21"/>
  <c r="G229" i="21"/>
  <c r="B240" i="21"/>
  <c r="C242" i="21"/>
  <c r="B235" i="21"/>
  <c r="B239" i="21"/>
  <c r="B233" i="21"/>
  <c r="G228" i="21"/>
  <c r="B231" i="21"/>
  <c r="C240" i="21"/>
  <c r="G225" i="21"/>
  <c r="D225" i="21"/>
  <c r="B226" i="21"/>
  <c r="F226" i="21"/>
  <c r="C227" i="21"/>
  <c r="G227" i="21"/>
  <c r="B234" i="21"/>
  <c r="F234" i="21"/>
  <c r="C235" i="21"/>
  <c r="G235" i="21"/>
  <c r="B238" i="21"/>
  <c r="F238" i="21"/>
  <c r="C239" i="21"/>
  <c r="G239" i="21"/>
  <c r="I227" i="21"/>
  <c r="I235" i="21"/>
  <c r="I239" i="21"/>
  <c r="D233" i="21"/>
  <c r="H233" i="21"/>
  <c r="D228" i="21"/>
  <c r="H228" i="21"/>
  <c r="B230" i="21"/>
  <c r="F230" i="21"/>
  <c r="C231" i="21"/>
  <c r="G231" i="21"/>
  <c r="D232" i="21"/>
  <c r="H232" i="21"/>
  <c r="D236" i="21"/>
  <c r="H236" i="21"/>
  <c r="D240" i="21"/>
  <c r="H240" i="21"/>
  <c r="I105" i="21"/>
  <c r="I104" i="21"/>
  <c r="D226" i="21"/>
  <c r="D230" i="21"/>
  <c r="D234" i="21"/>
  <c r="B236" i="21"/>
  <c r="C237" i="21"/>
  <c r="C226" i="21"/>
  <c r="G226" i="21"/>
  <c r="D227" i="21"/>
  <c r="H227" i="21"/>
  <c r="F229" i="21"/>
  <c r="C230" i="21"/>
  <c r="G230" i="21"/>
  <c r="D231" i="21"/>
  <c r="H231" i="21"/>
  <c r="F233" i="21"/>
  <c r="C234" i="21"/>
  <c r="G234" i="21"/>
  <c r="F237" i="21"/>
  <c r="C238" i="21"/>
  <c r="G238" i="21"/>
  <c r="F242" i="21"/>
  <c r="I142" i="21"/>
  <c r="I162" i="21"/>
  <c r="I102" i="21"/>
  <c r="I101" i="21"/>
  <c r="C225" i="21"/>
  <c r="G232" i="21"/>
  <c r="F235" i="21"/>
  <c r="C236" i="21"/>
  <c r="F239" i="21"/>
  <c r="H226" i="21"/>
  <c r="B228" i="21"/>
  <c r="H230" i="21"/>
  <c r="B232" i="21"/>
  <c r="H234" i="21"/>
  <c r="F236" i="21"/>
  <c r="G237" i="21"/>
  <c r="F240" i="21"/>
  <c r="G242" i="21"/>
  <c r="D229" i="21"/>
  <c r="H229" i="21"/>
  <c r="F227" i="21"/>
  <c r="C228" i="21"/>
  <c r="F231" i="21"/>
  <c r="C232" i="21"/>
  <c r="G236" i="21"/>
  <c r="G240" i="21"/>
  <c r="E229" i="21"/>
  <c r="E233" i="21"/>
  <c r="E237" i="21"/>
  <c r="E242" i="21"/>
  <c r="I228" i="21"/>
  <c r="I232" i="21"/>
  <c r="I236" i="21"/>
  <c r="I240" i="21"/>
  <c r="I106" i="21"/>
  <c r="I107" i="21"/>
  <c r="I108" i="21"/>
  <c r="I109" i="21"/>
  <c r="I110" i="21"/>
  <c r="I111" i="21"/>
  <c r="I112" i="21"/>
  <c r="I113" i="21"/>
  <c r="I114" i="21"/>
  <c r="I115" i="21"/>
  <c r="I116" i="21"/>
  <c r="I117" i="21"/>
  <c r="I118" i="21"/>
  <c r="I119" i="21"/>
  <c r="I120" i="21"/>
  <c r="I122" i="21"/>
  <c r="F142" i="21"/>
  <c r="E225" i="21"/>
  <c r="E228" i="21"/>
  <c r="E232" i="21"/>
  <c r="D235" i="21"/>
  <c r="H235" i="21"/>
  <c r="E236" i="21"/>
  <c r="D239" i="21"/>
  <c r="H239" i="21"/>
  <c r="E240" i="21"/>
  <c r="I229" i="21"/>
  <c r="I233" i="21"/>
  <c r="I237" i="21"/>
  <c r="I242" i="21"/>
  <c r="E227" i="21"/>
  <c r="E231" i="21"/>
  <c r="E235" i="21"/>
  <c r="D238" i="21"/>
  <c r="H238" i="21"/>
  <c r="E239" i="21"/>
  <c r="F182" i="21"/>
  <c r="F225" i="21" s="1"/>
  <c r="F103" i="21"/>
  <c r="I55" i="21"/>
  <c r="I182" i="21" s="1"/>
  <c r="I226" i="21"/>
  <c r="I230" i="21"/>
  <c r="I234" i="21"/>
  <c r="I238" i="21"/>
  <c r="E226" i="21"/>
  <c r="E230" i="21"/>
  <c r="E234" i="21"/>
  <c r="D237" i="21"/>
  <c r="H237" i="21"/>
  <c r="E238" i="21"/>
  <c r="D242" i="21"/>
  <c r="H242" i="21"/>
  <c r="I103" i="21" l="1"/>
  <c r="I225" i="21"/>
  <c r="A245" i="30"/>
  <c r="A244" i="30"/>
  <c r="A243" i="30"/>
  <c r="A242" i="30"/>
  <c r="V231" i="30"/>
  <c r="O216" i="30"/>
  <c r="N216" i="30"/>
  <c r="K216" i="30"/>
  <c r="H216" i="30"/>
  <c r="F216" i="30"/>
  <c r="E216" i="30"/>
  <c r="D216" i="30"/>
  <c r="B216" i="30"/>
  <c r="O213" i="30"/>
  <c r="N213" i="30"/>
  <c r="K213" i="30"/>
  <c r="H213" i="30"/>
  <c r="F213" i="30"/>
  <c r="D213" i="30"/>
  <c r="B213" i="30"/>
  <c r="Q92" i="30"/>
  <c r="P92" i="30"/>
  <c r="O92" i="30"/>
  <c r="N92" i="30"/>
  <c r="N212" i="30" s="1"/>
  <c r="M92" i="30"/>
  <c r="L92" i="30"/>
  <c r="K92" i="30"/>
  <c r="K212" i="30" s="1"/>
  <c r="H92" i="30"/>
  <c r="H212" i="30" s="1"/>
  <c r="G92" i="30"/>
  <c r="F92" i="30"/>
  <c r="F212" i="30" s="1"/>
  <c r="E92" i="30"/>
  <c r="D92" i="30"/>
  <c r="D212" i="30" s="1"/>
  <c r="C92" i="30"/>
  <c r="B92" i="30"/>
  <c r="B212" i="30" s="1"/>
  <c r="Q91" i="30"/>
  <c r="P91" i="30"/>
  <c r="O91" i="30"/>
  <c r="O211" i="30" s="1"/>
  <c r="N91" i="30"/>
  <c r="N211" i="30" s="1"/>
  <c r="M91" i="30"/>
  <c r="L91" i="30"/>
  <c r="K91" i="30"/>
  <c r="K211" i="30" s="1"/>
  <c r="H91" i="30"/>
  <c r="H211" i="30" s="1"/>
  <c r="G91" i="30"/>
  <c r="F91" i="30"/>
  <c r="F211" i="30" s="1"/>
  <c r="E91" i="30"/>
  <c r="D91" i="30"/>
  <c r="D211" i="30" s="1"/>
  <c r="C91" i="30"/>
  <c r="B91" i="30"/>
  <c r="B211" i="30" s="1"/>
  <c r="Q90" i="30"/>
  <c r="P90" i="30"/>
  <c r="O90" i="30"/>
  <c r="O210" i="30" s="1"/>
  <c r="N90" i="30"/>
  <c r="N210" i="30" s="1"/>
  <c r="M90" i="30"/>
  <c r="L90" i="30"/>
  <c r="K90" i="30"/>
  <c r="H90" i="30"/>
  <c r="H210" i="30" s="1"/>
  <c r="G90" i="30"/>
  <c r="F90" i="30"/>
  <c r="E90" i="30"/>
  <c r="D90" i="30"/>
  <c r="D210" i="30" s="1"/>
  <c r="C90" i="30"/>
  <c r="B90" i="30"/>
  <c r="B210" i="30" s="1"/>
  <c r="Q89" i="30"/>
  <c r="P89" i="30"/>
  <c r="O89" i="30"/>
  <c r="O209" i="30" s="1"/>
  <c r="N89" i="30"/>
  <c r="N209" i="30" s="1"/>
  <c r="M89" i="30"/>
  <c r="L89" i="30"/>
  <c r="K89" i="30"/>
  <c r="K209" i="30" s="1"/>
  <c r="H89" i="30"/>
  <c r="H209" i="30" s="1"/>
  <c r="G89" i="30"/>
  <c r="F89" i="30"/>
  <c r="E89" i="30"/>
  <c r="D89" i="30"/>
  <c r="D209" i="30" s="1"/>
  <c r="C89" i="30"/>
  <c r="B89" i="30"/>
  <c r="B209" i="30" s="1"/>
  <c r="Q88" i="30"/>
  <c r="P88" i="30"/>
  <c r="O88" i="30"/>
  <c r="O208" i="30" s="1"/>
  <c r="N88" i="30"/>
  <c r="N208" i="30" s="1"/>
  <c r="M88" i="30"/>
  <c r="L88" i="30"/>
  <c r="K88" i="30"/>
  <c r="H88" i="30"/>
  <c r="H208" i="30" s="1"/>
  <c r="G88" i="30"/>
  <c r="F88" i="30"/>
  <c r="E88" i="30"/>
  <c r="D88" i="30"/>
  <c r="D208" i="30" s="1"/>
  <c r="C88" i="30"/>
  <c r="B88" i="30"/>
  <c r="B208" i="30" s="1"/>
  <c r="Q87" i="30"/>
  <c r="P87" i="30"/>
  <c r="O87" i="30"/>
  <c r="O207" i="30" s="1"/>
  <c r="N87" i="30"/>
  <c r="N207" i="30" s="1"/>
  <c r="M87" i="30"/>
  <c r="L87" i="30"/>
  <c r="K87" i="30"/>
  <c r="H87" i="30"/>
  <c r="H207" i="30" s="1"/>
  <c r="G87" i="30"/>
  <c r="F87" i="30"/>
  <c r="E87" i="30"/>
  <c r="D87" i="30"/>
  <c r="D207" i="30" s="1"/>
  <c r="C87" i="30"/>
  <c r="B87" i="30"/>
  <c r="B207" i="30" s="1"/>
  <c r="Q86" i="30"/>
  <c r="P86" i="30"/>
  <c r="P206" i="30" s="1"/>
  <c r="O86" i="30"/>
  <c r="N86" i="30"/>
  <c r="N206" i="30" s="1"/>
  <c r="M86" i="30"/>
  <c r="L86" i="30"/>
  <c r="K86" i="30"/>
  <c r="H86" i="30"/>
  <c r="H206" i="30" s="1"/>
  <c r="G86" i="30"/>
  <c r="F86" i="30"/>
  <c r="E86" i="30"/>
  <c r="D86" i="30"/>
  <c r="D206" i="30" s="1"/>
  <c r="C86" i="30"/>
  <c r="B86" i="30"/>
  <c r="B206" i="30" s="1"/>
  <c r="Q85" i="30"/>
  <c r="P85" i="30"/>
  <c r="O85" i="30"/>
  <c r="O205" i="30" s="1"/>
  <c r="N85" i="30"/>
  <c r="N205" i="30" s="1"/>
  <c r="M85" i="30"/>
  <c r="L85" i="30"/>
  <c r="K85" i="30"/>
  <c r="H85" i="30"/>
  <c r="H205" i="30" s="1"/>
  <c r="G85" i="30"/>
  <c r="F85" i="30"/>
  <c r="E85" i="30"/>
  <c r="D85" i="30"/>
  <c r="D205" i="30" s="1"/>
  <c r="C85" i="30"/>
  <c r="B85" i="30"/>
  <c r="B205" i="30" s="1"/>
  <c r="Q84" i="30"/>
  <c r="P84" i="30"/>
  <c r="O84" i="30"/>
  <c r="N84" i="30"/>
  <c r="N204" i="30" s="1"/>
  <c r="M84" i="30"/>
  <c r="L84" i="30"/>
  <c r="K84" i="30"/>
  <c r="K204" i="30" s="1"/>
  <c r="H84" i="30"/>
  <c r="H204" i="30" s="1"/>
  <c r="G84" i="30"/>
  <c r="F84" i="30"/>
  <c r="E84" i="30"/>
  <c r="D84" i="30"/>
  <c r="D204" i="30" s="1"/>
  <c r="C84" i="30"/>
  <c r="B84" i="30"/>
  <c r="B204" i="30" s="1"/>
  <c r="Q83" i="30"/>
  <c r="P83" i="30"/>
  <c r="O83" i="30"/>
  <c r="O203" i="30" s="1"/>
  <c r="N83" i="30"/>
  <c r="N203" i="30" s="1"/>
  <c r="M83" i="30"/>
  <c r="L83" i="30"/>
  <c r="K83" i="30"/>
  <c r="H83" i="30"/>
  <c r="H203" i="30" s="1"/>
  <c r="G83" i="30"/>
  <c r="F83" i="30"/>
  <c r="E83" i="30"/>
  <c r="D83" i="30"/>
  <c r="D203" i="30" s="1"/>
  <c r="C83" i="30"/>
  <c r="B83" i="30"/>
  <c r="B203" i="30" s="1"/>
  <c r="Q82" i="30"/>
  <c r="P82" i="30"/>
  <c r="O82" i="30"/>
  <c r="O202" i="30" s="1"/>
  <c r="N82" i="30"/>
  <c r="N202" i="30" s="1"/>
  <c r="M82" i="30"/>
  <c r="L82" i="30"/>
  <c r="K82" i="30"/>
  <c r="K202" i="30" s="1"/>
  <c r="H82" i="30"/>
  <c r="H202" i="30" s="1"/>
  <c r="G82" i="30"/>
  <c r="F82" i="30"/>
  <c r="E82" i="30"/>
  <c r="D82" i="30"/>
  <c r="D202" i="30" s="1"/>
  <c r="C82" i="30"/>
  <c r="B82" i="30"/>
  <c r="B202" i="30" s="1"/>
  <c r="Q81" i="30"/>
  <c r="P81" i="30"/>
  <c r="O81" i="30"/>
  <c r="N81" i="30"/>
  <c r="M81" i="30"/>
  <c r="L81" i="30"/>
  <c r="K81" i="30"/>
  <c r="H81" i="30"/>
  <c r="G81" i="30"/>
  <c r="F81" i="30"/>
  <c r="E81" i="30"/>
  <c r="D81" i="30"/>
  <c r="C81" i="30"/>
  <c r="B81" i="30"/>
  <c r="Q80" i="30"/>
  <c r="P80" i="30"/>
  <c r="O80" i="30"/>
  <c r="N80" i="30"/>
  <c r="M80" i="30"/>
  <c r="L80" i="30"/>
  <c r="K80" i="30"/>
  <c r="H80" i="30"/>
  <c r="G80" i="30"/>
  <c r="F80" i="30"/>
  <c r="E80" i="30"/>
  <c r="D80" i="30"/>
  <c r="C80" i="30"/>
  <c r="B80" i="30"/>
  <c r="Q79" i="30"/>
  <c r="P79" i="30"/>
  <c r="O79" i="30"/>
  <c r="N79" i="30"/>
  <c r="M79" i="30"/>
  <c r="L79" i="30"/>
  <c r="K79" i="30"/>
  <c r="H79" i="30"/>
  <c r="G79" i="30"/>
  <c r="F79" i="30"/>
  <c r="E79" i="30"/>
  <c r="D79" i="30"/>
  <c r="C79" i="30"/>
  <c r="B79" i="30"/>
  <c r="Q78" i="30"/>
  <c r="P78" i="30"/>
  <c r="O78" i="30"/>
  <c r="N78" i="30"/>
  <c r="M78" i="30"/>
  <c r="L78" i="30"/>
  <c r="K78" i="30"/>
  <c r="H78" i="30"/>
  <c r="G78" i="30"/>
  <c r="F78" i="30"/>
  <c r="E78" i="30"/>
  <c r="D78" i="30"/>
  <c r="C78" i="30"/>
  <c r="B78" i="30"/>
  <c r="Q77" i="30"/>
  <c r="Q201" i="30" s="1"/>
  <c r="P77" i="30"/>
  <c r="O77" i="30"/>
  <c r="N77" i="30"/>
  <c r="M77" i="30"/>
  <c r="L77" i="30"/>
  <c r="K77" i="30"/>
  <c r="H77" i="30"/>
  <c r="G77" i="30"/>
  <c r="F77" i="30"/>
  <c r="E77" i="30"/>
  <c r="D77" i="30"/>
  <c r="D201" i="30" s="1"/>
  <c r="C77" i="30"/>
  <c r="B77" i="30"/>
  <c r="Q76" i="30"/>
  <c r="P76" i="30"/>
  <c r="O76" i="30"/>
  <c r="N76" i="30"/>
  <c r="M76" i="30"/>
  <c r="L76" i="30"/>
  <c r="K76" i="30"/>
  <c r="H76" i="30"/>
  <c r="G76" i="30"/>
  <c r="F76" i="30"/>
  <c r="E76" i="30"/>
  <c r="D76" i="30"/>
  <c r="C76" i="30"/>
  <c r="B76" i="30"/>
  <c r="Q75" i="30"/>
  <c r="P75" i="30"/>
  <c r="O75" i="30"/>
  <c r="N75" i="30"/>
  <c r="M75" i="30"/>
  <c r="L75" i="30"/>
  <c r="K75" i="30"/>
  <c r="H75" i="30"/>
  <c r="G75" i="30"/>
  <c r="F75" i="30"/>
  <c r="E75" i="30"/>
  <c r="D75" i="30"/>
  <c r="C75" i="30"/>
  <c r="B75" i="30"/>
  <c r="Q74" i="30"/>
  <c r="P74" i="30"/>
  <c r="O74" i="30"/>
  <c r="N74" i="30"/>
  <c r="M74" i="30"/>
  <c r="L74" i="30"/>
  <c r="K74" i="30"/>
  <c r="H74" i="30"/>
  <c r="G74" i="30"/>
  <c r="F74" i="30"/>
  <c r="E74" i="30"/>
  <c r="D74" i="30"/>
  <c r="C74" i="30"/>
  <c r="B74" i="30"/>
  <c r="Q73" i="30"/>
  <c r="P73" i="30"/>
  <c r="O73" i="30"/>
  <c r="N73" i="30"/>
  <c r="M73" i="30"/>
  <c r="L73" i="30"/>
  <c r="K73" i="30"/>
  <c r="H73" i="30"/>
  <c r="G73" i="30"/>
  <c r="F73" i="30"/>
  <c r="E73" i="30"/>
  <c r="D73" i="30"/>
  <c r="C73" i="30"/>
  <c r="B73" i="30"/>
  <c r="Q72" i="30"/>
  <c r="P72" i="30"/>
  <c r="O72" i="30"/>
  <c r="N72" i="30"/>
  <c r="M72" i="30"/>
  <c r="L72" i="30"/>
  <c r="K72" i="30"/>
  <c r="H72" i="30"/>
  <c r="G72" i="30"/>
  <c r="F72" i="30"/>
  <c r="E72" i="30"/>
  <c r="D72" i="30"/>
  <c r="C72" i="30"/>
  <c r="B72" i="30"/>
  <c r="Q71" i="30"/>
  <c r="P71" i="30"/>
  <c r="O71" i="30"/>
  <c r="N71" i="30"/>
  <c r="M71" i="30"/>
  <c r="L71" i="30"/>
  <c r="K71" i="30"/>
  <c r="H71" i="30"/>
  <c r="G71" i="30"/>
  <c r="F71" i="30"/>
  <c r="E71" i="30"/>
  <c r="D71" i="30"/>
  <c r="C71" i="30"/>
  <c r="B71" i="30"/>
  <c r="R70" i="30"/>
  <c r="Q70" i="30"/>
  <c r="P70" i="30"/>
  <c r="O70" i="30"/>
  <c r="N70" i="30"/>
  <c r="M70" i="30"/>
  <c r="L70" i="30"/>
  <c r="K70" i="30"/>
  <c r="I70" i="30"/>
  <c r="H70" i="30"/>
  <c r="G70" i="30"/>
  <c r="F70" i="30"/>
  <c r="E70" i="30"/>
  <c r="D70" i="30"/>
  <c r="C70" i="30"/>
  <c r="B70" i="30"/>
  <c r="Q69" i="30"/>
  <c r="P69" i="30"/>
  <c r="O69" i="30"/>
  <c r="N69" i="30"/>
  <c r="M69" i="30"/>
  <c r="L69" i="30"/>
  <c r="K69" i="30"/>
  <c r="H69" i="30"/>
  <c r="G69" i="30"/>
  <c r="F69" i="30"/>
  <c r="E69" i="30"/>
  <c r="D69" i="30"/>
  <c r="C69" i="30"/>
  <c r="B69" i="30"/>
  <c r="Q68" i="30"/>
  <c r="P68" i="30"/>
  <c r="O68" i="30"/>
  <c r="N68" i="30"/>
  <c r="M68" i="30"/>
  <c r="L68" i="30"/>
  <c r="K68" i="30"/>
  <c r="H68" i="30"/>
  <c r="G68" i="30"/>
  <c r="F68" i="30"/>
  <c r="E68" i="30"/>
  <c r="D68" i="30"/>
  <c r="C68" i="30"/>
  <c r="B68" i="30"/>
  <c r="Q67" i="30"/>
  <c r="P67" i="30"/>
  <c r="O67" i="30"/>
  <c r="N67" i="30"/>
  <c r="M67" i="30"/>
  <c r="L67" i="30"/>
  <c r="K67" i="30"/>
  <c r="H67" i="30"/>
  <c r="G67" i="30"/>
  <c r="F67" i="30"/>
  <c r="E67" i="30"/>
  <c r="D67" i="30"/>
  <c r="C67" i="30"/>
  <c r="B67" i="30"/>
  <c r="Q66" i="30"/>
  <c r="P66" i="30"/>
  <c r="O66" i="30"/>
  <c r="N66" i="30"/>
  <c r="M66" i="30"/>
  <c r="L66" i="30"/>
  <c r="K66" i="30"/>
  <c r="H66" i="30"/>
  <c r="G66" i="30"/>
  <c r="F66" i="30"/>
  <c r="E66" i="30"/>
  <c r="D66" i="30"/>
  <c r="C66" i="30"/>
  <c r="B66" i="30"/>
  <c r="Q65" i="30"/>
  <c r="P65" i="30"/>
  <c r="O65" i="30"/>
  <c r="N65" i="30"/>
  <c r="M65" i="30"/>
  <c r="L65" i="30"/>
  <c r="K65" i="30"/>
  <c r="H65" i="30"/>
  <c r="G65" i="30"/>
  <c r="F65" i="30"/>
  <c r="E65" i="30"/>
  <c r="D65" i="30"/>
  <c r="C65" i="30"/>
  <c r="B65" i="30"/>
  <c r="Q64" i="30"/>
  <c r="P64" i="30"/>
  <c r="O64" i="30"/>
  <c r="N64" i="30"/>
  <c r="M64" i="30"/>
  <c r="L64" i="30"/>
  <c r="K64" i="30"/>
  <c r="H64" i="30"/>
  <c r="G64" i="30"/>
  <c r="F64" i="30"/>
  <c r="E64" i="30"/>
  <c r="D64" i="30"/>
  <c r="C64" i="30"/>
  <c r="B64" i="30"/>
  <c r="Q63" i="30"/>
  <c r="P63" i="30"/>
  <c r="O63" i="30"/>
  <c r="N63" i="30"/>
  <c r="M63" i="30"/>
  <c r="L63" i="30"/>
  <c r="K63" i="30"/>
  <c r="H63" i="30"/>
  <c r="G63" i="30"/>
  <c r="F63" i="30"/>
  <c r="E63" i="30"/>
  <c r="D63" i="30"/>
  <c r="C63" i="30"/>
  <c r="B63" i="30"/>
  <c r="Q62" i="30"/>
  <c r="P62" i="30"/>
  <c r="O62" i="30"/>
  <c r="N62" i="30"/>
  <c r="M62" i="30"/>
  <c r="L62" i="30"/>
  <c r="K62" i="30"/>
  <c r="H62" i="30"/>
  <c r="G62" i="30"/>
  <c r="F62" i="30"/>
  <c r="E62" i="30"/>
  <c r="D62" i="30"/>
  <c r="C62" i="30"/>
  <c r="B62" i="30"/>
  <c r="Q61" i="30"/>
  <c r="P61" i="30"/>
  <c r="O61" i="30"/>
  <c r="N61" i="30"/>
  <c r="M61" i="30"/>
  <c r="L61" i="30"/>
  <c r="K61" i="30"/>
  <c r="H61" i="30"/>
  <c r="G61" i="30"/>
  <c r="F61" i="30"/>
  <c r="E61" i="30"/>
  <c r="D61" i="30"/>
  <c r="C61" i="30"/>
  <c r="B61" i="30"/>
  <c r="Q60" i="30"/>
  <c r="P60" i="30"/>
  <c r="O60" i="30"/>
  <c r="N60" i="30"/>
  <c r="M60" i="30"/>
  <c r="L60" i="30"/>
  <c r="K60" i="30"/>
  <c r="H60" i="30"/>
  <c r="G60" i="30"/>
  <c r="F60" i="30"/>
  <c r="E60" i="30"/>
  <c r="D60" i="30"/>
  <c r="C60" i="30"/>
  <c r="B60" i="30"/>
  <c r="Q59" i="30"/>
  <c r="P59" i="30"/>
  <c r="O59" i="30"/>
  <c r="N59" i="30"/>
  <c r="M59" i="30"/>
  <c r="L59" i="30"/>
  <c r="K59" i="30"/>
  <c r="H59" i="30"/>
  <c r="G59" i="30"/>
  <c r="F59" i="30"/>
  <c r="E59" i="30"/>
  <c r="D59" i="30"/>
  <c r="C59" i="30"/>
  <c r="B59" i="30"/>
  <c r="P58" i="30"/>
  <c r="O58" i="30"/>
  <c r="N58" i="30"/>
  <c r="M58" i="30"/>
  <c r="L58" i="30"/>
  <c r="K58" i="30"/>
  <c r="G58" i="30"/>
  <c r="F58" i="30"/>
  <c r="E58" i="30"/>
  <c r="D58" i="30"/>
  <c r="C58" i="30"/>
  <c r="B58" i="30"/>
  <c r="Q57" i="30"/>
  <c r="P57" i="30"/>
  <c r="N57" i="30"/>
  <c r="M57" i="30"/>
  <c r="L57" i="30"/>
  <c r="K57" i="30"/>
  <c r="H57" i="30"/>
  <c r="G57" i="30"/>
  <c r="E57" i="30"/>
  <c r="D57" i="30"/>
  <c r="C57" i="30"/>
  <c r="B57" i="30"/>
  <c r="Q56" i="30"/>
  <c r="P56" i="30"/>
  <c r="O56" i="30"/>
  <c r="N56" i="30"/>
  <c r="M56" i="30"/>
  <c r="L56" i="30"/>
  <c r="K56" i="30"/>
  <c r="H56" i="30"/>
  <c r="G56" i="30"/>
  <c r="F56" i="30"/>
  <c r="E56" i="30"/>
  <c r="D56" i="30"/>
  <c r="C56" i="30"/>
  <c r="B56" i="30"/>
  <c r="Q55" i="30"/>
  <c r="P55" i="30"/>
  <c r="O55" i="30"/>
  <c r="N55" i="30"/>
  <c r="M55" i="30"/>
  <c r="L55" i="30"/>
  <c r="K55" i="30"/>
  <c r="H55" i="30"/>
  <c r="G55" i="30"/>
  <c r="F55" i="30"/>
  <c r="E55" i="30"/>
  <c r="D55" i="30"/>
  <c r="C55" i="30"/>
  <c r="B55" i="30"/>
  <c r="Q54" i="30"/>
  <c r="P54" i="30"/>
  <c r="O54" i="30"/>
  <c r="N54" i="30"/>
  <c r="M54" i="30"/>
  <c r="L54" i="30"/>
  <c r="K54" i="30"/>
  <c r="H54" i="30"/>
  <c r="G54" i="30"/>
  <c r="F54" i="30"/>
  <c r="E54" i="30"/>
  <c r="D54" i="30"/>
  <c r="C54" i="30"/>
  <c r="B54" i="30"/>
  <c r="Q53" i="30"/>
  <c r="P53" i="30"/>
  <c r="O53" i="30"/>
  <c r="N53" i="30"/>
  <c r="M53" i="30"/>
  <c r="L53" i="30"/>
  <c r="K53" i="30"/>
  <c r="H53" i="30"/>
  <c r="G53" i="30"/>
  <c r="F53" i="30"/>
  <c r="E53" i="30"/>
  <c r="D53" i="30"/>
  <c r="C53" i="30"/>
  <c r="B53" i="30"/>
  <c r="Q52" i="30"/>
  <c r="P52" i="30"/>
  <c r="O52" i="30"/>
  <c r="N52" i="30"/>
  <c r="M52" i="30"/>
  <c r="L52" i="30"/>
  <c r="K52" i="30"/>
  <c r="H52" i="30"/>
  <c r="G52" i="30"/>
  <c r="F52" i="30"/>
  <c r="E52" i="30"/>
  <c r="D52" i="30"/>
  <c r="C52" i="30"/>
  <c r="B52" i="30"/>
  <c r="Q49" i="30"/>
  <c r="Q194" i="30" s="1"/>
  <c r="P49" i="30"/>
  <c r="P194" i="30" s="1"/>
  <c r="O49" i="30"/>
  <c r="O194" i="30" s="1"/>
  <c r="N49" i="30"/>
  <c r="N194" i="30" s="1"/>
  <c r="M49" i="30"/>
  <c r="M194" i="30" s="1"/>
  <c r="L49" i="30"/>
  <c r="L194" i="30" s="1"/>
  <c r="K49" i="30"/>
  <c r="H49" i="30"/>
  <c r="H194" i="30" s="1"/>
  <c r="G49" i="30"/>
  <c r="G194" i="30" s="1"/>
  <c r="F49" i="30"/>
  <c r="F194" i="30" s="1"/>
  <c r="E49" i="30"/>
  <c r="E194" i="30" s="1"/>
  <c r="D49" i="30"/>
  <c r="D194" i="30" s="1"/>
  <c r="C49" i="30"/>
  <c r="C194" i="30" s="1"/>
  <c r="B49" i="30"/>
  <c r="B194" i="30" s="1"/>
  <c r="Q46" i="30"/>
  <c r="Q191" i="30" s="1"/>
  <c r="P46" i="30"/>
  <c r="P191" i="30" s="1"/>
  <c r="O46" i="30"/>
  <c r="O191" i="30" s="1"/>
  <c r="N46" i="30"/>
  <c r="N191" i="30" s="1"/>
  <c r="M46" i="30"/>
  <c r="M191" i="30" s="1"/>
  <c r="L46" i="30"/>
  <c r="L191" i="30" s="1"/>
  <c r="K46" i="30"/>
  <c r="K191" i="30" s="1"/>
  <c r="H46" i="30"/>
  <c r="H191" i="30" s="1"/>
  <c r="G46" i="30"/>
  <c r="G191" i="30" s="1"/>
  <c r="F46" i="30"/>
  <c r="F191" i="30" s="1"/>
  <c r="E46" i="30"/>
  <c r="E191" i="30" s="1"/>
  <c r="D46" i="30"/>
  <c r="D191" i="30" s="1"/>
  <c r="C46" i="30"/>
  <c r="C191" i="30" s="1"/>
  <c r="B46" i="30"/>
  <c r="B140" i="30" s="1"/>
  <c r="B238" i="30" s="1"/>
  <c r="Q45" i="30"/>
  <c r="Q190" i="30" s="1"/>
  <c r="P45" i="30"/>
  <c r="P190" i="30" s="1"/>
  <c r="O45" i="30"/>
  <c r="O190" i="30" s="1"/>
  <c r="N45" i="30"/>
  <c r="N190" i="30" s="1"/>
  <c r="M45" i="30"/>
  <c r="M190" i="30" s="1"/>
  <c r="L45" i="30"/>
  <c r="L190" i="30" s="1"/>
  <c r="K45" i="30"/>
  <c r="K190" i="30" s="1"/>
  <c r="H45" i="30"/>
  <c r="H190" i="30" s="1"/>
  <c r="G45" i="30"/>
  <c r="G190" i="30" s="1"/>
  <c r="F45" i="30"/>
  <c r="F190" i="30" s="1"/>
  <c r="E45" i="30"/>
  <c r="E190" i="30" s="1"/>
  <c r="D45" i="30"/>
  <c r="D190" i="30" s="1"/>
  <c r="C45" i="30"/>
  <c r="C190" i="30" s="1"/>
  <c r="B45" i="30"/>
  <c r="B190" i="30" s="1"/>
  <c r="Q44" i="30"/>
  <c r="Q189" i="30" s="1"/>
  <c r="P44" i="30"/>
  <c r="P189" i="30" s="1"/>
  <c r="O44" i="30"/>
  <c r="O138" i="30" s="1"/>
  <c r="O236" i="30" s="1"/>
  <c r="N44" i="30"/>
  <c r="N138" i="30" s="1"/>
  <c r="N236" i="30" s="1"/>
  <c r="M44" i="30"/>
  <c r="M189" i="30" s="1"/>
  <c r="L44" i="30"/>
  <c r="L189" i="30" s="1"/>
  <c r="K44" i="30"/>
  <c r="K189" i="30" s="1"/>
  <c r="H44" i="30"/>
  <c r="H189" i="30" s="1"/>
  <c r="G44" i="30"/>
  <c r="G189" i="30" s="1"/>
  <c r="F44" i="30"/>
  <c r="F189" i="30" s="1"/>
  <c r="E44" i="30"/>
  <c r="E189" i="30" s="1"/>
  <c r="D44" i="30"/>
  <c r="D189" i="30" s="1"/>
  <c r="C44" i="30"/>
  <c r="C189" i="30" s="1"/>
  <c r="B44" i="30"/>
  <c r="B189" i="30" s="1"/>
  <c r="Q43" i="30"/>
  <c r="Q188" i="30" s="1"/>
  <c r="P43" i="30"/>
  <c r="P188" i="30" s="1"/>
  <c r="O43" i="30"/>
  <c r="O188" i="30" s="1"/>
  <c r="N43" i="30"/>
  <c r="N188" i="30" s="1"/>
  <c r="M43" i="30"/>
  <c r="M188" i="30" s="1"/>
  <c r="L43" i="30"/>
  <c r="L188" i="30" s="1"/>
  <c r="K43" i="30"/>
  <c r="K188" i="30" s="1"/>
  <c r="H43" i="30"/>
  <c r="H188" i="30" s="1"/>
  <c r="G43" i="30"/>
  <c r="G188" i="30" s="1"/>
  <c r="F43" i="30"/>
  <c r="F188" i="30" s="1"/>
  <c r="E43" i="30"/>
  <c r="E188" i="30" s="1"/>
  <c r="D43" i="30"/>
  <c r="D188" i="30" s="1"/>
  <c r="C43" i="30"/>
  <c r="C188" i="30" s="1"/>
  <c r="B43" i="30"/>
  <c r="B188" i="30" s="1"/>
  <c r="Q42" i="30"/>
  <c r="Q187" i="30" s="1"/>
  <c r="P42" i="30"/>
  <c r="P187" i="30" s="1"/>
  <c r="O42" i="30"/>
  <c r="O187" i="30" s="1"/>
  <c r="N42" i="30"/>
  <c r="N187" i="30" s="1"/>
  <c r="M42" i="30"/>
  <c r="M187" i="30" s="1"/>
  <c r="L42" i="30"/>
  <c r="L187" i="30" s="1"/>
  <c r="K42" i="30"/>
  <c r="K187" i="30" s="1"/>
  <c r="H42" i="30"/>
  <c r="H187" i="30" s="1"/>
  <c r="G42" i="30"/>
  <c r="G187" i="30" s="1"/>
  <c r="F42" i="30"/>
  <c r="F187" i="30" s="1"/>
  <c r="E42" i="30"/>
  <c r="E187" i="30" s="1"/>
  <c r="D42" i="30"/>
  <c r="D187" i="30" s="1"/>
  <c r="C42" i="30"/>
  <c r="C187" i="30" s="1"/>
  <c r="B42" i="30"/>
  <c r="B136" i="30" s="1"/>
  <c r="B234" i="30" s="1"/>
  <c r="Q41" i="30"/>
  <c r="Q186" i="30" s="1"/>
  <c r="P41" i="30"/>
  <c r="P186" i="30" s="1"/>
  <c r="O41" i="30"/>
  <c r="O186" i="30" s="1"/>
  <c r="N41" i="30"/>
  <c r="N186" i="30" s="1"/>
  <c r="M41" i="30"/>
  <c r="M186" i="30" s="1"/>
  <c r="L41" i="30"/>
  <c r="L186" i="30" s="1"/>
  <c r="K41" i="30"/>
  <c r="K186" i="30" s="1"/>
  <c r="H41" i="30"/>
  <c r="H186" i="30" s="1"/>
  <c r="G41" i="30"/>
  <c r="G186" i="30" s="1"/>
  <c r="F41" i="30"/>
  <c r="F186" i="30" s="1"/>
  <c r="E41" i="30"/>
  <c r="E186" i="30" s="1"/>
  <c r="D41" i="30"/>
  <c r="D186" i="30" s="1"/>
  <c r="C41" i="30"/>
  <c r="C186" i="30" s="1"/>
  <c r="B41" i="30"/>
  <c r="B186" i="30" s="1"/>
  <c r="Q40" i="30"/>
  <c r="Q185" i="30" s="1"/>
  <c r="P40" i="30"/>
  <c r="P185" i="30" s="1"/>
  <c r="O40" i="30"/>
  <c r="O134" i="30" s="1"/>
  <c r="O232" i="30" s="1"/>
  <c r="N40" i="30"/>
  <c r="N134" i="30" s="1"/>
  <c r="N232" i="30" s="1"/>
  <c r="M40" i="30"/>
  <c r="M185" i="30" s="1"/>
  <c r="L40" i="30"/>
  <c r="L185" i="30" s="1"/>
  <c r="K40" i="30"/>
  <c r="K185" i="30" s="1"/>
  <c r="H40" i="30"/>
  <c r="H185" i="30" s="1"/>
  <c r="G40" i="30"/>
  <c r="G185" i="30" s="1"/>
  <c r="F40" i="30"/>
  <c r="F185" i="30" s="1"/>
  <c r="E40" i="30"/>
  <c r="E185" i="30" s="1"/>
  <c r="D40" i="30"/>
  <c r="D185" i="30" s="1"/>
  <c r="C40" i="30"/>
  <c r="C185" i="30" s="1"/>
  <c r="B40" i="30"/>
  <c r="B185" i="30" s="1"/>
  <c r="Q39" i="30"/>
  <c r="Q184" i="30" s="1"/>
  <c r="P39" i="30"/>
  <c r="P184" i="30" s="1"/>
  <c r="O39" i="30"/>
  <c r="O184" i="30" s="1"/>
  <c r="N39" i="30"/>
  <c r="N184" i="30" s="1"/>
  <c r="M39" i="30"/>
  <c r="M184" i="30" s="1"/>
  <c r="L39" i="30"/>
  <c r="L184" i="30" s="1"/>
  <c r="K39" i="30"/>
  <c r="K184" i="30" s="1"/>
  <c r="H39" i="30"/>
  <c r="H184" i="30" s="1"/>
  <c r="G39" i="30"/>
  <c r="G184" i="30" s="1"/>
  <c r="F39" i="30"/>
  <c r="F184" i="30" s="1"/>
  <c r="E39" i="30"/>
  <c r="E184" i="30" s="1"/>
  <c r="D39" i="30"/>
  <c r="D184" i="30" s="1"/>
  <c r="C39" i="30"/>
  <c r="C184" i="30" s="1"/>
  <c r="B39" i="30"/>
  <c r="B184" i="30" s="1"/>
  <c r="Q38" i="30"/>
  <c r="Q183" i="30" s="1"/>
  <c r="P38" i="30"/>
  <c r="P183" i="30" s="1"/>
  <c r="O38" i="30"/>
  <c r="O183" i="30" s="1"/>
  <c r="N38" i="30"/>
  <c r="N183" i="30" s="1"/>
  <c r="M38" i="30"/>
  <c r="M183" i="30" s="1"/>
  <c r="L38" i="30"/>
  <c r="L183" i="30" s="1"/>
  <c r="K38" i="30"/>
  <c r="K183" i="30" s="1"/>
  <c r="H38" i="30"/>
  <c r="H183" i="30" s="1"/>
  <c r="G38" i="30"/>
  <c r="G183" i="30" s="1"/>
  <c r="F38" i="30"/>
  <c r="F183" i="30" s="1"/>
  <c r="E38" i="30"/>
  <c r="E183" i="30" s="1"/>
  <c r="D38" i="30"/>
  <c r="D183" i="30" s="1"/>
  <c r="C38" i="30"/>
  <c r="C183" i="30" s="1"/>
  <c r="B38" i="30"/>
  <c r="B132" i="30" s="1"/>
  <c r="B230" i="30" s="1"/>
  <c r="Q37" i="30"/>
  <c r="Q182" i="30" s="1"/>
  <c r="P37" i="30"/>
  <c r="P182" i="30" s="1"/>
  <c r="O37" i="30"/>
  <c r="O182" i="30" s="1"/>
  <c r="N37" i="30"/>
  <c r="N182" i="30" s="1"/>
  <c r="M37" i="30"/>
  <c r="M182" i="30" s="1"/>
  <c r="L37" i="30"/>
  <c r="L182" i="30" s="1"/>
  <c r="K37" i="30"/>
  <c r="K182" i="30" s="1"/>
  <c r="H37" i="30"/>
  <c r="H182" i="30" s="1"/>
  <c r="G37" i="30"/>
  <c r="G182" i="30" s="1"/>
  <c r="F37" i="30"/>
  <c r="F182" i="30" s="1"/>
  <c r="E37" i="30"/>
  <c r="E182" i="30" s="1"/>
  <c r="D37" i="30"/>
  <c r="D182" i="30" s="1"/>
  <c r="C37" i="30"/>
  <c r="C182" i="30" s="1"/>
  <c r="B37" i="30"/>
  <c r="B182" i="30" s="1"/>
  <c r="Q36" i="30"/>
  <c r="Q181" i="30" s="1"/>
  <c r="P36" i="30"/>
  <c r="P181" i="30" s="1"/>
  <c r="O36" i="30"/>
  <c r="O181" i="30" s="1"/>
  <c r="N36" i="30"/>
  <c r="N130" i="30" s="1"/>
  <c r="N228" i="30" s="1"/>
  <c r="M36" i="30"/>
  <c r="M181" i="30" s="1"/>
  <c r="L36" i="30"/>
  <c r="L181" i="30" s="1"/>
  <c r="K36" i="30"/>
  <c r="K181" i="30" s="1"/>
  <c r="H36" i="30"/>
  <c r="H181" i="30" s="1"/>
  <c r="G36" i="30"/>
  <c r="G181" i="30" s="1"/>
  <c r="F36" i="30"/>
  <c r="F181" i="30" s="1"/>
  <c r="E36" i="30"/>
  <c r="E181" i="30" s="1"/>
  <c r="D36" i="30"/>
  <c r="D181" i="30" s="1"/>
  <c r="C36" i="30"/>
  <c r="C181" i="30" s="1"/>
  <c r="B36" i="30"/>
  <c r="B181" i="30" s="1"/>
  <c r="Q35" i="30"/>
  <c r="Q180" i="30" s="1"/>
  <c r="P35" i="30"/>
  <c r="P180" i="30" s="1"/>
  <c r="O35" i="30"/>
  <c r="O180" i="30" s="1"/>
  <c r="N35" i="30"/>
  <c r="N180" i="30" s="1"/>
  <c r="M35" i="30"/>
  <c r="M180" i="30" s="1"/>
  <c r="L35" i="30"/>
  <c r="L180" i="30" s="1"/>
  <c r="K35" i="30"/>
  <c r="K180" i="30" s="1"/>
  <c r="H35" i="30"/>
  <c r="H180" i="30" s="1"/>
  <c r="G35" i="30"/>
  <c r="G180" i="30" s="1"/>
  <c r="F35" i="30"/>
  <c r="F180" i="30" s="1"/>
  <c r="E35" i="30"/>
  <c r="E180" i="30" s="1"/>
  <c r="D35" i="30"/>
  <c r="D180" i="30" s="1"/>
  <c r="C35" i="30"/>
  <c r="C180" i="30" s="1"/>
  <c r="B35" i="30"/>
  <c r="B180" i="30" s="1"/>
  <c r="Q34" i="30"/>
  <c r="P34" i="30"/>
  <c r="O34" i="30"/>
  <c r="N34" i="30"/>
  <c r="N128" i="30" s="1"/>
  <c r="M34" i="30"/>
  <c r="L34" i="30"/>
  <c r="K34" i="30"/>
  <c r="H34" i="30"/>
  <c r="G34" i="30"/>
  <c r="F34" i="30"/>
  <c r="E34" i="30"/>
  <c r="D34" i="30"/>
  <c r="C34" i="30"/>
  <c r="B34" i="30"/>
  <c r="B128" i="30" s="1"/>
  <c r="Q33" i="30"/>
  <c r="P33" i="30"/>
  <c r="O33" i="30"/>
  <c r="O127" i="30" s="1"/>
  <c r="N33" i="30"/>
  <c r="M33" i="30"/>
  <c r="L33" i="30"/>
  <c r="K33" i="30"/>
  <c r="H33" i="30"/>
  <c r="G33" i="30"/>
  <c r="F33" i="30"/>
  <c r="E33" i="30"/>
  <c r="D33" i="30"/>
  <c r="D127" i="30" s="1"/>
  <c r="C33" i="30"/>
  <c r="B33" i="30"/>
  <c r="Q32" i="30"/>
  <c r="P32" i="30"/>
  <c r="O32" i="30"/>
  <c r="N32" i="30"/>
  <c r="N126" i="30" s="1"/>
  <c r="M32" i="30"/>
  <c r="L32" i="30"/>
  <c r="K32" i="30"/>
  <c r="H32" i="30"/>
  <c r="G32" i="30"/>
  <c r="F32" i="30"/>
  <c r="E32" i="30"/>
  <c r="D32" i="30"/>
  <c r="C32" i="30"/>
  <c r="B32" i="30"/>
  <c r="B126" i="30" s="1"/>
  <c r="Q31" i="30"/>
  <c r="P31" i="30"/>
  <c r="O31" i="30"/>
  <c r="N31" i="30"/>
  <c r="M31" i="30"/>
  <c r="L31" i="30"/>
  <c r="K31" i="30"/>
  <c r="H31" i="30"/>
  <c r="G31" i="30"/>
  <c r="F31" i="30"/>
  <c r="E31" i="30"/>
  <c r="D31" i="30"/>
  <c r="D125" i="30" s="1"/>
  <c r="C31" i="30"/>
  <c r="B31" i="30"/>
  <c r="Q30" i="30"/>
  <c r="P30" i="30"/>
  <c r="O30" i="30"/>
  <c r="N30" i="30"/>
  <c r="M30" i="30"/>
  <c r="L179" i="30"/>
  <c r="K30" i="30"/>
  <c r="K179" i="30" s="1"/>
  <c r="H30" i="30"/>
  <c r="G30" i="30"/>
  <c r="F30" i="30"/>
  <c r="E30" i="30"/>
  <c r="D30" i="30"/>
  <c r="D179" i="30" s="1"/>
  <c r="C30" i="30"/>
  <c r="C179" i="30" s="1"/>
  <c r="B30" i="30"/>
  <c r="B179" i="30" s="1"/>
  <c r="Q29" i="30"/>
  <c r="P29" i="30"/>
  <c r="O29" i="30"/>
  <c r="N29" i="30"/>
  <c r="M29" i="30"/>
  <c r="L29" i="30"/>
  <c r="K29" i="30"/>
  <c r="H29" i="30"/>
  <c r="G29" i="30"/>
  <c r="F29" i="30"/>
  <c r="E29" i="30"/>
  <c r="D29" i="30"/>
  <c r="D123" i="30" s="1"/>
  <c r="C29" i="30"/>
  <c r="B29" i="30"/>
  <c r="Q28" i="30"/>
  <c r="P28" i="30"/>
  <c r="O28" i="30"/>
  <c r="N28" i="30"/>
  <c r="M28" i="30"/>
  <c r="M122" i="30" s="1"/>
  <c r="L28" i="30"/>
  <c r="K28" i="30"/>
  <c r="H28" i="30"/>
  <c r="G28" i="30"/>
  <c r="F28" i="30"/>
  <c r="E28" i="30"/>
  <c r="D28" i="30"/>
  <c r="D122" i="30" s="1"/>
  <c r="C28" i="30"/>
  <c r="B28" i="30"/>
  <c r="Q27" i="30"/>
  <c r="P27" i="30"/>
  <c r="O27" i="30"/>
  <c r="N27" i="30"/>
  <c r="M27" i="30"/>
  <c r="L27" i="30"/>
  <c r="K27" i="30"/>
  <c r="H27" i="30"/>
  <c r="G27" i="30"/>
  <c r="F27" i="30"/>
  <c r="E27" i="30"/>
  <c r="D27" i="30"/>
  <c r="D121" i="30" s="1"/>
  <c r="C27" i="30"/>
  <c r="B27" i="30"/>
  <c r="Q26" i="30"/>
  <c r="P26" i="30"/>
  <c r="O26" i="30"/>
  <c r="N26" i="30"/>
  <c r="M26" i="30"/>
  <c r="M120" i="30" s="1"/>
  <c r="L26" i="30"/>
  <c r="K26" i="30"/>
  <c r="H26" i="30"/>
  <c r="G26" i="30"/>
  <c r="F26" i="30"/>
  <c r="E26" i="30"/>
  <c r="D26" i="30"/>
  <c r="D120" i="30" s="1"/>
  <c r="C26" i="30"/>
  <c r="B26" i="30"/>
  <c r="Q25" i="30"/>
  <c r="P25" i="30"/>
  <c r="O25" i="30"/>
  <c r="N25" i="30"/>
  <c r="M25" i="30"/>
  <c r="L25" i="30"/>
  <c r="K25" i="30"/>
  <c r="H25" i="30"/>
  <c r="G25" i="30"/>
  <c r="F25" i="30"/>
  <c r="E25" i="30"/>
  <c r="D25" i="30"/>
  <c r="D119" i="30" s="1"/>
  <c r="C25" i="30"/>
  <c r="B25" i="30"/>
  <c r="Q24" i="30"/>
  <c r="P24" i="30"/>
  <c r="O24" i="30"/>
  <c r="N24" i="30"/>
  <c r="M24" i="30"/>
  <c r="M118" i="30" s="1"/>
  <c r="L24" i="30"/>
  <c r="K24" i="30"/>
  <c r="H24" i="30"/>
  <c r="G24" i="30"/>
  <c r="F24" i="30"/>
  <c r="E24" i="30"/>
  <c r="D24" i="30"/>
  <c r="D118" i="30" s="1"/>
  <c r="C24" i="30"/>
  <c r="B24" i="30"/>
  <c r="R23" i="30"/>
  <c r="Q23" i="30"/>
  <c r="P23" i="30"/>
  <c r="O23" i="30"/>
  <c r="N23" i="30"/>
  <c r="M23" i="30"/>
  <c r="L23" i="30"/>
  <c r="K23" i="30"/>
  <c r="I23" i="30"/>
  <c r="H23" i="30"/>
  <c r="G23" i="30"/>
  <c r="F23" i="30"/>
  <c r="E23" i="30"/>
  <c r="D23" i="30"/>
  <c r="D117" i="30" s="1"/>
  <c r="C23" i="30"/>
  <c r="B23" i="30"/>
  <c r="Q22" i="30"/>
  <c r="P22" i="30"/>
  <c r="O22" i="30"/>
  <c r="N22" i="30"/>
  <c r="M22" i="30"/>
  <c r="M116" i="30" s="1"/>
  <c r="L22" i="30"/>
  <c r="K22" i="30"/>
  <c r="H22" i="30"/>
  <c r="G22" i="30"/>
  <c r="F22" i="30"/>
  <c r="E22" i="30"/>
  <c r="D22" i="30"/>
  <c r="D116" i="30" s="1"/>
  <c r="C22" i="30"/>
  <c r="B22" i="30"/>
  <c r="Q21" i="30"/>
  <c r="P21" i="30"/>
  <c r="O21" i="30"/>
  <c r="N21" i="30"/>
  <c r="M21" i="30"/>
  <c r="M115" i="30" s="1"/>
  <c r="L21" i="30"/>
  <c r="K21" i="30"/>
  <c r="H21" i="30"/>
  <c r="G21" i="30"/>
  <c r="F21" i="30"/>
  <c r="E21" i="30"/>
  <c r="D21" i="30"/>
  <c r="D115" i="30" s="1"/>
  <c r="C21" i="30"/>
  <c r="B21" i="30"/>
  <c r="Q20" i="30"/>
  <c r="P20" i="30"/>
  <c r="O20" i="30"/>
  <c r="N20" i="30"/>
  <c r="M20" i="30"/>
  <c r="L20" i="30"/>
  <c r="K20" i="30"/>
  <c r="H20" i="30"/>
  <c r="G20" i="30"/>
  <c r="F20" i="30"/>
  <c r="E20" i="30"/>
  <c r="D20" i="30"/>
  <c r="C20" i="30"/>
  <c r="B20" i="30"/>
  <c r="Q19" i="30"/>
  <c r="P19" i="30"/>
  <c r="O19" i="30"/>
  <c r="M19" i="30"/>
  <c r="L19" i="30"/>
  <c r="K19" i="30"/>
  <c r="H19" i="30"/>
  <c r="G19" i="30"/>
  <c r="F19" i="30"/>
  <c r="E19" i="30"/>
  <c r="D19" i="30"/>
  <c r="C19" i="30"/>
  <c r="B19" i="30"/>
  <c r="Q18" i="30"/>
  <c r="P18" i="30"/>
  <c r="O18" i="30"/>
  <c r="N18" i="30"/>
  <c r="M18" i="30"/>
  <c r="L18" i="30"/>
  <c r="K18" i="30"/>
  <c r="H18" i="30"/>
  <c r="G18" i="30"/>
  <c r="F18" i="30"/>
  <c r="D18" i="30"/>
  <c r="C18" i="30"/>
  <c r="B18" i="30"/>
  <c r="Q17" i="30"/>
  <c r="P17" i="30"/>
  <c r="O17" i="30"/>
  <c r="N17" i="30"/>
  <c r="M17" i="30"/>
  <c r="L17" i="30"/>
  <c r="K17" i="30"/>
  <c r="H17" i="30"/>
  <c r="G17" i="30"/>
  <c r="F17" i="30"/>
  <c r="E17" i="30"/>
  <c r="D17" i="30"/>
  <c r="C17" i="30"/>
  <c r="B17" i="30"/>
  <c r="Q16" i="30"/>
  <c r="P16" i="30"/>
  <c r="O16" i="30"/>
  <c r="N16" i="30"/>
  <c r="M16" i="30"/>
  <c r="L16" i="30"/>
  <c r="K16" i="30"/>
  <c r="H16" i="30"/>
  <c r="G16" i="30"/>
  <c r="F16" i="30"/>
  <c r="E16" i="30"/>
  <c r="D16" i="30"/>
  <c r="C16" i="30"/>
  <c r="B16" i="30"/>
  <c r="Q15" i="30"/>
  <c r="P15" i="30"/>
  <c r="O15" i="30"/>
  <c r="N15" i="30"/>
  <c r="M15" i="30"/>
  <c r="L15" i="30"/>
  <c r="K15" i="30"/>
  <c r="H15" i="30"/>
  <c r="G15" i="30"/>
  <c r="F15" i="30"/>
  <c r="E15" i="30"/>
  <c r="D15" i="30"/>
  <c r="C15" i="30"/>
  <c r="B15" i="30"/>
  <c r="Q14" i="30"/>
  <c r="P14" i="30"/>
  <c r="O14" i="30"/>
  <c r="N14" i="30"/>
  <c r="M14" i="30"/>
  <c r="L14" i="30"/>
  <c r="K14" i="30"/>
  <c r="H14" i="30"/>
  <c r="G14" i="30"/>
  <c r="E14" i="30"/>
  <c r="D14" i="30"/>
  <c r="C14" i="30"/>
  <c r="B14" i="30"/>
  <c r="Q13" i="30"/>
  <c r="P13" i="30"/>
  <c r="O13" i="30"/>
  <c r="N13" i="30"/>
  <c r="M13" i="30"/>
  <c r="L13" i="30"/>
  <c r="K13" i="30"/>
  <c r="H13" i="30"/>
  <c r="G13" i="30"/>
  <c r="F13" i="30"/>
  <c r="E13" i="30"/>
  <c r="D13" i="30"/>
  <c r="C13" i="30"/>
  <c r="Q12" i="30"/>
  <c r="P12" i="30"/>
  <c r="O12" i="30"/>
  <c r="N12" i="30"/>
  <c r="M12" i="30"/>
  <c r="L12" i="30"/>
  <c r="K12" i="30"/>
  <c r="H12" i="30"/>
  <c r="G12" i="30"/>
  <c r="F12" i="30"/>
  <c r="E12" i="30"/>
  <c r="D12" i="30"/>
  <c r="C12" i="30"/>
  <c r="B12" i="30"/>
  <c r="Q11" i="30"/>
  <c r="P11" i="30"/>
  <c r="O11" i="30"/>
  <c r="N11" i="30"/>
  <c r="M11" i="30"/>
  <c r="L11" i="30"/>
  <c r="K11" i="30"/>
  <c r="H11" i="30"/>
  <c r="G11" i="30"/>
  <c r="F11" i="30"/>
  <c r="E11" i="30"/>
  <c r="D11" i="30"/>
  <c r="C11" i="30"/>
  <c r="B11" i="30"/>
  <c r="Q10" i="30"/>
  <c r="P10" i="30"/>
  <c r="O10" i="30"/>
  <c r="N10" i="30"/>
  <c r="M10" i="30"/>
  <c r="L10" i="30"/>
  <c r="H10" i="30"/>
  <c r="G10" i="30"/>
  <c r="E10" i="30"/>
  <c r="D10" i="30"/>
  <c r="C10" i="30"/>
  <c r="Q9" i="30"/>
  <c r="P9" i="30"/>
  <c r="O9" i="30"/>
  <c r="N9" i="30"/>
  <c r="M9" i="30"/>
  <c r="L9" i="30"/>
  <c r="K9" i="30"/>
  <c r="H9" i="30"/>
  <c r="G9" i="30"/>
  <c r="E9" i="30"/>
  <c r="D9" i="30"/>
  <c r="C9" i="30"/>
  <c r="B9" i="30"/>
  <c r="Q8" i="30"/>
  <c r="P8" i="30"/>
  <c r="O8" i="30"/>
  <c r="N8" i="30"/>
  <c r="M8" i="30"/>
  <c r="L8" i="30"/>
  <c r="K8" i="30"/>
  <c r="H8" i="30"/>
  <c r="G8" i="30"/>
  <c r="F8" i="30"/>
  <c r="E8" i="30"/>
  <c r="D8" i="30"/>
  <c r="D102" i="30" s="1"/>
  <c r="C8" i="30"/>
  <c r="B8" i="30"/>
  <c r="P7" i="30"/>
  <c r="O7" i="30"/>
  <c r="N7" i="30"/>
  <c r="M7" i="30"/>
  <c r="L7" i="30"/>
  <c r="G7" i="30"/>
  <c r="F7" i="30"/>
  <c r="E7" i="30"/>
  <c r="D7" i="30"/>
  <c r="C7" i="30"/>
  <c r="Q6" i="30"/>
  <c r="P6" i="30"/>
  <c r="O6" i="30"/>
  <c r="N6" i="30"/>
  <c r="M6" i="30"/>
  <c r="L6" i="30"/>
  <c r="K6" i="30"/>
  <c r="H6" i="30"/>
  <c r="G6" i="30"/>
  <c r="F6" i="30"/>
  <c r="E6" i="30"/>
  <c r="D6" i="30"/>
  <c r="C6" i="30"/>
  <c r="B6" i="30"/>
  <c r="Q5" i="30"/>
  <c r="P5" i="30"/>
  <c r="O5" i="30"/>
  <c r="N5" i="30"/>
  <c r="M5" i="30"/>
  <c r="L5" i="30"/>
  <c r="H5" i="30"/>
  <c r="G5" i="30"/>
  <c r="F5" i="30"/>
  <c r="E5" i="30"/>
  <c r="D5" i="30"/>
  <c r="B5" i="30"/>
  <c r="H95" i="29"/>
  <c r="G95" i="29"/>
  <c r="F95" i="29"/>
  <c r="F206" i="29" s="1"/>
  <c r="E95" i="29"/>
  <c r="D95" i="29"/>
  <c r="C95" i="29"/>
  <c r="B95" i="29"/>
  <c r="B206" i="29" s="1"/>
  <c r="H92" i="29"/>
  <c r="G92" i="29"/>
  <c r="F92" i="29"/>
  <c r="F203" i="29" s="1"/>
  <c r="E92" i="29"/>
  <c r="D92" i="29"/>
  <c r="C92" i="29"/>
  <c r="B92" i="29"/>
  <c r="B203" i="29" s="1"/>
  <c r="H91" i="29"/>
  <c r="G91" i="29"/>
  <c r="F91" i="29"/>
  <c r="F202" i="29" s="1"/>
  <c r="E91" i="29"/>
  <c r="D91" i="29"/>
  <c r="C91" i="29"/>
  <c r="B91" i="29"/>
  <c r="B202" i="29" s="1"/>
  <c r="H90" i="29"/>
  <c r="G90" i="29"/>
  <c r="F90" i="29"/>
  <c r="F201" i="29" s="1"/>
  <c r="E90" i="29"/>
  <c r="D90" i="29"/>
  <c r="C90" i="29"/>
  <c r="B90" i="29"/>
  <c r="B201" i="29" s="1"/>
  <c r="H89" i="29"/>
  <c r="G89" i="29"/>
  <c r="G200" i="29" s="1"/>
  <c r="F89" i="29"/>
  <c r="F200" i="29" s="1"/>
  <c r="E89" i="29"/>
  <c r="D89" i="29"/>
  <c r="C89" i="29"/>
  <c r="B89" i="29"/>
  <c r="B200" i="29" s="1"/>
  <c r="H88" i="29"/>
  <c r="G88" i="29"/>
  <c r="F88" i="29"/>
  <c r="F199" i="29" s="1"/>
  <c r="E88" i="29"/>
  <c r="D88" i="29"/>
  <c r="C88" i="29"/>
  <c r="B88" i="29"/>
  <c r="B199" i="29" s="1"/>
  <c r="H87" i="29"/>
  <c r="G87" i="29"/>
  <c r="G198" i="29" s="1"/>
  <c r="F87" i="29"/>
  <c r="F198" i="29" s="1"/>
  <c r="E87" i="29"/>
  <c r="D87" i="29"/>
  <c r="C87" i="29"/>
  <c r="B87" i="29"/>
  <c r="B198" i="29" s="1"/>
  <c r="H86" i="29"/>
  <c r="G86" i="29"/>
  <c r="F86" i="29"/>
  <c r="F197" i="29" s="1"/>
  <c r="E86" i="29"/>
  <c r="D86" i="29"/>
  <c r="C86" i="29"/>
  <c r="B86" i="29"/>
  <c r="B197" i="29" s="1"/>
  <c r="H85" i="29"/>
  <c r="G85" i="29"/>
  <c r="F85" i="29"/>
  <c r="F196" i="29" s="1"/>
  <c r="E85" i="29"/>
  <c r="D85" i="29"/>
  <c r="C85" i="29"/>
  <c r="B85" i="29"/>
  <c r="B196" i="29" s="1"/>
  <c r="H84" i="29"/>
  <c r="G84" i="29"/>
  <c r="F84" i="29"/>
  <c r="F195" i="29" s="1"/>
  <c r="E84" i="29"/>
  <c r="D84" i="29"/>
  <c r="C84" i="29"/>
  <c r="B84" i="29"/>
  <c r="B195" i="29" s="1"/>
  <c r="H83" i="29"/>
  <c r="G83" i="29"/>
  <c r="F83" i="29"/>
  <c r="F194" i="29" s="1"/>
  <c r="E83" i="29"/>
  <c r="D83" i="29"/>
  <c r="C83" i="29"/>
  <c r="B83" i="29"/>
  <c r="B194" i="29" s="1"/>
  <c r="H82" i="29"/>
  <c r="G82" i="29"/>
  <c r="F82" i="29"/>
  <c r="F193" i="29" s="1"/>
  <c r="E82" i="29"/>
  <c r="D82" i="29"/>
  <c r="C82" i="29"/>
  <c r="C193" i="29" s="1"/>
  <c r="B82" i="29"/>
  <c r="B193" i="29" s="1"/>
  <c r="H81" i="29"/>
  <c r="G81" i="29"/>
  <c r="G192" i="29" s="1"/>
  <c r="F81" i="29"/>
  <c r="F192" i="29" s="1"/>
  <c r="E81" i="29"/>
  <c r="D81" i="29"/>
  <c r="C81" i="29"/>
  <c r="B81" i="29"/>
  <c r="B192" i="29" s="1"/>
  <c r="H80" i="29"/>
  <c r="G80" i="29"/>
  <c r="F80" i="29"/>
  <c r="E80" i="29"/>
  <c r="D80" i="29"/>
  <c r="C80" i="29"/>
  <c r="B80" i="29"/>
  <c r="H79" i="29"/>
  <c r="G79" i="29"/>
  <c r="F79" i="29"/>
  <c r="E79" i="29"/>
  <c r="D79" i="29"/>
  <c r="C79" i="29"/>
  <c r="B79" i="29"/>
  <c r="H78" i="29"/>
  <c r="G78" i="29"/>
  <c r="F78" i="29"/>
  <c r="E78" i="29"/>
  <c r="D78" i="29"/>
  <c r="C78" i="29"/>
  <c r="B78" i="29"/>
  <c r="H77" i="29"/>
  <c r="G77" i="29"/>
  <c r="F77" i="29"/>
  <c r="E77" i="29"/>
  <c r="D77" i="29"/>
  <c r="C77" i="29"/>
  <c r="B77" i="29"/>
  <c r="H76" i="29"/>
  <c r="G76" i="29"/>
  <c r="F76" i="29"/>
  <c r="E76" i="29"/>
  <c r="D76" i="29"/>
  <c r="C76" i="29"/>
  <c r="B76" i="29"/>
  <c r="B191" i="29" s="1"/>
  <c r="H75" i="29"/>
  <c r="G75" i="29"/>
  <c r="F75" i="29"/>
  <c r="E75" i="29"/>
  <c r="D75" i="29"/>
  <c r="C75" i="29"/>
  <c r="B75" i="29"/>
  <c r="H74" i="29"/>
  <c r="G74" i="29"/>
  <c r="F74" i="29"/>
  <c r="E74" i="29"/>
  <c r="D74" i="29"/>
  <c r="C74" i="29"/>
  <c r="B74" i="29"/>
  <c r="H73" i="29"/>
  <c r="G73" i="29"/>
  <c r="F73" i="29"/>
  <c r="E73" i="29"/>
  <c r="D73" i="29"/>
  <c r="C73" i="29"/>
  <c r="B73" i="29"/>
  <c r="H72" i="29"/>
  <c r="G72" i="29"/>
  <c r="F72" i="29"/>
  <c r="E72" i="29"/>
  <c r="D72" i="29"/>
  <c r="C72" i="29"/>
  <c r="B72" i="29"/>
  <c r="H71" i="29"/>
  <c r="G71" i="29"/>
  <c r="F71" i="29"/>
  <c r="E71" i="29"/>
  <c r="D71" i="29"/>
  <c r="C71" i="29"/>
  <c r="B71" i="29"/>
  <c r="H70" i="29"/>
  <c r="G70" i="29"/>
  <c r="F70" i="29"/>
  <c r="E70" i="29"/>
  <c r="D70" i="29"/>
  <c r="C70" i="29"/>
  <c r="B70" i="29"/>
  <c r="I69" i="29"/>
  <c r="H69" i="29"/>
  <c r="G69" i="29"/>
  <c r="F69" i="29"/>
  <c r="E69" i="29"/>
  <c r="D69" i="29"/>
  <c r="C69" i="29"/>
  <c r="B69" i="29"/>
  <c r="H68" i="29"/>
  <c r="G68" i="29"/>
  <c r="F68" i="29"/>
  <c r="E68" i="29"/>
  <c r="D68" i="29"/>
  <c r="C68" i="29"/>
  <c r="B68" i="29"/>
  <c r="H67" i="29"/>
  <c r="G67" i="29"/>
  <c r="F67" i="29"/>
  <c r="E67" i="29"/>
  <c r="D67" i="29"/>
  <c r="C67" i="29"/>
  <c r="B67" i="29"/>
  <c r="H66" i="29"/>
  <c r="G66" i="29"/>
  <c r="F66" i="29"/>
  <c r="E66" i="29"/>
  <c r="D66" i="29"/>
  <c r="C66" i="29"/>
  <c r="B66" i="29"/>
  <c r="H65" i="29"/>
  <c r="G65" i="29"/>
  <c r="F65" i="29"/>
  <c r="E65" i="29"/>
  <c r="D65" i="29"/>
  <c r="C65" i="29"/>
  <c r="B65" i="29"/>
  <c r="H64" i="29"/>
  <c r="G64" i="29"/>
  <c r="F64" i="29"/>
  <c r="E64" i="29"/>
  <c r="D64" i="29"/>
  <c r="C64" i="29"/>
  <c r="B64" i="29"/>
  <c r="H63" i="29"/>
  <c r="G63" i="29"/>
  <c r="F63" i="29"/>
  <c r="E63" i="29"/>
  <c r="D63" i="29"/>
  <c r="C63" i="29"/>
  <c r="B63" i="29"/>
  <c r="H62" i="29"/>
  <c r="G62" i="29"/>
  <c r="F62" i="29"/>
  <c r="E62" i="29"/>
  <c r="D62" i="29"/>
  <c r="C62" i="29"/>
  <c r="B62" i="29"/>
  <c r="H61" i="29"/>
  <c r="G61" i="29"/>
  <c r="F61" i="29"/>
  <c r="E61" i="29"/>
  <c r="D61" i="29"/>
  <c r="C61" i="29"/>
  <c r="B61" i="29"/>
  <c r="H60" i="29"/>
  <c r="G60" i="29"/>
  <c r="F60" i="29"/>
  <c r="E60" i="29"/>
  <c r="D60" i="29"/>
  <c r="C60" i="29"/>
  <c r="B60" i="29"/>
  <c r="H59" i="29"/>
  <c r="G59" i="29"/>
  <c r="F59" i="29"/>
  <c r="E59" i="29"/>
  <c r="D59" i="29"/>
  <c r="C59" i="29"/>
  <c r="B59" i="29"/>
  <c r="H58" i="29"/>
  <c r="G58" i="29"/>
  <c r="F58" i="29"/>
  <c r="E58" i="29"/>
  <c r="D58" i="29"/>
  <c r="C58" i="29"/>
  <c r="B58" i="29"/>
  <c r="G57" i="29"/>
  <c r="F57" i="29"/>
  <c r="E57" i="29"/>
  <c r="D57" i="29"/>
  <c r="C57" i="29"/>
  <c r="B57" i="29"/>
  <c r="H56" i="29"/>
  <c r="G56" i="29"/>
  <c r="E56" i="29"/>
  <c r="D56" i="29"/>
  <c r="C56" i="29"/>
  <c r="B56" i="29"/>
  <c r="H55" i="29"/>
  <c r="G55" i="29"/>
  <c r="F55" i="29"/>
  <c r="E55" i="29"/>
  <c r="D55" i="29"/>
  <c r="C55" i="29"/>
  <c r="B55" i="29"/>
  <c r="H54" i="29"/>
  <c r="G54" i="29"/>
  <c r="F54" i="29"/>
  <c r="E54" i="29"/>
  <c r="D54" i="29"/>
  <c r="C54" i="29"/>
  <c r="B54" i="29"/>
  <c r="H53" i="29"/>
  <c r="G53" i="29"/>
  <c r="F53" i="29"/>
  <c r="E53" i="29"/>
  <c r="D53" i="29"/>
  <c r="C53" i="29"/>
  <c r="B53" i="29"/>
  <c r="H52" i="29"/>
  <c r="G52" i="29"/>
  <c r="F52" i="29"/>
  <c r="E52" i="29"/>
  <c r="D52" i="29"/>
  <c r="C52" i="29"/>
  <c r="B52" i="29"/>
  <c r="H51" i="29"/>
  <c r="G51" i="29"/>
  <c r="F51" i="29"/>
  <c r="E51" i="29"/>
  <c r="D51" i="29"/>
  <c r="C51" i="29"/>
  <c r="B51" i="29"/>
  <c r="H48" i="29"/>
  <c r="H184" i="29" s="1"/>
  <c r="G48" i="29"/>
  <c r="G184" i="29" s="1"/>
  <c r="F48" i="29"/>
  <c r="F184" i="29" s="1"/>
  <c r="E48" i="29"/>
  <c r="E184" i="29" s="1"/>
  <c r="D48" i="29"/>
  <c r="D184" i="29" s="1"/>
  <c r="C48" i="29"/>
  <c r="C184" i="29" s="1"/>
  <c r="B48" i="29"/>
  <c r="B184" i="29" s="1"/>
  <c r="H45" i="29"/>
  <c r="H181" i="29" s="1"/>
  <c r="G45" i="29"/>
  <c r="G181" i="29" s="1"/>
  <c r="F45" i="29"/>
  <c r="F181" i="29" s="1"/>
  <c r="E45" i="29"/>
  <c r="E181" i="29" s="1"/>
  <c r="D45" i="29"/>
  <c r="D181" i="29" s="1"/>
  <c r="C45" i="29"/>
  <c r="C181" i="29" s="1"/>
  <c r="B45" i="29"/>
  <c r="B181" i="29" s="1"/>
  <c r="H44" i="29"/>
  <c r="H180" i="29" s="1"/>
  <c r="G44" i="29"/>
  <c r="G180" i="29" s="1"/>
  <c r="F44" i="29"/>
  <c r="F180" i="29" s="1"/>
  <c r="E44" i="29"/>
  <c r="E180" i="29" s="1"/>
  <c r="D44" i="29"/>
  <c r="D180" i="29" s="1"/>
  <c r="C44" i="29"/>
  <c r="C180" i="29" s="1"/>
  <c r="B44" i="29"/>
  <c r="B180" i="29" s="1"/>
  <c r="H43" i="29"/>
  <c r="H179" i="29" s="1"/>
  <c r="G43" i="29"/>
  <c r="G179" i="29" s="1"/>
  <c r="F43" i="29"/>
  <c r="F179" i="29" s="1"/>
  <c r="E43" i="29"/>
  <c r="E179" i="29" s="1"/>
  <c r="D43" i="29"/>
  <c r="D179" i="29" s="1"/>
  <c r="C43" i="29"/>
  <c r="C179" i="29" s="1"/>
  <c r="B43" i="29"/>
  <c r="B179" i="29" s="1"/>
  <c r="H42" i="29"/>
  <c r="H178" i="29" s="1"/>
  <c r="G42" i="29"/>
  <c r="G178" i="29" s="1"/>
  <c r="F42" i="29"/>
  <c r="F178" i="29" s="1"/>
  <c r="E42" i="29"/>
  <c r="E178" i="29" s="1"/>
  <c r="D42" i="29"/>
  <c r="D178" i="29" s="1"/>
  <c r="C42" i="29"/>
  <c r="C178" i="29" s="1"/>
  <c r="B42" i="29"/>
  <c r="B178" i="29" s="1"/>
  <c r="H41" i="29"/>
  <c r="H177" i="29" s="1"/>
  <c r="G41" i="29"/>
  <c r="G177" i="29" s="1"/>
  <c r="F41" i="29"/>
  <c r="F177" i="29" s="1"/>
  <c r="E41" i="29"/>
  <c r="E177" i="29" s="1"/>
  <c r="D41" i="29"/>
  <c r="D177" i="29" s="1"/>
  <c r="C41" i="29"/>
  <c r="C177" i="29" s="1"/>
  <c r="B41" i="29"/>
  <c r="B177" i="29" s="1"/>
  <c r="H40" i="29"/>
  <c r="H176" i="29" s="1"/>
  <c r="G40" i="29"/>
  <c r="G176" i="29" s="1"/>
  <c r="F40" i="29"/>
  <c r="F176" i="29" s="1"/>
  <c r="E40" i="29"/>
  <c r="E176" i="29" s="1"/>
  <c r="D40" i="29"/>
  <c r="D176" i="29" s="1"/>
  <c r="C40" i="29"/>
  <c r="C176" i="29" s="1"/>
  <c r="B40" i="29"/>
  <c r="B176" i="29" s="1"/>
  <c r="H39" i="29"/>
  <c r="H175" i="29" s="1"/>
  <c r="G39" i="29"/>
  <c r="G175" i="29" s="1"/>
  <c r="F39" i="29"/>
  <c r="F175" i="29" s="1"/>
  <c r="E39" i="29"/>
  <c r="E175" i="29" s="1"/>
  <c r="D39" i="29"/>
  <c r="D175" i="29" s="1"/>
  <c r="C39" i="29"/>
  <c r="C175" i="29" s="1"/>
  <c r="B39" i="29"/>
  <c r="B175" i="29" s="1"/>
  <c r="H38" i="29"/>
  <c r="H174" i="29" s="1"/>
  <c r="G38" i="29"/>
  <c r="G174" i="29" s="1"/>
  <c r="F38" i="29"/>
  <c r="F174" i="29" s="1"/>
  <c r="E38" i="29"/>
  <c r="E174" i="29" s="1"/>
  <c r="D38" i="29"/>
  <c r="D174" i="29" s="1"/>
  <c r="C38" i="29"/>
  <c r="C174" i="29" s="1"/>
  <c r="B38" i="29"/>
  <c r="B174" i="29" s="1"/>
  <c r="H37" i="29"/>
  <c r="H173" i="29" s="1"/>
  <c r="G37" i="29"/>
  <c r="G173" i="29" s="1"/>
  <c r="F37" i="29"/>
  <c r="F173" i="29" s="1"/>
  <c r="E37" i="29"/>
  <c r="E173" i="29" s="1"/>
  <c r="D37" i="29"/>
  <c r="D173" i="29" s="1"/>
  <c r="C37" i="29"/>
  <c r="C173" i="29" s="1"/>
  <c r="B37" i="29"/>
  <c r="B173" i="29" s="1"/>
  <c r="H36" i="29"/>
  <c r="H172" i="29" s="1"/>
  <c r="G36" i="29"/>
  <c r="G172" i="29" s="1"/>
  <c r="F36" i="29"/>
  <c r="F172" i="29" s="1"/>
  <c r="E36" i="29"/>
  <c r="E172" i="29" s="1"/>
  <c r="D36" i="29"/>
  <c r="D172" i="29" s="1"/>
  <c r="C36" i="29"/>
  <c r="C172" i="29" s="1"/>
  <c r="B36" i="29"/>
  <c r="B172" i="29" s="1"/>
  <c r="H35" i="29"/>
  <c r="H171" i="29" s="1"/>
  <c r="G35" i="29"/>
  <c r="G171" i="29" s="1"/>
  <c r="F35" i="29"/>
  <c r="F171" i="29" s="1"/>
  <c r="E35" i="29"/>
  <c r="E171" i="29" s="1"/>
  <c r="D35" i="29"/>
  <c r="D171" i="29" s="1"/>
  <c r="C35" i="29"/>
  <c r="C171" i="29" s="1"/>
  <c r="B35" i="29"/>
  <c r="B171" i="29" s="1"/>
  <c r="H34" i="29"/>
  <c r="H170" i="29" s="1"/>
  <c r="G34" i="29"/>
  <c r="G170" i="29" s="1"/>
  <c r="F34" i="29"/>
  <c r="F170" i="29" s="1"/>
  <c r="E34" i="29"/>
  <c r="E170" i="29" s="1"/>
  <c r="D34" i="29"/>
  <c r="D170" i="29" s="1"/>
  <c r="C34" i="29"/>
  <c r="C170" i="29" s="1"/>
  <c r="B34" i="29"/>
  <c r="B170" i="29" s="1"/>
  <c r="H33" i="29"/>
  <c r="H127" i="29" s="1"/>
  <c r="G33" i="29"/>
  <c r="F33" i="29"/>
  <c r="E33" i="29"/>
  <c r="D33" i="29"/>
  <c r="C33" i="29"/>
  <c r="B33" i="29"/>
  <c r="H32" i="29"/>
  <c r="H126" i="29" s="1"/>
  <c r="G32" i="29"/>
  <c r="F32" i="29"/>
  <c r="E32" i="29"/>
  <c r="D32" i="29"/>
  <c r="D126" i="29" s="1"/>
  <c r="C32" i="29"/>
  <c r="B32" i="29"/>
  <c r="H31" i="29"/>
  <c r="H125" i="29" s="1"/>
  <c r="G31" i="29"/>
  <c r="F31" i="29"/>
  <c r="E31" i="29"/>
  <c r="D31" i="29"/>
  <c r="C31" i="29"/>
  <c r="B31" i="29"/>
  <c r="H30" i="29"/>
  <c r="H124" i="29" s="1"/>
  <c r="G30" i="29"/>
  <c r="F30" i="29"/>
  <c r="E30" i="29"/>
  <c r="D30" i="29"/>
  <c r="D124" i="29" s="1"/>
  <c r="C30" i="29"/>
  <c r="B30" i="29"/>
  <c r="H29" i="29"/>
  <c r="G29" i="29"/>
  <c r="F29" i="29"/>
  <c r="E29" i="29"/>
  <c r="D29" i="29"/>
  <c r="C29" i="29"/>
  <c r="B29" i="29"/>
  <c r="B169" i="29" s="1"/>
  <c r="H28" i="29"/>
  <c r="H122" i="29" s="1"/>
  <c r="G28" i="29"/>
  <c r="F28" i="29"/>
  <c r="E28" i="29"/>
  <c r="D28" i="29"/>
  <c r="D122" i="29" s="1"/>
  <c r="C28" i="29"/>
  <c r="B28" i="29"/>
  <c r="H27" i="29"/>
  <c r="H121" i="29" s="1"/>
  <c r="F27" i="29"/>
  <c r="E27" i="29"/>
  <c r="D27" i="29"/>
  <c r="C27" i="29"/>
  <c r="B27" i="29"/>
  <c r="H26" i="29"/>
  <c r="G26" i="29"/>
  <c r="F26" i="29"/>
  <c r="E26" i="29"/>
  <c r="D26" i="29"/>
  <c r="C26" i="29"/>
  <c r="B26" i="29"/>
  <c r="H25" i="29"/>
  <c r="G25" i="29"/>
  <c r="F25" i="29"/>
  <c r="E25" i="29"/>
  <c r="D25" i="29"/>
  <c r="C25" i="29"/>
  <c r="B25" i="29"/>
  <c r="H24" i="29"/>
  <c r="G24" i="29"/>
  <c r="F24" i="29"/>
  <c r="E24" i="29"/>
  <c r="D24" i="29"/>
  <c r="C24" i="29"/>
  <c r="B24" i="29"/>
  <c r="H23" i="29"/>
  <c r="G23" i="29"/>
  <c r="F23" i="29"/>
  <c r="E23" i="29"/>
  <c r="D23" i="29"/>
  <c r="C23" i="29"/>
  <c r="B23" i="29"/>
  <c r="I22" i="29"/>
  <c r="H22" i="29"/>
  <c r="G22" i="29"/>
  <c r="F22" i="29"/>
  <c r="E22" i="29"/>
  <c r="D22" i="29"/>
  <c r="C22" i="29"/>
  <c r="B22" i="29"/>
  <c r="H21" i="29"/>
  <c r="F21" i="29"/>
  <c r="E21" i="29"/>
  <c r="D21" i="29"/>
  <c r="C21" i="29"/>
  <c r="B21" i="29"/>
  <c r="H20" i="29"/>
  <c r="G20" i="29"/>
  <c r="F20" i="29"/>
  <c r="E20" i="29"/>
  <c r="D20" i="29"/>
  <c r="C20" i="29"/>
  <c r="B20" i="29"/>
  <c r="H19" i="29"/>
  <c r="G19" i="29"/>
  <c r="F19" i="29"/>
  <c r="E19" i="29"/>
  <c r="D19" i="29"/>
  <c r="C19" i="29"/>
  <c r="B19" i="29"/>
  <c r="H18" i="29"/>
  <c r="G18" i="29"/>
  <c r="F18" i="29"/>
  <c r="E18" i="29"/>
  <c r="D18" i="29"/>
  <c r="C18" i="29"/>
  <c r="B18" i="29"/>
  <c r="H17" i="29"/>
  <c r="G17" i="29"/>
  <c r="F17" i="29"/>
  <c r="E17" i="29"/>
  <c r="D17" i="29"/>
  <c r="C17" i="29"/>
  <c r="B17" i="29"/>
  <c r="H16" i="29"/>
  <c r="G16" i="29"/>
  <c r="F16" i="29"/>
  <c r="E16" i="29"/>
  <c r="D16" i="29"/>
  <c r="C16" i="29"/>
  <c r="B16" i="29"/>
  <c r="H15" i="29"/>
  <c r="G15" i="29"/>
  <c r="F15" i="29"/>
  <c r="E15" i="29"/>
  <c r="D15" i="29"/>
  <c r="C15" i="29"/>
  <c r="B15" i="29"/>
  <c r="H14" i="29"/>
  <c r="G14" i="29"/>
  <c r="F14" i="29"/>
  <c r="E14" i="29"/>
  <c r="D14" i="29"/>
  <c r="C14" i="29"/>
  <c r="B14" i="29"/>
  <c r="H13" i="29"/>
  <c r="G13" i="29"/>
  <c r="F13" i="29"/>
  <c r="E13" i="29"/>
  <c r="D13" i="29"/>
  <c r="C13" i="29"/>
  <c r="B13" i="29"/>
  <c r="H12" i="29"/>
  <c r="G12" i="29"/>
  <c r="F12" i="29"/>
  <c r="E12" i="29"/>
  <c r="D12" i="29"/>
  <c r="C12" i="29"/>
  <c r="H11" i="29"/>
  <c r="G11" i="29"/>
  <c r="F11" i="29"/>
  <c r="E11" i="29"/>
  <c r="D11" i="29"/>
  <c r="C11" i="29"/>
  <c r="B11" i="29"/>
  <c r="H10" i="29"/>
  <c r="G10" i="29"/>
  <c r="F10" i="29"/>
  <c r="E10" i="29"/>
  <c r="D10" i="29"/>
  <c r="C10" i="29"/>
  <c r="B10" i="29"/>
  <c r="H9" i="29"/>
  <c r="G9" i="29"/>
  <c r="F9" i="29"/>
  <c r="E9" i="29"/>
  <c r="D9" i="29"/>
  <c r="C9" i="29"/>
  <c r="H8" i="29"/>
  <c r="G8" i="29"/>
  <c r="F8" i="29"/>
  <c r="E8" i="29"/>
  <c r="D8" i="29"/>
  <c r="C8" i="29"/>
  <c r="B8" i="29"/>
  <c r="H7" i="29"/>
  <c r="G7" i="29"/>
  <c r="F7" i="29"/>
  <c r="E7" i="29"/>
  <c r="D7" i="29"/>
  <c r="C7" i="29"/>
  <c r="B7" i="29"/>
  <c r="G6" i="29"/>
  <c r="F6" i="29"/>
  <c r="E6" i="29"/>
  <c r="D6" i="29"/>
  <c r="C6" i="29"/>
  <c r="H5" i="29"/>
  <c r="G5" i="29"/>
  <c r="G99" i="29" s="1"/>
  <c r="F5" i="29"/>
  <c r="E5" i="29"/>
  <c r="D5" i="29"/>
  <c r="C5" i="29"/>
  <c r="B5" i="29"/>
  <c r="H4" i="29"/>
  <c r="G4" i="29"/>
  <c r="G98" i="29" s="1"/>
  <c r="F4" i="29"/>
  <c r="E4" i="29"/>
  <c r="D4" i="29"/>
  <c r="C4" i="29"/>
  <c r="G255" i="28"/>
  <c r="G254" i="28"/>
  <c r="G253" i="28"/>
  <c r="G247" i="28"/>
  <c r="G245" i="28"/>
  <c r="F245" i="28"/>
  <c r="E245" i="28"/>
  <c r="D245" i="28"/>
  <c r="C245" i="28"/>
  <c r="B245" i="28"/>
  <c r="G244" i="28"/>
  <c r="F244" i="28"/>
  <c r="E244" i="28"/>
  <c r="D244" i="28"/>
  <c r="C244" i="28"/>
  <c r="B244" i="28"/>
  <c r="G243" i="28"/>
  <c r="F243" i="28"/>
  <c r="E243" i="28"/>
  <c r="D243" i="28"/>
  <c r="C243" i="28"/>
  <c r="B243" i="28"/>
  <c r="G242" i="28"/>
  <c r="F242" i="28"/>
  <c r="E242" i="28"/>
  <c r="D242" i="28"/>
  <c r="C242" i="28"/>
  <c r="B242" i="28"/>
  <c r="G241" i="28"/>
  <c r="F241" i="28"/>
  <c r="E241" i="28"/>
  <c r="D241" i="28"/>
  <c r="C241" i="28"/>
  <c r="B241" i="28"/>
  <c r="G240" i="28"/>
  <c r="F240" i="28"/>
  <c r="E240" i="28"/>
  <c r="D240" i="28"/>
  <c r="C240" i="28"/>
  <c r="B240" i="28"/>
  <c r="G239" i="28"/>
  <c r="F239" i="28"/>
  <c r="E239" i="28"/>
  <c r="D239" i="28"/>
  <c r="C239" i="28"/>
  <c r="B239" i="28"/>
  <c r="G238" i="28"/>
  <c r="F238" i="28"/>
  <c r="E238" i="28"/>
  <c r="D238" i="28"/>
  <c r="C238" i="28"/>
  <c r="B238" i="28"/>
  <c r="F237" i="28"/>
  <c r="E237" i="28"/>
  <c r="D237" i="28"/>
  <c r="C237" i="28"/>
  <c r="B237" i="28"/>
  <c r="F236" i="28"/>
  <c r="E236" i="28"/>
  <c r="D236" i="28"/>
  <c r="C236" i="28"/>
  <c r="B236" i="28"/>
  <c r="F235" i="28"/>
  <c r="E235" i="28"/>
  <c r="D235" i="28"/>
  <c r="C235" i="28"/>
  <c r="B235" i="28"/>
  <c r="G202" i="28"/>
  <c r="H200" i="28"/>
  <c r="G200" i="28"/>
  <c r="F200" i="28"/>
  <c r="E200" i="28"/>
  <c r="D200" i="28"/>
  <c r="C200" i="28"/>
  <c r="B200" i="28"/>
  <c r="H199" i="28"/>
  <c r="G199" i="28"/>
  <c r="F199" i="28"/>
  <c r="E199" i="28"/>
  <c r="D199" i="28"/>
  <c r="C199" i="28"/>
  <c r="B199" i="28"/>
  <c r="H198" i="28"/>
  <c r="G198" i="28"/>
  <c r="F198" i="28"/>
  <c r="E198" i="28"/>
  <c r="D198" i="28"/>
  <c r="C198" i="28"/>
  <c r="B198" i="28"/>
  <c r="H197" i="28"/>
  <c r="G197" i="28"/>
  <c r="F197" i="28"/>
  <c r="E197" i="28"/>
  <c r="D197" i="28"/>
  <c r="C197" i="28"/>
  <c r="B197" i="28"/>
  <c r="H196" i="28"/>
  <c r="G196" i="28"/>
  <c r="F196" i="28"/>
  <c r="E196" i="28"/>
  <c r="D196" i="28"/>
  <c r="C196" i="28"/>
  <c r="B196" i="28"/>
  <c r="H195" i="28"/>
  <c r="G195" i="28"/>
  <c r="F195" i="28"/>
  <c r="E195" i="28"/>
  <c r="D195" i="28"/>
  <c r="C195" i="28"/>
  <c r="B195" i="28"/>
  <c r="H194" i="28"/>
  <c r="G194" i="28"/>
  <c r="F194" i="28"/>
  <c r="E194" i="28"/>
  <c r="D194" i="28"/>
  <c r="C194" i="28"/>
  <c r="B194" i="28"/>
  <c r="H193" i="28"/>
  <c r="G193" i="28"/>
  <c r="F193" i="28"/>
  <c r="E193" i="28"/>
  <c r="D193" i="28"/>
  <c r="C193" i="28"/>
  <c r="B193" i="28"/>
  <c r="H192" i="28"/>
  <c r="G192" i="28"/>
  <c r="F192" i="28"/>
  <c r="E192" i="28"/>
  <c r="D192" i="28"/>
  <c r="C192" i="28"/>
  <c r="B192" i="28"/>
  <c r="H191" i="28"/>
  <c r="G191" i="28"/>
  <c r="F191" i="28"/>
  <c r="E191" i="28"/>
  <c r="D191" i="28"/>
  <c r="C191" i="28"/>
  <c r="B191" i="28"/>
  <c r="H190" i="28"/>
  <c r="G190" i="28"/>
  <c r="F190" i="28"/>
  <c r="E190" i="28"/>
  <c r="D190" i="28"/>
  <c r="C190" i="28"/>
  <c r="B190" i="28"/>
  <c r="G122" i="28"/>
  <c r="G265" i="28" s="1"/>
  <c r="G120" i="28"/>
  <c r="G263" i="28" s="1"/>
  <c r="F120" i="28"/>
  <c r="F263" i="28" s="1"/>
  <c r="E120" i="28"/>
  <c r="E263" i="28" s="1"/>
  <c r="D120" i="28"/>
  <c r="D263" i="28" s="1"/>
  <c r="C120" i="28"/>
  <c r="C263" i="28" s="1"/>
  <c r="B120" i="28"/>
  <c r="G119" i="28"/>
  <c r="G262" i="28" s="1"/>
  <c r="F119" i="28"/>
  <c r="F262" i="28" s="1"/>
  <c r="E119" i="28"/>
  <c r="E262" i="28" s="1"/>
  <c r="D119" i="28"/>
  <c r="D262" i="28" s="1"/>
  <c r="C119" i="28"/>
  <c r="B119" i="28"/>
  <c r="B262" i="28" s="1"/>
  <c r="G118" i="28"/>
  <c r="G261" i="28" s="1"/>
  <c r="F118" i="28"/>
  <c r="E118" i="28"/>
  <c r="E261" i="28" s="1"/>
  <c r="D118" i="28"/>
  <c r="D261" i="28" s="1"/>
  <c r="C118" i="28"/>
  <c r="C261" i="28" s="1"/>
  <c r="B118" i="28"/>
  <c r="G117" i="28"/>
  <c r="F117" i="28"/>
  <c r="E117" i="28"/>
  <c r="E260" i="28" s="1"/>
  <c r="D117" i="28"/>
  <c r="D260" i="28" s="1"/>
  <c r="C117" i="28"/>
  <c r="C260" i="28" s="1"/>
  <c r="B117" i="28"/>
  <c r="B260" i="28" s="1"/>
  <c r="G116" i="28"/>
  <c r="G259" i="28" s="1"/>
  <c r="F116" i="28"/>
  <c r="E116" i="28"/>
  <c r="D116" i="28"/>
  <c r="D259" i="28" s="1"/>
  <c r="C116" i="28"/>
  <c r="C259" i="28" s="1"/>
  <c r="B116" i="28"/>
  <c r="G115" i="28"/>
  <c r="G258" i="28" s="1"/>
  <c r="F115" i="28"/>
  <c r="F258" i="28" s="1"/>
  <c r="E115" i="28"/>
  <c r="E258" i="28" s="1"/>
  <c r="D115" i="28"/>
  <c r="C115" i="28"/>
  <c r="C258" i="28" s="1"/>
  <c r="B115" i="28"/>
  <c r="B258" i="28" s="1"/>
  <c r="G114" i="28"/>
  <c r="G257" i="28" s="1"/>
  <c r="F114" i="28"/>
  <c r="F257" i="28" s="1"/>
  <c r="E114" i="28"/>
  <c r="E257" i="28" s="1"/>
  <c r="D114" i="28"/>
  <c r="C114" i="28"/>
  <c r="C257" i="28" s="1"/>
  <c r="B114" i="28"/>
  <c r="B257" i="28" s="1"/>
  <c r="G113" i="28"/>
  <c r="F113" i="28"/>
  <c r="E113" i="28"/>
  <c r="D113" i="28"/>
  <c r="C113" i="28"/>
  <c r="B113" i="28"/>
  <c r="G112" i="28"/>
  <c r="F112" i="28"/>
  <c r="E112" i="28"/>
  <c r="D112" i="28"/>
  <c r="C112" i="28"/>
  <c r="B112" i="28"/>
  <c r="G111" i="28"/>
  <c r="F111" i="28"/>
  <c r="E111" i="28"/>
  <c r="D111" i="28"/>
  <c r="C111" i="28"/>
  <c r="B111" i="28"/>
  <c r="G110" i="28"/>
  <c r="F110" i="28"/>
  <c r="E110" i="28"/>
  <c r="D110" i="28"/>
  <c r="C110" i="28"/>
  <c r="B110" i="28"/>
  <c r="G109" i="28"/>
  <c r="F109" i="28"/>
  <c r="E109" i="28"/>
  <c r="D109" i="28"/>
  <c r="C109" i="28"/>
  <c r="B109" i="28"/>
  <c r="G108" i="28"/>
  <c r="F108" i="28"/>
  <c r="E108" i="28"/>
  <c r="D108" i="28"/>
  <c r="C108" i="28"/>
  <c r="B108" i="28"/>
  <c r="G107" i="28"/>
  <c r="F107" i="28"/>
  <c r="E107" i="28"/>
  <c r="D107" i="28"/>
  <c r="C107" i="28"/>
  <c r="B107" i="28"/>
  <c r="G106" i="28"/>
  <c r="F106" i="28"/>
  <c r="E106" i="28"/>
  <c r="D106" i="28"/>
  <c r="C106" i="28"/>
  <c r="B106" i="28"/>
  <c r="G105" i="28"/>
  <c r="F105" i="28"/>
  <c r="E105" i="28"/>
  <c r="D105" i="28"/>
  <c r="C105" i="28"/>
  <c r="B105" i="28"/>
  <c r="G104" i="28"/>
  <c r="F104" i="28"/>
  <c r="E104" i="28"/>
  <c r="D104" i="28"/>
  <c r="C104" i="28"/>
  <c r="B104" i="28"/>
  <c r="G103" i="28"/>
  <c r="F103" i="28"/>
  <c r="E103" i="28"/>
  <c r="D103" i="28"/>
  <c r="C103" i="28"/>
  <c r="B103" i="28"/>
  <c r="G102" i="28"/>
  <c r="F102" i="28"/>
  <c r="E102" i="28"/>
  <c r="D102" i="28"/>
  <c r="C102" i="28"/>
  <c r="B102" i="28"/>
  <c r="G101" i="28"/>
  <c r="F101" i="28"/>
  <c r="E101" i="28"/>
  <c r="D101" i="28"/>
  <c r="C101" i="28"/>
  <c r="B101" i="28"/>
  <c r="P98" i="28"/>
  <c r="I98" i="28"/>
  <c r="F98" i="28"/>
  <c r="F247" i="28" s="1"/>
  <c r="E98" i="28"/>
  <c r="E247" i="28" s="1"/>
  <c r="D98" i="28"/>
  <c r="D247" i="28" s="1"/>
  <c r="C98" i="28"/>
  <c r="C247" i="28" s="1"/>
  <c r="B98" i="28"/>
  <c r="P96" i="28"/>
  <c r="I96" i="28"/>
  <c r="H96" i="28"/>
  <c r="H120" i="28" s="1"/>
  <c r="H263" i="28" s="1"/>
  <c r="P95" i="28"/>
  <c r="I95" i="28"/>
  <c r="H95" i="28"/>
  <c r="H119" i="28" s="1"/>
  <c r="P94" i="28"/>
  <c r="I94" i="28"/>
  <c r="H94" i="28"/>
  <c r="H243" i="28" s="1"/>
  <c r="P93" i="28"/>
  <c r="I93" i="28"/>
  <c r="H93" i="28"/>
  <c r="P92" i="28"/>
  <c r="I92" i="28"/>
  <c r="H92" i="28"/>
  <c r="H116" i="28" s="1"/>
  <c r="P91" i="28"/>
  <c r="I91" i="28"/>
  <c r="H91" i="28"/>
  <c r="H240" i="28" s="1"/>
  <c r="P90" i="28"/>
  <c r="I90" i="28"/>
  <c r="H90" i="28"/>
  <c r="H239" i="28" s="1"/>
  <c r="P89" i="28"/>
  <c r="I89" i="28"/>
  <c r="H89" i="28"/>
  <c r="H113" i="28" s="1"/>
  <c r="P88" i="28"/>
  <c r="I88" i="28"/>
  <c r="H88" i="28"/>
  <c r="H112" i="28" s="1"/>
  <c r="P87" i="28"/>
  <c r="I87" i="28"/>
  <c r="H87" i="28"/>
  <c r="H111" i="28" s="1"/>
  <c r="P86" i="28"/>
  <c r="I86" i="28"/>
  <c r="H86" i="28"/>
  <c r="H110" i="28" s="1"/>
  <c r="P85" i="28"/>
  <c r="I85" i="28"/>
  <c r="H85" i="28"/>
  <c r="P84" i="28"/>
  <c r="I84" i="28"/>
  <c r="H84" i="28"/>
  <c r="H108" i="28" s="1"/>
  <c r="P83" i="28"/>
  <c r="I83" i="28"/>
  <c r="H83" i="28"/>
  <c r="H107" i="28" s="1"/>
  <c r="P82" i="28"/>
  <c r="I82" i="28"/>
  <c r="H82" i="28"/>
  <c r="H106" i="28" s="1"/>
  <c r="P81" i="28"/>
  <c r="I81" i="28"/>
  <c r="H81" i="28"/>
  <c r="H105" i="28" s="1"/>
  <c r="P80" i="28"/>
  <c r="I80" i="28"/>
  <c r="H80" i="28"/>
  <c r="H104" i="28" s="1"/>
  <c r="P79" i="28"/>
  <c r="I79" i="28"/>
  <c r="H79" i="28"/>
  <c r="P78" i="28"/>
  <c r="I78" i="28"/>
  <c r="H78" i="28"/>
  <c r="H102" i="28" s="1"/>
  <c r="P77" i="28"/>
  <c r="I77" i="28"/>
  <c r="H77" i="28"/>
  <c r="H101" i="28" s="1"/>
  <c r="F217" i="28"/>
  <c r="E217" i="28"/>
  <c r="D217" i="28"/>
  <c r="C217" i="28"/>
  <c r="B217" i="28"/>
  <c r="G48" i="28"/>
  <c r="G215" i="28" s="1"/>
  <c r="F48" i="28"/>
  <c r="F215" i="28" s="1"/>
  <c r="E48" i="28"/>
  <c r="D48" i="28"/>
  <c r="D72" i="28" s="1"/>
  <c r="D230" i="28" s="1"/>
  <c r="C48" i="28"/>
  <c r="C215" i="28" s="1"/>
  <c r="B48" i="28"/>
  <c r="B215" i="28" s="1"/>
  <c r="G47" i="28"/>
  <c r="G214" i="28" s="1"/>
  <c r="F47" i="28"/>
  <c r="F214" i="28" s="1"/>
  <c r="E47" i="28"/>
  <c r="E71" i="28" s="1"/>
  <c r="E229" i="28" s="1"/>
  <c r="D47" i="28"/>
  <c r="C47" i="28"/>
  <c r="C214" i="28" s="1"/>
  <c r="B47" i="28"/>
  <c r="B214" i="28" s="1"/>
  <c r="G46" i="28"/>
  <c r="F46" i="28"/>
  <c r="F70" i="28" s="1"/>
  <c r="F228" i="28" s="1"/>
  <c r="E46" i="28"/>
  <c r="E213" i="28" s="1"/>
  <c r="D46" i="28"/>
  <c r="D213" i="28" s="1"/>
  <c r="C46" i="28"/>
  <c r="B46" i="28"/>
  <c r="B213" i="28" s="1"/>
  <c r="G45" i="28"/>
  <c r="G212" i="28" s="1"/>
  <c r="F45" i="28"/>
  <c r="E45" i="28"/>
  <c r="E69" i="28" s="1"/>
  <c r="E227" i="28" s="1"/>
  <c r="D45" i="28"/>
  <c r="D212" i="28" s="1"/>
  <c r="C45" i="28"/>
  <c r="C69" i="28" s="1"/>
  <c r="C227" i="28" s="1"/>
  <c r="B45" i="28"/>
  <c r="G44" i="28"/>
  <c r="G211" i="28" s="1"/>
  <c r="F44" i="28"/>
  <c r="F211" i="28" s="1"/>
  <c r="E44" i="28"/>
  <c r="D44" i="28"/>
  <c r="D68" i="28" s="1"/>
  <c r="D226" i="28" s="1"/>
  <c r="C44" i="28"/>
  <c r="C211" i="28" s="1"/>
  <c r="B44" i="28"/>
  <c r="B211" i="28" s="1"/>
  <c r="G43" i="28"/>
  <c r="G210" i="28" s="1"/>
  <c r="F43" i="28"/>
  <c r="F67" i="28" s="1"/>
  <c r="F225" i="28" s="1"/>
  <c r="E43" i="28"/>
  <c r="E210" i="28" s="1"/>
  <c r="D43" i="28"/>
  <c r="C43" i="28"/>
  <c r="C210" i="28" s="1"/>
  <c r="B43" i="28"/>
  <c r="B67" i="28" s="1"/>
  <c r="B225" i="28" s="1"/>
  <c r="G42" i="28"/>
  <c r="F42" i="28"/>
  <c r="F209" i="28" s="1"/>
  <c r="E42" i="28"/>
  <c r="E209" i="28" s="1"/>
  <c r="D42" i="28"/>
  <c r="D209" i="28" s="1"/>
  <c r="C42" i="28"/>
  <c r="B42" i="28"/>
  <c r="B209" i="28" s="1"/>
  <c r="G41" i="28"/>
  <c r="G65" i="28" s="1"/>
  <c r="F41" i="28"/>
  <c r="F65" i="28" s="1"/>
  <c r="E41" i="28"/>
  <c r="E65" i="28" s="1"/>
  <c r="D41" i="28"/>
  <c r="D65" i="28" s="1"/>
  <c r="C41" i="28"/>
  <c r="C65" i="28" s="1"/>
  <c r="B41" i="28"/>
  <c r="B65" i="28" s="1"/>
  <c r="G40" i="28"/>
  <c r="G64" i="28" s="1"/>
  <c r="F40" i="28"/>
  <c r="F64" i="28" s="1"/>
  <c r="E40" i="28"/>
  <c r="E64" i="28" s="1"/>
  <c r="D40" i="28"/>
  <c r="D64" i="28" s="1"/>
  <c r="C40" i="28"/>
  <c r="C64" i="28" s="1"/>
  <c r="B40" i="28"/>
  <c r="B64" i="28" s="1"/>
  <c r="G39" i="28"/>
  <c r="G63" i="28" s="1"/>
  <c r="F39" i="28"/>
  <c r="E39" i="28"/>
  <c r="D39" i="28"/>
  <c r="D63" i="28" s="1"/>
  <c r="C39" i="28"/>
  <c r="C63" i="28" s="1"/>
  <c r="B39" i="28"/>
  <c r="G38" i="28"/>
  <c r="G62" i="28" s="1"/>
  <c r="F38" i="28"/>
  <c r="F62" i="28" s="1"/>
  <c r="E38" i="28"/>
  <c r="E62" i="28" s="1"/>
  <c r="D38" i="28"/>
  <c r="D62" i="28" s="1"/>
  <c r="C38" i="28"/>
  <c r="C62" i="28" s="1"/>
  <c r="B38" i="28"/>
  <c r="B62" i="28" s="1"/>
  <c r="G37" i="28"/>
  <c r="F37" i="28"/>
  <c r="F61" i="28" s="1"/>
  <c r="E37" i="28"/>
  <c r="E61" i="28" s="1"/>
  <c r="D37" i="28"/>
  <c r="D61" i="28" s="1"/>
  <c r="C37" i="28"/>
  <c r="C61" i="28" s="1"/>
  <c r="B37" i="28"/>
  <c r="B61" i="28" s="1"/>
  <c r="G36" i="28"/>
  <c r="G60" i="28" s="1"/>
  <c r="F36" i="28"/>
  <c r="E36" i="28"/>
  <c r="D36" i="28"/>
  <c r="D60" i="28" s="1"/>
  <c r="C36" i="28"/>
  <c r="C60" i="28" s="1"/>
  <c r="B36" i="28"/>
  <c r="G35" i="28"/>
  <c r="G59" i="28" s="1"/>
  <c r="F35" i="28"/>
  <c r="F59" i="28" s="1"/>
  <c r="E35" i="28"/>
  <c r="E59" i="28" s="1"/>
  <c r="D35" i="28"/>
  <c r="D59" i="28" s="1"/>
  <c r="C35" i="28"/>
  <c r="C59" i="28" s="1"/>
  <c r="B35" i="28"/>
  <c r="G34" i="28"/>
  <c r="F34" i="28"/>
  <c r="E34" i="28"/>
  <c r="D34" i="28"/>
  <c r="C34" i="28"/>
  <c r="C58" i="28" s="1"/>
  <c r="B34" i="28"/>
  <c r="B58" i="28" s="1"/>
  <c r="G33" i="28"/>
  <c r="G57" i="28" s="1"/>
  <c r="F33" i="28"/>
  <c r="F57" i="28" s="1"/>
  <c r="E33" i="28"/>
  <c r="E57" i="28" s="1"/>
  <c r="D33" i="28"/>
  <c r="D57" i="28" s="1"/>
  <c r="C33" i="28"/>
  <c r="C57" i="28" s="1"/>
  <c r="B33" i="28"/>
  <c r="B57" i="28" s="1"/>
  <c r="G32" i="28"/>
  <c r="G56" i="28" s="1"/>
  <c r="F32" i="28"/>
  <c r="F56" i="28" s="1"/>
  <c r="E32" i="28"/>
  <c r="E56" i="28" s="1"/>
  <c r="D32" i="28"/>
  <c r="D56" i="28" s="1"/>
  <c r="C32" i="28"/>
  <c r="C56" i="28" s="1"/>
  <c r="B32" i="28"/>
  <c r="B56" i="28" s="1"/>
  <c r="G31" i="28"/>
  <c r="G55" i="28" s="1"/>
  <c r="F31" i="28"/>
  <c r="E31" i="28"/>
  <c r="D31" i="28"/>
  <c r="C31" i="28"/>
  <c r="C55" i="28" s="1"/>
  <c r="B31" i="28"/>
  <c r="B55" i="28" s="1"/>
  <c r="G30" i="28"/>
  <c r="G54" i="28" s="1"/>
  <c r="F30" i="28"/>
  <c r="F54" i="28" s="1"/>
  <c r="E30" i="28"/>
  <c r="E54" i="28" s="1"/>
  <c r="D30" i="28"/>
  <c r="D54" i="28" s="1"/>
  <c r="C30" i="28"/>
  <c r="C54" i="28" s="1"/>
  <c r="B30" i="28"/>
  <c r="B54" i="28" s="1"/>
  <c r="G29" i="28"/>
  <c r="G53" i="28" s="1"/>
  <c r="F29" i="28"/>
  <c r="F53" i="28" s="1"/>
  <c r="E29" i="28"/>
  <c r="E53" i="28" s="1"/>
  <c r="D29" i="28"/>
  <c r="D53" i="28" s="1"/>
  <c r="C29" i="28"/>
  <c r="C53" i="28" s="1"/>
  <c r="B29" i="28"/>
  <c r="B53" i="28" s="1"/>
  <c r="H26" i="28"/>
  <c r="F26" i="28"/>
  <c r="E26" i="28"/>
  <c r="E202" i="28" s="1"/>
  <c r="D26" i="28"/>
  <c r="C26" i="28"/>
  <c r="B26" i="28"/>
  <c r="I24" i="28"/>
  <c r="I23" i="28"/>
  <c r="I22" i="28"/>
  <c r="I21" i="28"/>
  <c r="I20" i="28"/>
  <c r="I19" i="28"/>
  <c r="I18" i="28"/>
  <c r="I17" i="28"/>
  <c r="I16" i="28"/>
  <c r="I15" i="28"/>
  <c r="I14" i="28"/>
  <c r="I13" i="28"/>
  <c r="I12" i="28"/>
  <c r="I11" i="28"/>
  <c r="I10" i="28"/>
  <c r="I9" i="28"/>
  <c r="I8" i="28"/>
  <c r="I7" i="28"/>
  <c r="I6" i="28"/>
  <c r="I5" i="28"/>
  <c r="A509" i="27"/>
  <c r="A508" i="27"/>
  <c r="A507" i="27"/>
  <c r="J434" i="27"/>
  <c r="J431" i="27"/>
  <c r="J430" i="27"/>
  <c r="J429" i="27"/>
  <c r="J428" i="27"/>
  <c r="J427" i="27"/>
  <c r="J426" i="27"/>
  <c r="J425" i="27"/>
  <c r="J424" i="27"/>
  <c r="J423" i="27"/>
  <c r="J422" i="27"/>
  <c r="J421" i="27"/>
  <c r="J420" i="27"/>
  <c r="J419" i="27"/>
  <c r="P417" i="27"/>
  <c r="P416" i="27"/>
  <c r="P415" i="27"/>
  <c r="O365" i="27"/>
  <c r="K365" i="27"/>
  <c r="J365" i="27"/>
  <c r="G365" i="27"/>
  <c r="O362" i="27"/>
  <c r="K362" i="27"/>
  <c r="J362" i="27"/>
  <c r="G362" i="27"/>
  <c r="O361" i="27"/>
  <c r="K361" i="27"/>
  <c r="J361" i="27"/>
  <c r="G361" i="27"/>
  <c r="O360" i="27"/>
  <c r="K360" i="27"/>
  <c r="J360" i="27"/>
  <c r="G360" i="27"/>
  <c r="O359" i="27"/>
  <c r="K359" i="27"/>
  <c r="J359" i="27"/>
  <c r="G359" i="27"/>
  <c r="O358" i="27"/>
  <c r="K358" i="27"/>
  <c r="J358" i="27"/>
  <c r="G358" i="27"/>
  <c r="O357" i="27"/>
  <c r="K357" i="27"/>
  <c r="J357" i="27"/>
  <c r="G357" i="27"/>
  <c r="O356" i="27"/>
  <c r="K356" i="27"/>
  <c r="J356" i="27"/>
  <c r="G356" i="27"/>
  <c r="O355" i="27"/>
  <c r="K355" i="27"/>
  <c r="J355" i="27"/>
  <c r="G355" i="27"/>
  <c r="O354" i="27"/>
  <c r="K354" i="27"/>
  <c r="J354" i="27"/>
  <c r="G354" i="27"/>
  <c r="O353" i="27"/>
  <c r="K353" i="27"/>
  <c r="J353" i="27"/>
  <c r="G353" i="27"/>
  <c r="O352" i="27"/>
  <c r="K352" i="27"/>
  <c r="J352" i="27"/>
  <c r="G352" i="27"/>
  <c r="O351" i="27"/>
  <c r="K351" i="27"/>
  <c r="J351" i="27"/>
  <c r="G351" i="27"/>
  <c r="O350" i="27"/>
  <c r="K350" i="27"/>
  <c r="J350" i="27"/>
  <c r="G350" i="27"/>
  <c r="J237" i="27"/>
  <c r="J459" i="27" s="1"/>
  <c r="J234" i="27"/>
  <c r="J456" i="27" s="1"/>
  <c r="J233" i="27"/>
  <c r="J455" i="27" s="1"/>
  <c r="J232" i="27"/>
  <c r="J454" i="27" s="1"/>
  <c r="J231" i="27"/>
  <c r="J453" i="27" s="1"/>
  <c r="J230" i="27"/>
  <c r="J452" i="27" s="1"/>
  <c r="J229" i="27"/>
  <c r="J451" i="27" s="1"/>
  <c r="J228" i="27"/>
  <c r="J450" i="27" s="1"/>
  <c r="J227" i="27"/>
  <c r="J449" i="27" s="1"/>
  <c r="J226" i="27"/>
  <c r="J448" i="27" s="1"/>
  <c r="J225" i="27"/>
  <c r="J447" i="27" s="1"/>
  <c r="J224" i="27"/>
  <c r="J446" i="27" s="1"/>
  <c r="J223" i="27"/>
  <c r="J445" i="27" s="1"/>
  <c r="J222" i="27"/>
  <c r="J221" i="27"/>
  <c r="J220" i="27"/>
  <c r="J219" i="27"/>
  <c r="J218" i="27"/>
  <c r="J444" i="27" s="1"/>
  <c r="J217" i="27"/>
  <c r="J216" i="27"/>
  <c r="J215" i="27"/>
  <c r="J214" i="27"/>
  <c r="J213" i="27"/>
  <c r="J212" i="27"/>
  <c r="J211" i="27"/>
  <c r="J210" i="27"/>
  <c r="J209" i="27"/>
  <c r="J208" i="27"/>
  <c r="J207" i="27"/>
  <c r="J206" i="27"/>
  <c r="J205" i="27"/>
  <c r="J204" i="27"/>
  <c r="J203" i="27"/>
  <c r="J202" i="27"/>
  <c r="J201" i="27"/>
  <c r="J200" i="27"/>
  <c r="J199" i="27"/>
  <c r="J198" i="27"/>
  <c r="J197" i="27"/>
  <c r="J196" i="27"/>
  <c r="J195" i="27"/>
  <c r="J194" i="27"/>
  <c r="J193" i="27"/>
  <c r="O190" i="27"/>
  <c r="N190" i="27"/>
  <c r="M190" i="27"/>
  <c r="M434" i="27" s="1"/>
  <c r="L190" i="27"/>
  <c r="L434" i="27" s="1"/>
  <c r="K190" i="27"/>
  <c r="G190" i="27"/>
  <c r="G434" i="27" s="1"/>
  <c r="F190" i="27"/>
  <c r="E190" i="27"/>
  <c r="E434" i="27" s="1"/>
  <c r="D190" i="27"/>
  <c r="C190" i="27"/>
  <c r="C434" i="27" s="1"/>
  <c r="B190" i="27"/>
  <c r="O187" i="27"/>
  <c r="O431" i="27" s="1"/>
  <c r="N187" i="27"/>
  <c r="M187" i="27"/>
  <c r="L187" i="27"/>
  <c r="L431" i="27" s="1"/>
  <c r="K187" i="27"/>
  <c r="G187" i="27"/>
  <c r="G431" i="27" s="1"/>
  <c r="F187" i="27"/>
  <c r="F431" i="27" s="1"/>
  <c r="E187" i="27"/>
  <c r="E431" i="27" s="1"/>
  <c r="D187" i="27"/>
  <c r="C187" i="27"/>
  <c r="C431" i="27" s="1"/>
  <c r="B187" i="27"/>
  <c r="B431" i="27" s="1"/>
  <c r="P186" i="27"/>
  <c r="P430" i="27" s="1"/>
  <c r="O186" i="27"/>
  <c r="N186" i="27"/>
  <c r="N430" i="27" s="1"/>
  <c r="M186" i="27"/>
  <c r="M430" i="27" s="1"/>
  <c r="L186" i="27"/>
  <c r="L430" i="27" s="1"/>
  <c r="K186" i="27"/>
  <c r="G186" i="27"/>
  <c r="G430" i="27" s="1"/>
  <c r="F186" i="27"/>
  <c r="F430" i="27" s="1"/>
  <c r="E186" i="27"/>
  <c r="D186" i="27"/>
  <c r="D430" i="27" s="1"/>
  <c r="C186" i="27"/>
  <c r="C430" i="27" s="1"/>
  <c r="B186" i="27"/>
  <c r="B430" i="27" s="1"/>
  <c r="O185" i="27"/>
  <c r="O429" i="27" s="1"/>
  <c r="N185" i="27"/>
  <c r="N429" i="27" s="1"/>
  <c r="M185" i="27"/>
  <c r="M429" i="27" s="1"/>
  <c r="L185" i="27"/>
  <c r="L429" i="27" s="1"/>
  <c r="K185" i="27"/>
  <c r="G185" i="27"/>
  <c r="G232" i="27" s="1"/>
  <c r="G454" i="27" s="1"/>
  <c r="F185" i="27"/>
  <c r="F429" i="27" s="1"/>
  <c r="E185" i="27"/>
  <c r="D185" i="27"/>
  <c r="D429" i="27" s="1"/>
  <c r="C185" i="27"/>
  <c r="C429" i="27" s="1"/>
  <c r="B185" i="27"/>
  <c r="B429" i="27" s="1"/>
  <c r="O184" i="27"/>
  <c r="N184" i="27"/>
  <c r="N428" i="27" s="1"/>
  <c r="M184" i="27"/>
  <c r="M428" i="27" s="1"/>
  <c r="L184" i="27"/>
  <c r="L428" i="27" s="1"/>
  <c r="K184" i="27"/>
  <c r="G184" i="27"/>
  <c r="G428" i="27" s="1"/>
  <c r="F184" i="27"/>
  <c r="F428" i="27" s="1"/>
  <c r="E184" i="27"/>
  <c r="D184" i="27"/>
  <c r="D428" i="27" s="1"/>
  <c r="C184" i="27"/>
  <c r="C428" i="27" s="1"/>
  <c r="B184" i="27"/>
  <c r="B428" i="27" s="1"/>
  <c r="O183" i="27"/>
  <c r="O427" i="27" s="1"/>
  <c r="N183" i="27"/>
  <c r="N427" i="27" s="1"/>
  <c r="M183" i="27"/>
  <c r="M427" i="27" s="1"/>
  <c r="L183" i="27"/>
  <c r="L427" i="27" s="1"/>
  <c r="K183" i="27"/>
  <c r="G183" i="27"/>
  <c r="G427" i="27" s="1"/>
  <c r="F183" i="27"/>
  <c r="F427" i="27" s="1"/>
  <c r="E183" i="27"/>
  <c r="D183" i="27"/>
  <c r="D427" i="27" s="1"/>
  <c r="C183" i="27"/>
  <c r="C427" i="27" s="1"/>
  <c r="B183" i="27"/>
  <c r="B427" i="27" s="1"/>
  <c r="O182" i="27"/>
  <c r="N182" i="27"/>
  <c r="N426" i="27" s="1"/>
  <c r="M182" i="27"/>
  <c r="M426" i="27" s="1"/>
  <c r="L182" i="27"/>
  <c r="L426" i="27" s="1"/>
  <c r="K182" i="27"/>
  <c r="G182" i="27"/>
  <c r="G426" i="27" s="1"/>
  <c r="F182" i="27"/>
  <c r="F426" i="27" s="1"/>
  <c r="E182" i="27"/>
  <c r="D182" i="27"/>
  <c r="D426" i="27" s="1"/>
  <c r="C182" i="27"/>
  <c r="C426" i="27" s="1"/>
  <c r="B182" i="27"/>
  <c r="B426" i="27" s="1"/>
  <c r="O181" i="27"/>
  <c r="O425" i="27" s="1"/>
  <c r="N181" i="27"/>
  <c r="N425" i="27" s="1"/>
  <c r="M181" i="27"/>
  <c r="M425" i="27" s="1"/>
  <c r="L181" i="27"/>
  <c r="K181" i="27"/>
  <c r="G181" i="27"/>
  <c r="G425" i="27" s="1"/>
  <c r="F181" i="27"/>
  <c r="E181" i="27"/>
  <c r="D181" i="27"/>
  <c r="D425" i="27" s="1"/>
  <c r="C181" i="27"/>
  <c r="C425" i="27" s="1"/>
  <c r="B181" i="27"/>
  <c r="B425" i="27" s="1"/>
  <c r="O180" i="27"/>
  <c r="M180" i="27"/>
  <c r="M424" i="27" s="1"/>
  <c r="L180" i="27"/>
  <c r="L424" i="27" s="1"/>
  <c r="K180" i="27"/>
  <c r="G180" i="27"/>
  <c r="G424" i="27" s="1"/>
  <c r="F180" i="27"/>
  <c r="F424" i="27" s="1"/>
  <c r="O179" i="27"/>
  <c r="O423" i="27" s="1"/>
  <c r="N179" i="27"/>
  <c r="N423" i="27" s="1"/>
  <c r="M179" i="27"/>
  <c r="M423" i="27" s="1"/>
  <c r="L179" i="27"/>
  <c r="L423" i="27" s="1"/>
  <c r="K179" i="27"/>
  <c r="G179" i="27"/>
  <c r="G423" i="27" s="1"/>
  <c r="E179" i="27"/>
  <c r="D179" i="27"/>
  <c r="D423" i="27" s="1"/>
  <c r="C179" i="27"/>
  <c r="C423" i="27" s="1"/>
  <c r="B179" i="27"/>
  <c r="B423" i="27" s="1"/>
  <c r="O178" i="27"/>
  <c r="N178" i="27"/>
  <c r="N422" i="27" s="1"/>
  <c r="M178" i="27"/>
  <c r="M422" i="27" s="1"/>
  <c r="L178" i="27"/>
  <c r="L422" i="27" s="1"/>
  <c r="K178" i="27"/>
  <c r="G178" i="27"/>
  <c r="G422" i="27" s="1"/>
  <c r="F178" i="27"/>
  <c r="F422" i="27" s="1"/>
  <c r="E178" i="27"/>
  <c r="D178" i="27"/>
  <c r="D422" i="27" s="1"/>
  <c r="C178" i="27"/>
  <c r="C422" i="27" s="1"/>
  <c r="B178" i="27"/>
  <c r="B422" i="27" s="1"/>
  <c r="O177" i="27"/>
  <c r="O421" i="27" s="1"/>
  <c r="N177" i="27"/>
  <c r="N421" i="27" s="1"/>
  <c r="M177" i="27"/>
  <c r="M421" i="27" s="1"/>
  <c r="L177" i="27"/>
  <c r="L421" i="27" s="1"/>
  <c r="K177" i="27"/>
  <c r="G177" i="27"/>
  <c r="G224" i="27" s="1"/>
  <c r="G446" i="27" s="1"/>
  <c r="F177" i="27"/>
  <c r="F421" i="27" s="1"/>
  <c r="E177" i="27"/>
  <c r="D177" i="27"/>
  <c r="D421" i="27" s="1"/>
  <c r="C177" i="27"/>
  <c r="C421" i="27" s="1"/>
  <c r="B177" i="27"/>
  <c r="B421" i="27" s="1"/>
  <c r="O176" i="27"/>
  <c r="N176" i="27"/>
  <c r="N420" i="27" s="1"/>
  <c r="M176" i="27"/>
  <c r="L176" i="27"/>
  <c r="L420" i="27" s="1"/>
  <c r="K176" i="27"/>
  <c r="G176" i="27"/>
  <c r="G420" i="27" s="1"/>
  <c r="F176" i="27"/>
  <c r="F420" i="27" s="1"/>
  <c r="E176" i="27"/>
  <c r="D176" i="27"/>
  <c r="D420" i="27" s="1"/>
  <c r="C176" i="27"/>
  <c r="C420" i="27" s="1"/>
  <c r="B176" i="27"/>
  <c r="B420" i="27" s="1"/>
  <c r="O175" i="27"/>
  <c r="O222" i="27" s="1"/>
  <c r="N175" i="27"/>
  <c r="M175" i="27"/>
  <c r="L175" i="27"/>
  <c r="K175" i="27"/>
  <c r="G175" i="27"/>
  <c r="G222" i="27" s="1"/>
  <c r="F175" i="27"/>
  <c r="E175" i="27"/>
  <c r="D175" i="27"/>
  <c r="C175" i="27"/>
  <c r="O174" i="27"/>
  <c r="O221" i="27" s="1"/>
  <c r="N174" i="27"/>
  <c r="M174" i="27"/>
  <c r="L174" i="27"/>
  <c r="K174" i="27"/>
  <c r="G174" i="27"/>
  <c r="G221" i="27" s="1"/>
  <c r="F174" i="27"/>
  <c r="E174" i="27"/>
  <c r="D174" i="27"/>
  <c r="C174" i="27"/>
  <c r="B174" i="27"/>
  <c r="O173" i="27"/>
  <c r="O220" i="27" s="1"/>
  <c r="N173" i="27"/>
  <c r="M173" i="27"/>
  <c r="L173" i="27"/>
  <c r="K173" i="27"/>
  <c r="G173" i="27"/>
  <c r="G220" i="27" s="1"/>
  <c r="F173" i="27"/>
  <c r="E173" i="27"/>
  <c r="D173" i="27"/>
  <c r="C173" i="27"/>
  <c r="B173" i="27"/>
  <c r="O172" i="27"/>
  <c r="O219" i="27" s="1"/>
  <c r="N172" i="27"/>
  <c r="M172" i="27"/>
  <c r="L172" i="27"/>
  <c r="K172" i="27"/>
  <c r="G172" i="27"/>
  <c r="G219" i="27" s="1"/>
  <c r="F172" i="27"/>
  <c r="E172" i="27"/>
  <c r="D172" i="27"/>
  <c r="C172" i="27"/>
  <c r="B172" i="27"/>
  <c r="O171" i="27"/>
  <c r="O419" i="27" s="1"/>
  <c r="N171" i="27"/>
  <c r="M171" i="27"/>
  <c r="L171" i="27"/>
  <c r="K171" i="27"/>
  <c r="G171" i="27"/>
  <c r="G218" i="27" s="1"/>
  <c r="G444" i="27" s="1"/>
  <c r="F171" i="27"/>
  <c r="E171" i="27"/>
  <c r="D171" i="27"/>
  <c r="C171" i="27"/>
  <c r="B171" i="27"/>
  <c r="O170" i="27"/>
  <c r="O217" i="27" s="1"/>
  <c r="N170" i="27"/>
  <c r="M170" i="27"/>
  <c r="L170" i="27"/>
  <c r="K170" i="27"/>
  <c r="G170" i="27"/>
  <c r="G217" i="27" s="1"/>
  <c r="F170" i="27"/>
  <c r="E170" i="27"/>
  <c r="D170" i="27"/>
  <c r="C170" i="27"/>
  <c r="B170" i="27"/>
  <c r="O169" i="27"/>
  <c r="O216" i="27" s="1"/>
  <c r="N169" i="27"/>
  <c r="M169" i="27"/>
  <c r="L169" i="27"/>
  <c r="K169" i="27"/>
  <c r="G169" i="27"/>
  <c r="G216" i="27" s="1"/>
  <c r="F169" i="27"/>
  <c r="E169" i="27"/>
  <c r="D169" i="27"/>
  <c r="C169" i="27"/>
  <c r="B169" i="27"/>
  <c r="O168" i="27"/>
  <c r="O215" i="27" s="1"/>
  <c r="N168" i="27"/>
  <c r="M168" i="27"/>
  <c r="L168" i="27"/>
  <c r="K168" i="27"/>
  <c r="K215" i="27" s="1"/>
  <c r="G168" i="27"/>
  <c r="G215" i="27" s="1"/>
  <c r="F168" i="27"/>
  <c r="E168" i="27"/>
  <c r="D168" i="27"/>
  <c r="C168" i="27"/>
  <c r="B168" i="27"/>
  <c r="O167" i="27"/>
  <c r="O214" i="27" s="1"/>
  <c r="N167" i="27"/>
  <c r="M167" i="27"/>
  <c r="L167" i="27"/>
  <c r="K167" i="27"/>
  <c r="K214" i="27" s="1"/>
  <c r="G167" i="27"/>
  <c r="G214" i="27" s="1"/>
  <c r="F167" i="27"/>
  <c r="E167" i="27"/>
  <c r="D167" i="27"/>
  <c r="C167" i="27"/>
  <c r="B167" i="27"/>
  <c r="O166" i="27"/>
  <c r="O213" i="27" s="1"/>
  <c r="N166" i="27"/>
  <c r="M166" i="27"/>
  <c r="L166" i="27"/>
  <c r="K166" i="27"/>
  <c r="K213" i="27" s="1"/>
  <c r="G166" i="27"/>
  <c r="G213" i="27" s="1"/>
  <c r="F166" i="27"/>
  <c r="E166" i="27"/>
  <c r="D166" i="27"/>
  <c r="C166" i="27"/>
  <c r="B166" i="27"/>
  <c r="O165" i="27"/>
  <c r="O212" i="27" s="1"/>
  <c r="N165" i="27"/>
  <c r="M165" i="27"/>
  <c r="L165" i="27"/>
  <c r="K165" i="27"/>
  <c r="K212" i="27" s="1"/>
  <c r="G165" i="27"/>
  <c r="G212" i="27" s="1"/>
  <c r="F165" i="27"/>
  <c r="E165" i="27"/>
  <c r="D165" i="27"/>
  <c r="C165" i="27"/>
  <c r="B165" i="27"/>
  <c r="O164" i="27"/>
  <c r="O211" i="27" s="1"/>
  <c r="N164" i="27"/>
  <c r="M164" i="27"/>
  <c r="L164" i="27"/>
  <c r="K164" i="27"/>
  <c r="K211" i="27" s="1"/>
  <c r="G164" i="27"/>
  <c r="G211" i="27" s="1"/>
  <c r="F164" i="27"/>
  <c r="E164" i="27"/>
  <c r="D164" i="27"/>
  <c r="C164" i="27"/>
  <c r="B164" i="27"/>
  <c r="O163" i="27"/>
  <c r="O210" i="27" s="1"/>
  <c r="N163" i="27"/>
  <c r="M163" i="27"/>
  <c r="L163" i="27"/>
  <c r="K163" i="27"/>
  <c r="K210" i="27" s="1"/>
  <c r="G163" i="27"/>
  <c r="G210" i="27" s="1"/>
  <c r="F163" i="27"/>
  <c r="E163" i="27"/>
  <c r="D163" i="27"/>
  <c r="C163" i="27"/>
  <c r="B163" i="27"/>
  <c r="O162" i="27"/>
  <c r="O209" i="27" s="1"/>
  <c r="N162" i="27"/>
  <c r="M162" i="27"/>
  <c r="L162" i="27"/>
  <c r="K162" i="27"/>
  <c r="K209" i="27" s="1"/>
  <c r="G162" i="27"/>
  <c r="G209" i="27" s="1"/>
  <c r="F162" i="27"/>
  <c r="E162" i="27"/>
  <c r="D162" i="27"/>
  <c r="C162" i="27"/>
  <c r="B162" i="27"/>
  <c r="O161" i="27"/>
  <c r="O208" i="27" s="1"/>
  <c r="N161" i="27"/>
  <c r="M161" i="27"/>
  <c r="L161" i="27"/>
  <c r="K161" i="27"/>
  <c r="K208" i="27" s="1"/>
  <c r="G161" i="27"/>
  <c r="G208" i="27" s="1"/>
  <c r="F161" i="27"/>
  <c r="E161" i="27"/>
  <c r="D161" i="27"/>
  <c r="C161" i="27"/>
  <c r="B161" i="27"/>
  <c r="O160" i="27"/>
  <c r="O207" i="27" s="1"/>
  <c r="M160" i="27"/>
  <c r="L160" i="27"/>
  <c r="K160" i="27"/>
  <c r="K207" i="27" s="1"/>
  <c r="G160" i="27"/>
  <c r="G207" i="27" s="1"/>
  <c r="E160" i="27"/>
  <c r="D160" i="27"/>
  <c r="C160" i="27"/>
  <c r="O159" i="27"/>
  <c r="O206" i="27" s="1"/>
  <c r="N159" i="27"/>
  <c r="M159" i="27"/>
  <c r="L159" i="27"/>
  <c r="K159" i="27"/>
  <c r="K206" i="27" s="1"/>
  <c r="G159" i="27"/>
  <c r="G206" i="27" s="1"/>
  <c r="F159" i="27"/>
  <c r="E159" i="27"/>
  <c r="D159" i="27"/>
  <c r="C159" i="27"/>
  <c r="B159" i="27"/>
  <c r="O158" i="27"/>
  <c r="O205" i="27" s="1"/>
  <c r="N158" i="27"/>
  <c r="M158" i="27"/>
  <c r="L158" i="27"/>
  <c r="K158" i="27"/>
  <c r="K205" i="27" s="1"/>
  <c r="G158" i="27"/>
  <c r="G205" i="27" s="1"/>
  <c r="F158" i="27"/>
  <c r="E158" i="27"/>
  <c r="D158" i="27"/>
  <c r="C158" i="27"/>
  <c r="O157" i="27"/>
  <c r="O204" i="27" s="1"/>
  <c r="N157" i="27"/>
  <c r="M157" i="27"/>
  <c r="L157" i="27"/>
  <c r="K157" i="27"/>
  <c r="K204" i="27" s="1"/>
  <c r="G157" i="27"/>
  <c r="G204" i="27" s="1"/>
  <c r="F157" i="27"/>
  <c r="E157" i="27"/>
  <c r="D157" i="27"/>
  <c r="C157" i="27"/>
  <c r="O156" i="27"/>
  <c r="N156" i="27"/>
  <c r="M156" i="27"/>
  <c r="L156" i="27"/>
  <c r="K156" i="27"/>
  <c r="K203" i="27" s="1"/>
  <c r="G156" i="27"/>
  <c r="F156" i="27"/>
  <c r="E156" i="27"/>
  <c r="D156" i="27"/>
  <c r="C156" i="27"/>
  <c r="O155" i="27"/>
  <c r="O202" i="27" s="1"/>
  <c r="N155" i="27"/>
  <c r="M155" i="27"/>
  <c r="L155" i="27"/>
  <c r="K155" i="27"/>
  <c r="K202" i="27" s="1"/>
  <c r="G155" i="27"/>
  <c r="G202" i="27" s="1"/>
  <c r="F155" i="27"/>
  <c r="E155" i="27"/>
  <c r="D155" i="27"/>
  <c r="C155" i="27"/>
  <c r="O154" i="27"/>
  <c r="O201" i="27" s="1"/>
  <c r="N154" i="27"/>
  <c r="M154" i="27"/>
  <c r="L154" i="27"/>
  <c r="K154" i="27"/>
  <c r="K201" i="27" s="1"/>
  <c r="G154" i="27"/>
  <c r="G201" i="27" s="1"/>
  <c r="F154" i="27"/>
  <c r="E154" i="27"/>
  <c r="D154" i="27"/>
  <c r="C154" i="27"/>
  <c r="B154" i="27"/>
  <c r="O153" i="27"/>
  <c r="O200" i="27" s="1"/>
  <c r="N153" i="27"/>
  <c r="M153" i="27"/>
  <c r="L153" i="27"/>
  <c r="K153" i="27"/>
  <c r="K200" i="27" s="1"/>
  <c r="G153" i="27"/>
  <c r="G200" i="27" s="1"/>
  <c r="F153" i="27"/>
  <c r="E153" i="27"/>
  <c r="D153" i="27"/>
  <c r="C153" i="27"/>
  <c r="O152" i="27"/>
  <c r="O199" i="27" s="1"/>
  <c r="N152" i="27"/>
  <c r="M152" i="27"/>
  <c r="L152" i="27"/>
  <c r="K152" i="27"/>
  <c r="K199" i="27" s="1"/>
  <c r="G152" i="27"/>
  <c r="G199" i="27" s="1"/>
  <c r="F152" i="27"/>
  <c r="E152" i="27"/>
  <c r="D152" i="27"/>
  <c r="C152" i="27"/>
  <c r="O151" i="27"/>
  <c r="O198" i="27" s="1"/>
  <c r="N151" i="27"/>
  <c r="L151" i="27"/>
  <c r="K151" i="27"/>
  <c r="K198" i="27" s="1"/>
  <c r="G151" i="27"/>
  <c r="F151" i="27"/>
  <c r="E151" i="27"/>
  <c r="D151" i="27"/>
  <c r="C151" i="27"/>
  <c r="O150" i="27"/>
  <c r="O197" i="27" s="1"/>
  <c r="N150" i="27"/>
  <c r="M150" i="27"/>
  <c r="L150" i="27"/>
  <c r="K150" i="27"/>
  <c r="K197" i="27" s="1"/>
  <c r="G150" i="27"/>
  <c r="G197" i="27" s="1"/>
  <c r="F150" i="27"/>
  <c r="E150" i="27"/>
  <c r="D150" i="27"/>
  <c r="C150" i="27"/>
  <c r="O149" i="27"/>
  <c r="O196" i="27" s="1"/>
  <c r="N149" i="27"/>
  <c r="M149" i="27"/>
  <c r="L149" i="27"/>
  <c r="K149" i="27"/>
  <c r="K196" i="27" s="1"/>
  <c r="G149" i="27"/>
  <c r="G196" i="27" s="1"/>
  <c r="F149" i="27"/>
  <c r="E149" i="27"/>
  <c r="D149" i="27"/>
  <c r="C149" i="27"/>
  <c r="O148" i="27"/>
  <c r="O195" i="27" s="1"/>
  <c r="M148" i="27"/>
  <c r="L148" i="27"/>
  <c r="K148" i="27"/>
  <c r="K195" i="27" s="1"/>
  <c r="G148" i="27"/>
  <c r="G195" i="27" s="1"/>
  <c r="E148" i="27"/>
  <c r="D148" i="27"/>
  <c r="C148" i="27"/>
  <c r="B148" i="27"/>
  <c r="O147" i="27"/>
  <c r="O194" i="27" s="1"/>
  <c r="M147" i="27"/>
  <c r="L147" i="27"/>
  <c r="K147" i="27"/>
  <c r="K194" i="27" s="1"/>
  <c r="G147" i="27"/>
  <c r="G194" i="27" s="1"/>
  <c r="E147" i="27"/>
  <c r="D147" i="27"/>
  <c r="C147" i="27"/>
  <c r="O146" i="27"/>
  <c r="O193" i="27" s="1"/>
  <c r="M146" i="27"/>
  <c r="L146" i="27"/>
  <c r="K146" i="27"/>
  <c r="K193" i="27" s="1"/>
  <c r="G146" i="27"/>
  <c r="G193" i="27" s="1"/>
  <c r="E146" i="27"/>
  <c r="D146" i="27"/>
  <c r="C146" i="27"/>
  <c r="O96" i="27"/>
  <c r="N96" i="27"/>
  <c r="N387" i="27" s="1"/>
  <c r="M96" i="27"/>
  <c r="M387" i="27" s="1"/>
  <c r="L96" i="27"/>
  <c r="L387" i="27" s="1"/>
  <c r="K96" i="27"/>
  <c r="J96" i="27"/>
  <c r="J387" i="27" s="1"/>
  <c r="G96" i="27"/>
  <c r="G387" i="27" s="1"/>
  <c r="F96" i="27"/>
  <c r="E96" i="27"/>
  <c r="E387" i="27" s="1"/>
  <c r="D96" i="27"/>
  <c r="D387" i="27" s="1"/>
  <c r="C96" i="27"/>
  <c r="C387" i="27" s="1"/>
  <c r="B96" i="27"/>
  <c r="O93" i="27"/>
  <c r="O384" i="27" s="1"/>
  <c r="N93" i="27"/>
  <c r="N384" i="27" s="1"/>
  <c r="M93" i="27"/>
  <c r="L93" i="27"/>
  <c r="L384" i="27" s="1"/>
  <c r="K93" i="27"/>
  <c r="K384" i="27" s="1"/>
  <c r="J93" i="27"/>
  <c r="J384" i="27" s="1"/>
  <c r="G93" i="27"/>
  <c r="G384" i="27" s="1"/>
  <c r="F93" i="27"/>
  <c r="F384" i="27" s="1"/>
  <c r="E93" i="27"/>
  <c r="E384" i="27" s="1"/>
  <c r="D93" i="27"/>
  <c r="C93" i="27"/>
  <c r="C384" i="27" s="1"/>
  <c r="B93" i="27"/>
  <c r="B384" i="27" s="1"/>
  <c r="O92" i="27"/>
  <c r="N92" i="27"/>
  <c r="N383" i="27" s="1"/>
  <c r="M92" i="27"/>
  <c r="M383" i="27" s="1"/>
  <c r="L92" i="27"/>
  <c r="L383" i="27" s="1"/>
  <c r="K92" i="27"/>
  <c r="J92" i="27"/>
  <c r="J383" i="27" s="1"/>
  <c r="G92" i="27"/>
  <c r="G383" i="27" s="1"/>
  <c r="F92" i="27"/>
  <c r="E92" i="27"/>
  <c r="E383" i="27" s="1"/>
  <c r="D92" i="27"/>
  <c r="D383" i="27" s="1"/>
  <c r="C92" i="27"/>
  <c r="C383" i="27" s="1"/>
  <c r="B92" i="27"/>
  <c r="O91" i="27"/>
  <c r="O382" i="27" s="1"/>
  <c r="N91" i="27"/>
  <c r="N382" i="27" s="1"/>
  <c r="M91" i="27"/>
  <c r="L91" i="27"/>
  <c r="L382" i="27" s="1"/>
  <c r="K91" i="27"/>
  <c r="K382" i="27" s="1"/>
  <c r="J91" i="27"/>
  <c r="J382" i="27" s="1"/>
  <c r="G91" i="27"/>
  <c r="G382" i="27" s="1"/>
  <c r="F91" i="27"/>
  <c r="F382" i="27" s="1"/>
  <c r="E91" i="27"/>
  <c r="E382" i="27" s="1"/>
  <c r="D91" i="27"/>
  <c r="C91" i="27"/>
  <c r="C382" i="27" s="1"/>
  <c r="B91" i="27"/>
  <c r="B382" i="27" s="1"/>
  <c r="O90" i="27"/>
  <c r="N90" i="27"/>
  <c r="N381" i="27" s="1"/>
  <c r="M90" i="27"/>
  <c r="M381" i="27" s="1"/>
  <c r="L90" i="27"/>
  <c r="L381" i="27" s="1"/>
  <c r="K90" i="27"/>
  <c r="J90" i="27"/>
  <c r="J381" i="27" s="1"/>
  <c r="G90" i="27"/>
  <c r="G381" i="27" s="1"/>
  <c r="F90" i="27"/>
  <c r="E90" i="27"/>
  <c r="E381" i="27" s="1"/>
  <c r="D90" i="27"/>
  <c r="D381" i="27" s="1"/>
  <c r="C90" i="27"/>
  <c r="C381" i="27" s="1"/>
  <c r="B90" i="27"/>
  <c r="O89" i="27"/>
  <c r="O380" i="27" s="1"/>
  <c r="N89" i="27"/>
  <c r="N380" i="27" s="1"/>
  <c r="M89" i="27"/>
  <c r="L89" i="27"/>
  <c r="L380" i="27" s="1"/>
  <c r="K89" i="27"/>
  <c r="K380" i="27" s="1"/>
  <c r="J89" i="27"/>
  <c r="J380" i="27" s="1"/>
  <c r="G89" i="27"/>
  <c r="G380" i="27" s="1"/>
  <c r="F89" i="27"/>
  <c r="F380" i="27" s="1"/>
  <c r="E89" i="27"/>
  <c r="E380" i="27" s="1"/>
  <c r="D89" i="27"/>
  <c r="C89" i="27"/>
  <c r="C380" i="27" s="1"/>
  <c r="B89" i="27"/>
  <c r="B380" i="27" s="1"/>
  <c r="O88" i="27"/>
  <c r="N88" i="27"/>
  <c r="N379" i="27" s="1"/>
  <c r="M88" i="27"/>
  <c r="M379" i="27" s="1"/>
  <c r="L88" i="27"/>
  <c r="L379" i="27" s="1"/>
  <c r="K88" i="27"/>
  <c r="J88" i="27"/>
  <c r="J379" i="27" s="1"/>
  <c r="G88" i="27"/>
  <c r="G379" i="27" s="1"/>
  <c r="F88" i="27"/>
  <c r="E88" i="27"/>
  <c r="E379" i="27" s="1"/>
  <c r="D88" i="27"/>
  <c r="D379" i="27" s="1"/>
  <c r="C88" i="27"/>
  <c r="C379" i="27" s="1"/>
  <c r="B88" i="27"/>
  <c r="O87" i="27"/>
  <c r="O378" i="27" s="1"/>
  <c r="N87" i="27"/>
  <c r="N378" i="27" s="1"/>
  <c r="M87" i="27"/>
  <c r="L87" i="27"/>
  <c r="L378" i="27" s="1"/>
  <c r="K87" i="27"/>
  <c r="K378" i="27" s="1"/>
  <c r="J87" i="27"/>
  <c r="J378" i="27" s="1"/>
  <c r="G87" i="27"/>
  <c r="G378" i="27" s="1"/>
  <c r="F87" i="27"/>
  <c r="F378" i="27" s="1"/>
  <c r="E87" i="27"/>
  <c r="E378" i="27" s="1"/>
  <c r="D87" i="27"/>
  <c r="C87" i="27"/>
  <c r="C378" i="27" s="1"/>
  <c r="B87" i="27"/>
  <c r="B378" i="27" s="1"/>
  <c r="O86" i="27"/>
  <c r="N86" i="27"/>
  <c r="N377" i="27" s="1"/>
  <c r="M86" i="27"/>
  <c r="M377" i="27" s="1"/>
  <c r="L86" i="27"/>
  <c r="L377" i="27" s="1"/>
  <c r="K86" i="27"/>
  <c r="J86" i="27"/>
  <c r="J377" i="27" s="1"/>
  <c r="G86" i="27"/>
  <c r="G377" i="27" s="1"/>
  <c r="F86" i="27"/>
  <c r="E86" i="27"/>
  <c r="E377" i="27" s="1"/>
  <c r="D86" i="27"/>
  <c r="D377" i="27" s="1"/>
  <c r="C86" i="27"/>
  <c r="C377" i="27" s="1"/>
  <c r="B86" i="27"/>
  <c r="O85" i="27"/>
  <c r="O376" i="27" s="1"/>
  <c r="N85" i="27"/>
  <c r="N376" i="27" s="1"/>
  <c r="M85" i="27"/>
  <c r="L85" i="27"/>
  <c r="L376" i="27" s="1"/>
  <c r="K85" i="27"/>
  <c r="K376" i="27" s="1"/>
  <c r="J85" i="27"/>
  <c r="J376" i="27" s="1"/>
  <c r="G85" i="27"/>
  <c r="G376" i="27" s="1"/>
  <c r="F85" i="27"/>
  <c r="F376" i="27" s="1"/>
  <c r="E85" i="27"/>
  <c r="E376" i="27" s="1"/>
  <c r="D85" i="27"/>
  <c r="C85" i="27"/>
  <c r="C376" i="27" s="1"/>
  <c r="B85" i="27"/>
  <c r="B376" i="27" s="1"/>
  <c r="O84" i="27"/>
  <c r="N84" i="27"/>
  <c r="N375" i="27" s="1"/>
  <c r="M84" i="27"/>
  <c r="M375" i="27" s="1"/>
  <c r="L84" i="27"/>
  <c r="L375" i="27" s="1"/>
  <c r="K84" i="27"/>
  <c r="J84" i="27"/>
  <c r="J375" i="27" s="1"/>
  <c r="G84" i="27"/>
  <c r="G375" i="27" s="1"/>
  <c r="F84" i="27"/>
  <c r="E84" i="27"/>
  <c r="E375" i="27" s="1"/>
  <c r="D84" i="27"/>
  <c r="D375" i="27" s="1"/>
  <c r="C84" i="27"/>
  <c r="C375" i="27" s="1"/>
  <c r="B84" i="27"/>
  <c r="O83" i="27"/>
  <c r="O374" i="27" s="1"/>
  <c r="N83" i="27"/>
  <c r="N374" i="27" s="1"/>
  <c r="M83" i="27"/>
  <c r="L83" i="27"/>
  <c r="L374" i="27" s="1"/>
  <c r="K83" i="27"/>
  <c r="K374" i="27" s="1"/>
  <c r="J83" i="27"/>
  <c r="J374" i="27" s="1"/>
  <c r="G83" i="27"/>
  <c r="G374" i="27" s="1"/>
  <c r="F83" i="27"/>
  <c r="F374" i="27" s="1"/>
  <c r="E83" i="27"/>
  <c r="E374" i="27" s="1"/>
  <c r="D83" i="27"/>
  <c r="C83" i="27"/>
  <c r="C374" i="27" s="1"/>
  <c r="B83" i="27"/>
  <c r="B374" i="27" s="1"/>
  <c r="O82" i="27"/>
  <c r="N82" i="27"/>
  <c r="N373" i="27" s="1"/>
  <c r="M82" i="27"/>
  <c r="M373" i="27" s="1"/>
  <c r="L82" i="27"/>
  <c r="L373" i="27" s="1"/>
  <c r="K82" i="27"/>
  <c r="J82" i="27"/>
  <c r="J373" i="27" s="1"/>
  <c r="G82" i="27"/>
  <c r="G373" i="27" s="1"/>
  <c r="F82" i="27"/>
  <c r="E82" i="27"/>
  <c r="E373" i="27" s="1"/>
  <c r="D82" i="27"/>
  <c r="D373" i="27" s="1"/>
  <c r="C82" i="27"/>
  <c r="C373" i="27" s="1"/>
  <c r="B82" i="27"/>
  <c r="O81" i="27"/>
  <c r="O128" i="27" s="1"/>
  <c r="N81" i="27"/>
  <c r="M81" i="27"/>
  <c r="L81" i="27"/>
  <c r="K81" i="27"/>
  <c r="K128" i="27" s="1"/>
  <c r="J81" i="27"/>
  <c r="J128" i="27" s="1"/>
  <c r="G81" i="27"/>
  <c r="G128" i="27" s="1"/>
  <c r="F81" i="27"/>
  <c r="E81" i="27"/>
  <c r="D81" i="27"/>
  <c r="C81" i="27"/>
  <c r="B81" i="27"/>
  <c r="O80" i="27"/>
  <c r="O127" i="27" s="1"/>
  <c r="N80" i="27"/>
  <c r="M80" i="27"/>
  <c r="L80" i="27"/>
  <c r="K80" i="27"/>
  <c r="K127" i="27" s="1"/>
  <c r="J80" i="27"/>
  <c r="J127" i="27" s="1"/>
  <c r="G80" i="27"/>
  <c r="G127" i="27" s="1"/>
  <c r="F80" i="27"/>
  <c r="E80" i="27"/>
  <c r="D80" i="27"/>
  <c r="C80" i="27"/>
  <c r="B80" i="27"/>
  <c r="O79" i="27"/>
  <c r="O126" i="27" s="1"/>
  <c r="N79" i="27"/>
  <c r="M79" i="27"/>
  <c r="L79" i="27"/>
  <c r="K79" i="27"/>
  <c r="K126" i="27" s="1"/>
  <c r="J79" i="27"/>
  <c r="J126" i="27" s="1"/>
  <c r="G79" i="27"/>
  <c r="G126" i="27" s="1"/>
  <c r="F79" i="27"/>
  <c r="E79" i="27"/>
  <c r="D79" i="27"/>
  <c r="C79" i="27"/>
  <c r="B79" i="27"/>
  <c r="O78" i="27"/>
  <c r="O125" i="27" s="1"/>
  <c r="N78" i="27"/>
  <c r="M78" i="27"/>
  <c r="L78" i="27"/>
  <c r="K78" i="27"/>
  <c r="K125" i="27" s="1"/>
  <c r="J78" i="27"/>
  <c r="J125" i="27" s="1"/>
  <c r="G78" i="27"/>
  <c r="G125" i="27" s="1"/>
  <c r="F78" i="27"/>
  <c r="E78" i="27"/>
  <c r="D78" i="27"/>
  <c r="C78" i="27"/>
  <c r="B78" i="27"/>
  <c r="O77" i="27"/>
  <c r="O124" i="27" s="1"/>
  <c r="N77" i="27"/>
  <c r="N372" i="27" s="1"/>
  <c r="M77" i="27"/>
  <c r="L77" i="27"/>
  <c r="K77" i="27"/>
  <c r="K124" i="27" s="1"/>
  <c r="J77" i="27"/>
  <c r="J372" i="27" s="1"/>
  <c r="G77" i="27"/>
  <c r="G124" i="27" s="1"/>
  <c r="F77" i="27"/>
  <c r="E77" i="27"/>
  <c r="E372" i="27" s="1"/>
  <c r="D77" i="27"/>
  <c r="C77" i="27"/>
  <c r="B77" i="27"/>
  <c r="O76" i="27"/>
  <c r="O123" i="27" s="1"/>
  <c r="N76" i="27"/>
  <c r="M76" i="27"/>
  <c r="L76" i="27"/>
  <c r="K76" i="27"/>
  <c r="K123" i="27" s="1"/>
  <c r="J76" i="27"/>
  <c r="J123" i="27" s="1"/>
  <c r="G76" i="27"/>
  <c r="G123" i="27" s="1"/>
  <c r="F76" i="27"/>
  <c r="E76" i="27"/>
  <c r="D76" i="27"/>
  <c r="C76" i="27"/>
  <c r="B76" i="27"/>
  <c r="O75" i="27"/>
  <c r="O122" i="27" s="1"/>
  <c r="N75" i="27"/>
  <c r="M75" i="27"/>
  <c r="L75" i="27"/>
  <c r="K75" i="27"/>
  <c r="K122" i="27" s="1"/>
  <c r="J75" i="27"/>
  <c r="J122" i="27" s="1"/>
  <c r="G75" i="27"/>
  <c r="G122" i="27" s="1"/>
  <c r="F75" i="27"/>
  <c r="E75" i="27"/>
  <c r="D75" i="27"/>
  <c r="C75" i="27"/>
  <c r="B75" i="27"/>
  <c r="O74" i="27"/>
  <c r="O121" i="27" s="1"/>
  <c r="N74" i="27"/>
  <c r="M74" i="27"/>
  <c r="L74" i="27"/>
  <c r="K74" i="27"/>
  <c r="K121" i="27" s="1"/>
  <c r="J74" i="27"/>
  <c r="J121" i="27" s="1"/>
  <c r="G74" i="27"/>
  <c r="G121" i="27" s="1"/>
  <c r="F74" i="27"/>
  <c r="E74" i="27"/>
  <c r="D74" i="27"/>
  <c r="C74" i="27"/>
  <c r="B74" i="27"/>
  <c r="O73" i="27"/>
  <c r="O120" i="27" s="1"/>
  <c r="N73" i="27"/>
  <c r="M73" i="27"/>
  <c r="L73" i="27"/>
  <c r="K73" i="27"/>
  <c r="K120" i="27" s="1"/>
  <c r="J73" i="27"/>
  <c r="J120" i="27" s="1"/>
  <c r="G73" i="27"/>
  <c r="G120" i="27" s="1"/>
  <c r="F73" i="27"/>
  <c r="E73" i="27"/>
  <c r="D73" i="27"/>
  <c r="C73" i="27"/>
  <c r="B73" i="27"/>
  <c r="O72" i="27"/>
  <c r="O119" i="27" s="1"/>
  <c r="N72" i="27"/>
  <c r="M72" i="27"/>
  <c r="L72" i="27"/>
  <c r="L371" i="27" s="1"/>
  <c r="K72" i="27"/>
  <c r="J72" i="27"/>
  <c r="J119" i="27" s="1"/>
  <c r="G72" i="27"/>
  <c r="G119" i="27" s="1"/>
  <c r="F72" i="27"/>
  <c r="E72" i="27"/>
  <c r="D72" i="27"/>
  <c r="C72" i="27"/>
  <c r="C371" i="27" s="1"/>
  <c r="B72" i="27"/>
  <c r="O71" i="27"/>
  <c r="O118" i="27" s="1"/>
  <c r="N71" i="27"/>
  <c r="M71" i="27"/>
  <c r="L71" i="27"/>
  <c r="K71" i="27"/>
  <c r="K118" i="27" s="1"/>
  <c r="J71" i="27"/>
  <c r="J118" i="27" s="1"/>
  <c r="G71" i="27"/>
  <c r="G118" i="27" s="1"/>
  <c r="F71" i="27"/>
  <c r="E71" i="27"/>
  <c r="D71" i="27"/>
  <c r="C71" i="27"/>
  <c r="B71" i="27"/>
  <c r="O70" i="27"/>
  <c r="O117" i="27" s="1"/>
  <c r="N70" i="27"/>
  <c r="M70" i="27"/>
  <c r="L70" i="27"/>
  <c r="K70" i="27"/>
  <c r="K117" i="27" s="1"/>
  <c r="J70" i="27"/>
  <c r="J117" i="27" s="1"/>
  <c r="G70" i="27"/>
  <c r="G117" i="27" s="1"/>
  <c r="F70" i="27"/>
  <c r="E70" i="27"/>
  <c r="D70" i="27"/>
  <c r="C70" i="27"/>
  <c r="B70" i="27"/>
  <c r="O69" i="27"/>
  <c r="O116" i="27" s="1"/>
  <c r="N69" i="27"/>
  <c r="M69" i="27"/>
  <c r="L69" i="27"/>
  <c r="K69" i="27"/>
  <c r="K116" i="27" s="1"/>
  <c r="J69" i="27"/>
  <c r="J116" i="27" s="1"/>
  <c r="G69" i="27"/>
  <c r="G116" i="27" s="1"/>
  <c r="F69" i="27"/>
  <c r="E69" i="27"/>
  <c r="D69" i="27"/>
  <c r="C69" i="27"/>
  <c r="B69" i="27"/>
  <c r="O68" i="27"/>
  <c r="O115" i="27" s="1"/>
  <c r="N68" i="27"/>
  <c r="M68" i="27"/>
  <c r="L68" i="27"/>
  <c r="K68" i="27"/>
  <c r="K115" i="27" s="1"/>
  <c r="J68" i="27"/>
  <c r="J115" i="27" s="1"/>
  <c r="G68" i="27"/>
  <c r="G115" i="27" s="1"/>
  <c r="F68" i="27"/>
  <c r="E68" i="27"/>
  <c r="D68" i="27"/>
  <c r="C68" i="27"/>
  <c r="B68" i="27"/>
  <c r="O67" i="27"/>
  <c r="O114" i="27" s="1"/>
  <c r="N67" i="27"/>
  <c r="M67" i="27"/>
  <c r="L67" i="27"/>
  <c r="K67" i="27"/>
  <c r="K114" i="27" s="1"/>
  <c r="J67" i="27"/>
  <c r="J370" i="27" s="1"/>
  <c r="G67" i="27"/>
  <c r="G114" i="27" s="1"/>
  <c r="F67" i="27"/>
  <c r="E67" i="27"/>
  <c r="E370" i="27" s="1"/>
  <c r="D67" i="27"/>
  <c r="C67" i="27"/>
  <c r="B67" i="27"/>
  <c r="O66" i="27"/>
  <c r="O113" i="27" s="1"/>
  <c r="N66" i="27"/>
  <c r="M66" i="27"/>
  <c r="L66" i="27"/>
  <c r="K66" i="27"/>
  <c r="K113" i="27" s="1"/>
  <c r="J66" i="27"/>
  <c r="J113" i="27" s="1"/>
  <c r="G66" i="27"/>
  <c r="G113" i="27" s="1"/>
  <c r="F66" i="27"/>
  <c r="E66" i="27"/>
  <c r="D66" i="27"/>
  <c r="C66" i="27"/>
  <c r="B66" i="27"/>
  <c r="O65" i="27"/>
  <c r="O112" i="27" s="1"/>
  <c r="N65" i="27"/>
  <c r="M65" i="27"/>
  <c r="L65" i="27"/>
  <c r="K65" i="27"/>
  <c r="K112" i="27" s="1"/>
  <c r="J65" i="27"/>
  <c r="J112" i="27" s="1"/>
  <c r="G65" i="27"/>
  <c r="G112" i="27" s="1"/>
  <c r="F65" i="27"/>
  <c r="E65" i="27"/>
  <c r="D65" i="27"/>
  <c r="C65" i="27"/>
  <c r="B65" i="27"/>
  <c r="O64" i="27"/>
  <c r="O111" i="27" s="1"/>
  <c r="N64" i="27"/>
  <c r="M64" i="27"/>
  <c r="L64" i="27"/>
  <c r="K64" i="27"/>
  <c r="K111" i="27" s="1"/>
  <c r="J64" i="27"/>
  <c r="J111" i="27" s="1"/>
  <c r="G64" i="27"/>
  <c r="G111" i="27" s="1"/>
  <c r="F64" i="27"/>
  <c r="E64" i="27"/>
  <c r="D64" i="27"/>
  <c r="C64" i="27"/>
  <c r="B64" i="27"/>
  <c r="O63" i="27"/>
  <c r="O110" i="27" s="1"/>
  <c r="N63" i="27"/>
  <c r="M63" i="27"/>
  <c r="L63" i="27"/>
  <c r="K63" i="27"/>
  <c r="K110" i="27" s="1"/>
  <c r="J63" i="27"/>
  <c r="J110" i="27" s="1"/>
  <c r="G63" i="27"/>
  <c r="G110" i="27" s="1"/>
  <c r="F63" i="27"/>
  <c r="E63" i="27"/>
  <c r="D63" i="27"/>
  <c r="C63" i="27"/>
  <c r="B63" i="27"/>
  <c r="O62" i="27"/>
  <c r="N62" i="27"/>
  <c r="M62" i="27"/>
  <c r="L62" i="27"/>
  <c r="K62" i="27"/>
  <c r="J62" i="27"/>
  <c r="G62" i="27"/>
  <c r="F62" i="27"/>
  <c r="E62" i="27"/>
  <c r="D62" i="27"/>
  <c r="C62" i="27"/>
  <c r="B62" i="27"/>
  <c r="O61" i="27"/>
  <c r="O108" i="27" s="1"/>
  <c r="N61" i="27"/>
  <c r="M61" i="27"/>
  <c r="L61" i="27"/>
  <c r="K61" i="27"/>
  <c r="K108" i="27" s="1"/>
  <c r="J61" i="27"/>
  <c r="J108" i="27" s="1"/>
  <c r="G61" i="27"/>
  <c r="G108" i="27" s="1"/>
  <c r="F61" i="27"/>
  <c r="E61" i="27"/>
  <c r="D61" i="27"/>
  <c r="C61" i="27"/>
  <c r="B61" i="27"/>
  <c r="O60" i="27"/>
  <c r="O107" i="27" s="1"/>
  <c r="N60" i="27"/>
  <c r="M60" i="27"/>
  <c r="L60" i="27"/>
  <c r="K60" i="27"/>
  <c r="K107" i="27" s="1"/>
  <c r="J60" i="27"/>
  <c r="J107" i="27" s="1"/>
  <c r="G60" i="27"/>
  <c r="G107" i="27" s="1"/>
  <c r="F60" i="27"/>
  <c r="E60" i="27"/>
  <c r="D60" i="27"/>
  <c r="C60" i="27"/>
  <c r="B60" i="27"/>
  <c r="O59" i="27"/>
  <c r="O106" i="27" s="1"/>
  <c r="N59" i="27"/>
  <c r="M59" i="27"/>
  <c r="L59" i="27"/>
  <c r="K59" i="27"/>
  <c r="K106" i="27" s="1"/>
  <c r="J59" i="27"/>
  <c r="J106" i="27" s="1"/>
  <c r="G59" i="27"/>
  <c r="G106" i="27" s="1"/>
  <c r="F59" i="27"/>
  <c r="E59" i="27"/>
  <c r="D59" i="27"/>
  <c r="C59" i="27"/>
  <c r="B59" i="27"/>
  <c r="O58" i="27"/>
  <c r="O105" i="27" s="1"/>
  <c r="N58" i="27"/>
  <c r="M58" i="27"/>
  <c r="L58" i="27"/>
  <c r="K58" i="27"/>
  <c r="K105" i="27" s="1"/>
  <c r="J58" i="27"/>
  <c r="J105" i="27" s="1"/>
  <c r="G58" i="27"/>
  <c r="G105" i="27" s="1"/>
  <c r="F58" i="27"/>
  <c r="E58" i="27"/>
  <c r="D58" i="27"/>
  <c r="C58" i="27"/>
  <c r="B58" i="27"/>
  <c r="O57" i="27"/>
  <c r="O104" i="27" s="1"/>
  <c r="N57" i="27"/>
  <c r="M57" i="27"/>
  <c r="L57" i="27"/>
  <c r="K57" i="27"/>
  <c r="K104" i="27" s="1"/>
  <c r="J57" i="27"/>
  <c r="G57" i="27"/>
  <c r="F57" i="27"/>
  <c r="E57" i="27"/>
  <c r="D57" i="27"/>
  <c r="C57" i="27"/>
  <c r="B57" i="27"/>
  <c r="O56" i="27"/>
  <c r="O103" i="27" s="1"/>
  <c r="N56" i="27"/>
  <c r="M56" i="27"/>
  <c r="L56" i="27"/>
  <c r="K56" i="27"/>
  <c r="K103" i="27" s="1"/>
  <c r="J56" i="27"/>
  <c r="J103" i="27" s="1"/>
  <c r="G56" i="27"/>
  <c r="G103" i="27" s="1"/>
  <c r="F56" i="27"/>
  <c r="E56" i="27"/>
  <c r="D56" i="27"/>
  <c r="C56" i="27"/>
  <c r="B56" i="27"/>
  <c r="O55" i="27"/>
  <c r="O102" i="27" s="1"/>
  <c r="N55" i="27"/>
  <c r="M55" i="27"/>
  <c r="L55" i="27"/>
  <c r="K55" i="27"/>
  <c r="K102" i="27" s="1"/>
  <c r="J55" i="27"/>
  <c r="J102" i="27" s="1"/>
  <c r="G55" i="27"/>
  <c r="G102" i="27" s="1"/>
  <c r="F55" i="27"/>
  <c r="E55" i="27"/>
  <c r="D55" i="27"/>
  <c r="C55" i="27"/>
  <c r="B55" i="27"/>
  <c r="O54" i="27"/>
  <c r="O101" i="27" s="1"/>
  <c r="N54" i="27"/>
  <c r="M54" i="27"/>
  <c r="L54" i="27"/>
  <c r="K54" i="27"/>
  <c r="K101" i="27" s="1"/>
  <c r="J54" i="27"/>
  <c r="J101" i="27" s="1"/>
  <c r="G54" i="27"/>
  <c r="G101" i="27" s="1"/>
  <c r="F54" i="27"/>
  <c r="E54" i="27"/>
  <c r="D54" i="27"/>
  <c r="C54" i="27"/>
  <c r="B54" i="27"/>
  <c r="O53" i="27"/>
  <c r="O100" i="27" s="1"/>
  <c r="N53" i="27"/>
  <c r="M53" i="27"/>
  <c r="L53" i="27"/>
  <c r="K53" i="27"/>
  <c r="K100" i="27" s="1"/>
  <c r="J53" i="27"/>
  <c r="J100" i="27" s="1"/>
  <c r="G53" i="27"/>
  <c r="G100" i="27" s="1"/>
  <c r="F53" i="27"/>
  <c r="E53" i="27"/>
  <c r="D53" i="27"/>
  <c r="C53" i="27"/>
  <c r="B53" i="27"/>
  <c r="O52" i="27"/>
  <c r="O99" i="27" s="1"/>
  <c r="N52" i="27"/>
  <c r="M52" i="27"/>
  <c r="L52" i="27"/>
  <c r="K52" i="27"/>
  <c r="K99" i="27" s="1"/>
  <c r="J52" i="27"/>
  <c r="J99" i="27" s="1"/>
  <c r="G52" i="27"/>
  <c r="G99" i="27" s="1"/>
  <c r="F52" i="27"/>
  <c r="E52" i="27"/>
  <c r="D52" i="27"/>
  <c r="C52" i="27"/>
  <c r="B52" i="27"/>
  <c r="N49" i="27"/>
  <c r="M49" i="27"/>
  <c r="L49" i="27"/>
  <c r="L365" i="27" s="1"/>
  <c r="F49" i="27"/>
  <c r="F365" i="27" s="1"/>
  <c r="E49" i="27"/>
  <c r="D49" i="27"/>
  <c r="C49" i="27"/>
  <c r="C365" i="27" s="1"/>
  <c r="B49" i="27"/>
  <c r="B365" i="27" s="1"/>
  <c r="N46" i="27"/>
  <c r="N362" i="27" s="1"/>
  <c r="M46" i="27"/>
  <c r="M362" i="27" s="1"/>
  <c r="L46" i="27"/>
  <c r="F46" i="27"/>
  <c r="E46" i="27"/>
  <c r="E362" i="27" s="1"/>
  <c r="D46" i="27"/>
  <c r="D362" i="27" s="1"/>
  <c r="C46" i="27"/>
  <c r="B46" i="27"/>
  <c r="B362" i="27" s="1"/>
  <c r="P45" i="27"/>
  <c r="P361" i="27" s="1"/>
  <c r="N45" i="27"/>
  <c r="M45" i="27"/>
  <c r="M361" i="27" s="1"/>
  <c r="L45" i="27"/>
  <c r="L361" i="27" s="1"/>
  <c r="F45" i="27"/>
  <c r="F361" i="27" s="1"/>
  <c r="E45" i="27"/>
  <c r="D45" i="27"/>
  <c r="D361" i="27" s="1"/>
  <c r="C45" i="27"/>
  <c r="C361" i="27" s="1"/>
  <c r="B45" i="27"/>
  <c r="B361" i="27" s="1"/>
  <c r="N44" i="27"/>
  <c r="N360" i="27" s="1"/>
  <c r="M44" i="27"/>
  <c r="M360" i="27" s="1"/>
  <c r="L44" i="27"/>
  <c r="F44" i="27"/>
  <c r="E44" i="27"/>
  <c r="E360" i="27" s="1"/>
  <c r="D44" i="27"/>
  <c r="C44" i="27"/>
  <c r="B44" i="27"/>
  <c r="B360" i="27" s="1"/>
  <c r="N43" i="27"/>
  <c r="M43" i="27"/>
  <c r="M359" i="27" s="1"/>
  <c r="L43" i="27"/>
  <c r="L359" i="27" s="1"/>
  <c r="F43" i="27"/>
  <c r="F359" i="27" s="1"/>
  <c r="E43" i="27"/>
  <c r="D43" i="27"/>
  <c r="D359" i="27" s="1"/>
  <c r="C43" i="27"/>
  <c r="C359" i="27" s="1"/>
  <c r="B43" i="27"/>
  <c r="B359" i="27" s="1"/>
  <c r="N42" i="27"/>
  <c r="N358" i="27" s="1"/>
  <c r="M42" i="27"/>
  <c r="M358" i="27" s="1"/>
  <c r="L42" i="27"/>
  <c r="F42" i="27"/>
  <c r="F358" i="27" s="1"/>
  <c r="E42" i="27"/>
  <c r="E358" i="27" s="1"/>
  <c r="D42" i="27"/>
  <c r="C42" i="27"/>
  <c r="B42" i="27"/>
  <c r="B358" i="27" s="1"/>
  <c r="N41" i="27"/>
  <c r="M41" i="27"/>
  <c r="M357" i="27" s="1"/>
  <c r="L41" i="27"/>
  <c r="L357" i="27" s="1"/>
  <c r="F41" i="27"/>
  <c r="F357" i="27" s="1"/>
  <c r="E41" i="27"/>
  <c r="D41" i="27"/>
  <c r="D357" i="27" s="1"/>
  <c r="C41" i="27"/>
  <c r="C357" i="27" s="1"/>
  <c r="B41" i="27"/>
  <c r="B357" i="27" s="1"/>
  <c r="N40" i="27"/>
  <c r="N356" i="27" s="1"/>
  <c r="M40" i="27"/>
  <c r="M356" i="27" s="1"/>
  <c r="L40" i="27"/>
  <c r="F40" i="27"/>
  <c r="F356" i="27" s="1"/>
  <c r="E40" i="27"/>
  <c r="E356" i="27" s="1"/>
  <c r="D40" i="27"/>
  <c r="C40" i="27"/>
  <c r="B40" i="27"/>
  <c r="B356" i="27" s="1"/>
  <c r="N39" i="27"/>
  <c r="M39" i="27"/>
  <c r="M355" i="27" s="1"/>
  <c r="L39" i="27"/>
  <c r="L355" i="27" s="1"/>
  <c r="F39" i="27"/>
  <c r="F355" i="27" s="1"/>
  <c r="E39" i="27"/>
  <c r="D39" i="27"/>
  <c r="D355" i="27" s="1"/>
  <c r="C39" i="27"/>
  <c r="C355" i="27" s="1"/>
  <c r="B39" i="27"/>
  <c r="B355" i="27" s="1"/>
  <c r="N38" i="27"/>
  <c r="N354" i="27" s="1"/>
  <c r="M38" i="27"/>
  <c r="M354" i="27" s="1"/>
  <c r="L38" i="27"/>
  <c r="F38" i="27"/>
  <c r="F354" i="27" s="1"/>
  <c r="E38" i="27"/>
  <c r="E354" i="27" s="1"/>
  <c r="D38" i="27"/>
  <c r="C38" i="27"/>
  <c r="B38" i="27"/>
  <c r="B354" i="27" s="1"/>
  <c r="N37" i="27"/>
  <c r="M37" i="27"/>
  <c r="M353" i="27" s="1"/>
  <c r="L37" i="27"/>
  <c r="L353" i="27" s="1"/>
  <c r="F37" i="27"/>
  <c r="F353" i="27" s="1"/>
  <c r="E37" i="27"/>
  <c r="D37" i="27"/>
  <c r="D353" i="27" s="1"/>
  <c r="C37" i="27"/>
  <c r="C353" i="27" s="1"/>
  <c r="B37" i="27"/>
  <c r="B353" i="27" s="1"/>
  <c r="N36" i="27"/>
  <c r="N352" i="27" s="1"/>
  <c r="M36" i="27"/>
  <c r="M352" i="27" s="1"/>
  <c r="L36" i="27"/>
  <c r="F36" i="27"/>
  <c r="E36" i="27"/>
  <c r="E352" i="27" s="1"/>
  <c r="D36" i="27"/>
  <c r="C36" i="27"/>
  <c r="B36" i="27"/>
  <c r="B352" i="27" s="1"/>
  <c r="N35" i="27"/>
  <c r="M35" i="27"/>
  <c r="M351" i="27" s="1"/>
  <c r="L35" i="27"/>
  <c r="L351" i="27" s="1"/>
  <c r="F35" i="27"/>
  <c r="F351" i="27" s="1"/>
  <c r="E35" i="27"/>
  <c r="D35" i="27"/>
  <c r="D351" i="27" s="1"/>
  <c r="C35" i="27"/>
  <c r="C351" i="27" s="1"/>
  <c r="B35" i="27"/>
  <c r="B351" i="27" s="1"/>
  <c r="N34" i="27"/>
  <c r="M34" i="27"/>
  <c r="L34" i="27"/>
  <c r="L128" i="27" s="1"/>
  <c r="F34" i="27"/>
  <c r="E34" i="27"/>
  <c r="D34" i="27"/>
  <c r="C34" i="27"/>
  <c r="N33" i="27"/>
  <c r="M33" i="27"/>
  <c r="L33" i="27"/>
  <c r="F33" i="27"/>
  <c r="E33" i="27"/>
  <c r="E127" i="27" s="1"/>
  <c r="D33" i="27"/>
  <c r="D127" i="27" s="1"/>
  <c r="C33" i="27"/>
  <c r="B33" i="27"/>
  <c r="N32" i="27"/>
  <c r="M32" i="27"/>
  <c r="L32" i="27"/>
  <c r="F32" i="27"/>
  <c r="F126" i="27" s="1"/>
  <c r="E32" i="27"/>
  <c r="D32" i="27"/>
  <c r="C32" i="27"/>
  <c r="C126" i="27" s="1"/>
  <c r="B32" i="27"/>
  <c r="N31" i="27"/>
  <c r="M31" i="27"/>
  <c r="L31" i="27"/>
  <c r="F31" i="27"/>
  <c r="E31" i="27"/>
  <c r="E125" i="27" s="1"/>
  <c r="D31" i="27"/>
  <c r="C31" i="27"/>
  <c r="B31" i="27"/>
  <c r="N30" i="27"/>
  <c r="F30" i="27"/>
  <c r="D30" i="27"/>
  <c r="C30" i="27"/>
  <c r="B30" i="27"/>
  <c r="N29" i="27"/>
  <c r="M29" i="27"/>
  <c r="L29" i="27"/>
  <c r="F29" i="27"/>
  <c r="E29" i="27"/>
  <c r="D29" i="27"/>
  <c r="C29" i="27"/>
  <c r="B29" i="27"/>
  <c r="N28" i="27"/>
  <c r="M28" i="27"/>
  <c r="L28" i="27"/>
  <c r="F28" i="27"/>
  <c r="E28" i="27"/>
  <c r="D28" i="27"/>
  <c r="C28" i="27"/>
  <c r="B28" i="27"/>
  <c r="P27" i="27"/>
  <c r="P215" i="27" s="1"/>
  <c r="N27" i="27"/>
  <c r="M27" i="27"/>
  <c r="L27" i="27"/>
  <c r="F27" i="27"/>
  <c r="E27" i="27"/>
  <c r="D27" i="27"/>
  <c r="C27" i="27"/>
  <c r="B27" i="27"/>
  <c r="P26" i="27"/>
  <c r="P214" i="27" s="1"/>
  <c r="N26" i="27"/>
  <c r="M26" i="27"/>
  <c r="L26" i="27"/>
  <c r="F26" i="27"/>
  <c r="E26" i="27"/>
  <c r="D26" i="27"/>
  <c r="C26" i="27"/>
  <c r="C120" i="27" s="1"/>
  <c r="B26" i="27"/>
  <c r="B120" i="27" s="1"/>
  <c r="N25" i="27"/>
  <c r="M25" i="27"/>
  <c r="L25" i="27"/>
  <c r="H25" i="27"/>
  <c r="H213" i="27" s="1"/>
  <c r="F25" i="27"/>
  <c r="E25" i="27"/>
  <c r="D25" i="27"/>
  <c r="C25" i="27"/>
  <c r="B25" i="27"/>
  <c r="N24" i="27"/>
  <c r="M24" i="27"/>
  <c r="L24" i="27"/>
  <c r="L118" i="27" s="1"/>
  <c r="F24" i="27"/>
  <c r="E24" i="27"/>
  <c r="D24" i="27"/>
  <c r="C24" i="27"/>
  <c r="B24" i="27"/>
  <c r="P23" i="27"/>
  <c r="P211" i="27" s="1"/>
  <c r="N23" i="27"/>
  <c r="M23" i="27"/>
  <c r="L23" i="27"/>
  <c r="H23" i="27"/>
  <c r="H211" i="27" s="1"/>
  <c r="F23" i="27"/>
  <c r="E23" i="27"/>
  <c r="D23" i="27"/>
  <c r="C23" i="27"/>
  <c r="B23" i="27"/>
  <c r="N22" i="27"/>
  <c r="M22" i="27"/>
  <c r="L22" i="27"/>
  <c r="F22" i="27"/>
  <c r="E22" i="27"/>
  <c r="D22" i="27"/>
  <c r="C22" i="27"/>
  <c r="B22" i="27"/>
  <c r="N21" i="27"/>
  <c r="M21" i="27"/>
  <c r="L21" i="27"/>
  <c r="F21" i="27"/>
  <c r="E21" i="27"/>
  <c r="D21" i="27"/>
  <c r="C21" i="27"/>
  <c r="B21" i="27"/>
  <c r="N20" i="27"/>
  <c r="M20" i="27"/>
  <c r="L20" i="27"/>
  <c r="F20" i="27"/>
  <c r="E20" i="27"/>
  <c r="D20" i="27"/>
  <c r="B20" i="27"/>
  <c r="M19" i="27"/>
  <c r="M113" i="27" s="1"/>
  <c r="L19" i="27"/>
  <c r="E19" i="27"/>
  <c r="D19" i="27"/>
  <c r="D113" i="27" s="1"/>
  <c r="C19" i="27"/>
  <c r="N18" i="27"/>
  <c r="L18" i="27"/>
  <c r="F18" i="27"/>
  <c r="D18" i="27"/>
  <c r="C18" i="27"/>
  <c r="B18" i="27"/>
  <c r="N17" i="27"/>
  <c r="N111" i="27" s="1"/>
  <c r="M17" i="27"/>
  <c r="L17" i="27"/>
  <c r="F17" i="27"/>
  <c r="E17" i="27"/>
  <c r="D17" i="27"/>
  <c r="C17" i="27"/>
  <c r="N16" i="27"/>
  <c r="M16" i="27"/>
  <c r="F16" i="27"/>
  <c r="E16" i="27"/>
  <c r="D16" i="27"/>
  <c r="C16" i="27"/>
  <c r="N15" i="27"/>
  <c r="M15" i="27"/>
  <c r="L15" i="27"/>
  <c r="F15" i="27"/>
  <c r="E15" i="27"/>
  <c r="D15" i="27"/>
  <c r="C15" i="27"/>
  <c r="N14" i="27"/>
  <c r="M14" i="27"/>
  <c r="L14" i="27"/>
  <c r="F14" i="27"/>
  <c r="E14" i="27"/>
  <c r="D14" i="27"/>
  <c r="C14" i="27"/>
  <c r="N13" i="27"/>
  <c r="M13" i="27"/>
  <c r="L13" i="27"/>
  <c r="F13" i="27"/>
  <c r="E13" i="27"/>
  <c r="D13" i="27"/>
  <c r="C13" i="27"/>
  <c r="B13" i="27"/>
  <c r="N12" i="27"/>
  <c r="L12" i="27"/>
  <c r="F12" i="27"/>
  <c r="E12" i="27"/>
  <c r="D12" i="27"/>
  <c r="C12" i="27"/>
  <c r="N11" i="27"/>
  <c r="M11" i="27"/>
  <c r="L11" i="27"/>
  <c r="F11" i="27"/>
  <c r="E11" i="27"/>
  <c r="D11" i="27"/>
  <c r="C11" i="27"/>
  <c r="N10" i="27"/>
  <c r="M10" i="27"/>
  <c r="L10" i="27"/>
  <c r="F10" i="27"/>
  <c r="E10" i="27"/>
  <c r="D10" i="27"/>
  <c r="C10" i="27"/>
  <c r="N9" i="27"/>
  <c r="M9" i="27"/>
  <c r="L9" i="27"/>
  <c r="F9" i="27"/>
  <c r="E9" i="27"/>
  <c r="D9" i="27"/>
  <c r="C9" i="27"/>
  <c r="N8" i="27"/>
  <c r="M8" i="27"/>
  <c r="F8" i="27"/>
  <c r="E8" i="27"/>
  <c r="D8" i="27"/>
  <c r="C8" i="27"/>
  <c r="M7" i="27"/>
  <c r="L7" i="27"/>
  <c r="E7" i="27"/>
  <c r="D7" i="27"/>
  <c r="C7" i="27"/>
  <c r="B7" i="27"/>
  <c r="M6" i="27"/>
  <c r="E6" i="27"/>
  <c r="D6" i="27"/>
  <c r="C6" i="27"/>
  <c r="M5" i="27"/>
  <c r="L5" i="27"/>
  <c r="E5" i="27"/>
  <c r="D5" i="27"/>
  <c r="C5" i="27"/>
  <c r="E246" i="26"/>
  <c r="G190" i="26"/>
  <c r="F190" i="26"/>
  <c r="F434" i="26" s="1"/>
  <c r="E190" i="26"/>
  <c r="D190" i="26"/>
  <c r="D434" i="26" s="1"/>
  <c r="C190" i="26"/>
  <c r="B190" i="26"/>
  <c r="B434" i="26" s="1"/>
  <c r="G187" i="26"/>
  <c r="F187" i="26"/>
  <c r="E187" i="26"/>
  <c r="E431" i="26" s="1"/>
  <c r="D187" i="26"/>
  <c r="D431" i="26" s="1"/>
  <c r="C187" i="26"/>
  <c r="C431" i="26" s="1"/>
  <c r="B187" i="26"/>
  <c r="G186" i="26"/>
  <c r="F186" i="26"/>
  <c r="F430" i="26" s="1"/>
  <c r="E186" i="26"/>
  <c r="D186" i="26"/>
  <c r="D430" i="26" s="1"/>
  <c r="C186" i="26"/>
  <c r="B186" i="26"/>
  <c r="B430" i="26" s="1"/>
  <c r="G185" i="26"/>
  <c r="G429" i="26" s="1"/>
  <c r="F185" i="26"/>
  <c r="E185" i="26"/>
  <c r="D185" i="26"/>
  <c r="C185" i="26"/>
  <c r="C429" i="26" s="1"/>
  <c r="B185" i="26"/>
  <c r="B429" i="26" s="1"/>
  <c r="G184" i="26"/>
  <c r="F184" i="26"/>
  <c r="F428" i="26" s="1"/>
  <c r="E184" i="26"/>
  <c r="D184" i="26"/>
  <c r="D428" i="26" s="1"/>
  <c r="C184" i="26"/>
  <c r="B184" i="26"/>
  <c r="B428" i="26" s="1"/>
  <c r="G183" i="26"/>
  <c r="G427" i="26" s="1"/>
  <c r="F183" i="26"/>
  <c r="E183" i="26"/>
  <c r="E427" i="26" s="1"/>
  <c r="D183" i="26"/>
  <c r="C183" i="26"/>
  <c r="B183" i="26"/>
  <c r="G182" i="26"/>
  <c r="G426" i="26" s="1"/>
  <c r="F182" i="26"/>
  <c r="F426" i="26" s="1"/>
  <c r="E182" i="26"/>
  <c r="D182" i="26"/>
  <c r="D426" i="26" s="1"/>
  <c r="C182" i="26"/>
  <c r="C426" i="26" s="1"/>
  <c r="B182" i="26"/>
  <c r="B426" i="26" s="1"/>
  <c r="G181" i="26"/>
  <c r="G425" i="26" s="1"/>
  <c r="F181" i="26"/>
  <c r="E181" i="26"/>
  <c r="E425" i="26" s="1"/>
  <c r="D181" i="26"/>
  <c r="C181" i="26"/>
  <c r="C425" i="26" s="1"/>
  <c r="B181" i="26"/>
  <c r="G180" i="26"/>
  <c r="F180" i="26"/>
  <c r="F424" i="26" s="1"/>
  <c r="E180" i="26"/>
  <c r="E424" i="26" s="1"/>
  <c r="B180" i="26"/>
  <c r="B424" i="26" s="1"/>
  <c r="G179" i="26"/>
  <c r="G423" i="26" s="1"/>
  <c r="F179" i="26"/>
  <c r="E179" i="26"/>
  <c r="E423" i="26" s="1"/>
  <c r="D179" i="26"/>
  <c r="C179" i="26"/>
  <c r="C423" i="26" s="1"/>
  <c r="B179" i="26"/>
  <c r="G178" i="26"/>
  <c r="F178" i="26"/>
  <c r="E178" i="26"/>
  <c r="D178" i="26"/>
  <c r="D422" i="26" s="1"/>
  <c r="C178" i="26"/>
  <c r="C422" i="26" s="1"/>
  <c r="B178" i="26"/>
  <c r="G177" i="26"/>
  <c r="G421" i="26" s="1"/>
  <c r="F177" i="26"/>
  <c r="F421" i="26" s="1"/>
  <c r="E177" i="26"/>
  <c r="E421" i="26" s="1"/>
  <c r="D177" i="26"/>
  <c r="C177" i="26"/>
  <c r="B177" i="26"/>
  <c r="G176" i="26"/>
  <c r="F176" i="26"/>
  <c r="F420" i="26" s="1"/>
  <c r="E176" i="26"/>
  <c r="D176" i="26"/>
  <c r="C176" i="26"/>
  <c r="B176" i="26"/>
  <c r="B420" i="26" s="1"/>
  <c r="G175" i="26"/>
  <c r="F175" i="26"/>
  <c r="E175" i="26"/>
  <c r="D175" i="26"/>
  <c r="C175" i="26"/>
  <c r="B175" i="26"/>
  <c r="G174" i="26"/>
  <c r="F174" i="26"/>
  <c r="E174" i="26"/>
  <c r="D174" i="26"/>
  <c r="C174" i="26"/>
  <c r="B174" i="26"/>
  <c r="G173" i="26"/>
  <c r="F173" i="26"/>
  <c r="E173" i="26"/>
  <c r="D173" i="26"/>
  <c r="C173" i="26"/>
  <c r="B173" i="26"/>
  <c r="G172" i="26"/>
  <c r="F172" i="26"/>
  <c r="E172" i="26"/>
  <c r="D172" i="26"/>
  <c r="C172" i="26"/>
  <c r="B172" i="26"/>
  <c r="G171" i="26"/>
  <c r="G419" i="26" s="1"/>
  <c r="F171" i="26"/>
  <c r="E171" i="26"/>
  <c r="D171" i="26"/>
  <c r="C171" i="26"/>
  <c r="B171" i="26"/>
  <c r="G170" i="26"/>
  <c r="F170" i="26"/>
  <c r="E170" i="26"/>
  <c r="D170" i="26"/>
  <c r="C170" i="26"/>
  <c r="B170" i="26"/>
  <c r="G169" i="26"/>
  <c r="F169" i="26"/>
  <c r="E169" i="26"/>
  <c r="D169" i="26"/>
  <c r="C169" i="26"/>
  <c r="B169" i="26"/>
  <c r="G168" i="26"/>
  <c r="F168" i="26"/>
  <c r="E168" i="26"/>
  <c r="D168" i="26"/>
  <c r="C168" i="26"/>
  <c r="B168" i="26"/>
  <c r="G167" i="26"/>
  <c r="F167" i="26"/>
  <c r="E167" i="26"/>
  <c r="D167" i="26"/>
  <c r="C167" i="26"/>
  <c r="B167" i="26"/>
  <c r="H166" i="26"/>
  <c r="G166" i="26"/>
  <c r="F166" i="26"/>
  <c r="E166" i="26"/>
  <c r="D166" i="26"/>
  <c r="C166" i="26"/>
  <c r="B166" i="26"/>
  <c r="H165" i="26"/>
  <c r="G165" i="26"/>
  <c r="F165" i="26"/>
  <c r="E165" i="26"/>
  <c r="D165" i="26"/>
  <c r="C165" i="26"/>
  <c r="B165" i="26"/>
  <c r="H164" i="26"/>
  <c r="G164" i="26"/>
  <c r="F164" i="26"/>
  <c r="E164" i="26"/>
  <c r="D164" i="26"/>
  <c r="C164" i="26"/>
  <c r="B164" i="26"/>
  <c r="G163" i="26"/>
  <c r="F163" i="26"/>
  <c r="E163" i="26"/>
  <c r="D163" i="26"/>
  <c r="C163" i="26"/>
  <c r="B163" i="26"/>
  <c r="G162" i="26"/>
  <c r="F162" i="26"/>
  <c r="E162" i="26"/>
  <c r="D162" i="26"/>
  <c r="C162" i="26"/>
  <c r="B162" i="26"/>
  <c r="G161" i="26"/>
  <c r="F161" i="26"/>
  <c r="E161" i="26"/>
  <c r="D161" i="26"/>
  <c r="C161" i="26"/>
  <c r="B161" i="26"/>
  <c r="G160" i="26"/>
  <c r="F160" i="26"/>
  <c r="E160" i="26"/>
  <c r="D160" i="26"/>
  <c r="C160" i="26"/>
  <c r="B160" i="26"/>
  <c r="G159" i="26"/>
  <c r="F159" i="26"/>
  <c r="E159" i="26"/>
  <c r="D159" i="26"/>
  <c r="C159" i="26"/>
  <c r="B159" i="26"/>
  <c r="G158" i="26"/>
  <c r="F158" i="26"/>
  <c r="E158" i="26"/>
  <c r="D158" i="26"/>
  <c r="C158" i="26"/>
  <c r="B158" i="26"/>
  <c r="G157" i="26"/>
  <c r="F157" i="26"/>
  <c r="E157" i="26"/>
  <c r="D157" i="26"/>
  <c r="C157" i="26"/>
  <c r="B157" i="26"/>
  <c r="G156" i="26"/>
  <c r="F156" i="26"/>
  <c r="E156" i="26"/>
  <c r="D156" i="26"/>
  <c r="C156" i="26"/>
  <c r="B156" i="26"/>
  <c r="G155" i="26"/>
  <c r="F155" i="26"/>
  <c r="E155" i="26"/>
  <c r="D155" i="26"/>
  <c r="C155" i="26"/>
  <c r="B155" i="26"/>
  <c r="G154" i="26"/>
  <c r="F154" i="26"/>
  <c r="E154" i="26"/>
  <c r="D154" i="26"/>
  <c r="C154" i="26"/>
  <c r="B154" i="26"/>
  <c r="G153" i="26"/>
  <c r="F153" i="26"/>
  <c r="E153" i="26"/>
  <c r="D153" i="26"/>
  <c r="C153" i="26"/>
  <c r="B153" i="26"/>
  <c r="G152" i="26"/>
  <c r="F152" i="26"/>
  <c r="E152" i="26"/>
  <c r="D152" i="26"/>
  <c r="C152" i="26"/>
  <c r="B152" i="26"/>
  <c r="G151" i="26"/>
  <c r="F151" i="26"/>
  <c r="E151" i="26"/>
  <c r="D151" i="26"/>
  <c r="C151" i="26"/>
  <c r="B151" i="26"/>
  <c r="G150" i="26"/>
  <c r="F150" i="26"/>
  <c r="E150" i="26"/>
  <c r="D150" i="26"/>
  <c r="C150" i="26"/>
  <c r="B150" i="26"/>
  <c r="G149" i="26"/>
  <c r="F149" i="26"/>
  <c r="E149" i="26"/>
  <c r="D149" i="26"/>
  <c r="C149" i="26"/>
  <c r="B149" i="26"/>
  <c r="G148" i="26"/>
  <c r="F148" i="26"/>
  <c r="E148" i="26"/>
  <c r="D148" i="26"/>
  <c r="C148" i="26"/>
  <c r="B148" i="26"/>
  <c r="G147" i="26"/>
  <c r="F147" i="26"/>
  <c r="E147" i="26"/>
  <c r="D147" i="26"/>
  <c r="C147" i="26"/>
  <c r="B147" i="26"/>
  <c r="G146" i="26"/>
  <c r="F146" i="26"/>
  <c r="E146" i="26"/>
  <c r="D146" i="26"/>
  <c r="C146" i="26"/>
  <c r="B146" i="26"/>
  <c r="G96" i="26"/>
  <c r="G387" i="26" s="1"/>
  <c r="F96" i="26"/>
  <c r="F387" i="26" s="1"/>
  <c r="E96" i="26"/>
  <c r="D96" i="26"/>
  <c r="D387" i="26" s="1"/>
  <c r="C96" i="26"/>
  <c r="C387" i="26" s="1"/>
  <c r="B96" i="26"/>
  <c r="G93" i="26"/>
  <c r="G384" i="26" s="1"/>
  <c r="F93" i="26"/>
  <c r="F384" i="26" s="1"/>
  <c r="E93" i="26"/>
  <c r="E384" i="26" s="1"/>
  <c r="D93" i="26"/>
  <c r="C93" i="26"/>
  <c r="C384" i="26" s="1"/>
  <c r="B93" i="26"/>
  <c r="B384" i="26" s="1"/>
  <c r="G92" i="26"/>
  <c r="F92" i="26"/>
  <c r="F383" i="26" s="1"/>
  <c r="E92" i="26"/>
  <c r="E383" i="26" s="1"/>
  <c r="D92" i="26"/>
  <c r="D383" i="26" s="1"/>
  <c r="C92" i="26"/>
  <c r="B92" i="26"/>
  <c r="B383" i="26" s="1"/>
  <c r="G91" i="26"/>
  <c r="F91" i="26"/>
  <c r="E91" i="26"/>
  <c r="E382" i="26" s="1"/>
  <c r="D91" i="26"/>
  <c r="C91" i="26"/>
  <c r="B91" i="26"/>
  <c r="G90" i="26"/>
  <c r="F90" i="26"/>
  <c r="E90" i="26"/>
  <c r="D90" i="26"/>
  <c r="D381" i="26" s="1"/>
  <c r="C90" i="26"/>
  <c r="B90" i="26"/>
  <c r="G89" i="26"/>
  <c r="G380" i="26" s="1"/>
  <c r="F89" i="26"/>
  <c r="E89" i="26"/>
  <c r="D89" i="26"/>
  <c r="D380" i="26" s="1"/>
  <c r="C89" i="26"/>
  <c r="C380" i="26" s="1"/>
  <c r="B89" i="26"/>
  <c r="G88" i="26"/>
  <c r="F88" i="26"/>
  <c r="F379" i="26" s="1"/>
  <c r="E88" i="26"/>
  <c r="D88" i="26"/>
  <c r="C88" i="26"/>
  <c r="C379" i="26" s="1"/>
  <c r="B88" i="26"/>
  <c r="B379" i="26" s="1"/>
  <c r="G87" i="26"/>
  <c r="F87" i="26"/>
  <c r="F378" i="26" s="1"/>
  <c r="E87" i="26"/>
  <c r="E378" i="26" s="1"/>
  <c r="D87" i="26"/>
  <c r="C87" i="26"/>
  <c r="B87" i="26"/>
  <c r="G86" i="26"/>
  <c r="F86" i="26"/>
  <c r="E86" i="26"/>
  <c r="D86" i="26"/>
  <c r="D377" i="26" s="1"/>
  <c r="C86" i="26"/>
  <c r="B86" i="26"/>
  <c r="G85" i="26"/>
  <c r="G376" i="26" s="1"/>
  <c r="F85" i="26"/>
  <c r="E85" i="26"/>
  <c r="D85" i="26"/>
  <c r="C85" i="26"/>
  <c r="C376" i="26" s="1"/>
  <c r="B85" i="26"/>
  <c r="G84" i="26"/>
  <c r="G375" i="26" s="1"/>
  <c r="F84" i="26"/>
  <c r="F375" i="26" s="1"/>
  <c r="E84" i="26"/>
  <c r="D84" i="26"/>
  <c r="C84" i="26"/>
  <c r="B84" i="26"/>
  <c r="B375" i="26" s="1"/>
  <c r="G83" i="26"/>
  <c r="F83" i="26"/>
  <c r="F374" i="26" s="1"/>
  <c r="E83" i="26"/>
  <c r="E374" i="26" s="1"/>
  <c r="D83" i="26"/>
  <c r="C83" i="26"/>
  <c r="B83" i="26"/>
  <c r="B374" i="26" s="1"/>
  <c r="G82" i="26"/>
  <c r="F82" i="26"/>
  <c r="E82" i="26"/>
  <c r="D82" i="26"/>
  <c r="D373" i="26" s="1"/>
  <c r="C82" i="26"/>
  <c r="B82" i="26"/>
  <c r="G81" i="26"/>
  <c r="F81" i="26"/>
  <c r="E81" i="26"/>
  <c r="D81" i="26"/>
  <c r="C81" i="26"/>
  <c r="B81" i="26"/>
  <c r="G80" i="26"/>
  <c r="F80" i="26"/>
  <c r="E80" i="26"/>
  <c r="D80" i="26"/>
  <c r="C80" i="26"/>
  <c r="B80" i="26"/>
  <c r="G79" i="26"/>
  <c r="F79" i="26"/>
  <c r="E79" i="26"/>
  <c r="D79" i="26"/>
  <c r="C79" i="26"/>
  <c r="B79" i="26"/>
  <c r="G78" i="26"/>
  <c r="F78" i="26"/>
  <c r="E78" i="26"/>
  <c r="D78" i="26"/>
  <c r="C78" i="26"/>
  <c r="B78" i="26"/>
  <c r="G77" i="26"/>
  <c r="G372" i="26" s="1"/>
  <c r="F77" i="26"/>
  <c r="E77" i="26"/>
  <c r="D77" i="26"/>
  <c r="C77" i="26"/>
  <c r="B77" i="26"/>
  <c r="G76" i="26"/>
  <c r="F76" i="26"/>
  <c r="E76" i="26"/>
  <c r="D76" i="26"/>
  <c r="C76" i="26"/>
  <c r="B76" i="26"/>
  <c r="G75" i="26"/>
  <c r="F75" i="26"/>
  <c r="E75" i="26"/>
  <c r="D75" i="26"/>
  <c r="C75" i="26"/>
  <c r="B75" i="26"/>
  <c r="G74" i="26"/>
  <c r="F74" i="26"/>
  <c r="E74" i="26"/>
  <c r="D74" i="26"/>
  <c r="C74" i="26"/>
  <c r="B74" i="26"/>
  <c r="G73" i="26"/>
  <c r="F73" i="26"/>
  <c r="E73" i="26"/>
  <c r="D73" i="26"/>
  <c r="C73" i="26"/>
  <c r="B73" i="26"/>
  <c r="G72" i="26"/>
  <c r="F72" i="26"/>
  <c r="E72" i="26"/>
  <c r="D72" i="26"/>
  <c r="C72" i="26"/>
  <c r="B72" i="26"/>
  <c r="G71" i="26"/>
  <c r="F71" i="26"/>
  <c r="E71" i="26"/>
  <c r="D71" i="26"/>
  <c r="C71" i="26"/>
  <c r="B71" i="26"/>
  <c r="G70" i="26"/>
  <c r="F70" i="26"/>
  <c r="E70" i="26"/>
  <c r="D70" i="26"/>
  <c r="C70" i="26"/>
  <c r="B70" i="26"/>
  <c r="G69" i="26"/>
  <c r="F69" i="26"/>
  <c r="E69" i="26"/>
  <c r="D69" i="26"/>
  <c r="C69" i="26"/>
  <c r="B69" i="26"/>
  <c r="G68" i="26"/>
  <c r="F68" i="26"/>
  <c r="E68" i="26"/>
  <c r="D68" i="26"/>
  <c r="C68" i="26"/>
  <c r="B68" i="26"/>
  <c r="G67" i="26"/>
  <c r="F67" i="26"/>
  <c r="E67" i="26"/>
  <c r="D67" i="26"/>
  <c r="C67" i="26"/>
  <c r="B67" i="26"/>
  <c r="G66" i="26"/>
  <c r="F66" i="26"/>
  <c r="E66" i="26"/>
  <c r="D66" i="26"/>
  <c r="C66" i="26"/>
  <c r="B66" i="26"/>
  <c r="G65" i="26"/>
  <c r="F65" i="26"/>
  <c r="E65" i="26"/>
  <c r="D65" i="26"/>
  <c r="C65" i="26"/>
  <c r="B65" i="26"/>
  <c r="G64" i="26"/>
  <c r="F64" i="26"/>
  <c r="E64" i="26"/>
  <c r="D64" i="26"/>
  <c r="C64" i="26"/>
  <c r="B64" i="26"/>
  <c r="G63" i="26"/>
  <c r="F63" i="26"/>
  <c r="E63" i="26"/>
  <c r="D63" i="26"/>
  <c r="C63" i="26"/>
  <c r="B63" i="26"/>
  <c r="G62" i="26"/>
  <c r="F62" i="26"/>
  <c r="E62" i="26"/>
  <c r="D62" i="26"/>
  <c r="C62" i="26"/>
  <c r="B62" i="26"/>
  <c r="G61" i="26"/>
  <c r="F61" i="26"/>
  <c r="E61" i="26"/>
  <c r="D61" i="26"/>
  <c r="C61" i="26"/>
  <c r="B61" i="26"/>
  <c r="G60" i="26"/>
  <c r="F60" i="26"/>
  <c r="E60" i="26"/>
  <c r="D60" i="26"/>
  <c r="C60" i="26"/>
  <c r="B60" i="26"/>
  <c r="G59" i="26"/>
  <c r="F59" i="26"/>
  <c r="E59" i="26"/>
  <c r="D59" i="26"/>
  <c r="C59" i="26"/>
  <c r="B59" i="26"/>
  <c r="G58" i="26"/>
  <c r="F58" i="26"/>
  <c r="E58" i="26"/>
  <c r="D58" i="26"/>
  <c r="C58" i="26"/>
  <c r="B58" i="26"/>
  <c r="G57" i="26"/>
  <c r="F57" i="26"/>
  <c r="E57" i="26"/>
  <c r="D57" i="26"/>
  <c r="C57" i="26"/>
  <c r="B57" i="26"/>
  <c r="G56" i="26"/>
  <c r="F56" i="26"/>
  <c r="E56" i="26"/>
  <c r="D56" i="26"/>
  <c r="C56" i="26"/>
  <c r="B56" i="26"/>
  <c r="G55" i="26"/>
  <c r="F55" i="26"/>
  <c r="E55" i="26"/>
  <c r="D55" i="26"/>
  <c r="C55" i="26"/>
  <c r="B55" i="26"/>
  <c r="G54" i="26"/>
  <c r="F54" i="26"/>
  <c r="E54" i="26"/>
  <c r="D54" i="26"/>
  <c r="C54" i="26"/>
  <c r="B54" i="26"/>
  <c r="G53" i="26"/>
  <c r="F53" i="26"/>
  <c r="E53" i="26"/>
  <c r="D53" i="26"/>
  <c r="C53" i="26"/>
  <c r="B53" i="26"/>
  <c r="G52" i="26"/>
  <c r="F52" i="26"/>
  <c r="E52" i="26"/>
  <c r="D52" i="26"/>
  <c r="C52" i="26"/>
  <c r="B52" i="26"/>
  <c r="G49" i="26"/>
  <c r="G365" i="26" s="1"/>
  <c r="F49" i="26"/>
  <c r="F365" i="26" s="1"/>
  <c r="E49" i="26"/>
  <c r="E365" i="26" s="1"/>
  <c r="D49" i="26"/>
  <c r="D365" i="26" s="1"/>
  <c r="C49" i="26"/>
  <c r="C365" i="26" s="1"/>
  <c r="B49" i="26"/>
  <c r="G46" i="26"/>
  <c r="G362" i="26" s="1"/>
  <c r="F46" i="26"/>
  <c r="F362" i="26" s="1"/>
  <c r="E46" i="26"/>
  <c r="D46" i="26"/>
  <c r="D362" i="26" s="1"/>
  <c r="C46" i="26"/>
  <c r="C362" i="26" s="1"/>
  <c r="B46" i="26"/>
  <c r="B362" i="26" s="1"/>
  <c r="G45" i="26"/>
  <c r="G361" i="26" s="1"/>
  <c r="F45" i="26"/>
  <c r="F361" i="26" s="1"/>
  <c r="E45" i="26"/>
  <c r="E361" i="26" s="1"/>
  <c r="D45" i="26"/>
  <c r="D361" i="26" s="1"/>
  <c r="C45" i="26"/>
  <c r="C361" i="26" s="1"/>
  <c r="B45" i="26"/>
  <c r="B361" i="26" s="1"/>
  <c r="G44" i="26"/>
  <c r="F44" i="26"/>
  <c r="F360" i="26" s="1"/>
  <c r="E44" i="26"/>
  <c r="E360" i="26" s="1"/>
  <c r="D44" i="26"/>
  <c r="D360" i="26" s="1"/>
  <c r="C44" i="26"/>
  <c r="B44" i="26"/>
  <c r="B360" i="26" s="1"/>
  <c r="G43" i="26"/>
  <c r="G359" i="26" s="1"/>
  <c r="F43" i="26"/>
  <c r="E43" i="26"/>
  <c r="E359" i="26" s="1"/>
  <c r="D43" i="26"/>
  <c r="D359" i="26" s="1"/>
  <c r="C43" i="26"/>
  <c r="C359" i="26" s="1"/>
  <c r="B43" i="26"/>
  <c r="B359" i="26" s="1"/>
  <c r="G42" i="26"/>
  <c r="G358" i="26" s="1"/>
  <c r="F42" i="26"/>
  <c r="F358" i="26" s="1"/>
  <c r="E42" i="26"/>
  <c r="D42" i="26"/>
  <c r="D358" i="26" s="1"/>
  <c r="C42" i="26"/>
  <c r="C358" i="26" s="1"/>
  <c r="B42" i="26"/>
  <c r="B358" i="26" s="1"/>
  <c r="G41" i="26"/>
  <c r="G357" i="26" s="1"/>
  <c r="F41" i="26"/>
  <c r="E41" i="26"/>
  <c r="E357" i="26" s="1"/>
  <c r="D41" i="26"/>
  <c r="D357" i="26" s="1"/>
  <c r="C41" i="26"/>
  <c r="C357" i="26" s="1"/>
  <c r="B41" i="26"/>
  <c r="B357" i="26" s="1"/>
  <c r="G40" i="26"/>
  <c r="G356" i="26" s="1"/>
  <c r="F40" i="26"/>
  <c r="F356" i="26" s="1"/>
  <c r="E40" i="26"/>
  <c r="E356" i="26" s="1"/>
  <c r="D40" i="26"/>
  <c r="D356" i="26" s="1"/>
  <c r="C40" i="26"/>
  <c r="C356" i="26" s="1"/>
  <c r="B40" i="26"/>
  <c r="B356" i="26" s="1"/>
  <c r="G39" i="26"/>
  <c r="G355" i="26" s="1"/>
  <c r="F39" i="26"/>
  <c r="E39" i="26"/>
  <c r="E355" i="26" s="1"/>
  <c r="D39" i="26"/>
  <c r="D355" i="26" s="1"/>
  <c r="C39" i="26"/>
  <c r="C355" i="26" s="1"/>
  <c r="B39" i="26"/>
  <c r="B355" i="26" s="1"/>
  <c r="G38" i="26"/>
  <c r="G354" i="26" s="1"/>
  <c r="F38" i="26"/>
  <c r="F354" i="26" s="1"/>
  <c r="E38" i="26"/>
  <c r="E354" i="26" s="1"/>
  <c r="D38" i="26"/>
  <c r="D354" i="26" s="1"/>
  <c r="C38" i="26"/>
  <c r="C354" i="26" s="1"/>
  <c r="B38" i="26"/>
  <c r="B354" i="26" s="1"/>
  <c r="G37" i="26"/>
  <c r="G353" i="26" s="1"/>
  <c r="F37" i="26"/>
  <c r="E37" i="26"/>
  <c r="E353" i="26" s="1"/>
  <c r="D37" i="26"/>
  <c r="C37" i="26"/>
  <c r="C353" i="26" s="1"/>
  <c r="B37" i="26"/>
  <c r="B353" i="26" s="1"/>
  <c r="G36" i="26"/>
  <c r="G352" i="26" s="1"/>
  <c r="F36" i="26"/>
  <c r="F352" i="26" s="1"/>
  <c r="E36" i="26"/>
  <c r="D36" i="26"/>
  <c r="D352" i="26" s="1"/>
  <c r="C36" i="26"/>
  <c r="C352" i="26" s="1"/>
  <c r="B36" i="26"/>
  <c r="B352" i="26" s="1"/>
  <c r="G35" i="26"/>
  <c r="G351" i="26" s="1"/>
  <c r="F35" i="26"/>
  <c r="E35" i="26"/>
  <c r="E351" i="26" s="1"/>
  <c r="D35" i="26"/>
  <c r="D351" i="26" s="1"/>
  <c r="C35" i="26"/>
  <c r="C351" i="26" s="1"/>
  <c r="B35" i="26"/>
  <c r="G34" i="26"/>
  <c r="F34" i="26"/>
  <c r="E34" i="26"/>
  <c r="D34" i="26"/>
  <c r="C34" i="26"/>
  <c r="B34" i="26"/>
  <c r="G33" i="26"/>
  <c r="F33" i="26"/>
  <c r="E33" i="26"/>
  <c r="D33" i="26"/>
  <c r="C33" i="26"/>
  <c r="B33" i="26"/>
  <c r="G32" i="26"/>
  <c r="F32" i="26"/>
  <c r="E32" i="26"/>
  <c r="D32" i="26"/>
  <c r="C32" i="26"/>
  <c r="B32" i="26"/>
  <c r="G31" i="26"/>
  <c r="F31" i="26"/>
  <c r="E31" i="26"/>
  <c r="D31" i="26"/>
  <c r="C31" i="26"/>
  <c r="B31" i="26"/>
  <c r="G30" i="26"/>
  <c r="G350" i="26" s="1"/>
  <c r="F30" i="26"/>
  <c r="D30" i="26"/>
  <c r="C30" i="26"/>
  <c r="B30" i="26"/>
  <c r="G29" i="26"/>
  <c r="F29" i="26"/>
  <c r="E29" i="26"/>
  <c r="D29" i="26"/>
  <c r="C29" i="26"/>
  <c r="B29" i="26"/>
  <c r="G28" i="26"/>
  <c r="F28" i="26"/>
  <c r="E28" i="26"/>
  <c r="D28" i="26"/>
  <c r="C28" i="26"/>
  <c r="B28" i="26"/>
  <c r="G27" i="26"/>
  <c r="F27" i="26"/>
  <c r="E27" i="26"/>
  <c r="D27" i="26"/>
  <c r="C27" i="26"/>
  <c r="B27" i="26"/>
  <c r="G26" i="26"/>
  <c r="F26" i="26"/>
  <c r="E26" i="26"/>
  <c r="D26" i="26"/>
  <c r="C26" i="26"/>
  <c r="B26" i="26"/>
  <c r="G25" i="26"/>
  <c r="F25" i="26"/>
  <c r="E25" i="26"/>
  <c r="D25" i="26"/>
  <c r="C25" i="26"/>
  <c r="B25" i="26"/>
  <c r="G24" i="26"/>
  <c r="F24" i="26"/>
  <c r="E24" i="26"/>
  <c r="D24" i="26"/>
  <c r="C24" i="26"/>
  <c r="B24" i="26"/>
  <c r="H23" i="26"/>
  <c r="G23" i="26"/>
  <c r="F23" i="26"/>
  <c r="E23" i="26"/>
  <c r="D23" i="26"/>
  <c r="C23" i="26"/>
  <c r="B23" i="26"/>
  <c r="G22" i="26"/>
  <c r="F22" i="26"/>
  <c r="E22" i="26"/>
  <c r="D22" i="26"/>
  <c r="C22" i="26"/>
  <c r="B22" i="26"/>
  <c r="G21" i="26"/>
  <c r="F21" i="26"/>
  <c r="E21" i="26"/>
  <c r="D21" i="26"/>
  <c r="C21" i="26"/>
  <c r="B21" i="26"/>
  <c r="G20" i="26"/>
  <c r="F20" i="26"/>
  <c r="E20" i="26"/>
  <c r="D20" i="26"/>
  <c r="C20" i="26"/>
  <c r="B20" i="26"/>
  <c r="G19" i="26"/>
  <c r="F19" i="26"/>
  <c r="E19" i="26"/>
  <c r="D19" i="26"/>
  <c r="C19" i="26"/>
  <c r="B19" i="26"/>
  <c r="G18" i="26"/>
  <c r="F18" i="26"/>
  <c r="E18" i="26"/>
  <c r="E206" i="26" s="1"/>
  <c r="D18" i="26"/>
  <c r="C18" i="26"/>
  <c r="B18" i="26"/>
  <c r="G17" i="26"/>
  <c r="F17" i="26"/>
  <c r="E17" i="26"/>
  <c r="D17" i="26"/>
  <c r="C17" i="26"/>
  <c r="B17" i="26"/>
  <c r="G16" i="26"/>
  <c r="F16" i="26"/>
  <c r="E16" i="26"/>
  <c r="D16" i="26"/>
  <c r="C16" i="26"/>
  <c r="B16" i="26"/>
  <c r="G15" i="26"/>
  <c r="F15" i="26"/>
  <c r="E15" i="26"/>
  <c r="D15" i="26"/>
  <c r="C15" i="26"/>
  <c r="B15" i="26"/>
  <c r="G14" i="26"/>
  <c r="F14" i="26"/>
  <c r="E14" i="26"/>
  <c r="E202" i="26" s="1"/>
  <c r="D14" i="26"/>
  <c r="C14" i="26"/>
  <c r="B14" i="26"/>
  <c r="G13" i="26"/>
  <c r="F13" i="26"/>
  <c r="E13" i="26"/>
  <c r="D13" i="26"/>
  <c r="C13" i="26"/>
  <c r="B13" i="26"/>
  <c r="G12" i="26"/>
  <c r="F12" i="26"/>
  <c r="E12" i="26"/>
  <c r="D12" i="26"/>
  <c r="C12" i="26"/>
  <c r="B12" i="26"/>
  <c r="G11" i="26"/>
  <c r="F11" i="26"/>
  <c r="E11" i="26"/>
  <c r="D11" i="26"/>
  <c r="C11" i="26"/>
  <c r="B11" i="26"/>
  <c r="G10" i="26"/>
  <c r="F10" i="26"/>
  <c r="E10" i="26"/>
  <c r="E198" i="26" s="1"/>
  <c r="D10" i="26"/>
  <c r="C10" i="26"/>
  <c r="B10" i="26"/>
  <c r="G9" i="26"/>
  <c r="F9" i="26"/>
  <c r="E9" i="26"/>
  <c r="D9" i="26"/>
  <c r="C9" i="26"/>
  <c r="B9" i="26"/>
  <c r="G8" i="26"/>
  <c r="F8" i="26"/>
  <c r="E8" i="26"/>
  <c r="D8" i="26"/>
  <c r="C8" i="26"/>
  <c r="B8" i="26"/>
  <c r="G7" i="26"/>
  <c r="F7" i="26"/>
  <c r="E7" i="26"/>
  <c r="D7" i="26"/>
  <c r="C7" i="26"/>
  <c r="B7" i="26"/>
  <c r="G6" i="26"/>
  <c r="F6" i="26"/>
  <c r="E6" i="26"/>
  <c r="E194" i="26" s="1"/>
  <c r="D6" i="26"/>
  <c r="C6" i="26"/>
  <c r="B6" i="26"/>
  <c r="G5" i="26"/>
  <c r="F5" i="26"/>
  <c r="E5" i="26"/>
  <c r="D5" i="26"/>
  <c r="C5" i="26"/>
  <c r="B5" i="26"/>
  <c r="A290" i="25"/>
  <c r="K279" i="25"/>
  <c r="K278" i="25"/>
  <c r="K277" i="25"/>
  <c r="L256" i="25"/>
  <c r="K242" i="25"/>
  <c r="B242" i="25"/>
  <c r="X239" i="25"/>
  <c r="K239" i="25"/>
  <c r="B239" i="25"/>
  <c r="K238" i="25"/>
  <c r="B238" i="25"/>
  <c r="K237" i="25"/>
  <c r="B237" i="25"/>
  <c r="K236" i="25"/>
  <c r="B236" i="25"/>
  <c r="K235" i="25"/>
  <c r="B235" i="25"/>
  <c r="K234" i="25"/>
  <c r="B234" i="25"/>
  <c r="K233" i="25"/>
  <c r="B233" i="25"/>
  <c r="K232" i="25"/>
  <c r="B232" i="25"/>
  <c r="K231" i="25"/>
  <c r="B231" i="25"/>
  <c r="K230" i="25"/>
  <c r="B230" i="25"/>
  <c r="B229" i="25"/>
  <c r="B228" i="25"/>
  <c r="B227" i="25"/>
  <c r="B226" i="25"/>
  <c r="B225" i="25"/>
  <c r="B224" i="25"/>
  <c r="B223" i="25"/>
  <c r="W220" i="25"/>
  <c r="P220" i="25"/>
  <c r="O220" i="25"/>
  <c r="N220" i="25"/>
  <c r="K220" i="25"/>
  <c r="B220" i="25"/>
  <c r="W217" i="25"/>
  <c r="P217" i="25"/>
  <c r="O217" i="25"/>
  <c r="N217" i="25"/>
  <c r="K217" i="25"/>
  <c r="B217" i="25"/>
  <c r="W216" i="25"/>
  <c r="P216" i="25"/>
  <c r="O216" i="25"/>
  <c r="N216" i="25"/>
  <c r="K216" i="25"/>
  <c r="B216" i="25"/>
  <c r="W215" i="25"/>
  <c r="P215" i="25"/>
  <c r="O215" i="25"/>
  <c r="N215" i="25"/>
  <c r="K215" i="25"/>
  <c r="B215" i="25"/>
  <c r="W214" i="25"/>
  <c r="P214" i="25"/>
  <c r="O214" i="25"/>
  <c r="N214" i="25"/>
  <c r="K214" i="25"/>
  <c r="B214" i="25"/>
  <c r="W213" i="25"/>
  <c r="P213" i="25"/>
  <c r="O213" i="25"/>
  <c r="N213" i="25"/>
  <c r="K213" i="25"/>
  <c r="B213" i="25"/>
  <c r="W212" i="25"/>
  <c r="P212" i="25"/>
  <c r="O212" i="25"/>
  <c r="N212" i="25"/>
  <c r="B212" i="25"/>
  <c r="W211" i="25"/>
  <c r="P211" i="25"/>
  <c r="O211" i="25"/>
  <c r="N211" i="25"/>
  <c r="B211" i="25"/>
  <c r="W210" i="25"/>
  <c r="P210" i="25"/>
  <c r="O210" i="25"/>
  <c r="N210" i="25"/>
  <c r="K210" i="25"/>
  <c r="B210" i="25"/>
  <c r="W209" i="25"/>
  <c r="P209" i="25"/>
  <c r="O209" i="25"/>
  <c r="N209" i="25"/>
  <c r="K209" i="25"/>
  <c r="B209" i="25"/>
  <c r="W208" i="25"/>
  <c r="P208" i="25"/>
  <c r="O208" i="25"/>
  <c r="N208" i="25"/>
  <c r="K208" i="25"/>
  <c r="B208" i="25"/>
  <c r="W207" i="25"/>
  <c r="P207" i="25"/>
  <c r="O207" i="25"/>
  <c r="N207" i="25"/>
  <c r="B207" i="25"/>
  <c r="W206" i="25"/>
  <c r="P206" i="25"/>
  <c r="O206" i="25"/>
  <c r="N206" i="25"/>
  <c r="B206" i="25"/>
  <c r="W205" i="25"/>
  <c r="P205" i="25"/>
  <c r="O205" i="25"/>
  <c r="N205" i="25"/>
  <c r="B205" i="25"/>
  <c r="W204" i="25"/>
  <c r="P204" i="25"/>
  <c r="O204" i="25"/>
  <c r="N204" i="25"/>
  <c r="B204" i="25"/>
  <c r="W203" i="25"/>
  <c r="P203" i="25"/>
  <c r="O203" i="25"/>
  <c r="N203" i="25"/>
  <c r="B203" i="25"/>
  <c r="W202" i="25"/>
  <c r="P202" i="25"/>
  <c r="O202" i="25"/>
  <c r="N202" i="25"/>
  <c r="B202" i="25"/>
  <c r="W201" i="25"/>
  <c r="P201" i="25"/>
  <c r="O201" i="25"/>
  <c r="N201" i="25"/>
  <c r="B201" i="25"/>
  <c r="B171" i="25"/>
  <c r="B170" i="25"/>
  <c r="B168" i="25"/>
  <c r="B167" i="25"/>
  <c r="W143" i="25"/>
  <c r="V143" i="25"/>
  <c r="U143" i="25"/>
  <c r="U267" i="25" s="1"/>
  <c r="T143" i="25"/>
  <c r="T267" i="25" s="1"/>
  <c r="S143" i="25"/>
  <c r="R143" i="25"/>
  <c r="Q143" i="25"/>
  <c r="Q267" i="25" s="1"/>
  <c r="P143" i="25"/>
  <c r="P267" i="25" s="1"/>
  <c r="O143" i="25"/>
  <c r="N143" i="25"/>
  <c r="K143" i="25"/>
  <c r="K190" i="25" s="1"/>
  <c r="K289" i="25" s="1"/>
  <c r="J143" i="25"/>
  <c r="I143" i="25"/>
  <c r="H143" i="25"/>
  <c r="H267" i="25" s="1"/>
  <c r="G143" i="25"/>
  <c r="G267" i="25" s="1"/>
  <c r="D143" i="25"/>
  <c r="D267" i="25" s="1"/>
  <c r="C143" i="25"/>
  <c r="C267" i="25" s="1"/>
  <c r="B143" i="25"/>
  <c r="W140" i="25"/>
  <c r="W264" i="25" s="1"/>
  <c r="V140" i="25"/>
  <c r="V264" i="25" s="1"/>
  <c r="U140" i="25"/>
  <c r="T140" i="25"/>
  <c r="S140" i="25"/>
  <c r="S264" i="25" s="1"/>
  <c r="R140" i="25"/>
  <c r="R264" i="25" s="1"/>
  <c r="Q140" i="25"/>
  <c r="P140" i="25"/>
  <c r="O140" i="25"/>
  <c r="O264" i="25" s="1"/>
  <c r="N140" i="25"/>
  <c r="N264" i="25" s="1"/>
  <c r="K140" i="25"/>
  <c r="J140" i="25"/>
  <c r="J264" i="25" s="1"/>
  <c r="I140" i="25"/>
  <c r="I264" i="25" s="1"/>
  <c r="H140" i="25"/>
  <c r="G140" i="25"/>
  <c r="F140" i="25"/>
  <c r="E140" i="25"/>
  <c r="E264" i="25" s="1"/>
  <c r="D140" i="25"/>
  <c r="C140" i="25"/>
  <c r="B140" i="25"/>
  <c r="B264" i="25" s="1"/>
  <c r="W139" i="25"/>
  <c r="V139" i="25"/>
  <c r="U139" i="25"/>
  <c r="U263" i="25" s="1"/>
  <c r="T139" i="25"/>
  <c r="T263" i="25" s="1"/>
  <c r="S139" i="25"/>
  <c r="R139" i="25"/>
  <c r="Q139" i="25"/>
  <c r="Q263" i="25" s="1"/>
  <c r="P139" i="25"/>
  <c r="P263" i="25" s="1"/>
  <c r="O139" i="25"/>
  <c r="N139" i="25"/>
  <c r="K139" i="25"/>
  <c r="J139" i="25"/>
  <c r="I139" i="25"/>
  <c r="H139" i="25"/>
  <c r="H263" i="25" s="1"/>
  <c r="G139" i="25"/>
  <c r="G263" i="25" s="1"/>
  <c r="F139" i="25"/>
  <c r="E139" i="25"/>
  <c r="D139" i="25"/>
  <c r="D263" i="25" s="1"/>
  <c r="C139" i="25"/>
  <c r="C263" i="25" s="1"/>
  <c r="B139" i="25"/>
  <c r="W138" i="25"/>
  <c r="W262" i="25" s="1"/>
  <c r="V138" i="25"/>
  <c r="V262" i="25" s="1"/>
  <c r="U138" i="25"/>
  <c r="T138" i="25"/>
  <c r="S138" i="25"/>
  <c r="S262" i="25" s="1"/>
  <c r="R138" i="25"/>
  <c r="R262" i="25" s="1"/>
  <c r="Q138" i="25"/>
  <c r="P138" i="25"/>
  <c r="O138" i="25"/>
  <c r="O262" i="25" s="1"/>
  <c r="N138" i="25"/>
  <c r="N262" i="25" s="1"/>
  <c r="K138" i="25"/>
  <c r="J138" i="25"/>
  <c r="J262" i="25" s="1"/>
  <c r="I138" i="25"/>
  <c r="I262" i="25" s="1"/>
  <c r="H138" i="25"/>
  <c r="G138" i="25"/>
  <c r="F138" i="25"/>
  <c r="F262" i="25" s="1"/>
  <c r="E138" i="25"/>
  <c r="E262" i="25" s="1"/>
  <c r="D138" i="25"/>
  <c r="C138" i="25"/>
  <c r="B138" i="25"/>
  <c r="W137" i="25"/>
  <c r="V137" i="25"/>
  <c r="U137" i="25"/>
  <c r="T137" i="25"/>
  <c r="T261" i="25" s="1"/>
  <c r="S137" i="25"/>
  <c r="R137" i="25"/>
  <c r="Q137" i="25"/>
  <c r="P137" i="25"/>
  <c r="P261" i="25" s="1"/>
  <c r="O137" i="25"/>
  <c r="N137" i="25"/>
  <c r="K137" i="25"/>
  <c r="J137" i="25"/>
  <c r="I137" i="25"/>
  <c r="H137" i="25"/>
  <c r="H261" i="25" s="1"/>
  <c r="G137" i="25"/>
  <c r="G261" i="25" s="1"/>
  <c r="F137" i="25"/>
  <c r="E137" i="25"/>
  <c r="D137" i="25"/>
  <c r="C137" i="25"/>
  <c r="C261" i="25" s="1"/>
  <c r="B137" i="25"/>
  <c r="W136" i="25"/>
  <c r="V136" i="25"/>
  <c r="V260" i="25" s="1"/>
  <c r="U136" i="25"/>
  <c r="T136" i="25"/>
  <c r="S136" i="25"/>
  <c r="R136" i="25"/>
  <c r="R260" i="25" s="1"/>
  <c r="Q136" i="25"/>
  <c r="P136" i="25"/>
  <c r="O136" i="25"/>
  <c r="O260" i="25" s="1"/>
  <c r="N136" i="25"/>
  <c r="N260" i="25" s="1"/>
  <c r="K136" i="25"/>
  <c r="J136" i="25"/>
  <c r="I136" i="25"/>
  <c r="I260" i="25" s="1"/>
  <c r="H136" i="25"/>
  <c r="G136" i="25"/>
  <c r="F136" i="25"/>
  <c r="E136" i="25"/>
  <c r="E260" i="25" s="1"/>
  <c r="D136" i="25"/>
  <c r="C136" i="25"/>
  <c r="B136" i="25"/>
  <c r="W135" i="25"/>
  <c r="V135" i="25"/>
  <c r="U135" i="25"/>
  <c r="U259" i="25" s="1"/>
  <c r="T135" i="25"/>
  <c r="T259" i="25" s="1"/>
  <c r="S135" i="25"/>
  <c r="R135" i="25"/>
  <c r="Q135" i="25"/>
  <c r="Q259" i="25" s="1"/>
  <c r="P135" i="25"/>
  <c r="P259" i="25" s="1"/>
  <c r="O135" i="25"/>
  <c r="N135" i="25"/>
  <c r="K135" i="25"/>
  <c r="K259" i="25" s="1"/>
  <c r="J135" i="25"/>
  <c r="I135" i="25"/>
  <c r="H135" i="25"/>
  <c r="H259" i="25" s="1"/>
  <c r="G135" i="25"/>
  <c r="G259" i="25" s="1"/>
  <c r="F135" i="25"/>
  <c r="E135" i="25"/>
  <c r="D135" i="25"/>
  <c r="D259" i="25" s="1"/>
  <c r="C135" i="25"/>
  <c r="C259" i="25" s="1"/>
  <c r="B135" i="25"/>
  <c r="W134" i="25"/>
  <c r="W258" i="25" s="1"/>
  <c r="V134" i="25"/>
  <c r="V258" i="25" s="1"/>
  <c r="U134" i="25"/>
  <c r="T134" i="25"/>
  <c r="S134" i="25"/>
  <c r="S258" i="25" s="1"/>
  <c r="R134" i="25"/>
  <c r="R258" i="25" s="1"/>
  <c r="Q134" i="25"/>
  <c r="P134" i="25"/>
  <c r="O134" i="25"/>
  <c r="O258" i="25" s="1"/>
  <c r="N134" i="25"/>
  <c r="K134" i="25"/>
  <c r="J134" i="25"/>
  <c r="J258" i="25" s="1"/>
  <c r="I134" i="25"/>
  <c r="I258" i="25" s="1"/>
  <c r="H134" i="25"/>
  <c r="G134" i="25"/>
  <c r="F134" i="25"/>
  <c r="F258" i="25" s="1"/>
  <c r="E134" i="25"/>
  <c r="E258" i="25" s="1"/>
  <c r="D134" i="25"/>
  <c r="C134" i="25"/>
  <c r="B134" i="25"/>
  <c r="B258" i="25" s="1"/>
  <c r="W133" i="25"/>
  <c r="V133" i="25"/>
  <c r="U133" i="25"/>
  <c r="U257" i="25" s="1"/>
  <c r="T133" i="25"/>
  <c r="T257" i="25" s="1"/>
  <c r="S133" i="25"/>
  <c r="R133" i="25"/>
  <c r="Q133" i="25"/>
  <c r="Q257" i="25" s="1"/>
  <c r="P133" i="25"/>
  <c r="P257" i="25" s="1"/>
  <c r="O133" i="25"/>
  <c r="N133" i="25"/>
  <c r="K133" i="25"/>
  <c r="K257" i="25" s="1"/>
  <c r="J133" i="25"/>
  <c r="I133" i="25"/>
  <c r="H133" i="25"/>
  <c r="G133" i="25"/>
  <c r="G257" i="25" s="1"/>
  <c r="F133" i="25"/>
  <c r="E133" i="25"/>
  <c r="D133" i="25"/>
  <c r="C133" i="25"/>
  <c r="C257" i="25" s="1"/>
  <c r="B133" i="25"/>
  <c r="X132" i="25"/>
  <c r="W132" i="25"/>
  <c r="V132" i="25"/>
  <c r="U132" i="25"/>
  <c r="T132" i="25"/>
  <c r="S132" i="25"/>
  <c r="R132" i="25"/>
  <c r="R256" i="25" s="1"/>
  <c r="Q132" i="25"/>
  <c r="P132" i="25"/>
  <c r="O132" i="25"/>
  <c r="N132" i="25"/>
  <c r="N256" i="25" s="1"/>
  <c r="K132" i="25"/>
  <c r="K256" i="25" s="1"/>
  <c r="J132" i="25"/>
  <c r="I132" i="25"/>
  <c r="I256" i="25" s="1"/>
  <c r="H132" i="25"/>
  <c r="H256" i="25" s="1"/>
  <c r="G132" i="25"/>
  <c r="F132" i="25"/>
  <c r="E132" i="25"/>
  <c r="D132" i="25"/>
  <c r="D256" i="25" s="1"/>
  <c r="C132" i="25"/>
  <c r="B132" i="25"/>
  <c r="X131" i="25"/>
  <c r="W131" i="25"/>
  <c r="W255" i="25" s="1"/>
  <c r="V131" i="25"/>
  <c r="U131" i="25"/>
  <c r="T131" i="25"/>
  <c r="T255" i="25" s="1"/>
  <c r="S131" i="25"/>
  <c r="S255" i="25" s="1"/>
  <c r="R131" i="25"/>
  <c r="Q131" i="25"/>
  <c r="P131" i="25"/>
  <c r="P255" i="25" s="1"/>
  <c r="O131" i="25"/>
  <c r="O255" i="25" s="1"/>
  <c r="N131" i="25"/>
  <c r="K131" i="25"/>
  <c r="K255" i="25" s="1"/>
  <c r="J131" i="25"/>
  <c r="J255" i="25" s="1"/>
  <c r="I131" i="25"/>
  <c r="H131" i="25"/>
  <c r="G131" i="25"/>
  <c r="F131" i="25"/>
  <c r="F255" i="25" s="1"/>
  <c r="E131" i="25"/>
  <c r="D131" i="25"/>
  <c r="C131" i="25"/>
  <c r="C255" i="25" s="1"/>
  <c r="B131" i="25"/>
  <c r="B255" i="25" s="1"/>
  <c r="Y130" i="25"/>
  <c r="W130" i="25"/>
  <c r="V130" i="25"/>
  <c r="V254" i="25" s="1"/>
  <c r="U130" i="25"/>
  <c r="T130" i="25"/>
  <c r="T254" i="25" s="1"/>
  <c r="S130" i="25"/>
  <c r="R130" i="25"/>
  <c r="R254" i="25" s="1"/>
  <c r="Q130" i="25"/>
  <c r="P130" i="25"/>
  <c r="P254" i="25" s="1"/>
  <c r="O130" i="25"/>
  <c r="N130" i="25"/>
  <c r="N254" i="25" s="1"/>
  <c r="K130" i="25"/>
  <c r="K254" i="25" s="1"/>
  <c r="J130" i="25"/>
  <c r="I130" i="25"/>
  <c r="I254" i="25" s="1"/>
  <c r="H130" i="25"/>
  <c r="G130" i="25"/>
  <c r="G254" i="25" s="1"/>
  <c r="F130" i="25"/>
  <c r="E130" i="25"/>
  <c r="E254" i="25" s="1"/>
  <c r="D130" i="25"/>
  <c r="C130" i="25"/>
  <c r="C254" i="25" s="1"/>
  <c r="B130" i="25"/>
  <c r="W129" i="25"/>
  <c r="V129" i="25"/>
  <c r="U129" i="25"/>
  <c r="T129" i="25"/>
  <c r="T253" i="25" s="1"/>
  <c r="S129" i="25"/>
  <c r="R129" i="25"/>
  <c r="Q129" i="25"/>
  <c r="P129" i="25"/>
  <c r="P253" i="25" s="1"/>
  <c r="O129" i="25"/>
  <c r="N129" i="25"/>
  <c r="K129" i="25"/>
  <c r="K253" i="25" s="1"/>
  <c r="J129" i="25"/>
  <c r="I129" i="25"/>
  <c r="I253" i="25" s="1"/>
  <c r="H129" i="25"/>
  <c r="G129" i="25"/>
  <c r="F129" i="25"/>
  <c r="E129" i="25"/>
  <c r="D129" i="25"/>
  <c r="C129" i="25"/>
  <c r="B129" i="25"/>
  <c r="W128" i="25"/>
  <c r="V128" i="25"/>
  <c r="U128" i="25"/>
  <c r="T128" i="25"/>
  <c r="S128" i="25"/>
  <c r="R128" i="25"/>
  <c r="Q128" i="25"/>
  <c r="P128" i="25"/>
  <c r="O128" i="25"/>
  <c r="N128" i="25"/>
  <c r="K128" i="25"/>
  <c r="J128" i="25"/>
  <c r="I128" i="25"/>
  <c r="H128" i="25"/>
  <c r="G128" i="25"/>
  <c r="F128" i="25"/>
  <c r="E128" i="25"/>
  <c r="D128" i="25"/>
  <c r="C128" i="25"/>
  <c r="B128" i="25"/>
  <c r="B175" i="25" s="1"/>
  <c r="W127" i="25"/>
  <c r="V127" i="25"/>
  <c r="U127" i="25"/>
  <c r="T127" i="25"/>
  <c r="S127" i="25"/>
  <c r="R127" i="25"/>
  <c r="Q127" i="25"/>
  <c r="P127" i="25"/>
  <c r="O127" i="25"/>
  <c r="N127" i="25"/>
  <c r="K127" i="25"/>
  <c r="J127" i="25"/>
  <c r="I127" i="25"/>
  <c r="H127" i="25"/>
  <c r="G127" i="25"/>
  <c r="F127" i="25"/>
  <c r="E127" i="25"/>
  <c r="D127" i="25"/>
  <c r="C127" i="25"/>
  <c r="B127" i="25"/>
  <c r="B174" i="25" s="1"/>
  <c r="W126" i="25"/>
  <c r="V126" i="25"/>
  <c r="U126" i="25"/>
  <c r="T126" i="25"/>
  <c r="S126" i="25"/>
  <c r="R126" i="25"/>
  <c r="Q126" i="25"/>
  <c r="P126" i="25"/>
  <c r="O126" i="25"/>
  <c r="N126" i="25"/>
  <c r="K126" i="25"/>
  <c r="J126" i="25"/>
  <c r="I126" i="25"/>
  <c r="H126" i="25"/>
  <c r="G126" i="25"/>
  <c r="F126" i="25"/>
  <c r="E126" i="25"/>
  <c r="D126" i="25"/>
  <c r="C126" i="25"/>
  <c r="B126" i="25"/>
  <c r="B173" i="25" s="1"/>
  <c r="W125" i="25"/>
  <c r="V125" i="25"/>
  <c r="U125" i="25"/>
  <c r="T125" i="25"/>
  <c r="S125" i="25"/>
  <c r="R125" i="25"/>
  <c r="Q125" i="25"/>
  <c r="P125" i="25"/>
  <c r="O125" i="25"/>
  <c r="N125" i="25"/>
  <c r="K125" i="25"/>
  <c r="J125" i="25"/>
  <c r="I125" i="25"/>
  <c r="H125" i="25"/>
  <c r="G125" i="25"/>
  <c r="F125" i="25"/>
  <c r="E125" i="25"/>
  <c r="D125" i="25"/>
  <c r="C125" i="25"/>
  <c r="B125" i="25"/>
  <c r="W124" i="25"/>
  <c r="V124" i="25"/>
  <c r="V252" i="25" s="1"/>
  <c r="U124" i="25"/>
  <c r="T124" i="25"/>
  <c r="S124" i="25"/>
  <c r="R124" i="25"/>
  <c r="R252" i="25" s="1"/>
  <c r="Q124" i="25"/>
  <c r="P124" i="25"/>
  <c r="O124" i="25"/>
  <c r="N124" i="25"/>
  <c r="N252" i="25" s="1"/>
  <c r="K124" i="25"/>
  <c r="J124" i="25"/>
  <c r="I124" i="25"/>
  <c r="H124" i="25"/>
  <c r="G124" i="25"/>
  <c r="F124" i="25"/>
  <c r="E124" i="25"/>
  <c r="D124" i="25"/>
  <c r="C124" i="25"/>
  <c r="W123" i="25"/>
  <c r="V123" i="25"/>
  <c r="U123" i="25"/>
  <c r="T123" i="25"/>
  <c r="S123" i="25"/>
  <c r="R123" i="25"/>
  <c r="Q123" i="25"/>
  <c r="P123" i="25"/>
  <c r="O123" i="25"/>
  <c r="N123" i="25"/>
  <c r="K123" i="25"/>
  <c r="J123" i="25"/>
  <c r="I123" i="25"/>
  <c r="H123" i="25"/>
  <c r="G123" i="25"/>
  <c r="F123" i="25"/>
  <c r="E123" i="25"/>
  <c r="D123" i="25"/>
  <c r="W122" i="25"/>
  <c r="V122" i="25"/>
  <c r="U122" i="25"/>
  <c r="T122" i="25"/>
  <c r="S122" i="25"/>
  <c r="R122" i="25"/>
  <c r="Q122" i="25"/>
  <c r="P122" i="25"/>
  <c r="O122" i="25"/>
  <c r="N122" i="25"/>
  <c r="J122" i="25"/>
  <c r="I122" i="25"/>
  <c r="H122" i="25"/>
  <c r="G122" i="25"/>
  <c r="F122" i="25"/>
  <c r="E122" i="25"/>
  <c r="D122" i="25"/>
  <c r="C122" i="25"/>
  <c r="B122" i="25"/>
  <c r="B169" i="25" s="1"/>
  <c r="W121" i="25"/>
  <c r="V121" i="25"/>
  <c r="U121" i="25"/>
  <c r="T121" i="25"/>
  <c r="S121" i="25"/>
  <c r="R121" i="25"/>
  <c r="Q121" i="25"/>
  <c r="P121" i="25"/>
  <c r="O121" i="25"/>
  <c r="N121" i="25"/>
  <c r="J121" i="25"/>
  <c r="I121" i="25"/>
  <c r="H121" i="25"/>
  <c r="G121" i="25"/>
  <c r="F121" i="25"/>
  <c r="E121" i="25"/>
  <c r="D121" i="25"/>
  <c r="C121" i="25"/>
  <c r="W120" i="25"/>
  <c r="V120" i="25"/>
  <c r="U120" i="25"/>
  <c r="T120" i="25"/>
  <c r="S120" i="25"/>
  <c r="R120" i="25"/>
  <c r="Q120" i="25"/>
  <c r="P120" i="25"/>
  <c r="O120" i="25"/>
  <c r="N120" i="25"/>
  <c r="K120" i="25"/>
  <c r="J120" i="25"/>
  <c r="I120" i="25"/>
  <c r="H120" i="25"/>
  <c r="G120" i="25"/>
  <c r="F120" i="25"/>
  <c r="E120" i="25"/>
  <c r="D120" i="25"/>
  <c r="C120" i="25"/>
  <c r="W119" i="25"/>
  <c r="V119" i="25"/>
  <c r="U119" i="25"/>
  <c r="T119" i="25"/>
  <c r="S119" i="25"/>
  <c r="R119" i="25"/>
  <c r="Q119" i="25"/>
  <c r="P119" i="25"/>
  <c r="O119" i="25"/>
  <c r="N119" i="25"/>
  <c r="J119" i="25"/>
  <c r="I119" i="25"/>
  <c r="H119" i="25"/>
  <c r="G119" i="25"/>
  <c r="F119" i="25"/>
  <c r="E119" i="25"/>
  <c r="D119" i="25"/>
  <c r="C119" i="25"/>
  <c r="B119" i="25"/>
  <c r="W118" i="25"/>
  <c r="V118" i="25"/>
  <c r="U118" i="25"/>
  <c r="T118" i="25"/>
  <c r="S118" i="25"/>
  <c r="R118" i="25"/>
  <c r="Q118" i="25"/>
  <c r="P118" i="25"/>
  <c r="O118" i="25"/>
  <c r="N118" i="25"/>
  <c r="J118" i="25"/>
  <c r="I118" i="25"/>
  <c r="H118" i="25"/>
  <c r="G118" i="25"/>
  <c r="F118" i="25"/>
  <c r="E118" i="25"/>
  <c r="D118" i="25"/>
  <c r="C118" i="25"/>
  <c r="B118" i="25"/>
  <c r="B165" i="25" s="1"/>
  <c r="W117" i="25"/>
  <c r="V117" i="25"/>
  <c r="U117" i="25"/>
  <c r="T117" i="25"/>
  <c r="S117" i="25"/>
  <c r="R117" i="25"/>
  <c r="Q117" i="25"/>
  <c r="P117" i="25"/>
  <c r="O117" i="25"/>
  <c r="N117" i="25"/>
  <c r="J117" i="25"/>
  <c r="I117" i="25"/>
  <c r="H117" i="25"/>
  <c r="G117" i="25"/>
  <c r="F117" i="25"/>
  <c r="E117" i="25"/>
  <c r="D117" i="25"/>
  <c r="C117" i="25"/>
  <c r="B117" i="25"/>
  <c r="B164" i="25" s="1"/>
  <c r="W116" i="25"/>
  <c r="V116" i="25"/>
  <c r="U116" i="25"/>
  <c r="T116" i="25"/>
  <c r="S116" i="25"/>
  <c r="R116" i="25"/>
  <c r="Q116" i="25"/>
  <c r="P116" i="25"/>
  <c r="O116" i="25"/>
  <c r="N116" i="25"/>
  <c r="K116" i="25"/>
  <c r="J116" i="25"/>
  <c r="I116" i="25"/>
  <c r="H116" i="25"/>
  <c r="G116" i="25"/>
  <c r="F116" i="25"/>
  <c r="E116" i="25"/>
  <c r="D116" i="25"/>
  <c r="C116" i="25"/>
  <c r="B116" i="25"/>
  <c r="B163" i="25" s="1"/>
  <c r="W115" i="25"/>
  <c r="V115" i="25"/>
  <c r="U115" i="25"/>
  <c r="T115" i="25"/>
  <c r="S115" i="25"/>
  <c r="R115" i="25"/>
  <c r="Q115" i="25"/>
  <c r="P115" i="25"/>
  <c r="O115" i="25"/>
  <c r="N115" i="25"/>
  <c r="K115" i="25"/>
  <c r="J115" i="25"/>
  <c r="I115" i="25"/>
  <c r="H115" i="25"/>
  <c r="G115" i="25"/>
  <c r="F115" i="25"/>
  <c r="E115" i="25"/>
  <c r="D115" i="25"/>
  <c r="C115" i="25"/>
  <c r="B115" i="25"/>
  <c r="B162" i="25" s="1"/>
  <c r="W114" i="25"/>
  <c r="V114" i="25"/>
  <c r="U114" i="25"/>
  <c r="T114" i="25"/>
  <c r="S114" i="25"/>
  <c r="R114" i="25"/>
  <c r="Q114" i="25"/>
  <c r="P114" i="25"/>
  <c r="O114" i="25"/>
  <c r="N114" i="25"/>
  <c r="K114" i="25"/>
  <c r="J114" i="25"/>
  <c r="I114" i="25"/>
  <c r="H114" i="25"/>
  <c r="G114" i="25"/>
  <c r="F114" i="25"/>
  <c r="E114" i="25"/>
  <c r="D114" i="25"/>
  <c r="C114" i="25"/>
  <c r="B114" i="25"/>
  <c r="W113" i="25"/>
  <c r="V113" i="25"/>
  <c r="U113" i="25"/>
  <c r="T113" i="25"/>
  <c r="S113" i="25"/>
  <c r="R113" i="25"/>
  <c r="Q113" i="25"/>
  <c r="P113" i="25"/>
  <c r="O113" i="25"/>
  <c r="N113" i="25"/>
  <c r="K113" i="25"/>
  <c r="J113" i="25"/>
  <c r="I113" i="25"/>
  <c r="H113" i="25"/>
  <c r="G113" i="25"/>
  <c r="F113" i="25"/>
  <c r="E113" i="25"/>
  <c r="D113" i="25"/>
  <c r="C113" i="25"/>
  <c r="B113" i="25"/>
  <c r="B160" i="25" s="1"/>
  <c r="W112" i="25"/>
  <c r="V112" i="25"/>
  <c r="U112" i="25"/>
  <c r="T112" i="25"/>
  <c r="S112" i="25"/>
  <c r="R112" i="25"/>
  <c r="Q112" i="25"/>
  <c r="P112" i="25"/>
  <c r="O112" i="25"/>
  <c r="N112" i="25"/>
  <c r="K112" i="25"/>
  <c r="J112" i="25"/>
  <c r="I112" i="25"/>
  <c r="H112" i="25"/>
  <c r="G112" i="25"/>
  <c r="F112" i="25"/>
  <c r="E112" i="25"/>
  <c r="D112" i="25"/>
  <c r="C112" i="25"/>
  <c r="B112" i="25"/>
  <c r="B159" i="25" s="1"/>
  <c r="W111" i="25"/>
  <c r="V111" i="25"/>
  <c r="U111" i="25"/>
  <c r="T111" i="25"/>
  <c r="S111" i="25"/>
  <c r="R111" i="25"/>
  <c r="Q111" i="25"/>
  <c r="P111" i="25"/>
  <c r="O111" i="25"/>
  <c r="N111" i="25"/>
  <c r="K111" i="25"/>
  <c r="J111" i="25"/>
  <c r="I111" i="25"/>
  <c r="H111" i="25"/>
  <c r="G111" i="25"/>
  <c r="F111" i="25"/>
  <c r="E111" i="25"/>
  <c r="D111" i="25"/>
  <c r="C111" i="25"/>
  <c r="B111" i="25"/>
  <c r="B158" i="25" s="1"/>
  <c r="W110" i="25"/>
  <c r="V110" i="25"/>
  <c r="U110" i="25"/>
  <c r="T110" i="25"/>
  <c r="S110" i="25"/>
  <c r="R110" i="25"/>
  <c r="Q110" i="25"/>
  <c r="P110" i="25"/>
  <c r="O110" i="25"/>
  <c r="N110" i="25"/>
  <c r="K110" i="25"/>
  <c r="J110" i="25"/>
  <c r="I110" i="25"/>
  <c r="H110" i="25"/>
  <c r="G110" i="25"/>
  <c r="F110" i="25"/>
  <c r="E110" i="25"/>
  <c r="D110" i="25"/>
  <c r="C110" i="25"/>
  <c r="B110" i="25"/>
  <c r="B157" i="25" s="1"/>
  <c r="W109" i="25"/>
  <c r="V109" i="25"/>
  <c r="U109" i="25"/>
  <c r="U249" i="25" s="1"/>
  <c r="T109" i="25"/>
  <c r="S109" i="25"/>
  <c r="R109" i="25"/>
  <c r="Q109" i="25"/>
  <c r="Q249" i="25" s="1"/>
  <c r="P109" i="25"/>
  <c r="O109" i="25"/>
  <c r="N109" i="25"/>
  <c r="K109" i="25"/>
  <c r="J109" i="25"/>
  <c r="I109" i="25"/>
  <c r="H109" i="25"/>
  <c r="G109" i="25"/>
  <c r="F109" i="25"/>
  <c r="E109" i="25"/>
  <c r="D109" i="25"/>
  <c r="D249" i="25" s="1"/>
  <c r="C109" i="25"/>
  <c r="B109" i="25"/>
  <c r="B156" i="25" s="1"/>
  <c r="W108" i="25"/>
  <c r="V108" i="25"/>
  <c r="U108" i="25"/>
  <c r="T108" i="25"/>
  <c r="S108" i="25"/>
  <c r="R108" i="25"/>
  <c r="Q108" i="25"/>
  <c r="P108" i="25"/>
  <c r="O108" i="25"/>
  <c r="N108" i="25"/>
  <c r="K108" i="25"/>
  <c r="J108" i="25"/>
  <c r="I108" i="25"/>
  <c r="H108" i="25"/>
  <c r="G108" i="25"/>
  <c r="F108" i="25"/>
  <c r="E108" i="25"/>
  <c r="D108" i="25"/>
  <c r="C108" i="25"/>
  <c r="B108" i="25"/>
  <c r="B155" i="25" s="1"/>
  <c r="W107" i="25"/>
  <c r="V107" i="25"/>
  <c r="U107" i="25"/>
  <c r="T107" i="25"/>
  <c r="S107" i="25"/>
  <c r="R107" i="25"/>
  <c r="Q107" i="25"/>
  <c r="P107" i="25"/>
  <c r="O107" i="25"/>
  <c r="N107" i="25"/>
  <c r="K107" i="25"/>
  <c r="J107" i="25"/>
  <c r="I107" i="25"/>
  <c r="H107" i="25"/>
  <c r="G107" i="25"/>
  <c r="F107" i="25"/>
  <c r="E107" i="25"/>
  <c r="D107" i="25"/>
  <c r="C107" i="25"/>
  <c r="B107" i="25"/>
  <c r="B154" i="25" s="1"/>
  <c r="W106" i="25"/>
  <c r="V106" i="25"/>
  <c r="U106" i="25"/>
  <c r="T106" i="25"/>
  <c r="S106" i="25"/>
  <c r="R106" i="25"/>
  <c r="Q106" i="25"/>
  <c r="P106" i="25"/>
  <c r="O106" i="25"/>
  <c r="N106" i="25"/>
  <c r="K106" i="25"/>
  <c r="J106" i="25"/>
  <c r="I106" i="25"/>
  <c r="H106" i="25"/>
  <c r="G106" i="25"/>
  <c r="F106" i="25"/>
  <c r="E106" i="25"/>
  <c r="D106" i="25"/>
  <c r="C106" i="25"/>
  <c r="B106" i="25"/>
  <c r="B153" i="25" s="1"/>
  <c r="W105" i="25"/>
  <c r="V105" i="25"/>
  <c r="U105" i="25"/>
  <c r="T105" i="25"/>
  <c r="S105" i="25"/>
  <c r="R105" i="25"/>
  <c r="Q105" i="25"/>
  <c r="P105" i="25"/>
  <c r="O105" i="25"/>
  <c r="N105" i="25"/>
  <c r="K105" i="25"/>
  <c r="J105" i="25"/>
  <c r="I105" i="25"/>
  <c r="H105" i="25"/>
  <c r="G105" i="25"/>
  <c r="F105" i="25"/>
  <c r="E105" i="25"/>
  <c r="D105" i="25"/>
  <c r="C105" i="25"/>
  <c r="B105" i="25"/>
  <c r="B152" i="25" s="1"/>
  <c r="W104" i="25"/>
  <c r="W248" i="25" s="1"/>
  <c r="V104" i="25"/>
  <c r="V248" i="25" s="1"/>
  <c r="U104" i="25"/>
  <c r="T104" i="25"/>
  <c r="S104" i="25"/>
  <c r="S248" i="25" s="1"/>
  <c r="R104" i="25"/>
  <c r="Q104" i="25"/>
  <c r="P104" i="25"/>
  <c r="O104" i="25"/>
  <c r="N104" i="25"/>
  <c r="K104" i="25"/>
  <c r="J104" i="25"/>
  <c r="I104" i="25"/>
  <c r="H104" i="25"/>
  <c r="G104" i="25"/>
  <c r="F104" i="25"/>
  <c r="E104" i="25"/>
  <c r="D104" i="25"/>
  <c r="C104" i="25"/>
  <c r="B104" i="25"/>
  <c r="B248" i="25" s="1"/>
  <c r="W103" i="25"/>
  <c r="V103" i="25"/>
  <c r="U103" i="25"/>
  <c r="T103" i="25"/>
  <c r="S103" i="25"/>
  <c r="R103" i="25"/>
  <c r="Q103" i="25"/>
  <c r="P103" i="25"/>
  <c r="O103" i="25"/>
  <c r="N103" i="25"/>
  <c r="K103" i="25"/>
  <c r="J103" i="25"/>
  <c r="I103" i="25"/>
  <c r="H103" i="25"/>
  <c r="G103" i="25"/>
  <c r="F103" i="25"/>
  <c r="E103" i="25"/>
  <c r="D103" i="25"/>
  <c r="C103" i="25"/>
  <c r="B103" i="25"/>
  <c r="B150" i="25" s="1"/>
  <c r="W102" i="25"/>
  <c r="V102" i="25"/>
  <c r="U102" i="25"/>
  <c r="T102" i="25"/>
  <c r="S102" i="25"/>
  <c r="R102" i="25"/>
  <c r="Q102" i="25"/>
  <c r="P102" i="25"/>
  <c r="O102" i="25"/>
  <c r="N102" i="25"/>
  <c r="K102" i="25"/>
  <c r="J102" i="25"/>
  <c r="I102" i="25"/>
  <c r="H102" i="25"/>
  <c r="G102" i="25"/>
  <c r="F102" i="25"/>
  <c r="E102" i="25"/>
  <c r="D102" i="25"/>
  <c r="C102" i="25"/>
  <c r="B102" i="25"/>
  <c r="B149" i="25" s="1"/>
  <c r="W101" i="25"/>
  <c r="V101" i="25"/>
  <c r="U101" i="25"/>
  <c r="T101" i="25"/>
  <c r="S101" i="25"/>
  <c r="R101" i="25"/>
  <c r="Q101" i="25"/>
  <c r="P101" i="25"/>
  <c r="O101" i="25"/>
  <c r="N101" i="25"/>
  <c r="K101" i="25"/>
  <c r="J101" i="25"/>
  <c r="I101" i="25"/>
  <c r="H101" i="25"/>
  <c r="G101" i="25"/>
  <c r="F101" i="25"/>
  <c r="E101" i="25"/>
  <c r="D101" i="25"/>
  <c r="C101" i="25"/>
  <c r="B101" i="25"/>
  <c r="B148" i="25" s="1"/>
  <c r="W100" i="25"/>
  <c r="V100" i="25"/>
  <c r="U100" i="25"/>
  <c r="T100" i="25"/>
  <c r="S100" i="25"/>
  <c r="R100" i="25"/>
  <c r="Q100" i="25"/>
  <c r="P100" i="25"/>
  <c r="O100" i="25"/>
  <c r="N100" i="25"/>
  <c r="K100" i="25"/>
  <c r="J100" i="25"/>
  <c r="I100" i="25"/>
  <c r="H100" i="25"/>
  <c r="G100" i="25"/>
  <c r="F100" i="25"/>
  <c r="E100" i="25"/>
  <c r="D100" i="25"/>
  <c r="C100" i="25"/>
  <c r="B100" i="25"/>
  <c r="B147" i="25" s="1"/>
  <c r="W99" i="25"/>
  <c r="V99" i="25"/>
  <c r="U99" i="25"/>
  <c r="T99" i="25"/>
  <c r="S99" i="25"/>
  <c r="R99" i="25"/>
  <c r="Q99" i="25"/>
  <c r="P99" i="25"/>
  <c r="O99" i="25"/>
  <c r="N99" i="25"/>
  <c r="K99" i="25"/>
  <c r="J99" i="25"/>
  <c r="I99" i="25"/>
  <c r="H99" i="25"/>
  <c r="G99" i="25"/>
  <c r="F99" i="25"/>
  <c r="E99" i="25"/>
  <c r="D99" i="25"/>
  <c r="C99" i="25"/>
  <c r="B99" i="25"/>
  <c r="B146" i="25" s="1"/>
  <c r="W96" i="25"/>
  <c r="W242" i="25" s="1"/>
  <c r="V96" i="25"/>
  <c r="V242" i="25" s="1"/>
  <c r="U96" i="25"/>
  <c r="U242" i="25" s="1"/>
  <c r="T96" i="25"/>
  <c r="T242" i="25" s="1"/>
  <c r="S96" i="25"/>
  <c r="S242" i="25" s="1"/>
  <c r="R96" i="25"/>
  <c r="R242" i="25" s="1"/>
  <c r="Q96" i="25"/>
  <c r="Q242" i="25" s="1"/>
  <c r="P96" i="25"/>
  <c r="P242" i="25" s="1"/>
  <c r="O96" i="25"/>
  <c r="O242" i="25" s="1"/>
  <c r="N96" i="25"/>
  <c r="J96" i="25"/>
  <c r="J242" i="25" s="1"/>
  <c r="I96" i="25"/>
  <c r="I242" i="25" s="1"/>
  <c r="H96" i="25"/>
  <c r="H242" i="25" s="1"/>
  <c r="G96" i="25"/>
  <c r="G242" i="25" s="1"/>
  <c r="F96" i="25"/>
  <c r="F242" i="25" s="1"/>
  <c r="E96" i="25"/>
  <c r="E242" i="25" s="1"/>
  <c r="D96" i="25"/>
  <c r="D242" i="25" s="1"/>
  <c r="C96" i="25"/>
  <c r="C242" i="25" s="1"/>
  <c r="W93" i="25"/>
  <c r="W239" i="25" s="1"/>
  <c r="V93" i="25"/>
  <c r="V239" i="25" s="1"/>
  <c r="U93" i="25"/>
  <c r="U239" i="25" s="1"/>
  <c r="T93" i="25"/>
  <c r="T239" i="25" s="1"/>
  <c r="S93" i="25"/>
  <c r="S239" i="25" s="1"/>
  <c r="R93" i="25"/>
  <c r="R239" i="25" s="1"/>
  <c r="Q93" i="25"/>
  <c r="Q239" i="25" s="1"/>
  <c r="P93" i="25"/>
  <c r="P239" i="25" s="1"/>
  <c r="O93" i="25"/>
  <c r="O239" i="25" s="1"/>
  <c r="N93" i="25"/>
  <c r="N239" i="25" s="1"/>
  <c r="J93" i="25"/>
  <c r="J239" i="25" s="1"/>
  <c r="I93" i="25"/>
  <c r="I239" i="25" s="1"/>
  <c r="H93" i="25"/>
  <c r="H239" i="25" s="1"/>
  <c r="G93" i="25"/>
  <c r="G239" i="25" s="1"/>
  <c r="F93" i="25"/>
  <c r="F239" i="25" s="1"/>
  <c r="E93" i="25"/>
  <c r="E239" i="25" s="1"/>
  <c r="D93" i="25"/>
  <c r="D239" i="25" s="1"/>
  <c r="C93" i="25"/>
  <c r="C239" i="25" s="1"/>
  <c r="W92" i="25"/>
  <c r="W238" i="25" s="1"/>
  <c r="V92" i="25"/>
  <c r="V238" i="25" s="1"/>
  <c r="U92" i="25"/>
  <c r="U238" i="25" s="1"/>
  <c r="T92" i="25"/>
  <c r="T238" i="25" s="1"/>
  <c r="S92" i="25"/>
  <c r="S238" i="25" s="1"/>
  <c r="R92" i="25"/>
  <c r="R238" i="25" s="1"/>
  <c r="Q92" i="25"/>
  <c r="Q238" i="25" s="1"/>
  <c r="P92" i="25"/>
  <c r="P238" i="25" s="1"/>
  <c r="O92" i="25"/>
  <c r="O238" i="25" s="1"/>
  <c r="N92" i="25"/>
  <c r="N238" i="25" s="1"/>
  <c r="J92" i="25"/>
  <c r="J238" i="25" s="1"/>
  <c r="I92" i="25"/>
  <c r="I238" i="25" s="1"/>
  <c r="H92" i="25"/>
  <c r="H238" i="25" s="1"/>
  <c r="G92" i="25"/>
  <c r="G238" i="25" s="1"/>
  <c r="F92" i="25"/>
  <c r="F238" i="25" s="1"/>
  <c r="E92" i="25"/>
  <c r="E238" i="25" s="1"/>
  <c r="D92" i="25"/>
  <c r="D238" i="25" s="1"/>
  <c r="C92" i="25"/>
  <c r="C238" i="25" s="1"/>
  <c r="W91" i="25"/>
  <c r="W237" i="25" s="1"/>
  <c r="V91" i="25"/>
  <c r="V237" i="25" s="1"/>
  <c r="U91" i="25"/>
  <c r="U237" i="25" s="1"/>
  <c r="T91" i="25"/>
  <c r="T237" i="25" s="1"/>
  <c r="S91" i="25"/>
  <c r="S237" i="25" s="1"/>
  <c r="R91" i="25"/>
  <c r="R237" i="25" s="1"/>
  <c r="Q91" i="25"/>
  <c r="Q237" i="25" s="1"/>
  <c r="P91" i="25"/>
  <c r="P237" i="25" s="1"/>
  <c r="O91" i="25"/>
  <c r="O237" i="25" s="1"/>
  <c r="N91" i="25"/>
  <c r="N237" i="25" s="1"/>
  <c r="J91" i="25"/>
  <c r="J237" i="25" s="1"/>
  <c r="I91" i="25"/>
  <c r="I237" i="25" s="1"/>
  <c r="H91" i="25"/>
  <c r="H237" i="25" s="1"/>
  <c r="G91" i="25"/>
  <c r="G237" i="25" s="1"/>
  <c r="F91" i="25"/>
  <c r="F237" i="25" s="1"/>
  <c r="E91" i="25"/>
  <c r="E237" i="25" s="1"/>
  <c r="D91" i="25"/>
  <c r="D237" i="25" s="1"/>
  <c r="C91" i="25"/>
  <c r="C237" i="25" s="1"/>
  <c r="W90" i="25"/>
  <c r="W236" i="25" s="1"/>
  <c r="V90" i="25"/>
  <c r="V236" i="25" s="1"/>
  <c r="U90" i="25"/>
  <c r="U236" i="25" s="1"/>
  <c r="T90" i="25"/>
  <c r="T236" i="25" s="1"/>
  <c r="S90" i="25"/>
  <c r="S236" i="25" s="1"/>
  <c r="R90" i="25"/>
  <c r="R236" i="25" s="1"/>
  <c r="Q90" i="25"/>
  <c r="Q236" i="25" s="1"/>
  <c r="P90" i="25"/>
  <c r="P236" i="25" s="1"/>
  <c r="O90" i="25"/>
  <c r="O236" i="25" s="1"/>
  <c r="N90" i="25"/>
  <c r="N236" i="25" s="1"/>
  <c r="J90" i="25"/>
  <c r="J236" i="25" s="1"/>
  <c r="I90" i="25"/>
  <c r="I236" i="25" s="1"/>
  <c r="H90" i="25"/>
  <c r="H236" i="25" s="1"/>
  <c r="G90" i="25"/>
  <c r="G236" i="25" s="1"/>
  <c r="F90" i="25"/>
  <c r="F236" i="25" s="1"/>
  <c r="E90" i="25"/>
  <c r="E236" i="25" s="1"/>
  <c r="D90" i="25"/>
  <c r="D236" i="25" s="1"/>
  <c r="C90" i="25"/>
  <c r="C236" i="25" s="1"/>
  <c r="W89" i="25"/>
  <c r="W235" i="25" s="1"/>
  <c r="V89" i="25"/>
  <c r="V235" i="25" s="1"/>
  <c r="U89" i="25"/>
  <c r="U235" i="25" s="1"/>
  <c r="T89" i="25"/>
  <c r="T235" i="25" s="1"/>
  <c r="S89" i="25"/>
  <c r="S235" i="25" s="1"/>
  <c r="R89" i="25"/>
  <c r="R235" i="25" s="1"/>
  <c r="Q89" i="25"/>
  <c r="Q235" i="25" s="1"/>
  <c r="P89" i="25"/>
  <c r="P235" i="25" s="1"/>
  <c r="O89" i="25"/>
  <c r="O235" i="25" s="1"/>
  <c r="N89" i="25"/>
  <c r="N235" i="25" s="1"/>
  <c r="J89" i="25"/>
  <c r="J235" i="25" s="1"/>
  <c r="I89" i="25"/>
  <c r="I235" i="25" s="1"/>
  <c r="H89" i="25"/>
  <c r="H235" i="25" s="1"/>
  <c r="G89" i="25"/>
  <c r="G235" i="25" s="1"/>
  <c r="F89" i="25"/>
  <c r="F235" i="25" s="1"/>
  <c r="E89" i="25"/>
  <c r="E235" i="25" s="1"/>
  <c r="D89" i="25"/>
  <c r="D235" i="25" s="1"/>
  <c r="C89" i="25"/>
  <c r="C235" i="25" s="1"/>
  <c r="W88" i="25"/>
  <c r="W234" i="25" s="1"/>
  <c r="V88" i="25"/>
  <c r="V234" i="25" s="1"/>
  <c r="U88" i="25"/>
  <c r="U234" i="25" s="1"/>
  <c r="T88" i="25"/>
  <c r="T234" i="25" s="1"/>
  <c r="S88" i="25"/>
  <c r="S234" i="25" s="1"/>
  <c r="R88" i="25"/>
  <c r="R234" i="25" s="1"/>
  <c r="Q88" i="25"/>
  <c r="Q234" i="25" s="1"/>
  <c r="P88" i="25"/>
  <c r="P234" i="25" s="1"/>
  <c r="O88" i="25"/>
  <c r="O234" i="25" s="1"/>
  <c r="N88" i="25"/>
  <c r="N234" i="25" s="1"/>
  <c r="J88" i="25"/>
  <c r="J234" i="25" s="1"/>
  <c r="I88" i="25"/>
  <c r="I234" i="25" s="1"/>
  <c r="H88" i="25"/>
  <c r="H234" i="25" s="1"/>
  <c r="G88" i="25"/>
  <c r="G234" i="25" s="1"/>
  <c r="F88" i="25"/>
  <c r="F234" i="25" s="1"/>
  <c r="E88" i="25"/>
  <c r="E234" i="25" s="1"/>
  <c r="D88" i="25"/>
  <c r="D234" i="25" s="1"/>
  <c r="C88" i="25"/>
  <c r="C234" i="25" s="1"/>
  <c r="W87" i="25"/>
  <c r="W233" i="25" s="1"/>
  <c r="V87" i="25"/>
  <c r="V233" i="25" s="1"/>
  <c r="U87" i="25"/>
  <c r="U233" i="25" s="1"/>
  <c r="T87" i="25"/>
  <c r="T233" i="25" s="1"/>
  <c r="S87" i="25"/>
  <c r="S233" i="25" s="1"/>
  <c r="R87" i="25"/>
  <c r="R233" i="25" s="1"/>
  <c r="Q87" i="25"/>
  <c r="Q233" i="25" s="1"/>
  <c r="P87" i="25"/>
  <c r="P233" i="25" s="1"/>
  <c r="O87" i="25"/>
  <c r="O233" i="25" s="1"/>
  <c r="N87" i="25"/>
  <c r="N233" i="25" s="1"/>
  <c r="J87" i="25"/>
  <c r="J233" i="25" s="1"/>
  <c r="I87" i="25"/>
  <c r="I233" i="25" s="1"/>
  <c r="H87" i="25"/>
  <c r="H233" i="25" s="1"/>
  <c r="G87" i="25"/>
  <c r="G233" i="25" s="1"/>
  <c r="F87" i="25"/>
  <c r="F233" i="25" s="1"/>
  <c r="E87" i="25"/>
  <c r="E233" i="25" s="1"/>
  <c r="D87" i="25"/>
  <c r="D233" i="25" s="1"/>
  <c r="C87" i="25"/>
  <c r="C233" i="25" s="1"/>
  <c r="W86" i="25"/>
  <c r="W232" i="25" s="1"/>
  <c r="V86" i="25"/>
  <c r="V232" i="25" s="1"/>
  <c r="U86" i="25"/>
  <c r="U232" i="25" s="1"/>
  <c r="T86" i="25"/>
  <c r="T232" i="25" s="1"/>
  <c r="S86" i="25"/>
  <c r="S232" i="25" s="1"/>
  <c r="R86" i="25"/>
  <c r="R232" i="25" s="1"/>
  <c r="Q86" i="25"/>
  <c r="Q232" i="25" s="1"/>
  <c r="P86" i="25"/>
  <c r="P232" i="25" s="1"/>
  <c r="O86" i="25"/>
  <c r="O232" i="25" s="1"/>
  <c r="N86" i="25"/>
  <c r="N232" i="25" s="1"/>
  <c r="J86" i="25"/>
  <c r="J232" i="25" s="1"/>
  <c r="I86" i="25"/>
  <c r="I232" i="25" s="1"/>
  <c r="H86" i="25"/>
  <c r="H232" i="25" s="1"/>
  <c r="G86" i="25"/>
  <c r="G232" i="25" s="1"/>
  <c r="F86" i="25"/>
  <c r="F232" i="25" s="1"/>
  <c r="E86" i="25"/>
  <c r="E232" i="25" s="1"/>
  <c r="D86" i="25"/>
  <c r="D232" i="25" s="1"/>
  <c r="C86" i="25"/>
  <c r="C232" i="25" s="1"/>
  <c r="W85" i="25"/>
  <c r="W231" i="25" s="1"/>
  <c r="V85" i="25"/>
  <c r="V231" i="25" s="1"/>
  <c r="U85" i="25"/>
  <c r="U231" i="25" s="1"/>
  <c r="T85" i="25"/>
  <c r="T231" i="25" s="1"/>
  <c r="S85" i="25"/>
  <c r="S231" i="25" s="1"/>
  <c r="R85" i="25"/>
  <c r="Q85" i="25"/>
  <c r="Q231" i="25" s="1"/>
  <c r="P85" i="25"/>
  <c r="P231" i="25" s="1"/>
  <c r="O85" i="25"/>
  <c r="O231" i="25" s="1"/>
  <c r="N85" i="25"/>
  <c r="J85" i="25"/>
  <c r="J231" i="25" s="1"/>
  <c r="I85" i="25"/>
  <c r="I231" i="25" s="1"/>
  <c r="H85" i="25"/>
  <c r="H231" i="25" s="1"/>
  <c r="G85" i="25"/>
  <c r="G231" i="25" s="1"/>
  <c r="F85" i="25"/>
  <c r="F231" i="25" s="1"/>
  <c r="E85" i="25"/>
  <c r="E231" i="25" s="1"/>
  <c r="D85" i="25"/>
  <c r="D231" i="25" s="1"/>
  <c r="C85" i="25"/>
  <c r="C231" i="25" s="1"/>
  <c r="W84" i="25"/>
  <c r="W230" i="25" s="1"/>
  <c r="V84" i="25"/>
  <c r="V230" i="25" s="1"/>
  <c r="U84" i="25"/>
  <c r="U230" i="25" s="1"/>
  <c r="T84" i="25"/>
  <c r="T230" i="25" s="1"/>
  <c r="S84" i="25"/>
  <c r="S230" i="25" s="1"/>
  <c r="R84" i="25"/>
  <c r="R230" i="25" s="1"/>
  <c r="Q84" i="25"/>
  <c r="Q230" i="25" s="1"/>
  <c r="P84" i="25"/>
  <c r="P230" i="25" s="1"/>
  <c r="O84" i="25"/>
  <c r="O230" i="25" s="1"/>
  <c r="N84" i="25"/>
  <c r="N230" i="25" s="1"/>
  <c r="J84" i="25"/>
  <c r="I84" i="25"/>
  <c r="I230" i="25" s="1"/>
  <c r="H84" i="25"/>
  <c r="H230" i="25" s="1"/>
  <c r="G84" i="25"/>
  <c r="G230" i="25" s="1"/>
  <c r="F84" i="25"/>
  <c r="E84" i="25"/>
  <c r="E230" i="25" s="1"/>
  <c r="D84" i="25"/>
  <c r="D230" i="25" s="1"/>
  <c r="C84" i="25"/>
  <c r="C230" i="25" s="1"/>
  <c r="W83" i="25"/>
  <c r="W229" i="25" s="1"/>
  <c r="V83" i="25"/>
  <c r="V229" i="25" s="1"/>
  <c r="U83" i="25"/>
  <c r="U229" i="25" s="1"/>
  <c r="T83" i="25"/>
  <c r="T229" i="25" s="1"/>
  <c r="S83" i="25"/>
  <c r="S229" i="25" s="1"/>
  <c r="R83" i="25"/>
  <c r="R229" i="25" s="1"/>
  <c r="Q83" i="25"/>
  <c r="Q229" i="25" s="1"/>
  <c r="P83" i="25"/>
  <c r="P229" i="25" s="1"/>
  <c r="O83" i="25"/>
  <c r="O229" i="25" s="1"/>
  <c r="N83" i="25"/>
  <c r="N229" i="25" s="1"/>
  <c r="K83" i="25"/>
  <c r="K229" i="25" s="1"/>
  <c r="J83" i="25"/>
  <c r="J229" i="25" s="1"/>
  <c r="I83" i="25"/>
  <c r="I229" i="25" s="1"/>
  <c r="H83" i="25"/>
  <c r="H229" i="25" s="1"/>
  <c r="G83" i="25"/>
  <c r="G229" i="25" s="1"/>
  <c r="F83" i="25"/>
  <c r="F229" i="25" s="1"/>
  <c r="E83" i="25"/>
  <c r="E229" i="25" s="1"/>
  <c r="D83" i="25"/>
  <c r="D229" i="25" s="1"/>
  <c r="C83" i="25"/>
  <c r="W82" i="25"/>
  <c r="W228" i="25" s="1"/>
  <c r="V82" i="25"/>
  <c r="V228" i="25" s="1"/>
  <c r="U82" i="25"/>
  <c r="U228" i="25" s="1"/>
  <c r="T82" i="25"/>
  <c r="T228" i="25" s="1"/>
  <c r="S82" i="25"/>
  <c r="S228" i="25" s="1"/>
  <c r="R82" i="25"/>
  <c r="R228" i="25" s="1"/>
  <c r="Q82" i="25"/>
  <c r="Q228" i="25" s="1"/>
  <c r="P82" i="25"/>
  <c r="P228" i="25" s="1"/>
  <c r="O82" i="25"/>
  <c r="O228" i="25" s="1"/>
  <c r="N82" i="25"/>
  <c r="N228" i="25" s="1"/>
  <c r="K82" i="25"/>
  <c r="K228" i="25" s="1"/>
  <c r="J82" i="25"/>
  <c r="J228" i="25" s="1"/>
  <c r="I82" i="25"/>
  <c r="H82" i="25"/>
  <c r="H228" i="25" s="1"/>
  <c r="G82" i="25"/>
  <c r="G228" i="25" s="1"/>
  <c r="F82" i="25"/>
  <c r="F228" i="25" s="1"/>
  <c r="E82" i="25"/>
  <c r="E228" i="25" s="1"/>
  <c r="D82" i="25"/>
  <c r="D228" i="25" s="1"/>
  <c r="C82" i="25"/>
  <c r="C228" i="25" s="1"/>
  <c r="W81" i="25"/>
  <c r="V81" i="25"/>
  <c r="U81" i="25"/>
  <c r="T81" i="25"/>
  <c r="S81" i="25"/>
  <c r="R81" i="25"/>
  <c r="Q81" i="25"/>
  <c r="P81" i="25"/>
  <c r="O81" i="25"/>
  <c r="N81" i="25"/>
  <c r="K81" i="25"/>
  <c r="J81" i="25"/>
  <c r="I81" i="25"/>
  <c r="H81" i="25"/>
  <c r="G81" i="25"/>
  <c r="F81" i="25"/>
  <c r="E81" i="25"/>
  <c r="D81" i="25"/>
  <c r="C81" i="25"/>
  <c r="W80" i="25"/>
  <c r="V80" i="25"/>
  <c r="U80" i="25"/>
  <c r="T80" i="25"/>
  <c r="S80" i="25"/>
  <c r="R80" i="25"/>
  <c r="Q80" i="25"/>
  <c r="P80" i="25"/>
  <c r="O80" i="25"/>
  <c r="N80" i="25"/>
  <c r="K80" i="25"/>
  <c r="J80" i="25"/>
  <c r="I80" i="25"/>
  <c r="H80" i="25"/>
  <c r="G80" i="25"/>
  <c r="F80" i="25"/>
  <c r="E80" i="25"/>
  <c r="D80" i="25"/>
  <c r="C80" i="25"/>
  <c r="W79" i="25"/>
  <c r="V79" i="25"/>
  <c r="U79" i="25"/>
  <c r="T79" i="25"/>
  <c r="S79" i="25"/>
  <c r="R79" i="25"/>
  <c r="Q79" i="25"/>
  <c r="P79" i="25"/>
  <c r="O79" i="25"/>
  <c r="N79" i="25"/>
  <c r="K79" i="25"/>
  <c r="J79" i="25"/>
  <c r="I79" i="25"/>
  <c r="H79" i="25"/>
  <c r="G79" i="25"/>
  <c r="F79" i="25"/>
  <c r="E79" i="25"/>
  <c r="D79" i="25"/>
  <c r="C79" i="25"/>
  <c r="W78" i="25"/>
  <c r="V78" i="25"/>
  <c r="U78" i="25"/>
  <c r="T78" i="25"/>
  <c r="S78" i="25"/>
  <c r="R78" i="25"/>
  <c r="Q78" i="25"/>
  <c r="P78" i="25"/>
  <c r="O78" i="25"/>
  <c r="N78" i="25"/>
  <c r="K78" i="25"/>
  <c r="J78" i="25"/>
  <c r="I78" i="25"/>
  <c r="H78" i="25"/>
  <c r="G78" i="25"/>
  <c r="F78" i="25"/>
  <c r="E78" i="25"/>
  <c r="D78" i="25"/>
  <c r="C78" i="25"/>
  <c r="W77" i="25"/>
  <c r="W227" i="25" s="1"/>
  <c r="V77" i="25"/>
  <c r="U77" i="25"/>
  <c r="T77" i="25"/>
  <c r="S77" i="25"/>
  <c r="R77" i="25"/>
  <c r="Q77" i="25"/>
  <c r="P77" i="25"/>
  <c r="P227" i="25" s="1"/>
  <c r="O77" i="25"/>
  <c r="O227" i="25" s="1"/>
  <c r="N77" i="25"/>
  <c r="K77" i="25"/>
  <c r="K227" i="25" s="1"/>
  <c r="J77" i="25"/>
  <c r="I77" i="25"/>
  <c r="H77" i="25"/>
  <c r="G77" i="25"/>
  <c r="F77" i="25"/>
  <c r="E77" i="25"/>
  <c r="D77" i="25"/>
  <c r="D227" i="25" s="1"/>
  <c r="C77" i="25"/>
  <c r="C227" i="25" s="1"/>
  <c r="W76" i="25"/>
  <c r="V76" i="25"/>
  <c r="U76" i="25"/>
  <c r="T76" i="25"/>
  <c r="S76" i="25"/>
  <c r="R76" i="25"/>
  <c r="Q76" i="25"/>
  <c r="P76" i="25"/>
  <c r="O76" i="25"/>
  <c r="N76" i="25"/>
  <c r="K76" i="25"/>
  <c r="J76" i="25"/>
  <c r="I76" i="25"/>
  <c r="H76" i="25"/>
  <c r="G76" i="25"/>
  <c r="F76" i="25"/>
  <c r="E76" i="25"/>
  <c r="D76" i="25"/>
  <c r="C76" i="25"/>
  <c r="W75" i="25"/>
  <c r="V75" i="25"/>
  <c r="U75" i="25"/>
  <c r="T75" i="25"/>
  <c r="S75" i="25"/>
  <c r="R75" i="25"/>
  <c r="Q75" i="25"/>
  <c r="P75" i="25"/>
  <c r="O75" i="25"/>
  <c r="N75" i="25"/>
  <c r="K75" i="25"/>
  <c r="J75" i="25"/>
  <c r="I75" i="25"/>
  <c r="H75" i="25"/>
  <c r="G75" i="25"/>
  <c r="F75" i="25"/>
  <c r="E75" i="25"/>
  <c r="D75" i="25"/>
  <c r="C75" i="25"/>
  <c r="W74" i="25"/>
  <c r="V74" i="25"/>
  <c r="U74" i="25"/>
  <c r="T74" i="25"/>
  <c r="S74" i="25"/>
  <c r="R74" i="25"/>
  <c r="Q74" i="25"/>
  <c r="P74" i="25"/>
  <c r="O74" i="25"/>
  <c r="N74" i="25"/>
  <c r="K74" i="25"/>
  <c r="J74" i="25"/>
  <c r="I74" i="25"/>
  <c r="H74" i="25"/>
  <c r="G74" i="25"/>
  <c r="F74" i="25"/>
  <c r="E74" i="25"/>
  <c r="D74" i="25"/>
  <c r="C74" i="25"/>
  <c r="W73" i="25"/>
  <c r="V73" i="25"/>
  <c r="U73" i="25"/>
  <c r="T73" i="25"/>
  <c r="S73" i="25"/>
  <c r="R73" i="25"/>
  <c r="Q73" i="25"/>
  <c r="P73" i="25"/>
  <c r="P167" i="25" s="1"/>
  <c r="O73" i="25"/>
  <c r="N73" i="25"/>
  <c r="K73" i="25"/>
  <c r="J73" i="25"/>
  <c r="I73" i="25"/>
  <c r="H73" i="25"/>
  <c r="G73" i="25"/>
  <c r="F73" i="25"/>
  <c r="E73" i="25"/>
  <c r="D73" i="25"/>
  <c r="C73" i="25"/>
  <c r="W72" i="25"/>
  <c r="V72" i="25"/>
  <c r="U72" i="25"/>
  <c r="T72" i="25"/>
  <c r="S72" i="25"/>
  <c r="R72" i="25"/>
  <c r="Q72" i="25"/>
  <c r="P72" i="25"/>
  <c r="O72" i="25"/>
  <c r="N72" i="25"/>
  <c r="K72" i="25"/>
  <c r="K226" i="25" s="1"/>
  <c r="J72" i="25"/>
  <c r="I72" i="25"/>
  <c r="H72" i="25"/>
  <c r="G72" i="25"/>
  <c r="F72" i="25"/>
  <c r="E72" i="25"/>
  <c r="D72" i="25"/>
  <c r="D226" i="25" s="1"/>
  <c r="C72" i="25"/>
  <c r="C226" i="25" s="1"/>
  <c r="W71" i="25"/>
  <c r="V71" i="25"/>
  <c r="U71" i="25"/>
  <c r="T71" i="25"/>
  <c r="S71" i="25"/>
  <c r="R71" i="25"/>
  <c r="Q71" i="25"/>
  <c r="P71" i="25"/>
  <c r="O71" i="25"/>
  <c r="N71" i="25"/>
  <c r="K71" i="25"/>
  <c r="J71" i="25"/>
  <c r="I71" i="25"/>
  <c r="H71" i="25"/>
  <c r="G71" i="25"/>
  <c r="F71" i="25"/>
  <c r="E71" i="25"/>
  <c r="D71" i="25"/>
  <c r="C71" i="25"/>
  <c r="W70" i="25"/>
  <c r="V70" i="25"/>
  <c r="U70" i="25"/>
  <c r="T70" i="25"/>
  <c r="S70" i="25"/>
  <c r="R70" i="25"/>
  <c r="Q70" i="25"/>
  <c r="P70" i="25"/>
  <c r="O70" i="25"/>
  <c r="N70" i="25"/>
  <c r="K70" i="25"/>
  <c r="J70" i="25"/>
  <c r="I70" i="25"/>
  <c r="H70" i="25"/>
  <c r="G70" i="25"/>
  <c r="F70" i="25"/>
  <c r="E70" i="25"/>
  <c r="D70" i="25"/>
  <c r="C70" i="25"/>
  <c r="W69" i="25"/>
  <c r="V69" i="25"/>
  <c r="U69" i="25"/>
  <c r="T69" i="25"/>
  <c r="S69" i="25"/>
  <c r="R69" i="25"/>
  <c r="Q69" i="25"/>
  <c r="P69" i="25"/>
  <c r="O69" i="25"/>
  <c r="N69" i="25"/>
  <c r="K69" i="25"/>
  <c r="J69" i="25"/>
  <c r="J163" i="25" s="1"/>
  <c r="I69" i="25"/>
  <c r="H69" i="25"/>
  <c r="G69" i="25"/>
  <c r="F69" i="25"/>
  <c r="E69" i="25"/>
  <c r="D69" i="25"/>
  <c r="C69" i="25"/>
  <c r="W68" i="25"/>
  <c r="V68" i="25"/>
  <c r="U68" i="25"/>
  <c r="T68" i="25"/>
  <c r="S68" i="25"/>
  <c r="R68" i="25"/>
  <c r="Q68" i="25"/>
  <c r="P68" i="25"/>
  <c r="O68" i="25"/>
  <c r="N68" i="25"/>
  <c r="K68" i="25"/>
  <c r="J68" i="25"/>
  <c r="I68" i="25"/>
  <c r="H68" i="25"/>
  <c r="G68" i="25"/>
  <c r="F68" i="25"/>
  <c r="E68" i="25"/>
  <c r="D68" i="25"/>
  <c r="C68" i="25"/>
  <c r="W67" i="25"/>
  <c r="V67" i="25"/>
  <c r="U67" i="25"/>
  <c r="T67" i="25"/>
  <c r="S67" i="25"/>
  <c r="R67" i="25"/>
  <c r="Q67" i="25"/>
  <c r="P67" i="25"/>
  <c r="O67" i="25"/>
  <c r="N67" i="25"/>
  <c r="K67" i="25"/>
  <c r="K225" i="25" s="1"/>
  <c r="J67" i="25"/>
  <c r="I67" i="25"/>
  <c r="H67" i="25"/>
  <c r="G67" i="25"/>
  <c r="F67" i="25"/>
  <c r="E67" i="25"/>
  <c r="D67" i="25"/>
  <c r="D225" i="25" s="1"/>
  <c r="C67" i="25"/>
  <c r="W66" i="25"/>
  <c r="V66" i="25"/>
  <c r="U66" i="25"/>
  <c r="T66" i="25"/>
  <c r="S66" i="25"/>
  <c r="R66" i="25"/>
  <c r="Q66" i="25"/>
  <c r="P66" i="25"/>
  <c r="O66" i="25"/>
  <c r="N66" i="25"/>
  <c r="K66" i="25"/>
  <c r="K224" i="25" s="1"/>
  <c r="J66" i="25"/>
  <c r="I66" i="25"/>
  <c r="H66" i="25"/>
  <c r="G66" i="25"/>
  <c r="F66" i="25"/>
  <c r="E66" i="25"/>
  <c r="D66" i="25"/>
  <c r="D224" i="25" s="1"/>
  <c r="C66" i="25"/>
  <c r="W65" i="25"/>
  <c r="V65" i="25"/>
  <c r="U65" i="25"/>
  <c r="T65" i="25"/>
  <c r="S65" i="25"/>
  <c r="R65" i="25"/>
  <c r="Q65" i="25"/>
  <c r="P65" i="25"/>
  <c r="O65" i="25"/>
  <c r="N65" i="25"/>
  <c r="K65" i="25"/>
  <c r="J65" i="25"/>
  <c r="I65" i="25"/>
  <c r="H65" i="25"/>
  <c r="G65" i="25"/>
  <c r="F65" i="25"/>
  <c r="E65" i="25"/>
  <c r="D65" i="25"/>
  <c r="C65" i="25"/>
  <c r="W64" i="25"/>
  <c r="V64" i="25"/>
  <c r="U64" i="25"/>
  <c r="T64" i="25"/>
  <c r="S64" i="25"/>
  <c r="R64" i="25"/>
  <c r="Q64" i="25"/>
  <c r="P64" i="25"/>
  <c r="O64" i="25"/>
  <c r="N64" i="25"/>
  <c r="K64" i="25"/>
  <c r="J64" i="25"/>
  <c r="I64" i="25"/>
  <c r="H64" i="25"/>
  <c r="G64" i="25"/>
  <c r="F64" i="25"/>
  <c r="E64" i="25"/>
  <c r="D64" i="25"/>
  <c r="C64" i="25"/>
  <c r="W63" i="25"/>
  <c r="V63" i="25"/>
  <c r="U63" i="25"/>
  <c r="T63" i="25"/>
  <c r="S63" i="25"/>
  <c r="R63" i="25"/>
  <c r="Q63" i="25"/>
  <c r="P63" i="25"/>
  <c r="O63" i="25"/>
  <c r="N63" i="25"/>
  <c r="K63" i="25"/>
  <c r="J63" i="25"/>
  <c r="I63" i="25"/>
  <c r="H63" i="25"/>
  <c r="G63" i="25"/>
  <c r="F63" i="25"/>
  <c r="E63" i="25"/>
  <c r="D63" i="25"/>
  <c r="C63" i="25"/>
  <c r="W62" i="25"/>
  <c r="V62" i="25"/>
  <c r="U62" i="25"/>
  <c r="T62" i="25"/>
  <c r="S62" i="25"/>
  <c r="R62" i="25"/>
  <c r="Q62" i="25"/>
  <c r="P62" i="25"/>
  <c r="O62" i="25"/>
  <c r="N62" i="25"/>
  <c r="K62" i="25"/>
  <c r="J62" i="25"/>
  <c r="I62" i="25"/>
  <c r="H62" i="25"/>
  <c r="G62" i="25"/>
  <c r="F62" i="25"/>
  <c r="E62" i="25"/>
  <c r="D62" i="25"/>
  <c r="C62" i="25"/>
  <c r="W61" i="25"/>
  <c r="V61" i="25"/>
  <c r="U61" i="25"/>
  <c r="T61" i="25"/>
  <c r="S61" i="25"/>
  <c r="R61" i="25"/>
  <c r="Q61" i="25"/>
  <c r="P61" i="25"/>
  <c r="O61" i="25"/>
  <c r="N61" i="25"/>
  <c r="K61" i="25"/>
  <c r="J61" i="25"/>
  <c r="I61" i="25"/>
  <c r="H61" i="25"/>
  <c r="G61" i="25"/>
  <c r="F61" i="25"/>
  <c r="E61" i="25"/>
  <c r="D61" i="25"/>
  <c r="C61" i="25"/>
  <c r="W60" i="25"/>
  <c r="V60" i="25"/>
  <c r="U60" i="25"/>
  <c r="T60" i="25"/>
  <c r="S60" i="25"/>
  <c r="R60" i="25"/>
  <c r="Q60" i="25"/>
  <c r="P60" i="25"/>
  <c r="O60" i="25"/>
  <c r="N60" i="25"/>
  <c r="K60" i="25"/>
  <c r="J60" i="25"/>
  <c r="I60" i="25"/>
  <c r="H60" i="25"/>
  <c r="G60" i="25"/>
  <c r="F60" i="25"/>
  <c r="E60" i="25"/>
  <c r="D60" i="25"/>
  <c r="C60" i="25"/>
  <c r="W59" i="25"/>
  <c r="V59" i="25"/>
  <c r="U59" i="25"/>
  <c r="T59" i="25"/>
  <c r="S59" i="25"/>
  <c r="R59" i="25"/>
  <c r="Q59" i="25"/>
  <c r="P59" i="25"/>
  <c r="O59" i="25"/>
  <c r="N59" i="25"/>
  <c r="K59" i="25"/>
  <c r="J59" i="25"/>
  <c r="I59" i="25"/>
  <c r="H59" i="25"/>
  <c r="G59" i="25"/>
  <c r="F59" i="25"/>
  <c r="E59" i="25"/>
  <c r="D59" i="25"/>
  <c r="C59" i="25"/>
  <c r="W58" i="25"/>
  <c r="V58" i="25"/>
  <c r="U58" i="25"/>
  <c r="T58" i="25"/>
  <c r="S58" i="25"/>
  <c r="R58" i="25"/>
  <c r="Q58" i="25"/>
  <c r="P58" i="25"/>
  <c r="O58" i="25"/>
  <c r="N58" i="25"/>
  <c r="K58" i="25"/>
  <c r="J58" i="25"/>
  <c r="I58" i="25"/>
  <c r="H58" i="25"/>
  <c r="G58" i="25"/>
  <c r="F58" i="25"/>
  <c r="E58" i="25"/>
  <c r="D58" i="25"/>
  <c r="C58" i="25"/>
  <c r="W57" i="25"/>
  <c r="V57" i="25"/>
  <c r="U57" i="25"/>
  <c r="T57" i="25"/>
  <c r="S57" i="25"/>
  <c r="R57" i="25"/>
  <c r="Q57" i="25"/>
  <c r="P57" i="25"/>
  <c r="O57" i="25"/>
  <c r="N57" i="25"/>
  <c r="K57" i="25"/>
  <c r="J57" i="25"/>
  <c r="I57" i="25"/>
  <c r="H57" i="25"/>
  <c r="G57" i="25"/>
  <c r="F57" i="25"/>
  <c r="E57" i="25"/>
  <c r="D57" i="25"/>
  <c r="C57" i="25"/>
  <c r="W56" i="25"/>
  <c r="V56" i="25"/>
  <c r="U56" i="25"/>
  <c r="T56" i="25"/>
  <c r="S56" i="25"/>
  <c r="R56" i="25"/>
  <c r="Q56" i="25"/>
  <c r="P56" i="25"/>
  <c r="O56" i="25"/>
  <c r="N56" i="25"/>
  <c r="K56" i="25"/>
  <c r="J56" i="25"/>
  <c r="I56" i="25"/>
  <c r="H56" i="25"/>
  <c r="G56" i="25"/>
  <c r="F56" i="25"/>
  <c r="E56" i="25"/>
  <c r="D56" i="25"/>
  <c r="C56" i="25"/>
  <c r="W55" i="25"/>
  <c r="V55" i="25"/>
  <c r="U55" i="25"/>
  <c r="T55" i="25"/>
  <c r="S55" i="25"/>
  <c r="R55" i="25"/>
  <c r="Q55" i="25"/>
  <c r="P55" i="25"/>
  <c r="O55" i="25"/>
  <c r="N55" i="25"/>
  <c r="K55" i="25"/>
  <c r="J55" i="25"/>
  <c r="I55" i="25"/>
  <c r="H55" i="25"/>
  <c r="G55" i="25"/>
  <c r="F55" i="25"/>
  <c r="E55" i="25"/>
  <c r="D55" i="25"/>
  <c r="C55" i="25"/>
  <c r="W54" i="25"/>
  <c r="V54" i="25"/>
  <c r="U54" i="25"/>
  <c r="T54" i="25"/>
  <c r="S54" i="25"/>
  <c r="R54" i="25"/>
  <c r="Q54" i="25"/>
  <c r="P54" i="25"/>
  <c r="O54" i="25"/>
  <c r="N54" i="25"/>
  <c r="K54" i="25"/>
  <c r="J54" i="25"/>
  <c r="I54" i="25"/>
  <c r="H54" i="25"/>
  <c r="G54" i="25"/>
  <c r="F54" i="25"/>
  <c r="E54" i="25"/>
  <c r="D54" i="25"/>
  <c r="C54" i="25"/>
  <c r="W53" i="25"/>
  <c r="V53" i="25"/>
  <c r="U53" i="25"/>
  <c r="T53" i="25"/>
  <c r="S53" i="25"/>
  <c r="R53" i="25"/>
  <c r="Q53" i="25"/>
  <c r="P53" i="25"/>
  <c r="O53" i="25"/>
  <c r="N53" i="25"/>
  <c r="K53" i="25"/>
  <c r="J53" i="25"/>
  <c r="I53" i="25"/>
  <c r="H53" i="25"/>
  <c r="G53" i="25"/>
  <c r="F53" i="25"/>
  <c r="E53" i="25"/>
  <c r="D53" i="25"/>
  <c r="C53" i="25"/>
  <c r="W52" i="25"/>
  <c r="V52" i="25"/>
  <c r="U52" i="25"/>
  <c r="T52" i="25"/>
  <c r="S52" i="25"/>
  <c r="R52" i="25"/>
  <c r="Q52" i="25"/>
  <c r="P52" i="25"/>
  <c r="O52" i="25"/>
  <c r="N52" i="25"/>
  <c r="K52" i="25"/>
  <c r="J52" i="25"/>
  <c r="I52" i="25"/>
  <c r="H52" i="25"/>
  <c r="G52" i="25"/>
  <c r="F52" i="25"/>
  <c r="E52" i="25"/>
  <c r="D52" i="25"/>
  <c r="C52" i="25"/>
  <c r="V49" i="25"/>
  <c r="V220" i="25" s="1"/>
  <c r="U49" i="25"/>
  <c r="U220" i="25" s="1"/>
  <c r="T49" i="25"/>
  <c r="T220" i="25" s="1"/>
  <c r="S49" i="25"/>
  <c r="S220" i="25" s="1"/>
  <c r="R49" i="25"/>
  <c r="R220" i="25" s="1"/>
  <c r="Q49" i="25"/>
  <c r="Q220" i="25" s="1"/>
  <c r="J49" i="25"/>
  <c r="J220" i="25" s="1"/>
  <c r="I49" i="25"/>
  <c r="I220" i="25" s="1"/>
  <c r="H49" i="25"/>
  <c r="H220" i="25" s="1"/>
  <c r="G49" i="25"/>
  <c r="G220" i="25" s="1"/>
  <c r="F49" i="25"/>
  <c r="F220" i="25" s="1"/>
  <c r="E49" i="25"/>
  <c r="E220" i="25" s="1"/>
  <c r="D49" i="25"/>
  <c r="D220" i="25" s="1"/>
  <c r="C49" i="25"/>
  <c r="C220" i="25" s="1"/>
  <c r="V46" i="25"/>
  <c r="V217" i="25" s="1"/>
  <c r="U46" i="25"/>
  <c r="U217" i="25" s="1"/>
  <c r="T46" i="25"/>
  <c r="T217" i="25" s="1"/>
  <c r="S46" i="25"/>
  <c r="S217" i="25" s="1"/>
  <c r="R46" i="25"/>
  <c r="R217" i="25" s="1"/>
  <c r="Q46" i="25"/>
  <c r="Q217" i="25" s="1"/>
  <c r="J46" i="25"/>
  <c r="J217" i="25" s="1"/>
  <c r="I46" i="25"/>
  <c r="I217" i="25" s="1"/>
  <c r="H46" i="25"/>
  <c r="H217" i="25" s="1"/>
  <c r="G46" i="25"/>
  <c r="G217" i="25" s="1"/>
  <c r="F46" i="25"/>
  <c r="F217" i="25" s="1"/>
  <c r="E46" i="25"/>
  <c r="E217" i="25" s="1"/>
  <c r="D46" i="25"/>
  <c r="D217" i="25" s="1"/>
  <c r="C217" i="25"/>
  <c r="V45" i="25"/>
  <c r="V216" i="25" s="1"/>
  <c r="U45" i="25"/>
  <c r="U216" i="25" s="1"/>
  <c r="T45" i="25"/>
  <c r="T216" i="25" s="1"/>
  <c r="S45" i="25"/>
  <c r="S216" i="25" s="1"/>
  <c r="R45" i="25"/>
  <c r="R216" i="25" s="1"/>
  <c r="Q45" i="25"/>
  <c r="Q216" i="25" s="1"/>
  <c r="J45" i="25"/>
  <c r="J216" i="25" s="1"/>
  <c r="I45" i="25"/>
  <c r="I216" i="25" s="1"/>
  <c r="H45" i="25"/>
  <c r="H216" i="25" s="1"/>
  <c r="G45" i="25"/>
  <c r="G216" i="25" s="1"/>
  <c r="F45" i="25"/>
  <c r="F216" i="25" s="1"/>
  <c r="E45" i="25"/>
  <c r="E216" i="25" s="1"/>
  <c r="D45" i="25"/>
  <c r="D216" i="25" s="1"/>
  <c r="C45" i="25"/>
  <c r="C216" i="25" s="1"/>
  <c r="V44" i="25"/>
  <c r="V215" i="25" s="1"/>
  <c r="U44" i="25"/>
  <c r="U215" i="25" s="1"/>
  <c r="T44" i="25"/>
  <c r="T215" i="25" s="1"/>
  <c r="S44" i="25"/>
  <c r="S215" i="25" s="1"/>
  <c r="R44" i="25"/>
  <c r="R215" i="25" s="1"/>
  <c r="Q44" i="25"/>
  <c r="Q215" i="25" s="1"/>
  <c r="J44" i="25"/>
  <c r="J215" i="25" s="1"/>
  <c r="I44" i="25"/>
  <c r="I215" i="25" s="1"/>
  <c r="H44" i="25"/>
  <c r="H215" i="25" s="1"/>
  <c r="G44" i="25"/>
  <c r="G215" i="25" s="1"/>
  <c r="F44" i="25"/>
  <c r="F215" i="25" s="1"/>
  <c r="E44" i="25"/>
  <c r="E215" i="25" s="1"/>
  <c r="D44" i="25"/>
  <c r="D215" i="25" s="1"/>
  <c r="C44" i="25"/>
  <c r="C215" i="25" s="1"/>
  <c r="V43" i="25"/>
  <c r="V214" i="25" s="1"/>
  <c r="U43" i="25"/>
  <c r="U214" i="25" s="1"/>
  <c r="T43" i="25"/>
  <c r="T214" i="25" s="1"/>
  <c r="S43" i="25"/>
  <c r="S214" i="25" s="1"/>
  <c r="R43" i="25"/>
  <c r="R214" i="25" s="1"/>
  <c r="Q43" i="25"/>
  <c r="Q214" i="25" s="1"/>
  <c r="J43" i="25"/>
  <c r="J214" i="25" s="1"/>
  <c r="I43" i="25"/>
  <c r="I214" i="25" s="1"/>
  <c r="H43" i="25"/>
  <c r="H214" i="25" s="1"/>
  <c r="G43" i="25"/>
  <c r="G214" i="25" s="1"/>
  <c r="F43" i="25"/>
  <c r="F214" i="25" s="1"/>
  <c r="E43" i="25"/>
  <c r="E214" i="25" s="1"/>
  <c r="D43" i="25"/>
  <c r="D214" i="25" s="1"/>
  <c r="C43" i="25"/>
  <c r="C214" i="25" s="1"/>
  <c r="V42" i="25"/>
  <c r="V213" i="25" s="1"/>
  <c r="U42" i="25"/>
  <c r="U213" i="25" s="1"/>
  <c r="T42" i="25"/>
  <c r="T213" i="25" s="1"/>
  <c r="S42" i="25"/>
  <c r="S213" i="25" s="1"/>
  <c r="R42" i="25"/>
  <c r="R213" i="25" s="1"/>
  <c r="Q42" i="25"/>
  <c r="Q213" i="25" s="1"/>
  <c r="J42" i="25"/>
  <c r="J213" i="25" s="1"/>
  <c r="I42" i="25"/>
  <c r="I213" i="25" s="1"/>
  <c r="H42" i="25"/>
  <c r="H213" i="25" s="1"/>
  <c r="G42" i="25"/>
  <c r="G213" i="25" s="1"/>
  <c r="F42" i="25"/>
  <c r="F213" i="25" s="1"/>
  <c r="E42" i="25"/>
  <c r="E213" i="25" s="1"/>
  <c r="D42" i="25"/>
  <c r="D213" i="25" s="1"/>
  <c r="C42" i="25"/>
  <c r="C213" i="25" s="1"/>
  <c r="V41" i="25"/>
  <c r="V212" i="25" s="1"/>
  <c r="U41" i="25"/>
  <c r="U212" i="25" s="1"/>
  <c r="T41" i="25"/>
  <c r="T212" i="25" s="1"/>
  <c r="S41" i="25"/>
  <c r="S212" i="25" s="1"/>
  <c r="R41" i="25"/>
  <c r="R212" i="25" s="1"/>
  <c r="Q41" i="25"/>
  <c r="Q212" i="25" s="1"/>
  <c r="K41" i="25"/>
  <c r="K212" i="25" s="1"/>
  <c r="J41" i="25"/>
  <c r="J212" i="25" s="1"/>
  <c r="I41" i="25"/>
  <c r="I212" i="25" s="1"/>
  <c r="H41" i="25"/>
  <c r="H212" i="25" s="1"/>
  <c r="G41" i="25"/>
  <c r="G212" i="25" s="1"/>
  <c r="F41" i="25"/>
  <c r="F212" i="25" s="1"/>
  <c r="E41" i="25"/>
  <c r="E212" i="25" s="1"/>
  <c r="D41" i="25"/>
  <c r="D212" i="25" s="1"/>
  <c r="C41" i="25"/>
  <c r="C212" i="25" s="1"/>
  <c r="V40" i="25"/>
  <c r="V211" i="25" s="1"/>
  <c r="U40" i="25"/>
  <c r="U211" i="25" s="1"/>
  <c r="T40" i="25"/>
  <c r="T211" i="25" s="1"/>
  <c r="S40" i="25"/>
  <c r="S211" i="25" s="1"/>
  <c r="R40" i="25"/>
  <c r="R211" i="25" s="1"/>
  <c r="Q40" i="25"/>
  <c r="Q211" i="25" s="1"/>
  <c r="K40" i="25"/>
  <c r="K211" i="25" s="1"/>
  <c r="J40" i="25"/>
  <c r="J211" i="25" s="1"/>
  <c r="I40" i="25"/>
  <c r="I211" i="25" s="1"/>
  <c r="H40" i="25"/>
  <c r="H211" i="25" s="1"/>
  <c r="G40" i="25"/>
  <c r="G211" i="25" s="1"/>
  <c r="F40" i="25"/>
  <c r="F211" i="25" s="1"/>
  <c r="E40" i="25"/>
  <c r="E211" i="25" s="1"/>
  <c r="D40" i="25"/>
  <c r="D211" i="25" s="1"/>
  <c r="C40" i="25"/>
  <c r="C211" i="25" s="1"/>
  <c r="V39" i="25"/>
  <c r="V210" i="25" s="1"/>
  <c r="U39" i="25"/>
  <c r="U210" i="25" s="1"/>
  <c r="T39" i="25"/>
  <c r="T210" i="25" s="1"/>
  <c r="S39" i="25"/>
  <c r="S210" i="25" s="1"/>
  <c r="R39" i="25"/>
  <c r="R210" i="25" s="1"/>
  <c r="Q39" i="25"/>
  <c r="J39" i="25"/>
  <c r="J210" i="25" s="1"/>
  <c r="I39" i="25"/>
  <c r="I210" i="25" s="1"/>
  <c r="H39" i="25"/>
  <c r="H210" i="25" s="1"/>
  <c r="G39" i="25"/>
  <c r="G210" i="25" s="1"/>
  <c r="F39" i="25"/>
  <c r="F210" i="25" s="1"/>
  <c r="E39" i="25"/>
  <c r="E210" i="25" s="1"/>
  <c r="D39" i="25"/>
  <c r="D210" i="25" s="1"/>
  <c r="C39" i="25"/>
  <c r="C210" i="25" s="1"/>
  <c r="V38" i="25"/>
  <c r="V209" i="25" s="1"/>
  <c r="U38" i="25"/>
  <c r="U209" i="25" s="1"/>
  <c r="T38" i="25"/>
  <c r="T209" i="25" s="1"/>
  <c r="S38" i="25"/>
  <c r="S209" i="25" s="1"/>
  <c r="R38" i="25"/>
  <c r="R209" i="25" s="1"/>
  <c r="Q38" i="25"/>
  <c r="Q209" i="25" s="1"/>
  <c r="J38" i="25"/>
  <c r="J209" i="25" s="1"/>
  <c r="I38" i="25"/>
  <c r="I209" i="25" s="1"/>
  <c r="H38" i="25"/>
  <c r="H209" i="25" s="1"/>
  <c r="G38" i="25"/>
  <c r="G209" i="25" s="1"/>
  <c r="F38" i="25"/>
  <c r="F209" i="25" s="1"/>
  <c r="E38" i="25"/>
  <c r="E209" i="25" s="1"/>
  <c r="D38" i="25"/>
  <c r="D209" i="25" s="1"/>
  <c r="C38" i="25"/>
  <c r="C209" i="25" s="1"/>
  <c r="V37" i="25"/>
  <c r="V208" i="25" s="1"/>
  <c r="U37" i="25"/>
  <c r="U208" i="25" s="1"/>
  <c r="T37" i="25"/>
  <c r="T208" i="25" s="1"/>
  <c r="S37" i="25"/>
  <c r="S208" i="25" s="1"/>
  <c r="R37" i="25"/>
  <c r="R208" i="25" s="1"/>
  <c r="Q37" i="25"/>
  <c r="Q208" i="25" s="1"/>
  <c r="J37" i="25"/>
  <c r="J208" i="25" s="1"/>
  <c r="I37" i="25"/>
  <c r="I208" i="25" s="1"/>
  <c r="H37" i="25"/>
  <c r="H208" i="25" s="1"/>
  <c r="G37" i="25"/>
  <c r="G208" i="25" s="1"/>
  <c r="F37" i="25"/>
  <c r="F208" i="25" s="1"/>
  <c r="E37" i="25"/>
  <c r="E208" i="25" s="1"/>
  <c r="D37" i="25"/>
  <c r="D208" i="25" s="1"/>
  <c r="C37" i="25"/>
  <c r="C208" i="25" s="1"/>
  <c r="V36" i="25"/>
  <c r="V207" i="25" s="1"/>
  <c r="U36" i="25"/>
  <c r="U207" i="25" s="1"/>
  <c r="T36" i="25"/>
  <c r="T207" i="25" s="1"/>
  <c r="S36" i="25"/>
  <c r="S207" i="25" s="1"/>
  <c r="R36" i="25"/>
  <c r="R207" i="25" s="1"/>
  <c r="Q36" i="25"/>
  <c r="Q207" i="25" s="1"/>
  <c r="K36" i="25"/>
  <c r="K207" i="25" s="1"/>
  <c r="J36" i="25"/>
  <c r="J207" i="25" s="1"/>
  <c r="I36" i="25"/>
  <c r="I207" i="25" s="1"/>
  <c r="H36" i="25"/>
  <c r="H207" i="25" s="1"/>
  <c r="G36" i="25"/>
  <c r="G207" i="25" s="1"/>
  <c r="F36" i="25"/>
  <c r="F207" i="25" s="1"/>
  <c r="E36" i="25"/>
  <c r="E207" i="25" s="1"/>
  <c r="D36" i="25"/>
  <c r="D207" i="25" s="1"/>
  <c r="C36" i="25"/>
  <c r="C207" i="25" s="1"/>
  <c r="V35" i="25"/>
  <c r="V206" i="25" s="1"/>
  <c r="U35" i="25"/>
  <c r="U206" i="25" s="1"/>
  <c r="T35" i="25"/>
  <c r="T206" i="25" s="1"/>
  <c r="S35" i="25"/>
  <c r="S206" i="25" s="1"/>
  <c r="R35" i="25"/>
  <c r="R206" i="25" s="1"/>
  <c r="Q35" i="25"/>
  <c r="Q206" i="25" s="1"/>
  <c r="K35" i="25"/>
  <c r="K206" i="25" s="1"/>
  <c r="J35" i="25"/>
  <c r="J206" i="25" s="1"/>
  <c r="I35" i="25"/>
  <c r="I206" i="25" s="1"/>
  <c r="H35" i="25"/>
  <c r="H206" i="25" s="1"/>
  <c r="G35" i="25"/>
  <c r="G206" i="25" s="1"/>
  <c r="F35" i="25"/>
  <c r="F206" i="25" s="1"/>
  <c r="E35" i="25"/>
  <c r="E206" i="25" s="1"/>
  <c r="D35" i="25"/>
  <c r="D206" i="25" s="1"/>
  <c r="C35" i="25"/>
  <c r="C206" i="25" s="1"/>
  <c r="V34" i="25"/>
  <c r="U34" i="25"/>
  <c r="T34" i="25"/>
  <c r="S34" i="25"/>
  <c r="R34" i="25"/>
  <c r="Q34" i="25"/>
  <c r="K34" i="25"/>
  <c r="J34" i="25"/>
  <c r="I34" i="25"/>
  <c r="H34" i="25"/>
  <c r="G34" i="25"/>
  <c r="F34" i="25"/>
  <c r="E34" i="25"/>
  <c r="D34" i="25"/>
  <c r="C34" i="25"/>
  <c r="V33" i="25"/>
  <c r="U33" i="25"/>
  <c r="T33" i="25"/>
  <c r="S33" i="25"/>
  <c r="R33" i="25"/>
  <c r="Q33" i="25"/>
  <c r="K33" i="25"/>
  <c r="J33" i="25"/>
  <c r="I33" i="25"/>
  <c r="H33" i="25"/>
  <c r="G33" i="25"/>
  <c r="F33" i="25"/>
  <c r="E33" i="25"/>
  <c r="D33" i="25"/>
  <c r="C33" i="25"/>
  <c r="V32" i="25"/>
  <c r="U32" i="25"/>
  <c r="T32" i="25"/>
  <c r="S32" i="25"/>
  <c r="R32" i="25"/>
  <c r="Q32" i="25"/>
  <c r="K32" i="25"/>
  <c r="J32" i="25"/>
  <c r="I32" i="25"/>
  <c r="H32" i="25"/>
  <c r="G32" i="25"/>
  <c r="F32" i="25"/>
  <c r="E32" i="25"/>
  <c r="D32" i="25"/>
  <c r="C32" i="25"/>
  <c r="V31" i="25"/>
  <c r="U31" i="25"/>
  <c r="T31" i="25"/>
  <c r="S31" i="25"/>
  <c r="R31" i="25"/>
  <c r="Q31" i="25"/>
  <c r="K31" i="25"/>
  <c r="J31" i="25"/>
  <c r="I31" i="25"/>
  <c r="H31" i="25"/>
  <c r="G31" i="25"/>
  <c r="F31" i="25"/>
  <c r="E31" i="25"/>
  <c r="D31" i="25"/>
  <c r="C31" i="25"/>
  <c r="V30" i="25"/>
  <c r="U30" i="25"/>
  <c r="T30" i="25"/>
  <c r="S30" i="25"/>
  <c r="R30" i="25"/>
  <c r="Q30" i="25"/>
  <c r="K30" i="25"/>
  <c r="J30" i="25"/>
  <c r="I30" i="25"/>
  <c r="H30" i="25"/>
  <c r="G30" i="25"/>
  <c r="F30" i="25"/>
  <c r="E30" i="25"/>
  <c r="D30" i="25"/>
  <c r="C30" i="25"/>
  <c r="V29" i="25"/>
  <c r="U29" i="25"/>
  <c r="T29" i="25"/>
  <c r="S29" i="25"/>
  <c r="R29" i="25"/>
  <c r="Q29" i="25"/>
  <c r="K29" i="25"/>
  <c r="J29" i="25"/>
  <c r="I29" i="25"/>
  <c r="H29" i="25"/>
  <c r="G29" i="25"/>
  <c r="F29" i="25"/>
  <c r="E29" i="25"/>
  <c r="D29" i="25"/>
  <c r="C29" i="25"/>
  <c r="V28" i="25"/>
  <c r="U28" i="25"/>
  <c r="T28" i="25"/>
  <c r="S28" i="25"/>
  <c r="R28" i="25"/>
  <c r="Q28" i="25"/>
  <c r="K28" i="25"/>
  <c r="J28" i="25"/>
  <c r="I28" i="25"/>
  <c r="H28" i="25"/>
  <c r="G28" i="25"/>
  <c r="F28" i="25"/>
  <c r="E28" i="25"/>
  <c r="D28" i="25"/>
  <c r="C28" i="25"/>
  <c r="V27" i="25"/>
  <c r="U27" i="25"/>
  <c r="T27" i="25"/>
  <c r="S27" i="25"/>
  <c r="R27" i="25"/>
  <c r="Q27" i="25"/>
  <c r="J27" i="25"/>
  <c r="I27" i="25"/>
  <c r="H27" i="25"/>
  <c r="G27" i="25"/>
  <c r="F27" i="25"/>
  <c r="E27" i="25"/>
  <c r="D27" i="25"/>
  <c r="C27" i="25"/>
  <c r="V26" i="25"/>
  <c r="U26" i="25"/>
  <c r="T26" i="25"/>
  <c r="S26" i="25"/>
  <c r="R26" i="25"/>
  <c r="Q26" i="25"/>
  <c r="J26" i="25"/>
  <c r="I26" i="25"/>
  <c r="H26" i="25"/>
  <c r="G26" i="25"/>
  <c r="F26" i="25"/>
  <c r="E26" i="25"/>
  <c r="D26" i="25"/>
  <c r="C26" i="25"/>
  <c r="V25" i="25"/>
  <c r="V204" i="25" s="1"/>
  <c r="U25" i="25"/>
  <c r="T25" i="25"/>
  <c r="S25" i="25"/>
  <c r="R25" i="25"/>
  <c r="Q25" i="25"/>
  <c r="J25" i="25"/>
  <c r="I25" i="25"/>
  <c r="H25" i="25"/>
  <c r="G25" i="25"/>
  <c r="F25" i="25"/>
  <c r="E25" i="25"/>
  <c r="D25" i="25"/>
  <c r="D204" i="25" s="1"/>
  <c r="C25" i="25"/>
  <c r="C204" i="25" s="1"/>
  <c r="V24" i="25"/>
  <c r="U24" i="25"/>
  <c r="T24" i="25"/>
  <c r="S24" i="25"/>
  <c r="R24" i="25"/>
  <c r="Q24" i="25"/>
  <c r="K24" i="25"/>
  <c r="J24" i="25"/>
  <c r="I24" i="25"/>
  <c r="H24" i="25"/>
  <c r="G24" i="25"/>
  <c r="F24" i="25"/>
  <c r="E24" i="25"/>
  <c r="D24" i="25"/>
  <c r="C24" i="25"/>
  <c r="X23" i="25"/>
  <c r="V23" i="25"/>
  <c r="U23" i="25"/>
  <c r="T23" i="25"/>
  <c r="S23" i="25"/>
  <c r="R23" i="25"/>
  <c r="Q23" i="25"/>
  <c r="K23" i="25"/>
  <c r="J23" i="25"/>
  <c r="J203" i="25" s="1"/>
  <c r="I23" i="25"/>
  <c r="H23" i="25"/>
  <c r="G23" i="25"/>
  <c r="F23" i="25"/>
  <c r="E23" i="25"/>
  <c r="D23" i="25"/>
  <c r="C23" i="25"/>
  <c r="V22" i="25"/>
  <c r="U22" i="25"/>
  <c r="T22" i="25"/>
  <c r="S22" i="25"/>
  <c r="R22" i="25"/>
  <c r="Q22" i="25"/>
  <c r="H22" i="25"/>
  <c r="G22" i="25"/>
  <c r="F22" i="25"/>
  <c r="E22" i="25"/>
  <c r="D22" i="25"/>
  <c r="C22" i="25"/>
  <c r="V21" i="25"/>
  <c r="U21" i="25"/>
  <c r="T21" i="25"/>
  <c r="S21" i="25"/>
  <c r="R21" i="25"/>
  <c r="Q21" i="25"/>
  <c r="K21" i="25"/>
  <c r="I21" i="25"/>
  <c r="H21" i="25"/>
  <c r="G21" i="25"/>
  <c r="F21" i="25"/>
  <c r="E21" i="25"/>
  <c r="D21" i="25"/>
  <c r="C21" i="25"/>
  <c r="V20" i="25"/>
  <c r="V203" i="25" s="1"/>
  <c r="U20" i="25"/>
  <c r="T20" i="25"/>
  <c r="S20" i="25"/>
  <c r="R20" i="25"/>
  <c r="Q20" i="25"/>
  <c r="K20" i="25"/>
  <c r="I20" i="25"/>
  <c r="H20" i="25"/>
  <c r="G20" i="25"/>
  <c r="F20" i="25"/>
  <c r="E20" i="25"/>
  <c r="D20" i="25"/>
  <c r="D203" i="25" s="1"/>
  <c r="C20" i="25"/>
  <c r="C203" i="25" s="1"/>
  <c r="V19" i="25"/>
  <c r="V202" i="25" s="1"/>
  <c r="U19" i="25"/>
  <c r="T19" i="25"/>
  <c r="S19" i="25"/>
  <c r="R19" i="25"/>
  <c r="Q19" i="25"/>
  <c r="K19" i="25"/>
  <c r="I19" i="25"/>
  <c r="H19" i="25"/>
  <c r="G19" i="25"/>
  <c r="F19" i="25"/>
  <c r="E19" i="25"/>
  <c r="D19" i="25"/>
  <c r="D202" i="25" s="1"/>
  <c r="C19" i="25"/>
  <c r="C202" i="25" s="1"/>
  <c r="V18" i="25"/>
  <c r="V201" i="25" s="1"/>
  <c r="U18" i="25"/>
  <c r="T18" i="25"/>
  <c r="S18" i="25"/>
  <c r="R18" i="25"/>
  <c r="Q18" i="25"/>
  <c r="I18" i="25"/>
  <c r="H18" i="25"/>
  <c r="G18" i="25"/>
  <c r="F18" i="25"/>
  <c r="E18" i="25"/>
  <c r="D18" i="25"/>
  <c r="D201" i="25" s="1"/>
  <c r="C18" i="25"/>
  <c r="C201" i="25" s="1"/>
  <c r="V17" i="25"/>
  <c r="U17" i="25"/>
  <c r="T17" i="25"/>
  <c r="S17" i="25"/>
  <c r="R17" i="25"/>
  <c r="Q17" i="25"/>
  <c r="I17" i="25"/>
  <c r="H17" i="25"/>
  <c r="G17" i="25"/>
  <c r="F17" i="25"/>
  <c r="E17" i="25"/>
  <c r="D17" i="25"/>
  <c r="C17" i="25"/>
  <c r="V16" i="25"/>
  <c r="U16" i="25"/>
  <c r="T16" i="25"/>
  <c r="S16" i="25"/>
  <c r="R16" i="25"/>
  <c r="Q16" i="25"/>
  <c r="I16" i="25"/>
  <c r="H16" i="25"/>
  <c r="G16" i="25"/>
  <c r="F16" i="25"/>
  <c r="E16" i="25"/>
  <c r="D16" i="25"/>
  <c r="C16" i="25"/>
  <c r="V15" i="25"/>
  <c r="U15" i="25"/>
  <c r="T15" i="25"/>
  <c r="S15" i="25"/>
  <c r="R15" i="25"/>
  <c r="Q15" i="25"/>
  <c r="I15" i="25"/>
  <c r="H15" i="25"/>
  <c r="G15" i="25"/>
  <c r="F15" i="25"/>
  <c r="E15" i="25"/>
  <c r="D15" i="25"/>
  <c r="C15" i="25"/>
  <c r="V14" i="25"/>
  <c r="U14" i="25"/>
  <c r="T14" i="25"/>
  <c r="S14" i="25"/>
  <c r="R14" i="25"/>
  <c r="Q14" i="25"/>
  <c r="J14" i="25"/>
  <c r="I14" i="25"/>
  <c r="H14" i="25"/>
  <c r="G14" i="25"/>
  <c r="F14" i="25"/>
  <c r="E14" i="25"/>
  <c r="D14" i="25"/>
  <c r="C14" i="25"/>
  <c r="V13" i="25"/>
  <c r="U13" i="25"/>
  <c r="T13" i="25"/>
  <c r="S13" i="25"/>
  <c r="R13" i="25"/>
  <c r="Q13" i="25"/>
  <c r="I13" i="25"/>
  <c r="H13" i="25"/>
  <c r="G13" i="25"/>
  <c r="F13" i="25"/>
  <c r="E13" i="25"/>
  <c r="D13" i="25"/>
  <c r="C13" i="25"/>
  <c r="V12" i="25"/>
  <c r="U12" i="25"/>
  <c r="T12" i="25"/>
  <c r="S12" i="25"/>
  <c r="R12" i="25"/>
  <c r="Q12" i="25"/>
  <c r="I12" i="25"/>
  <c r="H12" i="25"/>
  <c r="G12" i="25"/>
  <c r="F12" i="25"/>
  <c r="E12" i="25"/>
  <c r="D12" i="25"/>
  <c r="C12" i="25"/>
  <c r="V11" i="25"/>
  <c r="U11" i="25"/>
  <c r="T11" i="25"/>
  <c r="S11" i="25"/>
  <c r="R11" i="25"/>
  <c r="Q11" i="25"/>
  <c r="I11" i="25"/>
  <c r="H11" i="25"/>
  <c r="G11" i="25"/>
  <c r="F11" i="25"/>
  <c r="E11" i="25"/>
  <c r="D11" i="25"/>
  <c r="C11" i="25"/>
  <c r="V10" i="25"/>
  <c r="U10" i="25"/>
  <c r="T10" i="25"/>
  <c r="S10" i="25"/>
  <c r="R10" i="25"/>
  <c r="Q10" i="25"/>
  <c r="I10" i="25"/>
  <c r="H10" i="25"/>
  <c r="G10" i="25"/>
  <c r="F10" i="25"/>
  <c r="E10" i="25"/>
  <c r="D10" i="25"/>
  <c r="C10" i="25"/>
  <c r="V9" i="25"/>
  <c r="U9" i="25"/>
  <c r="T9" i="25"/>
  <c r="S9" i="25"/>
  <c r="R9" i="25"/>
  <c r="Q9" i="25"/>
  <c r="I9" i="25"/>
  <c r="H9" i="25"/>
  <c r="G9" i="25"/>
  <c r="F9" i="25"/>
  <c r="E9" i="25"/>
  <c r="D9" i="25"/>
  <c r="C9" i="25"/>
  <c r="V8" i="25"/>
  <c r="U8" i="25"/>
  <c r="T8" i="25"/>
  <c r="S8" i="25"/>
  <c r="R8" i="25"/>
  <c r="Q8" i="25"/>
  <c r="J8" i="25"/>
  <c r="I8" i="25"/>
  <c r="H8" i="25"/>
  <c r="G8" i="25"/>
  <c r="F8" i="25"/>
  <c r="E8" i="25"/>
  <c r="D8" i="25"/>
  <c r="C8" i="25"/>
  <c r="V7" i="25"/>
  <c r="U7" i="25"/>
  <c r="T7" i="25"/>
  <c r="S7" i="25"/>
  <c r="R7" i="25"/>
  <c r="Q7" i="25"/>
  <c r="J7" i="25"/>
  <c r="I7" i="25"/>
  <c r="H7" i="25"/>
  <c r="G7" i="25"/>
  <c r="F7" i="25"/>
  <c r="E7" i="25"/>
  <c r="D7" i="25"/>
  <c r="C7" i="25"/>
  <c r="V6" i="25"/>
  <c r="U6" i="25"/>
  <c r="T6" i="25"/>
  <c r="S6" i="25"/>
  <c r="R6" i="25"/>
  <c r="Q6" i="25"/>
  <c r="K6" i="25"/>
  <c r="J6" i="25"/>
  <c r="I6" i="25"/>
  <c r="H6" i="25"/>
  <c r="G6" i="25"/>
  <c r="F6" i="25"/>
  <c r="E6" i="25"/>
  <c r="D6" i="25"/>
  <c r="C6" i="25"/>
  <c r="V5" i="25"/>
  <c r="U5" i="25"/>
  <c r="T5" i="25"/>
  <c r="S5" i="25"/>
  <c r="R5" i="25"/>
  <c r="Q5" i="25"/>
  <c r="K5" i="25"/>
  <c r="J5" i="25"/>
  <c r="I5" i="25"/>
  <c r="H5" i="25"/>
  <c r="G5" i="25"/>
  <c r="F5" i="25"/>
  <c r="E5" i="25"/>
  <c r="D5" i="25"/>
  <c r="C5" i="25"/>
  <c r="A290" i="24"/>
  <c r="K279" i="24"/>
  <c r="K278" i="24"/>
  <c r="K277" i="24"/>
  <c r="K220" i="24"/>
  <c r="B220" i="24"/>
  <c r="K217" i="24"/>
  <c r="B217" i="24"/>
  <c r="K216" i="24"/>
  <c r="B216" i="24"/>
  <c r="K215" i="24"/>
  <c r="B215" i="24"/>
  <c r="K214" i="24"/>
  <c r="B214" i="24"/>
  <c r="K213" i="24"/>
  <c r="B213" i="24"/>
  <c r="B212" i="24"/>
  <c r="B211" i="24"/>
  <c r="K210" i="24"/>
  <c r="B210" i="24"/>
  <c r="K209" i="24"/>
  <c r="B209" i="24"/>
  <c r="K208" i="24"/>
  <c r="B208" i="24"/>
  <c r="B207" i="24"/>
  <c r="B206" i="24"/>
  <c r="B205" i="24"/>
  <c r="K142" i="24"/>
  <c r="K267" i="24" s="1"/>
  <c r="J142" i="24"/>
  <c r="J267" i="24" s="1"/>
  <c r="I142" i="24"/>
  <c r="H142" i="24"/>
  <c r="H267" i="24" s="1"/>
  <c r="G142" i="24"/>
  <c r="G267" i="24" s="1"/>
  <c r="D142" i="24"/>
  <c r="D267" i="24" s="1"/>
  <c r="C142" i="24"/>
  <c r="C267" i="24" s="1"/>
  <c r="B142" i="24"/>
  <c r="B267" i="24" s="1"/>
  <c r="K139" i="24"/>
  <c r="K264" i="24" s="1"/>
  <c r="J139" i="24"/>
  <c r="J264" i="24" s="1"/>
  <c r="I139" i="24"/>
  <c r="I264" i="24" s="1"/>
  <c r="H139" i="24"/>
  <c r="H264" i="24" s="1"/>
  <c r="G139" i="24"/>
  <c r="G264" i="24" s="1"/>
  <c r="F139" i="24"/>
  <c r="F264" i="24" s="1"/>
  <c r="E139" i="24"/>
  <c r="E264" i="24" s="1"/>
  <c r="D139" i="24"/>
  <c r="D264" i="24" s="1"/>
  <c r="C139" i="24"/>
  <c r="C264" i="24" s="1"/>
  <c r="B139" i="24"/>
  <c r="B264" i="24" s="1"/>
  <c r="K138" i="24"/>
  <c r="K263" i="24" s="1"/>
  <c r="J138" i="24"/>
  <c r="J263" i="24" s="1"/>
  <c r="I138" i="24"/>
  <c r="I263" i="24" s="1"/>
  <c r="H138" i="24"/>
  <c r="H263" i="24" s="1"/>
  <c r="G138" i="24"/>
  <c r="G263" i="24" s="1"/>
  <c r="F138" i="24"/>
  <c r="F263" i="24" s="1"/>
  <c r="E138" i="24"/>
  <c r="E263" i="24" s="1"/>
  <c r="D138" i="24"/>
  <c r="D263" i="24" s="1"/>
  <c r="C138" i="24"/>
  <c r="C263" i="24" s="1"/>
  <c r="B138" i="24"/>
  <c r="B263" i="24" s="1"/>
  <c r="K137" i="24"/>
  <c r="K262" i="24" s="1"/>
  <c r="J137" i="24"/>
  <c r="J262" i="24" s="1"/>
  <c r="I137" i="24"/>
  <c r="I262" i="24" s="1"/>
  <c r="H137" i="24"/>
  <c r="H262" i="24" s="1"/>
  <c r="G137" i="24"/>
  <c r="F137" i="24"/>
  <c r="F262" i="24" s="1"/>
  <c r="E137" i="24"/>
  <c r="E262" i="24" s="1"/>
  <c r="D137" i="24"/>
  <c r="D262" i="24" s="1"/>
  <c r="C137" i="24"/>
  <c r="C262" i="24" s="1"/>
  <c r="B137" i="24"/>
  <c r="B262" i="24" s="1"/>
  <c r="K136" i="24"/>
  <c r="K261" i="24" s="1"/>
  <c r="J136" i="24"/>
  <c r="I136" i="24"/>
  <c r="I261" i="24" s="1"/>
  <c r="H136" i="24"/>
  <c r="H261" i="24" s="1"/>
  <c r="G136" i="24"/>
  <c r="G261" i="24" s="1"/>
  <c r="F136" i="24"/>
  <c r="E136" i="24"/>
  <c r="E261" i="24" s="1"/>
  <c r="D136" i="24"/>
  <c r="D261" i="24" s="1"/>
  <c r="C136" i="24"/>
  <c r="C261" i="24" s="1"/>
  <c r="B136" i="24"/>
  <c r="B261" i="24" s="1"/>
  <c r="K135" i="24"/>
  <c r="K260" i="24" s="1"/>
  <c r="J135" i="24"/>
  <c r="J260" i="24" s="1"/>
  <c r="I135" i="24"/>
  <c r="I260" i="24" s="1"/>
  <c r="H135" i="24"/>
  <c r="G135" i="24"/>
  <c r="G260" i="24" s="1"/>
  <c r="F135" i="24"/>
  <c r="F260" i="24" s="1"/>
  <c r="E135" i="24"/>
  <c r="E260" i="24" s="1"/>
  <c r="D135" i="24"/>
  <c r="C135" i="24"/>
  <c r="C260" i="24" s="1"/>
  <c r="B135" i="24"/>
  <c r="B260" i="24" s="1"/>
  <c r="K134" i="24"/>
  <c r="K259" i="24" s="1"/>
  <c r="J134" i="24"/>
  <c r="J259" i="24" s="1"/>
  <c r="I134" i="24"/>
  <c r="I259" i="24" s="1"/>
  <c r="H134" i="24"/>
  <c r="H259" i="24" s="1"/>
  <c r="G134" i="24"/>
  <c r="G259" i="24" s="1"/>
  <c r="F134" i="24"/>
  <c r="F259" i="24" s="1"/>
  <c r="E134" i="24"/>
  <c r="E259" i="24" s="1"/>
  <c r="D134" i="24"/>
  <c r="D259" i="24" s="1"/>
  <c r="C134" i="24"/>
  <c r="C259" i="24" s="1"/>
  <c r="B134" i="24"/>
  <c r="B259" i="24" s="1"/>
  <c r="K133" i="24"/>
  <c r="K258" i="24" s="1"/>
  <c r="J133" i="24"/>
  <c r="J258" i="24" s="1"/>
  <c r="I133" i="24"/>
  <c r="I258" i="24" s="1"/>
  <c r="H133" i="24"/>
  <c r="H258" i="24" s="1"/>
  <c r="G133" i="24"/>
  <c r="G258" i="24" s="1"/>
  <c r="F133" i="24"/>
  <c r="F258" i="24" s="1"/>
  <c r="E133" i="24"/>
  <c r="E258" i="24" s="1"/>
  <c r="D133" i="24"/>
  <c r="D258" i="24" s="1"/>
  <c r="C133" i="24"/>
  <c r="B133" i="24"/>
  <c r="B258" i="24" s="1"/>
  <c r="K132" i="24"/>
  <c r="K257" i="24" s="1"/>
  <c r="J132" i="24"/>
  <c r="I132" i="24"/>
  <c r="I257" i="24" s="1"/>
  <c r="H132" i="24"/>
  <c r="H257" i="24" s="1"/>
  <c r="G132" i="24"/>
  <c r="G257" i="24" s="1"/>
  <c r="F132" i="24"/>
  <c r="E132" i="24"/>
  <c r="E257" i="24" s="1"/>
  <c r="D132" i="24"/>
  <c r="D257" i="24" s="1"/>
  <c r="C132" i="24"/>
  <c r="C257" i="24" s="1"/>
  <c r="B132" i="24"/>
  <c r="L131" i="24"/>
  <c r="L256" i="24" s="1"/>
  <c r="K131" i="24"/>
  <c r="K256" i="24" s="1"/>
  <c r="J131" i="24"/>
  <c r="I131" i="24"/>
  <c r="H131" i="24"/>
  <c r="H256" i="24" s="1"/>
  <c r="G131" i="24"/>
  <c r="G256" i="24" s="1"/>
  <c r="F131" i="24"/>
  <c r="E131" i="24"/>
  <c r="D131" i="24"/>
  <c r="D256" i="24" s="1"/>
  <c r="C131" i="24"/>
  <c r="C256" i="24" s="1"/>
  <c r="B131" i="24"/>
  <c r="K130" i="24"/>
  <c r="K255" i="24" s="1"/>
  <c r="J130" i="24"/>
  <c r="J255" i="24" s="1"/>
  <c r="I130" i="24"/>
  <c r="I255" i="24" s="1"/>
  <c r="H130" i="24"/>
  <c r="G130" i="24"/>
  <c r="G255" i="24" s="1"/>
  <c r="F130" i="24"/>
  <c r="F255" i="24" s="1"/>
  <c r="E130" i="24"/>
  <c r="E255" i="24" s="1"/>
  <c r="D130" i="24"/>
  <c r="C130" i="24"/>
  <c r="C255" i="24" s="1"/>
  <c r="B130" i="24"/>
  <c r="B255" i="24" s="1"/>
  <c r="K129" i="24"/>
  <c r="J129" i="24"/>
  <c r="J254" i="24" s="1"/>
  <c r="I129" i="24"/>
  <c r="I254" i="24" s="1"/>
  <c r="H129" i="24"/>
  <c r="G129" i="24"/>
  <c r="F129" i="24"/>
  <c r="F254" i="24" s="1"/>
  <c r="E129" i="24"/>
  <c r="E254" i="24" s="1"/>
  <c r="D129" i="24"/>
  <c r="D254" i="24" s="1"/>
  <c r="C129" i="24"/>
  <c r="B129" i="24"/>
  <c r="B254" i="24" s="1"/>
  <c r="L128" i="24"/>
  <c r="L253" i="24" s="1"/>
  <c r="K128" i="24"/>
  <c r="K253" i="24" s="1"/>
  <c r="J128" i="24"/>
  <c r="I128" i="24"/>
  <c r="I253" i="24" s="1"/>
  <c r="H128" i="24"/>
  <c r="H253" i="24" s="1"/>
  <c r="G128" i="24"/>
  <c r="F128" i="24"/>
  <c r="E128" i="24"/>
  <c r="E253" i="24" s="1"/>
  <c r="D128" i="24"/>
  <c r="D253" i="24" s="1"/>
  <c r="C128" i="24"/>
  <c r="B128" i="24"/>
  <c r="K127" i="24"/>
  <c r="J127" i="24"/>
  <c r="I127" i="24"/>
  <c r="H127" i="24"/>
  <c r="G127" i="24"/>
  <c r="F127" i="24"/>
  <c r="E127" i="24"/>
  <c r="D127" i="24"/>
  <c r="C127" i="24"/>
  <c r="B127" i="24"/>
  <c r="K126" i="24"/>
  <c r="J126" i="24"/>
  <c r="I126" i="24"/>
  <c r="H126" i="24"/>
  <c r="G126" i="24"/>
  <c r="F126" i="24"/>
  <c r="E126" i="24"/>
  <c r="D126" i="24"/>
  <c r="C126" i="24"/>
  <c r="B126" i="24"/>
  <c r="K125" i="24"/>
  <c r="J125" i="24"/>
  <c r="I125" i="24"/>
  <c r="H125" i="24"/>
  <c r="G125" i="24"/>
  <c r="F125" i="24"/>
  <c r="E125" i="24"/>
  <c r="D125" i="24"/>
  <c r="C125" i="24"/>
  <c r="B125" i="24"/>
  <c r="K124" i="24"/>
  <c r="J124" i="24"/>
  <c r="I124" i="24"/>
  <c r="H124" i="24"/>
  <c r="G124" i="24"/>
  <c r="F124" i="24"/>
  <c r="E124" i="24"/>
  <c r="D124" i="24"/>
  <c r="C124" i="24"/>
  <c r="B124" i="24"/>
  <c r="K123" i="24"/>
  <c r="J123" i="24"/>
  <c r="I123" i="24"/>
  <c r="H123" i="24"/>
  <c r="G123" i="24"/>
  <c r="F123" i="24"/>
  <c r="E123" i="24"/>
  <c r="D123" i="24"/>
  <c r="C123" i="24"/>
  <c r="B123" i="24"/>
  <c r="K122" i="24"/>
  <c r="J122" i="24"/>
  <c r="I122" i="24"/>
  <c r="H122" i="24"/>
  <c r="G122" i="24"/>
  <c r="F122" i="24"/>
  <c r="E122" i="24"/>
  <c r="D122" i="24"/>
  <c r="C122" i="24"/>
  <c r="J121" i="24"/>
  <c r="I121" i="24"/>
  <c r="H121" i="24"/>
  <c r="G121" i="24"/>
  <c r="F121" i="24"/>
  <c r="E121" i="24"/>
  <c r="D121" i="24"/>
  <c r="C121" i="24"/>
  <c r="B121" i="24"/>
  <c r="J120" i="24"/>
  <c r="I120" i="24"/>
  <c r="H120" i="24"/>
  <c r="G120" i="24"/>
  <c r="F120" i="24"/>
  <c r="E120" i="24"/>
  <c r="D120" i="24"/>
  <c r="C120" i="24"/>
  <c r="K119" i="24"/>
  <c r="J119" i="24"/>
  <c r="I119" i="24"/>
  <c r="H119" i="24"/>
  <c r="G119" i="24"/>
  <c r="F119" i="24"/>
  <c r="E119" i="24"/>
  <c r="D119" i="24"/>
  <c r="C119" i="24"/>
  <c r="K118" i="24"/>
  <c r="J118" i="24"/>
  <c r="I118" i="24"/>
  <c r="H118" i="24"/>
  <c r="G118" i="24"/>
  <c r="F118" i="24"/>
  <c r="E118" i="24"/>
  <c r="D118" i="24"/>
  <c r="C118" i="24"/>
  <c r="B118" i="24"/>
  <c r="J117" i="24"/>
  <c r="I117" i="24"/>
  <c r="H117" i="24"/>
  <c r="G117" i="24"/>
  <c r="F117" i="24"/>
  <c r="E117" i="24"/>
  <c r="D117" i="24"/>
  <c r="C117" i="24"/>
  <c r="B117" i="24"/>
  <c r="J116" i="24"/>
  <c r="I116" i="24"/>
  <c r="H116" i="24"/>
  <c r="G116" i="24"/>
  <c r="F116" i="24"/>
  <c r="E116" i="24"/>
  <c r="D116" i="24"/>
  <c r="C116" i="24"/>
  <c r="B116" i="24"/>
  <c r="K115" i="24"/>
  <c r="J115" i="24"/>
  <c r="I115" i="24"/>
  <c r="H115" i="24"/>
  <c r="G115" i="24"/>
  <c r="F115" i="24"/>
  <c r="E115" i="24"/>
  <c r="D115" i="24"/>
  <c r="C115" i="24"/>
  <c r="B115" i="24"/>
  <c r="K114" i="24"/>
  <c r="J114" i="24"/>
  <c r="I114" i="24"/>
  <c r="H114" i="24"/>
  <c r="G114" i="24"/>
  <c r="F114" i="24"/>
  <c r="E114" i="24"/>
  <c r="D114" i="24"/>
  <c r="C114" i="24"/>
  <c r="B114" i="24"/>
  <c r="K113" i="24"/>
  <c r="J113" i="24"/>
  <c r="I113" i="24"/>
  <c r="H113" i="24"/>
  <c r="G113" i="24"/>
  <c r="F113" i="24"/>
  <c r="E113" i="24"/>
  <c r="D113" i="24"/>
  <c r="C113" i="24"/>
  <c r="B113" i="24"/>
  <c r="K112" i="24"/>
  <c r="J112" i="24"/>
  <c r="I112" i="24"/>
  <c r="H112" i="24"/>
  <c r="G112" i="24"/>
  <c r="F112" i="24"/>
  <c r="E112" i="24"/>
  <c r="D112" i="24"/>
  <c r="C112" i="24"/>
  <c r="B112" i="24"/>
  <c r="K111" i="24"/>
  <c r="J111" i="24"/>
  <c r="I111" i="24"/>
  <c r="H111" i="24"/>
  <c r="G111" i="24"/>
  <c r="F111" i="24"/>
  <c r="E111" i="24"/>
  <c r="D111" i="24"/>
  <c r="C111" i="24"/>
  <c r="B111" i="24"/>
  <c r="K110" i="24"/>
  <c r="J110" i="24"/>
  <c r="I110" i="24"/>
  <c r="H110" i="24"/>
  <c r="G110" i="24"/>
  <c r="F110" i="24"/>
  <c r="E110" i="24"/>
  <c r="D110" i="24"/>
  <c r="C110" i="24"/>
  <c r="B110" i="24"/>
  <c r="K109" i="24"/>
  <c r="J109" i="24"/>
  <c r="I109" i="24"/>
  <c r="H109" i="24"/>
  <c r="G109" i="24"/>
  <c r="F109" i="24"/>
  <c r="E109" i="24"/>
  <c r="D109" i="24"/>
  <c r="C109" i="24"/>
  <c r="B109" i="24"/>
  <c r="K108" i="24"/>
  <c r="J108" i="24"/>
  <c r="I108" i="24"/>
  <c r="H108" i="24"/>
  <c r="G108" i="24"/>
  <c r="F108" i="24"/>
  <c r="E108" i="24"/>
  <c r="D108" i="24"/>
  <c r="C108" i="24"/>
  <c r="B108" i="24"/>
  <c r="K107" i="24"/>
  <c r="J107" i="24"/>
  <c r="I107" i="24"/>
  <c r="H107" i="24"/>
  <c r="G107" i="24"/>
  <c r="F107" i="24"/>
  <c r="E107" i="24"/>
  <c r="D107" i="24"/>
  <c r="C107" i="24"/>
  <c r="B107" i="24"/>
  <c r="K106" i="24"/>
  <c r="J106" i="24"/>
  <c r="I106" i="24"/>
  <c r="H106" i="24"/>
  <c r="G106" i="24"/>
  <c r="F106" i="24"/>
  <c r="E106" i="24"/>
  <c r="D106" i="24"/>
  <c r="C106" i="24"/>
  <c r="B106" i="24"/>
  <c r="K105" i="24"/>
  <c r="J105" i="24"/>
  <c r="I105" i="24"/>
  <c r="H105" i="24"/>
  <c r="G105" i="24"/>
  <c r="F105" i="24"/>
  <c r="E105" i="24"/>
  <c r="D105" i="24"/>
  <c r="C105" i="24"/>
  <c r="B105" i="24"/>
  <c r="K104" i="24"/>
  <c r="J104" i="24"/>
  <c r="I104" i="24"/>
  <c r="H104" i="24"/>
  <c r="G104" i="24"/>
  <c r="F104" i="24"/>
  <c r="E104" i="24"/>
  <c r="D104" i="24"/>
  <c r="C104" i="24"/>
  <c r="B104" i="24"/>
  <c r="K103" i="24"/>
  <c r="J103" i="24"/>
  <c r="I103" i="24"/>
  <c r="H103" i="24"/>
  <c r="G103" i="24"/>
  <c r="F103" i="24"/>
  <c r="E103" i="24"/>
  <c r="D103" i="24"/>
  <c r="C103" i="24"/>
  <c r="B103" i="24"/>
  <c r="K102" i="24"/>
  <c r="J102" i="24"/>
  <c r="I102" i="24"/>
  <c r="H102" i="24"/>
  <c r="G102" i="24"/>
  <c r="F102" i="24"/>
  <c r="E102" i="24"/>
  <c r="D102" i="24"/>
  <c r="C102" i="24"/>
  <c r="B102" i="24"/>
  <c r="K101" i="24"/>
  <c r="J101" i="24"/>
  <c r="I101" i="24"/>
  <c r="H101" i="24"/>
  <c r="G101" i="24"/>
  <c r="F101" i="24"/>
  <c r="E101" i="24"/>
  <c r="D101" i="24"/>
  <c r="C101" i="24"/>
  <c r="B101" i="24"/>
  <c r="K100" i="24"/>
  <c r="J100" i="24"/>
  <c r="I100" i="24"/>
  <c r="H100" i="24"/>
  <c r="G100" i="24"/>
  <c r="F100" i="24"/>
  <c r="E100" i="24"/>
  <c r="D100" i="24"/>
  <c r="C100" i="24"/>
  <c r="B100" i="24"/>
  <c r="K99" i="24"/>
  <c r="J99" i="24"/>
  <c r="I99" i="24"/>
  <c r="H99" i="24"/>
  <c r="G99" i="24"/>
  <c r="F99" i="24"/>
  <c r="E99" i="24"/>
  <c r="D99" i="24"/>
  <c r="C99" i="24"/>
  <c r="B99" i="24"/>
  <c r="K98" i="24"/>
  <c r="J98" i="24"/>
  <c r="I98" i="24"/>
  <c r="H98" i="24"/>
  <c r="G98" i="24"/>
  <c r="F98" i="24"/>
  <c r="E98" i="24"/>
  <c r="D98" i="24"/>
  <c r="C98" i="24"/>
  <c r="B98" i="24"/>
  <c r="K95" i="24"/>
  <c r="K242" i="24" s="1"/>
  <c r="J95" i="24"/>
  <c r="J242" i="24" s="1"/>
  <c r="I95" i="24"/>
  <c r="I242" i="24" s="1"/>
  <c r="H95" i="24"/>
  <c r="H242" i="24" s="1"/>
  <c r="G95" i="24"/>
  <c r="G242" i="24" s="1"/>
  <c r="F95" i="24"/>
  <c r="F242" i="24" s="1"/>
  <c r="E95" i="24"/>
  <c r="E242" i="24" s="1"/>
  <c r="D95" i="24"/>
  <c r="D242" i="24" s="1"/>
  <c r="C95" i="24"/>
  <c r="C242" i="24" s="1"/>
  <c r="B95" i="24"/>
  <c r="B242" i="24" s="1"/>
  <c r="K92" i="24"/>
  <c r="K239" i="24" s="1"/>
  <c r="J92" i="24"/>
  <c r="J239" i="24" s="1"/>
  <c r="I92" i="24"/>
  <c r="I239" i="24" s="1"/>
  <c r="H92" i="24"/>
  <c r="H239" i="24" s="1"/>
  <c r="G92" i="24"/>
  <c r="G239" i="24" s="1"/>
  <c r="F92" i="24"/>
  <c r="F239" i="24" s="1"/>
  <c r="E92" i="24"/>
  <c r="E239" i="24" s="1"/>
  <c r="D92" i="24"/>
  <c r="D239" i="24" s="1"/>
  <c r="C92" i="24"/>
  <c r="B92" i="24"/>
  <c r="B239" i="24" s="1"/>
  <c r="K91" i="24"/>
  <c r="K238" i="24" s="1"/>
  <c r="J91" i="24"/>
  <c r="J238" i="24" s="1"/>
  <c r="I91" i="24"/>
  <c r="I238" i="24" s="1"/>
  <c r="H91" i="24"/>
  <c r="H238" i="24" s="1"/>
  <c r="G91" i="24"/>
  <c r="G238" i="24" s="1"/>
  <c r="F91" i="24"/>
  <c r="F238" i="24" s="1"/>
  <c r="E91" i="24"/>
  <c r="E238" i="24" s="1"/>
  <c r="D91" i="24"/>
  <c r="D238" i="24" s="1"/>
  <c r="C91" i="24"/>
  <c r="C238" i="24" s="1"/>
  <c r="B91" i="24"/>
  <c r="K90" i="24"/>
  <c r="K237" i="24" s="1"/>
  <c r="J90" i="24"/>
  <c r="J237" i="24" s="1"/>
  <c r="I90" i="24"/>
  <c r="I237" i="24" s="1"/>
  <c r="H90" i="24"/>
  <c r="H237" i="24" s="1"/>
  <c r="G90" i="24"/>
  <c r="G237" i="24" s="1"/>
  <c r="F90" i="24"/>
  <c r="F237" i="24" s="1"/>
  <c r="E90" i="24"/>
  <c r="E237" i="24" s="1"/>
  <c r="D90" i="24"/>
  <c r="D237" i="24" s="1"/>
  <c r="C90" i="24"/>
  <c r="C237" i="24" s="1"/>
  <c r="B90" i="24"/>
  <c r="K89" i="24"/>
  <c r="K236" i="24" s="1"/>
  <c r="J89" i="24"/>
  <c r="J236" i="24" s="1"/>
  <c r="I89" i="24"/>
  <c r="I236" i="24" s="1"/>
  <c r="H89" i="24"/>
  <c r="H236" i="24" s="1"/>
  <c r="G89" i="24"/>
  <c r="G236" i="24" s="1"/>
  <c r="F89" i="24"/>
  <c r="F236" i="24" s="1"/>
  <c r="E89" i="24"/>
  <c r="E236" i="24" s="1"/>
  <c r="D89" i="24"/>
  <c r="D236" i="24" s="1"/>
  <c r="C89" i="24"/>
  <c r="C236" i="24" s="1"/>
  <c r="B89" i="24"/>
  <c r="B236" i="24" s="1"/>
  <c r="K88" i="24"/>
  <c r="K235" i="24" s="1"/>
  <c r="J88" i="24"/>
  <c r="J235" i="24" s="1"/>
  <c r="I88" i="24"/>
  <c r="I235" i="24" s="1"/>
  <c r="H88" i="24"/>
  <c r="H235" i="24" s="1"/>
  <c r="G88" i="24"/>
  <c r="G235" i="24" s="1"/>
  <c r="F88" i="24"/>
  <c r="F235" i="24" s="1"/>
  <c r="E88" i="24"/>
  <c r="E235" i="24" s="1"/>
  <c r="D88" i="24"/>
  <c r="D235" i="24" s="1"/>
  <c r="C88" i="24"/>
  <c r="C235" i="24" s="1"/>
  <c r="B88" i="24"/>
  <c r="B235" i="24" s="1"/>
  <c r="K87" i="24"/>
  <c r="K234" i="24" s="1"/>
  <c r="J87" i="24"/>
  <c r="J234" i="24" s="1"/>
  <c r="I87" i="24"/>
  <c r="I234" i="24" s="1"/>
  <c r="H87" i="24"/>
  <c r="H234" i="24" s="1"/>
  <c r="G87" i="24"/>
  <c r="G234" i="24" s="1"/>
  <c r="F87" i="24"/>
  <c r="F234" i="24" s="1"/>
  <c r="E87" i="24"/>
  <c r="E234" i="24" s="1"/>
  <c r="D87" i="24"/>
  <c r="D234" i="24" s="1"/>
  <c r="C87" i="24"/>
  <c r="C234" i="24" s="1"/>
  <c r="B87" i="24"/>
  <c r="K86" i="24"/>
  <c r="K233" i="24" s="1"/>
  <c r="J86" i="24"/>
  <c r="J233" i="24" s="1"/>
  <c r="I86" i="24"/>
  <c r="I233" i="24" s="1"/>
  <c r="H86" i="24"/>
  <c r="H233" i="24" s="1"/>
  <c r="G86" i="24"/>
  <c r="G233" i="24" s="1"/>
  <c r="F86" i="24"/>
  <c r="F233" i="24" s="1"/>
  <c r="E86" i="24"/>
  <c r="E233" i="24" s="1"/>
  <c r="D86" i="24"/>
  <c r="D233" i="24" s="1"/>
  <c r="C86" i="24"/>
  <c r="C233" i="24" s="1"/>
  <c r="B86" i="24"/>
  <c r="K85" i="24"/>
  <c r="K232" i="24" s="1"/>
  <c r="J85" i="24"/>
  <c r="J232" i="24" s="1"/>
  <c r="I85" i="24"/>
  <c r="I232" i="24" s="1"/>
  <c r="H85" i="24"/>
  <c r="H232" i="24" s="1"/>
  <c r="G85" i="24"/>
  <c r="G232" i="24" s="1"/>
  <c r="F85" i="24"/>
  <c r="F232" i="24" s="1"/>
  <c r="E85" i="24"/>
  <c r="E232" i="24" s="1"/>
  <c r="D85" i="24"/>
  <c r="D232" i="24" s="1"/>
  <c r="C85" i="24"/>
  <c r="C232" i="24" s="1"/>
  <c r="B85" i="24"/>
  <c r="B232" i="24" s="1"/>
  <c r="K84" i="24"/>
  <c r="K231" i="24" s="1"/>
  <c r="J84" i="24"/>
  <c r="J231" i="24" s="1"/>
  <c r="I84" i="24"/>
  <c r="I231" i="24" s="1"/>
  <c r="H84" i="24"/>
  <c r="G84" i="24"/>
  <c r="G231" i="24" s="1"/>
  <c r="F84" i="24"/>
  <c r="F231" i="24" s="1"/>
  <c r="E84" i="24"/>
  <c r="E231" i="24" s="1"/>
  <c r="D84" i="24"/>
  <c r="C84" i="24"/>
  <c r="B84" i="24"/>
  <c r="B231" i="24" s="1"/>
  <c r="K83" i="24"/>
  <c r="K230" i="24" s="1"/>
  <c r="J83" i="24"/>
  <c r="I83" i="24"/>
  <c r="I230" i="24" s="1"/>
  <c r="H83" i="24"/>
  <c r="H230" i="24" s="1"/>
  <c r="G83" i="24"/>
  <c r="F83" i="24"/>
  <c r="E83" i="24"/>
  <c r="E230" i="24" s="1"/>
  <c r="D83" i="24"/>
  <c r="D230" i="24" s="1"/>
  <c r="C83" i="24"/>
  <c r="B83" i="24"/>
  <c r="K82" i="24"/>
  <c r="K229" i="24" s="1"/>
  <c r="J82" i="24"/>
  <c r="I82" i="24"/>
  <c r="H82" i="24"/>
  <c r="H229" i="24" s="1"/>
  <c r="G82" i="24"/>
  <c r="G229" i="24" s="1"/>
  <c r="F82" i="24"/>
  <c r="E82" i="24"/>
  <c r="D82" i="24"/>
  <c r="D229" i="24" s="1"/>
  <c r="C82" i="24"/>
  <c r="C229" i="24" s="1"/>
  <c r="B82" i="24"/>
  <c r="K81" i="24"/>
  <c r="K228" i="24" s="1"/>
  <c r="J81" i="24"/>
  <c r="J228" i="24" s="1"/>
  <c r="I81" i="24"/>
  <c r="H81" i="24"/>
  <c r="G81" i="24"/>
  <c r="G228" i="24" s="1"/>
  <c r="F81" i="24"/>
  <c r="F228" i="24" s="1"/>
  <c r="E81" i="24"/>
  <c r="D81" i="24"/>
  <c r="C81" i="24"/>
  <c r="C228" i="24" s="1"/>
  <c r="B81" i="24"/>
  <c r="B228" i="24" s="1"/>
  <c r="K80" i="24"/>
  <c r="J80" i="24"/>
  <c r="I80" i="24"/>
  <c r="H80" i="24"/>
  <c r="G80" i="24"/>
  <c r="F80" i="24"/>
  <c r="E80" i="24"/>
  <c r="D80" i="24"/>
  <c r="C80" i="24"/>
  <c r="B80" i="24"/>
  <c r="K79" i="24"/>
  <c r="J79" i="24"/>
  <c r="I79" i="24"/>
  <c r="H79" i="24"/>
  <c r="G79" i="24"/>
  <c r="F79" i="24"/>
  <c r="E79" i="24"/>
  <c r="D79" i="24"/>
  <c r="C79" i="24"/>
  <c r="B79" i="24"/>
  <c r="K78" i="24"/>
  <c r="J78" i="24"/>
  <c r="I78" i="24"/>
  <c r="H78" i="24"/>
  <c r="G78" i="24"/>
  <c r="F78" i="24"/>
  <c r="E78" i="24"/>
  <c r="D78" i="24"/>
  <c r="C78" i="24"/>
  <c r="B78" i="24"/>
  <c r="K77" i="24"/>
  <c r="J77" i="24"/>
  <c r="I77" i="24"/>
  <c r="H77" i="24"/>
  <c r="G77" i="24"/>
  <c r="F77" i="24"/>
  <c r="E77" i="24"/>
  <c r="D77" i="24"/>
  <c r="C77" i="24"/>
  <c r="B77" i="24"/>
  <c r="K76" i="24"/>
  <c r="J76" i="24"/>
  <c r="I76" i="24"/>
  <c r="H76" i="24"/>
  <c r="G76" i="24"/>
  <c r="F76" i="24"/>
  <c r="E76" i="24"/>
  <c r="D76" i="24"/>
  <c r="C76" i="24"/>
  <c r="B76" i="24"/>
  <c r="B227" i="24" s="1"/>
  <c r="K75" i="24"/>
  <c r="J75" i="24"/>
  <c r="I75" i="24"/>
  <c r="H75" i="24"/>
  <c r="G75" i="24"/>
  <c r="F75" i="24"/>
  <c r="E75" i="24"/>
  <c r="D75" i="24"/>
  <c r="C75" i="24"/>
  <c r="B75" i="24"/>
  <c r="K74" i="24"/>
  <c r="J74" i="24"/>
  <c r="I74" i="24"/>
  <c r="H74" i="24"/>
  <c r="G74" i="24"/>
  <c r="F74" i="24"/>
  <c r="E74" i="24"/>
  <c r="D74" i="24"/>
  <c r="C74" i="24"/>
  <c r="B74" i="24"/>
  <c r="K73" i="24"/>
  <c r="J73" i="24"/>
  <c r="I73" i="24"/>
  <c r="H73" i="24"/>
  <c r="G73" i="24"/>
  <c r="F73" i="24"/>
  <c r="E73" i="24"/>
  <c r="D73" i="24"/>
  <c r="C73" i="24"/>
  <c r="B73" i="24"/>
  <c r="K72" i="24"/>
  <c r="J72" i="24"/>
  <c r="I72" i="24"/>
  <c r="H72" i="24"/>
  <c r="G72" i="24"/>
  <c r="F72" i="24"/>
  <c r="E72" i="24"/>
  <c r="D72" i="24"/>
  <c r="C72" i="24"/>
  <c r="B72" i="24"/>
  <c r="K71" i="24"/>
  <c r="J71" i="24"/>
  <c r="I71" i="24"/>
  <c r="H71" i="24"/>
  <c r="G71" i="24"/>
  <c r="F71" i="24"/>
  <c r="E71" i="24"/>
  <c r="D71" i="24"/>
  <c r="C71" i="24"/>
  <c r="B71" i="24"/>
  <c r="K70" i="24"/>
  <c r="J70" i="24"/>
  <c r="I70" i="24"/>
  <c r="H70" i="24"/>
  <c r="G70" i="24"/>
  <c r="F70" i="24"/>
  <c r="E70" i="24"/>
  <c r="D70" i="24"/>
  <c r="C70" i="24"/>
  <c r="B70" i="24"/>
  <c r="K69" i="24"/>
  <c r="J69" i="24"/>
  <c r="I69" i="24"/>
  <c r="H69" i="24"/>
  <c r="G69" i="24"/>
  <c r="F69" i="24"/>
  <c r="E69" i="24"/>
  <c r="D69" i="24"/>
  <c r="C69" i="24"/>
  <c r="B69" i="24"/>
  <c r="K68" i="24"/>
  <c r="J68" i="24"/>
  <c r="I68" i="24"/>
  <c r="H68" i="24"/>
  <c r="G68" i="24"/>
  <c r="F68" i="24"/>
  <c r="E68" i="24"/>
  <c r="D68" i="24"/>
  <c r="C68" i="24"/>
  <c r="B68" i="24"/>
  <c r="K67" i="24"/>
  <c r="J67" i="24"/>
  <c r="I67" i="24"/>
  <c r="H67" i="24"/>
  <c r="G67" i="24"/>
  <c r="F67" i="24"/>
  <c r="E67" i="24"/>
  <c r="D67" i="24"/>
  <c r="C67" i="24"/>
  <c r="B67" i="24"/>
  <c r="K66" i="24"/>
  <c r="J66" i="24"/>
  <c r="I66" i="24"/>
  <c r="H66" i="24"/>
  <c r="G66" i="24"/>
  <c r="F66" i="24"/>
  <c r="E66" i="24"/>
  <c r="D66" i="24"/>
  <c r="C66" i="24"/>
  <c r="B66" i="24"/>
  <c r="K65" i="24"/>
  <c r="J65" i="24"/>
  <c r="I65" i="24"/>
  <c r="H65" i="24"/>
  <c r="G65" i="24"/>
  <c r="F65" i="24"/>
  <c r="E65" i="24"/>
  <c r="D65" i="24"/>
  <c r="C65" i="24"/>
  <c r="B65" i="24"/>
  <c r="K64" i="24"/>
  <c r="J64" i="24"/>
  <c r="I64" i="24"/>
  <c r="H64" i="24"/>
  <c r="G64" i="24"/>
  <c r="F64" i="24"/>
  <c r="E64" i="24"/>
  <c r="D64" i="24"/>
  <c r="C64" i="24"/>
  <c r="B64" i="24"/>
  <c r="K63" i="24"/>
  <c r="J63" i="24"/>
  <c r="I63" i="24"/>
  <c r="H63" i="24"/>
  <c r="G63" i="24"/>
  <c r="F63" i="24"/>
  <c r="E63" i="24"/>
  <c r="D63" i="24"/>
  <c r="C63" i="24"/>
  <c r="B63" i="24"/>
  <c r="K62" i="24"/>
  <c r="J62" i="24"/>
  <c r="I62" i="24"/>
  <c r="H62" i="24"/>
  <c r="G62" i="24"/>
  <c r="F62" i="24"/>
  <c r="E62" i="24"/>
  <c r="D62" i="24"/>
  <c r="C62" i="24"/>
  <c r="B62" i="24"/>
  <c r="K61" i="24"/>
  <c r="J61" i="24"/>
  <c r="I61" i="24"/>
  <c r="H61" i="24"/>
  <c r="G61" i="24"/>
  <c r="F61" i="24"/>
  <c r="E61" i="24"/>
  <c r="D61" i="24"/>
  <c r="C61" i="24"/>
  <c r="B61" i="24"/>
  <c r="K60" i="24"/>
  <c r="J60" i="24"/>
  <c r="I60" i="24"/>
  <c r="H60" i="24"/>
  <c r="G60" i="24"/>
  <c r="F60" i="24"/>
  <c r="E60" i="24"/>
  <c r="D60" i="24"/>
  <c r="C60" i="24"/>
  <c r="B60" i="24"/>
  <c r="K59" i="24"/>
  <c r="J59" i="24"/>
  <c r="I59" i="24"/>
  <c r="H59" i="24"/>
  <c r="G59" i="24"/>
  <c r="F59" i="24"/>
  <c r="E59" i="24"/>
  <c r="D59" i="24"/>
  <c r="C59" i="24"/>
  <c r="B59" i="24"/>
  <c r="K58" i="24"/>
  <c r="J58" i="24"/>
  <c r="I58" i="24"/>
  <c r="H58" i="24"/>
  <c r="G58" i="24"/>
  <c r="F58" i="24"/>
  <c r="E58" i="24"/>
  <c r="D58" i="24"/>
  <c r="C58" i="24"/>
  <c r="B58" i="24"/>
  <c r="K57" i="24"/>
  <c r="J57" i="24"/>
  <c r="I57" i="24"/>
  <c r="H57" i="24"/>
  <c r="G57" i="24"/>
  <c r="F57" i="24"/>
  <c r="E57" i="24"/>
  <c r="D57" i="24"/>
  <c r="C57" i="24"/>
  <c r="B57" i="24"/>
  <c r="K56" i="24"/>
  <c r="J56" i="24"/>
  <c r="I56" i="24"/>
  <c r="H56" i="24"/>
  <c r="G56" i="24"/>
  <c r="F56" i="24"/>
  <c r="E56" i="24"/>
  <c r="D56" i="24"/>
  <c r="C56" i="24"/>
  <c r="B56" i="24"/>
  <c r="K55" i="24"/>
  <c r="J55" i="24"/>
  <c r="I55" i="24"/>
  <c r="H55" i="24"/>
  <c r="G55" i="24"/>
  <c r="F55" i="24"/>
  <c r="E55" i="24"/>
  <c r="D55" i="24"/>
  <c r="C55" i="24"/>
  <c r="B55" i="24"/>
  <c r="K54" i="24"/>
  <c r="J54" i="24"/>
  <c r="I54" i="24"/>
  <c r="H54" i="24"/>
  <c r="G54" i="24"/>
  <c r="F54" i="24"/>
  <c r="E54" i="24"/>
  <c r="D54" i="24"/>
  <c r="C54" i="24"/>
  <c r="B54" i="24"/>
  <c r="K53" i="24"/>
  <c r="J53" i="24"/>
  <c r="I53" i="24"/>
  <c r="H53" i="24"/>
  <c r="G53" i="24"/>
  <c r="F53" i="24"/>
  <c r="E53" i="24"/>
  <c r="D53" i="24"/>
  <c r="C53" i="24"/>
  <c r="B53" i="24"/>
  <c r="K52" i="24"/>
  <c r="J52" i="24"/>
  <c r="I52" i="24"/>
  <c r="H52" i="24"/>
  <c r="G52" i="24"/>
  <c r="F52" i="24"/>
  <c r="E52" i="24"/>
  <c r="D52" i="24"/>
  <c r="C52" i="24"/>
  <c r="B52" i="24"/>
  <c r="K51" i="24"/>
  <c r="J51" i="24"/>
  <c r="I51" i="24"/>
  <c r="H51" i="24"/>
  <c r="G51" i="24"/>
  <c r="F51" i="24"/>
  <c r="E51" i="24"/>
  <c r="D51" i="24"/>
  <c r="C51" i="24"/>
  <c r="B51" i="24"/>
  <c r="J48" i="24"/>
  <c r="J220" i="24" s="1"/>
  <c r="I48" i="24"/>
  <c r="I220" i="24" s="1"/>
  <c r="H48" i="24"/>
  <c r="H220" i="24" s="1"/>
  <c r="G48" i="24"/>
  <c r="G220" i="24" s="1"/>
  <c r="F48" i="24"/>
  <c r="F220" i="24" s="1"/>
  <c r="E48" i="24"/>
  <c r="E220" i="24" s="1"/>
  <c r="D48" i="24"/>
  <c r="D220" i="24" s="1"/>
  <c r="C48" i="24"/>
  <c r="C220" i="24" s="1"/>
  <c r="J45" i="24"/>
  <c r="J217" i="24" s="1"/>
  <c r="I45" i="24"/>
  <c r="I217" i="24" s="1"/>
  <c r="H45" i="24"/>
  <c r="H217" i="24" s="1"/>
  <c r="G45" i="24"/>
  <c r="G217" i="24" s="1"/>
  <c r="F45" i="24"/>
  <c r="F217" i="24" s="1"/>
  <c r="E45" i="24"/>
  <c r="E217" i="24" s="1"/>
  <c r="D45" i="24"/>
  <c r="D217" i="24" s="1"/>
  <c r="C45" i="24"/>
  <c r="C217" i="24" s="1"/>
  <c r="J44" i="24"/>
  <c r="J216" i="24" s="1"/>
  <c r="I44" i="24"/>
  <c r="I216" i="24" s="1"/>
  <c r="H44" i="24"/>
  <c r="H216" i="24" s="1"/>
  <c r="G44" i="24"/>
  <c r="G216" i="24" s="1"/>
  <c r="F44" i="24"/>
  <c r="F216" i="24" s="1"/>
  <c r="E44" i="24"/>
  <c r="E216" i="24" s="1"/>
  <c r="D44" i="24"/>
  <c r="D216" i="24" s="1"/>
  <c r="C44" i="24"/>
  <c r="C216" i="24" s="1"/>
  <c r="J43" i="24"/>
  <c r="J215" i="24" s="1"/>
  <c r="I43" i="24"/>
  <c r="I215" i="24" s="1"/>
  <c r="H43" i="24"/>
  <c r="H215" i="24" s="1"/>
  <c r="G43" i="24"/>
  <c r="G215" i="24" s="1"/>
  <c r="F43" i="24"/>
  <c r="F215" i="24" s="1"/>
  <c r="E43" i="24"/>
  <c r="E215" i="24" s="1"/>
  <c r="D43" i="24"/>
  <c r="D215" i="24" s="1"/>
  <c r="C43" i="24"/>
  <c r="C215" i="24" s="1"/>
  <c r="J42" i="24"/>
  <c r="J214" i="24" s="1"/>
  <c r="I42" i="24"/>
  <c r="I214" i="24" s="1"/>
  <c r="H42" i="24"/>
  <c r="H214" i="24" s="1"/>
  <c r="G42" i="24"/>
  <c r="G214" i="24" s="1"/>
  <c r="F42" i="24"/>
  <c r="F214" i="24" s="1"/>
  <c r="E42" i="24"/>
  <c r="E214" i="24" s="1"/>
  <c r="D42" i="24"/>
  <c r="D214" i="24" s="1"/>
  <c r="C42" i="24"/>
  <c r="C214" i="24" s="1"/>
  <c r="J41" i="24"/>
  <c r="J213" i="24" s="1"/>
  <c r="I41" i="24"/>
  <c r="I213" i="24" s="1"/>
  <c r="H41" i="24"/>
  <c r="H213" i="24" s="1"/>
  <c r="G41" i="24"/>
  <c r="G213" i="24" s="1"/>
  <c r="F41" i="24"/>
  <c r="F213" i="24" s="1"/>
  <c r="E41" i="24"/>
  <c r="E213" i="24" s="1"/>
  <c r="D41" i="24"/>
  <c r="D213" i="24" s="1"/>
  <c r="C41" i="24"/>
  <c r="C213" i="24" s="1"/>
  <c r="K40" i="24"/>
  <c r="K212" i="24" s="1"/>
  <c r="J40" i="24"/>
  <c r="J212" i="24" s="1"/>
  <c r="I40" i="24"/>
  <c r="I212" i="24" s="1"/>
  <c r="H40" i="24"/>
  <c r="H212" i="24" s="1"/>
  <c r="G40" i="24"/>
  <c r="G212" i="24" s="1"/>
  <c r="F40" i="24"/>
  <c r="F212" i="24" s="1"/>
  <c r="E40" i="24"/>
  <c r="E212" i="24" s="1"/>
  <c r="D40" i="24"/>
  <c r="D212" i="24" s="1"/>
  <c r="C40" i="24"/>
  <c r="C212" i="24" s="1"/>
  <c r="K39" i="24"/>
  <c r="K211" i="24" s="1"/>
  <c r="J39" i="24"/>
  <c r="J211" i="24" s="1"/>
  <c r="I39" i="24"/>
  <c r="I211" i="24" s="1"/>
  <c r="H39" i="24"/>
  <c r="H211" i="24" s="1"/>
  <c r="G39" i="24"/>
  <c r="G211" i="24" s="1"/>
  <c r="F39" i="24"/>
  <c r="F211" i="24" s="1"/>
  <c r="E39" i="24"/>
  <c r="E211" i="24" s="1"/>
  <c r="D39" i="24"/>
  <c r="D211" i="24" s="1"/>
  <c r="C39" i="24"/>
  <c r="C211" i="24" s="1"/>
  <c r="J38" i="24"/>
  <c r="J210" i="24" s="1"/>
  <c r="I38" i="24"/>
  <c r="I210" i="24" s="1"/>
  <c r="H38" i="24"/>
  <c r="H210" i="24" s="1"/>
  <c r="G38" i="24"/>
  <c r="G210" i="24" s="1"/>
  <c r="F38" i="24"/>
  <c r="F210" i="24" s="1"/>
  <c r="E38" i="24"/>
  <c r="E210" i="24" s="1"/>
  <c r="D38" i="24"/>
  <c r="D210" i="24" s="1"/>
  <c r="C38" i="24"/>
  <c r="C210" i="24" s="1"/>
  <c r="J37" i="24"/>
  <c r="J209" i="24" s="1"/>
  <c r="I37" i="24"/>
  <c r="I209" i="24" s="1"/>
  <c r="H37" i="24"/>
  <c r="H209" i="24" s="1"/>
  <c r="G37" i="24"/>
  <c r="G209" i="24" s="1"/>
  <c r="E37" i="24"/>
  <c r="E209" i="24" s="1"/>
  <c r="D37" i="24"/>
  <c r="D209" i="24" s="1"/>
  <c r="C37" i="24"/>
  <c r="C209" i="24" s="1"/>
  <c r="J36" i="24"/>
  <c r="J208" i="24" s="1"/>
  <c r="I36" i="24"/>
  <c r="H36" i="24"/>
  <c r="H208" i="24" s="1"/>
  <c r="G36" i="24"/>
  <c r="G208" i="24" s="1"/>
  <c r="F36" i="24"/>
  <c r="F208" i="24" s="1"/>
  <c r="E36" i="24"/>
  <c r="E208" i="24" s="1"/>
  <c r="D36" i="24"/>
  <c r="D208" i="24" s="1"/>
  <c r="C36" i="24"/>
  <c r="C208" i="24" s="1"/>
  <c r="K35" i="24"/>
  <c r="K207" i="24" s="1"/>
  <c r="J35" i="24"/>
  <c r="J207" i="24" s="1"/>
  <c r="I35" i="24"/>
  <c r="I207" i="24" s="1"/>
  <c r="H35" i="24"/>
  <c r="H207" i="24" s="1"/>
  <c r="G35" i="24"/>
  <c r="G207" i="24" s="1"/>
  <c r="F35" i="24"/>
  <c r="F207" i="24" s="1"/>
  <c r="E35" i="24"/>
  <c r="E207" i="24" s="1"/>
  <c r="D35" i="24"/>
  <c r="D207" i="24" s="1"/>
  <c r="C35" i="24"/>
  <c r="C207" i="24" s="1"/>
  <c r="K34" i="24"/>
  <c r="K206" i="24" s="1"/>
  <c r="J34" i="24"/>
  <c r="J206" i="24" s="1"/>
  <c r="I34" i="24"/>
  <c r="I206" i="24" s="1"/>
  <c r="H34" i="24"/>
  <c r="H206" i="24" s="1"/>
  <c r="G34" i="24"/>
  <c r="G206" i="24" s="1"/>
  <c r="F34" i="24"/>
  <c r="F206" i="24" s="1"/>
  <c r="E34" i="24"/>
  <c r="E206" i="24" s="1"/>
  <c r="D34" i="24"/>
  <c r="D206" i="24" s="1"/>
  <c r="C34" i="24"/>
  <c r="C206" i="24" s="1"/>
  <c r="K33" i="24"/>
  <c r="J33" i="24"/>
  <c r="I33" i="24"/>
  <c r="H33" i="24"/>
  <c r="G33" i="24"/>
  <c r="F33" i="24"/>
  <c r="E33" i="24"/>
  <c r="D33" i="24"/>
  <c r="C33" i="24"/>
  <c r="K32" i="24"/>
  <c r="J32" i="24"/>
  <c r="I32" i="24"/>
  <c r="H32" i="24"/>
  <c r="G32" i="24"/>
  <c r="F32" i="24"/>
  <c r="E32" i="24"/>
  <c r="D32" i="24"/>
  <c r="C32" i="24"/>
  <c r="K31" i="24"/>
  <c r="J31" i="24"/>
  <c r="I31" i="24"/>
  <c r="H31" i="24"/>
  <c r="G31" i="24"/>
  <c r="F31" i="24"/>
  <c r="E31" i="24"/>
  <c r="D31" i="24"/>
  <c r="C31" i="24"/>
  <c r="K30" i="24"/>
  <c r="J30" i="24"/>
  <c r="I30" i="24"/>
  <c r="H30" i="24"/>
  <c r="G30" i="24"/>
  <c r="F30" i="24"/>
  <c r="E30" i="24"/>
  <c r="D30" i="24"/>
  <c r="C30" i="24"/>
  <c r="K29" i="24"/>
  <c r="J29" i="24"/>
  <c r="I29" i="24"/>
  <c r="H29" i="24"/>
  <c r="G29" i="24"/>
  <c r="F29" i="24"/>
  <c r="E29" i="24"/>
  <c r="D29" i="24"/>
  <c r="C29" i="24"/>
  <c r="K28" i="24"/>
  <c r="J28" i="24"/>
  <c r="I28" i="24"/>
  <c r="H28" i="24"/>
  <c r="G28" i="24"/>
  <c r="F28" i="24"/>
  <c r="E28" i="24"/>
  <c r="D28" i="24"/>
  <c r="C28" i="24"/>
  <c r="K27" i="24"/>
  <c r="J27" i="24"/>
  <c r="I27" i="24"/>
  <c r="H27" i="24"/>
  <c r="G27" i="24"/>
  <c r="F27" i="24"/>
  <c r="E27" i="24"/>
  <c r="D27" i="24"/>
  <c r="C27" i="24"/>
  <c r="J26" i="24"/>
  <c r="I26" i="24"/>
  <c r="H26" i="24"/>
  <c r="G26" i="24"/>
  <c r="F26" i="24"/>
  <c r="E26" i="24"/>
  <c r="D26" i="24"/>
  <c r="C26" i="24"/>
  <c r="J25" i="24"/>
  <c r="I25" i="24"/>
  <c r="H25" i="24"/>
  <c r="G25" i="24"/>
  <c r="F25" i="24"/>
  <c r="E25" i="24"/>
  <c r="D25" i="24"/>
  <c r="C25" i="24"/>
  <c r="J24" i="24"/>
  <c r="I24" i="24"/>
  <c r="H24" i="24"/>
  <c r="G24" i="24"/>
  <c r="F24" i="24"/>
  <c r="E24" i="24"/>
  <c r="D24" i="24"/>
  <c r="C24" i="24"/>
  <c r="K23" i="24"/>
  <c r="J23" i="24"/>
  <c r="I23" i="24"/>
  <c r="H23" i="24"/>
  <c r="G23" i="24"/>
  <c r="F23" i="24"/>
  <c r="E23" i="24"/>
  <c r="D23" i="24"/>
  <c r="C23" i="24"/>
  <c r="K22" i="24"/>
  <c r="J22" i="24"/>
  <c r="I22" i="24"/>
  <c r="H22" i="24"/>
  <c r="G22" i="24"/>
  <c r="F22" i="24"/>
  <c r="E22" i="24"/>
  <c r="D22" i="24"/>
  <c r="C22" i="24"/>
  <c r="H21" i="24"/>
  <c r="G21" i="24"/>
  <c r="F21" i="24"/>
  <c r="E21" i="24"/>
  <c r="D21" i="24"/>
  <c r="C21" i="24"/>
  <c r="I20" i="24"/>
  <c r="H20" i="24"/>
  <c r="G20" i="24"/>
  <c r="F20" i="24"/>
  <c r="E20" i="24"/>
  <c r="D20" i="24"/>
  <c r="C20" i="24"/>
  <c r="K19" i="24"/>
  <c r="I19" i="24"/>
  <c r="H19" i="24"/>
  <c r="G19" i="24"/>
  <c r="F19" i="24"/>
  <c r="E19" i="24"/>
  <c r="D19" i="24"/>
  <c r="C19" i="24"/>
  <c r="K18" i="24"/>
  <c r="I18" i="24"/>
  <c r="H18" i="24"/>
  <c r="G18" i="24"/>
  <c r="F18" i="24"/>
  <c r="E18" i="24"/>
  <c r="D18" i="24"/>
  <c r="C18" i="24"/>
  <c r="I17" i="24"/>
  <c r="H17" i="24"/>
  <c r="G17" i="24"/>
  <c r="F17" i="24"/>
  <c r="E17" i="24"/>
  <c r="D17" i="24"/>
  <c r="C17" i="24"/>
  <c r="I16" i="24"/>
  <c r="H16" i="24"/>
  <c r="G16" i="24"/>
  <c r="F16" i="24"/>
  <c r="E16" i="24"/>
  <c r="D16" i="24"/>
  <c r="C16" i="24"/>
  <c r="I15" i="24"/>
  <c r="H15" i="24"/>
  <c r="G15" i="24"/>
  <c r="F15" i="24"/>
  <c r="E15" i="24"/>
  <c r="D15" i="24"/>
  <c r="C15" i="24"/>
  <c r="I14" i="24"/>
  <c r="H14" i="24"/>
  <c r="G14" i="24"/>
  <c r="F14" i="24"/>
  <c r="E14" i="24"/>
  <c r="D14" i="24"/>
  <c r="C14" i="24"/>
  <c r="J13" i="24"/>
  <c r="J201" i="24" s="1"/>
  <c r="I13" i="24"/>
  <c r="H13" i="24"/>
  <c r="G13" i="24"/>
  <c r="F13" i="24"/>
  <c r="E13" i="24"/>
  <c r="D13" i="24"/>
  <c r="C13" i="24"/>
  <c r="I12" i="24"/>
  <c r="H12" i="24"/>
  <c r="G12" i="24"/>
  <c r="F12" i="24"/>
  <c r="E12" i="24"/>
  <c r="D12" i="24"/>
  <c r="C12" i="24"/>
  <c r="I11" i="24"/>
  <c r="H11" i="24"/>
  <c r="G11" i="24"/>
  <c r="F11" i="24"/>
  <c r="E11" i="24"/>
  <c r="D11" i="24"/>
  <c r="C11" i="24"/>
  <c r="I10" i="24"/>
  <c r="H10" i="24"/>
  <c r="G10" i="24"/>
  <c r="F10" i="24"/>
  <c r="E10" i="24"/>
  <c r="D10" i="24"/>
  <c r="C10" i="24"/>
  <c r="I9" i="24"/>
  <c r="H9" i="24"/>
  <c r="G9" i="24"/>
  <c r="F9" i="24"/>
  <c r="E9" i="24"/>
  <c r="D9" i="24"/>
  <c r="C9" i="24"/>
  <c r="I8" i="24"/>
  <c r="H8" i="24"/>
  <c r="G8" i="24"/>
  <c r="F8" i="24"/>
  <c r="E8" i="24"/>
  <c r="D8" i="24"/>
  <c r="C8" i="24"/>
  <c r="J7" i="24"/>
  <c r="I7" i="24"/>
  <c r="H7" i="24"/>
  <c r="G7" i="24"/>
  <c r="F7" i="24"/>
  <c r="E7" i="24"/>
  <c r="D7" i="24"/>
  <c r="C7" i="24"/>
  <c r="J6" i="24"/>
  <c r="I6" i="24"/>
  <c r="H6" i="24"/>
  <c r="G6" i="24"/>
  <c r="F6" i="24"/>
  <c r="E6" i="24"/>
  <c r="D6" i="24"/>
  <c r="C6" i="24"/>
  <c r="K5" i="24"/>
  <c r="J5" i="24"/>
  <c r="I5" i="24"/>
  <c r="H5" i="24"/>
  <c r="G5" i="24"/>
  <c r="F5" i="24"/>
  <c r="E5" i="24"/>
  <c r="D5" i="24"/>
  <c r="C5" i="24"/>
  <c r="K4" i="24"/>
  <c r="J4" i="24"/>
  <c r="I4" i="24"/>
  <c r="H4" i="24"/>
  <c r="G4" i="24"/>
  <c r="F4" i="24"/>
  <c r="E4" i="24"/>
  <c r="D4" i="24"/>
  <c r="C4" i="24"/>
  <c r="A292" i="23"/>
  <c r="A291" i="23"/>
  <c r="A290" i="23"/>
  <c r="X267" i="23"/>
  <c r="W267" i="23"/>
  <c r="V267" i="23"/>
  <c r="U267" i="23"/>
  <c r="T267" i="23"/>
  <c r="S267" i="23"/>
  <c r="R267" i="23"/>
  <c r="Q267" i="23"/>
  <c r="P267" i="23"/>
  <c r="O267" i="23"/>
  <c r="N267" i="23"/>
  <c r="K267" i="23"/>
  <c r="J267" i="23"/>
  <c r="B267" i="23"/>
  <c r="X264" i="23"/>
  <c r="W264" i="23"/>
  <c r="V264" i="23"/>
  <c r="U264" i="23"/>
  <c r="T264" i="23"/>
  <c r="S264" i="23"/>
  <c r="R264" i="23"/>
  <c r="Q264" i="23"/>
  <c r="P264" i="23"/>
  <c r="O264" i="23"/>
  <c r="N264" i="23"/>
  <c r="K264" i="23"/>
  <c r="J264" i="23"/>
  <c r="B264" i="23"/>
  <c r="X263" i="23"/>
  <c r="W263" i="23"/>
  <c r="V263" i="23"/>
  <c r="U263" i="23"/>
  <c r="T263" i="23"/>
  <c r="S263" i="23"/>
  <c r="R263" i="23"/>
  <c r="Q263" i="23"/>
  <c r="P263" i="23"/>
  <c r="O263" i="23"/>
  <c r="N263" i="23"/>
  <c r="K263" i="23"/>
  <c r="J263" i="23"/>
  <c r="B263" i="23"/>
  <c r="X262" i="23"/>
  <c r="W262" i="23"/>
  <c r="V262" i="23"/>
  <c r="U262" i="23"/>
  <c r="T262" i="23"/>
  <c r="S262" i="23"/>
  <c r="R262" i="23"/>
  <c r="Q262" i="23"/>
  <c r="P262" i="23"/>
  <c r="O262" i="23"/>
  <c r="N262" i="23"/>
  <c r="K262" i="23"/>
  <c r="J262" i="23"/>
  <c r="B262" i="23"/>
  <c r="X261" i="23"/>
  <c r="W261" i="23"/>
  <c r="V261" i="23"/>
  <c r="U261" i="23"/>
  <c r="T261" i="23"/>
  <c r="S261" i="23"/>
  <c r="R261" i="23"/>
  <c r="Q261" i="23"/>
  <c r="P261" i="23"/>
  <c r="O261" i="23"/>
  <c r="N261" i="23"/>
  <c r="K261" i="23"/>
  <c r="J261" i="23"/>
  <c r="B261" i="23"/>
  <c r="X260" i="23"/>
  <c r="W260" i="23"/>
  <c r="V260" i="23"/>
  <c r="U260" i="23"/>
  <c r="T260" i="23"/>
  <c r="S260" i="23"/>
  <c r="R260" i="23"/>
  <c r="Q260" i="23"/>
  <c r="P260" i="23"/>
  <c r="O260" i="23"/>
  <c r="N260" i="23"/>
  <c r="K260" i="23"/>
  <c r="J260" i="23"/>
  <c r="B260" i="23"/>
  <c r="X259" i="23"/>
  <c r="W259" i="23"/>
  <c r="V259" i="23"/>
  <c r="U259" i="23"/>
  <c r="T259" i="23"/>
  <c r="S259" i="23"/>
  <c r="R259" i="23"/>
  <c r="Q259" i="23"/>
  <c r="P259" i="23"/>
  <c r="O259" i="23"/>
  <c r="N259" i="23"/>
  <c r="K259" i="23"/>
  <c r="J259" i="23"/>
  <c r="B259" i="23"/>
  <c r="X258" i="23"/>
  <c r="W258" i="23"/>
  <c r="V258" i="23"/>
  <c r="U258" i="23"/>
  <c r="T258" i="23"/>
  <c r="S258" i="23"/>
  <c r="R258" i="23"/>
  <c r="Q258" i="23"/>
  <c r="P258" i="23"/>
  <c r="O258" i="23"/>
  <c r="N258" i="23"/>
  <c r="K258" i="23"/>
  <c r="J258" i="23"/>
  <c r="B258" i="23"/>
  <c r="X257" i="23"/>
  <c r="W257" i="23"/>
  <c r="V257" i="23"/>
  <c r="U257" i="23"/>
  <c r="T257" i="23"/>
  <c r="S257" i="23"/>
  <c r="R257" i="23"/>
  <c r="Q257" i="23"/>
  <c r="P257" i="23"/>
  <c r="O257" i="23"/>
  <c r="N257" i="23"/>
  <c r="K257" i="23"/>
  <c r="J257" i="23"/>
  <c r="B257" i="23"/>
  <c r="X256" i="23"/>
  <c r="W256" i="23"/>
  <c r="V256" i="23"/>
  <c r="U256" i="23"/>
  <c r="T256" i="23"/>
  <c r="S256" i="23"/>
  <c r="R256" i="23"/>
  <c r="Q256" i="23"/>
  <c r="P256" i="23"/>
  <c r="O256" i="23"/>
  <c r="N256" i="23"/>
  <c r="K256" i="23"/>
  <c r="J256" i="23"/>
  <c r="B256" i="23"/>
  <c r="X255" i="23"/>
  <c r="W255" i="23"/>
  <c r="V255" i="23"/>
  <c r="U255" i="23"/>
  <c r="T255" i="23"/>
  <c r="S255" i="23"/>
  <c r="R255" i="23"/>
  <c r="Q255" i="23"/>
  <c r="P255" i="23"/>
  <c r="O255" i="23"/>
  <c r="N255" i="23"/>
  <c r="K255" i="23"/>
  <c r="J255" i="23"/>
  <c r="B255" i="23"/>
  <c r="X254" i="23"/>
  <c r="W254" i="23"/>
  <c r="V254" i="23"/>
  <c r="U254" i="23"/>
  <c r="T254" i="23"/>
  <c r="S254" i="23"/>
  <c r="R254" i="23"/>
  <c r="Q254" i="23"/>
  <c r="P254" i="23"/>
  <c r="O254" i="23"/>
  <c r="N254" i="23"/>
  <c r="K254" i="23"/>
  <c r="J254" i="23"/>
  <c r="B254" i="23"/>
  <c r="X253" i="23"/>
  <c r="W253" i="23"/>
  <c r="V253" i="23"/>
  <c r="U253" i="23"/>
  <c r="T253" i="23"/>
  <c r="S253" i="23"/>
  <c r="R253" i="23"/>
  <c r="Q253" i="23"/>
  <c r="P253" i="23"/>
  <c r="O253" i="23"/>
  <c r="N253" i="23"/>
  <c r="K253" i="23"/>
  <c r="J253" i="23"/>
  <c r="B253" i="23"/>
  <c r="X252" i="23"/>
  <c r="W252" i="23"/>
  <c r="V252" i="23"/>
  <c r="U252" i="23"/>
  <c r="T252" i="23"/>
  <c r="S252" i="23"/>
  <c r="R252" i="23"/>
  <c r="Q252" i="23"/>
  <c r="P252" i="23"/>
  <c r="O252" i="23"/>
  <c r="N252" i="23"/>
  <c r="K252" i="23"/>
  <c r="J252" i="23"/>
  <c r="B252" i="23"/>
  <c r="X242" i="23"/>
  <c r="W242" i="23"/>
  <c r="V242" i="23"/>
  <c r="U242" i="23"/>
  <c r="T242" i="23"/>
  <c r="S242" i="23"/>
  <c r="R242" i="23"/>
  <c r="Q242" i="23"/>
  <c r="P242" i="23"/>
  <c r="O242" i="23"/>
  <c r="N242" i="23"/>
  <c r="X239" i="23"/>
  <c r="W239" i="23"/>
  <c r="V239" i="23"/>
  <c r="U239" i="23"/>
  <c r="T239" i="23"/>
  <c r="S239" i="23"/>
  <c r="R239" i="23"/>
  <c r="Q239" i="23"/>
  <c r="P239" i="23"/>
  <c r="O239" i="23"/>
  <c r="N239" i="23"/>
  <c r="X238" i="23"/>
  <c r="W238" i="23"/>
  <c r="V238" i="23"/>
  <c r="U238" i="23"/>
  <c r="T238" i="23"/>
  <c r="S238" i="23"/>
  <c r="R238" i="23"/>
  <c r="Q238" i="23"/>
  <c r="P238" i="23"/>
  <c r="O238" i="23"/>
  <c r="N238" i="23"/>
  <c r="X237" i="23"/>
  <c r="W237" i="23"/>
  <c r="V237" i="23"/>
  <c r="U237" i="23"/>
  <c r="T237" i="23"/>
  <c r="S237" i="23"/>
  <c r="R237" i="23"/>
  <c r="Q237" i="23"/>
  <c r="P237" i="23"/>
  <c r="O237" i="23"/>
  <c r="N237" i="23"/>
  <c r="X236" i="23"/>
  <c r="W236" i="23"/>
  <c r="V236" i="23"/>
  <c r="U236" i="23"/>
  <c r="T236" i="23"/>
  <c r="S236" i="23"/>
  <c r="R236" i="23"/>
  <c r="Q236" i="23"/>
  <c r="P236" i="23"/>
  <c r="O236" i="23"/>
  <c r="N236" i="23"/>
  <c r="X235" i="23"/>
  <c r="W235" i="23"/>
  <c r="V235" i="23"/>
  <c r="U235" i="23"/>
  <c r="T235" i="23"/>
  <c r="S235" i="23"/>
  <c r="R235" i="23"/>
  <c r="Q235" i="23"/>
  <c r="P235" i="23"/>
  <c r="O235" i="23"/>
  <c r="N235" i="23"/>
  <c r="X234" i="23"/>
  <c r="W234" i="23"/>
  <c r="V234" i="23"/>
  <c r="U234" i="23"/>
  <c r="T234" i="23"/>
  <c r="S234" i="23"/>
  <c r="R234" i="23"/>
  <c r="Q234" i="23"/>
  <c r="P234" i="23"/>
  <c r="O234" i="23"/>
  <c r="N234" i="23"/>
  <c r="X233" i="23"/>
  <c r="W233" i="23"/>
  <c r="V233" i="23"/>
  <c r="U233" i="23"/>
  <c r="T233" i="23"/>
  <c r="S233" i="23"/>
  <c r="R233" i="23"/>
  <c r="Q233" i="23"/>
  <c r="P233" i="23"/>
  <c r="O233" i="23"/>
  <c r="N233" i="23"/>
  <c r="X232" i="23"/>
  <c r="W232" i="23"/>
  <c r="V232" i="23"/>
  <c r="U232" i="23"/>
  <c r="T232" i="23"/>
  <c r="S232" i="23"/>
  <c r="R232" i="23"/>
  <c r="Q232" i="23"/>
  <c r="P232" i="23"/>
  <c r="O232" i="23"/>
  <c r="N232" i="23"/>
  <c r="X231" i="23"/>
  <c r="W231" i="23"/>
  <c r="V231" i="23"/>
  <c r="U231" i="23"/>
  <c r="T231" i="23"/>
  <c r="S231" i="23"/>
  <c r="R231" i="23"/>
  <c r="Q231" i="23"/>
  <c r="P231" i="23"/>
  <c r="O231" i="23"/>
  <c r="N231" i="23"/>
  <c r="X230" i="23"/>
  <c r="W230" i="23"/>
  <c r="V230" i="23"/>
  <c r="U230" i="23"/>
  <c r="T230" i="23"/>
  <c r="S230" i="23"/>
  <c r="R230" i="23"/>
  <c r="Q230" i="23"/>
  <c r="P230" i="23"/>
  <c r="O230" i="23"/>
  <c r="N230" i="23"/>
  <c r="X229" i="23"/>
  <c r="W229" i="23"/>
  <c r="V229" i="23"/>
  <c r="U229" i="23"/>
  <c r="T229" i="23"/>
  <c r="S229" i="23"/>
  <c r="R229" i="23"/>
  <c r="Q229" i="23"/>
  <c r="P229" i="23"/>
  <c r="O229" i="23"/>
  <c r="N229" i="23"/>
  <c r="X228" i="23"/>
  <c r="W228" i="23"/>
  <c r="V228" i="23"/>
  <c r="U228" i="23"/>
  <c r="T228" i="23"/>
  <c r="S228" i="23"/>
  <c r="R228" i="23"/>
  <c r="Q228" i="23"/>
  <c r="P228" i="23"/>
  <c r="O228" i="23"/>
  <c r="N228" i="23"/>
  <c r="X227" i="23"/>
  <c r="W227" i="23"/>
  <c r="V227" i="23"/>
  <c r="U227" i="23"/>
  <c r="T227" i="23"/>
  <c r="S227" i="23"/>
  <c r="R227" i="23"/>
  <c r="Q227" i="23"/>
  <c r="P227" i="23"/>
  <c r="O227" i="23"/>
  <c r="N227" i="23"/>
  <c r="X226" i="23"/>
  <c r="U225" i="23"/>
  <c r="T225" i="23"/>
  <c r="X220" i="23"/>
  <c r="W220" i="23"/>
  <c r="V220" i="23"/>
  <c r="P220" i="23"/>
  <c r="O220" i="23"/>
  <c r="N220" i="23"/>
  <c r="X217" i="23"/>
  <c r="W217" i="23"/>
  <c r="V217" i="23"/>
  <c r="P217" i="23"/>
  <c r="O217" i="23"/>
  <c r="N217" i="23"/>
  <c r="X216" i="23"/>
  <c r="W216" i="23"/>
  <c r="V216" i="23"/>
  <c r="P216" i="23"/>
  <c r="O216" i="23"/>
  <c r="N216" i="23"/>
  <c r="X215" i="23"/>
  <c r="W215" i="23"/>
  <c r="V215" i="23"/>
  <c r="P215" i="23"/>
  <c r="O215" i="23"/>
  <c r="N215" i="23"/>
  <c r="W214" i="23"/>
  <c r="V214" i="23"/>
  <c r="P214" i="23"/>
  <c r="O214" i="23"/>
  <c r="N214" i="23"/>
  <c r="X213" i="23"/>
  <c r="W213" i="23"/>
  <c r="V213" i="23"/>
  <c r="P213" i="23"/>
  <c r="O213" i="23"/>
  <c r="N213" i="23"/>
  <c r="X212" i="23"/>
  <c r="W212" i="23"/>
  <c r="V212" i="23"/>
  <c r="P212" i="23"/>
  <c r="O212" i="23"/>
  <c r="N212" i="23"/>
  <c r="X211" i="23"/>
  <c r="W211" i="23"/>
  <c r="V211" i="23"/>
  <c r="P211" i="23"/>
  <c r="O211" i="23"/>
  <c r="N211" i="23"/>
  <c r="X210" i="23"/>
  <c r="W210" i="23"/>
  <c r="V210" i="23"/>
  <c r="P210" i="23"/>
  <c r="O210" i="23"/>
  <c r="N210" i="23"/>
  <c r="W209" i="23"/>
  <c r="V209" i="23"/>
  <c r="P209" i="23"/>
  <c r="O209" i="23"/>
  <c r="N209" i="23"/>
  <c r="X208" i="23"/>
  <c r="W208" i="23"/>
  <c r="V208" i="23"/>
  <c r="P208" i="23"/>
  <c r="O208" i="23"/>
  <c r="N208" i="23"/>
  <c r="W207" i="23"/>
  <c r="V207" i="23"/>
  <c r="P207" i="23"/>
  <c r="O207" i="23"/>
  <c r="N207" i="23"/>
  <c r="X206" i="23"/>
  <c r="W206" i="23"/>
  <c r="V206" i="23"/>
  <c r="P206" i="23"/>
  <c r="O206" i="23"/>
  <c r="N206" i="23"/>
  <c r="X205" i="23"/>
  <c r="W205" i="23"/>
  <c r="V205" i="23"/>
  <c r="P205" i="23"/>
  <c r="O205" i="23"/>
  <c r="N205" i="23"/>
  <c r="X190" i="23"/>
  <c r="W190" i="23"/>
  <c r="W289" i="23" s="1"/>
  <c r="V190" i="23"/>
  <c r="V289" i="23" s="1"/>
  <c r="P190" i="23"/>
  <c r="P289" i="23" s="1"/>
  <c r="O190" i="23"/>
  <c r="O289" i="23" s="1"/>
  <c r="N190" i="23"/>
  <c r="N289" i="23" s="1"/>
  <c r="X187" i="23"/>
  <c r="W187" i="23"/>
  <c r="W286" i="23" s="1"/>
  <c r="V187" i="23"/>
  <c r="V286" i="23" s="1"/>
  <c r="P187" i="23"/>
  <c r="P286" i="23" s="1"/>
  <c r="O187" i="23"/>
  <c r="O286" i="23" s="1"/>
  <c r="N187" i="23"/>
  <c r="N286" i="23" s="1"/>
  <c r="X186" i="23"/>
  <c r="W186" i="23"/>
  <c r="W285" i="23" s="1"/>
  <c r="V186" i="23"/>
  <c r="V285" i="23" s="1"/>
  <c r="P186" i="23"/>
  <c r="P285" i="23" s="1"/>
  <c r="O186" i="23"/>
  <c r="O285" i="23" s="1"/>
  <c r="N186" i="23"/>
  <c r="N285" i="23" s="1"/>
  <c r="X185" i="23"/>
  <c r="W185" i="23"/>
  <c r="W284" i="23" s="1"/>
  <c r="V185" i="23"/>
  <c r="V284" i="23" s="1"/>
  <c r="P185" i="23"/>
  <c r="P284" i="23" s="1"/>
  <c r="O185" i="23"/>
  <c r="O284" i="23" s="1"/>
  <c r="N185" i="23"/>
  <c r="N284" i="23" s="1"/>
  <c r="W184" i="23"/>
  <c r="W283" i="23" s="1"/>
  <c r="V184" i="23"/>
  <c r="V283" i="23" s="1"/>
  <c r="P184" i="23"/>
  <c r="P283" i="23" s="1"/>
  <c r="O184" i="23"/>
  <c r="O283" i="23" s="1"/>
  <c r="N184" i="23"/>
  <c r="N283" i="23" s="1"/>
  <c r="X183" i="23"/>
  <c r="X282" i="23" s="1"/>
  <c r="W183" i="23"/>
  <c r="W282" i="23" s="1"/>
  <c r="V183" i="23"/>
  <c r="V282" i="23" s="1"/>
  <c r="P183" i="23"/>
  <c r="P282" i="23" s="1"/>
  <c r="O183" i="23"/>
  <c r="O282" i="23" s="1"/>
  <c r="N183" i="23"/>
  <c r="N282" i="23" s="1"/>
  <c r="X182" i="23"/>
  <c r="X281" i="23" s="1"/>
  <c r="W182" i="23"/>
  <c r="W281" i="23" s="1"/>
  <c r="V182" i="23"/>
  <c r="V281" i="23" s="1"/>
  <c r="P182" i="23"/>
  <c r="P281" i="23" s="1"/>
  <c r="O182" i="23"/>
  <c r="O281" i="23" s="1"/>
  <c r="N182" i="23"/>
  <c r="N281" i="23" s="1"/>
  <c r="X181" i="23"/>
  <c r="X280" i="23" s="1"/>
  <c r="W181" i="23"/>
  <c r="W280" i="23" s="1"/>
  <c r="V181" i="23"/>
  <c r="V280" i="23" s="1"/>
  <c r="P181" i="23"/>
  <c r="P280" i="23" s="1"/>
  <c r="O181" i="23"/>
  <c r="O280" i="23" s="1"/>
  <c r="N181" i="23"/>
  <c r="N280" i="23" s="1"/>
  <c r="X180" i="23"/>
  <c r="X279" i="23" s="1"/>
  <c r="W180" i="23"/>
  <c r="W279" i="23" s="1"/>
  <c r="V180" i="23"/>
  <c r="V279" i="23" s="1"/>
  <c r="P180" i="23"/>
  <c r="P279" i="23" s="1"/>
  <c r="O180" i="23"/>
  <c r="O279" i="23" s="1"/>
  <c r="N180" i="23"/>
  <c r="N279" i="23" s="1"/>
  <c r="W179" i="23"/>
  <c r="W278" i="23" s="1"/>
  <c r="V179" i="23"/>
  <c r="V278" i="23" s="1"/>
  <c r="P179" i="23"/>
  <c r="P278" i="23" s="1"/>
  <c r="O179" i="23"/>
  <c r="O278" i="23" s="1"/>
  <c r="N179" i="23"/>
  <c r="N278" i="23" s="1"/>
  <c r="X178" i="23"/>
  <c r="X277" i="23" s="1"/>
  <c r="W178" i="23"/>
  <c r="W277" i="23" s="1"/>
  <c r="V178" i="23"/>
  <c r="V277" i="23" s="1"/>
  <c r="P178" i="23"/>
  <c r="P277" i="23" s="1"/>
  <c r="O178" i="23"/>
  <c r="O277" i="23" s="1"/>
  <c r="N178" i="23"/>
  <c r="N277" i="23" s="1"/>
  <c r="W177" i="23"/>
  <c r="W276" i="23" s="1"/>
  <c r="V177" i="23"/>
  <c r="V276" i="23" s="1"/>
  <c r="P177" i="23"/>
  <c r="P276" i="23" s="1"/>
  <c r="O177" i="23"/>
  <c r="O276" i="23" s="1"/>
  <c r="N177" i="23"/>
  <c r="N276" i="23" s="1"/>
  <c r="X176" i="23"/>
  <c r="X275" i="23" s="1"/>
  <c r="W176" i="23"/>
  <c r="W275" i="23" s="1"/>
  <c r="V176" i="23"/>
  <c r="V275" i="23" s="1"/>
  <c r="P176" i="23"/>
  <c r="P275" i="23" s="1"/>
  <c r="O176" i="23"/>
  <c r="O275" i="23" s="1"/>
  <c r="N176" i="23"/>
  <c r="N275" i="23" s="1"/>
  <c r="X175" i="23"/>
  <c r="W175" i="23"/>
  <c r="V175" i="23"/>
  <c r="P175" i="23"/>
  <c r="O175" i="23"/>
  <c r="N175" i="23"/>
  <c r="X174" i="23"/>
  <c r="W174" i="23"/>
  <c r="V174" i="23"/>
  <c r="P174" i="23"/>
  <c r="O174" i="23"/>
  <c r="N174" i="23"/>
  <c r="X173" i="23"/>
  <c r="W173" i="23"/>
  <c r="V173" i="23"/>
  <c r="P173" i="23"/>
  <c r="O173" i="23"/>
  <c r="N173" i="23"/>
  <c r="X172" i="23"/>
  <c r="W172" i="23"/>
  <c r="V172" i="23"/>
  <c r="P172" i="23"/>
  <c r="O172" i="23"/>
  <c r="N172" i="23"/>
  <c r="X171" i="23"/>
  <c r="X274" i="23" s="1"/>
  <c r="W171" i="23"/>
  <c r="W274" i="23" s="1"/>
  <c r="V171" i="23"/>
  <c r="V274" i="23" s="1"/>
  <c r="P171" i="23"/>
  <c r="P274" i="23" s="1"/>
  <c r="O171" i="23"/>
  <c r="O274" i="23" s="1"/>
  <c r="N171" i="23"/>
  <c r="N274" i="23" s="1"/>
  <c r="X170" i="23"/>
  <c r="W170" i="23"/>
  <c r="V170" i="23"/>
  <c r="P170" i="23"/>
  <c r="O170" i="23"/>
  <c r="N170" i="23"/>
  <c r="X169" i="23"/>
  <c r="W169" i="23"/>
  <c r="V169" i="23"/>
  <c r="P169" i="23"/>
  <c r="O169" i="23"/>
  <c r="N169" i="23"/>
  <c r="X168" i="23"/>
  <c r="W168" i="23"/>
  <c r="V168" i="23"/>
  <c r="P168" i="23"/>
  <c r="O168" i="23"/>
  <c r="N168" i="23"/>
  <c r="X167" i="23"/>
  <c r="W167" i="23"/>
  <c r="V167" i="23"/>
  <c r="P167" i="23"/>
  <c r="O167" i="23"/>
  <c r="N167" i="23"/>
  <c r="W166" i="23"/>
  <c r="V166" i="23"/>
  <c r="P166" i="23"/>
  <c r="O166" i="23"/>
  <c r="N166" i="23"/>
  <c r="X165" i="23"/>
  <c r="W165" i="23"/>
  <c r="V165" i="23"/>
  <c r="P165" i="23"/>
  <c r="O165" i="23"/>
  <c r="N165" i="23"/>
  <c r="X164" i="23"/>
  <c r="W164" i="23"/>
  <c r="V164" i="23"/>
  <c r="P164" i="23"/>
  <c r="O164" i="23"/>
  <c r="N164" i="23"/>
  <c r="W163" i="23"/>
  <c r="V163" i="23"/>
  <c r="P163" i="23"/>
  <c r="O163" i="23"/>
  <c r="N163" i="23"/>
  <c r="W162" i="23"/>
  <c r="V162" i="23"/>
  <c r="P162" i="23"/>
  <c r="O162" i="23"/>
  <c r="N162" i="23"/>
  <c r="W161" i="23"/>
  <c r="V161" i="23"/>
  <c r="P161" i="23"/>
  <c r="O161" i="23"/>
  <c r="N161" i="23"/>
  <c r="W160" i="23"/>
  <c r="V160" i="23"/>
  <c r="P160" i="23"/>
  <c r="O160" i="23"/>
  <c r="N160" i="23"/>
  <c r="W159" i="23"/>
  <c r="V159" i="23"/>
  <c r="P159" i="23"/>
  <c r="O159" i="23"/>
  <c r="N159" i="23"/>
  <c r="W158" i="23"/>
  <c r="V158" i="23"/>
  <c r="P158" i="23"/>
  <c r="O158" i="23"/>
  <c r="N158" i="23"/>
  <c r="W157" i="23"/>
  <c r="V157" i="23"/>
  <c r="P157" i="23"/>
  <c r="O157" i="23"/>
  <c r="N157" i="23"/>
  <c r="W156" i="23"/>
  <c r="V156" i="23"/>
  <c r="P156" i="23"/>
  <c r="O156" i="23"/>
  <c r="N156" i="23"/>
  <c r="W155" i="23"/>
  <c r="V155" i="23"/>
  <c r="N155" i="23"/>
  <c r="W154" i="23"/>
  <c r="V154" i="23"/>
  <c r="N154" i="23"/>
  <c r="W153" i="23"/>
  <c r="V153" i="23"/>
  <c r="N153" i="23"/>
  <c r="W152" i="23"/>
  <c r="V152" i="23"/>
  <c r="N152" i="23"/>
  <c r="W151" i="23"/>
  <c r="V151" i="23"/>
  <c r="N151" i="23"/>
  <c r="W150" i="23"/>
  <c r="V150" i="23"/>
  <c r="N150" i="23"/>
  <c r="W149" i="23"/>
  <c r="V149" i="23"/>
  <c r="N149" i="23"/>
  <c r="W148" i="23"/>
  <c r="V148" i="23"/>
  <c r="N148" i="23"/>
  <c r="W147" i="23"/>
  <c r="V147" i="23"/>
  <c r="N147" i="23"/>
  <c r="W146" i="23"/>
  <c r="V146" i="23"/>
  <c r="N146" i="23"/>
  <c r="I143" i="23"/>
  <c r="I267" i="23" s="1"/>
  <c r="H143" i="23"/>
  <c r="G143" i="23"/>
  <c r="G267" i="23" s="1"/>
  <c r="F143" i="23"/>
  <c r="F267" i="23" s="1"/>
  <c r="E143" i="23"/>
  <c r="D143" i="23"/>
  <c r="C143" i="23"/>
  <c r="C267" i="23" s="1"/>
  <c r="I140" i="23"/>
  <c r="I264" i="23" s="1"/>
  <c r="H140" i="23"/>
  <c r="G140" i="23"/>
  <c r="G264" i="23" s="1"/>
  <c r="F140" i="23"/>
  <c r="F264" i="23" s="1"/>
  <c r="E140" i="23"/>
  <c r="E264" i="23" s="1"/>
  <c r="D140" i="23"/>
  <c r="D264" i="23" s="1"/>
  <c r="C140" i="23"/>
  <c r="I139" i="23"/>
  <c r="H139" i="23"/>
  <c r="G139" i="23"/>
  <c r="G263" i="23" s="1"/>
  <c r="F139" i="23"/>
  <c r="F263" i="23" s="1"/>
  <c r="E139" i="23"/>
  <c r="D139" i="23"/>
  <c r="C139" i="23"/>
  <c r="C263" i="23" s="1"/>
  <c r="I138" i="23"/>
  <c r="I262" i="23" s="1"/>
  <c r="H138" i="23"/>
  <c r="G138" i="23"/>
  <c r="G262" i="23" s="1"/>
  <c r="F138" i="23"/>
  <c r="F262" i="23" s="1"/>
  <c r="E138" i="23"/>
  <c r="E262" i="23" s="1"/>
  <c r="D138" i="23"/>
  <c r="C138" i="23"/>
  <c r="I137" i="23"/>
  <c r="I261" i="23" s="1"/>
  <c r="H137" i="23"/>
  <c r="G137" i="23"/>
  <c r="G261" i="23" s="1"/>
  <c r="F137" i="23"/>
  <c r="F261" i="23" s="1"/>
  <c r="E137" i="23"/>
  <c r="D137" i="23"/>
  <c r="C137" i="23"/>
  <c r="I136" i="23"/>
  <c r="I260" i="23" s="1"/>
  <c r="H136" i="23"/>
  <c r="G136" i="23"/>
  <c r="G260" i="23" s="1"/>
  <c r="F136" i="23"/>
  <c r="F260" i="23" s="1"/>
  <c r="E136" i="23"/>
  <c r="E260" i="23" s="1"/>
  <c r="D136" i="23"/>
  <c r="D260" i="23" s="1"/>
  <c r="C136" i="23"/>
  <c r="I135" i="23"/>
  <c r="H135" i="23"/>
  <c r="G135" i="23"/>
  <c r="G259" i="23" s="1"/>
  <c r="F135" i="23"/>
  <c r="F259" i="23" s="1"/>
  <c r="E135" i="23"/>
  <c r="D135" i="23"/>
  <c r="C135" i="23"/>
  <c r="C259" i="23" s="1"/>
  <c r="I134" i="23"/>
  <c r="I258" i="23" s="1"/>
  <c r="H134" i="23"/>
  <c r="G134" i="23"/>
  <c r="G258" i="23" s="1"/>
  <c r="F134" i="23"/>
  <c r="F258" i="23" s="1"/>
  <c r="E134" i="23"/>
  <c r="E258" i="23" s="1"/>
  <c r="D134" i="23"/>
  <c r="D258" i="23" s="1"/>
  <c r="C134" i="23"/>
  <c r="I133" i="23"/>
  <c r="I257" i="23" s="1"/>
  <c r="H133" i="23"/>
  <c r="G133" i="23"/>
  <c r="G257" i="23" s="1"/>
  <c r="F133" i="23"/>
  <c r="F257" i="23" s="1"/>
  <c r="E133" i="23"/>
  <c r="D133" i="23"/>
  <c r="C133" i="23"/>
  <c r="L132" i="23"/>
  <c r="L256" i="23" s="1"/>
  <c r="I132" i="23"/>
  <c r="I256" i="23" s="1"/>
  <c r="H132" i="23"/>
  <c r="G132" i="23"/>
  <c r="G256" i="23" s="1"/>
  <c r="F132" i="23"/>
  <c r="F256" i="23" s="1"/>
  <c r="E132" i="23"/>
  <c r="E256" i="23" s="1"/>
  <c r="D132" i="23"/>
  <c r="C132" i="23"/>
  <c r="L131" i="23"/>
  <c r="L255" i="23" s="1"/>
  <c r="I131" i="23"/>
  <c r="I255" i="23" s="1"/>
  <c r="H131" i="23"/>
  <c r="G131" i="23"/>
  <c r="F131" i="23"/>
  <c r="F255" i="23" s="1"/>
  <c r="E131" i="23"/>
  <c r="D131" i="23"/>
  <c r="C131" i="23"/>
  <c r="I130" i="23"/>
  <c r="I254" i="23" s="1"/>
  <c r="H130" i="23"/>
  <c r="G130" i="23"/>
  <c r="G254" i="23" s="1"/>
  <c r="F130" i="23"/>
  <c r="F254" i="23" s="1"/>
  <c r="E130" i="23"/>
  <c r="E254" i="23" s="1"/>
  <c r="D130" i="23"/>
  <c r="D254" i="23" s="1"/>
  <c r="C130" i="23"/>
  <c r="I129" i="23"/>
  <c r="H129" i="23"/>
  <c r="G129" i="23"/>
  <c r="G253" i="23" s="1"/>
  <c r="F129" i="23"/>
  <c r="F253" i="23" s="1"/>
  <c r="E129" i="23"/>
  <c r="D129" i="23"/>
  <c r="C129" i="23"/>
  <c r="C253" i="23" s="1"/>
  <c r="I128" i="23"/>
  <c r="H128" i="23"/>
  <c r="G128" i="23"/>
  <c r="F128" i="23"/>
  <c r="E128" i="23"/>
  <c r="D128" i="23"/>
  <c r="C128" i="23"/>
  <c r="I127" i="23"/>
  <c r="H127" i="23"/>
  <c r="G127" i="23"/>
  <c r="F127" i="23"/>
  <c r="E127" i="23"/>
  <c r="D127" i="23"/>
  <c r="C127" i="23"/>
  <c r="I126" i="23"/>
  <c r="H126" i="23"/>
  <c r="G126" i="23"/>
  <c r="F126" i="23"/>
  <c r="E126" i="23"/>
  <c r="D126" i="23"/>
  <c r="C126" i="23"/>
  <c r="I125" i="23"/>
  <c r="H125" i="23"/>
  <c r="G125" i="23"/>
  <c r="F125" i="23"/>
  <c r="E125" i="23"/>
  <c r="D125" i="23"/>
  <c r="C125" i="23"/>
  <c r="I124" i="23"/>
  <c r="H124" i="23"/>
  <c r="G124" i="23"/>
  <c r="F124" i="23"/>
  <c r="E124" i="23"/>
  <c r="D124" i="23"/>
  <c r="C124" i="23"/>
  <c r="I123" i="23"/>
  <c r="H123" i="23"/>
  <c r="G123" i="23"/>
  <c r="F123" i="23"/>
  <c r="E123" i="23"/>
  <c r="D123" i="23"/>
  <c r="C123" i="23"/>
  <c r="I122" i="23"/>
  <c r="H122" i="23"/>
  <c r="G122" i="23"/>
  <c r="F122" i="23"/>
  <c r="E122" i="23"/>
  <c r="D122" i="23"/>
  <c r="C122" i="23"/>
  <c r="I121" i="23"/>
  <c r="H121" i="23"/>
  <c r="G121" i="23"/>
  <c r="F121" i="23"/>
  <c r="E121" i="23"/>
  <c r="D121" i="23"/>
  <c r="C121" i="23"/>
  <c r="I120" i="23"/>
  <c r="H120" i="23"/>
  <c r="G120" i="23"/>
  <c r="F120" i="23"/>
  <c r="E120" i="23"/>
  <c r="D120" i="23"/>
  <c r="C120" i="23"/>
  <c r="I119" i="23"/>
  <c r="H119" i="23"/>
  <c r="G119" i="23"/>
  <c r="F119" i="23"/>
  <c r="E119" i="23"/>
  <c r="D119" i="23"/>
  <c r="C119" i="23"/>
  <c r="I118" i="23"/>
  <c r="H118" i="23"/>
  <c r="G118" i="23"/>
  <c r="F118" i="23"/>
  <c r="E118" i="23"/>
  <c r="D118" i="23"/>
  <c r="C118" i="23"/>
  <c r="I117" i="23"/>
  <c r="H117" i="23"/>
  <c r="G117" i="23"/>
  <c r="F117" i="23"/>
  <c r="E117" i="23"/>
  <c r="D117" i="23"/>
  <c r="C117" i="23"/>
  <c r="I116" i="23"/>
  <c r="H116" i="23"/>
  <c r="G116" i="23"/>
  <c r="F116" i="23"/>
  <c r="E116" i="23"/>
  <c r="D116" i="23"/>
  <c r="C116" i="23"/>
  <c r="S115" i="23"/>
  <c r="R115" i="23"/>
  <c r="Q115" i="23"/>
  <c r="I115" i="23"/>
  <c r="H115" i="23"/>
  <c r="G115" i="23"/>
  <c r="F115" i="23"/>
  <c r="E115" i="23"/>
  <c r="D115" i="23"/>
  <c r="C115" i="23"/>
  <c r="S114" i="23"/>
  <c r="R114" i="23"/>
  <c r="Q114" i="23"/>
  <c r="I114" i="23"/>
  <c r="H114" i="23"/>
  <c r="G114" i="23"/>
  <c r="F114" i="23"/>
  <c r="E114" i="23"/>
  <c r="D114" i="23"/>
  <c r="C114" i="23"/>
  <c r="S113" i="23"/>
  <c r="R113" i="23"/>
  <c r="Q113" i="23"/>
  <c r="I113" i="23"/>
  <c r="H113" i="23"/>
  <c r="G113" i="23"/>
  <c r="F113" i="23"/>
  <c r="E113" i="23"/>
  <c r="D113" i="23"/>
  <c r="C113" i="23"/>
  <c r="T112" i="23"/>
  <c r="S112" i="23"/>
  <c r="R112" i="23"/>
  <c r="Q112" i="23"/>
  <c r="I112" i="23"/>
  <c r="H112" i="23"/>
  <c r="G112" i="23"/>
  <c r="F112" i="23"/>
  <c r="E112" i="23"/>
  <c r="D112" i="23"/>
  <c r="C112" i="23"/>
  <c r="U111" i="23"/>
  <c r="T111" i="23"/>
  <c r="S111" i="23"/>
  <c r="R111" i="23"/>
  <c r="Q111" i="23"/>
  <c r="I111" i="23"/>
  <c r="H111" i="23"/>
  <c r="G111" i="23"/>
  <c r="F111" i="23"/>
  <c r="E111" i="23"/>
  <c r="D111" i="23"/>
  <c r="C111" i="23"/>
  <c r="U110" i="23"/>
  <c r="T110" i="23"/>
  <c r="S110" i="23"/>
  <c r="R110" i="23"/>
  <c r="Q110" i="23"/>
  <c r="I110" i="23"/>
  <c r="H110" i="23"/>
  <c r="G110" i="23"/>
  <c r="F110" i="23"/>
  <c r="E110" i="23"/>
  <c r="D110" i="23"/>
  <c r="C110" i="23"/>
  <c r="U109" i="23"/>
  <c r="T109" i="23"/>
  <c r="T249" i="23" s="1"/>
  <c r="S109" i="23"/>
  <c r="R109" i="23"/>
  <c r="Q109" i="23"/>
  <c r="I109" i="23"/>
  <c r="H109" i="23"/>
  <c r="G109" i="23"/>
  <c r="F109" i="23"/>
  <c r="E109" i="23"/>
  <c r="D109" i="23"/>
  <c r="C109" i="23"/>
  <c r="U108" i="23"/>
  <c r="T108" i="23"/>
  <c r="S108" i="23"/>
  <c r="R108" i="23"/>
  <c r="Q108" i="23"/>
  <c r="P108" i="23"/>
  <c r="O108" i="23"/>
  <c r="I108" i="23"/>
  <c r="H108" i="23"/>
  <c r="G108" i="23"/>
  <c r="F108" i="23"/>
  <c r="E108" i="23"/>
  <c r="D108" i="23"/>
  <c r="C108" i="23"/>
  <c r="U107" i="23"/>
  <c r="T107" i="23"/>
  <c r="S107" i="23"/>
  <c r="R107" i="23"/>
  <c r="Q107" i="23"/>
  <c r="P107" i="23"/>
  <c r="O107" i="23"/>
  <c r="I107" i="23"/>
  <c r="H107" i="23"/>
  <c r="G107" i="23"/>
  <c r="F107" i="23"/>
  <c r="E107" i="23"/>
  <c r="D107" i="23"/>
  <c r="C107" i="23"/>
  <c r="U106" i="23"/>
  <c r="T106" i="23"/>
  <c r="S106" i="23"/>
  <c r="R106" i="23"/>
  <c r="Q106" i="23"/>
  <c r="P106" i="23"/>
  <c r="O106" i="23"/>
  <c r="I106" i="23"/>
  <c r="H106" i="23"/>
  <c r="G106" i="23"/>
  <c r="F106" i="23"/>
  <c r="E106" i="23"/>
  <c r="D106" i="23"/>
  <c r="C106" i="23"/>
  <c r="U105" i="23"/>
  <c r="T105" i="23"/>
  <c r="S105" i="23"/>
  <c r="R105" i="23"/>
  <c r="Q105" i="23"/>
  <c r="P105" i="23"/>
  <c r="O105" i="23"/>
  <c r="I105" i="23"/>
  <c r="H105" i="23"/>
  <c r="G105" i="23"/>
  <c r="F105" i="23"/>
  <c r="E105" i="23"/>
  <c r="D105" i="23"/>
  <c r="U104" i="23"/>
  <c r="T104" i="23"/>
  <c r="S104" i="23"/>
  <c r="R104" i="23"/>
  <c r="Q104" i="23"/>
  <c r="P104" i="23"/>
  <c r="O104" i="23"/>
  <c r="I104" i="23"/>
  <c r="H104" i="23"/>
  <c r="G104" i="23"/>
  <c r="F104" i="23"/>
  <c r="E104" i="23"/>
  <c r="D104" i="23"/>
  <c r="C104" i="23"/>
  <c r="U103" i="23"/>
  <c r="T103" i="23"/>
  <c r="S103" i="23"/>
  <c r="R103" i="23"/>
  <c r="Q103" i="23"/>
  <c r="P103" i="23"/>
  <c r="O103" i="23"/>
  <c r="I103" i="23"/>
  <c r="H103" i="23"/>
  <c r="G103" i="23"/>
  <c r="F103" i="23"/>
  <c r="E103" i="23"/>
  <c r="D103" i="23"/>
  <c r="C103" i="23"/>
  <c r="U102" i="23"/>
  <c r="T102" i="23"/>
  <c r="S102" i="23"/>
  <c r="R102" i="23"/>
  <c r="Q102" i="23"/>
  <c r="P102" i="23"/>
  <c r="O102" i="23"/>
  <c r="I102" i="23"/>
  <c r="H102" i="23"/>
  <c r="G102" i="23"/>
  <c r="F102" i="23"/>
  <c r="E102" i="23"/>
  <c r="D102" i="23"/>
  <c r="C102" i="23"/>
  <c r="U101" i="23"/>
  <c r="T101" i="23"/>
  <c r="S101" i="23"/>
  <c r="R101" i="23"/>
  <c r="Q101" i="23"/>
  <c r="P101" i="23"/>
  <c r="O101" i="23"/>
  <c r="I101" i="23"/>
  <c r="H101" i="23"/>
  <c r="G101" i="23"/>
  <c r="F101" i="23"/>
  <c r="E101" i="23"/>
  <c r="D101" i="23"/>
  <c r="C101" i="23"/>
  <c r="U100" i="23"/>
  <c r="T100" i="23"/>
  <c r="S100" i="23"/>
  <c r="R100" i="23"/>
  <c r="Q100" i="23"/>
  <c r="P100" i="23"/>
  <c r="O100" i="23"/>
  <c r="I100" i="23"/>
  <c r="H100" i="23"/>
  <c r="G100" i="23"/>
  <c r="F100" i="23"/>
  <c r="E100" i="23"/>
  <c r="D100" i="23"/>
  <c r="C100" i="23"/>
  <c r="T99" i="23"/>
  <c r="S99" i="23"/>
  <c r="R99" i="23"/>
  <c r="Q99" i="23"/>
  <c r="P99" i="23"/>
  <c r="O99" i="23"/>
  <c r="I99" i="23"/>
  <c r="H99" i="23"/>
  <c r="G99" i="23"/>
  <c r="F99" i="23"/>
  <c r="E99" i="23"/>
  <c r="D99" i="23"/>
  <c r="C99" i="23"/>
  <c r="K96" i="23"/>
  <c r="K242" i="23" s="1"/>
  <c r="J96" i="23"/>
  <c r="I96" i="23"/>
  <c r="I242" i="23" s="1"/>
  <c r="H96" i="23"/>
  <c r="H242" i="23" s="1"/>
  <c r="G96" i="23"/>
  <c r="G242" i="23" s="1"/>
  <c r="F96" i="23"/>
  <c r="F242" i="23" s="1"/>
  <c r="E96" i="23"/>
  <c r="E242" i="23" s="1"/>
  <c r="D96" i="23"/>
  <c r="D242" i="23" s="1"/>
  <c r="C96" i="23"/>
  <c r="C242" i="23" s="1"/>
  <c r="B96" i="23"/>
  <c r="B242" i="23" s="1"/>
  <c r="K93" i="23"/>
  <c r="J93" i="23"/>
  <c r="I93" i="23"/>
  <c r="I239" i="23" s="1"/>
  <c r="H93" i="23"/>
  <c r="H239" i="23" s="1"/>
  <c r="G93" i="23"/>
  <c r="G239" i="23" s="1"/>
  <c r="F93" i="23"/>
  <c r="F239" i="23" s="1"/>
  <c r="E93" i="23"/>
  <c r="E239" i="23" s="1"/>
  <c r="D93" i="23"/>
  <c r="D239" i="23" s="1"/>
  <c r="C93" i="23"/>
  <c r="C239" i="23" s="1"/>
  <c r="B93" i="23"/>
  <c r="B239" i="23" s="1"/>
  <c r="K92" i="23"/>
  <c r="K238" i="23" s="1"/>
  <c r="J92" i="23"/>
  <c r="I92" i="23"/>
  <c r="I238" i="23" s="1"/>
  <c r="H92" i="23"/>
  <c r="H238" i="23" s="1"/>
  <c r="G92" i="23"/>
  <c r="G238" i="23" s="1"/>
  <c r="F92" i="23"/>
  <c r="F238" i="23" s="1"/>
  <c r="E92" i="23"/>
  <c r="E238" i="23" s="1"/>
  <c r="D92" i="23"/>
  <c r="D238" i="23" s="1"/>
  <c r="C92" i="23"/>
  <c r="C238" i="23" s="1"/>
  <c r="B92" i="23"/>
  <c r="K91" i="23"/>
  <c r="K237" i="23" s="1"/>
  <c r="J91" i="23"/>
  <c r="J237" i="23" s="1"/>
  <c r="I91" i="23"/>
  <c r="I237" i="23" s="1"/>
  <c r="H91" i="23"/>
  <c r="H237" i="23" s="1"/>
  <c r="G91" i="23"/>
  <c r="G237" i="23" s="1"/>
  <c r="F91" i="23"/>
  <c r="F237" i="23" s="1"/>
  <c r="E91" i="23"/>
  <c r="E237" i="23" s="1"/>
  <c r="D91" i="23"/>
  <c r="D237" i="23" s="1"/>
  <c r="C91" i="23"/>
  <c r="C237" i="23" s="1"/>
  <c r="B91" i="23"/>
  <c r="B237" i="23" s="1"/>
  <c r="K90" i="23"/>
  <c r="K236" i="23" s="1"/>
  <c r="J90" i="23"/>
  <c r="J236" i="23" s="1"/>
  <c r="I90" i="23"/>
  <c r="I236" i="23" s="1"/>
  <c r="H90" i="23"/>
  <c r="H236" i="23" s="1"/>
  <c r="G90" i="23"/>
  <c r="G236" i="23" s="1"/>
  <c r="F90" i="23"/>
  <c r="F236" i="23" s="1"/>
  <c r="E90" i="23"/>
  <c r="E236" i="23" s="1"/>
  <c r="D90" i="23"/>
  <c r="D236" i="23" s="1"/>
  <c r="C90" i="23"/>
  <c r="C236" i="23" s="1"/>
  <c r="B90" i="23"/>
  <c r="B236" i="23" s="1"/>
  <c r="K89" i="23"/>
  <c r="J89" i="23"/>
  <c r="J235" i="23" s="1"/>
  <c r="I89" i="23"/>
  <c r="I235" i="23" s="1"/>
  <c r="H89" i="23"/>
  <c r="H235" i="23" s="1"/>
  <c r="G89" i="23"/>
  <c r="G235" i="23" s="1"/>
  <c r="F89" i="23"/>
  <c r="F235" i="23" s="1"/>
  <c r="E89" i="23"/>
  <c r="E235" i="23" s="1"/>
  <c r="D89" i="23"/>
  <c r="D235" i="23" s="1"/>
  <c r="C89" i="23"/>
  <c r="C235" i="23" s="1"/>
  <c r="B89" i="23"/>
  <c r="B235" i="23" s="1"/>
  <c r="K88" i="23"/>
  <c r="K234" i="23" s="1"/>
  <c r="J88" i="23"/>
  <c r="I88" i="23"/>
  <c r="I234" i="23" s="1"/>
  <c r="H88" i="23"/>
  <c r="H234" i="23" s="1"/>
  <c r="G88" i="23"/>
  <c r="G234" i="23" s="1"/>
  <c r="F88" i="23"/>
  <c r="F234" i="23" s="1"/>
  <c r="E88" i="23"/>
  <c r="E234" i="23" s="1"/>
  <c r="D88" i="23"/>
  <c r="D234" i="23" s="1"/>
  <c r="C88" i="23"/>
  <c r="B88" i="23"/>
  <c r="K87" i="23"/>
  <c r="K233" i="23" s="1"/>
  <c r="J87" i="23"/>
  <c r="J233" i="23" s="1"/>
  <c r="I87" i="23"/>
  <c r="I233" i="23" s="1"/>
  <c r="H87" i="23"/>
  <c r="H233" i="23" s="1"/>
  <c r="G87" i="23"/>
  <c r="G233" i="23" s="1"/>
  <c r="F87" i="23"/>
  <c r="F233" i="23" s="1"/>
  <c r="E87" i="23"/>
  <c r="D87" i="23"/>
  <c r="D233" i="23" s="1"/>
  <c r="C87" i="23"/>
  <c r="C233" i="23" s="1"/>
  <c r="B87" i="23"/>
  <c r="B233" i="23" s="1"/>
  <c r="K86" i="23"/>
  <c r="K232" i="23" s="1"/>
  <c r="J86" i="23"/>
  <c r="J232" i="23" s="1"/>
  <c r="H86" i="23"/>
  <c r="H232" i="23" s="1"/>
  <c r="G86" i="23"/>
  <c r="G232" i="23" s="1"/>
  <c r="E86" i="23"/>
  <c r="E232" i="23" s="1"/>
  <c r="D86" i="23"/>
  <c r="D232" i="23" s="1"/>
  <c r="C86" i="23"/>
  <c r="C232" i="23" s="1"/>
  <c r="B86" i="23"/>
  <c r="B232" i="23" s="1"/>
  <c r="L85" i="23"/>
  <c r="L231" i="23" s="1"/>
  <c r="K85" i="23"/>
  <c r="J85" i="23"/>
  <c r="J231" i="23" s="1"/>
  <c r="I85" i="23"/>
  <c r="I231" i="23" s="1"/>
  <c r="H85" i="23"/>
  <c r="H231" i="23" s="1"/>
  <c r="G85" i="23"/>
  <c r="G231" i="23" s="1"/>
  <c r="F85" i="23"/>
  <c r="F231" i="23" s="1"/>
  <c r="E85" i="23"/>
  <c r="E231" i="23" s="1"/>
  <c r="D85" i="23"/>
  <c r="D231" i="23" s="1"/>
  <c r="C85" i="23"/>
  <c r="C231" i="23" s="1"/>
  <c r="B85" i="23"/>
  <c r="B231" i="23" s="1"/>
  <c r="K84" i="23"/>
  <c r="K230" i="23" s="1"/>
  <c r="J84" i="23"/>
  <c r="I84" i="23"/>
  <c r="I230" i="23" s="1"/>
  <c r="H84" i="23"/>
  <c r="H230" i="23" s="1"/>
  <c r="G84" i="23"/>
  <c r="G230" i="23" s="1"/>
  <c r="F84" i="23"/>
  <c r="F230" i="23" s="1"/>
  <c r="E84" i="23"/>
  <c r="E230" i="23" s="1"/>
  <c r="D84" i="23"/>
  <c r="D230" i="23" s="1"/>
  <c r="C84" i="23"/>
  <c r="C230" i="23" s="1"/>
  <c r="B84" i="23"/>
  <c r="K83" i="23"/>
  <c r="K229" i="23" s="1"/>
  <c r="J83" i="23"/>
  <c r="J229" i="23" s="1"/>
  <c r="I83" i="23"/>
  <c r="I229" i="23" s="1"/>
  <c r="H83" i="23"/>
  <c r="H229" i="23" s="1"/>
  <c r="G83" i="23"/>
  <c r="G229" i="23" s="1"/>
  <c r="F83" i="23"/>
  <c r="F229" i="23" s="1"/>
  <c r="E83" i="23"/>
  <c r="D83" i="23"/>
  <c r="D229" i="23" s="1"/>
  <c r="C83" i="23"/>
  <c r="C229" i="23" s="1"/>
  <c r="B83" i="23"/>
  <c r="B229" i="23" s="1"/>
  <c r="K82" i="23"/>
  <c r="K228" i="23" s="1"/>
  <c r="J82" i="23"/>
  <c r="J228" i="23" s="1"/>
  <c r="I82" i="23"/>
  <c r="I228" i="23" s="1"/>
  <c r="H82" i="23"/>
  <c r="H228" i="23" s="1"/>
  <c r="G82" i="23"/>
  <c r="G228" i="23" s="1"/>
  <c r="F82" i="23"/>
  <c r="F228" i="23" s="1"/>
  <c r="E82" i="23"/>
  <c r="E228" i="23" s="1"/>
  <c r="D82" i="23"/>
  <c r="D228" i="23" s="1"/>
  <c r="C82" i="23"/>
  <c r="B82" i="23"/>
  <c r="B228" i="23" s="1"/>
  <c r="K81" i="23"/>
  <c r="J81" i="23"/>
  <c r="I81" i="23"/>
  <c r="H81" i="23"/>
  <c r="G81" i="23"/>
  <c r="F81" i="23"/>
  <c r="E81" i="23"/>
  <c r="D81" i="23"/>
  <c r="C81" i="23"/>
  <c r="B81" i="23"/>
  <c r="K80" i="23"/>
  <c r="J80" i="23"/>
  <c r="I80" i="23"/>
  <c r="H80" i="23"/>
  <c r="G80" i="23"/>
  <c r="F80" i="23"/>
  <c r="E80" i="23"/>
  <c r="D80" i="23"/>
  <c r="C80" i="23"/>
  <c r="B80" i="23"/>
  <c r="K79" i="23"/>
  <c r="J79" i="23"/>
  <c r="I79" i="23"/>
  <c r="H79" i="23"/>
  <c r="G79" i="23"/>
  <c r="F79" i="23"/>
  <c r="E79" i="23"/>
  <c r="D79" i="23"/>
  <c r="C79" i="23"/>
  <c r="B79" i="23"/>
  <c r="K78" i="23"/>
  <c r="J78" i="23"/>
  <c r="I78" i="23"/>
  <c r="H78" i="23"/>
  <c r="G78" i="23"/>
  <c r="F78" i="23"/>
  <c r="E78" i="23"/>
  <c r="D78" i="23"/>
  <c r="C78" i="23"/>
  <c r="B78" i="23"/>
  <c r="K77" i="23"/>
  <c r="J77" i="23"/>
  <c r="I77" i="23"/>
  <c r="H77" i="23"/>
  <c r="G77" i="23"/>
  <c r="F77" i="23"/>
  <c r="E77" i="23"/>
  <c r="D77" i="23"/>
  <c r="C77" i="23"/>
  <c r="B77" i="23"/>
  <c r="K76" i="23"/>
  <c r="J76" i="23"/>
  <c r="I76" i="23"/>
  <c r="H76" i="23"/>
  <c r="G76" i="23"/>
  <c r="F76" i="23"/>
  <c r="E76" i="23"/>
  <c r="D76" i="23"/>
  <c r="C76" i="23"/>
  <c r="B76" i="23"/>
  <c r="K75" i="23"/>
  <c r="J75" i="23"/>
  <c r="I75" i="23"/>
  <c r="H75" i="23"/>
  <c r="G75" i="23"/>
  <c r="F75" i="23"/>
  <c r="E75" i="23"/>
  <c r="D75" i="23"/>
  <c r="C75" i="23"/>
  <c r="B75" i="23"/>
  <c r="K74" i="23"/>
  <c r="J74" i="23"/>
  <c r="I74" i="23"/>
  <c r="H74" i="23"/>
  <c r="G74" i="23"/>
  <c r="F74" i="23"/>
  <c r="E74" i="23"/>
  <c r="D74" i="23"/>
  <c r="C74" i="23"/>
  <c r="B74" i="23"/>
  <c r="K73" i="23"/>
  <c r="J73" i="23"/>
  <c r="I73" i="23"/>
  <c r="H73" i="23"/>
  <c r="G73" i="23"/>
  <c r="F73" i="23"/>
  <c r="E73" i="23"/>
  <c r="D73" i="23"/>
  <c r="C73" i="23"/>
  <c r="B73" i="23"/>
  <c r="K72" i="23"/>
  <c r="J72" i="23"/>
  <c r="I72" i="23"/>
  <c r="H72" i="23"/>
  <c r="G72" i="23"/>
  <c r="F72" i="23"/>
  <c r="E72" i="23"/>
  <c r="D72" i="23"/>
  <c r="C72" i="23"/>
  <c r="B72" i="23"/>
  <c r="K71" i="23"/>
  <c r="J71" i="23"/>
  <c r="I71" i="23"/>
  <c r="H71" i="23"/>
  <c r="G71" i="23"/>
  <c r="F71" i="23"/>
  <c r="E71" i="23"/>
  <c r="D71" i="23"/>
  <c r="C71" i="23"/>
  <c r="B71" i="23"/>
  <c r="K70" i="23"/>
  <c r="J70" i="23"/>
  <c r="I70" i="23"/>
  <c r="H70" i="23"/>
  <c r="G70" i="23"/>
  <c r="F70" i="23"/>
  <c r="E70" i="23"/>
  <c r="D70" i="23"/>
  <c r="C70" i="23"/>
  <c r="B70" i="23"/>
  <c r="L69" i="23"/>
  <c r="K69" i="23"/>
  <c r="J69" i="23"/>
  <c r="I69" i="23"/>
  <c r="H69" i="23"/>
  <c r="G69" i="23"/>
  <c r="F69" i="23"/>
  <c r="E69" i="23"/>
  <c r="D69" i="23"/>
  <c r="C69" i="23"/>
  <c r="B69" i="23"/>
  <c r="L68" i="23"/>
  <c r="K68" i="23"/>
  <c r="J68" i="23"/>
  <c r="I68" i="23"/>
  <c r="H68" i="23"/>
  <c r="G68" i="23"/>
  <c r="F68" i="23"/>
  <c r="E68" i="23"/>
  <c r="D68" i="23"/>
  <c r="C68" i="23"/>
  <c r="B68" i="23"/>
  <c r="X67" i="23"/>
  <c r="K67" i="23"/>
  <c r="J67" i="23"/>
  <c r="I67" i="23"/>
  <c r="H67" i="23"/>
  <c r="G67" i="23"/>
  <c r="F67" i="23"/>
  <c r="E67" i="23"/>
  <c r="D67" i="23"/>
  <c r="C67" i="23"/>
  <c r="B67" i="23"/>
  <c r="R66" i="23"/>
  <c r="Q66" i="23"/>
  <c r="K66" i="23"/>
  <c r="J66" i="23"/>
  <c r="I66" i="23"/>
  <c r="H66" i="23"/>
  <c r="G66" i="23"/>
  <c r="F66" i="23"/>
  <c r="E66" i="23"/>
  <c r="D66" i="23"/>
  <c r="C66" i="23"/>
  <c r="B66" i="23"/>
  <c r="Q65" i="23"/>
  <c r="K65" i="23"/>
  <c r="J65" i="23"/>
  <c r="I65" i="23"/>
  <c r="H65" i="23"/>
  <c r="G65" i="23"/>
  <c r="F65" i="23"/>
  <c r="E65" i="23"/>
  <c r="D65" i="23"/>
  <c r="C65" i="23"/>
  <c r="B65" i="23"/>
  <c r="U64" i="23"/>
  <c r="T64" i="23"/>
  <c r="S64" i="23"/>
  <c r="R64" i="23"/>
  <c r="Q64" i="23"/>
  <c r="K64" i="23"/>
  <c r="J64" i="23"/>
  <c r="I64" i="23"/>
  <c r="H64" i="23"/>
  <c r="G64" i="23"/>
  <c r="F64" i="23"/>
  <c r="E64" i="23"/>
  <c r="D64" i="23"/>
  <c r="C64" i="23"/>
  <c r="B64" i="23"/>
  <c r="U63" i="23"/>
  <c r="T63" i="23"/>
  <c r="S63" i="23"/>
  <c r="R63" i="23"/>
  <c r="Q63" i="23"/>
  <c r="K63" i="23"/>
  <c r="J63" i="23"/>
  <c r="I63" i="23"/>
  <c r="H63" i="23"/>
  <c r="G63" i="23"/>
  <c r="F63" i="23"/>
  <c r="E63" i="23"/>
  <c r="D63" i="23"/>
  <c r="C63" i="23"/>
  <c r="B63" i="23"/>
  <c r="U62" i="23"/>
  <c r="T62" i="23"/>
  <c r="S62" i="23"/>
  <c r="R62" i="23"/>
  <c r="Q62" i="23"/>
  <c r="K62" i="23"/>
  <c r="J62" i="23"/>
  <c r="I62" i="23"/>
  <c r="H62" i="23"/>
  <c r="G62" i="23"/>
  <c r="F62" i="23"/>
  <c r="E62" i="23"/>
  <c r="D62" i="23"/>
  <c r="C62" i="23"/>
  <c r="B62" i="23"/>
  <c r="U61" i="23"/>
  <c r="T61" i="23"/>
  <c r="S61" i="23"/>
  <c r="R61" i="23"/>
  <c r="Q61" i="23"/>
  <c r="P61" i="23"/>
  <c r="K61" i="23"/>
  <c r="J61" i="23"/>
  <c r="I61" i="23"/>
  <c r="H61" i="23"/>
  <c r="G61" i="23"/>
  <c r="F61" i="23"/>
  <c r="E61" i="23"/>
  <c r="D61" i="23"/>
  <c r="C61" i="23"/>
  <c r="B61" i="23"/>
  <c r="U60" i="23"/>
  <c r="T60" i="23"/>
  <c r="S60" i="23"/>
  <c r="R60" i="23"/>
  <c r="Q60" i="23"/>
  <c r="P60" i="23"/>
  <c r="K60" i="23"/>
  <c r="J60" i="23"/>
  <c r="I60" i="23"/>
  <c r="H60" i="23"/>
  <c r="G60" i="23"/>
  <c r="F60" i="23"/>
  <c r="E60" i="23"/>
  <c r="D60" i="23"/>
  <c r="C60" i="23"/>
  <c r="B60" i="23"/>
  <c r="U59" i="23"/>
  <c r="T59" i="23"/>
  <c r="S59" i="23"/>
  <c r="R59" i="23"/>
  <c r="Q59" i="23"/>
  <c r="P59" i="23"/>
  <c r="K59" i="23"/>
  <c r="J59" i="23"/>
  <c r="I59" i="23"/>
  <c r="H59" i="23"/>
  <c r="G59" i="23"/>
  <c r="F59" i="23"/>
  <c r="E59" i="23"/>
  <c r="D59" i="23"/>
  <c r="C59" i="23"/>
  <c r="B59" i="23"/>
  <c r="U58" i="23"/>
  <c r="T58" i="23"/>
  <c r="S58" i="23"/>
  <c r="R58" i="23"/>
  <c r="Q58" i="23"/>
  <c r="P58" i="23"/>
  <c r="K58" i="23"/>
  <c r="J58" i="23"/>
  <c r="I58" i="23"/>
  <c r="H58" i="23"/>
  <c r="G58" i="23"/>
  <c r="F58" i="23"/>
  <c r="E58" i="23"/>
  <c r="D58" i="23"/>
  <c r="C58" i="23"/>
  <c r="B58" i="23"/>
  <c r="U57" i="23"/>
  <c r="T57" i="23"/>
  <c r="S57" i="23"/>
  <c r="R57" i="23"/>
  <c r="Q57" i="23"/>
  <c r="Q223" i="23" s="1"/>
  <c r="P57" i="23"/>
  <c r="K57" i="23"/>
  <c r="J57" i="23"/>
  <c r="I57" i="23"/>
  <c r="H57" i="23"/>
  <c r="G57" i="23"/>
  <c r="G223" i="23" s="1"/>
  <c r="F57" i="23"/>
  <c r="E57" i="23"/>
  <c r="D57" i="23"/>
  <c r="C57" i="23"/>
  <c r="B57" i="23"/>
  <c r="U56" i="23"/>
  <c r="T56" i="23"/>
  <c r="S56" i="23"/>
  <c r="R56" i="23"/>
  <c r="Q56" i="23"/>
  <c r="P56" i="23"/>
  <c r="O56" i="23"/>
  <c r="K56" i="23"/>
  <c r="J56" i="23"/>
  <c r="I56" i="23"/>
  <c r="H56" i="23"/>
  <c r="G56" i="23"/>
  <c r="F56" i="23"/>
  <c r="E56" i="23"/>
  <c r="D56" i="23"/>
  <c r="C56" i="23"/>
  <c r="B56" i="23"/>
  <c r="U55" i="23"/>
  <c r="T55" i="23"/>
  <c r="S55" i="23"/>
  <c r="R55" i="23"/>
  <c r="Q55" i="23"/>
  <c r="P55" i="23"/>
  <c r="O55" i="23"/>
  <c r="K55" i="23"/>
  <c r="J55" i="23"/>
  <c r="I55" i="23"/>
  <c r="H55" i="23"/>
  <c r="G55" i="23"/>
  <c r="F55" i="23"/>
  <c r="E55" i="23"/>
  <c r="D55" i="23"/>
  <c r="C55" i="23"/>
  <c r="B55" i="23"/>
  <c r="U54" i="23"/>
  <c r="T54" i="23"/>
  <c r="S54" i="23"/>
  <c r="R54" i="23"/>
  <c r="Q54" i="23"/>
  <c r="P54" i="23"/>
  <c r="O54" i="23"/>
  <c r="K54" i="23"/>
  <c r="J54" i="23"/>
  <c r="I54" i="23"/>
  <c r="H54" i="23"/>
  <c r="G54" i="23"/>
  <c r="F54" i="23"/>
  <c r="E54" i="23"/>
  <c r="D54" i="23"/>
  <c r="C54" i="23"/>
  <c r="B54" i="23"/>
  <c r="U53" i="23"/>
  <c r="T53" i="23"/>
  <c r="S53" i="23"/>
  <c r="R53" i="23"/>
  <c r="Q53" i="23"/>
  <c r="P53" i="23"/>
  <c r="K53" i="23"/>
  <c r="J53" i="23"/>
  <c r="I53" i="23"/>
  <c r="H53" i="23"/>
  <c r="G53" i="23"/>
  <c r="F53" i="23"/>
  <c r="E53" i="23"/>
  <c r="D53" i="23"/>
  <c r="C53" i="23"/>
  <c r="U52" i="23"/>
  <c r="T52" i="23"/>
  <c r="S52" i="23"/>
  <c r="R52" i="23"/>
  <c r="Q52" i="23"/>
  <c r="P52" i="23"/>
  <c r="K52" i="23"/>
  <c r="J52" i="23"/>
  <c r="I52" i="23"/>
  <c r="H52" i="23"/>
  <c r="G52" i="23"/>
  <c r="F52" i="23"/>
  <c r="E52" i="23"/>
  <c r="D52" i="23"/>
  <c r="C52" i="23"/>
  <c r="U49" i="23"/>
  <c r="U220" i="23" s="1"/>
  <c r="T49" i="23"/>
  <c r="T190" i="23" s="1"/>
  <c r="T289" i="23" s="1"/>
  <c r="S49" i="23"/>
  <c r="R49" i="23"/>
  <c r="R220" i="23" s="1"/>
  <c r="Q220" i="23"/>
  <c r="K49" i="23"/>
  <c r="K190" i="23" s="1"/>
  <c r="K289" i="23" s="1"/>
  <c r="J49" i="23"/>
  <c r="J220" i="23" s="1"/>
  <c r="I49" i="23"/>
  <c r="I220" i="23" s="1"/>
  <c r="H49" i="23"/>
  <c r="H220" i="23" s="1"/>
  <c r="G49" i="23"/>
  <c r="F49" i="23"/>
  <c r="F220" i="23" s="1"/>
  <c r="E49" i="23"/>
  <c r="E220" i="23" s="1"/>
  <c r="D49" i="23"/>
  <c r="D220" i="23" s="1"/>
  <c r="C49" i="23"/>
  <c r="C220" i="23" s="1"/>
  <c r="B49" i="23"/>
  <c r="B220" i="23" s="1"/>
  <c r="U46" i="23"/>
  <c r="U217" i="23" s="1"/>
  <c r="T46" i="23"/>
  <c r="T217" i="23" s="1"/>
  <c r="S46" i="23"/>
  <c r="R46" i="23"/>
  <c r="R217" i="23" s="1"/>
  <c r="Q217" i="23"/>
  <c r="K46" i="23"/>
  <c r="K217" i="23" s="1"/>
  <c r="J46" i="23"/>
  <c r="J217" i="23" s="1"/>
  <c r="I46" i="23"/>
  <c r="I217" i="23" s="1"/>
  <c r="H46" i="23"/>
  <c r="H217" i="23" s="1"/>
  <c r="G46" i="23"/>
  <c r="G217" i="23" s="1"/>
  <c r="F46" i="23"/>
  <c r="F217" i="23" s="1"/>
  <c r="E46" i="23"/>
  <c r="E217" i="23" s="1"/>
  <c r="D46" i="23"/>
  <c r="D217" i="23" s="1"/>
  <c r="C46" i="23"/>
  <c r="C217" i="23" s="1"/>
  <c r="B46" i="23"/>
  <c r="B217" i="23" s="1"/>
  <c r="U45" i="23"/>
  <c r="U216" i="23" s="1"/>
  <c r="T45" i="23"/>
  <c r="T216" i="23" s="1"/>
  <c r="S45" i="23"/>
  <c r="R45" i="23"/>
  <c r="R216" i="23" s="1"/>
  <c r="Q45" i="23"/>
  <c r="Q216" i="23" s="1"/>
  <c r="K45" i="23"/>
  <c r="J45" i="23"/>
  <c r="J216" i="23" s="1"/>
  <c r="I45" i="23"/>
  <c r="I216" i="23" s="1"/>
  <c r="H45" i="23"/>
  <c r="H216" i="23" s="1"/>
  <c r="G45" i="23"/>
  <c r="F45" i="23"/>
  <c r="F216" i="23" s="1"/>
  <c r="E45" i="23"/>
  <c r="E216" i="23" s="1"/>
  <c r="D45" i="23"/>
  <c r="D216" i="23" s="1"/>
  <c r="C45" i="23"/>
  <c r="B45" i="23"/>
  <c r="B216" i="23" s="1"/>
  <c r="U44" i="23"/>
  <c r="U215" i="23" s="1"/>
  <c r="T44" i="23"/>
  <c r="T215" i="23" s="1"/>
  <c r="S44" i="23"/>
  <c r="R44" i="23"/>
  <c r="R215" i="23" s="1"/>
  <c r="Q44" i="23"/>
  <c r="Q215" i="23" s="1"/>
  <c r="K44" i="23"/>
  <c r="K215" i="23" s="1"/>
  <c r="J44" i="23"/>
  <c r="J215" i="23" s="1"/>
  <c r="I44" i="23"/>
  <c r="I215" i="23" s="1"/>
  <c r="H44" i="23"/>
  <c r="H215" i="23" s="1"/>
  <c r="G44" i="23"/>
  <c r="G215" i="23" s="1"/>
  <c r="F44" i="23"/>
  <c r="F215" i="23" s="1"/>
  <c r="E44" i="23"/>
  <c r="E215" i="23" s="1"/>
  <c r="D44" i="23"/>
  <c r="D215" i="23" s="1"/>
  <c r="C44" i="23"/>
  <c r="C215" i="23" s="1"/>
  <c r="B44" i="23"/>
  <c r="B215" i="23" s="1"/>
  <c r="U43" i="23"/>
  <c r="U214" i="23" s="1"/>
  <c r="T43" i="23"/>
  <c r="T184" i="23" s="1"/>
  <c r="T283" i="23" s="1"/>
  <c r="S43" i="23"/>
  <c r="S214" i="23" s="1"/>
  <c r="R43" i="23"/>
  <c r="R214" i="23" s="1"/>
  <c r="Q43" i="23"/>
  <c r="Q214" i="23" s="1"/>
  <c r="K43" i="23"/>
  <c r="K214" i="23" s="1"/>
  <c r="J43" i="23"/>
  <c r="J214" i="23" s="1"/>
  <c r="I43" i="23"/>
  <c r="I214" i="23" s="1"/>
  <c r="H43" i="23"/>
  <c r="H214" i="23" s="1"/>
  <c r="G43" i="23"/>
  <c r="G214" i="23" s="1"/>
  <c r="F43" i="23"/>
  <c r="F214" i="23" s="1"/>
  <c r="E43" i="23"/>
  <c r="E214" i="23" s="1"/>
  <c r="D43" i="23"/>
  <c r="D214" i="23" s="1"/>
  <c r="C43" i="23"/>
  <c r="C214" i="23" s="1"/>
  <c r="B43" i="23"/>
  <c r="B214" i="23" s="1"/>
  <c r="U42" i="23"/>
  <c r="U213" i="23" s="1"/>
  <c r="T42" i="23"/>
  <c r="S42" i="23"/>
  <c r="S213" i="23" s="1"/>
  <c r="R42" i="23"/>
  <c r="R213" i="23" s="1"/>
  <c r="Q42" i="23"/>
  <c r="Q213" i="23" s="1"/>
  <c r="K42" i="23"/>
  <c r="K213" i="23" s="1"/>
  <c r="J42" i="23"/>
  <c r="J213" i="23" s="1"/>
  <c r="I42" i="23"/>
  <c r="I213" i="23" s="1"/>
  <c r="H42" i="23"/>
  <c r="H213" i="23" s="1"/>
  <c r="G42" i="23"/>
  <c r="G213" i="23" s="1"/>
  <c r="F42" i="23"/>
  <c r="F213" i="23" s="1"/>
  <c r="E42" i="23"/>
  <c r="E213" i="23" s="1"/>
  <c r="D42" i="23"/>
  <c r="D213" i="23" s="1"/>
  <c r="C42" i="23"/>
  <c r="C213" i="23" s="1"/>
  <c r="B42" i="23"/>
  <c r="B213" i="23" s="1"/>
  <c r="U41" i="23"/>
  <c r="U212" i="23" s="1"/>
  <c r="T41" i="23"/>
  <c r="T182" i="23" s="1"/>
  <c r="T281" i="23" s="1"/>
  <c r="S41" i="23"/>
  <c r="S212" i="23" s="1"/>
  <c r="R41" i="23"/>
  <c r="R212" i="23" s="1"/>
  <c r="Q41" i="23"/>
  <c r="Q212" i="23" s="1"/>
  <c r="K41" i="23"/>
  <c r="K212" i="23" s="1"/>
  <c r="J41" i="23"/>
  <c r="J212" i="23" s="1"/>
  <c r="I41" i="23"/>
  <c r="I212" i="23" s="1"/>
  <c r="H41" i="23"/>
  <c r="H212" i="23" s="1"/>
  <c r="G41" i="23"/>
  <c r="G212" i="23" s="1"/>
  <c r="F41" i="23"/>
  <c r="F212" i="23" s="1"/>
  <c r="E41" i="23"/>
  <c r="E212" i="23" s="1"/>
  <c r="D41" i="23"/>
  <c r="D212" i="23" s="1"/>
  <c r="C41" i="23"/>
  <c r="C212" i="23" s="1"/>
  <c r="B41" i="23"/>
  <c r="B212" i="23" s="1"/>
  <c r="U40" i="23"/>
  <c r="U211" i="23" s="1"/>
  <c r="T40" i="23"/>
  <c r="S40" i="23"/>
  <c r="S211" i="23" s="1"/>
  <c r="R40" i="23"/>
  <c r="R211" i="23" s="1"/>
  <c r="Q40" i="23"/>
  <c r="Q211" i="23" s="1"/>
  <c r="K40" i="23"/>
  <c r="K211" i="23" s="1"/>
  <c r="J40" i="23"/>
  <c r="J211" i="23" s="1"/>
  <c r="I40" i="23"/>
  <c r="I211" i="23" s="1"/>
  <c r="H40" i="23"/>
  <c r="H211" i="23" s="1"/>
  <c r="G40" i="23"/>
  <c r="G211" i="23" s="1"/>
  <c r="F40" i="23"/>
  <c r="F211" i="23" s="1"/>
  <c r="E40" i="23"/>
  <c r="E211" i="23" s="1"/>
  <c r="D40" i="23"/>
  <c r="D211" i="23" s="1"/>
  <c r="C40" i="23"/>
  <c r="C211" i="23" s="1"/>
  <c r="B40" i="23"/>
  <c r="B211" i="23" s="1"/>
  <c r="U39" i="23"/>
  <c r="U210" i="23" s="1"/>
  <c r="T39" i="23"/>
  <c r="T180" i="23" s="1"/>
  <c r="T279" i="23" s="1"/>
  <c r="S39" i="23"/>
  <c r="S210" i="23" s="1"/>
  <c r="R39" i="23"/>
  <c r="R210" i="23" s="1"/>
  <c r="Q39" i="23"/>
  <c r="Q210" i="23" s="1"/>
  <c r="K39" i="23"/>
  <c r="K210" i="23" s="1"/>
  <c r="J39" i="23"/>
  <c r="J210" i="23" s="1"/>
  <c r="H39" i="23"/>
  <c r="H210" i="23" s="1"/>
  <c r="C39" i="23"/>
  <c r="C210" i="23" s="1"/>
  <c r="B39" i="23"/>
  <c r="B210" i="23" s="1"/>
  <c r="U38" i="23"/>
  <c r="T38" i="23"/>
  <c r="T209" i="23" s="1"/>
  <c r="S38" i="23"/>
  <c r="S209" i="23" s="1"/>
  <c r="R38" i="23"/>
  <c r="R209" i="23" s="1"/>
  <c r="Q38" i="23"/>
  <c r="K38" i="23"/>
  <c r="K209" i="23" s="1"/>
  <c r="J38" i="23"/>
  <c r="J209" i="23" s="1"/>
  <c r="I38" i="23"/>
  <c r="G38" i="23"/>
  <c r="G209" i="23" s="1"/>
  <c r="F38" i="23"/>
  <c r="F209" i="23" s="1"/>
  <c r="E38" i="23"/>
  <c r="E209" i="23" s="1"/>
  <c r="D38" i="23"/>
  <c r="D209" i="23" s="1"/>
  <c r="C38" i="23"/>
  <c r="C209" i="23" s="1"/>
  <c r="B38" i="23"/>
  <c r="B209" i="23" s="1"/>
  <c r="U37" i="23"/>
  <c r="T37" i="23"/>
  <c r="T208" i="23" s="1"/>
  <c r="S37" i="23"/>
  <c r="S208" i="23" s="1"/>
  <c r="R37" i="23"/>
  <c r="R208" i="23" s="1"/>
  <c r="Q37" i="23"/>
  <c r="K37" i="23"/>
  <c r="K208" i="23" s="1"/>
  <c r="J37" i="23"/>
  <c r="J208" i="23" s="1"/>
  <c r="I37" i="23"/>
  <c r="I208" i="23" s="1"/>
  <c r="H37" i="23"/>
  <c r="H208" i="23" s="1"/>
  <c r="G37" i="23"/>
  <c r="G208" i="23" s="1"/>
  <c r="F37" i="23"/>
  <c r="F208" i="23" s="1"/>
  <c r="E37" i="23"/>
  <c r="E208" i="23" s="1"/>
  <c r="D37" i="23"/>
  <c r="D208" i="23" s="1"/>
  <c r="C37" i="23"/>
  <c r="C208" i="23" s="1"/>
  <c r="B37" i="23"/>
  <c r="B208" i="23" s="1"/>
  <c r="U36" i="23"/>
  <c r="U207" i="23" s="1"/>
  <c r="T36" i="23"/>
  <c r="T207" i="23" s="1"/>
  <c r="S36" i="23"/>
  <c r="S207" i="23" s="1"/>
  <c r="R36" i="23"/>
  <c r="R207" i="23" s="1"/>
  <c r="Q36" i="23"/>
  <c r="Q207" i="23" s="1"/>
  <c r="K36" i="23"/>
  <c r="K207" i="23" s="1"/>
  <c r="J36" i="23"/>
  <c r="J207" i="23" s="1"/>
  <c r="I36" i="23"/>
  <c r="I207" i="23" s="1"/>
  <c r="H36" i="23"/>
  <c r="H207" i="23" s="1"/>
  <c r="G36" i="23"/>
  <c r="G207" i="23" s="1"/>
  <c r="F36" i="23"/>
  <c r="F207" i="23" s="1"/>
  <c r="E36" i="23"/>
  <c r="E207" i="23" s="1"/>
  <c r="D36" i="23"/>
  <c r="D207" i="23" s="1"/>
  <c r="C36" i="23"/>
  <c r="C207" i="23" s="1"/>
  <c r="B36" i="23"/>
  <c r="B207" i="23" s="1"/>
  <c r="U35" i="23"/>
  <c r="U206" i="23" s="1"/>
  <c r="T35" i="23"/>
  <c r="T206" i="23" s="1"/>
  <c r="S35" i="23"/>
  <c r="S206" i="23" s="1"/>
  <c r="R35" i="23"/>
  <c r="Q35" i="23"/>
  <c r="Q206" i="23" s="1"/>
  <c r="K35" i="23"/>
  <c r="K206" i="23" s="1"/>
  <c r="J35" i="23"/>
  <c r="J206" i="23" s="1"/>
  <c r="I35" i="23"/>
  <c r="I206" i="23" s="1"/>
  <c r="H35" i="23"/>
  <c r="H206" i="23" s="1"/>
  <c r="G35" i="23"/>
  <c r="G206" i="23" s="1"/>
  <c r="F35" i="23"/>
  <c r="F206" i="23" s="1"/>
  <c r="E35" i="23"/>
  <c r="E206" i="23" s="1"/>
  <c r="D35" i="23"/>
  <c r="D206" i="23" s="1"/>
  <c r="C35" i="23"/>
  <c r="C206" i="23" s="1"/>
  <c r="B35" i="23"/>
  <c r="B206" i="23" s="1"/>
  <c r="U34" i="23"/>
  <c r="U175" i="23" s="1"/>
  <c r="T34" i="23"/>
  <c r="T175" i="23" s="1"/>
  <c r="S34" i="23"/>
  <c r="S175" i="23" s="1"/>
  <c r="R34" i="23"/>
  <c r="R175" i="23" s="1"/>
  <c r="Q34" i="23"/>
  <c r="Q175" i="23" s="1"/>
  <c r="K34" i="23"/>
  <c r="J34" i="23"/>
  <c r="I34" i="23"/>
  <c r="H34" i="23"/>
  <c r="G34" i="23"/>
  <c r="F34" i="23"/>
  <c r="E34" i="23"/>
  <c r="C34" i="23"/>
  <c r="B34" i="23"/>
  <c r="U33" i="23"/>
  <c r="U174" i="23" s="1"/>
  <c r="T33" i="23"/>
  <c r="T174" i="23" s="1"/>
  <c r="S33" i="23"/>
  <c r="S174" i="23" s="1"/>
  <c r="R33" i="23"/>
  <c r="R174" i="23" s="1"/>
  <c r="Q33" i="23"/>
  <c r="Q174" i="23" s="1"/>
  <c r="K33" i="23"/>
  <c r="J33" i="23"/>
  <c r="I33" i="23"/>
  <c r="H33" i="23"/>
  <c r="G33" i="23"/>
  <c r="F33" i="23"/>
  <c r="E33" i="23"/>
  <c r="D33" i="23"/>
  <c r="C33" i="23"/>
  <c r="B33" i="23"/>
  <c r="U32" i="23"/>
  <c r="U173" i="23" s="1"/>
  <c r="T32" i="23"/>
  <c r="T173" i="23" s="1"/>
  <c r="S32" i="23"/>
  <c r="S173" i="23" s="1"/>
  <c r="R32" i="23"/>
  <c r="R173" i="23" s="1"/>
  <c r="Q32" i="23"/>
  <c r="Q173" i="23" s="1"/>
  <c r="K32" i="23"/>
  <c r="J32" i="23"/>
  <c r="I32" i="23"/>
  <c r="H32" i="23"/>
  <c r="G32" i="23"/>
  <c r="F32" i="23"/>
  <c r="E32" i="23"/>
  <c r="D32" i="23"/>
  <c r="C32" i="23"/>
  <c r="B32" i="23"/>
  <c r="U31" i="23"/>
  <c r="U172" i="23" s="1"/>
  <c r="T31" i="23"/>
  <c r="T172" i="23" s="1"/>
  <c r="S31" i="23"/>
  <c r="S172" i="23" s="1"/>
  <c r="R31" i="23"/>
  <c r="R172" i="23" s="1"/>
  <c r="Q31" i="23"/>
  <c r="Q172" i="23" s="1"/>
  <c r="K31" i="23"/>
  <c r="J31" i="23"/>
  <c r="I31" i="23"/>
  <c r="H31" i="23"/>
  <c r="G31" i="23"/>
  <c r="F31" i="23"/>
  <c r="E31" i="23"/>
  <c r="D31" i="23"/>
  <c r="C31" i="23"/>
  <c r="B31" i="23"/>
  <c r="U30" i="23"/>
  <c r="U205" i="23" s="1"/>
  <c r="T30" i="23"/>
  <c r="T205" i="23" s="1"/>
  <c r="S30" i="23"/>
  <c r="S205" i="23" s="1"/>
  <c r="R30" i="23"/>
  <c r="R171" i="23" s="1"/>
  <c r="R274" i="23" s="1"/>
  <c r="Q30" i="23"/>
  <c r="Q205" i="23" s="1"/>
  <c r="K30" i="23"/>
  <c r="J30" i="23"/>
  <c r="I30" i="23"/>
  <c r="H30" i="23"/>
  <c r="G30" i="23"/>
  <c r="F30" i="23"/>
  <c r="E30" i="23"/>
  <c r="D30" i="23"/>
  <c r="C30" i="23"/>
  <c r="B30" i="23"/>
  <c r="U29" i="23"/>
  <c r="U170" i="23" s="1"/>
  <c r="T29" i="23"/>
  <c r="T170" i="23" s="1"/>
  <c r="S29" i="23"/>
  <c r="S170" i="23" s="1"/>
  <c r="R29" i="23"/>
  <c r="R170" i="23" s="1"/>
  <c r="Q29" i="23"/>
  <c r="Q170" i="23" s="1"/>
  <c r="K29" i="23"/>
  <c r="J29" i="23"/>
  <c r="I29" i="23"/>
  <c r="H29" i="23"/>
  <c r="G29" i="23"/>
  <c r="F29" i="23"/>
  <c r="E29" i="23"/>
  <c r="D29" i="23"/>
  <c r="C29" i="23"/>
  <c r="B29" i="23"/>
  <c r="U28" i="23"/>
  <c r="U169" i="23" s="1"/>
  <c r="T28" i="23"/>
  <c r="T169" i="23" s="1"/>
  <c r="S28" i="23"/>
  <c r="S169" i="23" s="1"/>
  <c r="R28" i="23"/>
  <c r="R169" i="23" s="1"/>
  <c r="Q28" i="23"/>
  <c r="Q169" i="23" s="1"/>
  <c r="K28" i="23"/>
  <c r="J28" i="23"/>
  <c r="I28" i="23"/>
  <c r="H28" i="23"/>
  <c r="G28" i="23"/>
  <c r="F28" i="23"/>
  <c r="E28" i="23"/>
  <c r="D28" i="23"/>
  <c r="C28" i="23"/>
  <c r="B28" i="23"/>
  <c r="U27" i="23"/>
  <c r="U168" i="23" s="1"/>
  <c r="T27" i="23"/>
  <c r="T168" i="23" s="1"/>
  <c r="S27" i="23"/>
  <c r="S168" i="23" s="1"/>
  <c r="R27" i="23"/>
  <c r="R168" i="23" s="1"/>
  <c r="Q27" i="23"/>
  <c r="Q168" i="23" s="1"/>
  <c r="K27" i="23"/>
  <c r="J27" i="23"/>
  <c r="I27" i="23"/>
  <c r="H27" i="23"/>
  <c r="G27" i="23"/>
  <c r="F27" i="23"/>
  <c r="E27" i="23"/>
  <c r="D27" i="23"/>
  <c r="C27" i="23"/>
  <c r="B27" i="23"/>
  <c r="U26" i="23"/>
  <c r="U167" i="23" s="1"/>
  <c r="T26" i="23"/>
  <c r="T167" i="23" s="1"/>
  <c r="S26" i="23"/>
  <c r="S167" i="23" s="1"/>
  <c r="R26" i="23"/>
  <c r="R167" i="23" s="1"/>
  <c r="Q26" i="23"/>
  <c r="Q167" i="23" s="1"/>
  <c r="K26" i="23"/>
  <c r="J26" i="23"/>
  <c r="I26" i="23"/>
  <c r="H26" i="23"/>
  <c r="G26" i="23"/>
  <c r="F26" i="23"/>
  <c r="E26" i="23"/>
  <c r="D26" i="23"/>
  <c r="C26" i="23"/>
  <c r="B26" i="23"/>
  <c r="U25" i="23"/>
  <c r="U166" i="23" s="1"/>
  <c r="T25" i="23"/>
  <c r="T166" i="23" s="1"/>
  <c r="S25" i="23"/>
  <c r="S166" i="23" s="1"/>
  <c r="R25" i="23"/>
  <c r="R166" i="23" s="1"/>
  <c r="Q25" i="23"/>
  <c r="Q166" i="23" s="1"/>
  <c r="K25" i="23"/>
  <c r="K166" i="23" s="1"/>
  <c r="J25" i="23"/>
  <c r="I25" i="23"/>
  <c r="H25" i="23"/>
  <c r="G25" i="23"/>
  <c r="F25" i="23"/>
  <c r="E25" i="23"/>
  <c r="D25" i="23"/>
  <c r="C25" i="23"/>
  <c r="B25" i="23"/>
  <c r="U24" i="23"/>
  <c r="U165" i="23" s="1"/>
  <c r="T24" i="23"/>
  <c r="T165" i="23" s="1"/>
  <c r="S24" i="23"/>
  <c r="S165" i="23" s="1"/>
  <c r="R24" i="23"/>
  <c r="R165" i="23" s="1"/>
  <c r="Q24" i="23"/>
  <c r="Q165" i="23" s="1"/>
  <c r="K24" i="23"/>
  <c r="J24" i="23"/>
  <c r="I24" i="23"/>
  <c r="H24" i="23"/>
  <c r="G24" i="23"/>
  <c r="F24" i="23"/>
  <c r="E24" i="23"/>
  <c r="D24" i="23"/>
  <c r="C24" i="23"/>
  <c r="B24" i="23"/>
  <c r="U23" i="23"/>
  <c r="U164" i="23" s="1"/>
  <c r="T23" i="23"/>
  <c r="T164" i="23" s="1"/>
  <c r="S23" i="23"/>
  <c r="S164" i="23" s="1"/>
  <c r="R23" i="23"/>
  <c r="R164" i="23" s="1"/>
  <c r="Q23" i="23"/>
  <c r="Q164" i="23" s="1"/>
  <c r="K23" i="23"/>
  <c r="J23" i="23"/>
  <c r="I23" i="23"/>
  <c r="H23" i="23"/>
  <c r="G23" i="23"/>
  <c r="F23" i="23"/>
  <c r="E23" i="23"/>
  <c r="D23" i="23"/>
  <c r="C23" i="23"/>
  <c r="B23" i="23"/>
  <c r="U22" i="23"/>
  <c r="U163" i="23" s="1"/>
  <c r="T22" i="23"/>
  <c r="T163" i="23" s="1"/>
  <c r="S22" i="23"/>
  <c r="S163" i="23" s="1"/>
  <c r="R22" i="23"/>
  <c r="R163" i="23" s="1"/>
  <c r="Q22" i="23"/>
  <c r="Q163" i="23" s="1"/>
  <c r="K22" i="23"/>
  <c r="J22" i="23"/>
  <c r="I22" i="23"/>
  <c r="H22" i="23"/>
  <c r="G22" i="23"/>
  <c r="F22" i="23"/>
  <c r="E22" i="23"/>
  <c r="D22" i="23"/>
  <c r="C22" i="23"/>
  <c r="B22" i="23"/>
  <c r="U21" i="23"/>
  <c r="U162" i="23" s="1"/>
  <c r="T21" i="23"/>
  <c r="T162" i="23" s="1"/>
  <c r="S21" i="23"/>
  <c r="R21" i="23"/>
  <c r="Q21" i="23"/>
  <c r="K21" i="23"/>
  <c r="J21" i="23"/>
  <c r="I21" i="23"/>
  <c r="H21" i="23"/>
  <c r="G21" i="23"/>
  <c r="F21" i="23"/>
  <c r="E21" i="23"/>
  <c r="D21" i="23"/>
  <c r="C21" i="23"/>
  <c r="B21" i="23"/>
  <c r="U20" i="23"/>
  <c r="T20" i="23"/>
  <c r="T161" i="23" s="1"/>
  <c r="S20" i="23"/>
  <c r="R20" i="23"/>
  <c r="Q20" i="23"/>
  <c r="K20" i="23"/>
  <c r="J20" i="23"/>
  <c r="I20" i="23"/>
  <c r="H20" i="23"/>
  <c r="G20" i="23"/>
  <c r="F20" i="23"/>
  <c r="E20" i="23"/>
  <c r="D20" i="23"/>
  <c r="C20" i="23"/>
  <c r="B20" i="23"/>
  <c r="U19" i="23"/>
  <c r="U160" i="23" s="1"/>
  <c r="T19" i="23"/>
  <c r="T160" i="23" s="1"/>
  <c r="S19" i="23"/>
  <c r="R19" i="23"/>
  <c r="Q19" i="23"/>
  <c r="K19" i="23"/>
  <c r="J19" i="23"/>
  <c r="I19" i="23"/>
  <c r="H19" i="23"/>
  <c r="G19" i="23"/>
  <c r="F19" i="23"/>
  <c r="E19" i="23"/>
  <c r="D19" i="23"/>
  <c r="C19" i="23"/>
  <c r="B19" i="23"/>
  <c r="U18" i="23"/>
  <c r="U159" i="23" s="1"/>
  <c r="T18" i="23"/>
  <c r="S18" i="23"/>
  <c r="R18" i="23"/>
  <c r="Q18" i="23"/>
  <c r="K18" i="23"/>
  <c r="J18" i="23"/>
  <c r="I18" i="23"/>
  <c r="H18" i="23"/>
  <c r="G18" i="23"/>
  <c r="F18" i="23"/>
  <c r="E18" i="23"/>
  <c r="D18" i="23"/>
  <c r="C18" i="23"/>
  <c r="B18" i="23"/>
  <c r="U17" i="23"/>
  <c r="T17" i="23"/>
  <c r="S17" i="23"/>
  <c r="R17" i="23"/>
  <c r="Q17" i="23"/>
  <c r="K17" i="23"/>
  <c r="J17" i="23"/>
  <c r="I17" i="23"/>
  <c r="H17" i="23"/>
  <c r="G17" i="23"/>
  <c r="F17" i="23"/>
  <c r="E17" i="23"/>
  <c r="D17" i="23"/>
  <c r="C17" i="23"/>
  <c r="B17" i="23"/>
  <c r="U16" i="23"/>
  <c r="T16" i="23"/>
  <c r="S16" i="23"/>
  <c r="R16" i="23"/>
  <c r="Q16" i="23"/>
  <c r="K16" i="23"/>
  <c r="J16" i="23"/>
  <c r="I16" i="23"/>
  <c r="H16" i="23"/>
  <c r="G16" i="23"/>
  <c r="F16" i="23"/>
  <c r="E16" i="23"/>
  <c r="D16" i="23"/>
  <c r="C16" i="23"/>
  <c r="B16" i="23"/>
  <c r="U15" i="23"/>
  <c r="T15" i="23"/>
  <c r="S15" i="23"/>
  <c r="R15" i="23"/>
  <c r="Q15" i="23"/>
  <c r="K15" i="23"/>
  <c r="J15" i="23"/>
  <c r="I15" i="23"/>
  <c r="H15" i="23"/>
  <c r="G15" i="23"/>
  <c r="F15" i="23"/>
  <c r="E15" i="23"/>
  <c r="D15" i="23"/>
  <c r="C15" i="23"/>
  <c r="B15" i="23"/>
  <c r="U14" i="23"/>
  <c r="T14" i="23"/>
  <c r="S14" i="23"/>
  <c r="R14" i="23"/>
  <c r="Q14" i="23"/>
  <c r="K14" i="23"/>
  <c r="J14" i="23"/>
  <c r="I14" i="23"/>
  <c r="H14" i="23"/>
  <c r="G14" i="23"/>
  <c r="F14" i="23"/>
  <c r="E14" i="23"/>
  <c r="D14" i="23"/>
  <c r="C14" i="23"/>
  <c r="B14" i="23"/>
  <c r="U13" i="23"/>
  <c r="T13" i="23"/>
  <c r="S13" i="23"/>
  <c r="R13" i="23"/>
  <c r="Q13" i="23"/>
  <c r="K13" i="23"/>
  <c r="J13" i="23"/>
  <c r="I13" i="23"/>
  <c r="H13" i="23"/>
  <c r="G13" i="23"/>
  <c r="F13" i="23"/>
  <c r="E13" i="23"/>
  <c r="D13" i="23"/>
  <c r="C13" i="23"/>
  <c r="B13" i="23"/>
  <c r="U12" i="23"/>
  <c r="T12" i="23"/>
  <c r="S12" i="23"/>
  <c r="R12" i="23"/>
  <c r="Q12" i="23"/>
  <c r="K12" i="23"/>
  <c r="J12" i="23"/>
  <c r="I12" i="23"/>
  <c r="H12" i="23"/>
  <c r="G12" i="23"/>
  <c r="F12" i="23"/>
  <c r="E12" i="23"/>
  <c r="D12" i="23"/>
  <c r="C12" i="23"/>
  <c r="B12" i="23"/>
  <c r="U11" i="23"/>
  <c r="T11" i="23"/>
  <c r="S11" i="23"/>
  <c r="R11" i="23"/>
  <c r="Q11" i="23"/>
  <c r="K11" i="23"/>
  <c r="J11" i="23"/>
  <c r="I11" i="23"/>
  <c r="H11" i="23"/>
  <c r="G11" i="23"/>
  <c r="F11" i="23"/>
  <c r="E11" i="23"/>
  <c r="D11" i="23"/>
  <c r="C11" i="23"/>
  <c r="B11" i="23"/>
  <c r="U10" i="23"/>
  <c r="T10" i="23"/>
  <c r="S10" i="23"/>
  <c r="R10" i="23"/>
  <c r="Q10" i="23"/>
  <c r="K10" i="23"/>
  <c r="J10" i="23"/>
  <c r="I10" i="23"/>
  <c r="H10" i="23"/>
  <c r="G10" i="23"/>
  <c r="F10" i="23"/>
  <c r="E10" i="23"/>
  <c r="D10" i="23"/>
  <c r="C10" i="23"/>
  <c r="B10" i="23"/>
  <c r="U9" i="23"/>
  <c r="T9" i="23"/>
  <c r="S9" i="23"/>
  <c r="R9" i="23"/>
  <c r="Q9" i="23"/>
  <c r="K9" i="23"/>
  <c r="J9" i="23"/>
  <c r="I9" i="23"/>
  <c r="H9" i="23"/>
  <c r="G9" i="23"/>
  <c r="F9" i="23"/>
  <c r="E9" i="23"/>
  <c r="D9" i="23"/>
  <c r="C9" i="23"/>
  <c r="B9" i="23"/>
  <c r="U8" i="23"/>
  <c r="T8" i="23"/>
  <c r="S8" i="23"/>
  <c r="R8" i="23"/>
  <c r="Q8" i="23"/>
  <c r="K8" i="23"/>
  <c r="J8" i="23"/>
  <c r="I8" i="23"/>
  <c r="I149" i="23" s="1"/>
  <c r="H8" i="23"/>
  <c r="G8" i="23"/>
  <c r="F8" i="23"/>
  <c r="E8" i="23"/>
  <c r="D8" i="23"/>
  <c r="C8" i="23"/>
  <c r="B8" i="23"/>
  <c r="U7" i="23"/>
  <c r="T7" i="23"/>
  <c r="S7" i="23"/>
  <c r="R7" i="23"/>
  <c r="Q7" i="23"/>
  <c r="K7" i="23"/>
  <c r="J7" i="23"/>
  <c r="I7" i="23"/>
  <c r="H7" i="23"/>
  <c r="G7" i="23"/>
  <c r="F7" i="23"/>
  <c r="E7" i="23"/>
  <c r="D7" i="23"/>
  <c r="C7" i="23"/>
  <c r="B7" i="23"/>
  <c r="U6" i="23"/>
  <c r="T6" i="23"/>
  <c r="S6" i="23"/>
  <c r="R6" i="23"/>
  <c r="Q6" i="23"/>
  <c r="K6" i="23"/>
  <c r="J6" i="23"/>
  <c r="I6" i="23"/>
  <c r="H6" i="23"/>
  <c r="G6" i="23"/>
  <c r="F6" i="23"/>
  <c r="E6" i="23"/>
  <c r="D6" i="23"/>
  <c r="C6" i="23"/>
  <c r="B6" i="23"/>
  <c r="B147" i="23" s="1"/>
  <c r="U5" i="23"/>
  <c r="T5" i="23"/>
  <c r="S5" i="23"/>
  <c r="R5" i="23"/>
  <c r="Q5" i="23"/>
  <c r="K5" i="23"/>
  <c r="J5" i="23"/>
  <c r="I5" i="23"/>
  <c r="H5" i="23"/>
  <c r="G5" i="23"/>
  <c r="F5" i="23"/>
  <c r="E5" i="23"/>
  <c r="D5" i="23"/>
  <c r="C5" i="23"/>
  <c r="B5" i="23"/>
  <c r="B146" i="23" s="1"/>
  <c r="K267" i="22"/>
  <c r="J267" i="22"/>
  <c r="B267" i="22"/>
  <c r="K264" i="22"/>
  <c r="J264" i="22"/>
  <c r="B264" i="22"/>
  <c r="K263" i="22"/>
  <c r="J263" i="22"/>
  <c r="B263" i="22"/>
  <c r="K262" i="22"/>
  <c r="J262" i="22"/>
  <c r="B262" i="22"/>
  <c r="K261" i="22"/>
  <c r="J261" i="22"/>
  <c r="B261" i="22"/>
  <c r="K260" i="22"/>
  <c r="J260" i="22"/>
  <c r="B260" i="22"/>
  <c r="K259" i="22"/>
  <c r="J259" i="22"/>
  <c r="B259" i="22"/>
  <c r="K258" i="22"/>
  <c r="J258" i="22"/>
  <c r="B258" i="22"/>
  <c r="K257" i="22"/>
  <c r="J257" i="22"/>
  <c r="B257" i="22"/>
  <c r="L256" i="22"/>
  <c r="K256" i="22"/>
  <c r="J256" i="22"/>
  <c r="B256" i="22"/>
  <c r="L255" i="22"/>
  <c r="K255" i="22"/>
  <c r="J255" i="22"/>
  <c r="B255" i="22"/>
  <c r="K254" i="22"/>
  <c r="J254" i="22"/>
  <c r="B254" i="22"/>
  <c r="K253" i="22"/>
  <c r="J253" i="22"/>
  <c r="B253" i="22"/>
  <c r="K252" i="22"/>
  <c r="J252" i="22"/>
  <c r="B252" i="22"/>
  <c r="I137" i="22"/>
  <c r="H137" i="22"/>
  <c r="H267" i="22" s="1"/>
  <c r="G137" i="22"/>
  <c r="G267" i="22" s="1"/>
  <c r="F137" i="22"/>
  <c r="E137" i="22"/>
  <c r="E267" i="22" s="1"/>
  <c r="D137" i="22"/>
  <c r="D267" i="22" s="1"/>
  <c r="C137" i="22"/>
  <c r="C267" i="22" s="1"/>
  <c r="I134" i="22"/>
  <c r="I264" i="22" s="1"/>
  <c r="H134" i="22"/>
  <c r="H264" i="22" s="1"/>
  <c r="G134" i="22"/>
  <c r="G264" i="22" s="1"/>
  <c r="F134" i="22"/>
  <c r="E134" i="22"/>
  <c r="E264" i="22" s="1"/>
  <c r="D134" i="22"/>
  <c r="C134" i="22"/>
  <c r="C264" i="22" s="1"/>
  <c r="I133" i="22"/>
  <c r="I263" i="22" s="1"/>
  <c r="H133" i="22"/>
  <c r="H263" i="22" s="1"/>
  <c r="G133" i="22"/>
  <c r="G263" i="22" s="1"/>
  <c r="F133" i="22"/>
  <c r="E133" i="22"/>
  <c r="E263" i="22" s="1"/>
  <c r="D133" i="22"/>
  <c r="D263" i="22" s="1"/>
  <c r="C133" i="22"/>
  <c r="C263" i="22" s="1"/>
  <c r="I132" i="22"/>
  <c r="I262" i="22" s="1"/>
  <c r="H132" i="22"/>
  <c r="H262" i="22" s="1"/>
  <c r="G132" i="22"/>
  <c r="G262" i="22" s="1"/>
  <c r="F132" i="22"/>
  <c r="E132" i="22"/>
  <c r="E262" i="22" s="1"/>
  <c r="D132" i="22"/>
  <c r="D262" i="22" s="1"/>
  <c r="C132" i="22"/>
  <c r="C262" i="22" s="1"/>
  <c r="I131" i="22"/>
  <c r="I261" i="22" s="1"/>
  <c r="H131" i="22"/>
  <c r="H261" i="22" s="1"/>
  <c r="G131" i="22"/>
  <c r="G261" i="22" s="1"/>
  <c r="F131" i="22"/>
  <c r="E131" i="22"/>
  <c r="D131" i="22"/>
  <c r="D261" i="22" s="1"/>
  <c r="C131" i="22"/>
  <c r="C261" i="22" s="1"/>
  <c r="I130" i="22"/>
  <c r="I260" i="22" s="1"/>
  <c r="H130" i="22"/>
  <c r="G130" i="22"/>
  <c r="G260" i="22" s="1"/>
  <c r="F130" i="22"/>
  <c r="E130" i="22"/>
  <c r="E260" i="22" s="1"/>
  <c r="D130" i="22"/>
  <c r="D260" i="22" s="1"/>
  <c r="C130" i="22"/>
  <c r="C260" i="22" s="1"/>
  <c r="I129" i="22"/>
  <c r="I259" i="22" s="1"/>
  <c r="H129" i="22"/>
  <c r="H259" i="22" s="1"/>
  <c r="G129" i="22"/>
  <c r="G259" i="22" s="1"/>
  <c r="F129" i="22"/>
  <c r="E129" i="22"/>
  <c r="E259" i="22" s="1"/>
  <c r="D129" i="22"/>
  <c r="D259" i="22" s="1"/>
  <c r="C129" i="22"/>
  <c r="C259" i="22" s="1"/>
  <c r="I128" i="22"/>
  <c r="I258" i="22" s="1"/>
  <c r="H128" i="22"/>
  <c r="H258" i="22" s="1"/>
  <c r="G128" i="22"/>
  <c r="G258" i="22" s="1"/>
  <c r="F128" i="22"/>
  <c r="F258" i="22" s="1"/>
  <c r="E128" i="22"/>
  <c r="E258" i="22" s="1"/>
  <c r="D128" i="22"/>
  <c r="D258" i="22" s="1"/>
  <c r="C128" i="22"/>
  <c r="C258" i="22" s="1"/>
  <c r="I127" i="22"/>
  <c r="I257" i="22" s="1"/>
  <c r="H127" i="22"/>
  <c r="H257" i="22" s="1"/>
  <c r="G127" i="22"/>
  <c r="G257" i="22" s="1"/>
  <c r="F127" i="22"/>
  <c r="E127" i="22"/>
  <c r="E257" i="22" s="1"/>
  <c r="D127" i="22"/>
  <c r="D257" i="22" s="1"/>
  <c r="C127" i="22"/>
  <c r="C257" i="22" s="1"/>
  <c r="I126" i="22"/>
  <c r="H126" i="22"/>
  <c r="H256" i="22" s="1"/>
  <c r="G126" i="22"/>
  <c r="G256" i="22" s="1"/>
  <c r="F126" i="22"/>
  <c r="F256" i="22" s="1"/>
  <c r="E126" i="22"/>
  <c r="D126" i="22"/>
  <c r="D256" i="22" s="1"/>
  <c r="C126" i="22"/>
  <c r="C256" i="22" s="1"/>
  <c r="I125" i="22"/>
  <c r="I255" i="22" s="1"/>
  <c r="H125" i="22"/>
  <c r="G125" i="22"/>
  <c r="F125" i="22"/>
  <c r="F255" i="22" s="1"/>
  <c r="E125" i="22"/>
  <c r="E255" i="22" s="1"/>
  <c r="D125" i="22"/>
  <c r="C125" i="22"/>
  <c r="C255" i="22" s="1"/>
  <c r="I124" i="22"/>
  <c r="I254" i="22" s="1"/>
  <c r="H124" i="22"/>
  <c r="G124" i="22"/>
  <c r="G254" i="22" s="1"/>
  <c r="F124" i="22"/>
  <c r="F254" i="22" s="1"/>
  <c r="E124" i="22"/>
  <c r="E254" i="22" s="1"/>
  <c r="D124" i="22"/>
  <c r="C124" i="22"/>
  <c r="I123" i="22"/>
  <c r="I253" i="22" s="1"/>
  <c r="H123" i="22"/>
  <c r="G123" i="22"/>
  <c r="G253" i="22" s="1"/>
  <c r="F123" i="22"/>
  <c r="F253" i="22" s="1"/>
  <c r="E123" i="22"/>
  <c r="D123" i="22"/>
  <c r="C123" i="22"/>
  <c r="C253" i="22" s="1"/>
  <c r="I122" i="22"/>
  <c r="H122" i="22"/>
  <c r="G122" i="22"/>
  <c r="F122" i="22"/>
  <c r="E122" i="22"/>
  <c r="D122" i="22"/>
  <c r="C122" i="22"/>
  <c r="I121" i="22"/>
  <c r="H121" i="22"/>
  <c r="G121" i="22"/>
  <c r="F121" i="22"/>
  <c r="E121" i="22"/>
  <c r="D121" i="22"/>
  <c r="C121" i="22"/>
  <c r="I120" i="22"/>
  <c r="H120" i="22"/>
  <c r="G120" i="22"/>
  <c r="F120" i="22"/>
  <c r="E120" i="22"/>
  <c r="D120" i="22"/>
  <c r="C120" i="22"/>
  <c r="I119" i="22"/>
  <c r="H119" i="22"/>
  <c r="G119" i="22"/>
  <c r="F119" i="22"/>
  <c r="E119" i="22"/>
  <c r="D119" i="22"/>
  <c r="C119" i="22"/>
  <c r="I118" i="22"/>
  <c r="H118" i="22"/>
  <c r="G118" i="22"/>
  <c r="F118" i="22"/>
  <c r="E118" i="22"/>
  <c r="D118" i="22"/>
  <c r="C118" i="22"/>
  <c r="I117" i="22"/>
  <c r="H117" i="22"/>
  <c r="G117" i="22"/>
  <c r="F117" i="22"/>
  <c r="E117" i="22"/>
  <c r="D117" i="22"/>
  <c r="C117" i="22"/>
  <c r="I116" i="22"/>
  <c r="H116" i="22"/>
  <c r="G116" i="22"/>
  <c r="F116" i="22"/>
  <c r="E116" i="22"/>
  <c r="D116" i="22"/>
  <c r="C116" i="22"/>
  <c r="I115" i="22"/>
  <c r="H115" i="22"/>
  <c r="G115" i="22"/>
  <c r="F115" i="22"/>
  <c r="E115" i="22"/>
  <c r="D115" i="22"/>
  <c r="C115" i="22"/>
  <c r="I114" i="22"/>
  <c r="H114" i="22"/>
  <c r="G114" i="22"/>
  <c r="F114" i="22"/>
  <c r="E114" i="22"/>
  <c r="D114" i="22"/>
  <c r="C114" i="22"/>
  <c r="I113" i="22"/>
  <c r="H113" i="22"/>
  <c r="G113" i="22"/>
  <c r="F113" i="22"/>
  <c r="E113" i="22"/>
  <c r="D113" i="22"/>
  <c r="C113" i="22"/>
  <c r="I112" i="22"/>
  <c r="H112" i="22"/>
  <c r="G112" i="22"/>
  <c r="F112" i="22"/>
  <c r="E112" i="22"/>
  <c r="D112" i="22"/>
  <c r="C112" i="22"/>
  <c r="I111" i="22"/>
  <c r="H111" i="22"/>
  <c r="G111" i="22"/>
  <c r="F111" i="22"/>
  <c r="E111" i="22"/>
  <c r="D111" i="22"/>
  <c r="C111" i="22"/>
  <c r="I110" i="22"/>
  <c r="H110" i="22"/>
  <c r="G110" i="22"/>
  <c r="F110" i="22"/>
  <c r="E110" i="22"/>
  <c r="D110" i="22"/>
  <c r="C110" i="22"/>
  <c r="I109" i="22"/>
  <c r="H109" i="22"/>
  <c r="G109" i="22"/>
  <c r="F109" i="22"/>
  <c r="E109" i="22"/>
  <c r="D109" i="22"/>
  <c r="C109" i="22"/>
  <c r="I108" i="22"/>
  <c r="H108" i="22"/>
  <c r="G108" i="22"/>
  <c r="F108" i="22"/>
  <c r="E108" i="22"/>
  <c r="D108" i="22"/>
  <c r="C108" i="22"/>
  <c r="I107" i="22"/>
  <c r="H107" i="22"/>
  <c r="G107" i="22"/>
  <c r="F107" i="22"/>
  <c r="E107" i="22"/>
  <c r="D107" i="22"/>
  <c r="C107" i="22"/>
  <c r="I106" i="22"/>
  <c r="H106" i="22"/>
  <c r="G106" i="22"/>
  <c r="F106" i="22"/>
  <c r="E106" i="22"/>
  <c r="D106" i="22"/>
  <c r="C106" i="22"/>
  <c r="I105" i="22"/>
  <c r="H105" i="22"/>
  <c r="G105" i="22"/>
  <c r="F105" i="22"/>
  <c r="E105" i="22"/>
  <c r="D105" i="22"/>
  <c r="C105" i="22"/>
  <c r="I104" i="22"/>
  <c r="H104" i="22"/>
  <c r="G104" i="22"/>
  <c r="F104" i="22"/>
  <c r="E104" i="22"/>
  <c r="D104" i="22"/>
  <c r="C104" i="22"/>
  <c r="I103" i="22"/>
  <c r="H103" i="22"/>
  <c r="G103" i="22"/>
  <c r="F103" i="22"/>
  <c r="E103" i="22"/>
  <c r="D103" i="22"/>
  <c r="C103" i="22"/>
  <c r="I102" i="22"/>
  <c r="H102" i="22"/>
  <c r="G102" i="22"/>
  <c r="F102" i="22"/>
  <c r="E102" i="22"/>
  <c r="D102" i="22"/>
  <c r="C102" i="22"/>
  <c r="I101" i="22"/>
  <c r="H101" i="22"/>
  <c r="G101" i="22"/>
  <c r="F101" i="22"/>
  <c r="E101" i="22"/>
  <c r="D101" i="22"/>
  <c r="C101" i="22"/>
  <c r="I100" i="22"/>
  <c r="H100" i="22"/>
  <c r="G100" i="22"/>
  <c r="F100" i="22"/>
  <c r="E100" i="22"/>
  <c r="D100" i="22"/>
  <c r="C100" i="22"/>
  <c r="I99" i="22"/>
  <c r="H99" i="22"/>
  <c r="G99" i="22"/>
  <c r="F99" i="22"/>
  <c r="E99" i="22"/>
  <c r="D99" i="22"/>
  <c r="I98" i="22"/>
  <c r="H98" i="22"/>
  <c r="G98" i="22"/>
  <c r="F98" i="22"/>
  <c r="E98" i="22"/>
  <c r="D98" i="22"/>
  <c r="C98" i="22"/>
  <c r="I97" i="22"/>
  <c r="H97" i="22"/>
  <c r="G97" i="22"/>
  <c r="F97" i="22"/>
  <c r="E97" i="22"/>
  <c r="D97" i="22"/>
  <c r="C97" i="22"/>
  <c r="I96" i="22"/>
  <c r="H96" i="22"/>
  <c r="G96" i="22"/>
  <c r="F96" i="22"/>
  <c r="E96" i="22"/>
  <c r="D96" i="22"/>
  <c r="C96" i="22"/>
  <c r="I95" i="22"/>
  <c r="H95" i="22"/>
  <c r="G95" i="22"/>
  <c r="F95" i="22"/>
  <c r="E95" i="22"/>
  <c r="D95" i="22"/>
  <c r="C95" i="22"/>
  <c r="K92" i="22"/>
  <c r="J92" i="22"/>
  <c r="I92" i="22"/>
  <c r="I242" i="22" s="1"/>
  <c r="H92" i="22"/>
  <c r="H242" i="22" s="1"/>
  <c r="G92" i="22"/>
  <c r="G242" i="22" s="1"/>
  <c r="F92" i="22"/>
  <c r="F242" i="22" s="1"/>
  <c r="E92" i="22"/>
  <c r="E242" i="22" s="1"/>
  <c r="D92" i="22"/>
  <c r="D242" i="22" s="1"/>
  <c r="C92" i="22"/>
  <c r="C242" i="22" s="1"/>
  <c r="B92" i="22"/>
  <c r="K89" i="22"/>
  <c r="K239" i="22" s="1"/>
  <c r="J89" i="22"/>
  <c r="I89" i="22"/>
  <c r="I239" i="22" s="1"/>
  <c r="H89" i="22"/>
  <c r="H239" i="22" s="1"/>
  <c r="G89" i="22"/>
  <c r="G239" i="22" s="1"/>
  <c r="F89" i="22"/>
  <c r="F239" i="22" s="1"/>
  <c r="E89" i="22"/>
  <c r="E239" i="22" s="1"/>
  <c r="D89" i="22"/>
  <c r="D239" i="22" s="1"/>
  <c r="C89" i="22"/>
  <c r="C239" i="22" s="1"/>
  <c r="B89" i="22"/>
  <c r="K88" i="22"/>
  <c r="K238" i="22" s="1"/>
  <c r="J88" i="22"/>
  <c r="I88" i="22"/>
  <c r="I238" i="22" s="1"/>
  <c r="H88" i="22"/>
  <c r="H238" i="22" s="1"/>
  <c r="G88" i="22"/>
  <c r="G238" i="22" s="1"/>
  <c r="F88" i="22"/>
  <c r="F238" i="22" s="1"/>
  <c r="E88" i="22"/>
  <c r="E238" i="22" s="1"/>
  <c r="D88" i="22"/>
  <c r="D238" i="22" s="1"/>
  <c r="C88" i="22"/>
  <c r="C238" i="22" s="1"/>
  <c r="B88" i="22"/>
  <c r="B238" i="22" s="1"/>
  <c r="K87" i="22"/>
  <c r="J87" i="22"/>
  <c r="J237" i="22" s="1"/>
  <c r="I87" i="22"/>
  <c r="I237" i="22" s="1"/>
  <c r="H87" i="22"/>
  <c r="H237" i="22" s="1"/>
  <c r="G87" i="22"/>
  <c r="G237" i="22" s="1"/>
  <c r="F87" i="22"/>
  <c r="F237" i="22" s="1"/>
  <c r="E87" i="22"/>
  <c r="E237" i="22" s="1"/>
  <c r="D87" i="22"/>
  <c r="D237" i="22" s="1"/>
  <c r="C87" i="22"/>
  <c r="C237" i="22" s="1"/>
  <c r="B87" i="22"/>
  <c r="B237" i="22" s="1"/>
  <c r="K86" i="22"/>
  <c r="J86" i="22"/>
  <c r="I86" i="22"/>
  <c r="I236" i="22" s="1"/>
  <c r="H86" i="22"/>
  <c r="H236" i="22" s="1"/>
  <c r="G86" i="22"/>
  <c r="G236" i="22" s="1"/>
  <c r="F86" i="22"/>
  <c r="F236" i="22" s="1"/>
  <c r="E86" i="22"/>
  <c r="E236" i="22" s="1"/>
  <c r="D86" i="22"/>
  <c r="D236" i="22" s="1"/>
  <c r="C86" i="22"/>
  <c r="C236" i="22" s="1"/>
  <c r="B86" i="22"/>
  <c r="K85" i="22"/>
  <c r="K235" i="22" s="1"/>
  <c r="J85" i="22"/>
  <c r="I85" i="22"/>
  <c r="I235" i="22" s="1"/>
  <c r="H85" i="22"/>
  <c r="H235" i="22" s="1"/>
  <c r="G85" i="22"/>
  <c r="G235" i="22" s="1"/>
  <c r="F85" i="22"/>
  <c r="F235" i="22" s="1"/>
  <c r="E85" i="22"/>
  <c r="E235" i="22" s="1"/>
  <c r="D85" i="22"/>
  <c r="D235" i="22" s="1"/>
  <c r="C85" i="22"/>
  <c r="C235" i="22" s="1"/>
  <c r="B85" i="22"/>
  <c r="K84" i="22"/>
  <c r="J84" i="22"/>
  <c r="J234" i="22" s="1"/>
  <c r="I84" i="22"/>
  <c r="I234" i="22" s="1"/>
  <c r="H84" i="22"/>
  <c r="H234" i="22" s="1"/>
  <c r="G84" i="22"/>
  <c r="G234" i="22" s="1"/>
  <c r="F84" i="22"/>
  <c r="F234" i="22" s="1"/>
  <c r="E84" i="22"/>
  <c r="E234" i="22" s="1"/>
  <c r="D84" i="22"/>
  <c r="D234" i="22" s="1"/>
  <c r="C84" i="22"/>
  <c r="C234" i="22" s="1"/>
  <c r="B84" i="22"/>
  <c r="K83" i="22"/>
  <c r="J83" i="22"/>
  <c r="J233" i="22" s="1"/>
  <c r="I83" i="22"/>
  <c r="I233" i="22" s="1"/>
  <c r="H83" i="22"/>
  <c r="H233" i="22" s="1"/>
  <c r="G83" i="22"/>
  <c r="G233" i="22" s="1"/>
  <c r="F83" i="22"/>
  <c r="F233" i="22" s="1"/>
  <c r="E83" i="22"/>
  <c r="E233" i="22" s="1"/>
  <c r="D83" i="22"/>
  <c r="D233" i="22" s="1"/>
  <c r="C83" i="22"/>
  <c r="C233" i="22" s="1"/>
  <c r="B83" i="22"/>
  <c r="B233" i="22" s="1"/>
  <c r="K82" i="22"/>
  <c r="J82" i="22"/>
  <c r="H82" i="22"/>
  <c r="H232" i="22" s="1"/>
  <c r="G82" i="22"/>
  <c r="G232" i="22" s="1"/>
  <c r="E82" i="22"/>
  <c r="E232" i="22" s="1"/>
  <c r="D82" i="22"/>
  <c r="D232" i="22" s="1"/>
  <c r="C82" i="22"/>
  <c r="C232" i="22" s="1"/>
  <c r="B82" i="22"/>
  <c r="L81" i="22"/>
  <c r="L231" i="22" s="1"/>
  <c r="K81" i="22"/>
  <c r="K231" i="22" s="1"/>
  <c r="J81" i="22"/>
  <c r="I81" i="22"/>
  <c r="I231" i="22" s="1"/>
  <c r="H81" i="22"/>
  <c r="H231" i="22" s="1"/>
  <c r="G81" i="22"/>
  <c r="G231" i="22" s="1"/>
  <c r="F81" i="22"/>
  <c r="F231" i="22" s="1"/>
  <c r="E81" i="22"/>
  <c r="E231" i="22" s="1"/>
  <c r="D81" i="22"/>
  <c r="D231" i="22" s="1"/>
  <c r="C81" i="22"/>
  <c r="C231" i="22" s="1"/>
  <c r="B81" i="22"/>
  <c r="K80" i="22"/>
  <c r="K230" i="22" s="1"/>
  <c r="J80" i="22"/>
  <c r="I80" i="22"/>
  <c r="I230" i="22" s="1"/>
  <c r="H80" i="22"/>
  <c r="H230" i="22" s="1"/>
  <c r="G80" i="22"/>
  <c r="G230" i="22" s="1"/>
  <c r="F80" i="22"/>
  <c r="F230" i="22" s="1"/>
  <c r="E80" i="22"/>
  <c r="E230" i="22" s="1"/>
  <c r="D80" i="22"/>
  <c r="D230" i="22" s="1"/>
  <c r="C80" i="22"/>
  <c r="C230" i="22" s="1"/>
  <c r="B80" i="22"/>
  <c r="K79" i="22"/>
  <c r="J79" i="22"/>
  <c r="J229" i="22" s="1"/>
  <c r="I79" i="22"/>
  <c r="I229" i="22" s="1"/>
  <c r="H79" i="22"/>
  <c r="H229" i="22" s="1"/>
  <c r="G79" i="22"/>
  <c r="G229" i="22" s="1"/>
  <c r="F79" i="22"/>
  <c r="F229" i="22" s="1"/>
  <c r="E79" i="22"/>
  <c r="E229" i="22" s="1"/>
  <c r="D79" i="22"/>
  <c r="D229" i="22" s="1"/>
  <c r="C79" i="22"/>
  <c r="C229" i="22" s="1"/>
  <c r="B79" i="22"/>
  <c r="B229" i="22" s="1"/>
  <c r="K78" i="22"/>
  <c r="J78" i="22"/>
  <c r="I78" i="22"/>
  <c r="I228" i="22" s="1"/>
  <c r="H78" i="22"/>
  <c r="H228" i="22" s="1"/>
  <c r="G78" i="22"/>
  <c r="G228" i="22" s="1"/>
  <c r="F78" i="22"/>
  <c r="F228" i="22" s="1"/>
  <c r="E78" i="22"/>
  <c r="E228" i="22" s="1"/>
  <c r="D78" i="22"/>
  <c r="D228" i="22" s="1"/>
  <c r="C78" i="22"/>
  <c r="C228" i="22" s="1"/>
  <c r="B78" i="22"/>
  <c r="K77" i="22"/>
  <c r="J77" i="22"/>
  <c r="I77" i="22"/>
  <c r="H77" i="22"/>
  <c r="G77" i="22"/>
  <c r="F77" i="22"/>
  <c r="E77" i="22"/>
  <c r="D77" i="22"/>
  <c r="C77" i="22"/>
  <c r="B77" i="22"/>
  <c r="K76" i="22"/>
  <c r="J76" i="22"/>
  <c r="I76" i="22"/>
  <c r="H76" i="22"/>
  <c r="G76" i="22"/>
  <c r="F76" i="22"/>
  <c r="E76" i="22"/>
  <c r="D76" i="22"/>
  <c r="C76" i="22"/>
  <c r="B76" i="22"/>
  <c r="K75" i="22"/>
  <c r="J75" i="22"/>
  <c r="I75" i="22"/>
  <c r="H75" i="22"/>
  <c r="G75" i="22"/>
  <c r="F75" i="22"/>
  <c r="E75" i="22"/>
  <c r="D75" i="22"/>
  <c r="C75" i="22"/>
  <c r="B75" i="22"/>
  <c r="K74" i="22"/>
  <c r="J74" i="22"/>
  <c r="I74" i="22"/>
  <c r="H74" i="22"/>
  <c r="G74" i="22"/>
  <c r="F74" i="22"/>
  <c r="E74" i="22"/>
  <c r="D74" i="22"/>
  <c r="C74" i="22"/>
  <c r="B74" i="22"/>
  <c r="K73" i="22"/>
  <c r="J73" i="22"/>
  <c r="I73" i="22"/>
  <c r="H73" i="22"/>
  <c r="G73" i="22"/>
  <c r="F73" i="22"/>
  <c r="E73" i="22"/>
  <c r="D73" i="22"/>
  <c r="C73" i="22"/>
  <c r="B73" i="22"/>
  <c r="K72" i="22"/>
  <c r="J72" i="22"/>
  <c r="I72" i="22"/>
  <c r="H72" i="22"/>
  <c r="G72" i="22"/>
  <c r="F72" i="22"/>
  <c r="E72" i="22"/>
  <c r="D72" i="22"/>
  <c r="C72" i="22"/>
  <c r="B72" i="22"/>
  <c r="K71" i="22"/>
  <c r="J71" i="22"/>
  <c r="I71" i="22"/>
  <c r="H71" i="22"/>
  <c r="G71" i="22"/>
  <c r="F71" i="22"/>
  <c r="E71" i="22"/>
  <c r="D71" i="22"/>
  <c r="C71" i="22"/>
  <c r="B71" i="22"/>
  <c r="K70" i="22"/>
  <c r="J70" i="22"/>
  <c r="I70" i="22"/>
  <c r="H70" i="22"/>
  <c r="G70" i="22"/>
  <c r="F70" i="22"/>
  <c r="E70" i="22"/>
  <c r="D70" i="22"/>
  <c r="C70" i="22"/>
  <c r="B70" i="22"/>
  <c r="K69" i="22"/>
  <c r="J69" i="22"/>
  <c r="I69" i="22"/>
  <c r="H69" i="22"/>
  <c r="G69" i="22"/>
  <c r="F69" i="22"/>
  <c r="E69" i="22"/>
  <c r="D69" i="22"/>
  <c r="C69" i="22"/>
  <c r="B69" i="22"/>
  <c r="K68" i="22"/>
  <c r="J68" i="22"/>
  <c r="I68" i="22"/>
  <c r="H68" i="22"/>
  <c r="G68" i="22"/>
  <c r="F68" i="22"/>
  <c r="E68" i="22"/>
  <c r="D68" i="22"/>
  <c r="C68" i="22"/>
  <c r="B68" i="22"/>
  <c r="K67" i="22"/>
  <c r="J67" i="22"/>
  <c r="I67" i="22"/>
  <c r="H67" i="22"/>
  <c r="G67" i="22"/>
  <c r="F67" i="22"/>
  <c r="E67" i="22"/>
  <c r="D67" i="22"/>
  <c r="C67" i="22"/>
  <c r="B67" i="22"/>
  <c r="K66" i="22"/>
  <c r="J66" i="22"/>
  <c r="I66" i="22"/>
  <c r="H66" i="22"/>
  <c r="G66" i="22"/>
  <c r="F66" i="22"/>
  <c r="E66" i="22"/>
  <c r="D66" i="22"/>
  <c r="C66" i="22"/>
  <c r="B66" i="22"/>
  <c r="L65" i="22"/>
  <c r="K65" i="22"/>
  <c r="J65" i="22"/>
  <c r="I65" i="22"/>
  <c r="H65" i="22"/>
  <c r="G65" i="22"/>
  <c r="F65" i="22"/>
  <c r="E65" i="22"/>
  <c r="D65" i="22"/>
  <c r="C65" i="22"/>
  <c r="B65" i="22"/>
  <c r="L64" i="22"/>
  <c r="K64" i="22"/>
  <c r="J64" i="22"/>
  <c r="I64" i="22"/>
  <c r="H64" i="22"/>
  <c r="G64" i="22"/>
  <c r="F64" i="22"/>
  <c r="E64" i="22"/>
  <c r="D64" i="22"/>
  <c r="C64" i="22"/>
  <c r="B64" i="22"/>
  <c r="K63" i="22"/>
  <c r="J63" i="22"/>
  <c r="I63" i="22"/>
  <c r="H63" i="22"/>
  <c r="G63" i="22"/>
  <c r="F63" i="22"/>
  <c r="E63" i="22"/>
  <c r="D63" i="22"/>
  <c r="C63" i="22"/>
  <c r="B63" i="22"/>
  <c r="K62" i="22"/>
  <c r="J62" i="22"/>
  <c r="I62" i="22"/>
  <c r="H62" i="22"/>
  <c r="G62" i="22"/>
  <c r="F62" i="22"/>
  <c r="E62" i="22"/>
  <c r="D62" i="22"/>
  <c r="C62" i="22"/>
  <c r="B62" i="22"/>
  <c r="K61" i="22"/>
  <c r="J61" i="22"/>
  <c r="I61" i="22"/>
  <c r="H61" i="22"/>
  <c r="G61" i="22"/>
  <c r="F61" i="22"/>
  <c r="E61" i="22"/>
  <c r="D61" i="22"/>
  <c r="C61" i="22"/>
  <c r="B61" i="22"/>
  <c r="K60" i="22"/>
  <c r="J60" i="22"/>
  <c r="I60" i="22"/>
  <c r="H60" i="22"/>
  <c r="G60" i="22"/>
  <c r="F60" i="22"/>
  <c r="E60" i="22"/>
  <c r="D60" i="22"/>
  <c r="C60" i="22"/>
  <c r="B60" i="22"/>
  <c r="K59" i="22"/>
  <c r="J59" i="22"/>
  <c r="I59" i="22"/>
  <c r="H59" i="22"/>
  <c r="G59" i="22"/>
  <c r="F59" i="22"/>
  <c r="E59" i="22"/>
  <c r="D59" i="22"/>
  <c r="C59" i="22"/>
  <c r="B59" i="22"/>
  <c r="K58" i="22"/>
  <c r="J58" i="22"/>
  <c r="I58" i="22"/>
  <c r="H58" i="22"/>
  <c r="G58" i="22"/>
  <c r="F58" i="22"/>
  <c r="E58" i="22"/>
  <c r="D58" i="22"/>
  <c r="C58" i="22"/>
  <c r="B58" i="22"/>
  <c r="K57" i="22"/>
  <c r="J57" i="22"/>
  <c r="I57" i="22"/>
  <c r="H57" i="22"/>
  <c r="G57" i="22"/>
  <c r="F57" i="22"/>
  <c r="E57" i="22"/>
  <c r="D57" i="22"/>
  <c r="C57" i="22"/>
  <c r="B57" i="22"/>
  <c r="K56" i="22"/>
  <c r="J56" i="22"/>
  <c r="I56" i="22"/>
  <c r="H56" i="22"/>
  <c r="G56" i="22"/>
  <c r="F56" i="22"/>
  <c r="E56" i="22"/>
  <c r="D56" i="22"/>
  <c r="C56" i="22"/>
  <c r="B56" i="22"/>
  <c r="K55" i="22"/>
  <c r="J55" i="22"/>
  <c r="I55" i="22"/>
  <c r="H55" i="22"/>
  <c r="G55" i="22"/>
  <c r="F55" i="22"/>
  <c r="E55" i="22"/>
  <c r="D55" i="22"/>
  <c r="C55" i="22"/>
  <c r="B55" i="22"/>
  <c r="K54" i="22"/>
  <c r="J54" i="22"/>
  <c r="I54" i="22"/>
  <c r="H54" i="22"/>
  <c r="G54" i="22"/>
  <c r="F54" i="22"/>
  <c r="E54" i="22"/>
  <c r="D54" i="22"/>
  <c r="C54" i="22"/>
  <c r="B54" i="22"/>
  <c r="K53" i="22"/>
  <c r="J53" i="22"/>
  <c r="I53" i="22"/>
  <c r="H53" i="22"/>
  <c r="G53" i="22"/>
  <c r="F53" i="22"/>
  <c r="E53" i="22"/>
  <c r="D53" i="22"/>
  <c r="C53" i="22"/>
  <c r="B53" i="22"/>
  <c r="K52" i="22"/>
  <c r="J52" i="22"/>
  <c r="I52" i="22"/>
  <c r="H52" i="22"/>
  <c r="G52" i="22"/>
  <c r="F52" i="22"/>
  <c r="E52" i="22"/>
  <c r="D52" i="22"/>
  <c r="C52" i="22"/>
  <c r="B52" i="22"/>
  <c r="K51" i="22"/>
  <c r="J51" i="22"/>
  <c r="I51" i="22"/>
  <c r="H51" i="22"/>
  <c r="G51" i="22"/>
  <c r="F51" i="22"/>
  <c r="E51" i="22"/>
  <c r="D51" i="22"/>
  <c r="C51" i="22"/>
  <c r="B51" i="22"/>
  <c r="K50" i="22"/>
  <c r="J50" i="22"/>
  <c r="I50" i="22"/>
  <c r="H50" i="22"/>
  <c r="G50" i="22"/>
  <c r="F50" i="22"/>
  <c r="E50" i="22"/>
  <c r="D50" i="22"/>
  <c r="C50" i="22"/>
  <c r="B50" i="22"/>
  <c r="K47" i="22"/>
  <c r="K220" i="22" s="1"/>
  <c r="J47" i="22"/>
  <c r="J220" i="22" s="1"/>
  <c r="I47" i="22"/>
  <c r="I220" i="22" s="1"/>
  <c r="H47" i="22"/>
  <c r="H220" i="22" s="1"/>
  <c r="G47" i="22"/>
  <c r="G220" i="22" s="1"/>
  <c r="F47" i="22"/>
  <c r="F220" i="22" s="1"/>
  <c r="E47" i="22"/>
  <c r="E220" i="22" s="1"/>
  <c r="D47" i="22"/>
  <c r="D220" i="22" s="1"/>
  <c r="C47" i="22"/>
  <c r="C220" i="22" s="1"/>
  <c r="B47" i="22"/>
  <c r="B220" i="22" s="1"/>
  <c r="K44" i="22"/>
  <c r="K217" i="22" s="1"/>
  <c r="J44" i="22"/>
  <c r="J217" i="22" s="1"/>
  <c r="I44" i="22"/>
  <c r="I217" i="22" s="1"/>
  <c r="H44" i="22"/>
  <c r="H217" i="22" s="1"/>
  <c r="G44" i="22"/>
  <c r="G217" i="22" s="1"/>
  <c r="F44" i="22"/>
  <c r="F217" i="22" s="1"/>
  <c r="E44" i="22"/>
  <c r="E217" i="22" s="1"/>
  <c r="D44" i="22"/>
  <c r="D217" i="22" s="1"/>
  <c r="C44" i="22"/>
  <c r="C217" i="22" s="1"/>
  <c r="B44" i="22"/>
  <c r="B217" i="22" s="1"/>
  <c r="K43" i="22"/>
  <c r="K216" i="22" s="1"/>
  <c r="J43" i="22"/>
  <c r="J216" i="22" s="1"/>
  <c r="I43" i="22"/>
  <c r="I216" i="22" s="1"/>
  <c r="H43" i="22"/>
  <c r="H216" i="22" s="1"/>
  <c r="G43" i="22"/>
  <c r="G216" i="22" s="1"/>
  <c r="F43" i="22"/>
  <c r="F216" i="22" s="1"/>
  <c r="E43" i="22"/>
  <c r="E216" i="22" s="1"/>
  <c r="D43" i="22"/>
  <c r="D216" i="22" s="1"/>
  <c r="C43" i="22"/>
  <c r="C216" i="22" s="1"/>
  <c r="B43" i="22"/>
  <c r="B216" i="22" s="1"/>
  <c r="K42" i="22"/>
  <c r="K215" i="22" s="1"/>
  <c r="J42" i="22"/>
  <c r="J215" i="22" s="1"/>
  <c r="I42" i="22"/>
  <c r="I215" i="22" s="1"/>
  <c r="H42" i="22"/>
  <c r="H215" i="22" s="1"/>
  <c r="G42" i="22"/>
  <c r="G215" i="22" s="1"/>
  <c r="F42" i="22"/>
  <c r="F215" i="22" s="1"/>
  <c r="E42" i="22"/>
  <c r="E215" i="22" s="1"/>
  <c r="D42" i="22"/>
  <c r="D215" i="22" s="1"/>
  <c r="C42" i="22"/>
  <c r="C215" i="22" s="1"/>
  <c r="B42" i="22"/>
  <c r="K41" i="22"/>
  <c r="K214" i="22" s="1"/>
  <c r="J41" i="22"/>
  <c r="J214" i="22" s="1"/>
  <c r="I41" i="22"/>
  <c r="I214" i="22" s="1"/>
  <c r="H41" i="22"/>
  <c r="H214" i="22" s="1"/>
  <c r="G41" i="22"/>
  <c r="G214" i="22" s="1"/>
  <c r="F41" i="22"/>
  <c r="F214" i="22" s="1"/>
  <c r="E41" i="22"/>
  <c r="E214" i="22" s="1"/>
  <c r="D41" i="22"/>
  <c r="D214" i="22" s="1"/>
  <c r="C41" i="22"/>
  <c r="C214" i="22" s="1"/>
  <c r="B41" i="22"/>
  <c r="B214" i="22" s="1"/>
  <c r="K40" i="22"/>
  <c r="K213" i="22" s="1"/>
  <c r="J40" i="22"/>
  <c r="J213" i="22" s="1"/>
  <c r="I40" i="22"/>
  <c r="I213" i="22" s="1"/>
  <c r="H40" i="22"/>
  <c r="H213" i="22" s="1"/>
  <c r="G40" i="22"/>
  <c r="G213" i="22" s="1"/>
  <c r="F40" i="22"/>
  <c r="F213" i="22" s="1"/>
  <c r="E40" i="22"/>
  <c r="E213" i="22" s="1"/>
  <c r="D40" i="22"/>
  <c r="D213" i="22" s="1"/>
  <c r="C40" i="22"/>
  <c r="C213" i="22" s="1"/>
  <c r="B40" i="22"/>
  <c r="B213" i="22" s="1"/>
  <c r="K39" i="22"/>
  <c r="K212" i="22" s="1"/>
  <c r="J39" i="22"/>
  <c r="J212" i="22" s="1"/>
  <c r="I39" i="22"/>
  <c r="I212" i="22" s="1"/>
  <c r="H39" i="22"/>
  <c r="H212" i="22" s="1"/>
  <c r="G39" i="22"/>
  <c r="G212" i="22" s="1"/>
  <c r="F39" i="22"/>
  <c r="F212" i="22" s="1"/>
  <c r="E39" i="22"/>
  <c r="E212" i="22" s="1"/>
  <c r="D39" i="22"/>
  <c r="D212" i="22" s="1"/>
  <c r="C39" i="22"/>
  <c r="C212" i="22" s="1"/>
  <c r="B39" i="22"/>
  <c r="B212" i="22" s="1"/>
  <c r="K38" i="22"/>
  <c r="K211" i="22" s="1"/>
  <c r="J38" i="22"/>
  <c r="J211" i="22" s="1"/>
  <c r="I38" i="22"/>
  <c r="I211" i="22" s="1"/>
  <c r="H38" i="22"/>
  <c r="H211" i="22" s="1"/>
  <c r="G38" i="22"/>
  <c r="G211" i="22" s="1"/>
  <c r="F38" i="22"/>
  <c r="F211" i="22" s="1"/>
  <c r="E38" i="22"/>
  <c r="E211" i="22" s="1"/>
  <c r="D38" i="22"/>
  <c r="D211" i="22" s="1"/>
  <c r="C38" i="22"/>
  <c r="C211" i="22" s="1"/>
  <c r="B38" i="22"/>
  <c r="B211" i="22" s="1"/>
  <c r="K37" i="22"/>
  <c r="K210" i="22" s="1"/>
  <c r="J37" i="22"/>
  <c r="J210" i="22" s="1"/>
  <c r="H37" i="22"/>
  <c r="H210" i="22" s="1"/>
  <c r="E37" i="22"/>
  <c r="E210" i="22" s="1"/>
  <c r="D37" i="22"/>
  <c r="D210" i="22" s="1"/>
  <c r="C37" i="22"/>
  <c r="C210" i="22" s="1"/>
  <c r="B37" i="22"/>
  <c r="B210" i="22" s="1"/>
  <c r="K36" i="22"/>
  <c r="K209" i="22" s="1"/>
  <c r="J36" i="22"/>
  <c r="J209" i="22" s="1"/>
  <c r="I36" i="22"/>
  <c r="I209" i="22" s="1"/>
  <c r="H36" i="22"/>
  <c r="H209" i="22" s="1"/>
  <c r="G36" i="22"/>
  <c r="G209" i="22" s="1"/>
  <c r="F36" i="22"/>
  <c r="F209" i="22" s="1"/>
  <c r="E36" i="22"/>
  <c r="E209" i="22" s="1"/>
  <c r="D36" i="22"/>
  <c r="D209" i="22" s="1"/>
  <c r="C36" i="22"/>
  <c r="C209" i="22" s="1"/>
  <c r="B36" i="22"/>
  <c r="B209" i="22" s="1"/>
  <c r="K35" i="22"/>
  <c r="K208" i="22" s="1"/>
  <c r="J35" i="22"/>
  <c r="J208" i="22" s="1"/>
  <c r="I35" i="22"/>
  <c r="I208" i="22" s="1"/>
  <c r="H35" i="22"/>
  <c r="H208" i="22" s="1"/>
  <c r="G35" i="22"/>
  <c r="G208" i="22" s="1"/>
  <c r="F35" i="22"/>
  <c r="F208" i="22" s="1"/>
  <c r="E35" i="22"/>
  <c r="E208" i="22" s="1"/>
  <c r="D35" i="22"/>
  <c r="D208" i="22" s="1"/>
  <c r="C35" i="22"/>
  <c r="C208" i="22" s="1"/>
  <c r="B35" i="22"/>
  <c r="B208" i="22" s="1"/>
  <c r="K34" i="22"/>
  <c r="K207" i="22" s="1"/>
  <c r="J34" i="22"/>
  <c r="I34" i="22"/>
  <c r="I207" i="22" s="1"/>
  <c r="H34" i="22"/>
  <c r="H207" i="22" s="1"/>
  <c r="G34" i="22"/>
  <c r="G207" i="22" s="1"/>
  <c r="F34" i="22"/>
  <c r="E34" i="22"/>
  <c r="E207" i="22" s="1"/>
  <c r="D34" i="22"/>
  <c r="D207" i="22" s="1"/>
  <c r="C34" i="22"/>
  <c r="C207" i="22" s="1"/>
  <c r="B34" i="22"/>
  <c r="B207" i="22" s="1"/>
  <c r="K33" i="22"/>
  <c r="K206" i="22" s="1"/>
  <c r="J33" i="22"/>
  <c r="J206" i="22" s="1"/>
  <c r="I33" i="22"/>
  <c r="I206" i="22" s="1"/>
  <c r="H33" i="22"/>
  <c r="H206" i="22" s="1"/>
  <c r="G33" i="22"/>
  <c r="G206" i="22" s="1"/>
  <c r="F33" i="22"/>
  <c r="F206" i="22" s="1"/>
  <c r="E33" i="22"/>
  <c r="E206" i="22" s="1"/>
  <c r="D33" i="22"/>
  <c r="D206" i="22" s="1"/>
  <c r="C33" i="22"/>
  <c r="C206" i="22" s="1"/>
  <c r="B33" i="22"/>
  <c r="B206" i="22" s="1"/>
  <c r="K32" i="22"/>
  <c r="J32" i="22"/>
  <c r="I32" i="22"/>
  <c r="H32" i="22"/>
  <c r="G32" i="22"/>
  <c r="F32" i="22"/>
  <c r="E32" i="22"/>
  <c r="C32" i="22"/>
  <c r="B32" i="22"/>
  <c r="K31" i="22"/>
  <c r="K166" i="22" s="1"/>
  <c r="J31" i="22"/>
  <c r="I31" i="22"/>
  <c r="H31" i="22"/>
  <c r="G31" i="22"/>
  <c r="F31" i="22"/>
  <c r="E31" i="22"/>
  <c r="D31" i="22"/>
  <c r="C31" i="22"/>
  <c r="B31" i="22"/>
  <c r="K30" i="22"/>
  <c r="J30" i="22"/>
  <c r="I30" i="22"/>
  <c r="H30" i="22"/>
  <c r="G30" i="22"/>
  <c r="F30" i="22"/>
  <c r="E30" i="22"/>
  <c r="D30" i="22"/>
  <c r="C30" i="22"/>
  <c r="B30" i="22"/>
  <c r="K29" i="22"/>
  <c r="J29" i="22"/>
  <c r="I29" i="22"/>
  <c r="H29" i="22"/>
  <c r="G29" i="22"/>
  <c r="F29" i="22"/>
  <c r="E29" i="22"/>
  <c r="D29" i="22"/>
  <c r="C29" i="22"/>
  <c r="B29" i="22"/>
  <c r="K28" i="22"/>
  <c r="J28" i="22"/>
  <c r="I28" i="22"/>
  <c r="H28" i="22"/>
  <c r="G28" i="22"/>
  <c r="F28" i="22"/>
  <c r="E28" i="22"/>
  <c r="D28" i="22"/>
  <c r="C28" i="22"/>
  <c r="B28" i="22"/>
  <c r="K27" i="22"/>
  <c r="K162" i="22" s="1"/>
  <c r="J27" i="22"/>
  <c r="I27" i="22"/>
  <c r="H27" i="22"/>
  <c r="G27" i="22"/>
  <c r="F27" i="22"/>
  <c r="E27" i="22"/>
  <c r="D27" i="22"/>
  <c r="C27" i="22"/>
  <c r="B27" i="22"/>
  <c r="K26" i="22"/>
  <c r="J26" i="22"/>
  <c r="I26" i="22"/>
  <c r="H26" i="22"/>
  <c r="G26" i="22"/>
  <c r="F26" i="22"/>
  <c r="F161" i="22" s="1"/>
  <c r="E26" i="22"/>
  <c r="D26" i="22"/>
  <c r="C26" i="22"/>
  <c r="B26" i="22"/>
  <c r="B161" i="22" s="1"/>
  <c r="K25" i="22"/>
  <c r="J25" i="22"/>
  <c r="I25" i="22"/>
  <c r="H25" i="22"/>
  <c r="G25" i="22"/>
  <c r="F25" i="22"/>
  <c r="E25" i="22"/>
  <c r="D25" i="22"/>
  <c r="C25" i="22"/>
  <c r="B25" i="22"/>
  <c r="K24" i="22"/>
  <c r="J24" i="22"/>
  <c r="I24" i="22"/>
  <c r="H24" i="22"/>
  <c r="G24" i="22"/>
  <c r="F24" i="22"/>
  <c r="E24" i="22"/>
  <c r="D24" i="22"/>
  <c r="C24" i="22"/>
  <c r="B24" i="22"/>
  <c r="K23" i="22"/>
  <c r="K158" i="22" s="1"/>
  <c r="J23" i="22"/>
  <c r="I23" i="22"/>
  <c r="H23" i="22"/>
  <c r="G23" i="22"/>
  <c r="F23" i="22"/>
  <c r="E23" i="22"/>
  <c r="D23" i="22"/>
  <c r="C23" i="22"/>
  <c r="B23" i="22"/>
  <c r="K22" i="22"/>
  <c r="J22" i="22"/>
  <c r="J157" i="22" s="1"/>
  <c r="I22" i="22"/>
  <c r="H22" i="22"/>
  <c r="G22" i="22"/>
  <c r="F22" i="22"/>
  <c r="E22" i="22"/>
  <c r="D22" i="22"/>
  <c r="C22" i="22"/>
  <c r="B22" i="22"/>
  <c r="B157" i="22" s="1"/>
  <c r="K21" i="22"/>
  <c r="J21" i="22"/>
  <c r="I21" i="22"/>
  <c r="H21" i="22"/>
  <c r="G21" i="22"/>
  <c r="F21" i="22"/>
  <c r="E21" i="22"/>
  <c r="D21" i="22"/>
  <c r="C21" i="22"/>
  <c r="B21" i="22"/>
  <c r="K20" i="22"/>
  <c r="J20" i="22"/>
  <c r="I20" i="22"/>
  <c r="H20" i="22"/>
  <c r="G20" i="22"/>
  <c r="F20" i="22"/>
  <c r="E20" i="22"/>
  <c r="D20" i="22"/>
  <c r="C20" i="22"/>
  <c r="B20" i="22"/>
  <c r="K19" i="22"/>
  <c r="J19" i="22"/>
  <c r="I19" i="22"/>
  <c r="H19" i="22"/>
  <c r="G19" i="22"/>
  <c r="F19" i="22"/>
  <c r="E19" i="22"/>
  <c r="D19" i="22"/>
  <c r="C19" i="22"/>
  <c r="B19" i="22"/>
  <c r="K18" i="22"/>
  <c r="J18" i="22"/>
  <c r="I18" i="22"/>
  <c r="H18" i="22"/>
  <c r="G18" i="22"/>
  <c r="F18" i="22"/>
  <c r="E18" i="22"/>
  <c r="D18" i="22"/>
  <c r="C18" i="22"/>
  <c r="B18" i="22"/>
  <c r="K17" i="22"/>
  <c r="J17" i="22"/>
  <c r="I17" i="22"/>
  <c r="H17" i="22"/>
  <c r="G17" i="22"/>
  <c r="F17" i="22"/>
  <c r="E17" i="22"/>
  <c r="D17" i="22"/>
  <c r="C17" i="22"/>
  <c r="B17" i="22"/>
  <c r="K16" i="22"/>
  <c r="J16" i="22"/>
  <c r="I16" i="22"/>
  <c r="H16" i="22"/>
  <c r="G16" i="22"/>
  <c r="F16" i="22"/>
  <c r="E16" i="22"/>
  <c r="D16" i="22"/>
  <c r="C16" i="22"/>
  <c r="B16" i="22"/>
  <c r="K15" i="22"/>
  <c r="J15" i="22"/>
  <c r="I15" i="22"/>
  <c r="H15" i="22"/>
  <c r="G15" i="22"/>
  <c r="F15" i="22"/>
  <c r="E15" i="22"/>
  <c r="D15" i="22"/>
  <c r="C15" i="22"/>
  <c r="B15" i="22"/>
  <c r="K14" i="22"/>
  <c r="J14" i="22"/>
  <c r="I14" i="22"/>
  <c r="H14" i="22"/>
  <c r="G14" i="22"/>
  <c r="F14" i="22"/>
  <c r="E14" i="22"/>
  <c r="D14" i="22"/>
  <c r="C14" i="22"/>
  <c r="B14" i="22"/>
  <c r="K13" i="22"/>
  <c r="J13" i="22"/>
  <c r="I13" i="22"/>
  <c r="H13" i="22"/>
  <c r="G13" i="22"/>
  <c r="F13" i="22"/>
  <c r="E13" i="22"/>
  <c r="D13" i="22"/>
  <c r="C13" i="22"/>
  <c r="B13" i="22"/>
  <c r="K12" i="22"/>
  <c r="J12" i="22"/>
  <c r="I12" i="22"/>
  <c r="H12" i="22"/>
  <c r="G12" i="22"/>
  <c r="F12" i="22"/>
  <c r="E12" i="22"/>
  <c r="D12" i="22"/>
  <c r="C12" i="22"/>
  <c r="B12" i="22"/>
  <c r="K11" i="22"/>
  <c r="J11" i="22"/>
  <c r="I11" i="22"/>
  <c r="H11" i="22"/>
  <c r="G11" i="22"/>
  <c r="F11" i="22"/>
  <c r="E11" i="22"/>
  <c r="D11" i="22"/>
  <c r="C11" i="22"/>
  <c r="B11" i="22"/>
  <c r="K10" i="22"/>
  <c r="J10" i="22"/>
  <c r="I10" i="22"/>
  <c r="H10" i="22"/>
  <c r="G10" i="22"/>
  <c r="F10" i="22"/>
  <c r="E10" i="22"/>
  <c r="D10" i="22"/>
  <c r="C10" i="22"/>
  <c r="B10" i="22"/>
  <c r="K9" i="22"/>
  <c r="J9" i="22"/>
  <c r="I9" i="22"/>
  <c r="H9" i="22"/>
  <c r="G9" i="22"/>
  <c r="F9" i="22"/>
  <c r="E9" i="22"/>
  <c r="D9" i="22"/>
  <c r="C9" i="22"/>
  <c r="B9" i="22"/>
  <c r="K8" i="22"/>
  <c r="J8" i="22"/>
  <c r="I8" i="22"/>
  <c r="H8" i="22"/>
  <c r="G8" i="22"/>
  <c r="F8" i="22"/>
  <c r="E8" i="22"/>
  <c r="D8" i="22"/>
  <c r="C8" i="22"/>
  <c r="B8" i="22"/>
  <c r="K7" i="22"/>
  <c r="J7" i="22"/>
  <c r="I7" i="22"/>
  <c r="H7" i="22"/>
  <c r="G7" i="22"/>
  <c r="F7" i="22"/>
  <c r="E7" i="22"/>
  <c r="D7" i="22"/>
  <c r="C7" i="22"/>
  <c r="B7" i="22"/>
  <c r="K6" i="22"/>
  <c r="J6" i="22"/>
  <c r="I6" i="22"/>
  <c r="H6" i="22"/>
  <c r="G6" i="22"/>
  <c r="F6" i="22"/>
  <c r="E6" i="22"/>
  <c r="D6" i="22"/>
  <c r="C6" i="22"/>
  <c r="B6" i="22"/>
  <c r="K5" i="22"/>
  <c r="J5" i="22"/>
  <c r="I5" i="22"/>
  <c r="H5" i="22"/>
  <c r="G5" i="22"/>
  <c r="F5" i="22"/>
  <c r="E5" i="22"/>
  <c r="D5" i="22"/>
  <c r="C5" i="22"/>
  <c r="B5" i="22"/>
  <c r="A378" i="20"/>
  <c r="A377" i="20"/>
  <c r="A376" i="20"/>
  <c r="A375" i="20"/>
  <c r="Q349" i="20"/>
  <c r="P349" i="20"/>
  <c r="O349" i="20"/>
  <c r="N349" i="20"/>
  <c r="M349" i="20"/>
  <c r="L349" i="20"/>
  <c r="K349" i="20"/>
  <c r="H349" i="20"/>
  <c r="G349" i="20"/>
  <c r="F349" i="20"/>
  <c r="E349" i="20"/>
  <c r="D349" i="20"/>
  <c r="C349" i="20"/>
  <c r="B349" i="20"/>
  <c r="Q346" i="20"/>
  <c r="P346" i="20"/>
  <c r="O346" i="20"/>
  <c r="N346" i="20"/>
  <c r="M346" i="20"/>
  <c r="L346" i="20"/>
  <c r="K346" i="20"/>
  <c r="H346" i="20"/>
  <c r="G346" i="20"/>
  <c r="F346" i="20"/>
  <c r="E346" i="20"/>
  <c r="D346" i="20"/>
  <c r="C346" i="20"/>
  <c r="B346" i="20"/>
  <c r="Q345" i="20"/>
  <c r="P345" i="20"/>
  <c r="O345" i="20"/>
  <c r="N345" i="20"/>
  <c r="M345" i="20"/>
  <c r="L345" i="20"/>
  <c r="K345" i="20"/>
  <c r="H345" i="20"/>
  <c r="G345" i="20"/>
  <c r="F345" i="20"/>
  <c r="E345" i="20"/>
  <c r="D345" i="20"/>
  <c r="C345" i="20"/>
  <c r="B345" i="20"/>
  <c r="Q344" i="20"/>
  <c r="P344" i="20"/>
  <c r="O344" i="20"/>
  <c r="N344" i="20"/>
  <c r="M344" i="20"/>
  <c r="L344" i="20"/>
  <c r="K344" i="20"/>
  <c r="H344" i="20"/>
  <c r="G344" i="20"/>
  <c r="F344" i="20"/>
  <c r="E344" i="20"/>
  <c r="D344" i="20"/>
  <c r="C344" i="20"/>
  <c r="B344" i="20"/>
  <c r="Q343" i="20"/>
  <c r="P343" i="20"/>
  <c r="O343" i="20"/>
  <c r="N343" i="20"/>
  <c r="M343" i="20"/>
  <c r="L343" i="20"/>
  <c r="K343" i="20"/>
  <c r="H343" i="20"/>
  <c r="G343" i="20"/>
  <c r="F343" i="20"/>
  <c r="E343" i="20"/>
  <c r="D343" i="20"/>
  <c r="C343" i="20"/>
  <c r="B343" i="20"/>
  <c r="Q342" i="20"/>
  <c r="P342" i="20"/>
  <c r="O342" i="20"/>
  <c r="N342" i="20"/>
  <c r="M342" i="20"/>
  <c r="L342" i="20"/>
  <c r="K342" i="20"/>
  <c r="H342" i="20"/>
  <c r="G342" i="20"/>
  <c r="F342" i="20"/>
  <c r="E342" i="20"/>
  <c r="D342" i="20"/>
  <c r="C342" i="20"/>
  <c r="B342" i="20"/>
  <c r="Q341" i="20"/>
  <c r="P341" i="20"/>
  <c r="O341" i="20"/>
  <c r="N341" i="20"/>
  <c r="M341" i="20"/>
  <c r="L341" i="20"/>
  <c r="K341" i="20"/>
  <c r="H341" i="20"/>
  <c r="G341" i="20"/>
  <c r="F341" i="20"/>
  <c r="E341" i="20"/>
  <c r="D341" i="20"/>
  <c r="C341" i="20"/>
  <c r="B341" i="20"/>
  <c r="Q340" i="20"/>
  <c r="P340" i="20"/>
  <c r="O340" i="20"/>
  <c r="N340" i="20"/>
  <c r="M340" i="20"/>
  <c r="L340" i="20"/>
  <c r="K340" i="20"/>
  <c r="H340" i="20"/>
  <c r="G340" i="20"/>
  <c r="F340" i="20"/>
  <c r="E340" i="20"/>
  <c r="D340" i="20"/>
  <c r="C340" i="20"/>
  <c r="B340" i="20"/>
  <c r="Q339" i="20"/>
  <c r="P339" i="20"/>
  <c r="O339" i="20"/>
  <c r="N339" i="20"/>
  <c r="M339" i="20"/>
  <c r="L339" i="20"/>
  <c r="K339" i="20"/>
  <c r="H339" i="20"/>
  <c r="G339" i="20"/>
  <c r="F339" i="20"/>
  <c r="E339" i="20"/>
  <c r="D339" i="20"/>
  <c r="C339" i="20"/>
  <c r="B339" i="20"/>
  <c r="Q338" i="20"/>
  <c r="P338" i="20"/>
  <c r="O338" i="20"/>
  <c r="N338" i="20"/>
  <c r="M338" i="20"/>
  <c r="L338" i="20"/>
  <c r="K338" i="20"/>
  <c r="H338" i="20"/>
  <c r="G338" i="20"/>
  <c r="F338" i="20"/>
  <c r="E338" i="20"/>
  <c r="D338" i="20"/>
  <c r="C338" i="20"/>
  <c r="B338" i="20"/>
  <c r="Q337" i="20"/>
  <c r="P337" i="20"/>
  <c r="O337" i="20"/>
  <c r="N337" i="20"/>
  <c r="M337" i="20"/>
  <c r="L337" i="20"/>
  <c r="K337" i="20"/>
  <c r="H337" i="20"/>
  <c r="G337" i="20"/>
  <c r="F337" i="20"/>
  <c r="E337" i="20"/>
  <c r="D337" i="20"/>
  <c r="C337" i="20"/>
  <c r="B337" i="20"/>
  <c r="Q336" i="20"/>
  <c r="P336" i="20"/>
  <c r="O336" i="20"/>
  <c r="N336" i="20"/>
  <c r="M336" i="20"/>
  <c r="L336" i="20"/>
  <c r="K336" i="20"/>
  <c r="H336" i="20"/>
  <c r="G336" i="20"/>
  <c r="F336" i="20"/>
  <c r="E336" i="20"/>
  <c r="D336" i="20"/>
  <c r="C336" i="20"/>
  <c r="B336" i="20"/>
  <c r="Q335" i="20"/>
  <c r="P335" i="20"/>
  <c r="O335" i="20"/>
  <c r="N335" i="20"/>
  <c r="M335" i="20"/>
  <c r="L335" i="20"/>
  <c r="K335" i="20"/>
  <c r="H335" i="20"/>
  <c r="G335" i="20"/>
  <c r="F335" i="20"/>
  <c r="E335" i="20"/>
  <c r="D335" i="20"/>
  <c r="C335" i="20"/>
  <c r="B335" i="20"/>
  <c r="Q334" i="20"/>
  <c r="P334" i="20"/>
  <c r="O334" i="20"/>
  <c r="N334" i="20"/>
  <c r="M334" i="20"/>
  <c r="L334" i="20"/>
  <c r="K334" i="20"/>
  <c r="H334" i="20"/>
  <c r="G334" i="20"/>
  <c r="F334" i="20"/>
  <c r="E334" i="20"/>
  <c r="D334" i="20"/>
  <c r="C334" i="20"/>
  <c r="B334" i="20"/>
  <c r="P333" i="20"/>
  <c r="O333" i="20"/>
  <c r="N333" i="20"/>
  <c r="G333" i="20"/>
  <c r="F333" i="20"/>
  <c r="E333" i="20"/>
  <c r="P332" i="20"/>
  <c r="O332" i="20"/>
  <c r="N332" i="20"/>
  <c r="M332" i="20"/>
  <c r="G332" i="20"/>
  <c r="F332" i="20"/>
  <c r="E332" i="20"/>
  <c r="D332" i="20"/>
  <c r="P331" i="20"/>
  <c r="O331" i="20"/>
  <c r="N331" i="20"/>
  <c r="M331" i="20"/>
  <c r="G331" i="20"/>
  <c r="F331" i="20"/>
  <c r="E331" i="20"/>
  <c r="D331" i="20"/>
  <c r="C331" i="20"/>
  <c r="P330" i="20"/>
  <c r="N330" i="20"/>
  <c r="M330" i="20"/>
  <c r="L330" i="20"/>
  <c r="G330" i="20"/>
  <c r="E330" i="20"/>
  <c r="D330" i="20"/>
  <c r="C330" i="20"/>
  <c r="Q327" i="20"/>
  <c r="P327" i="20"/>
  <c r="O327" i="20"/>
  <c r="N327" i="20"/>
  <c r="M327" i="20"/>
  <c r="L327" i="20"/>
  <c r="K327" i="20"/>
  <c r="H327" i="20"/>
  <c r="G327" i="20"/>
  <c r="F327" i="20"/>
  <c r="E327" i="20"/>
  <c r="D327" i="20"/>
  <c r="C327" i="20"/>
  <c r="B327" i="20"/>
  <c r="Q324" i="20"/>
  <c r="P324" i="20"/>
  <c r="O324" i="20"/>
  <c r="N324" i="20"/>
  <c r="M324" i="20"/>
  <c r="L324" i="20"/>
  <c r="K324" i="20"/>
  <c r="H324" i="20"/>
  <c r="G324" i="20"/>
  <c r="F324" i="20"/>
  <c r="E324" i="20"/>
  <c r="D324" i="20"/>
  <c r="C324" i="20"/>
  <c r="B324" i="20"/>
  <c r="Q323" i="20"/>
  <c r="P323" i="20"/>
  <c r="O323" i="20"/>
  <c r="N323" i="20"/>
  <c r="M323" i="20"/>
  <c r="L323" i="20"/>
  <c r="K323" i="20"/>
  <c r="H323" i="20"/>
  <c r="G323" i="20"/>
  <c r="F323" i="20"/>
  <c r="E323" i="20"/>
  <c r="D323" i="20"/>
  <c r="C323" i="20"/>
  <c r="B323" i="20"/>
  <c r="Q322" i="20"/>
  <c r="P322" i="20"/>
  <c r="O322" i="20"/>
  <c r="N322" i="20"/>
  <c r="M322" i="20"/>
  <c r="L322" i="20"/>
  <c r="K322" i="20"/>
  <c r="H322" i="20"/>
  <c r="G322" i="20"/>
  <c r="F322" i="20"/>
  <c r="E322" i="20"/>
  <c r="D322" i="20"/>
  <c r="C322" i="20"/>
  <c r="B322" i="20"/>
  <c r="Q321" i="20"/>
  <c r="P321" i="20"/>
  <c r="O321" i="20"/>
  <c r="N321" i="20"/>
  <c r="M321" i="20"/>
  <c r="L321" i="20"/>
  <c r="K321" i="20"/>
  <c r="H321" i="20"/>
  <c r="G321" i="20"/>
  <c r="F321" i="20"/>
  <c r="E321" i="20"/>
  <c r="D321" i="20"/>
  <c r="C321" i="20"/>
  <c r="B321" i="20"/>
  <c r="Q320" i="20"/>
  <c r="P320" i="20"/>
  <c r="O320" i="20"/>
  <c r="N320" i="20"/>
  <c r="M320" i="20"/>
  <c r="L320" i="20"/>
  <c r="K320" i="20"/>
  <c r="H320" i="20"/>
  <c r="G320" i="20"/>
  <c r="F320" i="20"/>
  <c r="E320" i="20"/>
  <c r="D320" i="20"/>
  <c r="C320" i="20"/>
  <c r="B320" i="20"/>
  <c r="Q319" i="20"/>
  <c r="P319" i="20"/>
  <c r="O319" i="20"/>
  <c r="N319" i="20"/>
  <c r="M319" i="20"/>
  <c r="L319" i="20"/>
  <c r="K319" i="20"/>
  <c r="H319" i="20"/>
  <c r="G319" i="20"/>
  <c r="F319" i="20"/>
  <c r="E319" i="20"/>
  <c r="D319" i="20"/>
  <c r="C319" i="20"/>
  <c r="B319" i="20"/>
  <c r="Q318" i="20"/>
  <c r="P318" i="20"/>
  <c r="O318" i="20"/>
  <c r="N318" i="20"/>
  <c r="M318" i="20"/>
  <c r="L318" i="20"/>
  <c r="K318" i="20"/>
  <c r="H318" i="20"/>
  <c r="G318" i="20"/>
  <c r="F318" i="20"/>
  <c r="E318" i="20"/>
  <c r="D318" i="20"/>
  <c r="C318" i="20"/>
  <c r="B318" i="20"/>
  <c r="Q317" i="20"/>
  <c r="P317" i="20"/>
  <c r="O317" i="20"/>
  <c r="N317" i="20"/>
  <c r="M317" i="20"/>
  <c r="L317" i="20"/>
  <c r="K317" i="20"/>
  <c r="H317" i="20"/>
  <c r="G317" i="20"/>
  <c r="F317" i="20"/>
  <c r="E317" i="20"/>
  <c r="D317" i="20"/>
  <c r="C317" i="20"/>
  <c r="B317" i="20"/>
  <c r="Q316" i="20"/>
  <c r="P316" i="20"/>
  <c r="O316" i="20"/>
  <c r="N316" i="20"/>
  <c r="M316" i="20"/>
  <c r="L316" i="20"/>
  <c r="K316" i="20"/>
  <c r="H316" i="20"/>
  <c r="G316" i="20"/>
  <c r="F316" i="20"/>
  <c r="E316" i="20"/>
  <c r="D316" i="20"/>
  <c r="C316" i="20"/>
  <c r="B316" i="20"/>
  <c r="Q315" i="20"/>
  <c r="P315" i="20"/>
  <c r="O315" i="20"/>
  <c r="N315" i="20"/>
  <c r="M315" i="20"/>
  <c r="L315" i="20"/>
  <c r="K315" i="20"/>
  <c r="H315" i="20"/>
  <c r="G315" i="20"/>
  <c r="F315" i="20"/>
  <c r="E315" i="20"/>
  <c r="D315" i="20"/>
  <c r="C315" i="20"/>
  <c r="B315" i="20"/>
  <c r="Q314" i="20"/>
  <c r="P314" i="20"/>
  <c r="O314" i="20"/>
  <c r="N314" i="20"/>
  <c r="M314" i="20"/>
  <c r="L314" i="20"/>
  <c r="K314" i="20"/>
  <c r="H314" i="20"/>
  <c r="G314" i="20"/>
  <c r="F314" i="20"/>
  <c r="E314" i="20"/>
  <c r="D314" i="20"/>
  <c r="C314" i="20"/>
  <c r="B314" i="20"/>
  <c r="Q313" i="20"/>
  <c r="P313" i="20"/>
  <c r="O313" i="20"/>
  <c r="N313" i="20"/>
  <c r="M313" i="20"/>
  <c r="L313" i="20"/>
  <c r="K313" i="20"/>
  <c r="H313" i="20"/>
  <c r="G313" i="20"/>
  <c r="F313" i="20"/>
  <c r="E313" i="20"/>
  <c r="D313" i="20"/>
  <c r="C313" i="20"/>
  <c r="B313" i="20"/>
  <c r="Q312" i="20"/>
  <c r="P312" i="20"/>
  <c r="N312" i="20"/>
  <c r="M312" i="20"/>
  <c r="L312" i="20"/>
  <c r="K312" i="20"/>
  <c r="H312" i="20"/>
  <c r="G312" i="20"/>
  <c r="E312" i="20"/>
  <c r="D312" i="20"/>
  <c r="C312" i="20"/>
  <c r="B312" i="20"/>
  <c r="P311" i="20"/>
  <c r="O311" i="20"/>
  <c r="N311" i="20"/>
  <c r="G311" i="20"/>
  <c r="F311" i="20"/>
  <c r="E311" i="20"/>
  <c r="Q310" i="20"/>
  <c r="P310" i="20"/>
  <c r="O310" i="20"/>
  <c r="N310" i="20"/>
  <c r="M310" i="20"/>
  <c r="H310" i="20"/>
  <c r="G310" i="20"/>
  <c r="F310" i="20"/>
  <c r="E310" i="20"/>
  <c r="D310" i="20"/>
  <c r="Q309" i="20"/>
  <c r="P309" i="20"/>
  <c r="O309" i="20"/>
  <c r="N309" i="20"/>
  <c r="M309" i="20"/>
  <c r="L309" i="20"/>
  <c r="G309" i="20"/>
  <c r="F309" i="20"/>
  <c r="E309" i="20"/>
  <c r="D309" i="20"/>
  <c r="C309" i="20"/>
  <c r="Q308" i="20"/>
  <c r="P308" i="20"/>
  <c r="O308" i="20"/>
  <c r="N308" i="20"/>
  <c r="M308" i="20"/>
  <c r="L308" i="20"/>
  <c r="H308" i="20"/>
  <c r="G308" i="20"/>
  <c r="F308" i="20"/>
  <c r="E308" i="20"/>
  <c r="D308" i="20"/>
  <c r="C308" i="20"/>
  <c r="Q302" i="20"/>
  <c r="P302" i="20"/>
  <c r="O302" i="20"/>
  <c r="N302" i="20"/>
  <c r="M302" i="20"/>
  <c r="L302" i="20"/>
  <c r="K302" i="20"/>
  <c r="H302" i="20"/>
  <c r="G302" i="20"/>
  <c r="F302" i="20"/>
  <c r="E302" i="20"/>
  <c r="D302" i="20"/>
  <c r="C302" i="20"/>
  <c r="B302" i="20"/>
  <c r="Q299" i="20"/>
  <c r="P299" i="20"/>
  <c r="O299" i="20"/>
  <c r="N299" i="20"/>
  <c r="M299" i="20"/>
  <c r="L299" i="20"/>
  <c r="K299" i="20"/>
  <c r="H299" i="20"/>
  <c r="G299" i="20"/>
  <c r="F299" i="20"/>
  <c r="E299" i="20"/>
  <c r="D299" i="20"/>
  <c r="C299" i="20"/>
  <c r="B299" i="20"/>
  <c r="Q298" i="20"/>
  <c r="P298" i="20"/>
  <c r="O298" i="20"/>
  <c r="N298" i="20"/>
  <c r="M298" i="20"/>
  <c r="L298" i="20"/>
  <c r="K298" i="20"/>
  <c r="H298" i="20"/>
  <c r="G298" i="20"/>
  <c r="F298" i="20"/>
  <c r="E298" i="20"/>
  <c r="D298" i="20"/>
  <c r="C298" i="20"/>
  <c r="B298" i="20"/>
  <c r="Q297" i="20"/>
  <c r="P297" i="20"/>
  <c r="O297" i="20"/>
  <c r="N297" i="20"/>
  <c r="M297" i="20"/>
  <c r="L297" i="20"/>
  <c r="K297" i="20"/>
  <c r="H297" i="20"/>
  <c r="G297" i="20"/>
  <c r="F297" i="20"/>
  <c r="E297" i="20"/>
  <c r="D297" i="20"/>
  <c r="C297" i="20"/>
  <c r="B297" i="20"/>
  <c r="Q296" i="20"/>
  <c r="P296" i="20"/>
  <c r="O296" i="20"/>
  <c r="N296" i="20"/>
  <c r="M296" i="20"/>
  <c r="L296" i="20"/>
  <c r="K296" i="20"/>
  <c r="H296" i="20"/>
  <c r="G296" i="20"/>
  <c r="F296" i="20"/>
  <c r="E296" i="20"/>
  <c r="D296" i="20"/>
  <c r="C296" i="20"/>
  <c r="B296" i="20"/>
  <c r="Q295" i="20"/>
  <c r="P295" i="20"/>
  <c r="O295" i="20"/>
  <c r="N295" i="20"/>
  <c r="M295" i="20"/>
  <c r="L295" i="20"/>
  <c r="K295" i="20"/>
  <c r="H295" i="20"/>
  <c r="G295" i="20"/>
  <c r="F295" i="20"/>
  <c r="E295" i="20"/>
  <c r="D295" i="20"/>
  <c r="C295" i="20"/>
  <c r="B295" i="20"/>
  <c r="Q294" i="20"/>
  <c r="P294" i="20"/>
  <c r="O294" i="20"/>
  <c r="N294" i="20"/>
  <c r="M294" i="20"/>
  <c r="L294" i="20"/>
  <c r="K294" i="20"/>
  <c r="H294" i="20"/>
  <c r="G294" i="20"/>
  <c r="F294" i="20"/>
  <c r="E294" i="20"/>
  <c r="D294" i="20"/>
  <c r="C294" i="20"/>
  <c r="B294" i="20"/>
  <c r="Q293" i="20"/>
  <c r="P293" i="20"/>
  <c r="O293" i="20"/>
  <c r="N293" i="20"/>
  <c r="M293" i="20"/>
  <c r="L293" i="20"/>
  <c r="K293" i="20"/>
  <c r="H293" i="20"/>
  <c r="G293" i="20"/>
  <c r="F293" i="20"/>
  <c r="E293" i="20"/>
  <c r="D293" i="20"/>
  <c r="C293" i="20"/>
  <c r="B293" i="20"/>
  <c r="Q292" i="20"/>
  <c r="P292" i="20"/>
  <c r="O292" i="20"/>
  <c r="N292" i="20"/>
  <c r="M292" i="20"/>
  <c r="L292" i="20"/>
  <c r="K292" i="20"/>
  <c r="H292" i="20"/>
  <c r="G292" i="20"/>
  <c r="F292" i="20"/>
  <c r="E292" i="20"/>
  <c r="D292" i="20"/>
  <c r="C292" i="20"/>
  <c r="B292" i="20"/>
  <c r="Q291" i="20"/>
  <c r="P291" i="20"/>
  <c r="O291" i="20"/>
  <c r="N291" i="20"/>
  <c r="M291" i="20"/>
  <c r="L291" i="20"/>
  <c r="K291" i="20"/>
  <c r="H291" i="20"/>
  <c r="G291" i="20"/>
  <c r="F291" i="20"/>
  <c r="E291" i="20"/>
  <c r="D291" i="20"/>
  <c r="C291" i="20"/>
  <c r="B291" i="20"/>
  <c r="Q290" i="20"/>
  <c r="P290" i="20"/>
  <c r="O290" i="20"/>
  <c r="N290" i="20"/>
  <c r="M290" i="20"/>
  <c r="L290" i="20"/>
  <c r="K290" i="20"/>
  <c r="H290" i="20"/>
  <c r="G290" i="20"/>
  <c r="F290" i="20"/>
  <c r="E290" i="20"/>
  <c r="D290" i="20"/>
  <c r="C290" i="20"/>
  <c r="B290" i="20"/>
  <c r="Q289" i="20"/>
  <c r="P289" i="20"/>
  <c r="O289" i="20"/>
  <c r="N289" i="20"/>
  <c r="M289" i="20"/>
  <c r="L289" i="20"/>
  <c r="K289" i="20"/>
  <c r="H289" i="20"/>
  <c r="G289" i="20"/>
  <c r="F289" i="20"/>
  <c r="E289" i="20"/>
  <c r="D289" i="20"/>
  <c r="C289" i="20"/>
  <c r="B289" i="20"/>
  <c r="Q288" i="20"/>
  <c r="P288" i="20"/>
  <c r="O288" i="20"/>
  <c r="N288" i="20"/>
  <c r="M288" i="20"/>
  <c r="L288" i="20"/>
  <c r="K288" i="20"/>
  <c r="H288" i="20"/>
  <c r="G288" i="20"/>
  <c r="F288" i="20"/>
  <c r="E288" i="20"/>
  <c r="D288" i="20"/>
  <c r="C288" i="20"/>
  <c r="B288" i="20"/>
  <c r="Q287" i="20"/>
  <c r="P287" i="20"/>
  <c r="O287" i="20"/>
  <c r="N287" i="20"/>
  <c r="M287" i="20"/>
  <c r="L287" i="20"/>
  <c r="K287" i="20"/>
  <c r="H287" i="20"/>
  <c r="G287" i="20"/>
  <c r="F287" i="20"/>
  <c r="E287" i="20"/>
  <c r="D287" i="20"/>
  <c r="C287" i="20"/>
  <c r="B287" i="20"/>
  <c r="P286" i="20"/>
  <c r="O286" i="20"/>
  <c r="N286" i="20"/>
  <c r="G286" i="20"/>
  <c r="F286" i="20"/>
  <c r="E286" i="20"/>
  <c r="Q285" i="20"/>
  <c r="P285" i="20"/>
  <c r="O285" i="20"/>
  <c r="N285" i="20"/>
  <c r="H285" i="20"/>
  <c r="G285" i="20"/>
  <c r="F285" i="20"/>
  <c r="E285" i="20"/>
  <c r="P284" i="20"/>
  <c r="O284" i="20"/>
  <c r="N284" i="20"/>
  <c r="M284" i="20"/>
  <c r="G284" i="20"/>
  <c r="F284" i="20"/>
  <c r="E284" i="20"/>
  <c r="D284" i="20"/>
  <c r="C284" i="20"/>
  <c r="P283" i="20"/>
  <c r="O283" i="20"/>
  <c r="N283" i="20"/>
  <c r="M283" i="20"/>
  <c r="L283" i="20"/>
  <c r="G283" i="20"/>
  <c r="F283" i="20"/>
  <c r="E283" i="20"/>
  <c r="D283" i="20"/>
  <c r="C283" i="20"/>
  <c r="Q280" i="20"/>
  <c r="P280" i="20"/>
  <c r="O280" i="20"/>
  <c r="N280" i="20"/>
  <c r="M280" i="20"/>
  <c r="L280" i="20"/>
  <c r="K280" i="20"/>
  <c r="H280" i="20"/>
  <c r="G280" i="20"/>
  <c r="F280" i="20"/>
  <c r="E280" i="20"/>
  <c r="D280" i="20"/>
  <c r="C280" i="20"/>
  <c r="B280" i="20"/>
  <c r="Q277" i="20"/>
  <c r="P277" i="20"/>
  <c r="O277" i="20"/>
  <c r="N277" i="20"/>
  <c r="M277" i="20"/>
  <c r="L277" i="20"/>
  <c r="K277" i="20"/>
  <c r="H277" i="20"/>
  <c r="G277" i="20"/>
  <c r="F277" i="20"/>
  <c r="E277" i="20"/>
  <c r="D277" i="20"/>
  <c r="C277" i="20"/>
  <c r="B277" i="20"/>
  <c r="Q276" i="20"/>
  <c r="P276" i="20"/>
  <c r="O276" i="20"/>
  <c r="N276" i="20"/>
  <c r="M276" i="20"/>
  <c r="L276" i="20"/>
  <c r="K276" i="20"/>
  <c r="H276" i="20"/>
  <c r="G276" i="20"/>
  <c r="F276" i="20"/>
  <c r="E276" i="20"/>
  <c r="D276" i="20"/>
  <c r="C276" i="20"/>
  <c r="B276" i="20"/>
  <c r="Q275" i="20"/>
  <c r="P275" i="20"/>
  <c r="O275" i="20"/>
  <c r="N275" i="20"/>
  <c r="M275" i="20"/>
  <c r="L275" i="20"/>
  <c r="K275" i="20"/>
  <c r="H275" i="20"/>
  <c r="G275" i="20"/>
  <c r="F275" i="20"/>
  <c r="E275" i="20"/>
  <c r="D275" i="20"/>
  <c r="C275" i="20"/>
  <c r="B275" i="20"/>
  <c r="Q274" i="20"/>
  <c r="P274" i="20"/>
  <c r="O274" i="20"/>
  <c r="N274" i="20"/>
  <c r="M274" i="20"/>
  <c r="L274" i="20"/>
  <c r="K274" i="20"/>
  <c r="H274" i="20"/>
  <c r="G274" i="20"/>
  <c r="F274" i="20"/>
  <c r="E274" i="20"/>
  <c r="D274" i="20"/>
  <c r="C274" i="20"/>
  <c r="B274" i="20"/>
  <c r="Q273" i="20"/>
  <c r="P273" i="20"/>
  <c r="O273" i="20"/>
  <c r="N273" i="20"/>
  <c r="M273" i="20"/>
  <c r="L273" i="20"/>
  <c r="K273" i="20"/>
  <c r="H273" i="20"/>
  <c r="G273" i="20"/>
  <c r="F273" i="20"/>
  <c r="E273" i="20"/>
  <c r="D273" i="20"/>
  <c r="C273" i="20"/>
  <c r="B273" i="20"/>
  <c r="Q272" i="20"/>
  <c r="P272" i="20"/>
  <c r="O272" i="20"/>
  <c r="N272" i="20"/>
  <c r="M272" i="20"/>
  <c r="L272" i="20"/>
  <c r="K272" i="20"/>
  <c r="H272" i="20"/>
  <c r="G272" i="20"/>
  <c r="F272" i="20"/>
  <c r="E272" i="20"/>
  <c r="D272" i="20"/>
  <c r="C272" i="20"/>
  <c r="B272" i="20"/>
  <c r="Q271" i="20"/>
  <c r="P271" i="20"/>
  <c r="O271" i="20"/>
  <c r="N271" i="20"/>
  <c r="M271" i="20"/>
  <c r="L271" i="20"/>
  <c r="K271" i="20"/>
  <c r="H271" i="20"/>
  <c r="G271" i="20"/>
  <c r="F271" i="20"/>
  <c r="E271" i="20"/>
  <c r="D271" i="20"/>
  <c r="C271" i="20"/>
  <c r="B271" i="20"/>
  <c r="Q270" i="20"/>
  <c r="P270" i="20"/>
  <c r="O270" i="20"/>
  <c r="N270" i="20"/>
  <c r="M270" i="20"/>
  <c r="L270" i="20"/>
  <c r="K270" i="20"/>
  <c r="H270" i="20"/>
  <c r="G270" i="20"/>
  <c r="F270" i="20"/>
  <c r="E270" i="20"/>
  <c r="D270" i="20"/>
  <c r="C270" i="20"/>
  <c r="B270" i="20"/>
  <c r="Q269" i="20"/>
  <c r="P269" i="20"/>
  <c r="O269" i="20"/>
  <c r="N269" i="20"/>
  <c r="M269" i="20"/>
  <c r="L269" i="20"/>
  <c r="K269" i="20"/>
  <c r="H269" i="20"/>
  <c r="G269" i="20"/>
  <c r="F269" i="20"/>
  <c r="E269" i="20"/>
  <c r="D269" i="20"/>
  <c r="C269" i="20"/>
  <c r="B269" i="20"/>
  <c r="Q268" i="20"/>
  <c r="P268" i="20"/>
  <c r="O268" i="20"/>
  <c r="N268" i="20"/>
  <c r="M268" i="20"/>
  <c r="L268" i="20"/>
  <c r="K268" i="20"/>
  <c r="H268" i="20"/>
  <c r="G268" i="20"/>
  <c r="F268" i="20"/>
  <c r="E268" i="20"/>
  <c r="D268" i="20"/>
  <c r="C268" i="20"/>
  <c r="B268" i="20"/>
  <c r="Q267" i="20"/>
  <c r="P267" i="20"/>
  <c r="O267" i="20"/>
  <c r="N267" i="20"/>
  <c r="M267" i="20"/>
  <c r="L267" i="20"/>
  <c r="K267" i="20"/>
  <c r="H267" i="20"/>
  <c r="G267" i="20"/>
  <c r="F267" i="20"/>
  <c r="E267" i="20"/>
  <c r="D267" i="20"/>
  <c r="C267" i="20"/>
  <c r="B267" i="20"/>
  <c r="Q266" i="20"/>
  <c r="P266" i="20"/>
  <c r="O266" i="20"/>
  <c r="N266" i="20"/>
  <c r="M266" i="20"/>
  <c r="L266" i="20"/>
  <c r="K266" i="20"/>
  <c r="H266" i="20"/>
  <c r="G266" i="20"/>
  <c r="F266" i="20"/>
  <c r="E266" i="20"/>
  <c r="D266" i="20"/>
  <c r="C266" i="20"/>
  <c r="B266" i="20"/>
  <c r="Q265" i="20"/>
  <c r="P265" i="20"/>
  <c r="O265" i="20"/>
  <c r="N265" i="20"/>
  <c r="M265" i="20"/>
  <c r="L265" i="20"/>
  <c r="K265" i="20"/>
  <c r="H265" i="20"/>
  <c r="G265" i="20"/>
  <c r="F265" i="20"/>
  <c r="E265" i="20"/>
  <c r="D265" i="20"/>
  <c r="C265" i="20"/>
  <c r="B265" i="20"/>
  <c r="P264" i="20"/>
  <c r="O264" i="20"/>
  <c r="N264" i="20"/>
  <c r="G264" i="20"/>
  <c r="F264" i="20"/>
  <c r="E264" i="20"/>
  <c r="P263" i="20"/>
  <c r="O263" i="20"/>
  <c r="N263" i="20"/>
  <c r="L263" i="20"/>
  <c r="G263" i="20"/>
  <c r="F263" i="20"/>
  <c r="E263" i="20"/>
  <c r="C263" i="20"/>
  <c r="P262" i="20"/>
  <c r="O262" i="20"/>
  <c r="M262" i="20"/>
  <c r="G262" i="20"/>
  <c r="F262" i="20"/>
  <c r="D262" i="20"/>
  <c r="C262" i="20"/>
  <c r="Q261" i="20"/>
  <c r="P261" i="20"/>
  <c r="O261" i="20"/>
  <c r="N261" i="20"/>
  <c r="M261" i="20"/>
  <c r="L261" i="20"/>
  <c r="H261" i="20"/>
  <c r="G261" i="20"/>
  <c r="E261" i="20"/>
  <c r="D261" i="20"/>
  <c r="C261" i="20"/>
  <c r="Q237" i="20"/>
  <c r="Q374" i="20" s="1"/>
  <c r="P237" i="20"/>
  <c r="P374" i="20" s="1"/>
  <c r="O237" i="20"/>
  <c r="O374" i="20" s="1"/>
  <c r="N237" i="20"/>
  <c r="N374" i="20" s="1"/>
  <c r="M237" i="20"/>
  <c r="M374" i="20" s="1"/>
  <c r="L237" i="20"/>
  <c r="L374" i="20" s="1"/>
  <c r="K237" i="20"/>
  <c r="K374" i="20" s="1"/>
  <c r="H237" i="20"/>
  <c r="H374" i="20" s="1"/>
  <c r="G237" i="20"/>
  <c r="G374" i="20" s="1"/>
  <c r="F237" i="20"/>
  <c r="F374" i="20" s="1"/>
  <c r="E237" i="20"/>
  <c r="E374" i="20" s="1"/>
  <c r="D237" i="20"/>
  <c r="D374" i="20" s="1"/>
  <c r="C237" i="20"/>
  <c r="C374" i="20" s="1"/>
  <c r="B237" i="20"/>
  <c r="B374" i="20" s="1"/>
  <c r="Q234" i="20"/>
  <c r="Q371" i="20" s="1"/>
  <c r="P234" i="20"/>
  <c r="P371" i="20" s="1"/>
  <c r="O234" i="20"/>
  <c r="O371" i="20" s="1"/>
  <c r="N234" i="20"/>
  <c r="N371" i="20" s="1"/>
  <c r="M234" i="20"/>
  <c r="M371" i="20" s="1"/>
  <c r="L234" i="20"/>
  <c r="L371" i="20" s="1"/>
  <c r="K234" i="20"/>
  <c r="K371" i="20" s="1"/>
  <c r="H234" i="20"/>
  <c r="H371" i="20" s="1"/>
  <c r="G234" i="20"/>
  <c r="G371" i="20" s="1"/>
  <c r="F234" i="20"/>
  <c r="F371" i="20" s="1"/>
  <c r="E234" i="20"/>
  <c r="E371" i="20" s="1"/>
  <c r="D234" i="20"/>
  <c r="D371" i="20" s="1"/>
  <c r="C234" i="20"/>
  <c r="C371" i="20" s="1"/>
  <c r="B234" i="20"/>
  <c r="B371" i="20" s="1"/>
  <c r="Q233" i="20"/>
  <c r="Q370" i="20" s="1"/>
  <c r="P233" i="20"/>
  <c r="P370" i="20" s="1"/>
  <c r="O233" i="20"/>
  <c r="O370" i="20" s="1"/>
  <c r="N233" i="20"/>
  <c r="N370" i="20" s="1"/>
  <c r="M233" i="20"/>
  <c r="M370" i="20" s="1"/>
  <c r="L233" i="20"/>
  <c r="L370" i="20" s="1"/>
  <c r="K233" i="20"/>
  <c r="K370" i="20" s="1"/>
  <c r="H233" i="20"/>
  <c r="H370" i="20" s="1"/>
  <c r="G233" i="20"/>
  <c r="G370" i="20" s="1"/>
  <c r="F233" i="20"/>
  <c r="F370" i="20" s="1"/>
  <c r="E233" i="20"/>
  <c r="E370" i="20" s="1"/>
  <c r="D233" i="20"/>
  <c r="D370" i="20" s="1"/>
  <c r="C233" i="20"/>
  <c r="C370" i="20" s="1"/>
  <c r="B233" i="20"/>
  <c r="B370" i="20" s="1"/>
  <c r="Q232" i="20"/>
  <c r="Q369" i="20" s="1"/>
  <c r="P232" i="20"/>
  <c r="P369" i="20" s="1"/>
  <c r="O232" i="20"/>
  <c r="O369" i="20" s="1"/>
  <c r="N232" i="20"/>
  <c r="N369" i="20" s="1"/>
  <c r="M232" i="20"/>
  <c r="M369" i="20" s="1"/>
  <c r="L232" i="20"/>
  <c r="L369" i="20" s="1"/>
  <c r="K232" i="20"/>
  <c r="K369" i="20" s="1"/>
  <c r="H232" i="20"/>
  <c r="H369" i="20" s="1"/>
  <c r="G232" i="20"/>
  <c r="G369" i="20" s="1"/>
  <c r="F232" i="20"/>
  <c r="F369" i="20" s="1"/>
  <c r="E232" i="20"/>
  <c r="E369" i="20" s="1"/>
  <c r="D232" i="20"/>
  <c r="D369" i="20" s="1"/>
  <c r="C232" i="20"/>
  <c r="C369" i="20" s="1"/>
  <c r="B232" i="20"/>
  <c r="B369" i="20" s="1"/>
  <c r="Q231" i="20"/>
  <c r="Q368" i="20" s="1"/>
  <c r="P231" i="20"/>
  <c r="P368" i="20" s="1"/>
  <c r="O231" i="20"/>
  <c r="O368" i="20" s="1"/>
  <c r="N231" i="20"/>
  <c r="N368" i="20" s="1"/>
  <c r="M231" i="20"/>
  <c r="M368" i="20" s="1"/>
  <c r="L231" i="20"/>
  <c r="L368" i="20" s="1"/>
  <c r="K231" i="20"/>
  <c r="K368" i="20" s="1"/>
  <c r="H231" i="20"/>
  <c r="H368" i="20" s="1"/>
  <c r="G231" i="20"/>
  <c r="G368" i="20" s="1"/>
  <c r="F231" i="20"/>
  <c r="F368" i="20" s="1"/>
  <c r="E231" i="20"/>
  <c r="E368" i="20" s="1"/>
  <c r="D231" i="20"/>
  <c r="D368" i="20" s="1"/>
  <c r="C231" i="20"/>
  <c r="C368" i="20" s="1"/>
  <c r="B231" i="20"/>
  <c r="B368" i="20" s="1"/>
  <c r="Q230" i="20"/>
  <c r="Q367" i="20" s="1"/>
  <c r="P230" i="20"/>
  <c r="P367" i="20" s="1"/>
  <c r="O230" i="20"/>
  <c r="O367" i="20" s="1"/>
  <c r="N230" i="20"/>
  <c r="N367" i="20" s="1"/>
  <c r="M230" i="20"/>
  <c r="M367" i="20" s="1"/>
  <c r="L230" i="20"/>
  <c r="L367" i="20" s="1"/>
  <c r="K230" i="20"/>
  <c r="K367" i="20" s="1"/>
  <c r="H230" i="20"/>
  <c r="H367" i="20" s="1"/>
  <c r="G230" i="20"/>
  <c r="G367" i="20" s="1"/>
  <c r="F230" i="20"/>
  <c r="F367" i="20" s="1"/>
  <c r="E230" i="20"/>
  <c r="E367" i="20" s="1"/>
  <c r="D230" i="20"/>
  <c r="D367" i="20" s="1"/>
  <c r="C230" i="20"/>
  <c r="C367" i="20" s="1"/>
  <c r="B230" i="20"/>
  <c r="B367" i="20" s="1"/>
  <c r="Q229" i="20"/>
  <c r="Q366" i="20" s="1"/>
  <c r="P229" i="20"/>
  <c r="P366" i="20" s="1"/>
  <c r="O229" i="20"/>
  <c r="O366" i="20" s="1"/>
  <c r="N229" i="20"/>
  <c r="N366" i="20" s="1"/>
  <c r="M229" i="20"/>
  <c r="M366" i="20" s="1"/>
  <c r="L229" i="20"/>
  <c r="L366" i="20" s="1"/>
  <c r="K229" i="20"/>
  <c r="K366" i="20" s="1"/>
  <c r="H229" i="20"/>
  <c r="H366" i="20" s="1"/>
  <c r="G229" i="20"/>
  <c r="G366" i="20" s="1"/>
  <c r="F229" i="20"/>
  <c r="F366" i="20" s="1"/>
  <c r="E229" i="20"/>
  <c r="E366" i="20" s="1"/>
  <c r="D229" i="20"/>
  <c r="D366" i="20" s="1"/>
  <c r="C229" i="20"/>
  <c r="C366" i="20" s="1"/>
  <c r="B229" i="20"/>
  <c r="B366" i="20" s="1"/>
  <c r="Q228" i="20"/>
  <c r="Q365" i="20" s="1"/>
  <c r="P228" i="20"/>
  <c r="P365" i="20" s="1"/>
  <c r="O228" i="20"/>
  <c r="O365" i="20" s="1"/>
  <c r="N228" i="20"/>
  <c r="N365" i="20" s="1"/>
  <c r="M228" i="20"/>
  <c r="M365" i="20" s="1"/>
  <c r="L228" i="20"/>
  <c r="L365" i="20" s="1"/>
  <c r="K228" i="20"/>
  <c r="K365" i="20" s="1"/>
  <c r="H228" i="20"/>
  <c r="H365" i="20" s="1"/>
  <c r="G228" i="20"/>
  <c r="G365" i="20" s="1"/>
  <c r="F228" i="20"/>
  <c r="F365" i="20" s="1"/>
  <c r="E228" i="20"/>
  <c r="E365" i="20" s="1"/>
  <c r="D228" i="20"/>
  <c r="D365" i="20" s="1"/>
  <c r="C228" i="20"/>
  <c r="C365" i="20" s="1"/>
  <c r="B228" i="20"/>
  <c r="B365" i="20" s="1"/>
  <c r="Q227" i="20"/>
  <c r="Q364" i="20" s="1"/>
  <c r="P227" i="20"/>
  <c r="P364" i="20" s="1"/>
  <c r="O227" i="20"/>
  <c r="O364" i="20" s="1"/>
  <c r="N227" i="20"/>
  <c r="N364" i="20" s="1"/>
  <c r="M227" i="20"/>
  <c r="M364" i="20" s="1"/>
  <c r="L227" i="20"/>
  <c r="L364" i="20" s="1"/>
  <c r="K227" i="20"/>
  <c r="K364" i="20" s="1"/>
  <c r="H227" i="20"/>
  <c r="H364" i="20" s="1"/>
  <c r="G227" i="20"/>
  <c r="G364" i="20" s="1"/>
  <c r="F227" i="20"/>
  <c r="F364" i="20" s="1"/>
  <c r="E227" i="20"/>
  <c r="E364" i="20" s="1"/>
  <c r="D227" i="20"/>
  <c r="D364" i="20" s="1"/>
  <c r="C227" i="20"/>
  <c r="C364" i="20" s="1"/>
  <c r="B227" i="20"/>
  <c r="B364" i="20" s="1"/>
  <c r="Q226" i="20"/>
  <c r="Q363" i="20" s="1"/>
  <c r="P226" i="20"/>
  <c r="P363" i="20" s="1"/>
  <c r="O226" i="20"/>
  <c r="O363" i="20" s="1"/>
  <c r="N226" i="20"/>
  <c r="N363" i="20" s="1"/>
  <c r="M226" i="20"/>
  <c r="M363" i="20" s="1"/>
  <c r="L226" i="20"/>
  <c r="L363" i="20" s="1"/>
  <c r="K226" i="20"/>
  <c r="K363" i="20" s="1"/>
  <c r="H226" i="20"/>
  <c r="H363" i="20" s="1"/>
  <c r="G226" i="20"/>
  <c r="G363" i="20" s="1"/>
  <c r="F226" i="20"/>
  <c r="F363" i="20" s="1"/>
  <c r="E226" i="20"/>
  <c r="E363" i="20" s="1"/>
  <c r="D226" i="20"/>
  <c r="D363" i="20" s="1"/>
  <c r="C226" i="20"/>
  <c r="C363" i="20" s="1"/>
  <c r="B226" i="20"/>
  <c r="B363" i="20" s="1"/>
  <c r="Q225" i="20"/>
  <c r="Q362" i="20" s="1"/>
  <c r="P225" i="20"/>
  <c r="P362" i="20" s="1"/>
  <c r="O225" i="20"/>
  <c r="O362" i="20" s="1"/>
  <c r="N225" i="20"/>
  <c r="N362" i="20" s="1"/>
  <c r="M225" i="20"/>
  <c r="M362" i="20" s="1"/>
  <c r="L225" i="20"/>
  <c r="L362" i="20" s="1"/>
  <c r="K225" i="20"/>
  <c r="K362" i="20" s="1"/>
  <c r="H225" i="20"/>
  <c r="H362" i="20" s="1"/>
  <c r="G225" i="20"/>
  <c r="G362" i="20" s="1"/>
  <c r="F225" i="20"/>
  <c r="F362" i="20" s="1"/>
  <c r="E225" i="20"/>
  <c r="E362" i="20" s="1"/>
  <c r="D225" i="20"/>
  <c r="D362" i="20" s="1"/>
  <c r="C225" i="20"/>
  <c r="C362" i="20" s="1"/>
  <c r="B225" i="20"/>
  <c r="B362" i="20" s="1"/>
  <c r="Q224" i="20"/>
  <c r="Q361" i="20" s="1"/>
  <c r="P224" i="20"/>
  <c r="P361" i="20" s="1"/>
  <c r="O224" i="20"/>
  <c r="O361" i="20" s="1"/>
  <c r="N224" i="20"/>
  <c r="N361" i="20" s="1"/>
  <c r="M224" i="20"/>
  <c r="M361" i="20" s="1"/>
  <c r="L224" i="20"/>
  <c r="L361" i="20" s="1"/>
  <c r="K224" i="20"/>
  <c r="K361" i="20" s="1"/>
  <c r="H224" i="20"/>
  <c r="H361" i="20" s="1"/>
  <c r="G224" i="20"/>
  <c r="G361" i="20" s="1"/>
  <c r="F224" i="20"/>
  <c r="F361" i="20" s="1"/>
  <c r="E224" i="20"/>
  <c r="E361" i="20" s="1"/>
  <c r="D224" i="20"/>
  <c r="D361" i="20" s="1"/>
  <c r="C224" i="20"/>
  <c r="C361" i="20" s="1"/>
  <c r="B224" i="20"/>
  <c r="B361" i="20" s="1"/>
  <c r="Q223" i="20"/>
  <c r="Q360" i="20" s="1"/>
  <c r="P223" i="20"/>
  <c r="P360" i="20" s="1"/>
  <c r="O223" i="20"/>
  <c r="O360" i="20" s="1"/>
  <c r="N223" i="20"/>
  <c r="N360" i="20" s="1"/>
  <c r="M223" i="20"/>
  <c r="M360" i="20" s="1"/>
  <c r="L223" i="20"/>
  <c r="L360" i="20" s="1"/>
  <c r="K223" i="20"/>
  <c r="K360" i="20" s="1"/>
  <c r="H223" i="20"/>
  <c r="H360" i="20" s="1"/>
  <c r="G223" i="20"/>
  <c r="G360" i="20" s="1"/>
  <c r="F223" i="20"/>
  <c r="F360" i="20" s="1"/>
  <c r="E223" i="20"/>
  <c r="E360" i="20" s="1"/>
  <c r="D223" i="20"/>
  <c r="D360" i="20" s="1"/>
  <c r="C223" i="20"/>
  <c r="C360" i="20" s="1"/>
  <c r="B223" i="20"/>
  <c r="B360" i="20" s="1"/>
  <c r="Q222" i="20"/>
  <c r="P222" i="20"/>
  <c r="O222" i="20"/>
  <c r="N222" i="20"/>
  <c r="M222" i="20"/>
  <c r="L222" i="20"/>
  <c r="K222" i="20"/>
  <c r="H222" i="20"/>
  <c r="G222" i="20"/>
  <c r="F222" i="20"/>
  <c r="E222" i="20"/>
  <c r="D222" i="20"/>
  <c r="C222" i="20"/>
  <c r="B222" i="20"/>
  <c r="Q221" i="20"/>
  <c r="P221" i="20"/>
  <c r="O221" i="20"/>
  <c r="N221" i="20"/>
  <c r="M221" i="20"/>
  <c r="L221" i="20"/>
  <c r="K221" i="20"/>
  <c r="H221" i="20"/>
  <c r="G221" i="20"/>
  <c r="F221" i="20"/>
  <c r="E221" i="20"/>
  <c r="D221" i="20"/>
  <c r="C221" i="20"/>
  <c r="B221" i="20"/>
  <c r="Q220" i="20"/>
  <c r="P220" i="20"/>
  <c r="O220" i="20"/>
  <c r="N220" i="20"/>
  <c r="M220" i="20"/>
  <c r="L220" i="20"/>
  <c r="K220" i="20"/>
  <c r="H220" i="20"/>
  <c r="G220" i="20"/>
  <c r="F220" i="20"/>
  <c r="E220" i="20"/>
  <c r="D220" i="20"/>
  <c r="C220" i="20"/>
  <c r="B220" i="20"/>
  <c r="Q219" i="20"/>
  <c r="P219" i="20"/>
  <c r="O219" i="20"/>
  <c r="N219" i="20"/>
  <c r="M219" i="20"/>
  <c r="L219" i="20"/>
  <c r="K219" i="20"/>
  <c r="H219" i="20"/>
  <c r="G219" i="20"/>
  <c r="F219" i="20"/>
  <c r="E219" i="20"/>
  <c r="D219" i="20"/>
  <c r="C219" i="20"/>
  <c r="B219" i="20"/>
  <c r="Q218" i="20"/>
  <c r="P218" i="20"/>
  <c r="P359" i="20" s="1"/>
  <c r="O218" i="20"/>
  <c r="N218" i="20"/>
  <c r="M218" i="20"/>
  <c r="L218" i="20"/>
  <c r="K218" i="20"/>
  <c r="K359" i="20" s="1"/>
  <c r="H218" i="20"/>
  <c r="G218" i="20"/>
  <c r="F218" i="20"/>
  <c r="E218" i="20"/>
  <c r="D218" i="20"/>
  <c r="C218" i="20"/>
  <c r="B218" i="20"/>
  <c r="B359" i="20" s="1"/>
  <c r="Q217" i="20"/>
  <c r="P217" i="20"/>
  <c r="O217" i="20"/>
  <c r="N217" i="20"/>
  <c r="M217" i="20"/>
  <c r="L217" i="20"/>
  <c r="K217" i="20"/>
  <c r="H217" i="20"/>
  <c r="G217" i="20"/>
  <c r="F217" i="20"/>
  <c r="E217" i="20"/>
  <c r="D217" i="20"/>
  <c r="C217" i="20"/>
  <c r="B217" i="20"/>
  <c r="Q216" i="20"/>
  <c r="P216" i="20"/>
  <c r="O216" i="20"/>
  <c r="N216" i="20"/>
  <c r="M216" i="20"/>
  <c r="L216" i="20"/>
  <c r="K216" i="20"/>
  <c r="H216" i="20"/>
  <c r="G216" i="20"/>
  <c r="F216" i="20"/>
  <c r="E216" i="20"/>
  <c r="D216" i="20"/>
  <c r="C216" i="20"/>
  <c r="B216" i="20"/>
  <c r="Q215" i="20"/>
  <c r="P215" i="20"/>
  <c r="O215" i="20"/>
  <c r="N215" i="20"/>
  <c r="M215" i="20"/>
  <c r="L215" i="20"/>
  <c r="K215" i="20"/>
  <c r="H215" i="20"/>
  <c r="G215" i="20"/>
  <c r="F215" i="20"/>
  <c r="E215" i="20"/>
  <c r="D215" i="20"/>
  <c r="C215" i="20"/>
  <c r="B215" i="20"/>
  <c r="Q214" i="20"/>
  <c r="P214" i="20"/>
  <c r="O214" i="20"/>
  <c r="N214" i="20"/>
  <c r="M214" i="20"/>
  <c r="L214" i="20"/>
  <c r="K214" i="20"/>
  <c r="H214" i="20"/>
  <c r="G214" i="20"/>
  <c r="F214" i="20"/>
  <c r="E214" i="20"/>
  <c r="D214" i="20"/>
  <c r="C214" i="20"/>
  <c r="B214" i="20"/>
  <c r="Q213" i="20"/>
  <c r="P213" i="20"/>
  <c r="O213" i="20"/>
  <c r="N213" i="20"/>
  <c r="M213" i="20"/>
  <c r="L213" i="20"/>
  <c r="K213" i="20"/>
  <c r="H213" i="20"/>
  <c r="G213" i="20"/>
  <c r="F213" i="20"/>
  <c r="E213" i="20"/>
  <c r="D213" i="20"/>
  <c r="C213" i="20"/>
  <c r="B213" i="20"/>
  <c r="Q212" i="20"/>
  <c r="P212" i="20"/>
  <c r="O212" i="20"/>
  <c r="N212" i="20"/>
  <c r="M212" i="20"/>
  <c r="L212" i="20"/>
  <c r="K212" i="20"/>
  <c r="H212" i="20"/>
  <c r="G212" i="20"/>
  <c r="F212" i="20"/>
  <c r="E212" i="20"/>
  <c r="D212" i="20"/>
  <c r="C212" i="20"/>
  <c r="B212" i="20"/>
  <c r="R211" i="20"/>
  <c r="Q211" i="20"/>
  <c r="P211" i="20"/>
  <c r="O211" i="20"/>
  <c r="N211" i="20"/>
  <c r="M211" i="20"/>
  <c r="L211" i="20"/>
  <c r="K211" i="20"/>
  <c r="I211" i="20"/>
  <c r="H211" i="20"/>
  <c r="G211" i="20"/>
  <c r="F211" i="20"/>
  <c r="E211" i="20"/>
  <c r="D211" i="20"/>
  <c r="C211" i="20"/>
  <c r="B211" i="20"/>
  <c r="Q210" i="20"/>
  <c r="P210" i="20"/>
  <c r="O210" i="20"/>
  <c r="N210" i="20"/>
  <c r="M210" i="20"/>
  <c r="L210" i="20"/>
  <c r="K210" i="20"/>
  <c r="H210" i="20"/>
  <c r="G210" i="20"/>
  <c r="F210" i="20"/>
  <c r="E210" i="20"/>
  <c r="D210" i="20"/>
  <c r="C210" i="20"/>
  <c r="B210" i="20"/>
  <c r="Q209" i="20"/>
  <c r="P209" i="20"/>
  <c r="O209" i="20"/>
  <c r="N209" i="20"/>
  <c r="M209" i="20"/>
  <c r="L209" i="20"/>
  <c r="K209" i="20"/>
  <c r="H209" i="20"/>
  <c r="G209" i="20"/>
  <c r="F209" i="20"/>
  <c r="E209" i="20"/>
  <c r="D209" i="20"/>
  <c r="C209" i="20"/>
  <c r="B209" i="20"/>
  <c r="Q208" i="20"/>
  <c r="P208" i="20"/>
  <c r="O208" i="20"/>
  <c r="N208" i="20"/>
  <c r="M208" i="20"/>
  <c r="L208" i="20"/>
  <c r="K208" i="20"/>
  <c r="H208" i="20"/>
  <c r="G208" i="20"/>
  <c r="F208" i="20"/>
  <c r="E208" i="20"/>
  <c r="D208" i="20"/>
  <c r="C208" i="20"/>
  <c r="B208" i="20"/>
  <c r="Q207" i="20"/>
  <c r="P207" i="20"/>
  <c r="O207" i="20"/>
  <c r="M207" i="20"/>
  <c r="L207" i="20"/>
  <c r="K207" i="20"/>
  <c r="H207" i="20"/>
  <c r="G207" i="20"/>
  <c r="F207" i="20"/>
  <c r="E207" i="20"/>
  <c r="D207" i="20"/>
  <c r="C207" i="20"/>
  <c r="B207" i="20"/>
  <c r="Q206" i="20"/>
  <c r="P206" i="20"/>
  <c r="O206" i="20"/>
  <c r="N206" i="20"/>
  <c r="M206" i="20"/>
  <c r="L206" i="20"/>
  <c r="K206" i="20"/>
  <c r="H206" i="20"/>
  <c r="G206" i="20"/>
  <c r="F206" i="20"/>
  <c r="D206" i="20"/>
  <c r="C206" i="20"/>
  <c r="B206" i="20"/>
  <c r="Q205" i="20"/>
  <c r="P205" i="20"/>
  <c r="O205" i="20"/>
  <c r="N205" i="20"/>
  <c r="M205" i="20"/>
  <c r="L205" i="20"/>
  <c r="K205" i="20"/>
  <c r="H205" i="20"/>
  <c r="G205" i="20"/>
  <c r="F205" i="20"/>
  <c r="E205" i="20"/>
  <c r="D205" i="20"/>
  <c r="C205" i="20"/>
  <c r="B205" i="20"/>
  <c r="Q204" i="20"/>
  <c r="P204" i="20"/>
  <c r="O204" i="20"/>
  <c r="N204" i="20"/>
  <c r="M204" i="20"/>
  <c r="L204" i="20"/>
  <c r="K204" i="20"/>
  <c r="H204" i="20"/>
  <c r="G204" i="20"/>
  <c r="F204" i="20"/>
  <c r="E204" i="20"/>
  <c r="D204" i="20"/>
  <c r="C204" i="20"/>
  <c r="B204" i="20"/>
  <c r="Q203" i="20"/>
  <c r="P203" i="20"/>
  <c r="O203" i="20"/>
  <c r="N203" i="20"/>
  <c r="M203" i="20"/>
  <c r="L203" i="20"/>
  <c r="K203" i="20"/>
  <c r="H203" i="20"/>
  <c r="G203" i="20"/>
  <c r="F203" i="20"/>
  <c r="E203" i="20"/>
  <c r="D203" i="20"/>
  <c r="C203" i="20"/>
  <c r="B203" i="20"/>
  <c r="Q202" i="20"/>
  <c r="P202" i="20"/>
  <c r="O202" i="20"/>
  <c r="N202" i="20"/>
  <c r="M202" i="20"/>
  <c r="L202" i="20"/>
  <c r="K202" i="20"/>
  <c r="H202" i="20"/>
  <c r="G202" i="20"/>
  <c r="E202" i="20"/>
  <c r="D202" i="20"/>
  <c r="C202" i="20"/>
  <c r="B202" i="20"/>
  <c r="Q201" i="20"/>
  <c r="P201" i="20"/>
  <c r="O201" i="20"/>
  <c r="N201" i="20"/>
  <c r="M201" i="20"/>
  <c r="L201" i="20"/>
  <c r="K201" i="20"/>
  <c r="H201" i="20"/>
  <c r="G201" i="20"/>
  <c r="F201" i="20"/>
  <c r="E201" i="20"/>
  <c r="D201" i="20"/>
  <c r="C201" i="20"/>
  <c r="Q200" i="20"/>
  <c r="P200" i="20"/>
  <c r="O200" i="20"/>
  <c r="N200" i="20"/>
  <c r="M200" i="20"/>
  <c r="L200" i="20"/>
  <c r="K200" i="20"/>
  <c r="H200" i="20"/>
  <c r="G200" i="20"/>
  <c r="F200" i="20"/>
  <c r="E200" i="20"/>
  <c r="D200" i="20"/>
  <c r="C200" i="20"/>
  <c r="B200" i="20"/>
  <c r="P199" i="20"/>
  <c r="O199" i="20"/>
  <c r="N199" i="20"/>
  <c r="M199" i="20"/>
  <c r="L199" i="20"/>
  <c r="K199" i="20"/>
  <c r="G199" i="20"/>
  <c r="F199" i="20"/>
  <c r="E199" i="20"/>
  <c r="D199" i="20"/>
  <c r="C199" i="20"/>
  <c r="B199" i="20"/>
  <c r="Q198" i="20"/>
  <c r="P198" i="20"/>
  <c r="N198" i="20"/>
  <c r="M198" i="20"/>
  <c r="L198" i="20"/>
  <c r="H198" i="20"/>
  <c r="G198" i="20"/>
  <c r="E198" i="20"/>
  <c r="D198" i="20"/>
  <c r="C198" i="20"/>
  <c r="B198" i="20"/>
  <c r="Q197" i="20"/>
  <c r="P197" i="20"/>
  <c r="O197" i="20"/>
  <c r="N197" i="20"/>
  <c r="M197" i="20"/>
  <c r="L197" i="20"/>
  <c r="K197" i="20"/>
  <c r="H197" i="20"/>
  <c r="G197" i="20"/>
  <c r="E197" i="20"/>
  <c r="D197" i="20"/>
  <c r="C197" i="20"/>
  <c r="B197" i="20"/>
  <c r="Q196" i="20"/>
  <c r="P196" i="20"/>
  <c r="O196" i="20"/>
  <c r="N196" i="20"/>
  <c r="M196" i="20"/>
  <c r="L196" i="20"/>
  <c r="K196" i="20"/>
  <c r="H196" i="20"/>
  <c r="G196" i="20"/>
  <c r="F196" i="20"/>
  <c r="E196" i="20"/>
  <c r="D196" i="20"/>
  <c r="C196" i="20"/>
  <c r="B196" i="20"/>
  <c r="P195" i="20"/>
  <c r="O195" i="20"/>
  <c r="N195" i="20"/>
  <c r="M195" i="20"/>
  <c r="L195" i="20"/>
  <c r="G195" i="20"/>
  <c r="F195" i="20"/>
  <c r="E195" i="20"/>
  <c r="D195" i="20"/>
  <c r="C195" i="20"/>
  <c r="Q194" i="20"/>
  <c r="P194" i="20"/>
  <c r="O194" i="20"/>
  <c r="N194" i="20"/>
  <c r="M194" i="20"/>
  <c r="L194" i="20"/>
  <c r="K194" i="20"/>
  <c r="H194" i="20"/>
  <c r="G194" i="20"/>
  <c r="F194" i="20"/>
  <c r="E194" i="20"/>
  <c r="D194" i="20"/>
  <c r="C194" i="20"/>
  <c r="B194" i="20"/>
  <c r="Q193" i="20"/>
  <c r="P193" i="20"/>
  <c r="O193" i="20"/>
  <c r="N193" i="20"/>
  <c r="M193" i="20"/>
  <c r="L193" i="20"/>
  <c r="H193" i="20"/>
  <c r="G193" i="20"/>
  <c r="F193" i="20"/>
  <c r="E193" i="20"/>
  <c r="D193" i="20"/>
  <c r="B193" i="20"/>
  <c r="T190" i="20"/>
  <c r="R190" i="20"/>
  <c r="I190" i="20"/>
  <c r="T187" i="20"/>
  <c r="R187" i="20"/>
  <c r="R93" i="30" s="1"/>
  <c r="I187" i="20"/>
  <c r="T186" i="20"/>
  <c r="R186" i="20"/>
  <c r="I186" i="20"/>
  <c r="T185" i="20"/>
  <c r="R185" i="20"/>
  <c r="R344" i="20" s="1"/>
  <c r="I185" i="20"/>
  <c r="T184" i="20"/>
  <c r="R184" i="20"/>
  <c r="R343" i="20" s="1"/>
  <c r="I184" i="20"/>
  <c r="I343" i="20" s="1"/>
  <c r="T183" i="20"/>
  <c r="R183" i="20"/>
  <c r="I183" i="20"/>
  <c r="I342" i="20" s="1"/>
  <c r="T182" i="20"/>
  <c r="R182" i="20"/>
  <c r="I182" i="20"/>
  <c r="R181" i="20"/>
  <c r="R340" i="20" s="1"/>
  <c r="I181" i="20"/>
  <c r="I340" i="20" s="1"/>
  <c r="R180" i="20"/>
  <c r="I180" i="20"/>
  <c r="R179" i="20"/>
  <c r="R338" i="20" s="1"/>
  <c r="I179" i="20"/>
  <c r="I338" i="20" s="1"/>
  <c r="R178" i="20"/>
  <c r="I178" i="20"/>
  <c r="R177" i="20"/>
  <c r="R336" i="20" s="1"/>
  <c r="I177" i="20"/>
  <c r="I336" i="20" s="1"/>
  <c r="R176" i="20"/>
  <c r="I176" i="20"/>
  <c r="R175" i="20"/>
  <c r="I175" i="20"/>
  <c r="R174" i="20"/>
  <c r="I174" i="20"/>
  <c r="R173" i="20"/>
  <c r="I173" i="20"/>
  <c r="R172" i="20"/>
  <c r="I172" i="20"/>
  <c r="R171" i="20"/>
  <c r="I171" i="20"/>
  <c r="I334" i="20" s="1"/>
  <c r="R170" i="20"/>
  <c r="I170" i="20"/>
  <c r="R169" i="20"/>
  <c r="I169" i="20"/>
  <c r="R168" i="20"/>
  <c r="I168" i="20"/>
  <c r="R167" i="20"/>
  <c r="I167" i="20"/>
  <c r="R166" i="20"/>
  <c r="I166" i="20"/>
  <c r="R165" i="20"/>
  <c r="I165" i="20"/>
  <c r="R163" i="20"/>
  <c r="I163" i="20"/>
  <c r="R162" i="20"/>
  <c r="I162" i="20"/>
  <c r="R161" i="20"/>
  <c r="I161" i="20"/>
  <c r="R160" i="20"/>
  <c r="I160" i="20"/>
  <c r="R159" i="20"/>
  <c r="I159" i="20"/>
  <c r="R158" i="20"/>
  <c r="I158" i="20"/>
  <c r="R157" i="20"/>
  <c r="I157" i="20"/>
  <c r="R156" i="20"/>
  <c r="I156" i="20"/>
  <c r="R155" i="20"/>
  <c r="I155" i="20"/>
  <c r="R154" i="20"/>
  <c r="I154" i="20"/>
  <c r="R153" i="20"/>
  <c r="I153" i="20"/>
  <c r="Q152" i="20"/>
  <c r="Q58" i="30" s="1"/>
  <c r="H152" i="20"/>
  <c r="H58" i="30" s="1"/>
  <c r="R151" i="20"/>
  <c r="O151" i="20"/>
  <c r="O57" i="30" s="1"/>
  <c r="F151" i="20"/>
  <c r="F57" i="30" s="1"/>
  <c r="R150" i="20"/>
  <c r="I150" i="20"/>
  <c r="R149" i="20"/>
  <c r="I149" i="20"/>
  <c r="R148" i="20"/>
  <c r="I148" i="20"/>
  <c r="R147" i="20"/>
  <c r="I147" i="20"/>
  <c r="R146" i="20"/>
  <c r="I146" i="20"/>
  <c r="T143" i="20"/>
  <c r="R143" i="20"/>
  <c r="R327" i="20" s="1"/>
  <c r="I143" i="20"/>
  <c r="I327" i="20" s="1"/>
  <c r="T140" i="20"/>
  <c r="R140" i="20"/>
  <c r="R324" i="20" s="1"/>
  <c r="I140" i="20"/>
  <c r="I324" i="20" s="1"/>
  <c r="T139" i="20"/>
  <c r="R139" i="20"/>
  <c r="R323" i="20" s="1"/>
  <c r="I139" i="20"/>
  <c r="I323" i="20" s="1"/>
  <c r="T138" i="20"/>
  <c r="R138" i="20"/>
  <c r="R322" i="20" s="1"/>
  <c r="I138" i="20"/>
  <c r="I322" i="20" s="1"/>
  <c r="T137" i="20"/>
  <c r="R137" i="20"/>
  <c r="R321" i="20" s="1"/>
  <c r="I137" i="20"/>
  <c r="I321" i="20" s="1"/>
  <c r="T136" i="20"/>
  <c r="R136" i="20"/>
  <c r="R320" i="20" s="1"/>
  <c r="I136" i="20"/>
  <c r="I320" i="20" s="1"/>
  <c r="T135" i="20"/>
  <c r="R135" i="20"/>
  <c r="R319" i="20" s="1"/>
  <c r="I135" i="20"/>
  <c r="I319" i="20" s="1"/>
  <c r="R134" i="20"/>
  <c r="R318" i="20" s="1"/>
  <c r="I134" i="20"/>
  <c r="I318" i="20" s="1"/>
  <c r="R133" i="20"/>
  <c r="R317" i="20" s="1"/>
  <c r="I133" i="20"/>
  <c r="I317" i="20" s="1"/>
  <c r="R132" i="20"/>
  <c r="R316" i="20" s="1"/>
  <c r="I132" i="20"/>
  <c r="I316" i="20" s="1"/>
  <c r="R131" i="20"/>
  <c r="R315" i="20" s="1"/>
  <c r="I131" i="20"/>
  <c r="I315" i="20" s="1"/>
  <c r="R130" i="20"/>
  <c r="R314" i="20" s="1"/>
  <c r="I130" i="20"/>
  <c r="I314" i="20" s="1"/>
  <c r="R129" i="20"/>
  <c r="R313" i="20" s="1"/>
  <c r="I129" i="20"/>
  <c r="R128" i="20"/>
  <c r="I128" i="20"/>
  <c r="R127" i="20"/>
  <c r="R126" i="20"/>
  <c r="I126" i="20"/>
  <c r="R125" i="20"/>
  <c r="I125" i="20"/>
  <c r="R124" i="20"/>
  <c r="I124" i="20"/>
  <c r="R123" i="20"/>
  <c r="I123" i="20"/>
  <c r="R122" i="20"/>
  <c r="I122" i="20"/>
  <c r="R121" i="20"/>
  <c r="I121" i="20"/>
  <c r="R120" i="20"/>
  <c r="I120" i="20"/>
  <c r="R119" i="20"/>
  <c r="I119" i="20"/>
  <c r="R118" i="20"/>
  <c r="I118" i="20"/>
  <c r="R116" i="20"/>
  <c r="I116" i="20"/>
  <c r="R115" i="20"/>
  <c r="I115" i="20"/>
  <c r="R114" i="20"/>
  <c r="I114" i="20"/>
  <c r="R113" i="20"/>
  <c r="I113" i="20"/>
  <c r="R112" i="20"/>
  <c r="I112" i="20"/>
  <c r="R111" i="20"/>
  <c r="I111" i="20"/>
  <c r="R110" i="20"/>
  <c r="I110" i="20"/>
  <c r="R109" i="20"/>
  <c r="I109" i="20"/>
  <c r="R108" i="20"/>
  <c r="I108" i="20"/>
  <c r="R107" i="20"/>
  <c r="I107" i="20"/>
  <c r="R106" i="20"/>
  <c r="I106" i="20"/>
  <c r="R105" i="20"/>
  <c r="I105" i="20"/>
  <c r="R104" i="20"/>
  <c r="I104" i="20"/>
  <c r="R103" i="20"/>
  <c r="I103" i="20"/>
  <c r="R102" i="20"/>
  <c r="I102" i="20"/>
  <c r="R101" i="20"/>
  <c r="I101" i="20"/>
  <c r="R100" i="20"/>
  <c r="I100" i="20"/>
  <c r="R99" i="20"/>
  <c r="I99" i="20"/>
  <c r="R96" i="20"/>
  <c r="R302" i="20" s="1"/>
  <c r="I96" i="20"/>
  <c r="I302" i="20" s="1"/>
  <c r="R93" i="20"/>
  <c r="R299" i="20" s="1"/>
  <c r="I93" i="20"/>
  <c r="I299" i="20" s="1"/>
  <c r="R92" i="20"/>
  <c r="R298" i="20" s="1"/>
  <c r="I92" i="20"/>
  <c r="I298" i="20" s="1"/>
  <c r="R91" i="20"/>
  <c r="R297" i="20" s="1"/>
  <c r="I91" i="20"/>
  <c r="I297" i="20" s="1"/>
  <c r="R90" i="20"/>
  <c r="R296" i="20" s="1"/>
  <c r="I90" i="20"/>
  <c r="I296" i="20" s="1"/>
  <c r="R89" i="20"/>
  <c r="R295" i="20" s="1"/>
  <c r="I89" i="20"/>
  <c r="I295" i="20" s="1"/>
  <c r="R88" i="20"/>
  <c r="R294" i="20" s="1"/>
  <c r="I88" i="20"/>
  <c r="I294" i="20" s="1"/>
  <c r="R87" i="20"/>
  <c r="R293" i="20" s="1"/>
  <c r="I87" i="20"/>
  <c r="I293" i="20" s="1"/>
  <c r="R86" i="20"/>
  <c r="R292" i="20" s="1"/>
  <c r="I86" i="20"/>
  <c r="I292" i="20" s="1"/>
  <c r="R85" i="20"/>
  <c r="R291" i="20" s="1"/>
  <c r="I85" i="20"/>
  <c r="I291" i="20" s="1"/>
  <c r="R84" i="20"/>
  <c r="R290" i="20" s="1"/>
  <c r="I84" i="20"/>
  <c r="I290" i="20" s="1"/>
  <c r="R83" i="20"/>
  <c r="R289" i="20" s="1"/>
  <c r="I83" i="20"/>
  <c r="I289" i="20" s="1"/>
  <c r="R82" i="20"/>
  <c r="R288" i="20" s="1"/>
  <c r="I82" i="20"/>
  <c r="I288" i="20" s="1"/>
  <c r="R81" i="20"/>
  <c r="I81" i="20"/>
  <c r="R80" i="20"/>
  <c r="I80" i="20"/>
  <c r="R79" i="20"/>
  <c r="I79" i="20"/>
  <c r="R78" i="20"/>
  <c r="I78" i="20"/>
  <c r="R77" i="20"/>
  <c r="I77" i="20"/>
  <c r="R76" i="20"/>
  <c r="I76" i="20"/>
  <c r="R75" i="20"/>
  <c r="I75" i="20"/>
  <c r="I28" i="30" s="1"/>
  <c r="R74" i="20"/>
  <c r="I74" i="20"/>
  <c r="R73" i="20"/>
  <c r="I73" i="20"/>
  <c r="R72" i="20"/>
  <c r="I72" i="20"/>
  <c r="R71" i="20"/>
  <c r="I71" i="20"/>
  <c r="R69" i="20"/>
  <c r="I69" i="20"/>
  <c r="R68" i="20"/>
  <c r="I68" i="20"/>
  <c r="R67" i="20"/>
  <c r="I67" i="20"/>
  <c r="R66" i="20"/>
  <c r="I66" i="20"/>
  <c r="R65" i="20"/>
  <c r="I65" i="20"/>
  <c r="R64" i="20"/>
  <c r="I64" i="20"/>
  <c r="R63" i="20"/>
  <c r="I63" i="20"/>
  <c r="R62" i="20"/>
  <c r="I62" i="20"/>
  <c r="R61" i="20"/>
  <c r="I61" i="20"/>
  <c r="R60" i="20"/>
  <c r="I60" i="20"/>
  <c r="R59" i="20"/>
  <c r="I59" i="20"/>
  <c r="R58" i="20"/>
  <c r="I58" i="20"/>
  <c r="R57" i="20"/>
  <c r="I57" i="20"/>
  <c r="R56" i="20"/>
  <c r="I56" i="20"/>
  <c r="R55" i="20"/>
  <c r="I55" i="20"/>
  <c r="R54" i="20"/>
  <c r="I54" i="20"/>
  <c r="R53" i="20"/>
  <c r="I53" i="20"/>
  <c r="R52" i="20"/>
  <c r="I52" i="20"/>
  <c r="R49" i="20"/>
  <c r="I49" i="20"/>
  <c r="I280" i="20" s="1"/>
  <c r="R46" i="20"/>
  <c r="I46" i="20"/>
  <c r="I46" i="30" s="1"/>
  <c r="I191" i="30" s="1"/>
  <c r="R45" i="20"/>
  <c r="R276" i="20" s="1"/>
  <c r="I45" i="20"/>
  <c r="I276" i="20" s="1"/>
  <c r="R44" i="20"/>
  <c r="I44" i="20"/>
  <c r="R43" i="20"/>
  <c r="I43" i="20"/>
  <c r="I274" i="20" s="1"/>
  <c r="R42" i="20"/>
  <c r="I42" i="20"/>
  <c r="I42" i="30" s="1"/>
  <c r="I187" i="30" s="1"/>
  <c r="R41" i="20"/>
  <c r="R272" i="20" s="1"/>
  <c r="I41" i="20"/>
  <c r="I272" i="20" s="1"/>
  <c r="R40" i="20"/>
  <c r="I40" i="20"/>
  <c r="I271" i="20" s="1"/>
  <c r="R39" i="20"/>
  <c r="R270" i="20" s="1"/>
  <c r="I39" i="20"/>
  <c r="I270" i="20" s="1"/>
  <c r="R38" i="20"/>
  <c r="I38" i="20"/>
  <c r="I269" i="20" s="1"/>
  <c r="R37" i="20"/>
  <c r="I37" i="20"/>
  <c r="I268" i="20" s="1"/>
  <c r="R36" i="20"/>
  <c r="I36" i="20"/>
  <c r="I267" i="20" s="1"/>
  <c r="R35" i="20"/>
  <c r="I35" i="20"/>
  <c r="I266" i="20" s="1"/>
  <c r="R34" i="20"/>
  <c r="I34" i="20"/>
  <c r="R33" i="20"/>
  <c r="I33" i="20"/>
  <c r="I33" i="30" s="1"/>
  <c r="R32" i="20"/>
  <c r="R32" i="30" s="1"/>
  <c r="I32" i="20"/>
  <c r="I32" i="30" s="1"/>
  <c r="R31" i="20"/>
  <c r="R31" i="30" s="1"/>
  <c r="I31" i="20"/>
  <c r="I31" i="30" s="1"/>
  <c r="R30" i="20"/>
  <c r="I30" i="20"/>
  <c r="I30" i="30" s="1"/>
  <c r="R29" i="20"/>
  <c r="R29" i="30" s="1"/>
  <c r="I29" i="20"/>
  <c r="I29" i="30" s="1"/>
  <c r="R28" i="20"/>
  <c r="R27" i="20"/>
  <c r="I27" i="20"/>
  <c r="R26" i="20"/>
  <c r="I26" i="20"/>
  <c r="R25" i="20"/>
  <c r="I25" i="20"/>
  <c r="R24" i="20"/>
  <c r="I24" i="20"/>
  <c r="R22" i="20"/>
  <c r="I22" i="20"/>
  <c r="R21" i="20"/>
  <c r="I21" i="20"/>
  <c r="R20" i="20"/>
  <c r="I20" i="20"/>
  <c r="N19" i="20"/>
  <c r="I19" i="20"/>
  <c r="R18" i="20"/>
  <c r="E18" i="20"/>
  <c r="R17" i="20"/>
  <c r="I17" i="20"/>
  <c r="R16" i="20"/>
  <c r="I16" i="20"/>
  <c r="R15" i="20"/>
  <c r="I15" i="20"/>
  <c r="R14" i="20"/>
  <c r="F14" i="20"/>
  <c r="F14" i="30" s="1"/>
  <c r="R13" i="20"/>
  <c r="B13" i="20"/>
  <c r="B201" i="20" s="1"/>
  <c r="R12" i="20"/>
  <c r="I12" i="20"/>
  <c r="R11" i="20"/>
  <c r="I11" i="20"/>
  <c r="K10" i="20"/>
  <c r="K10" i="30" s="1"/>
  <c r="F10" i="20"/>
  <c r="F10" i="30" s="1"/>
  <c r="B10" i="20"/>
  <c r="B10" i="30" s="1"/>
  <c r="R9" i="20"/>
  <c r="F9" i="20"/>
  <c r="R8" i="20"/>
  <c r="I8" i="20"/>
  <c r="Q7" i="20"/>
  <c r="K7" i="20"/>
  <c r="K7" i="30" s="1"/>
  <c r="H7" i="20"/>
  <c r="H7" i="30" s="1"/>
  <c r="B7" i="20"/>
  <c r="R6" i="20"/>
  <c r="I6" i="20"/>
  <c r="K5" i="20"/>
  <c r="K193" i="20" s="1"/>
  <c r="C5" i="20"/>
  <c r="C5" i="30" s="1"/>
  <c r="A372" i="19"/>
  <c r="A371" i="19"/>
  <c r="A370" i="19"/>
  <c r="H347" i="19"/>
  <c r="G347" i="19"/>
  <c r="F347" i="19"/>
  <c r="E347" i="19"/>
  <c r="D347" i="19"/>
  <c r="C347" i="19"/>
  <c r="B347" i="19"/>
  <c r="H344" i="19"/>
  <c r="G344" i="19"/>
  <c r="F344" i="19"/>
  <c r="E344" i="19"/>
  <c r="D344" i="19"/>
  <c r="C344" i="19"/>
  <c r="B344" i="19"/>
  <c r="H343" i="19"/>
  <c r="G343" i="19"/>
  <c r="F343" i="19"/>
  <c r="E343" i="19"/>
  <c r="D343" i="19"/>
  <c r="C343" i="19"/>
  <c r="B343" i="19"/>
  <c r="H342" i="19"/>
  <c r="G342" i="19"/>
  <c r="F342" i="19"/>
  <c r="E342" i="19"/>
  <c r="D342" i="19"/>
  <c r="C342" i="19"/>
  <c r="B342" i="19"/>
  <c r="H341" i="19"/>
  <c r="G341" i="19"/>
  <c r="F341" i="19"/>
  <c r="E341" i="19"/>
  <c r="D341" i="19"/>
  <c r="C341" i="19"/>
  <c r="B341" i="19"/>
  <c r="H340" i="19"/>
  <c r="G340" i="19"/>
  <c r="F340" i="19"/>
  <c r="E340" i="19"/>
  <c r="D340" i="19"/>
  <c r="C340" i="19"/>
  <c r="B340" i="19"/>
  <c r="H339" i="19"/>
  <c r="G339" i="19"/>
  <c r="F339" i="19"/>
  <c r="E339" i="19"/>
  <c r="D339" i="19"/>
  <c r="C339" i="19"/>
  <c r="B339" i="19"/>
  <c r="H338" i="19"/>
  <c r="G338" i="19"/>
  <c r="F338" i="19"/>
  <c r="E338" i="19"/>
  <c r="D338" i="19"/>
  <c r="C338" i="19"/>
  <c r="B338" i="19"/>
  <c r="H337" i="19"/>
  <c r="G337" i="19"/>
  <c r="F337" i="19"/>
  <c r="E337" i="19"/>
  <c r="D337" i="19"/>
  <c r="C337" i="19"/>
  <c r="B337" i="19"/>
  <c r="H336" i="19"/>
  <c r="G336" i="19"/>
  <c r="F336" i="19"/>
  <c r="E336" i="19"/>
  <c r="D336" i="19"/>
  <c r="C336" i="19"/>
  <c r="B336" i="19"/>
  <c r="H335" i="19"/>
  <c r="G335" i="19"/>
  <c r="F335" i="19"/>
  <c r="E335" i="19"/>
  <c r="D335" i="19"/>
  <c r="C335" i="19"/>
  <c r="B335" i="19"/>
  <c r="H334" i="19"/>
  <c r="G334" i="19"/>
  <c r="F334" i="19"/>
  <c r="E334" i="19"/>
  <c r="D334" i="19"/>
  <c r="C334" i="19"/>
  <c r="B334" i="19"/>
  <c r="H333" i="19"/>
  <c r="G333" i="19"/>
  <c r="F333" i="19"/>
  <c r="E333" i="19"/>
  <c r="D333" i="19"/>
  <c r="C333" i="19"/>
  <c r="B333" i="19"/>
  <c r="G332" i="19"/>
  <c r="F332" i="19"/>
  <c r="E332" i="19"/>
  <c r="D332" i="19"/>
  <c r="C332" i="19"/>
  <c r="G331" i="19"/>
  <c r="F331" i="19"/>
  <c r="E331" i="19"/>
  <c r="G330" i="19"/>
  <c r="F330" i="19"/>
  <c r="E330" i="19"/>
  <c r="D330" i="19"/>
  <c r="G329" i="19"/>
  <c r="F329" i="19"/>
  <c r="E329" i="19"/>
  <c r="D329" i="19"/>
  <c r="C329" i="19"/>
  <c r="G328" i="19"/>
  <c r="F328" i="19"/>
  <c r="E328" i="19"/>
  <c r="D328" i="19"/>
  <c r="C328" i="19"/>
  <c r="H323" i="19"/>
  <c r="G323" i="19"/>
  <c r="F323" i="19"/>
  <c r="E323" i="19"/>
  <c r="D323" i="19"/>
  <c r="C323" i="19"/>
  <c r="B323" i="19"/>
  <c r="H320" i="19"/>
  <c r="G320" i="19"/>
  <c r="F320" i="19"/>
  <c r="E320" i="19"/>
  <c r="D320" i="19"/>
  <c r="C320" i="19"/>
  <c r="B320" i="19"/>
  <c r="H319" i="19"/>
  <c r="G319" i="19"/>
  <c r="F319" i="19"/>
  <c r="E319" i="19"/>
  <c r="D319" i="19"/>
  <c r="C319" i="19"/>
  <c r="B319" i="19"/>
  <c r="H318" i="19"/>
  <c r="G318" i="19"/>
  <c r="F318" i="19"/>
  <c r="E318" i="19"/>
  <c r="D318" i="19"/>
  <c r="C318" i="19"/>
  <c r="B318" i="19"/>
  <c r="H317" i="19"/>
  <c r="G317" i="19"/>
  <c r="F317" i="19"/>
  <c r="E317" i="19"/>
  <c r="D317" i="19"/>
  <c r="C317" i="19"/>
  <c r="B317" i="19"/>
  <c r="H316" i="19"/>
  <c r="G316" i="19"/>
  <c r="F316" i="19"/>
  <c r="E316" i="19"/>
  <c r="D316" i="19"/>
  <c r="C316" i="19"/>
  <c r="B316" i="19"/>
  <c r="H315" i="19"/>
  <c r="G315" i="19"/>
  <c r="F315" i="19"/>
  <c r="E315" i="19"/>
  <c r="D315" i="19"/>
  <c r="C315" i="19"/>
  <c r="B315" i="19"/>
  <c r="H314" i="19"/>
  <c r="G314" i="19"/>
  <c r="F314" i="19"/>
  <c r="E314" i="19"/>
  <c r="D314" i="19"/>
  <c r="C314" i="19"/>
  <c r="B314" i="19"/>
  <c r="H313" i="19"/>
  <c r="G313" i="19"/>
  <c r="F313" i="19"/>
  <c r="E313" i="19"/>
  <c r="D313" i="19"/>
  <c r="C313" i="19"/>
  <c r="B313" i="19"/>
  <c r="H312" i="19"/>
  <c r="G312" i="19"/>
  <c r="F312" i="19"/>
  <c r="E312" i="19"/>
  <c r="D312" i="19"/>
  <c r="C312" i="19"/>
  <c r="B312" i="19"/>
  <c r="H311" i="19"/>
  <c r="G311" i="19"/>
  <c r="F311" i="19"/>
  <c r="E311" i="19"/>
  <c r="D311" i="19"/>
  <c r="C311" i="19"/>
  <c r="B311" i="19"/>
  <c r="H310" i="19"/>
  <c r="G310" i="19"/>
  <c r="F310" i="19"/>
  <c r="E310" i="19"/>
  <c r="D310" i="19"/>
  <c r="C310" i="19"/>
  <c r="B310" i="19"/>
  <c r="H309" i="19"/>
  <c r="G309" i="19"/>
  <c r="F309" i="19"/>
  <c r="E309" i="19"/>
  <c r="D309" i="19"/>
  <c r="C309" i="19"/>
  <c r="B309" i="19"/>
  <c r="H308" i="19"/>
  <c r="G308" i="19"/>
  <c r="F308" i="19"/>
  <c r="E308" i="19"/>
  <c r="D308" i="19"/>
  <c r="C308" i="19"/>
  <c r="B308" i="19"/>
  <c r="G307" i="19"/>
  <c r="F307" i="19"/>
  <c r="E307" i="19"/>
  <c r="H306" i="19"/>
  <c r="G306" i="19"/>
  <c r="F306" i="19"/>
  <c r="E306" i="19"/>
  <c r="D306" i="19"/>
  <c r="H305" i="19"/>
  <c r="G305" i="19"/>
  <c r="F305" i="19"/>
  <c r="E305" i="19"/>
  <c r="D305" i="19"/>
  <c r="C305" i="19"/>
  <c r="H304" i="19"/>
  <c r="G304" i="19"/>
  <c r="F304" i="19"/>
  <c r="E304" i="19"/>
  <c r="D304" i="19"/>
  <c r="C304" i="19"/>
  <c r="H301" i="19"/>
  <c r="G301" i="19"/>
  <c r="F301" i="19"/>
  <c r="E301" i="19"/>
  <c r="D301" i="19"/>
  <c r="C301" i="19"/>
  <c r="B301" i="19"/>
  <c r="H298" i="19"/>
  <c r="G298" i="19"/>
  <c r="F298" i="19"/>
  <c r="E298" i="19"/>
  <c r="D298" i="19"/>
  <c r="C298" i="19"/>
  <c r="B298" i="19"/>
  <c r="H297" i="19"/>
  <c r="G297" i="19"/>
  <c r="F297" i="19"/>
  <c r="E297" i="19"/>
  <c r="D297" i="19"/>
  <c r="C297" i="19"/>
  <c r="B297" i="19"/>
  <c r="H296" i="19"/>
  <c r="G296" i="19"/>
  <c r="F296" i="19"/>
  <c r="E296" i="19"/>
  <c r="D296" i="19"/>
  <c r="C296" i="19"/>
  <c r="B296" i="19"/>
  <c r="H295" i="19"/>
  <c r="G295" i="19"/>
  <c r="F295" i="19"/>
  <c r="E295" i="19"/>
  <c r="D295" i="19"/>
  <c r="C295" i="19"/>
  <c r="B295" i="19"/>
  <c r="H294" i="19"/>
  <c r="G294" i="19"/>
  <c r="F294" i="19"/>
  <c r="E294" i="19"/>
  <c r="D294" i="19"/>
  <c r="C294" i="19"/>
  <c r="B294" i="19"/>
  <c r="H293" i="19"/>
  <c r="G293" i="19"/>
  <c r="F293" i="19"/>
  <c r="E293" i="19"/>
  <c r="D293" i="19"/>
  <c r="C293" i="19"/>
  <c r="B293" i="19"/>
  <c r="H292" i="19"/>
  <c r="G292" i="19"/>
  <c r="F292" i="19"/>
  <c r="E292" i="19"/>
  <c r="D292" i="19"/>
  <c r="C292" i="19"/>
  <c r="B292" i="19"/>
  <c r="H291" i="19"/>
  <c r="G291" i="19"/>
  <c r="F291" i="19"/>
  <c r="E291" i="19"/>
  <c r="D291" i="19"/>
  <c r="C291" i="19"/>
  <c r="B291" i="19"/>
  <c r="H290" i="19"/>
  <c r="G290" i="19"/>
  <c r="F290" i="19"/>
  <c r="E290" i="19"/>
  <c r="D290" i="19"/>
  <c r="C290" i="19"/>
  <c r="B290" i="19"/>
  <c r="H289" i="19"/>
  <c r="G289" i="19"/>
  <c r="F289" i="19"/>
  <c r="E289" i="19"/>
  <c r="D289" i="19"/>
  <c r="C289" i="19"/>
  <c r="B289" i="19"/>
  <c r="H288" i="19"/>
  <c r="G288" i="19"/>
  <c r="F288" i="19"/>
  <c r="E288" i="19"/>
  <c r="D288" i="19"/>
  <c r="C288" i="19"/>
  <c r="B288" i="19"/>
  <c r="H287" i="19"/>
  <c r="G287" i="19"/>
  <c r="F287" i="19"/>
  <c r="E287" i="19"/>
  <c r="D287" i="19"/>
  <c r="C287" i="19"/>
  <c r="B287" i="19"/>
  <c r="H286" i="19"/>
  <c r="G286" i="19"/>
  <c r="F286" i="19"/>
  <c r="E286" i="19"/>
  <c r="D286" i="19"/>
  <c r="C286" i="19"/>
  <c r="B286" i="19"/>
  <c r="G285" i="19"/>
  <c r="F285" i="19"/>
  <c r="E285" i="19"/>
  <c r="H284" i="19"/>
  <c r="F284" i="19"/>
  <c r="E284" i="19"/>
  <c r="H283" i="19"/>
  <c r="G283" i="19"/>
  <c r="F283" i="19"/>
  <c r="E283" i="19"/>
  <c r="D283" i="19"/>
  <c r="C283" i="19"/>
  <c r="H282" i="19"/>
  <c r="G282" i="19"/>
  <c r="F282" i="19"/>
  <c r="E282" i="19"/>
  <c r="D282" i="19"/>
  <c r="C282" i="19"/>
  <c r="H279" i="19"/>
  <c r="G279" i="19"/>
  <c r="F279" i="19"/>
  <c r="E279" i="19"/>
  <c r="D279" i="19"/>
  <c r="C279" i="19"/>
  <c r="B279" i="19"/>
  <c r="H276" i="19"/>
  <c r="G276" i="19"/>
  <c r="F276" i="19"/>
  <c r="E276" i="19"/>
  <c r="D276" i="19"/>
  <c r="C276" i="19"/>
  <c r="B276" i="19"/>
  <c r="H275" i="19"/>
  <c r="G275" i="19"/>
  <c r="F275" i="19"/>
  <c r="E275" i="19"/>
  <c r="D275" i="19"/>
  <c r="C275" i="19"/>
  <c r="B275" i="19"/>
  <c r="H274" i="19"/>
  <c r="G274" i="19"/>
  <c r="F274" i="19"/>
  <c r="E274" i="19"/>
  <c r="D274" i="19"/>
  <c r="C274" i="19"/>
  <c r="B274" i="19"/>
  <c r="H273" i="19"/>
  <c r="G273" i="19"/>
  <c r="F273" i="19"/>
  <c r="E273" i="19"/>
  <c r="D273" i="19"/>
  <c r="C273" i="19"/>
  <c r="B273" i="19"/>
  <c r="H272" i="19"/>
  <c r="G272" i="19"/>
  <c r="F272" i="19"/>
  <c r="E272" i="19"/>
  <c r="D272" i="19"/>
  <c r="C272" i="19"/>
  <c r="B272" i="19"/>
  <c r="H271" i="19"/>
  <c r="G271" i="19"/>
  <c r="F271" i="19"/>
  <c r="E271" i="19"/>
  <c r="D271" i="19"/>
  <c r="C271" i="19"/>
  <c r="B271" i="19"/>
  <c r="H270" i="19"/>
  <c r="G270" i="19"/>
  <c r="F270" i="19"/>
  <c r="E270" i="19"/>
  <c r="D270" i="19"/>
  <c r="C270" i="19"/>
  <c r="B270" i="19"/>
  <c r="H269" i="19"/>
  <c r="G269" i="19"/>
  <c r="F269" i="19"/>
  <c r="E269" i="19"/>
  <c r="D269" i="19"/>
  <c r="C269" i="19"/>
  <c r="B269" i="19"/>
  <c r="H268" i="19"/>
  <c r="G268" i="19"/>
  <c r="F268" i="19"/>
  <c r="E268" i="19"/>
  <c r="D268" i="19"/>
  <c r="C268" i="19"/>
  <c r="B268" i="19"/>
  <c r="H267" i="19"/>
  <c r="G267" i="19"/>
  <c r="F267" i="19"/>
  <c r="E267" i="19"/>
  <c r="D267" i="19"/>
  <c r="C267" i="19"/>
  <c r="B267" i="19"/>
  <c r="H266" i="19"/>
  <c r="G266" i="19"/>
  <c r="F266" i="19"/>
  <c r="E266" i="19"/>
  <c r="D266" i="19"/>
  <c r="C266" i="19"/>
  <c r="B266" i="19"/>
  <c r="H265" i="19"/>
  <c r="G265" i="19"/>
  <c r="F265" i="19"/>
  <c r="D265" i="19"/>
  <c r="C265" i="19"/>
  <c r="B265" i="19"/>
  <c r="H264" i="19"/>
  <c r="G264" i="19"/>
  <c r="F264" i="19"/>
  <c r="E264" i="19"/>
  <c r="D264" i="19"/>
  <c r="C264" i="19"/>
  <c r="B264" i="19"/>
  <c r="F263" i="19"/>
  <c r="E263" i="19"/>
  <c r="G262" i="19"/>
  <c r="F262" i="19"/>
  <c r="E262" i="19"/>
  <c r="D262" i="19"/>
  <c r="C262" i="19"/>
  <c r="G261" i="19"/>
  <c r="F261" i="19"/>
  <c r="E261" i="19"/>
  <c r="D261" i="19"/>
  <c r="C261" i="19"/>
  <c r="H260" i="19"/>
  <c r="G260" i="19"/>
  <c r="F260" i="19"/>
  <c r="E260" i="19"/>
  <c r="D260" i="19"/>
  <c r="C260" i="19"/>
  <c r="H236" i="19"/>
  <c r="H369" i="19" s="1"/>
  <c r="G236" i="19"/>
  <c r="G369" i="19" s="1"/>
  <c r="F236" i="19"/>
  <c r="F369" i="19" s="1"/>
  <c r="E236" i="19"/>
  <c r="E369" i="19" s="1"/>
  <c r="D236" i="19"/>
  <c r="D369" i="19" s="1"/>
  <c r="C236" i="19"/>
  <c r="C369" i="19" s="1"/>
  <c r="B236" i="19"/>
  <c r="B369" i="19" s="1"/>
  <c r="H233" i="19"/>
  <c r="H366" i="19" s="1"/>
  <c r="G233" i="19"/>
  <c r="G366" i="19" s="1"/>
  <c r="F233" i="19"/>
  <c r="F366" i="19" s="1"/>
  <c r="E233" i="19"/>
  <c r="E366" i="19" s="1"/>
  <c r="D233" i="19"/>
  <c r="D366" i="19" s="1"/>
  <c r="C233" i="19"/>
  <c r="C366" i="19" s="1"/>
  <c r="B233" i="19"/>
  <c r="B366" i="19" s="1"/>
  <c r="H232" i="19"/>
  <c r="H365" i="19" s="1"/>
  <c r="G232" i="19"/>
  <c r="G365" i="19" s="1"/>
  <c r="F232" i="19"/>
  <c r="F365" i="19" s="1"/>
  <c r="E232" i="19"/>
  <c r="E365" i="19" s="1"/>
  <c r="D232" i="19"/>
  <c r="D365" i="19" s="1"/>
  <c r="C232" i="19"/>
  <c r="C365" i="19" s="1"/>
  <c r="B232" i="19"/>
  <c r="B365" i="19" s="1"/>
  <c r="H231" i="19"/>
  <c r="H364" i="19" s="1"/>
  <c r="G231" i="19"/>
  <c r="G364" i="19" s="1"/>
  <c r="F231" i="19"/>
  <c r="F364" i="19" s="1"/>
  <c r="E231" i="19"/>
  <c r="E364" i="19" s="1"/>
  <c r="D231" i="19"/>
  <c r="D364" i="19" s="1"/>
  <c r="C231" i="19"/>
  <c r="C364" i="19" s="1"/>
  <c r="B231" i="19"/>
  <c r="B364" i="19" s="1"/>
  <c r="H230" i="19"/>
  <c r="H363" i="19" s="1"/>
  <c r="G230" i="19"/>
  <c r="G363" i="19" s="1"/>
  <c r="F230" i="19"/>
  <c r="F363" i="19" s="1"/>
  <c r="E230" i="19"/>
  <c r="E363" i="19" s="1"/>
  <c r="D230" i="19"/>
  <c r="D363" i="19" s="1"/>
  <c r="C230" i="19"/>
  <c r="C363" i="19" s="1"/>
  <c r="B230" i="19"/>
  <c r="B363" i="19" s="1"/>
  <c r="H229" i="19"/>
  <c r="H362" i="19" s="1"/>
  <c r="G229" i="19"/>
  <c r="G362" i="19" s="1"/>
  <c r="F229" i="19"/>
  <c r="F362" i="19" s="1"/>
  <c r="E229" i="19"/>
  <c r="E362" i="19" s="1"/>
  <c r="D229" i="19"/>
  <c r="D362" i="19" s="1"/>
  <c r="C229" i="19"/>
  <c r="C362" i="19" s="1"/>
  <c r="B229" i="19"/>
  <c r="B362" i="19" s="1"/>
  <c r="H228" i="19"/>
  <c r="H361" i="19" s="1"/>
  <c r="G228" i="19"/>
  <c r="G361" i="19" s="1"/>
  <c r="F228" i="19"/>
  <c r="F361" i="19" s="1"/>
  <c r="E228" i="19"/>
  <c r="E361" i="19" s="1"/>
  <c r="D228" i="19"/>
  <c r="D361" i="19" s="1"/>
  <c r="C228" i="19"/>
  <c r="C361" i="19" s="1"/>
  <c r="B228" i="19"/>
  <c r="B361" i="19" s="1"/>
  <c r="H227" i="19"/>
  <c r="H360" i="19" s="1"/>
  <c r="G227" i="19"/>
  <c r="G360" i="19" s="1"/>
  <c r="F227" i="19"/>
  <c r="F360" i="19" s="1"/>
  <c r="E227" i="19"/>
  <c r="E360" i="19" s="1"/>
  <c r="D227" i="19"/>
  <c r="D360" i="19" s="1"/>
  <c r="C227" i="19"/>
  <c r="C360" i="19" s="1"/>
  <c r="B227" i="19"/>
  <c r="B360" i="19" s="1"/>
  <c r="H226" i="19"/>
  <c r="H359" i="19" s="1"/>
  <c r="G226" i="19"/>
  <c r="G359" i="19" s="1"/>
  <c r="F226" i="19"/>
  <c r="F359" i="19" s="1"/>
  <c r="E226" i="19"/>
  <c r="E359" i="19" s="1"/>
  <c r="D226" i="19"/>
  <c r="D359" i="19" s="1"/>
  <c r="C226" i="19"/>
  <c r="C359" i="19" s="1"/>
  <c r="B226" i="19"/>
  <c r="B359" i="19" s="1"/>
  <c r="H225" i="19"/>
  <c r="H358" i="19" s="1"/>
  <c r="G225" i="19"/>
  <c r="G358" i="19" s="1"/>
  <c r="F225" i="19"/>
  <c r="F358" i="19" s="1"/>
  <c r="E225" i="19"/>
  <c r="E358" i="19" s="1"/>
  <c r="D225" i="19"/>
  <c r="D358" i="19" s="1"/>
  <c r="C225" i="19"/>
  <c r="C358" i="19" s="1"/>
  <c r="B225" i="19"/>
  <c r="B358" i="19" s="1"/>
  <c r="H224" i="19"/>
  <c r="H357" i="19" s="1"/>
  <c r="G224" i="19"/>
  <c r="G357" i="19" s="1"/>
  <c r="F224" i="19"/>
  <c r="F357" i="19" s="1"/>
  <c r="E224" i="19"/>
  <c r="E357" i="19" s="1"/>
  <c r="D224" i="19"/>
  <c r="D357" i="19" s="1"/>
  <c r="C224" i="19"/>
  <c r="C357" i="19" s="1"/>
  <c r="B224" i="19"/>
  <c r="B357" i="19" s="1"/>
  <c r="H223" i="19"/>
  <c r="H356" i="19" s="1"/>
  <c r="G223" i="19"/>
  <c r="G356" i="19" s="1"/>
  <c r="F223" i="19"/>
  <c r="F356" i="19" s="1"/>
  <c r="E223" i="19"/>
  <c r="E356" i="19" s="1"/>
  <c r="D223" i="19"/>
  <c r="D356" i="19" s="1"/>
  <c r="C223" i="19"/>
  <c r="C356" i="19" s="1"/>
  <c r="B223" i="19"/>
  <c r="B356" i="19" s="1"/>
  <c r="H222" i="19"/>
  <c r="H355" i="19" s="1"/>
  <c r="G222" i="19"/>
  <c r="G355" i="19" s="1"/>
  <c r="F222" i="19"/>
  <c r="F355" i="19" s="1"/>
  <c r="E222" i="19"/>
  <c r="E355" i="19" s="1"/>
  <c r="D222" i="19"/>
  <c r="D355" i="19" s="1"/>
  <c r="C222" i="19"/>
  <c r="C355" i="19" s="1"/>
  <c r="B222" i="19"/>
  <c r="B355" i="19" s="1"/>
  <c r="H221" i="19"/>
  <c r="G221" i="19"/>
  <c r="F221" i="19"/>
  <c r="E221" i="19"/>
  <c r="D221" i="19"/>
  <c r="C221" i="19"/>
  <c r="B221" i="19"/>
  <c r="H220" i="19"/>
  <c r="G220" i="19"/>
  <c r="F220" i="19"/>
  <c r="E220" i="19"/>
  <c r="D220" i="19"/>
  <c r="C220" i="19"/>
  <c r="B220" i="19"/>
  <c r="H219" i="19"/>
  <c r="G219" i="19"/>
  <c r="F219" i="19"/>
  <c r="E219" i="19"/>
  <c r="D219" i="19"/>
  <c r="C219" i="19"/>
  <c r="B219" i="19"/>
  <c r="H218" i="19"/>
  <c r="G218" i="19"/>
  <c r="F218" i="19"/>
  <c r="E218" i="19"/>
  <c r="D218" i="19"/>
  <c r="C218" i="19"/>
  <c r="B218" i="19"/>
  <c r="H217" i="19"/>
  <c r="G217" i="19"/>
  <c r="F217" i="19"/>
  <c r="E217" i="19"/>
  <c r="D217" i="19"/>
  <c r="C217" i="19"/>
  <c r="B217" i="19"/>
  <c r="B354" i="19" s="1"/>
  <c r="H216" i="19"/>
  <c r="G216" i="19"/>
  <c r="F216" i="19"/>
  <c r="E216" i="19"/>
  <c r="D216" i="19"/>
  <c r="C216" i="19"/>
  <c r="B216" i="19"/>
  <c r="H215" i="19"/>
  <c r="F215" i="19"/>
  <c r="E215" i="19"/>
  <c r="D215" i="19"/>
  <c r="C215" i="19"/>
  <c r="B215" i="19"/>
  <c r="H214" i="19"/>
  <c r="G214" i="19"/>
  <c r="F214" i="19"/>
  <c r="E214" i="19"/>
  <c r="D214" i="19"/>
  <c r="C214" i="19"/>
  <c r="B214" i="19"/>
  <c r="H213" i="19"/>
  <c r="G213" i="19"/>
  <c r="F213" i="19"/>
  <c r="E213" i="19"/>
  <c r="D213" i="19"/>
  <c r="C213" i="19"/>
  <c r="B213" i="19"/>
  <c r="H212" i="19"/>
  <c r="G212" i="19"/>
  <c r="F212" i="19"/>
  <c r="E212" i="19"/>
  <c r="D212" i="19"/>
  <c r="C212" i="19"/>
  <c r="B212" i="19"/>
  <c r="H211" i="19"/>
  <c r="G211" i="19"/>
  <c r="F211" i="19"/>
  <c r="E211" i="19"/>
  <c r="D211" i="19"/>
  <c r="C211" i="19"/>
  <c r="B211" i="19"/>
  <c r="H210" i="19"/>
  <c r="G210" i="19"/>
  <c r="F210" i="19"/>
  <c r="E210" i="19"/>
  <c r="D210" i="19"/>
  <c r="C210" i="19"/>
  <c r="B210" i="19"/>
  <c r="H209" i="19"/>
  <c r="F209" i="19"/>
  <c r="E209" i="19"/>
  <c r="D209" i="19"/>
  <c r="C209" i="19"/>
  <c r="B209" i="19"/>
  <c r="H208" i="19"/>
  <c r="G208" i="19"/>
  <c r="F208" i="19"/>
  <c r="E208" i="19"/>
  <c r="D208" i="19"/>
  <c r="C208" i="19"/>
  <c r="B208" i="19"/>
  <c r="H207" i="19"/>
  <c r="G207" i="19"/>
  <c r="F207" i="19"/>
  <c r="E207" i="19"/>
  <c r="D207" i="19"/>
  <c r="C207" i="19"/>
  <c r="B207" i="19"/>
  <c r="H206" i="19"/>
  <c r="G206" i="19"/>
  <c r="F206" i="19"/>
  <c r="E206" i="19"/>
  <c r="D206" i="19"/>
  <c r="C206" i="19"/>
  <c r="B206" i="19"/>
  <c r="H205" i="19"/>
  <c r="G205" i="19"/>
  <c r="F205" i="19"/>
  <c r="E205" i="19"/>
  <c r="D205" i="19"/>
  <c r="C205" i="19"/>
  <c r="B205" i="19"/>
  <c r="H204" i="19"/>
  <c r="G204" i="19"/>
  <c r="F204" i="19"/>
  <c r="E204" i="19"/>
  <c r="D204" i="19"/>
  <c r="C204" i="19"/>
  <c r="B204" i="19"/>
  <c r="H203" i="19"/>
  <c r="G203" i="19"/>
  <c r="F203" i="19"/>
  <c r="E203" i="19"/>
  <c r="D203" i="19"/>
  <c r="C203" i="19"/>
  <c r="B203" i="19"/>
  <c r="H202" i="19"/>
  <c r="G202" i="19"/>
  <c r="F202" i="19"/>
  <c r="E202" i="19"/>
  <c r="D202" i="19"/>
  <c r="C202" i="19"/>
  <c r="B202" i="19"/>
  <c r="H201" i="19"/>
  <c r="G201" i="19"/>
  <c r="F201" i="19"/>
  <c r="E201" i="19"/>
  <c r="D201" i="19"/>
  <c r="C201" i="19"/>
  <c r="B201" i="19"/>
  <c r="H200" i="19"/>
  <c r="G200" i="19"/>
  <c r="F200" i="19"/>
  <c r="E200" i="19"/>
  <c r="D200" i="19"/>
  <c r="C200" i="19"/>
  <c r="B200" i="19"/>
  <c r="H199" i="19"/>
  <c r="G199" i="19"/>
  <c r="F199" i="19"/>
  <c r="E199" i="19"/>
  <c r="D199" i="19"/>
  <c r="C199" i="19"/>
  <c r="B199" i="19"/>
  <c r="G198" i="19"/>
  <c r="F198" i="19"/>
  <c r="E198" i="19"/>
  <c r="D198" i="19"/>
  <c r="C198" i="19"/>
  <c r="B198" i="19"/>
  <c r="H197" i="19"/>
  <c r="G197" i="19"/>
  <c r="F197" i="19"/>
  <c r="E197" i="19"/>
  <c r="D197" i="19"/>
  <c r="C197" i="19"/>
  <c r="B197" i="19"/>
  <c r="H196" i="19"/>
  <c r="G196" i="19"/>
  <c r="F196" i="19"/>
  <c r="E196" i="19"/>
  <c r="D196" i="19"/>
  <c r="C196" i="19"/>
  <c r="B196" i="19"/>
  <c r="H195" i="19"/>
  <c r="G195" i="19"/>
  <c r="F195" i="19"/>
  <c r="E195" i="19"/>
  <c r="D195" i="19"/>
  <c r="C195" i="19"/>
  <c r="B195" i="19"/>
  <c r="G194" i="19"/>
  <c r="F194" i="19"/>
  <c r="E194" i="19"/>
  <c r="D194" i="19"/>
  <c r="C194" i="19"/>
  <c r="H193" i="19"/>
  <c r="G193" i="19"/>
  <c r="F193" i="19"/>
  <c r="E193" i="19"/>
  <c r="D193" i="19"/>
  <c r="C193" i="19"/>
  <c r="B193" i="19"/>
  <c r="H192" i="19"/>
  <c r="G192" i="19"/>
  <c r="F192" i="19"/>
  <c r="E192" i="19"/>
  <c r="D192" i="19"/>
  <c r="C192" i="19"/>
  <c r="I189" i="19"/>
  <c r="I347" i="19" s="1"/>
  <c r="I186" i="19"/>
  <c r="I344" i="19" s="1"/>
  <c r="I185" i="19"/>
  <c r="I343" i="19" s="1"/>
  <c r="I184" i="19"/>
  <c r="I342" i="19" s="1"/>
  <c r="I183" i="19"/>
  <c r="I341" i="19" s="1"/>
  <c r="I182" i="19"/>
  <c r="I340" i="19" s="1"/>
  <c r="I181" i="19"/>
  <c r="I339" i="19" s="1"/>
  <c r="I180" i="19"/>
  <c r="I338" i="19" s="1"/>
  <c r="I179" i="19"/>
  <c r="I337" i="19" s="1"/>
  <c r="I178" i="19"/>
  <c r="I336" i="19" s="1"/>
  <c r="I177" i="19"/>
  <c r="I335" i="19" s="1"/>
  <c r="I176" i="19"/>
  <c r="I334" i="19" s="1"/>
  <c r="I175" i="19"/>
  <c r="I174" i="19"/>
  <c r="I173" i="19"/>
  <c r="I172" i="19"/>
  <c r="I171" i="19"/>
  <c r="I170" i="19"/>
  <c r="I169" i="19"/>
  <c r="I168" i="19"/>
  <c r="I167" i="19"/>
  <c r="I166" i="19"/>
  <c r="I165" i="19"/>
  <c r="I164" i="19"/>
  <c r="I162" i="19"/>
  <c r="I161" i="19"/>
  <c r="I160" i="19"/>
  <c r="I159" i="19"/>
  <c r="I158" i="19"/>
  <c r="I157" i="19"/>
  <c r="I156" i="19"/>
  <c r="I155" i="19"/>
  <c r="I154" i="19"/>
  <c r="I153" i="19"/>
  <c r="I152" i="19"/>
  <c r="H151" i="19"/>
  <c r="H57" i="29" s="1"/>
  <c r="F150" i="19"/>
  <c r="F56" i="29" s="1"/>
  <c r="I149" i="19"/>
  <c r="I148" i="19"/>
  <c r="I147" i="19"/>
  <c r="I146" i="19"/>
  <c r="I145" i="19"/>
  <c r="I142" i="19"/>
  <c r="I323" i="19" s="1"/>
  <c r="I139" i="19"/>
  <c r="I320" i="19" s="1"/>
  <c r="I138" i="19"/>
  <c r="I319" i="19" s="1"/>
  <c r="I137" i="19"/>
  <c r="I318" i="19" s="1"/>
  <c r="I136" i="19"/>
  <c r="I317" i="19" s="1"/>
  <c r="I135" i="19"/>
  <c r="I316" i="19" s="1"/>
  <c r="I134" i="19"/>
  <c r="I315" i="19" s="1"/>
  <c r="I133" i="19"/>
  <c r="I314" i="19" s="1"/>
  <c r="I132" i="19"/>
  <c r="I313" i="19" s="1"/>
  <c r="I131" i="19"/>
  <c r="I312" i="19" s="1"/>
  <c r="I130" i="19"/>
  <c r="I311" i="19" s="1"/>
  <c r="I129" i="19"/>
  <c r="I310" i="19" s="1"/>
  <c r="I128" i="19"/>
  <c r="I309" i="19" s="1"/>
  <c r="I127" i="19"/>
  <c r="I126" i="19"/>
  <c r="I125" i="19"/>
  <c r="I124" i="19"/>
  <c r="I123" i="19"/>
  <c r="I122" i="19"/>
  <c r="I121" i="19"/>
  <c r="I120" i="19"/>
  <c r="I119" i="19"/>
  <c r="I118" i="19"/>
  <c r="I117" i="19"/>
  <c r="I115" i="19"/>
  <c r="I114" i="19"/>
  <c r="I113" i="19"/>
  <c r="I112" i="19"/>
  <c r="I111" i="19"/>
  <c r="I110" i="19"/>
  <c r="I109" i="19"/>
  <c r="I108" i="19"/>
  <c r="I107" i="19"/>
  <c r="I106" i="19"/>
  <c r="I105" i="19"/>
  <c r="I104" i="19"/>
  <c r="I103" i="19"/>
  <c r="I102" i="19"/>
  <c r="I101" i="19"/>
  <c r="I100" i="19"/>
  <c r="I99" i="19"/>
  <c r="I98" i="19"/>
  <c r="I95" i="19"/>
  <c r="I301" i="19" s="1"/>
  <c r="I92" i="19"/>
  <c r="I298" i="19" s="1"/>
  <c r="I91" i="19"/>
  <c r="I297" i="19" s="1"/>
  <c r="I90" i="19"/>
  <c r="I296" i="19" s="1"/>
  <c r="I89" i="19"/>
  <c r="I295" i="19" s="1"/>
  <c r="I88" i="19"/>
  <c r="I294" i="19" s="1"/>
  <c r="I87" i="19"/>
  <c r="I293" i="19" s="1"/>
  <c r="I86" i="19"/>
  <c r="I292" i="19" s="1"/>
  <c r="I85" i="19"/>
  <c r="I291" i="19" s="1"/>
  <c r="I84" i="19"/>
  <c r="I290" i="19" s="1"/>
  <c r="I83" i="19"/>
  <c r="I289" i="19" s="1"/>
  <c r="I82" i="19"/>
  <c r="I288" i="19" s="1"/>
  <c r="I81" i="19"/>
  <c r="I287" i="19" s="1"/>
  <c r="I80" i="19"/>
  <c r="I79" i="19"/>
  <c r="I78" i="19"/>
  <c r="I77" i="19"/>
  <c r="I76" i="19"/>
  <c r="I75" i="19"/>
  <c r="I74" i="19"/>
  <c r="I73" i="19"/>
  <c r="I72" i="19"/>
  <c r="I71" i="19"/>
  <c r="I70" i="19"/>
  <c r="G68" i="19"/>
  <c r="I67" i="19"/>
  <c r="I66" i="19"/>
  <c r="I65" i="19"/>
  <c r="I64" i="19"/>
  <c r="I63" i="19"/>
  <c r="I62" i="19"/>
  <c r="I61" i="19"/>
  <c r="I60" i="19"/>
  <c r="I59" i="19"/>
  <c r="I58" i="19"/>
  <c r="I57" i="19"/>
  <c r="I56" i="19"/>
  <c r="I55" i="19"/>
  <c r="I54" i="19"/>
  <c r="I53" i="19"/>
  <c r="I52" i="19"/>
  <c r="I51" i="19"/>
  <c r="I48" i="19"/>
  <c r="I45" i="19"/>
  <c r="I44" i="19"/>
  <c r="I43" i="19"/>
  <c r="I42" i="19"/>
  <c r="I41" i="19"/>
  <c r="I40" i="19"/>
  <c r="I39" i="19"/>
  <c r="I38" i="19"/>
  <c r="I37" i="19"/>
  <c r="I36" i="19"/>
  <c r="I35" i="19"/>
  <c r="I34" i="19"/>
  <c r="I33" i="19"/>
  <c r="I32" i="19"/>
  <c r="I31" i="19"/>
  <c r="I30" i="19"/>
  <c r="I29" i="19"/>
  <c r="I28" i="19"/>
  <c r="G27" i="19"/>
  <c r="G263" i="19" s="1"/>
  <c r="I26" i="19"/>
  <c r="I25" i="19"/>
  <c r="I24" i="19"/>
  <c r="I23" i="19"/>
  <c r="I21" i="19"/>
  <c r="I20" i="19"/>
  <c r="I19" i="19"/>
  <c r="I18" i="19"/>
  <c r="I17" i="19"/>
  <c r="I16" i="19"/>
  <c r="I15" i="19"/>
  <c r="I14" i="19"/>
  <c r="I13" i="19"/>
  <c r="B12" i="19"/>
  <c r="B12" i="29" s="1"/>
  <c r="I11" i="19"/>
  <c r="I10" i="19"/>
  <c r="B9" i="19"/>
  <c r="B9" i="29" s="1"/>
  <c r="I8" i="19"/>
  <c r="I7" i="19"/>
  <c r="H6" i="19"/>
  <c r="H6" i="29" s="1"/>
  <c r="B6" i="19"/>
  <c r="B6" i="29" s="1"/>
  <c r="I5" i="19"/>
  <c r="B4" i="19"/>
  <c r="B4" i="29" s="1"/>
  <c r="E146" i="28"/>
  <c r="E280" i="28" s="1"/>
  <c r="G144" i="28"/>
  <c r="C144" i="28"/>
  <c r="G143" i="28"/>
  <c r="E143" i="28"/>
  <c r="E277" i="28" s="1"/>
  <c r="C143" i="28"/>
  <c r="C277" i="28" s="1"/>
  <c r="G142" i="28"/>
  <c r="G276" i="28" s="1"/>
  <c r="E142" i="28"/>
  <c r="C142" i="28"/>
  <c r="C276" i="28" s="1"/>
  <c r="G141" i="28"/>
  <c r="G275" i="28" s="1"/>
  <c r="E141" i="28"/>
  <c r="C141" i="28"/>
  <c r="C275" i="28" s="1"/>
  <c r="H140" i="28"/>
  <c r="H274" i="28" s="1"/>
  <c r="G140" i="28"/>
  <c r="E140" i="28"/>
  <c r="E274" i="28" s="1"/>
  <c r="C140" i="28"/>
  <c r="G139" i="28"/>
  <c r="E139" i="28"/>
  <c r="E273" i="28" s="1"/>
  <c r="C139" i="28"/>
  <c r="G138" i="28"/>
  <c r="G272" i="28" s="1"/>
  <c r="E138" i="28"/>
  <c r="C138" i="28"/>
  <c r="C272" i="28" s="1"/>
  <c r="G137" i="28"/>
  <c r="G161" i="28" s="1"/>
  <c r="E137" i="28"/>
  <c r="C137" i="28"/>
  <c r="G136" i="28"/>
  <c r="G160" i="28" s="1"/>
  <c r="F136" i="28"/>
  <c r="E136" i="28"/>
  <c r="D136" i="28"/>
  <c r="C136" i="28"/>
  <c r="C160" i="28" s="1"/>
  <c r="B136" i="28"/>
  <c r="B160" i="28" s="1"/>
  <c r="G135" i="28"/>
  <c r="F135" i="28"/>
  <c r="B135" i="28"/>
  <c r="G134" i="28"/>
  <c r="F134" i="28"/>
  <c r="E134" i="28"/>
  <c r="D134" i="28"/>
  <c r="C134" i="28"/>
  <c r="B134" i="28"/>
  <c r="G133" i="28"/>
  <c r="F133" i="28"/>
  <c r="E133" i="28"/>
  <c r="C133" i="28"/>
  <c r="B133" i="28"/>
  <c r="D132" i="28"/>
  <c r="G131" i="28"/>
  <c r="F131" i="28"/>
  <c r="F155" i="28" s="1"/>
  <c r="E131" i="28"/>
  <c r="E155" i="28" s="1"/>
  <c r="D131" i="28"/>
  <c r="C131" i="28"/>
  <c r="B131" i="28"/>
  <c r="B155" i="28" s="1"/>
  <c r="D130" i="28"/>
  <c r="G129" i="28"/>
  <c r="F129" i="28"/>
  <c r="E129" i="28"/>
  <c r="D129" i="28"/>
  <c r="C129" i="28"/>
  <c r="C153" i="28" s="1"/>
  <c r="B129" i="28"/>
  <c r="G128" i="28"/>
  <c r="F128" i="28"/>
  <c r="E128" i="28"/>
  <c r="D128" i="28"/>
  <c r="C128" i="28"/>
  <c r="B128" i="28"/>
  <c r="F127" i="28"/>
  <c r="C127" i="28"/>
  <c r="B127" i="28"/>
  <c r="G126" i="28"/>
  <c r="F126" i="28"/>
  <c r="E126" i="28"/>
  <c r="D126" i="28"/>
  <c r="C126" i="28"/>
  <c r="B126" i="28"/>
  <c r="G125" i="28"/>
  <c r="G149" i="28" s="1"/>
  <c r="F125" i="28"/>
  <c r="E125" i="28"/>
  <c r="E149" i="28" s="1"/>
  <c r="D125" i="28"/>
  <c r="D149" i="28" s="1"/>
  <c r="C125" i="28"/>
  <c r="B125" i="28"/>
  <c r="H136" i="28"/>
  <c r="H134" i="28"/>
  <c r="H128" i="28"/>
  <c r="H126" i="28"/>
  <c r="H137" i="28"/>
  <c r="H133" i="28"/>
  <c r="H131" i="28"/>
  <c r="H129" i="28"/>
  <c r="H125" i="28"/>
  <c r="H47" i="28"/>
  <c r="H45" i="28"/>
  <c r="H43" i="28"/>
  <c r="H41" i="28"/>
  <c r="H65" i="28" s="1"/>
  <c r="H39" i="28"/>
  <c r="H37" i="28"/>
  <c r="H61" i="28" s="1"/>
  <c r="H35" i="28"/>
  <c r="H59" i="28" s="1"/>
  <c r="H33" i="28"/>
  <c r="H57" i="28" s="1"/>
  <c r="H31" i="28"/>
  <c r="H29" i="28"/>
  <c r="H53" i="28" s="1"/>
  <c r="O284" i="27"/>
  <c r="M284" i="27"/>
  <c r="L284" i="27"/>
  <c r="K284" i="27"/>
  <c r="G284" i="27"/>
  <c r="F284" i="27"/>
  <c r="E284" i="27"/>
  <c r="C284" i="27"/>
  <c r="B284" i="27"/>
  <c r="O281" i="27"/>
  <c r="M281" i="27"/>
  <c r="L281" i="27"/>
  <c r="K281" i="27"/>
  <c r="G281" i="27"/>
  <c r="F281" i="27"/>
  <c r="E281" i="27"/>
  <c r="C281" i="27"/>
  <c r="B281" i="27"/>
  <c r="O280" i="27"/>
  <c r="M280" i="27"/>
  <c r="L280" i="27"/>
  <c r="K280" i="27"/>
  <c r="G280" i="27"/>
  <c r="F280" i="27"/>
  <c r="E280" i="27"/>
  <c r="C280" i="27"/>
  <c r="B280" i="27"/>
  <c r="O279" i="27"/>
  <c r="M279" i="27"/>
  <c r="L279" i="27"/>
  <c r="K279" i="27"/>
  <c r="G279" i="27"/>
  <c r="F279" i="27"/>
  <c r="E279" i="27"/>
  <c r="C279" i="27"/>
  <c r="B279" i="27"/>
  <c r="O278" i="27"/>
  <c r="M278" i="27"/>
  <c r="L278" i="27"/>
  <c r="K278" i="27"/>
  <c r="G278" i="27"/>
  <c r="F278" i="27"/>
  <c r="E278" i="27"/>
  <c r="C278" i="27"/>
  <c r="B278" i="27"/>
  <c r="O277" i="27"/>
  <c r="M277" i="27"/>
  <c r="L277" i="27"/>
  <c r="K277" i="27"/>
  <c r="G277" i="27"/>
  <c r="F277" i="27"/>
  <c r="E277" i="27"/>
  <c r="C277" i="27"/>
  <c r="B277" i="27"/>
  <c r="O276" i="27"/>
  <c r="M276" i="27"/>
  <c r="L276" i="27"/>
  <c r="K276" i="27"/>
  <c r="G276" i="27"/>
  <c r="F276" i="27"/>
  <c r="E276" i="27"/>
  <c r="C276" i="27"/>
  <c r="B276" i="27"/>
  <c r="O275" i="27"/>
  <c r="M275" i="27"/>
  <c r="L275" i="27"/>
  <c r="K275" i="27"/>
  <c r="G275" i="27"/>
  <c r="F275" i="27"/>
  <c r="E275" i="27"/>
  <c r="C275" i="27"/>
  <c r="B275" i="27"/>
  <c r="O274" i="27"/>
  <c r="M274" i="27"/>
  <c r="L274" i="27"/>
  <c r="K274" i="27"/>
  <c r="G274" i="27"/>
  <c r="F274" i="27"/>
  <c r="E274" i="27"/>
  <c r="C274" i="27"/>
  <c r="B274" i="27"/>
  <c r="O273" i="27"/>
  <c r="M273" i="27"/>
  <c r="L273" i="27"/>
  <c r="K273" i="27"/>
  <c r="G273" i="27"/>
  <c r="F273" i="27"/>
  <c r="E273" i="27"/>
  <c r="C273" i="27"/>
  <c r="B273" i="27"/>
  <c r="O272" i="27"/>
  <c r="M272" i="27"/>
  <c r="L272" i="27"/>
  <c r="K272" i="27"/>
  <c r="G272" i="27"/>
  <c r="F272" i="27"/>
  <c r="E272" i="27"/>
  <c r="C272" i="27"/>
  <c r="B272" i="27"/>
  <c r="O271" i="27"/>
  <c r="M271" i="27"/>
  <c r="L271" i="27"/>
  <c r="K271" i="27"/>
  <c r="G271" i="27"/>
  <c r="F271" i="27"/>
  <c r="E271" i="27"/>
  <c r="C271" i="27"/>
  <c r="B271" i="27"/>
  <c r="O270" i="27"/>
  <c r="M270" i="27"/>
  <c r="L270" i="27"/>
  <c r="K270" i="27"/>
  <c r="G270" i="27"/>
  <c r="F270" i="27"/>
  <c r="E270" i="27"/>
  <c r="C270" i="27"/>
  <c r="B270" i="27"/>
  <c r="O269" i="27"/>
  <c r="N269" i="27"/>
  <c r="M269" i="27"/>
  <c r="L269" i="27"/>
  <c r="K269" i="27"/>
  <c r="J269" i="27"/>
  <c r="J316" i="27" s="1"/>
  <c r="G269" i="27"/>
  <c r="F269" i="27"/>
  <c r="E269" i="27"/>
  <c r="D269" i="27"/>
  <c r="C269" i="27"/>
  <c r="B269" i="27"/>
  <c r="O268" i="27"/>
  <c r="N268" i="27"/>
  <c r="M268" i="27"/>
  <c r="L268" i="27"/>
  <c r="K268" i="27"/>
  <c r="J268" i="27"/>
  <c r="G268" i="27"/>
  <c r="F268" i="27"/>
  <c r="E268" i="27"/>
  <c r="D268" i="27"/>
  <c r="C268" i="27"/>
  <c r="B268" i="27"/>
  <c r="O267" i="27"/>
  <c r="N267" i="27"/>
  <c r="M267" i="27"/>
  <c r="L267" i="27"/>
  <c r="K267" i="27"/>
  <c r="J267" i="27"/>
  <c r="J314" i="27" s="1"/>
  <c r="G267" i="27"/>
  <c r="F267" i="27"/>
  <c r="E267" i="27"/>
  <c r="D267" i="27"/>
  <c r="C267" i="27"/>
  <c r="B267" i="27"/>
  <c r="O266" i="27"/>
  <c r="N266" i="27"/>
  <c r="M266" i="27"/>
  <c r="L266" i="27"/>
  <c r="K266" i="27"/>
  <c r="J266" i="27"/>
  <c r="J313" i="27" s="1"/>
  <c r="G266" i="27"/>
  <c r="F266" i="27"/>
  <c r="E266" i="27"/>
  <c r="D266" i="27"/>
  <c r="C266" i="27"/>
  <c r="B266" i="27"/>
  <c r="O265" i="27"/>
  <c r="M265" i="27"/>
  <c r="L265" i="27"/>
  <c r="K265" i="27"/>
  <c r="G265" i="27"/>
  <c r="F265" i="27"/>
  <c r="E265" i="27"/>
  <c r="C265" i="27"/>
  <c r="B265" i="27"/>
  <c r="O264" i="27"/>
  <c r="N264" i="27"/>
  <c r="M264" i="27"/>
  <c r="L264" i="27"/>
  <c r="K264" i="27"/>
  <c r="J264" i="27"/>
  <c r="J311" i="27" s="1"/>
  <c r="G264" i="27"/>
  <c r="F264" i="27"/>
  <c r="E264" i="27"/>
  <c r="D264" i="27"/>
  <c r="C264" i="27"/>
  <c r="B264" i="27"/>
  <c r="O263" i="27"/>
  <c r="N263" i="27"/>
  <c r="M263" i="27"/>
  <c r="L263" i="27"/>
  <c r="K263" i="27"/>
  <c r="J263" i="27"/>
  <c r="G263" i="27"/>
  <c r="F263" i="27"/>
  <c r="E263" i="27"/>
  <c r="D263" i="27"/>
  <c r="C263" i="27"/>
  <c r="B263" i="27"/>
  <c r="O262" i="27"/>
  <c r="N262" i="27"/>
  <c r="M262" i="27"/>
  <c r="L262" i="27"/>
  <c r="K262" i="27"/>
  <c r="J262" i="27"/>
  <c r="G262" i="27"/>
  <c r="F262" i="27"/>
  <c r="E262" i="27"/>
  <c r="D262" i="27"/>
  <c r="C262" i="27"/>
  <c r="B262" i="27"/>
  <c r="O261" i="27"/>
  <c r="N261" i="27"/>
  <c r="M261" i="27"/>
  <c r="L261" i="27"/>
  <c r="K261" i="27"/>
  <c r="J261" i="27"/>
  <c r="G261" i="27"/>
  <c r="F261" i="27"/>
  <c r="E261" i="27"/>
  <c r="D261" i="27"/>
  <c r="C261" i="27"/>
  <c r="B261" i="27"/>
  <c r="O260" i="27"/>
  <c r="M260" i="27"/>
  <c r="L260" i="27"/>
  <c r="K260" i="27"/>
  <c r="G260" i="27"/>
  <c r="F260" i="27"/>
  <c r="E260" i="27"/>
  <c r="C260" i="27"/>
  <c r="B260" i="27"/>
  <c r="O259" i="27"/>
  <c r="N259" i="27"/>
  <c r="M259" i="27"/>
  <c r="L259" i="27"/>
  <c r="K259" i="27"/>
  <c r="J259" i="27"/>
  <c r="J306" i="27" s="1"/>
  <c r="G259" i="27"/>
  <c r="F259" i="27"/>
  <c r="E259" i="27"/>
  <c r="D259" i="27"/>
  <c r="C259" i="27"/>
  <c r="B259" i="27"/>
  <c r="O258" i="27"/>
  <c r="N258" i="27"/>
  <c r="M258" i="27"/>
  <c r="L258" i="27"/>
  <c r="K258" i="27"/>
  <c r="J258" i="27"/>
  <c r="G258" i="27"/>
  <c r="F258" i="27"/>
  <c r="E258" i="27"/>
  <c r="D258" i="27"/>
  <c r="C258" i="27"/>
  <c r="B258" i="27"/>
  <c r="O257" i="27"/>
  <c r="N257" i="27"/>
  <c r="M257" i="27"/>
  <c r="L257" i="27"/>
  <c r="K257" i="27"/>
  <c r="J257" i="27"/>
  <c r="G257" i="27"/>
  <c r="F257" i="27"/>
  <c r="E257" i="27"/>
  <c r="D257" i="27"/>
  <c r="C257" i="27"/>
  <c r="B257" i="27"/>
  <c r="O256" i="27"/>
  <c r="N256" i="27"/>
  <c r="M256" i="27"/>
  <c r="L256" i="27"/>
  <c r="K256" i="27"/>
  <c r="J256" i="27"/>
  <c r="J303" i="27" s="1"/>
  <c r="G256" i="27"/>
  <c r="F256" i="27"/>
  <c r="E256" i="27"/>
  <c r="D256" i="27"/>
  <c r="C256" i="27"/>
  <c r="B256" i="27"/>
  <c r="O255" i="27"/>
  <c r="M255" i="27"/>
  <c r="L255" i="27"/>
  <c r="K255" i="27"/>
  <c r="G255" i="27"/>
  <c r="F255" i="27"/>
  <c r="E255" i="27"/>
  <c r="C255" i="27"/>
  <c r="B255" i="27"/>
  <c r="O254" i="27"/>
  <c r="N254" i="27"/>
  <c r="M254" i="27"/>
  <c r="L254" i="27"/>
  <c r="K254" i="27"/>
  <c r="J254" i="27"/>
  <c r="J301" i="27" s="1"/>
  <c r="G254" i="27"/>
  <c r="F254" i="27"/>
  <c r="E254" i="27"/>
  <c r="D254" i="27"/>
  <c r="C254" i="27"/>
  <c r="B254" i="27"/>
  <c r="O253" i="27"/>
  <c r="N253" i="27"/>
  <c r="M253" i="27"/>
  <c r="L253" i="27"/>
  <c r="K253" i="27"/>
  <c r="J253" i="27"/>
  <c r="G253" i="27"/>
  <c r="F253" i="27"/>
  <c r="E253" i="27"/>
  <c r="D253" i="27"/>
  <c r="C253" i="27"/>
  <c r="B253" i="27"/>
  <c r="O252" i="27"/>
  <c r="N252" i="27"/>
  <c r="M252" i="27"/>
  <c r="L252" i="27"/>
  <c r="K252" i="27"/>
  <c r="J252" i="27"/>
  <c r="J299" i="27" s="1"/>
  <c r="G252" i="27"/>
  <c r="F252" i="27"/>
  <c r="E252" i="27"/>
  <c r="D252" i="27"/>
  <c r="C252" i="27"/>
  <c r="B252" i="27"/>
  <c r="O251" i="27"/>
  <c r="N251" i="27"/>
  <c r="M251" i="27"/>
  <c r="L251" i="27"/>
  <c r="K251" i="27"/>
  <c r="J251" i="27"/>
  <c r="G251" i="27"/>
  <c r="F251" i="27"/>
  <c r="E251" i="27"/>
  <c r="D251" i="27"/>
  <c r="C251" i="27"/>
  <c r="B251" i="27"/>
  <c r="O250" i="27"/>
  <c r="M250" i="27"/>
  <c r="L250" i="27"/>
  <c r="K250" i="27"/>
  <c r="G250" i="27"/>
  <c r="F250" i="27"/>
  <c r="E250" i="27"/>
  <c r="C250" i="27"/>
  <c r="B250" i="27"/>
  <c r="O249" i="27"/>
  <c r="N249" i="27"/>
  <c r="M249" i="27"/>
  <c r="L249" i="27"/>
  <c r="K249" i="27"/>
  <c r="J249" i="27"/>
  <c r="J296" i="27" s="1"/>
  <c r="G249" i="27"/>
  <c r="F249" i="27"/>
  <c r="E249" i="27"/>
  <c r="D249" i="27"/>
  <c r="C249" i="27"/>
  <c r="B249" i="27"/>
  <c r="O248" i="27"/>
  <c r="N248" i="27"/>
  <c r="M248" i="27"/>
  <c r="L248" i="27"/>
  <c r="K248" i="27"/>
  <c r="J248" i="27"/>
  <c r="J295" i="27" s="1"/>
  <c r="G248" i="27"/>
  <c r="F248" i="27"/>
  <c r="E248" i="27"/>
  <c r="D248" i="27"/>
  <c r="C248" i="27"/>
  <c r="B248" i="27"/>
  <c r="O247" i="27"/>
  <c r="N247" i="27"/>
  <c r="M247" i="27"/>
  <c r="L247" i="27"/>
  <c r="K247" i="27"/>
  <c r="J247" i="27"/>
  <c r="J294" i="27" s="1"/>
  <c r="G247" i="27"/>
  <c r="F247" i="27"/>
  <c r="E247" i="27"/>
  <c r="D247" i="27"/>
  <c r="C247" i="27"/>
  <c r="B247" i="27"/>
  <c r="O246" i="27"/>
  <c r="N246" i="27"/>
  <c r="M246" i="27"/>
  <c r="L246" i="27"/>
  <c r="K246" i="27"/>
  <c r="J246" i="27"/>
  <c r="J293" i="27" s="1"/>
  <c r="G246" i="27"/>
  <c r="F246" i="27"/>
  <c r="E246" i="27"/>
  <c r="D246" i="27"/>
  <c r="C246" i="27"/>
  <c r="B246" i="27"/>
  <c r="O245" i="27"/>
  <c r="M245" i="27"/>
  <c r="L245" i="27"/>
  <c r="K245" i="27"/>
  <c r="G245" i="27"/>
  <c r="F245" i="27"/>
  <c r="E245" i="27"/>
  <c r="C245" i="27"/>
  <c r="B245" i="27"/>
  <c r="O244" i="27"/>
  <c r="N244" i="27"/>
  <c r="M244" i="27"/>
  <c r="L244" i="27"/>
  <c r="K244" i="27"/>
  <c r="J244" i="27"/>
  <c r="J291" i="27" s="1"/>
  <c r="G244" i="27"/>
  <c r="F244" i="27"/>
  <c r="E244" i="27"/>
  <c r="D244" i="27"/>
  <c r="C244" i="27"/>
  <c r="B244" i="27"/>
  <c r="O243" i="27"/>
  <c r="N243" i="27"/>
  <c r="M243" i="27"/>
  <c r="L243" i="27"/>
  <c r="K243" i="27"/>
  <c r="J243" i="27"/>
  <c r="G243" i="27"/>
  <c r="F243" i="27"/>
  <c r="E243" i="27"/>
  <c r="D243" i="27"/>
  <c r="C243" i="27"/>
  <c r="B243" i="27"/>
  <c r="O242" i="27"/>
  <c r="N242" i="27"/>
  <c r="M242" i="27"/>
  <c r="L242" i="27"/>
  <c r="K242" i="27"/>
  <c r="J242" i="27"/>
  <c r="G242" i="27"/>
  <c r="F242" i="27"/>
  <c r="E242" i="27"/>
  <c r="D242" i="27"/>
  <c r="C242" i="27"/>
  <c r="B242" i="27"/>
  <c r="O241" i="27"/>
  <c r="N241" i="27"/>
  <c r="M241" i="27"/>
  <c r="L241" i="27"/>
  <c r="K241" i="27"/>
  <c r="J241" i="27"/>
  <c r="G241" i="27"/>
  <c r="F241" i="27"/>
  <c r="E241" i="27"/>
  <c r="D241" i="27"/>
  <c r="C241" i="27"/>
  <c r="B241" i="27"/>
  <c r="O240" i="27"/>
  <c r="N240" i="27"/>
  <c r="M240" i="27"/>
  <c r="L240" i="27"/>
  <c r="K240" i="27"/>
  <c r="J240" i="27"/>
  <c r="J287" i="27" s="1"/>
  <c r="G240" i="27"/>
  <c r="F240" i="27"/>
  <c r="E240" i="27"/>
  <c r="D240" i="27"/>
  <c r="C240" i="27"/>
  <c r="B240" i="27"/>
  <c r="P269" i="27"/>
  <c r="H269" i="27"/>
  <c r="P268" i="27"/>
  <c r="H268" i="27"/>
  <c r="P267" i="27"/>
  <c r="H267" i="27"/>
  <c r="P266" i="27"/>
  <c r="H266" i="27"/>
  <c r="P264" i="27"/>
  <c r="H264" i="27"/>
  <c r="P263" i="27"/>
  <c r="H263" i="27"/>
  <c r="P262" i="27"/>
  <c r="H262" i="27"/>
  <c r="P261" i="27"/>
  <c r="H261" i="27"/>
  <c r="P260" i="27"/>
  <c r="P259" i="27"/>
  <c r="H259" i="27"/>
  <c r="P258" i="27"/>
  <c r="H258" i="27"/>
  <c r="P257" i="27"/>
  <c r="H257" i="27"/>
  <c r="P256" i="27"/>
  <c r="H256" i="27"/>
  <c r="P254" i="27"/>
  <c r="H254" i="27"/>
  <c r="P253" i="27"/>
  <c r="H253" i="27"/>
  <c r="P252" i="27"/>
  <c r="H252" i="27"/>
  <c r="P251" i="27"/>
  <c r="H251" i="27"/>
  <c r="P249" i="27"/>
  <c r="H249" i="27"/>
  <c r="P248" i="27"/>
  <c r="H248" i="27"/>
  <c r="P247" i="27"/>
  <c r="H247" i="27"/>
  <c r="P246" i="27"/>
  <c r="H246" i="27"/>
  <c r="P244" i="27"/>
  <c r="H244" i="27"/>
  <c r="P243" i="27"/>
  <c r="H243" i="27"/>
  <c r="P242" i="27"/>
  <c r="H242" i="27"/>
  <c r="P241" i="27"/>
  <c r="H241" i="27"/>
  <c r="P240" i="27"/>
  <c r="H240" i="27"/>
  <c r="P96" i="27"/>
  <c r="H96" i="27"/>
  <c r="P93" i="27"/>
  <c r="H93" i="27"/>
  <c r="P92" i="27"/>
  <c r="H92" i="27"/>
  <c r="P91" i="27"/>
  <c r="H91" i="27"/>
  <c r="P90" i="27"/>
  <c r="H90" i="27"/>
  <c r="P89" i="27"/>
  <c r="H89" i="27"/>
  <c r="P88" i="27"/>
  <c r="H88" i="27"/>
  <c r="P87" i="27"/>
  <c r="H87" i="27"/>
  <c r="P86" i="27"/>
  <c r="H86" i="27"/>
  <c r="P85" i="27"/>
  <c r="H85" i="27"/>
  <c r="P84" i="27"/>
  <c r="H84" i="27"/>
  <c r="P83" i="27"/>
  <c r="H83" i="27"/>
  <c r="P82" i="27"/>
  <c r="H82" i="27"/>
  <c r="P81" i="27"/>
  <c r="H81" i="27"/>
  <c r="P80" i="27"/>
  <c r="H80" i="27"/>
  <c r="P79" i="27"/>
  <c r="H79" i="27"/>
  <c r="P78" i="27"/>
  <c r="H78" i="27"/>
  <c r="P77" i="27"/>
  <c r="H77" i="27"/>
  <c r="P76" i="27"/>
  <c r="H76" i="27"/>
  <c r="P75" i="27"/>
  <c r="H75" i="27"/>
  <c r="P74" i="27"/>
  <c r="H74" i="27"/>
  <c r="P73" i="27"/>
  <c r="H73" i="27"/>
  <c r="P72" i="27"/>
  <c r="H72" i="27"/>
  <c r="P71" i="27"/>
  <c r="H71" i="27"/>
  <c r="P70" i="27"/>
  <c r="H70" i="27"/>
  <c r="P69" i="27"/>
  <c r="H69" i="27"/>
  <c r="P68" i="27"/>
  <c r="H68" i="27"/>
  <c r="P67" i="27"/>
  <c r="H67" i="27"/>
  <c r="P66" i="27"/>
  <c r="H66" i="27"/>
  <c r="P65" i="27"/>
  <c r="H65" i="27"/>
  <c r="P64" i="27"/>
  <c r="H64" i="27"/>
  <c r="P63" i="27"/>
  <c r="H63" i="27"/>
  <c r="P62" i="27"/>
  <c r="H62" i="27"/>
  <c r="P61" i="27"/>
  <c r="H61" i="27"/>
  <c r="P60" i="27"/>
  <c r="H60" i="27"/>
  <c r="P59" i="27"/>
  <c r="H59" i="27"/>
  <c r="P58" i="27"/>
  <c r="H58" i="27"/>
  <c r="P57" i="27"/>
  <c r="H57" i="27"/>
  <c r="P56" i="27"/>
  <c r="H56" i="27"/>
  <c r="P55" i="27"/>
  <c r="H55" i="27"/>
  <c r="P54" i="27"/>
  <c r="H54" i="27"/>
  <c r="P53" i="27"/>
  <c r="H53" i="27"/>
  <c r="P52" i="27"/>
  <c r="H52" i="27"/>
  <c r="G284" i="26"/>
  <c r="F284" i="26"/>
  <c r="E284" i="26"/>
  <c r="D284" i="26"/>
  <c r="C284" i="26"/>
  <c r="B284" i="26"/>
  <c r="G281" i="26"/>
  <c r="E281" i="26"/>
  <c r="D281" i="26"/>
  <c r="C281" i="26"/>
  <c r="G280" i="26"/>
  <c r="F280" i="26"/>
  <c r="E280" i="26"/>
  <c r="D280" i="26"/>
  <c r="C280" i="26"/>
  <c r="B280" i="26"/>
  <c r="G279" i="26"/>
  <c r="F279" i="26"/>
  <c r="E279" i="26"/>
  <c r="D279" i="26"/>
  <c r="C279" i="26"/>
  <c r="B279" i="26"/>
  <c r="G278" i="26"/>
  <c r="F278" i="26"/>
  <c r="E278" i="26"/>
  <c r="D278" i="26"/>
  <c r="C278" i="26"/>
  <c r="B278" i="26"/>
  <c r="G277" i="26"/>
  <c r="F277" i="26"/>
  <c r="E277" i="26"/>
  <c r="D277" i="26"/>
  <c r="C277" i="26"/>
  <c r="B277" i="26"/>
  <c r="G276" i="26"/>
  <c r="F276" i="26"/>
  <c r="F470" i="26" s="1"/>
  <c r="E276" i="26"/>
  <c r="C276" i="26"/>
  <c r="B276" i="26"/>
  <c r="G275" i="26"/>
  <c r="F275" i="26"/>
  <c r="E275" i="26"/>
  <c r="D275" i="26"/>
  <c r="C275" i="26"/>
  <c r="B275" i="26"/>
  <c r="G274" i="26"/>
  <c r="F274" i="26"/>
  <c r="E274" i="26"/>
  <c r="D274" i="26"/>
  <c r="C274" i="26"/>
  <c r="B274" i="26"/>
  <c r="G273" i="26"/>
  <c r="E273" i="26"/>
  <c r="D273" i="26"/>
  <c r="C273" i="26"/>
  <c r="G272" i="26"/>
  <c r="F272" i="26"/>
  <c r="E272" i="26"/>
  <c r="D272" i="26"/>
  <c r="C272" i="26"/>
  <c r="B272" i="26"/>
  <c r="G271" i="26"/>
  <c r="F271" i="26"/>
  <c r="E271" i="26"/>
  <c r="D271" i="26"/>
  <c r="C271" i="26"/>
  <c r="B271" i="26"/>
  <c r="G270" i="26"/>
  <c r="F270" i="26"/>
  <c r="E270" i="26"/>
  <c r="D270" i="26"/>
  <c r="C270" i="26"/>
  <c r="B270" i="26"/>
  <c r="G269" i="26"/>
  <c r="F269" i="26"/>
  <c r="E269" i="26"/>
  <c r="D269" i="26"/>
  <c r="C269" i="26"/>
  <c r="B269" i="26"/>
  <c r="G268" i="26"/>
  <c r="F268" i="26"/>
  <c r="E268" i="26"/>
  <c r="D268" i="26"/>
  <c r="C268" i="26"/>
  <c r="B268" i="26"/>
  <c r="G267" i="26"/>
  <c r="F267" i="26"/>
  <c r="E267" i="26"/>
  <c r="D267" i="26"/>
  <c r="C267" i="26"/>
  <c r="B267" i="26"/>
  <c r="G266" i="26"/>
  <c r="F266" i="26"/>
  <c r="E266" i="26"/>
  <c r="D266" i="26"/>
  <c r="C266" i="26"/>
  <c r="B266" i="26"/>
  <c r="G265" i="26"/>
  <c r="E265" i="26"/>
  <c r="D265" i="26"/>
  <c r="C265" i="26"/>
  <c r="B265" i="26"/>
  <c r="G264" i="26"/>
  <c r="F264" i="26"/>
  <c r="E264" i="26"/>
  <c r="D264" i="26"/>
  <c r="C264" i="26"/>
  <c r="B264" i="26"/>
  <c r="G263" i="26"/>
  <c r="F263" i="26"/>
  <c r="E263" i="26"/>
  <c r="D263" i="26"/>
  <c r="C263" i="26"/>
  <c r="B263" i="26"/>
  <c r="G262" i="26"/>
  <c r="F262" i="26"/>
  <c r="E262" i="26"/>
  <c r="D262" i="26"/>
  <c r="C262" i="26"/>
  <c r="B262" i="26"/>
  <c r="G261" i="26"/>
  <c r="F261" i="26"/>
  <c r="E261" i="26"/>
  <c r="D261" i="26"/>
  <c r="C261" i="26"/>
  <c r="B261" i="26"/>
  <c r="G260" i="26"/>
  <c r="F260" i="26"/>
  <c r="E260" i="26"/>
  <c r="C260" i="26"/>
  <c r="B260" i="26"/>
  <c r="G259" i="26"/>
  <c r="F259" i="26"/>
  <c r="E259" i="26"/>
  <c r="D259" i="26"/>
  <c r="C259" i="26"/>
  <c r="B259" i="26"/>
  <c r="G258" i="26"/>
  <c r="F258" i="26"/>
  <c r="E258" i="26"/>
  <c r="D258" i="26"/>
  <c r="C258" i="26"/>
  <c r="B258" i="26"/>
  <c r="G257" i="26"/>
  <c r="F257" i="26"/>
  <c r="E257" i="26"/>
  <c r="D257" i="26"/>
  <c r="C257" i="26"/>
  <c r="B257" i="26"/>
  <c r="G256" i="26"/>
  <c r="F256" i="26"/>
  <c r="E256" i="26"/>
  <c r="D256" i="26"/>
  <c r="C256" i="26"/>
  <c r="B256" i="26"/>
  <c r="G255" i="26"/>
  <c r="E255" i="26"/>
  <c r="D255" i="26"/>
  <c r="C255" i="26"/>
  <c r="G254" i="26"/>
  <c r="F254" i="26"/>
  <c r="E254" i="26"/>
  <c r="D254" i="26"/>
  <c r="C254" i="26"/>
  <c r="B254" i="26"/>
  <c r="G253" i="26"/>
  <c r="F253" i="26"/>
  <c r="E253" i="26"/>
  <c r="D253" i="26"/>
  <c r="C253" i="26"/>
  <c r="B253" i="26"/>
  <c r="G252" i="26"/>
  <c r="F252" i="26"/>
  <c r="E252" i="26"/>
  <c r="D252" i="26"/>
  <c r="C252" i="26"/>
  <c r="B252" i="26"/>
  <c r="G251" i="26"/>
  <c r="F251" i="26"/>
  <c r="E251" i="26"/>
  <c r="D251" i="26"/>
  <c r="C251" i="26"/>
  <c r="B251" i="26"/>
  <c r="G250" i="26"/>
  <c r="F250" i="26"/>
  <c r="E250" i="26"/>
  <c r="C250" i="26"/>
  <c r="B250" i="26"/>
  <c r="G249" i="26"/>
  <c r="F249" i="26"/>
  <c r="E249" i="26"/>
  <c r="D249" i="26"/>
  <c r="C249" i="26"/>
  <c r="B249" i="26"/>
  <c r="G248" i="26"/>
  <c r="F248" i="26"/>
  <c r="E248" i="26"/>
  <c r="D248" i="26"/>
  <c r="C248" i="26"/>
  <c r="B248" i="26"/>
  <c r="G247" i="26"/>
  <c r="F247" i="26"/>
  <c r="E247" i="26"/>
  <c r="D247" i="26"/>
  <c r="C247" i="26"/>
  <c r="B247" i="26"/>
  <c r="G246" i="26"/>
  <c r="F246" i="26"/>
  <c r="D246" i="26"/>
  <c r="C246" i="26"/>
  <c r="B246" i="26"/>
  <c r="G245" i="26"/>
  <c r="E245" i="26"/>
  <c r="D245" i="26"/>
  <c r="C245" i="26"/>
  <c r="G244" i="26"/>
  <c r="F244" i="26"/>
  <c r="E244" i="26"/>
  <c r="D244" i="26"/>
  <c r="C244" i="26"/>
  <c r="B244" i="26"/>
  <c r="G243" i="26"/>
  <c r="F243" i="26"/>
  <c r="E243" i="26"/>
  <c r="D243" i="26"/>
  <c r="C243" i="26"/>
  <c r="B243" i="26"/>
  <c r="G242" i="26"/>
  <c r="F242" i="26"/>
  <c r="E242" i="26"/>
  <c r="D242" i="26"/>
  <c r="C242" i="26"/>
  <c r="B242" i="26"/>
  <c r="G241" i="26"/>
  <c r="F241" i="26"/>
  <c r="E241" i="26"/>
  <c r="D241" i="26"/>
  <c r="C241" i="26"/>
  <c r="B241" i="26"/>
  <c r="G240" i="26"/>
  <c r="F240" i="26"/>
  <c r="E240" i="26"/>
  <c r="D240" i="26"/>
  <c r="C240" i="26"/>
  <c r="B240" i="26"/>
  <c r="H268" i="26"/>
  <c r="H266" i="26"/>
  <c r="H264" i="26"/>
  <c r="H262" i="26"/>
  <c r="H258" i="26"/>
  <c r="H254" i="26"/>
  <c r="H252" i="26"/>
  <c r="H248" i="26"/>
  <c r="H244" i="26"/>
  <c r="H242" i="26"/>
  <c r="H240" i="26"/>
  <c r="H269" i="26"/>
  <c r="H267" i="26"/>
  <c r="H263" i="26"/>
  <c r="H261" i="26"/>
  <c r="H259" i="26"/>
  <c r="H257" i="26"/>
  <c r="H255" i="26"/>
  <c r="H253" i="26"/>
  <c r="H251" i="26"/>
  <c r="H249" i="26"/>
  <c r="H247" i="26"/>
  <c r="H245" i="26"/>
  <c r="H243" i="26"/>
  <c r="H241" i="26"/>
  <c r="H93" i="26"/>
  <c r="H91" i="26"/>
  <c r="H89" i="26"/>
  <c r="H87" i="26"/>
  <c r="H85" i="26"/>
  <c r="H83" i="26"/>
  <c r="H81" i="26"/>
  <c r="H79" i="26"/>
  <c r="H77" i="26"/>
  <c r="H75" i="26"/>
  <c r="H73" i="26"/>
  <c r="H71" i="26"/>
  <c r="H69" i="26"/>
  <c r="H67" i="26"/>
  <c r="H65" i="26"/>
  <c r="H63" i="26"/>
  <c r="H61" i="26"/>
  <c r="H59" i="26"/>
  <c r="H57" i="26"/>
  <c r="H55" i="26"/>
  <c r="H53" i="26"/>
  <c r="A372" i="32"/>
  <c r="A371" i="32"/>
  <c r="A370" i="32"/>
  <c r="A369" i="32"/>
  <c r="F95" i="13"/>
  <c r="J95" i="13" s="1"/>
  <c r="B95" i="13"/>
  <c r="M343" i="32"/>
  <c r="L343" i="32"/>
  <c r="K343" i="32"/>
  <c r="J343" i="32"/>
  <c r="I343" i="32"/>
  <c r="F343" i="32"/>
  <c r="E343" i="32"/>
  <c r="D343" i="32"/>
  <c r="C343" i="32"/>
  <c r="B343" i="32"/>
  <c r="T340" i="32"/>
  <c r="S340" i="32"/>
  <c r="R340" i="32"/>
  <c r="Q340" i="32"/>
  <c r="P340" i="32"/>
  <c r="M340" i="32"/>
  <c r="L340" i="32"/>
  <c r="K340" i="32"/>
  <c r="J340" i="32"/>
  <c r="I340" i="32"/>
  <c r="F340" i="32"/>
  <c r="E340" i="32"/>
  <c r="D340" i="32"/>
  <c r="C340" i="32"/>
  <c r="B340" i="32"/>
  <c r="N339" i="32"/>
  <c r="M339" i="32"/>
  <c r="L339" i="32"/>
  <c r="K339" i="32"/>
  <c r="J339" i="32"/>
  <c r="I339" i="32"/>
  <c r="F339" i="32"/>
  <c r="E339" i="32"/>
  <c r="D339" i="32"/>
  <c r="C339" i="32"/>
  <c r="B339" i="32"/>
  <c r="T338" i="32"/>
  <c r="S338" i="32"/>
  <c r="R338" i="32"/>
  <c r="Q338" i="32"/>
  <c r="P338" i="32"/>
  <c r="M338" i="32"/>
  <c r="L338" i="32"/>
  <c r="K338" i="32"/>
  <c r="J338" i="32"/>
  <c r="I338" i="32"/>
  <c r="F338" i="32"/>
  <c r="E338" i="32"/>
  <c r="D338" i="32"/>
  <c r="C338" i="32"/>
  <c r="B338" i="32"/>
  <c r="M337" i="32"/>
  <c r="L337" i="32"/>
  <c r="K337" i="32"/>
  <c r="J337" i="32"/>
  <c r="I337" i="32"/>
  <c r="F337" i="32"/>
  <c r="E337" i="32"/>
  <c r="D337" i="32"/>
  <c r="C337" i="32"/>
  <c r="B337" i="32"/>
  <c r="T336" i="32"/>
  <c r="S336" i="32"/>
  <c r="R336" i="32"/>
  <c r="Q336" i="32"/>
  <c r="P336" i="32"/>
  <c r="M336" i="32"/>
  <c r="L336" i="32"/>
  <c r="K336" i="32"/>
  <c r="J336" i="32"/>
  <c r="I336" i="32"/>
  <c r="F336" i="32"/>
  <c r="E336" i="32"/>
  <c r="D336" i="32"/>
  <c r="C336" i="32"/>
  <c r="B336" i="32"/>
  <c r="M335" i="32"/>
  <c r="L335" i="32"/>
  <c r="K335" i="32"/>
  <c r="J335" i="32"/>
  <c r="I335" i="32"/>
  <c r="F335" i="32"/>
  <c r="E335" i="32"/>
  <c r="D335" i="32"/>
  <c r="C335" i="32"/>
  <c r="B335" i="32"/>
  <c r="T334" i="32"/>
  <c r="S334" i="32"/>
  <c r="R334" i="32"/>
  <c r="Q334" i="32"/>
  <c r="P334" i="32"/>
  <c r="M334" i="32"/>
  <c r="L334" i="32"/>
  <c r="K334" i="32"/>
  <c r="J334" i="32"/>
  <c r="I334" i="32"/>
  <c r="F334" i="32"/>
  <c r="E334" i="32"/>
  <c r="D334" i="32"/>
  <c r="C334" i="32"/>
  <c r="B334" i="32"/>
  <c r="M333" i="32"/>
  <c r="L333" i="32"/>
  <c r="K333" i="32"/>
  <c r="J333" i="32"/>
  <c r="I333" i="32"/>
  <c r="F333" i="32"/>
  <c r="E333" i="32"/>
  <c r="D333" i="32"/>
  <c r="C333" i="32"/>
  <c r="B333" i="32"/>
  <c r="T332" i="32"/>
  <c r="S332" i="32"/>
  <c r="R332" i="32"/>
  <c r="Q332" i="32"/>
  <c r="P332" i="32"/>
  <c r="M332" i="32"/>
  <c r="L332" i="32"/>
  <c r="K332" i="32"/>
  <c r="J332" i="32"/>
  <c r="I332" i="32"/>
  <c r="F332" i="32"/>
  <c r="E332" i="32"/>
  <c r="D332" i="32"/>
  <c r="C332" i="32"/>
  <c r="B332" i="32"/>
  <c r="M331" i="32"/>
  <c r="L331" i="32"/>
  <c r="K331" i="32"/>
  <c r="J331" i="32"/>
  <c r="I331" i="32"/>
  <c r="F331" i="32"/>
  <c r="E331" i="32"/>
  <c r="D331" i="32"/>
  <c r="C331" i="32"/>
  <c r="B331" i="32"/>
  <c r="T330" i="32"/>
  <c r="S330" i="32"/>
  <c r="R330" i="32"/>
  <c r="Q330" i="32"/>
  <c r="P330" i="32"/>
  <c r="M330" i="32"/>
  <c r="L330" i="32"/>
  <c r="K330" i="32"/>
  <c r="J330" i="32"/>
  <c r="I330" i="32"/>
  <c r="F330" i="32"/>
  <c r="E330" i="32"/>
  <c r="D330" i="32"/>
  <c r="C330" i="32"/>
  <c r="B330" i="32"/>
  <c r="M329" i="32"/>
  <c r="L329" i="32"/>
  <c r="K329" i="32"/>
  <c r="J329" i="32"/>
  <c r="I329" i="32"/>
  <c r="F329" i="32"/>
  <c r="E329" i="32"/>
  <c r="D329" i="32"/>
  <c r="C329" i="32"/>
  <c r="B329" i="32"/>
  <c r="T328" i="32"/>
  <c r="S328" i="32"/>
  <c r="R328" i="32"/>
  <c r="Q328" i="32"/>
  <c r="P328" i="32"/>
  <c r="M328" i="32"/>
  <c r="L328" i="32"/>
  <c r="K328" i="32"/>
  <c r="J328" i="32"/>
  <c r="I328" i="32"/>
  <c r="F328" i="32"/>
  <c r="E328" i="32"/>
  <c r="D328" i="32"/>
  <c r="C328" i="32"/>
  <c r="Q327" i="32"/>
  <c r="P327" i="32"/>
  <c r="M327" i="32"/>
  <c r="L327" i="32"/>
  <c r="F327" i="32"/>
  <c r="E327" i="32"/>
  <c r="C327" i="32"/>
  <c r="B327" i="32"/>
  <c r="T326" i="32"/>
  <c r="S326" i="32"/>
  <c r="R326" i="32"/>
  <c r="Q326" i="32"/>
  <c r="P326" i="32"/>
  <c r="M326" i="32"/>
  <c r="L326" i="32"/>
  <c r="K326" i="32"/>
  <c r="F326" i="32"/>
  <c r="E326" i="32"/>
  <c r="D326" i="32"/>
  <c r="C326" i="32"/>
  <c r="B326" i="32"/>
  <c r="T325" i="32"/>
  <c r="S325" i="32"/>
  <c r="R325" i="32"/>
  <c r="Q325" i="32"/>
  <c r="P325" i="32"/>
  <c r="L325" i="32"/>
  <c r="K325" i="32"/>
  <c r="E325" i="32"/>
  <c r="D325" i="32"/>
  <c r="C325" i="32"/>
  <c r="S324" i="32"/>
  <c r="R324" i="32"/>
  <c r="P324" i="32"/>
  <c r="M324" i="32"/>
  <c r="K324" i="32"/>
  <c r="F324" i="32"/>
  <c r="E324" i="32"/>
  <c r="D324" i="32"/>
  <c r="C324" i="32"/>
  <c r="C95" i="13"/>
  <c r="M321" i="32"/>
  <c r="L321" i="32"/>
  <c r="K321" i="32"/>
  <c r="J321" i="32"/>
  <c r="I321" i="32"/>
  <c r="F321" i="32"/>
  <c r="E321" i="32"/>
  <c r="D321" i="32"/>
  <c r="C321" i="32"/>
  <c r="B321" i="32"/>
  <c r="T318" i="32"/>
  <c r="S318" i="32"/>
  <c r="R318" i="32"/>
  <c r="Q318" i="32"/>
  <c r="P318" i="32"/>
  <c r="M318" i="32"/>
  <c r="L318" i="32"/>
  <c r="K318" i="32"/>
  <c r="J318" i="32"/>
  <c r="I318" i="32"/>
  <c r="F318" i="32"/>
  <c r="E318" i="32"/>
  <c r="D318" i="32"/>
  <c r="C318" i="32"/>
  <c r="B318" i="32"/>
  <c r="N317" i="32"/>
  <c r="M317" i="32"/>
  <c r="L317" i="32"/>
  <c r="K317" i="32"/>
  <c r="J317" i="32"/>
  <c r="I317" i="32"/>
  <c r="F317" i="32"/>
  <c r="E317" i="32"/>
  <c r="D317" i="32"/>
  <c r="C317" i="32"/>
  <c r="B317" i="32"/>
  <c r="T316" i="32"/>
  <c r="S316" i="32"/>
  <c r="R316" i="32"/>
  <c r="Q316" i="32"/>
  <c r="P316" i="32"/>
  <c r="M316" i="32"/>
  <c r="L316" i="32"/>
  <c r="K316" i="32"/>
  <c r="J316" i="32"/>
  <c r="I316" i="32"/>
  <c r="F316" i="32"/>
  <c r="E316" i="32"/>
  <c r="D316" i="32"/>
  <c r="C316" i="32"/>
  <c r="B316" i="32"/>
  <c r="M315" i="32"/>
  <c r="L315" i="32"/>
  <c r="K315" i="32"/>
  <c r="J315" i="32"/>
  <c r="I315" i="32"/>
  <c r="F315" i="32"/>
  <c r="E315" i="32"/>
  <c r="D315" i="32"/>
  <c r="C315" i="32"/>
  <c r="B315" i="32"/>
  <c r="T314" i="32"/>
  <c r="S314" i="32"/>
  <c r="R314" i="32"/>
  <c r="Q314" i="32"/>
  <c r="P314" i="32"/>
  <c r="M314" i="32"/>
  <c r="L314" i="32"/>
  <c r="K314" i="32"/>
  <c r="J314" i="32"/>
  <c r="I314" i="32"/>
  <c r="F314" i="32"/>
  <c r="E314" i="32"/>
  <c r="D314" i="32"/>
  <c r="C314" i="32"/>
  <c r="B314" i="32"/>
  <c r="M313" i="32"/>
  <c r="L313" i="32"/>
  <c r="K313" i="32"/>
  <c r="J313" i="32"/>
  <c r="I313" i="32"/>
  <c r="F313" i="32"/>
  <c r="E313" i="32"/>
  <c r="D313" i="32"/>
  <c r="C313" i="32"/>
  <c r="B313" i="32"/>
  <c r="T312" i="32"/>
  <c r="S312" i="32"/>
  <c r="R312" i="32"/>
  <c r="Q312" i="32"/>
  <c r="P312" i="32"/>
  <c r="M312" i="32"/>
  <c r="L312" i="32"/>
  <c r="K312" i="32"/>
  <c r="J312" i="32"/>
  <c r="I312" i="32"/>
  <c r="F312" i="32"/>
  <c r="E312" i="32"/>
  <c r="D312" i="32"/>
  <c r="C312" i="32"/>
  <c r="B312" i="32"/>
  <c r="M311" i="32"/>
  <c r="L311" i="32"/>
  <c r="K311" i="32"/>
  <c r="J311" i="32"/>
  <c r="I311" i="32"/>
  <c r="F311" i="32"/>
  <c r="E311" i="32"/>
  <c r="D311" i="32"/>
  <c r="C311" i="32"/>
  <c r="B311" i="32"/>
  <c r="T310" i="32"/>
  <c r="S310" i="32"/>
  <c r="R310" i="32"/>
  <c r="Q310" i="32"/>
  <c r="P310" i="32"/>
  <c r="M310" i="32"/>
  <c r="L310" i="32"/>
  <c r="K310" i="32"/>
  <c r="J310" i="32"/>
  <c r="I310" i="32"/>
  <c r="F310" i="32"/>
  <c r="E310" i="32"/>
  <c r="D310" i="32"/>
  <c r="C310" i="32"/>
  <c r="B310" i="32"/>
  <c r="M309" i="32"/>
  <c r="L309" i="32"/>
  <c r="K309" i="32"/>
  <c r="J309" i="32"/>
  <c r="I309" i="32"/>
  <c r="F309" i="32"/>
  <c r="E309" i="32"/>
  <c r="D309" i="32"/>
  <c r="C309" i="32"/>
  <c r="B309" i="32"/>
  <c r="T308" i="32"/>
  <c r="S308" i="32"/>
  <c r="R308" i="32"/>
  <c r="Q308" i="32"/>
  <c r="P308" i="32"/>
  <c r="M308" i="32"/>
  <c r="L308" i="32"/>
  <c r="K308" i="32"/>
  <c r="J308" i="32"/>
  <c r="I308" i="32"/>
  <c r="F308" i="32"/>
  <c r="E308" i="32"/>
  <c r="D308" i="32"/>
  <c r="C308" i="32"/>
  <c r="B308" i="32"/>
  <c r="M307" i="32"/>
  <c r="L307" i="32"/>
  <c r="K307" i="32"/>
  <c r="J307" i="32"/>
  <c r="I307" i="32"/>
  <c r="F307" i="32"/>
  <c r="E307" i="32"/>
  <c r="D307" i="32"/>
  <c r="C307" i="32"/>
  <c r="B307" i="32"/>
  <c r="T306" i="32"/>
  <c r="S306" i="32"/>
  <c r="R306" i="32"/>
  <c r="Q306" i="32"/>
  <c r="P306" i="32"/>
  <c r="M306" i="32"/>
  <c r="K306" i="32"/>
  <c r="J306" i="32"/>
  <c r="I306" i="32"/>
  <c r="F306" i="32"/>
  <c r="D306" i="32"/>
  <c r="C306" i="32"/>
  <c r="T305" i="32"/>
  <c r="S305" i="32"/>
  <c r="R305" i="32"/>
  <c r="Q305" i="32"/>
  <c r="P305" i="32"/>
  <c r="M305" i="32"/>
  <c r="L305" i="32"/>
  <c r="K305" i="32"/>
  <c r="F305" i="32"/>
  <c r="E305" i="32"/>
  <c r="D305" i="32"/>
  <c r="C305" i="32"/>
  <c r="B305" i="32"/>
  <c r="T304" i="32"/>
  <c r="S304" i="32"/>
  <c r="R304" i="32"/>
  <c r="Q304" i="32"/>
  <c r="P304" i="32"/>
  <c r="M304" i="32"/>
  <c r="L304" i="32"/>
  <c r="K304" i="32"/>
  <c r="F304" i="32"/>
  <c r="E304" i="32"/>
  <c r="D304" i="32"/>
  <c r="C304" i="32"/>
  <c r="B304" i="32"/>
  <c r="S303" i="32"/>
  <c r="R303" i="32"/>
  <c r="Q303" i="32"/>
  <c r="P303" i="32"/>
  <c r="L303" i="32"/>
  <c r="K303" i="32"/>
  <c r="E303" i="32"/>
  <c r="D303" i="32"/>
  <c r="C303" i="32"/>
  <c r="S302" i="32"/>
  <c r="R302" i="32"/>
  <c r="Q302" i="32"/>
  <c r="L302" i="32"/>
  <c r="K302" i="32"/>
  <c r="E302" i="32"/>
  <c r="D302" i="32"/>
  <c r="C302" i="32"/>
  <c r="M296" i="32"/>
  <c r="L296" i="32"/>
  <c r="K296" i="32"/>
  <c r="J296" i="32"/>
  <c r="I296" i="32"/>
  <c r="F296" i="32"/>
  <c r="E296" i="32"/>
  <c r="D296" i="32"/>
  <c r="C296" i="32"/>
  <c r="B296" i="32"/>
  <c r="T293" i="32"/>
  <c r="S293" i="32"/>
  <c r="R293" i="32"/>
  <c r="Q293" i="32"/>
  <c r="P293" i="32"/>
  <c r="M293" i="32"/>
  <c r="L293" i="32"/>
  <c r="K293" i="32"/>
  <c r="J293" i="32"/>
  <c r="I293" i="32"/>
  <c r="F293" i="32"/>
  <c r="E293" i="32"/>
  <c r="D293" i="32"/>
  <c r="C293" i="32"/>
  <c r="B293" i="32"/>
  <c r="N292" i="32"/>
  <c r="M292" i="32"/>
  <c r="L292" i="32"/>
  <c r="K292" i="32"/>
  <c r="J292" i="32"/>
  <c r="I292" i="32"/>
  <c r="F292" i="32"/>
  <c r="E292" i="32"/>
  <c r="D292" i="32"/>
  <c r="C292" i="32"/>
  <c r="B292" i="32"/>
  <c r="T291" i="32"/>
  <c r="S291" i="32"/>
  <c r="R291" i="32"/>
  <c r="Q291" i="32"/>
  <c r="P291" i="32"/>
  <c r="M291" i="32"/>
  <c r="L291" i="32"/>
  <c r="K291" i="32"/>
  <c r="J291" i="32"/>
  <c r="I291" i="32"/>
  <c r="F291" i="32"/>
  <c r="E291" i="32"/>
  <c r="D291" i="32"/>
  <c r="C291" i="32"/>
  <c r="B291" i="32"/>
  <c r="M290" i="32"/>
  <c r="L290" i="32"/>
  <c r="K290" i="32"/>
  <c r="J290" i="32"/>
  <c r="I290" i="32"/>
  <c r="F290" i="32"/>
  <c r="E290" i="32"/>
  <c r="D290" i="32"/>
  <c r="C290" i="32"/>
  <c r="B290" i="32"/>
  <c r="T289" i="32"/>
  <c r="S289" i="32"/>
  <c r="R289" i="32"/>
  <c r="Q289" i="32"/>
  <c r="P289" i="32"/>
  <c r="M289" i="32"/>
  <c r="L289" i="32"/>
  <c r="K289" i="32"/>
  <c r="J289" i="32"/>
  <c r="I289" i="32"/>
  <c r="F289" i="32"/>
  <c r="E289" i="32"/>
  <c r="D289" i="32"/>
  <c r="C289" i="32"/>
  <c r="B289" i="32"/>
  <c r="M288" i="32"/>
  <c r="L288" i="32"/>
  <c r="K288" i="32"/>
  <c r="J288" i="32"/>
  <c r="I288" i="32"/>
  <c r="F288" i="32"/>
  <c r="E288" i="32"/>
  <c r="D288" i="32"/>
  <c r="C288" i="32"/>
  <c r="B288" i="32"/>
  <c r="T287" i="32"/>
  <c r="S287" i="32"/>
  <c r="R287" i="32"/>
  <c r="Q287" i="32"/>
  <c r="P287" i="32"/>
  <c r="M287" i="32"/>
  <c r="L287" i="32"/>
  <c r="K287" i="32"/>
  <c r="J287" i="32"/>
  <c r="I287" i="32"/>
  <c r="F287" i="32"/>
  <c r="E287" i="32"/>
  <c r="D287" i="32"/>
  <c r="C287" i="32"/>
  <c r="B287" i="32"/>
  <c r="M286" i="32"/>
  <c r="L286" i="32"/>
  <c r="K286" i="32"/>
  <c r="J286" i="32"/>
  <c r="I286" i="32"/>
  <c r="F286" i="32"/>
  <c r="E286" i="32"/>
  <c r="D286" i="32"/>
  <c r="C286" i="32"/>
  <c r="B286" i="32"/>
  <c r="T285" i="32"/>
  <c r="S285" i="32"/>
  <c r="R285" i="32"/>
  <c r="Q285" i="32"/>
  <c r="P285" i="32"/>
  <c r="M285" i="32"/>
  <c r="L285" i="32"/>
  <c r="K285" i="32"/>
  <c r="J285" i="32"/>
  <c r="I285" i="32"/>
  <c r="F285" i="32"/>
  <c r="E285" i="32"/>
  <c r="D285" i="32"/>
  <c r="C285" i="32"/>
  <c r="B285" i="32"/>
  <c r="M284" i="32"/>
  <c r="L284" i="32"/>
  <c r="K284" i="32"/>
  <c r="J284" i="32"/>
  <c r="I284" i="32"/>
  <c r="F284" i="32"/>
  <c r="E284" i="32"/>
  <c r="D284" i="32"/>
  <c r="C284" i="32"/>
  <c r="B284" i="32"/>
  <c r="T283" i="32"/>
  <c r="S283" i="32"/>
  <c r="R283" i="32"/>
  <c r="Q283" i="32"/>
  <c r="P283" i="32"/>
  <c r="M283" i="32"/>
  <c r="L283" i="32"/>
  <c r="K283" i="32"/>
  <c r="J283" i="32"/>
  <c r="I283" i="32"/>
  <c r="F283" i="32"/>
  <c r="E283" i="32"/>
  <c r="D283" i="32"/>
  <c r="C283" i="32"/>
  <c r="B283" i="32"/>
  <c r="M282" i="32"/>
  <c r="L282" i="32"/>
  <c r="K282" i="32"/>
  <c r="J282" i="32"/>
  <c r="I282" i="32"/>
  <c r="F282" i="32"/>
  <c r="E282" i="32"/>
  <c r="D282" i="32"/>
  <c r="C282" i="32"/>
  <c r="B282" i="32"/>
  <c r="T281" i="32"/>
  <c r="S281" i="32"/>
  <c r="R281" i="32"/>
  <c r="Q281" i="32"/>
  <c r="P281" i="32"/>
  <c r="M281" i="32"/>
  <c r="L281" i="32"/>
  <c r="K281" i="32"/>
  <c r="J281" i="32"/>
  <c r="I281" i="32"/>
  <c r="F281" i="32"/>
  <c r="E281" i="32"/>
  <c r="D281" i="32"/>
  <c r="C281" i="32"/>
  <c r="T280" i="32"/>
  <c r="S280" i="32"/>
  <c r="R280" i="32"/>
  <c r="Q280" i="32"/>
  <c r="P280" i="32"/>
  <c r="M280" i="32"/>
  <c r="L280" i="32"/>
  <c r="K280" i="32"/>
  <c r="E280" i="32"/>
  <c r="D280" i="32"/>
  <c r="C280" i="32"/>
  <c r="B280" i="32"/>
  <c r="T279" i="32"/>
  <c r="S279" i="32"/>
  <c r="R279" i="32"/>
  <c r="Q279" i="32"/>
  <c r="P279" i="32"/>
  <c r="M279" i="32"/>
  <c r="L279" i="32"/>
  <c r="K279" i="32"/>
  <c r="F279" i="32"/>
  <c r="E279" i="32"/>
  <c r="D279" i="32"/>
  <c r="C279" i="32"/>
  <c r="B279" i="32"/>
  <c r="S278" i="32"/>
  <c r="R278" i="32"/>
  <c r="P278" i="32"/>
  <c r="L278" i="32"/>
  <c r="K278" i="32"/>
  <c r="E278" i="32"/>
  <c r="D278" i="32"/>
  <c r="C278" i="32"/>
  <c r="S277" i="32"/>
  <c r="R277" i="32"/>
  <c r="P277" i="32"/>
  <c r="L277" i="32"/>
  <c r="K277" i="32"/>
  <c r="E277" i="32"/>
  <c r="D277" i="32"/>
  <c r="C277" i="32"/>
  <c r="M238" i="32"/>
  <c r="M368" i="32" s="1"/>
  <c r="L238" i="32"/>
  <c r="L368" i="32" s="1"/>
  <c r="K238" i="32"/>
  <c r="K368" i="32" s="1"/>
  <c r="J238" i="32"/>
  <c r="J368" i="32" s="1"/>
  <c r="I238" i="32"/>
  <c r="I368" i="32" s="1"/>
  <c r="F238" i="32"/>
  <c r="F368" i="32" s="1"/>
  <c r="E238" i="32"/>
  <c r="E368" i="32" s="1"/>
  <c r="D238" i="32"/>
  <c r="D368" i="32" s="1"/>
  <c r="C238" i="32"/>
  <c r="C368" i="32" s="1"/>
  <c r="B238" i="32"/>
  <c r="B368" i="32" s="1"/>
  <c r="T235" i="32"/>
  <c r="T365" i="32" s="1"/>
  <c r="S235" i="32"/>
  <c r="S365" i="32" s="1"/>
  <c r="R235" i="32"/>
  <c r="R365" i="32" s="1"/>
  <c r="Q235" i="32"/>
  <c r="Q365" i="32" s="1"/>
  <c r="P235" i="32"/>
  <c r="P365" i="32" s="1"/>
  <c r="M235" i="32"/>
  <c r="M365" i="32" s="1"/>
  <c r="L235" i="32"/>
  <c r="L365" i="32" s="1"/>
  <c r="K235" i="32"/>
  <c r="K365" i="32" s="1"/>
  <c r="J235" i="32"/>
  <c r="J365" i="32" s="1"/>
  <c r="I235" i="32"/>
  <c r="I365" i="32" s="1"/>
  <c r="F235" i="32"/>
  <c r="F365" i="32" s="1"/>
  <c r="E235" i="32"/>
  <c r="E365" i="32" s="1"/>
  <c r="D235" i="32"/>
  <c r="D365" i="32" s="1"/>
  <c r="C235" i="32"/>
  <c r="C365" i="32" s="1"/>
  <c r="B235" i="32"/>
  <c r="B365" i="32" s="1"/>
  <c r="N234" i="32"/>
  <c r="N364" i="32" s="1"/>
  <c r="M234" i="32"/>
  <c r="M364" i="32" s="1"/>
  <c r="L234" i="32"/>
  <c r="L364" i="32" s="1"/>
  <c r="K234" i="32"/>
  <c r="K364" i="32" s="1"/>
  <c r="J234" i="32"/>
  <c r="J364" i="32" s="1"/>
  <c r="I234" i="32"/>
  <c r="I364" i="32" s="1"/>
  <c r="F234" i="32"/>
  <c r="F364" i="32" s="1"/>
  <c r="E234" i="32"/>
  <c r="E364" i="32" s="1"/>
  <c r="D234" i="32"/>
  <c r="D364" i="32" s="1"/>
  <c r="C234" i="32"/>
  <c r="C364" i="32" s="1"/>
  <c r="B234" i="32"/>
  <c r="B364" i="32" s="1"/>
  <c r="T233" i="32"/>
  <c r="T363" i="32" s="1"/>
  <c r="S233" i="32"/>
  <c r="S363" i="32" s="1"/>
  <c r="R233" i="32"/>
  <c r="R363" i="32" s="1"/>
  <c r="Q233" i="32"/>
  <c r="Q363" i="32" s="1"/>
  <c r="P233" i="32"/>
  <c r="P363" i="32" s="1"/>
  <c r="M233" i="32"/>
  <c r="M363" i="32" s="1"/>
  <c r="L233" i="32"/>
  <c r="L363" i="32" s="1"/>
  <c r="K233" i="32"/>
  <c r="K363" i="32" s="1"/>
  <c r="J233" i="32"/>
  <c r="J363" i="32" s="1"/>
  <c r="I233" i="32"/>
  <c r="I363" i="32" s="1"/>
  <c r="F233" i="32"/>
  <c r="F363" i="32" s="1"/>
  <c r="E233" i="32"/>
  <c r="E363" i="32" s="1"/>
  <c r="D233" i="32"/>
  <c r="D363" i="32" s="1"/>
  <c r="C233" i="32"/>
  <c r="C363" i="32" s="1"/>
  <c r="B233" i="32"/>
  <c r="B363" i="32" s="1"/>
  <c r="M232" i="32"/>
  <c r="M362" i="32" s="1"/>
  <c r="L232" i="32"/>
  <c r="L362" i="32" s="1"/>
  <c r="K232" i="32"/>
  <c r="K362" i="32" s="1"/>
  <c r="J232" i="32"/>
  <c r="J362" i="32" s="1"/>
  <c r="I232" i="32"/>
  <c r="I362" i="32" s="1"/>
  <c r="F232" i="32"/>
  <c r="F362" i="32" s="1"/>
  <c r="E232" i="32"/>
  <c r="E362" i="32" s="1"/>
  <c r="D232" i="32"/>
  <c r="D362" i="32" s="1"/>
  <c r="C232" i="32"/>
  <c r="C362" i="32" s="1"/>
  <c r="B232" i="32"/>
  <c r="B362" i="32" s="1"/>
  <c r="T231" i="32"/>
  <c r="T361" i="32" s="1"/>
  <c r="S231" i="32"/>
  <c r="S361" i="32" s="1"/>
  <c r="R231" i="32"/>
  <c r="R361" i="32" s="1"/>
  <c r="Q231" i="32"/>
  <c r="Q361" i="32" s="1"/>
  <c r="P231" i="32"/>
  <c r="P361" i="32" s="1"/>
  <c r="M231" i="32"/>
  <c r="M361" i="32" s="1"/>
  <c r="L231" i="32"/>
  <c r="L361" i="32" s="1"/>
  <c r="K231" i="32"/>
  <c r="K361" i="32" s="1"/>
  <c r="J231" i="32"/>
  <c r="J361" i="32" s="1"/>
  <c r="I231" i="32"/>
  <c r="I361" i="32" s="1"/>
  <c r="F231" i="32"/>
  <c r="F361" i="32" s="1"/>
  <c r="E231" i="32"/>
  <c r="E361" i="32" s="1"/>
  <c r="D231" i="32"/>
  <c r="D361" i="32" s="1"/>
  <c r="C231" i="32"/>
  <c r="C361" i="32" s="1"/>
  <c r="B231" i="32"/>
  <c r="B361" i="32" s="1"/>
  <c r="M230" i="32"/>
  <c r="M360" i="32" s="1"/>
  <c r="L230" i="32"/>
  <c r="L360" i="32" s="1"/>
  <c r="K230" i="32"/>
  <c r="K360" i="32" s="1"/>
  <c r="J230" i="32"/>
  <c r="J360" i="32" s="1"/>
  <c r="I230" i="32"/>
  <c r="I360" i="32" s="1"/>
  <c r="F230" i="32"/>
  <c r="F360" i="32" s="1"/>
  <c r="E230" i="32"/>
  <c r="E360" i="32" s="1"/>
  <c r="D230" i="32"/>
  <c r="D360" i="32" s="1"/>
  <c r="C230" i="32"/>
  <c r="C360" i="32" s="1"/>
  <c r="B230" i="32"/>
  <c r="B360" i="32" s="1"/>
  <c r="T229" i="32"/>
  <c r="T359" i="32" s="1"/>
  <c r="S229" i="32"/>
  <c r="S359" i="32" s="1"/>
  <c r="R229" i="32"/>
  <c r="R359" i="32" s="1"/>
  <c r="Q229" i="32"/>
  <c r="Q359" i="32" s="1"/>
  <c r="P229" i="32"/>
  <c r="P359" i="32" s="1"/>
  <c r="M229" i="32"/>
  <c r="M359" i="32" s="1"/>
  <c r="L229" i="32"/>
  <c r="L359" i="32" s="1"/>
  <c r="K229" i="32"/>
  <c r="K359" i="32" s="1"/>
  <c r="J229" i="32"/>
  <c r="J359" i="32" s="1"/>
  <c r="I229" i="32"/>
  <c r="I359" i="32" s="1"/>
  <c r="F229" i="32"/>
  <c r="F359" i="32" s="1"/>
  <c r="E229" i="32"/>
  <c r="E359" i="32" s="1"/>
  <c r="D229" i="32"/>
  <c r="D359" i="32" s="1"/>
  <c r="C229" i="32"/>
  <c r="C359" i="32" s="1"/>
  <c r="B229" i="32"/>
  <c r="B359" i="32" s="1"/>
  <c r="M228" i="32"/>
  <c r="M358" i="32" s="1"/>
  <c r="L228" i="32"/>
  <c r="L358" i="32" s="1"/>
  <c r="K228" i="32"/>
  <c r="K358" i="32" s="1"/>
  <c r="J228" i="32"/>
  <c r="J358" i="32" s="1"/>
  <c r="I228" i="32"/>
  <c r="I358" i="32" s="1"/>
  <c r="F228" i="32"/>
  <c r="F358" i="32" s="1"/>
  <c r="E228" i="32"/>
  <c r="E358" i="32" s="1"/>
  <c r="D228" i="32"/>
  <c r="D358" i="32" s="1"/>
  <c r="C228" i="32"/>
  <c r="C358" i="32" s="1"/>
  <c r="B228" i="32"/>
  <c r="B358" i="32" s="1"/>
  <c r="T227" i="32"/>
  <c r="T357" i="32" s="1"/>
  <c r="S227" i="32"/>
  <c r="S357" i="32" s="1"/>
  <c r="R227" i="32"/>
  <c r="R357" i="32" s="1"/>
  <c r="Q227" i="32"/>
  <c r="Q357" i="32" s="1"/>
  <c r="P227" i="32"/>
  <c r="P357" i="32" s="1"/>
  <c r="M227" i="32"/>
  <c r="M357" i="32" s="1"/>
  <c r="L227" i="32"/>
  <c r="L357" i="32" s="1"/>
  <c r="K227" i="32"/>
  <c r="K357" i="32" s="1"/>
  <c r="J227" i="32"/>
  <c r="J357" i="32" s="1"/>
  <c r="I227" i="32"/>
  <c r="I357" i="32" s="1"/>
  <c r="F227" i="32"/>
  <c r="F357" i="32" s="1"/>
  <c r="E227" i="32"/>
  <c r="E357" i="32" s="1"/>
  <c r="D227" i="32"/>
  <c r="D357" i="32" s="1"/>
  <c r="C227" i="32"/>
  <c r="C357" i="32" s="1"/>
  <c r="B227" i="32"/>
  <c r="B357" i="32" s="1"/>
  <c r="M226" i="32"/>
  <c r="M356" i="32" s="1"/>
  <c r="L226" i="32"/>
  <c r="L356" i="32" s="1"/>
  <c r="K226" i="32"/>
  <c r="K356" i="32" s="1"/>
  <c r="J226" i="32"/>
  <c r="J356" i="32" s="1"/>
  <c r="I226" i="32"/>
  <c r="I356" i="32" s="1"/>
  <c r="F226" i="32"/>
  <c r="F356" i="32" s="1"/>
  <c r="E226" i="32"/>
  <c r="E356" i="32" s="1"/>
  <c r="D226" i="32"/>
  <c r="D356" i="32" s="1"/>
  <c r="C226" i="32"/>
  <c r="C356" i="32" s="1"/>
  <c r="B226" i="32"/>
  <c r="B356" i="32" s="1"/>
  <c r="T225" i="32"/>
  <c r="T355" i="32" s="1"/>
  <c r="S225" i="32"/>
  <c r="S355" i="32" s="1"/>
  <c r="R225" i="32"/>
  <c r="R355" i="32" s="1"/>
  <c r="Q225" i="32"/>
  <c r="Q355" i="32" s="1"/>
  <c r="P225" i="32"/>
  <c r="P355" i="32" s="1"/>
  <c r="M225" i="32"/>
  <c r="M355" i="32" s="1"/>
  <c r="L225" i="32"/>
  <c r="L355" i="32" s="1"/>
  <c r="K225" i="32"/>
  <c r="K355" i="32" s="1"/>
  <c r="J225" i="32"/>
  <c r="J355" i="32" s="1"/>
  <c r="I225" i="32"/>
  <c r="I355" i="32" s="1"/>
  <c r="F225" i="32"/>
  <c r="F355" i="32" s="1"/>
  <c r="E225" i="32"/>
  <c r="E355" i="32" s="1"/>
  <c r="D225" i="32"/>
  <c r="D355" i="32" s="1"/>
  <c r="C225" i="32"/>
  <c r="C355" i="32" s="1"/>
  <c r="B225" i="32"/>
  <c r="B355" i="32" s="1"/>
  <c r="M224" i="32"/>
  <c r="M354" i="32" s="1"/>
  <c r="L224" i="32"/>
  <c r="L354" i="32" s="1"/>
  <c r="K224" i="32"/>
  <c r="K354" i="32" s="1"/>
  <c r="J224" i="32"/>
  <c r="J354" i="32" s="1"/>
  <c r="I224" i="32"/>
  <c r="I354" i="32" s="1"/>
  <c r="F224" i="32"/>
  <c r="F354" i="32" s="1"/>
  <c r="E224" i="32"/>
  <c r="E354" i="32" s="1"/>
  <c r="D224" i="32"/>
  <c r="D354" i="32" s="1"/>
  <c r="C224" i="32"/>
  <c r="C354" i="32" s="1"/>
  <c r="B224" i="32"/>
  <c r="B354" i="32" s="1"/>
  <c r="T223" i="32"/>
  <c r="S223" i="32"/>
  <c r="R223" i="32"/>
  <c r="Q223" i="32"/>
  <c r="P223" i="32"/>
  <c r="M223" i="32"/>
  <c r="L223" i="32"/>
  <c r="K223" i="32"/>
  <c r="J223" i="32"/>
  <c r="I223" i="32"/>
  <c r="F223" i="32"/>
  <c r="E223" i="32"/>
  <c r="D223" i="32"/>
  <c r="C223" i="32"/>
  <c r="M222" i="32"/>
  <c r="L222" i="32"/>
  <c r="K222" i="32"/>
  <c r="J222" i="32"/>
  <c r="I222" i="32"/>
  <c r="F222" i="32"/>
  <c r="E222" i="32"/>
  <c r="D222" i="32"/>
  <c r="C222" i="32"/>
  <c r="B222" i="32"/>
  <c r="T221" i="32"/>
  <c r="S221" i="32"/>
  <c r="R221" i="32"/>
  <c r="Q221" i="32"/>
  <c r="P221" i="32"/>
  <c r="M221" i="32"/>
  <c r="L221" i="32"/>
  <c r="K221" i="32"/>
  <c r="J221" i="32"/>
  <c r="I221" i="32"/>
  <c r="F221" i="32"/>
  <c r="E221" i="32"/>
  <c r="D221" i="32"/>
  <c r="C221" i="32"/>
  <c r="B221" i="32"/>
  <c r="M220" i="32"/>
  <c r="L220" i="32"/>
  <c r="K220" i="32"/>
  <c r="J220" i="32"/>
  <c r="I220" i="32"/>
  <c r="F220" i="32"/>
  <c r="E220" i="32"/>
  <c r="D220" i="32"/>
  <c r="C220" i="32"/>
  <c r="B220" i="32"/>
  <c r="T219" i="32"/>
  <c r="S219" i="32"/>
  <c r="R219" i="32"/>
  <c r="Q219" i="32"/>
  <c r="P219" i="32"/>
  <c r="M219" i="32"/>
  <c r="K219" i="32"/>
  <c r="J219" i="32"/>
  <c r="J353" i="32" s="1"/>
  <c r="I219" i="32"/>
  <c r="I353" i="32" s="1"/>
  <c r="F219" i="32"/>
  <c r="D219" i="32"/>
  <c r="C219" i="32"/>
  <c r="B219" i="32"/>
  <c r="M218" i="32"/>
  <c r="L218" i="32"/>
  <c r="K218" i="32"/>
  <c r="J218" i="32"/>
  <c r="I218" i="32"/>
  <c r="F218" i="32"/>
  <c r="E218" i="32"/>
  <c r="D218" i="32"/>
  <c r="C218" i="32"/>
  <c r="B218" i="32"/>
  <c r="T217" i="32"/>
  <c r="S217" i="32"/>
  <c r="R217" i="32"/>
  <c r="Q217" i="32"/>
  <c r="P217" i="32"/>
  <c r="M217" i="32"/>
  <c r="L217" i="32"/>
  <c r="K217" i="32"/>
  <c r="J217" i="32"/>
  <c r="I217" i="32"/>
  <c r="F217" i="32"/>
  <c r="E217" i="32"/>
  <c r="D217" i="32"/>
  <c r="C217" i="32"/>
  <c r="B217" i="32"/>
  <c r="N216" i="32"/>
  <c r="M216" i="32"/>
  <c r="L216" i="32"/>
  <c r="K216" i="32"/>
  <c r="J216" i="32"/>
  <c r="I216" i="32"/>
  <c r="F216" i="32"/>
  <c r="E216" i="32"/>
  <c r="D216" i="32"/>
  <c r="C216" i="32"/>
  <c r="B216" i="32"/>
  <c r="T215" i="32"/>
  <c r="S215" i="32"/>
  <c r="R215" i="32"/>
  <c r="Q215" i="32"/>
  <c r="P215" i="32"/>
  <c r="N215" i="32"/>
  <c r="M215" i="32"/>
  <c r="L215" i="32"/>
  <c r="K215" i="32"/>
  <c r="J215" i="32"/>
  <c r="I215" i="32"/>
  <c r="F215" i="32"/>
  <c r="E215" i="32"/>
  <c r="D215" i="32"/>
  <c r="C215" i="32"/>
  <c r="B215" i="32"/>
  <c r="M214" i="32"/>
  <c r="L214" i="32"/>
  <c r="K214" i="32"/>
  <c r="J214" i="32"/>
  <c r="I214" i="32"/>
  <c r="G214" i="32"/>
  <c r="F214" i="32"/>
  <c r="E214" i="32"/>
  <c r="D214" i="32"/>
  <c r="C214" i="32"/>
  <c r="B214" i="32"/>
  <c r="T213" i="32"/>
  <c r="S213" i="32"/>
  <c r="R213" i="32"/>
  <c r="Q213" i="32"/>
  <c r="P213" i="32"/>
  <c r="M213" i="32"/>
  <c r="L213" i="32"/>
  <c r="K213" i="32"/>
  <c r="J213" i="32"/>
  <c r="I213" i="32"/>
  <c r="F213" i="32"/>
  <c r="E213" i="32"/>
  <c r="D213" i="32"/>
  <c r="C213" i="32"/>
  <c r="B213" i="32"/>
  <c r="N212" i="32"/>
  <c r="M212" i="32"/>
  <c r="L212" i="32"/>
  <c r="K212" i="32"/>
  <c r="J212" i="32"/>
  <c r="I212" i="32"/>
  <c r="G212" i="32"/>
  <c r="F212" i="32"/>
  <c r="E212" i="32"/>
  <c r="D212" i="32"/>
  <c r="C212" i="32"/>
  <c r="B212" i="32"/>
  <c r="T211" i="32"/>
  <c r="R211" i="32"/>
  <c r="Q211" i="32"/>
  <c r="P211" i="32"/>
  <c r="M211" i="32"/>
  <c r="L211" i="32"/>
  <c r="K211" i="32"/>
  <c r="J211" i="32"/>
  <c r="I211" i="32"/>
  <c r="F211" i="32"/>
  <c r="E211" i="32"/>
  <c r="D211" i="32"/>
  <c r="C211" i="32"/>
  <c r="B211" i="32"/>
  <c r="M210" i="32"/>
  <c r="L210" i="32"/>
  <c r="K210" i="32"/>
  <c r="J210" i="32"/>
  <c r="I210" i="32"/>
  <c r="F210" i="32"/>
  <c r="E210" i="32"/>
  <c r="D210" i="32"/>
  <c r="C210" i="32"/>
  <c r="B210" i="32"/>
  <c r="T209" i="32"/>
  <c r="R209" i="32"/>
  <c r="Q209" i="32"/>
  <c r="P209" i="32"/>
  <c r="M209" i="32"/>
  <c r="L209" i="32"/>
  <c r="K209" i="32"/>
  <c r="J209" i="32"/>
  <c r="I209" i="32"/>
  <c r="F209" i="32"/>
  <c r="E209" i="32"/>
  <c r="D209" i="32"/>
  <c r="B209" i="32"/>
  <c r="L208" i="32"/>
  <c r="K208" i="32"/>
  <c r="J208" i="32"/>
  <c r="I208" i="32"/>
  <c r="E208" i="32"/>
  <c r="D208" i="32"/>
  <c r="C208" i="32"/>
  <c r="T207" i="32"/>
  <c r="S207" i="32"/>
  <c r="R207" i="32"/>
  <c r="Q207" i="32"/>
  <c r="P207" i="32"/>
  <c r="M207" i="32"/>
  <c r="K207" i="32"/>
  <c r="J207" i="32"/>
  <c r="I207" i="32"/>
  <c r="F207" i="32"/>
  <c r="D207" i="32"/>
  <c r="C207" i="32"/>
  <c r="B207" i="32"/>
  <c r="M206" i="32"/>
  <c r="L206" i="32"/>
  <c r="K206" i="32"/>
  <c r="J206" i="32"/>
  <c r="I206" i="32"/>
  <c r="F206" i="32"/>
  <c r="E206" i="32"/>
  <c r="D206" i="32"/>
  <c r="C206" i="32"/>
  <c r="T205" i="32"/>
  <c r="S205" i="32"/>
  <c r="Q205" i="32"/>
  <c r="Q350" i="32" s="1"/>
  <c r="P205" i="32"/>
  <c r="M205" i="32"/>
  <c r="L205" i="32"/>
  <c r="J205" i="32"/>
  <c r="I205" i="32"/>
  <c r="F205" i="32"/>
  <c r="E205" i="32"/>
  <c r="D205" i="32"/>
  <c r="C205" i="32"/>
  <c r="M204" i="32"/>
  <c r="L204" i="32"/>
  <c r="K204" i="32"/>
  <c r="J204" i="32"/>
  <c r="I204" i="32"/>
  <c r="F204" i="32"/>
  <c r="E204" i="32"/>
  <c r="D204" i="32"/>
  <c r="C204" i="32"/>
  <c r="T203" i="32"/>
  <c r="S203" i="32"/>
  <c r="R203" i="32"/>
  <c r="Q203" i="32"/>
  <c r="M203" i="32"/>
  <c r="L203" i="32"/>
  <c r="K203" i="32"/>
  <c r="J203" i="32"/>
  <c r="I203" i="32"/>
  <c r="F203" i="32"/>
  <c r="E203" i="32"/>
  <c r="D203" i="32"/>
  <c r="C203" i="32"/>
  <c r="M202" i="32"/>
  <c r="L202" i="32"/>
  <c r="K202" i="32"/>
  <c r="J202" i="32"/>
  <c r="I202" i="32"/>
  <c r="F202" i="32"/>
  <c r="E202" i="32"/>
  <c r="D202" i="32"/>
  <c r="C202" i="32"/>
  <c r="B202" i="32"/>
  <c r="T201" i="32"/>
  <c r="S201" i="32"/>
  <c r="R201" i="32"/>
  <c r="Q201" i="32"/>
  <c r="P201" i="32"/>
  <c r="M201" i="32"/>
  <c r="K201" i="32"/>
  <c r="J201" i="32"/>
  <c r="I201" i="32"/>
  <c r="F201" i="32"/>
  <c r="E201" i="32"/>
  <c r="D201" i="32"/>
  <c r="C201" i="32"/>
  <c r="M200" i="32"/>
  <c r="L200" i="32"/>
  <c r="K200" i="32"/>
  <c r="J200" i="32"/>
  <c r="I200" i="32"/>
  <c r="F200" i="32"/>
  <c r="E200" i="32"/>
  <c r="D200" i="32"/>
  <c r="C200" i="32"/>
  <c r="T199" i="32"/>
  <c r="S199" i="32"/>
  <c r="R199" i="32"/>
  <c r="Q199" i="32"/>
  <c r="M199" i="32"/>
  <c r="K199" i="32"/>
  <c r="J199" i="32"/>
  <c r="I199" i="32"/>
  <c r="F199" i="32"/>
  <c r="E199" i="32"/>
  <c r="D199" i="32"/>
  <c r="C199" i="32"/>
  <c r="M198" i="32"/>
  <c r="L198" i="32"/>
  <c r="K198" i="32"/>
  <c r="J198" i="32"/>
  <c r="I198" i="32"/>
  <c r="F198" i="32"/>
  <c r="E198" i="32"/>
  <c r="D198" i="32"/>
  <c r="C198" i="32"/>
  <c r="S197" i="32"/>
  <c r="R197" i="32"/>
  <c r="Q197" i="32"/>
  <c r="M197" i="32"/>
  <c r="L197" i="32"/>
  <c r="J197" i="32"/>
  <c r="I197" i="32"/>
  <c r="F197" i="32"/>
  <c r="E197" i="32"/>
  <c r="D197" i="32"/>
  <c r="C197" i="32"/>
  <c r="L196" i="32"/>
  <c r="K196" i="32"/>
  <c r="J196" i="32"/>
  <c r="I196" i="32"/>
  <c r="E196" i="32"/>
  <c r="D196" i="32"/>
  <c r="C196" i="32"/>
  <c r="B196" i="32"/>
  <c r="S195" i="32"/>
  <c r="R195" i="32"/>
  <c r="Q195" i="32"/>
  <c r="P195" i="32"/>
  <c r="L195" i="32"/>
  <c r="J195" i="32"/>
  <c r="I195" i="32"/>
  <c r="E195" i="32"/>
  <c r="D195" i="32"/>
  <c r="C195" i="32"/>
  <c r="L194" i="32"/>
  <c r="K194" i="32"/>
  <c r="I194" i="32"/>
  <c r="E194" i="32"/>
  <c r="D194" i="32"/>
  <c r="C194" i="32"/>
  <c r="N191" i="32"/>
  <c r="G191" i="32"/>
  <c r="U188" i="32"/>
  <c r="N188" i="32"/>
  <c r="N340" i="32" s="1"/>
  <c r="B70" i="13" s="1"/>
  <c r="G188" i="32"/>
  <c r="G340" i="32" s="1"/>
  <c r="B44" i="13" s="1"/>
  <c r="G187" i="32"/>
  <c r="U186" i="32"/>
  <c r="N186" i="32"/>
  <c r="G186" i="32"/>
  <c r="G338" i="32" s="1"/>
  <c r="B42" i="13" s="1"/>
  <c r="N185" i="32"/>
  <c r="G185" i="32"/>
  <c r="U184" i="32"/>
  <c r="N184" i="32"/>
  <c r="G184" i="32"/>
  <c r="N183" i="32"/>
  <c r="G183" i="32"/>
  <c r="U182" i="32"/>
  <c r="U334" i="32" s="1"/>
  <c r="B86" i="13" s="1"/>
  <c r="N182" i="32"/>
  <c r="G182" i="32"/>
  <c r="N181" i="32"/>
  <c r="G181" i="32"/>
  <c r="U180" i="32"/>
  <c r="N180" i="32"/>
  <c r="G180" i="32"/>
  <c r="N179" i="32"/>
  <c r="N331" i="32" s="1"/>
  <c r="B61" i="13" s="1"/>
  <c r="G179" i="32"/>
  <c r="U178" i="32"/>
  <c r="N178" i="32"/>
  <c r="G178" i="32"/>
  <c r="N177" i="32"/>
  <c r="G177" i="32"/>
  <c r="U176" i="32"/>
  <c r="N176" i="32"/>
  <c r="B176" i="32"/>
  <c r="B175" i="27" s="1"/>
  <c r="N175" i="32"/>
  <c r="G175" i="32"/>
  <c r="U174" i="32"/>
  <c r="N174" i="32"/>
  <c r="G174" i="32"/>
  <c r="N173" i="32"/>
  <c r="G173" i="32"/>
  <c r="U172" i="32"/>
  <c r="N172" i="32"/>
  <c r="G172" i="32"/>
  <c r="N171" i="32"/>
  <c r="G171" i="32"/>
  <c r="N170" i="32"/>
  <c r="G170" i="32"/>
  <c r="U168" i="32"/>
  <c r="G168" i="32"/>
  <c r="U164" i="32"/>
  <c r="N164" i="32"/>
  <c r="G164" i="32"/>
  <c r="N163" i="32"/>
  <c r="G163" i="32"/>
  <c r="U162" i="32"/>
  <c r="N162" i="32"/>
  <c r="G162" i="32"/>
  <c r="M161" i="32"/>
  <c r="N160" i="27" s="1"/>
  <c r="F161" i="32"/>
  <c r="F160" i="27" s="1"/>
  <c r="B161" i="32"/>
  <c r="B160" i="27" s="1"/>
  <c r="U160" i="32"/>
  <c r="N160" i="32"/>
  <c r="G160" i="32"/>
  <c r="B159" i="32"/>
  <c r="B158" i="27" s="1"/>
  <c r="U158" i="32"/>
  <c r="N158" i="32"/>
  <c r="B158" i="32"/>
  <c r="B157" i="27" s="1"/>
  <c r="N157" i="32"/>
  <c r="B157" i="32"/>
  <c r="B156" i="27" s="1"/>
  <c r="U156" i="32"/>
  <c r="N156" i="32"/>
  <c r="B156" i="32"/>
  <c r="B155" i="27" s="1"/>
  <c r="N155" i="32"/>
  <c r="G155" i="32"/>
  <c r="U154" i="32"/>
  <c r="N154" i="32"/>
  <c r="B154" i="32"/>
  <c r="N153" i="32"/>
  <c r="G153" i="32"/>
  <c r="B153" i="32"/>
  <c r="B152" i="27" s="1"/>
  <c r="U152" i="32"/>
  <c r="L152" i="32"/>
  <c r="M151" i="27" s="1"/>
  <c r="B152" i="32"/>
  <c r="N151" i="32"/>
  <c r="B151" i="32"/>
  <c r="B150" i="27" s="1"/>
  <c r="U150" i="32"/>
  <c r="N150" i="32"/>
  <c r="B150" i="32"/>
  <c r="B149" i="27" s="1"/>
  <c r="M149" i="32"/>
  <c r="N148" i="27" s="1"/>
  <c r="F149" i="32"/>
  <c r="F148" i="27" s="1"/>
  <c r="U148" i="32"/>
  <c r="T148" i="32"/>
  <c r="M148" i="32"/>
  <c r="N147" i="27" s="1"/>
  <c r="F148" i="32"/>
  <c r="F147" i="27" s="1"/>
  <c r="B148" i="32"/>
  <c r="B147" i="27" s="1"/>
  <c r="M147" i="32"/>
  <c r="F147" i="32"/>
  <c r="F146" i="27" s="1"/>
  <c r="B147" i="32"/>
  <c r="N144" i="32"/>
  <c r="N321" i="32" s="1"/>
  <c r="C73" i="13" s="1"/>
  <c r="G144" i="32"/>
  <c r="G321" i="32" s="1"/>
  <c r="C47" i="13" s="1"/>
  <c r="U141" i="32"/>
  <c r="U318" i="32" s="1"/>
  <c r="C92" i="13" s="1"/>
  <c r="N141" i="32"/>
  <c r="N318" i="32" s="1"/>
  <c r="C70" i="13" s="1"/>
  <c r="G141" i="32"/>
  <c r="G318" i="32" s="1"/>
  <c r="C44" i="13" s="1"/>
  <c r="G140" i="32"/>
  <c r="G317" i="32" s="1"/>
  <c r="C43" i="13" s="1"/>
  <c r="U139" i="32"/>
  <c r="U316" i="32" s="1"/>
  <c r="C90" i="13" s="1"/>
  <c r="N139" i="32"/>
  <c r="N316" i="32" s="1"/>
  <c r="C68" i="13" s="1"/>
  <c r="G139" i="32"/>
  <c r="G316" i="32" s="1"/>
  <c r="C42" i="13" s="1"/>
  <c r="N138" i="32"/>
  <c r="N315" i="32" s="1"/>
  <c r="C67" i="13" s="1"/>
  <c r="G138" i="32"/>
  <c r="G315" i="32" s="1"/>
  <c r="C41" i="13" s="1"/>
  <c r="U137" i="32"/>
  <c r="U314" i="32" s="1"/>
  <c r="C88" i="13" s="1"/>
  <c r="N137" i="32"/>
  <c r="N314" i="32" s="1"/>
  <c r="C66" i="13" s="1"/>
  <c r="G137" i="32"/>
  <c r="G314" i="32" s="1"/>
  <c r="C40" i="13" s="1"/>
  <c r="N136" i="32"/>
  <c r="N313" i="32" s="1"/>
  <c r="C65" i="13" s="1"/>
  <c r="G136" i="32"/>
  <c r="G313" i="32" s="1"/>
  <c r="C39" i="13" s="1"/>
  <c r="U135" i="32"/>
  <c r="U312" i="32" s="1"/>
  <c r="C86" i="13" s="1"/>
  <c r="N135" i="32"/>
  <c r="N312" i="32" s="1"/>
  <c r="C64" i="13" s="1"/>
  <c r="G135" i="32"/>
  <c r="G312" i="32" s="1"/>
  <c r="C38" i="13" s="1"/>
  <c r="N134" i="32"/>
  <c r="N311" i="32" s="1"/>
  <c r="C63" i="13" s="1"/>
  <c r="G134" i="32"/>
  <c r="G311" i="32" s="1"/>
  <c r="C37" i="13" s="1"/>
  <c r="U133" i="32"/>
  <c r="U310" i="32" s="1"/>
  <c r="C84" i="13" s="1"/>
  <c r="N133" i="32"/>
  <c r="N310" i="32" s="1"/>
  <c r="C62" i="13" s="1"/>
  <c r="G133" i="32"/>
  <c r="G310" i="32" s="1"/>
  <c r="C36" i="13" s="1"/>
  <c r="N132" i="32"/>
  <c r="N309" i="32" s="1"/>
  <c r="C61" i="13" s="1"/>
  <c r="G132" i="32"/>
  <c r="G309" i="32" s="1"/>
  <c r="C35" i="13" s="1"/>
  <c r="U131" i="32"/>
  <c r="U308" i="32" s="1"/>
  <c r="C82" i="13" s="1"/>
  <c r="N131" i="32"/>
  <c r="N308" i="32" s="1"/>
  <c r="C60" i="13" s="1"/>
  <c r="G131" i="32"/>
  <c r="G308" i="32" s="1"/>
  <c r="C34" i="13" s="1"/>
  <c r="N130" i="32"/>
  <c r="N307" i="32" s="1"/>
  <c r="C59" i="13" s="1"/>
  <c r="G130" i="32"/>
  <c r="G307" i="32" s="1"/>
  <c r="C33" i="13" s="1"/>
  <c r="U129" i="32"/>
  <c r="N129" i="32"/>
  <c r="B129" i="32"/>
  <c r="G129" i="32" s="1"/>
  <c r="N128" i="32"/>
  <c r="G128" i="32"/>
  <c r="U127" i="32"/>
  <c r="N127" i="32"/>
  <c r="G127" i="32"/>
  <c r="N126" i="32"/>
  <c r="P31" i="27" s="1"/>
  <c r="G126" i="32"/>
  <c r="U125" i="32"/>
  <c r="L125" i="32"/>
  <c r="E125" i="32"/>
  <c r="E30" i="27" s="1"/>
  <c r="N124" i="32"/>
  <c r="P29" i="27" s="1"/>
  <c r="G124" i="32"/>
  <c r="U123" i="32"/>
  <c r="N123" i="32"/>
  <c r="G123" i="32"/>
  <c r="G122" i="32"/>
  <c r="U121" i="32"/>
  <c r="U305" i="32" s="1"/>
  <c r="C79" i="13" s="1"/>
  <c r="G121" i="32"/>
  <c r="N120" i="32"/>
  <c r="U117" i="32"/>
  <c r="N117" i="32"/>
  <c r="G117" i="32"/>
  <c r="N116" i="32"/>
  <c r="G116" i="32"/>
  <c r="U115" i="32"/>
  <c r="N115" i="32"/>
  <c r="G115" i="32"/>
  <c r="N114" i="32"/>
  <c r="B114" i="32"/>
  <c r="G114" i="32" s="1"/>
  <c r="U113" i="32"/>
  <c r="N113" i="32"/>
  <c r="G113" i="32"/>
  <c r="B112" i="32"/>
  <c r="G112" i="32" s="1"/>
  <c r="U111" i="32"/>
  <c r="N111" i="32"/>
  <c r="B111" i="32"/>
  <c r="G111" i="32" s="1"/>
  <c r="N110" i="32"/>
  <c r="B110" i="32"/>
  <c r="P109" i="32"/>
  <c r="N109" i="32"/>
  <c r="B109" i="32"/>
  <c r="G109" i="32" s="1"/>
  <c r="G108" i="32"/>
  <c r="U107" i="32"/>
  <c r="N107" i="32"/>
  <c r="B107" i="32"/>
  <c r="G107" i="32" s="1"/>
  <c r="N106" i="32"/>
  <c r="B106" i="32"/>
  <c r="B11" i="27" s="1"/>
  <c r="P105" i="32"/>
  <c r="N105" i="32"/>
  <c r="B105" i="32"/>
  <c r="N104" i="32"/>
  <c r="G104" i="32"/>
  <c r="B104" i="32"/>
  <c r="U103" i="32"/>
  <c r="N103" i="32"/>
  <c r="G103" i="32"/>
  <c r="B103" i="32"/>
  <c r="M102" i="32"/>
  <c r="N102" i="32" s="1"/>
  <c r="F102" i="32"/>
  <c r="G102" i="32" s="1"/>
  <c r="T101" i="32"/>
  <c r="U101" i="32" s="1"/>
  <c r="M101" i="32"/>
  <c r="N101" i="32" s="1"/>
  <c r="F101" i="32"/>
  <c r="B101" i="32"/>
  <c r="M100" i="32"/>
  <c r="J100" i="32"/>
  <c r="F100" i="32"/>
  <c r="B100" i="32"/>
  <c r="N97" i="32"/>
  <c r="N296" i="32" s="1"/>
  <c r="D73" i="13" s="1"/>
  <c r="G97" i="32"/>
  <c r="G296" i="32" s="1"/>
  <c r="D47" i="13" s="1"/>
  <c r="U94" i="32"/>
  <c r="U293" i="32" s="1"/>
  <c r="D92" i="13" s="1"/>
  <c r="N94" i="32"/>
  <c r="N293" i="32" s="1"/>
  <c r="D70" i="13" s="1"/>
  <c r="G94" i="32"/>
  <c r="G293" i="32" s="1"/>
  <c r="D44" i="13" s="1"/>
  <c r="G93" i="32"/>
  <c r="G292" i="32" s="1"/>
  <c r="D43" i="13" s="1"/>
  <c r="U92" i="32"/>
  <c r="U291" i="32" s="1"/>
  <c r="D90" i="13" s="1"/>
  <c r="N92" i="32"/>
  <c r="N291" i="32" s="1"/>
  <c r="D68" i="13" s="1"/>
  <c r="G92" i="32"/>
  <c r="G291" i="32" s="1"/>
  <c r="D42" i="13" s="1"/>
  <c r="N91" i="32"/>
  <c r="N290" i="32" s="1"/>
  <c r="D67" i="13" s="1"/>
  <c r="G91" i="32"/>
  <c r="G290" i="32" s="1"/>
  <c r="D41" i="13" s="1"/>
  <c r="U90" i="32"/>
  <c r="U289" i="32" s="1"/>
  <c r="D88" i="13" s="1"/>
  <c r="N90" i="32"/>
  <c r="N289" i="32" s="1"/>
  <c r="D66" i="13" s="1"/>
  <c r="G90" i="32"/>
  <c r="G289" i="32" s="1"/>
  <c r="D40" i="13" s="1"/>
  <c r="N89" i="32"/>
  <c r="N288" i="32" s="1"/>
  <c r="D65" i="13" s="1"/>
  <c r="G89" i="32"/>
  <c r="G288" i="32" s="1"/>
  <c r="D39" i="13" s="1"/>
  <c r="U88" i="32"/>
  <c r="U287" i="32" s="1"/>
  <c r="D86" i="13" s="1"/>
  <c r="N88" i="32"/>
  <c r="N287" i="32" s="1"/>
  <c r="D64" i="13" s="1"/>
  <c r="G88" i="32"/>
  <c r="G287" i="32" s="1"/>
  <c r="D38" i="13" s="1"/>
  <c r="N87" i="32"/>
  <c r="N286" i="32" s="1"/>
  <c r="D63" i="13" s="1"/>
  <c r="G87" i="32"/>
  <c r="G286" i="32" s="1"/>
  <c r="D37" i="13" s="1"/>
  <c r="U86" i="32"/>
  <c r="U285" i="32" s="1"/>
  <c r="D84" i="13" s="1"/>
  <c r="N86" i="32"/>
  <c r="N285" i="32" s="1"/>
  <c r="D62" i="13" s="1"/>
  <c r="G86" i="32"/>
  <c r="G285" i="32" s="1"/>
  <c r="D36" i="13" s="1"/>
  <c r="N85" i="32"/>
  <c r="N284" i="32" s="1"/>
  <c r="D61" i="13" s="1"/>
  <c r="G85" i="32"/>
  <c r="G284" i="32" s="1"/>
  <c r="D35" i="13" s="1"/>
  <c r="U84" i="32"/>
  <c r="U283" i="32" s="1"/>
  <c r="D82" i="13" s="1"/>
  <c r="N84" i="32"/>
  <c r="N283" i="32" s="1"/>
  <c r="D60" i="13" s="1"/>
  <c r="G84" i="32"/>
  <c r="G283" i="32" s="1"/>
  <c r="D34" i="13" s="1"/>
  <c r="N83" i="32"/>
  <c r="N282" i="32" s="1"/>
  <c r="D59" i="13" s="1"/>
  <c r="G83" i="32"/>
  <c r="G282" i="32" s="1"/>
  <c r="D33" i="13" s="1"/>
  <c r="U82" i="32"/>
  <c r="N82" i="32"/>
  <c r="B82" i="32"/>
  <c r="G82" i="32" s="1"/>
  <c r="N81" i="32"/>
  <c r="G81" i="32"/>
  <c r="U80" i="32"/>
  <c r="N80" i="32"/>
  <c r="G80" i="32"/>
  <c r="G79" i="32"/>
  <c r="U78" i="32"/>
  <c r="N78" i="32"/>
  <c r="G78" i="32"/>
  <c r="G77" i="32"/>
  <c r="U76" i="32"/>
  <c r="N76" i="32"/>
  <c r="G76" i="32"/>
  <c r="G75" i="32"/>
  <c r="U74" i="32"/>
  <c r="U280" i="32" s="1"/>
  <c r="D79" i="13" s="1"/>
  <c r="G74" i="32"/>
  <c r="N73" i="32"/>
  <c r="U72" i="32"/>
  <c r="N72" i="32"/>
  <c r="U70" i="32"/>
  <c r="N70" i="32"/>
  <c r="G70" i="32"/>
  <c r="N69" i="32"/>
  <c r="G69" i="32"/>
  <c r="U68" i="32"/>
  <c r="N68" i="32"/>
  <c r="G68" i="32"/>
  <c r="M67" i="32"/>
  <c r="F67" i="32"/>
  <c r="F19" i="27" s="1"/>
  <c r="B67" i="32"/>
  <c r="U66" i="32"/>
  <c r="N66" i="32"/>
  <c r="G66" i="32"/>
  <c r="G65" i="32"/>
  <c r="U64" i="32"/>
  <c r="U278" i="32" s="1"/>
  <c r="D77" i="13" s="1"/>
  <c r="N64" i="32"/>
  <c r="B64" i="32"/>
  <c r="G64" i="32" s="1"/>
  <c r="N63" i="32"/>
  <c r="B63" i="32"/>
  <c r="G63" i="32" s="1"/>
  <c r="U62" i="32"/>
  <c r="N62" i="32"/>
  <c r="B62" i="32"/>
  <c r="G62" i="32" s="1"/>
  <c r="G61" i="32"/>
  <c r="U60" i="32"/>
  <c r="N60" i="32"/>
  <c r="B60" i="32"/>
  <c r="G60" i="32" s="1"/>
  <c r="N59" i="32"/>
  <c r="G59" i="32"/>
  <c r="U58" i="32"/>
  <c r="N58" i="32"/>
  <c r="G58" i="32"/>
  <c r="B58" i="32"/>
  <c r="N57" i="32"/>
  <c r="B57" i="32"/>
  <c r="P56" i="32"/>
  <c r="U56" i="32" s="1"/>
  <c r="K56" i="32"/>
  <c r="B56" i="32"/>
  <c r="G56" i="32" s="1"/>
  <c r="N55" i="32"/>
  <c r="G55" i="32"/>
  <c r="U54" i="32"/>
  <c r="M54" i="32"/>
  <c r="K54" i="32"/>
  <c r="F54" i="32"/>
  <c r="G54" i="32" s="1"/>
  <c r="B54" i="32"/>
  <c r="M53" i="32"/>
  <c r="N53" i="32" s="1"/>
  <c r="F53" i="32"/>
  <c r="B53" i="32"/>
  <c r="E73" i="13"/>
  <c r="G50" i="32"/>
  <c r="E47" i="13" s="1"/>
  <c r="U47" i="32"/>
  <c r="E92" i="13" s="1"/>
  <c r="N47" i="32"/>
  <c r="G47" i="32"/>
  <c r="G46" i="32"/>
  <c r="U45" i="32"/>
  <c r="E90" i="13" s="1"/>
  <c r="N45" i="32"/>
  <c r="G45" i="32"/>
  <c r="E42" i="13" s="1"/>
  <c r="N44" i="32"/>
  <c r="G44" i="32"/>
  <c r="E41" i="13" s="1"/>
  <c r="U43" i="32"/>
  <c r="E88" i="13" s="1"/>
  <c r="N43" i="32"/>
  <c r="G43" i="32"/>
  <c r="E40" i="13" s="1"/>
  <c r="N42" i="32"/>
  <c r="E65" i="13" s="1"/>
  <c r="G42" i="32"/>
  <c r="U41" i="32"/>
  <c r="E86" i="13" s="1"/>
  <c r="N41" i="32"/>
  <c r="G41" i="32"/>
  <c r="E38" i="13" s="1"/>
  <c r="N40" i="32"/>
  <c r="G40" i="32"/>
  <c r="E37" i="13" s="1"/>
  <c r="U39" i="32"/>
  <c r="E84" i="13" s="1"/>
  <c r="N39" i="32"/>
  <c r="E62" i="13" s="1"/>
  <c r="G39" i="32"/>
  <c r="N38" i="32"/>
  <c r="E61" i="13" s="1"/>
  <c r="G38" i="32"/>
  <c r="U37" i="32"/>
  <c r="E82" i="13" s="1"/>
  <c r="N37" i="32"/>
  <c r="G37" i="32"/>
  <c r="E34" i="13" s="1"/>
  <c r="N36" i="32"/>
  <c r="G36" i="32"/>
  <c r="E33" i="13" s="1"/>
  <c r="U35" i="32"/>
  <c r="N35" i="32"/>
  <c r="G35" i="32"/>
  <c r="N34" i="32"/>
  <c r="G34" i="32"/>
  <c r="U33" i="32"/>
  <c r="N33" i="32"/>
  <c r="G33" i="32"/>
  <c r="G32" i="32"/>
  <c r="U31" i="32"/>
  <c r="N31" i="32"/>
  <c r="G31" i="32"/>
  <c r="G30" i="32"/>
  <c r="U29" i="32"/>
  <c r="N29" i="32"/>
  <c r="G29" i="32"/>
  <c r="G28" i="32"/>
  <c r="U27" i="32"/>
  <c r="E79" i="13" s="1"/>
  <c r="G27" i="32"/>
  <c r="N26" i="32"/>
  <c r="U25" i="32"/>
  <c r="N25" i="32"/>
  <c r="G25" i="32"/>
  <c r="S23" i="32"/>
  <c r="N23" i="32"/>
  <c r="G23" i="32"/>
  <c r="N22" i="32"/>
  <c r="G22" i="32"/>
  <c r="S21" i="32"/>
  <c r="N21" i="32"/>
  <c r="C21" i="32"/>
  <c r="C20" i="27" s="1"/>
  <c r="N20" i="32"/>
  <c r="B20" i="32"/>
  <c r="U19" i="32"/>
  <c r="L19" i="32"/>
  <c r="M18" i="27" s="1"/>
  <c r="E19" i="32"/>
  <c r="E18" i="27" s="1"/>
  <c r="N18" i="32"/>
  <c r="B18" i="32"/>
  <c r="R17" i="32"/>
  <c r="K17" i="32"/>
  <c r="K205" i="32" s="1"/>
  <c r="B17" i="32"/>
  <c r="N16" i="32"/>
  <c r="B16" i="32"/>
  <c r="G16" i="32" s="1"/>
  <c r="U15" i="32"/>
  <c r="N15" i="32"/>
  <c r="B15" i="32"/>
  <c r="G15" i="32" s="1"/>
  <c r="N14" i="32"/>
  <c r="P13" i="27" s="1"/>
  <c r="P201" i="27" s="1"/>
  <c r="G14" i="32"/>
  <c r="U13" i="32"/>
  <c r="L13" i="32"/>
  <c r="B13" i="32"/>
  <c r="N12" i="32"/>
  <c r="G12" i="32"/>
  <c r="U11" i="32"/>
  <c r="N11" i="32"/>
  <c r="G11" i="32"/>
  <c r="N10" i="32"/>
  <c r="B10" i="32"/>
  <c r="T9" i="32"/>
  <c r="U9" i="32" s="1"/>
  <c r="N9" i="32"/>
  <c r="B9" i="32"/>
  <c r="G9" i="32" s="1"/>
  <c r="M8" i="32"/>
  <c r="N8" i="32" s="1"/>
  <c r="F8" i="32"/>
  <c r="F7" i="27" s="1"/>
  <c r="U7" i="32"/>
  <c r="M7" i="32"/>
  <c r="F7" i="32"/>
  <c r="B7" i="32"/>
  <c r="M6" i="32"/>
  <c r="N6" i="32" s="1"/>
  <c r="F6" i="32"/>
  <c r="B6" i="32"/>
  <c r="A376" i="14"/>
  <c r="A375" i="14"/>
  <c r="A374" i="14"/>
  <c r="A372" i="14"/>
  <c r="G349" i="14"/>
  <c r="F349" i="14"/>
  <c r="E349" i="14"/>
  <c r="D349" i="14"/>
  <c r="C349" i="14"/>
  <c r="B349" i="14"/>
  <c r="G346" i="14"/>
  <c r="F346" i="14"/>
  <c r="E346" i="14"/>
  <c r="D346" i="14"/>
  <c r="C346" i="14"/>
  <c r="B346" i="14"/>
  <c r="G345" i="14"/>
  <c r="F345" i="14"/>
  <c r="E345" i="14"/>
  <c r="D345" i="14"/>
  <c r="C345" i="14"/>
  <c r="B345" i="14"/>
  <c r="G344" i="14"/>
  <c r="F344" i="14"/>
  <c r="E344" i="14"/>
  <c r="D344" i="14"/>
  <c r="C344" i="14"/>
  <c r="B344" i="14"/>
  <c r="G343" i="14"/>
  <c r="F343" i="14"/>
  <c r="E343" i="14"/>
  <c r="D343" i="14"/>
  <c r="C343" i="14"/>
  <c r="B343" i="14"/>
  <c r="G342" i="14"/>
  <c r="F342" i="14"/>
  <c r="E342" i="14"/>
  <c r="D342" i="14"/>
  <c r="C342" i="14"/>
  <c r="B342" i="14"/>
  <c r="G341" i="14"/>
  <c r="F341" i="14"/>
  <c r="E341" i="14"/>
  <c r="D341" i="14"/>
  <c r="C341" i="14"/>
  <c r="B341" i="14"/>
  <c r="G340" i="14"/>
  <c r="F340" i="14"/>
  <c r="E340" i="14"/>
  <c r="D340" i="14"/>
  <c r="C340" i="14"/>
  <c r="B340" i="14"/>
  <c r="G339" i="14"/>
  <c r="F339" i="14"/>
  <c r="E339" i="14"/>
  <c r="D339" i="14"/>
  <c r="C339" i="14"/>
  <c r="B339" i="14"/>
  <c r="G338" i="14"/>
  <c r="F338" i="14"/>
  <c r="E338" i="14"/>
  <c r="D338" i="14"/>
  <c r="C338" i="14"/>
  <c r="B338" i="14"/>
  <c r="G337" i="14"/>
  <c r="F337" i="14"/>
  <c r="E337" i="14"/>
  <c r="D337" i="14"/>
  <c r="C337" i="14"/>
  <c r="B337" i="14"/>
  <c r="G336" i="14"/>
  <c r="F336" i="14"/>
  <c r="E336" i="14"/>
  <c r="D336" i="14"/>
  <c r="C336" i="14"/>
  <c r="B336" i="14"/>
  <c r="G335" i="14"/>
  <c r="F335" i="14"/>
  <c r="E335" i="14"/>
  <c r="D335" i="14"/>
  <c r="C335" i="14"/>
  <c r="B335" i="14"/>
  <c r="G334" i="14"/>
  <c r="F334" i="14"/>
  <c r="E334" i="14"/>
  <c r="D334" i="14"/>
  <c r="C334" i="14"/>
  <c r="B334" i="14"/>
  <c r="G333" i="14"/>
  <c r="F333" i="14"/>
  <c r="E333" i="14"/>
  <c r="C333" i="14"/>
  <c r="B333" i="14"/>
  <c r="G332" i="14"/>
  <c r="F332" i="14"/>
  <c r="E332" i="14"/>
  <c r="D332" i="14"/>
  <c r="C332" i="14"/>
  <c r="B332" i="14"/>
  <c r="G331" i="14"/>
  <c r="F331" i="14"/>
  <c r="E331" i="14"/>
  <c r="D331" i="14"/>
  <c r="C331" i="14"/>
  <c r="B331" i="14"/>
  <c r="G330" i="14"/>
  <c r="F330" i="14"/>
  <c r="E330" i="14"/>
  <c r="D330" i="14"/>
  <c r="C330" i="14"/>
  <c r="B330" i="14"/>
  <c r="G323" i="14"/>
  <c r="F323" i="14"/>
  <c r="E323" i="14"/>
  <c r="D323" i="14"/>
  <c r="C323" i="14"/>
  <c r="B323" i="14"/>
  <c r="G320" i="14"/>
  <c r="F320" i="14"/>
  <c r="E320" i="14"/>
  <c r="D320" i="14"/>
  <c r="C320" i="14"/>
  <c r="B320" i="14"/>
  <c r="G319" i="14"/>
  <c r="F319" i="14"/>
  <c r="E319" i="14"/>
  <c r="D319" i="14"/>
  <c r="C319" i="14"/>
  <c r="B319" i="14"/>
  <c r="G318" i="14"/>
  <c r="F318" i="14"/>
  <c r="E318" i="14"/>
  <c r="D318" i="14"/>
  <c r="C318" i="14"/>
  <c r="B318" i="14"/>
  <c r="G317" i="14"/>
  <c r="F317" i="14"/>
  <c r="E317" i="14"/>
  <c r="D317" i="14"/>
  <c r="C317" i="14"/>
  <c r="B317" i="14"/>
  <c r="G316" i="14"/>
  <c r="F316" i="14"/>
  <c r="E316" i="14"/>
  <c r="D316" i="14"/>
  <c r="C316" i="14"/>
  <c r="B316" i="14"/>
  <c r="G315" i="14"/>
  <c r="F315" i="14"/>
  <c r="E315" i="14"/>
  <c r="D315" i="14"/>
  <c r="C315" i="14"/>
  <c r="B315" i="14"/>
  <c r="G314" i="14"/>
  <c r="F314" i="14"/>
  <c r="E314" i="14"/>
  <c r="D314" i="14"/>
  <c r="C314" i="14"/>
  <c r="B314" i="14"/>
  <c r="G313" i="14"/>
  <c r="F313" i="14"/>
  <c r="E313" i="14"/>
  <c r="D313" i="14"/>
  <c r="C313" i="14"/>
  <c r="B313" i="14"/>
  <c r="G312" i="14"/>
  <c r="F312" i="14"/>
  <c r="E312" i="14"/>
  <c r="D312" i="14"/>
  <c r="C312" i="14"/>
  <c r="B312" i="14"/>
  <c r="G311" i="14"/>
  <c r="F311" i="14"/>
  <c r="E311" i="14"/>
  <c r="D311" i="14"/>
  <c r="C311" i="14"/>
  <c r="B311" i="14"/>
  <c r="G310" i="14"/>
  <c r="F310" i="14"/>
  <c r="E310" i="14"/>
  <c r="D310" i="14"/>
  <c r="C310" i="14"/>
  <c r="B310" i="14"/>
  <c r="G309" i="14"/>
  <c r="F309" i="14"/>
  <c r="E309" i="14"/>
  <c r="D309" i="14"/>
  <c r="C309" i="14"/>
  <c r="B309" i="14"/>
  <c r="G308" i="14"/>
  <c r="F308" i="14"/>
  <c r="D308" i="14"/>
  <c r="C308" i="14"/>
  <c r="B308" i="14"/>
  <c r="G307" i="14"/>
  <c r="F307" i="14"/>
  <c r="E307" i="14"/>
  <c r="D307" i="14"/>
  <c r="C307" i="14"/>
  <c r="B307" i="14"/>
  <c r="G306" i="14"/>
  <c r="F306" i="14"/>
  <c r="E306" i="14"/>
  <c r="D306" i="14"/>
  <c r="C306" i="14"/>
  <c r="B306" i="14"/>
  <c r="G305" i="14"/>
  <c r="F305" i="14"/>
  <c r="E305" i="14"/>
  <c r="D305" i="14"/>
  <c r="C305" i="14"/>
  <c r="B305" i="14"/>
  <c r="G304" i="14"/>
  <c r="F304" i="14"/>
  <c r="E304" i="14"/>
  <c r="D304" i="14"/>
  <c r="C304" i="14"/>
  <c r="B304" i="14"/>
  <c r="G301" i="14"/>
  <c r="F301" i="14"/>
  <c r="E301" i="14"/>
  <c r="D301" i="14"/>
  <c r="C301" i="14"/>
  <c r="B301" i="14"/>
  <c r="G298" i="14"/>
  <c r="F298" i="14"/>
  <c r="E298" i="14"/>
  <c r="D298" i="14"/>
  <c r="C298" i="14"/>
  <c r="B298" i="14"/>
  <c r="G297" i="14"/>
  <c r="F297" i="14"/>
  <c r="E297" i="14"/>
  <c r="D297" i="14"/>
  <c r="C297" i="14"/>
  <c r="B297" i="14"/>
  <c r="G296" i="14"/>
  <c r="F296" i="14"/>
  <c r="E296" i="14"/>
  <c r="D296" i="14"/>
  <c r="C296" i="14"/>
  <c r="B296" i="14"/>
  <c r="G295" i="14"/>
  <c r="F295" i="14"/>
  <c r="E295" i="14"/>
  <c r="D295" i="14"/>
  <c r="C295" i="14"/>
  <c r="B295" i="14"/>
  <c r="G294" i="14"/>
  <c r="F294" i="14"/>
  <c r="E294" i="14"/>
  <c r="D294" i="14"/>
  <c r="C294" i="14"/>
  <c r="B294" i="14"/>
  <c r="G293" i="14"/>
  <c r="F293" i="14"/>
  <c r="E293" i="14"/>
  <c r="D293" i="14"/>
  <c r="C293" i="14"/>
  <c r="B293" i="14"/>
  <c r="G292" i="14"/>
  <c r="F292" i="14"/>
  <c r="E292" i="14"/>
  <c r="D292" i="14"/>
  <c r="C292" i="14"/>
  <c r="B292" i="14"/>
  <c r="G291" i="14"/>
  <c r="F291" i="14"/>
  <c r="E291" i="14"/>
  <c r="D291" i="14"/>
  <c r="C291" i="14"/>
  <c r="B291" i="14"/>
  <c r="G290" i="14"/>
  <c r="F290" i="14"/>
  <c r="E290" i="14"/>
  <c r="D290" i="14"/>
  <c r="C290" i="14"/>
  <c r="B290" i="14"/>
  <c r="G289" i="14"/>
  <c r="F289" i="14"/>
  <c r="E289" i="14"/>
  <c r="D289" i="14"/>
  <c r="C289" i="14"/>
  <c r="B289" i="14"/>
  <c r="G288" i="14"/>
  <c r="F288" i="14"/>
  <c r="E288" i="14"/>
  <c r="D288" i="14"/>
  <c r="C288" i="14"/>
  <c r="B288" i="14"/>
  <c r="G287" i="14"/>
  <c r="F287" i="14"/>
  <c r="E287" i="14"/>
  <c r="D287" i="14"/>
  <c r="C287" i="14"/>
  <c r="B287" i="14"/>
  <c r="G286" i="14"/>
  <c r="F286" i="14"/>
  <c r="E286" i="14"/>
  <c r="D286" i="14"/>
  <c r="C286" i="14"/>
  <c r="B286" i="14"/>
  <c r="G285" i="14"/>
  <c r="F285" i="14"/>
  <c r="E285" i="14"/>
  <c r="D285" i="14"/>
  <c r="C285" i="14"/>
  <c r="B285" i="14"/>
  <c r="G284" i="14"/>
  <c r="F284" i="14"/>
  <c r="E284" i="14"/>
  <c r="D284" i="14"/>
  <c r="C284" i="14"/>
  <c r="B284" i="14"/>
  <c r="G283" i="14"/>
  <c r="F283" i="14"/>
  <c r="E283" i="14"/>
  <c r="D283" i="14"/>
  <c r="C283" i="14"/>
  <c r="B283" i="14"/>
  <c r="G282" i="14"/>
  <c r="F282" i="14"/>
  <c r="E282" i="14"/>
  <c r="D282" i="14"/>
  <c r="C282" i="14"/>
  <c r="B282" i="14"/>
  <c r="G279" i="14"/>
  <c r="F279" i="14"/>
  <c r="E279" i="14"/>
  <c r="D279" i="14"/>
  <c r="C279" i="14"/>
  <c r="B279" i="14"/>
  <c r="G276" i="14"/>
  <c r="F276" i="14"/>
  <c r="E276" i="14"/>
  <c r="D276" i="14"/>
  <c r="C276" i="14"/>
  <c r="B276" i="14"/>
  <c r="G275" i="14"/>
  <c r="F275" i="14"/>
  <c r="E275" i="14"/>
  <c r="D275" i="14"/>
  <c r="C275" i="14"/>
  <c r="B275" i="14"/>
  <c r="G274" i="14"/>
  <c r="F274" i="14"/>
  <c r="E274" i="14"/>
  <c r="D274" i="14"/>
  <c r="C274" i="14"/>
  <c r="B274" i="14"/>
  <c r="G273" i="14"/>
  <c r="F273" i="14"/>
  <c r="E273" i="14"/>
  <c r="D273" i="14"/>
  <c r="C273" i="14"/>
  <c r="B273" i="14"/>
  <c r="G272" i="14"/>
  <c r="F272" i="14"/>
  <c r="E272" i="14"/>
  <c r="D272" i="14"/>
  <c r="C272" i="14"/>
  <c r="B272" i="14"/>
  <c r="G271" i="14"/>
  <c r="F271" i="14"/>
  <c r="E271" i="14"/>
  <c r="D271" i="14"/>
  <c r="C271" i="14"/>
  <c r="B271" i="14"/>
  <c r="G270" i="14"/>
  <c r="F270" i="14"/>
  <c r="E270" i="14"/>
  <c r="D270" i="14"/>
  <c r="C270" i="14"/>
  <c r="B270" i="14"/>
  <c r="G269" i="14"/>
  <c r="F269" i="14"/>
  <c r="E269" i="14"/>
  <c r="D269" i="14"/>
  <c r="C269" i="14"/>
  <c r="B269" i="14"/>
  <c r="G268" i="14"/>
  <c r="F268" i="14"/>
  <c r="E268" i="14"/>
  <c r="D268" i="14"/>
  <c r="C268" i="14"/>
  <c r="B268" i="14"/>
  <c r="G267" i="14"/>
  <c r="F267" i="14"/>
  <c r="E267" i="14"/>
  <c r="D267" i="14"/>
  <c r="C267" i="14"/>
  <c r="B267" i="14"/>
  <c r="G266" i="14"/>
  <c r="F266" i="14"/>
  <c r="E266" i="14"/>
  <c r="D266" i="14"/>
  <c r="C266" i="14"/>
  <c r="B266" i="14"/>
  <c r="G265" i="14"/>
  <c r="F265" i="14"/>
  <c r="E265" i="14"/>
  <c r="D265" i="14"/>
  <c r="C265" i="14"/>
  <c r="B265" i="14"/>
  <c r="G264" i="14"/>
  <c r="F264" i="14"/>
  <c r="E264" i="14"/>
  <c r="D264" i="14"/>
  <c r="C264" i="14"/>
  <c r="B264" i="14"/>
  <c r="G263" i="14"/>
  <c r="E263" i="14"/>
  <c r="D263" i="14"/>
  <c r="C263" i="14"/>
  <c r="B263" i="14"/>
  <c r="G262" i="14"/>
  <c r="F262" i="14"/>
  <c r="E262" i="14"/>
  <c r="D262" i="14"/>
  <c r="C262" i="14"/>
  <c r="B262" i="14"/>
  <c r="G261" i="14"/>
  <c r="F261" i="14"/>
  <c r="E261" i="14"/>
  <c r="D261" i="14"/>
  <c r="C261" i="14"/>
  <c r="B261" i="14"/>
  <c r="G260" i="14"/>
  <c r="F260" i="14"/>
  <c r="E260" i="14"/>
  <c r="D260" i="14"/>
  <c r="C260" i="14"/>
  <c r="B260" i="14"/>
  <c r="G237" i="14"/>
  <c r="G371" i="14" s="1"/>
  <c r="F237" i="14"/>
  <c r="F371" i="14" s="1"/>
  <c r="E237" i="14"/>
  <c r="E371" i="14" s="1"/>
  <c r="D237" i="14"/>
  <c r="D371" i="14" s="1"/>
  <c r="C237" i="14"/>
  <c r="C371" i="14" s="1"/>
  <c r="B237" i="14"/>
  <c r="B371" i="14" s="1"/>
  <c r="G234" i="14"/>
  <c r="G368" i="14" s="1"/>
  <c r="F234" i="14"/>
  <c r="F368" i="14" s="1"/>
  <c r="E234" i="14"/>
  <c r="E368" i="14" s="1"/>
  <c r="D234" i="14"/>
  <c r="D368" i="14" s="1"/>
  <c r="C234" i="14"/>
  <c r="C368" i="14" s="1"/>
  <c r="B234" i="14"/>
  <c r="B368" i="14" s="1"/>
  <c r="G233" i="14"/>
  <c r="G367" i="14" s="1"/>
  <c r="F233" i="14"/>
  <c r="F367" i="14" s="1"/>
  <c r="E233" i="14"/>
  <c r="E367" i="14" s="1"/>
  <c r="D233" i="14"/>
  <c r="D367" i="14" s="1"/>
  <c r="C233" i="14"/>
  <c r="C367" i="14" s="1"/>
  <c r="B233" i="14"/>
  <c r="B367" i="14" s="1"/>
  <c r="G232" i="14"/>
  <c r="G366" i="14" s="1"/>
  <c r="F232" i="14"/>
  <c r="F366" i="14" s="1"/>
  <c r="E232" i="14"/>
  <c r="E366" i="14" s="1"/>
  <c r="D232" i="14"/>
  <c r="D366" i="14" s="1"/>
  <c r="C232" i="14"/>
  <c r="C366" i="14" s="1"/>
  <c r="B232" i="14"/>
  <c r="B366" i="14" s="1"/>
  <c r="G231" i="14"/>
  <c r="G365" i="14" s="1"/>
  <c r="F231" i="14"/>
  <c r="F365" i="14" s="1"/>
  <c r="E231" i="14"/>
  <c r="E365" i="14" s="1"/>
  <c r="D231" i="14"/>
  <c r="D365" i="14" s="1"/>
  <c r="C231" i="14"/>
  <c r="C365" i="14" s="1"/>
  <c r="B231" i="14"/>
  <c r="B365" i="14" s="1"/>
  <c r="G230" i="14"/>
  <c r="G364" i="14" s="1"/>
  <c r="F230" i="14"/>
  <c r="F364" i="14" s="1"/>
  <c r="E230" i="14"/>
  <c r="E364" i="14" s="1"/>
  <c r="D230" i="14"/>
  <c r="D364" i="14" s="1"/>
  <c r="C230" i="14"/>
  <c r="C364" i="14" s="1"/>
  <c r="B230" i="14"/>
  <c r="B364" i="14" s="1"/>
  <c r="G229" i="14"/>
  <c r="G363" i="14" s="1"/>
  <c r="F229" i="14"/>
  <c r="F363" i="14" s="1"/>
  <c r="E229" i="14"/>
  <c r="E363" i="14" s="1"/>
  <c r="D229" i="14"/>
  <c r="D363" i="14" s="1"/>
  <c r="C229" i="14"/>
  <c r="C363" i="14" s="1"/>
  <c r="B229" i="14"/>
  <c r="B363" i="14" s="1"/>
  <c r="G228" i="14"/>
  <c r="G362" i="14" s="1"/>
  <c r="F228" i="14"/>
  <c r="F362" i="14" s="1"/>
  <c r="E228" i="14"/>
  <c r="E362" i="14" s="1"/>
  <c r="D228" i="14"/>
  <c r="D362" i="14" s="1"/>
  <c r="C228" i="14"/>
  <c r="C362" i="14" s="1"/>
  <c r="B228" i="14"/>
  <c r="B362" i="14" s="1"/>
  <c r="G227" i="14"/>
  <c r="G361" i="14" s="1"/>
  <c r="F227" i="14"/>
  <c r="F361" i="14" s="1"/>
  <c r="E227" i="14"/>
  <c r="E361" i="14" s="1"/>
  <c r="D227" i="14"/>
  <c r="D361" i="14" s="1"/>
  <c r="C227" i="14"/>
  <c r="C361" i="14" s="1"/>
  <c r="B227" i="14"/>
  <c r="B361" i="14" s="1"/>
  <c r="G226" i="14"/>
  <c r="G360" i="14" s="1"/>
  <c r="F226" i="14"/>
  <c r="F360" i="14" s="1"/>
  <c r="E226" i="14"/>
  <c r="E360" i="14" s="1"/>
  <c r="D226" i="14"/>
  <c r="D360" i="14" s="1"/>
  <c r="C226" i="14"/>
  <c r="C360" i="14" s="1"/>
  <c r="B226" i="14"/>
  <c r="B360" i="14" s="1"/>
  <c r="G225" i="14"/>
  <c r="G359" i="14" s="1"/>
  <c r="F225" i="14"/>
  <c r="F359" i="14" s="1"/>
  <c r="E225" i="14"/>
  <c r="E359" i="14" s="1"/>
  <c r="D225" i="14"/>
  <c r="D359" i="14" s="1"/>
  <c r="C225" i="14"/>
  <c r="C359" i="14" s="1"/>
  <c r="B225" i="14"/>
  <c r="B359" i="14" s="1"/>
  <c r="G224" i="14"/>
  <c r="G358" i="14" s="1"/>
  <c r="F224" i="14"/>
  <c r="F358" i="14" s="1"/>
  <c r="E224" i="14"/>
  <c r="E358" i="14" s="1"/>
  <c r="D224" i="14"/>
  <c r="D358" i="14" s="1"/>
  <c r="C224" i="14"/>
  <c r="C358" i="14" s="1"/>
  <c r="B224" i="14"/>
  <c r="B358" i="14" s="1"/>
  <c r="G223" i="14"/>
  <c r="G357" i="14" s="1"/>
  <c r="F223" i="14"/>
  <c r="F357" i="14" s="1"/>
  <c r="E223" i="14"/>
  <c r="E357" i="14" s="1"/>
  <c r="D223" i="14"/>
  <c r="D357" i="14" s="1"/>
  <c r="C223" i="14"/>
  <c r="C357" i="14" s="1"/>
  <c r="B223" i="14"/>
  <c r="B357" i="14" s="1"/>
  <c r="G222" i="14"/>
  <c r="F222" i="14"/>
  <c r="E222" i="14"/>
  <c r="D222" i="14"/>
  <c r="C222" i="14"/>
  <c r="B222" i="14"/>
  <c r="G221" i="14"/>
  <c r="F221" i="14"/>
  <c r="E221" i="14"/>
  <c r="D221" i="14"/>
  <c r="C221" i="14"/>
  <c r="B221" i="14"/>
  <c r="G220" i="14"/>
  <c r="F220" i="14"/>
  <c r="E220" i="14"/>
  <c r="D220" i="14"/>
  <c r="C220" i="14"/>
  <c r="B220" i="14"/>
  <c r="G219" i="14"/>
  <c r="F219" i="14"/>
  <c r="E219" i="14"/>
  <c r="D219" i="14"/>
  <c r="C219" i="14"/>
  <c r="B219" i="14"/>
  <c r="G218" i="14"/>
  <c r="G356" i="14" s="1"/>
  <c r="F218" i="14"/>
  <c r="D218" i="14"/>
  <c r="C218" i="14"/>
  <c r="B218" i="14"/>
  <c r="G217" i="14"/>
  <c r="F217" i="14"/>
  <c r="E217" i="14"/>
  <c r="D217" i="14"/>
  <c r="C217" i="14"/>
  <c r="B217" i="14"/>
  <c r="G216" i="14"/>
  <c r="F216" i="14"/>
  <c r="E216" i="14"/>
  <c r="D216" i="14"/>
  <c r="C216" i="14"/>
  <c r="B216" i="14"/>
  <c r="G215" i="14"/>
  <c r="F215" i="14"/>
  <c r="E215" i="14"/>
  <c r="D215" i="14"/>
  <c r="C215" i="14"/>
  <c r="B215" i="14"/>
  <c r="G214" i="14"/>
  <c r="F214" i="14"/>
  <c r="E214" i="14"/>
  <c r="D214" i="14"/>
  <c r="C214" i="14"/>
  <c r="B214" i="14"/>
  <c r="G213" i="14"/>
  <c r="G355" i="14" s="1"/>
  <c r="F213" i="14"/>
  <c r="F355" i="14" s="1"/>
  <c r="E213" i="14"/>
  <c r="D213" i="14"/>
  <c r="C213" i="14"/>
  <c r="B213" i="14"/>
  <c r="B355" i="14" s="1"/>
  <c r="G212" i="14"/>
  <c r="F212" i="14"/>
  <c r="E212" i="14"/>
  <c r="D212" i="14"/>
  <c r="C212" i="14"/>
  <c r="B212" i="14"/>
  <c r="G211" i="14"/>
  <c r="F211" i="14"/>
  <c r="E211" i="14"/>
  <c r="D211" i="14"/>
  <c r="C211" i="14"/>
  <c r="B211" i="14"/>
  <c r="G210" i="14"/>
  <c r="F210" i="14"/>
  <c r="E210" i="14"/>
  <c r="D210" i="14"/>
  <c r="C210" i="14"/>
  <c r="B210" i="14"/>
  <c r="G209" i="14"/>
  <c r="F209" i="14"/>
  <c r="E209" i="14"/>
  <c r="D209" i="14"/>
  <c r="C209" i="14"/>
  <c r="B209" i="14"/>
  <c r="G208" i="14"/>
  <c r="G354" i="14" s="1"/>
  <c r="F208" i="14"/>
  <c r="E208" i="14"/>
  <c r="D208" i="14"/>
  <c r="C208" i="14"/>
  <c r="B208" i="14"/>
  <c r="G207" i="14"/>
  <c r="G353" i="14" s="1"/>
  <c r="F207" i="14"/>
  <c r="E207" i="14"/>
  <c r="D207" i="14"/>
  <c r="C207" i="14"/>
  <c r="B207" i="14"/>
  <c r="G206" i="14"/>
  <c r="G352" i="14" s="1"/>
  <c r="F206" i="14"/>
  <c r="E206" i="14"/>
  <c r="D206" i="14"/>
  <c r="C206" i="14"/>
  <c r="B206" i="14"/>
  <c r="G205" i="14"/>
  <c r="F205" i="14"/>
  <c r="E205" i="14"/>
  <c r="D205" i="14"/>
  <c r="C205" i="14"/>
  <c r="B205" i="14"/>
  <c r="G204" i="14"/>
  <c r="F204" i="14"/>
  <c r="E204" i="14"/>
  <c r="D204" i="14"/>
  <c r="C204" i="14"/>
  <c r="B204" i="14"/>
  <c r="G203" i="14"/>
  <c r="F203" i="14"/>
  <c r="E203" i="14"/>
  <c r="D203" i="14"/>
  <c r="C203" i="14"/>
  <c r="B203" i="14"/>
  <c r="G202" i="14"/>
  <c r="F202" i="14"/>
  <c r="E202" i="14"/>
  <c r="D202" i="14"/>
  <c r="C202" i="14"/>
  <c r="B202" i="14"/>
  <c r="G201" i="14"/>
  <c r="F201" i="14"/>
  <c r="E201" i="14"/>
  <c r="D201" i="14"/>
  <c r="C201" i="14"/>
  <c r="B201" i="14"/>
  <c r="G200" i="14"/>
  <c r="F200" i="14"/>
  <c r="E200" i="14"/>
  <c r="D200" i="14"/>
  <c r="C200" i="14"/>
  <c r="B200" i="14"/>
  <c r="G199" i="14"/>
  <c r="F199" i="14"/>
  <c r="E199" i="14"/>
  <c r="D199" i="14"/>
  <c r="C199" i="14"/>
  <c r="B199" i="14"/>
  <c r="G198" i="14"/>
  <c r="F198" i="14"/>
  <c r="E198" i="14"/>
  <c r="D198" i="14"/>
  <c r="C198" i="14"/>
  <c r="B198" i="14"/>
  <c r="G197" i="14"/>
  <c r="F197" i="14"/>
  <c r="E197" i="14"/>
  <c r="D197" i="14"/>
  <c r="C197" i="14"/>
  <c r="B197" i="14"/>
  <c r="G196" i="14"/>
  <c r="F196" i="14"/>
  <c r="E196" i="14"/>
  <c r="D196" i="14"/>
  <c r="C196" i="14"/>
  <c r="B196" i="14"/>
  <c r="G195" i="14"/>
  <c r="F195" i="14"/>
  <c r="E195" i="14"/>
  <c r="D195" i="14"/>
  <c r="C195" i="14"/>
  <c r="B195" i="14"/>
  <c r="G194" i="14"/>
  <c r="F194" i="14"/>
  <c r="E194" i="14"/>
  <c r="D194" i="14"/>
  <c r="C194" i="14"/>
  <c r="B194" i="14"/>
  <c r="G193" i="14"/>
  <c r="F193" i="14"/>
  <c r="E193" i="14"/>
  <c r="D193" i="14"/>
  <c r="C193" i="14"/>
  <c r="B193" i="14"/>
  <c r="H190" i="14"/>
  <c r="B25" i="13" s="1"/>
  <c r="H187" i="14"/>
  <c r="H186" i="14"/>
  <c r="H345" i="14" s="1"/>
  <c r="H185" i="14"/>
  <c r="B20" i="13" s="1"/>
  <c r="H184" i="14"/>
  <c r="B19" i="13" s="1"/>
  <c r="H183" i="14"/>
  <c r="H182" i="14"/>
  <c r="H341" i="14" s="1"/>
  <c r="H181" i="14"/>
  <c r="B16" i="13" s="1"/>
  <c r="H180" i="14"/>
  <c r="B15" i="13" s="1"/>
  <c r="H179" i="14"/>
  <c r="H178" i="14"/>
  <c r="H337" i="14" s="1"/>
  <c r="H177" i="14"/>
  <c r="B12" i="13" s="1"/>
  <c r="H176" i="14"/>
  <c r="B11" i="13" s="1"/>
  <c r="H175" i="14"/>
  <c r="H174" i="14"/>
  <c r="H173" i="14"/>
  <c r="H172" i="14"/>
  <c r="H171" i="14"/>
  <c r="H170" i="14"/>
  <c r="H169" i="14"/>
  <c r="H167" i="14"/>
  <c r="H163" i="14"/>
  <c r="H162" i="14"/>
  <c r="H161" i="14"/>
  <c r="H160" i="14"/>
  <c r="H159" i="14"/>
  <c r="H158" i="14"/>
  <c r="H157" i="14"/>
  <c r="H156" i="14"/>
  <c r="H155" i="14"/>
  <c r="H154" i="14"/>
  <c r="H153" i="14"/>
  <c r="H152" i="14"/>
  <c r="H151" i="14"/>
  <c r="H150" i="14"/>
  <c r="H149" i="14"/>
  <c r="H148" i="14"/>
  <c r="H147" i="14"/>
  <c r="H146" i="14"/>
  <c r="H143" i="14"/>
  <c r="H323" i="14" s="1"/>
  <c r="C25" i="13" s="1"/>
  <c r="H140" i="14"/>
  <c r="H320" i="14" s="1"/>
  <c r="C22" i="13" s="1"/>
  <c r="H139" i="14"/>
  <c r="H319" i="14" s="1"/>
  <c r="C21" i="13" s="1"/>
  <c r="H138" i="14"/>
  <c r="H318" i="14" s="1"/>
  <c r="C20" i="13" s="1"/>
  <c r="H137" i="14"/>
  <c r="H317" i="14" s="1"/>
  <c r="C19" i="13" s="1"/>
  <c r="H136" i="14"/>
  <c r="H316" i="14" s="1"/>
  <c r="C18" i="13" s="1"/>
  <c r="H135" i="14"/>
  <c r="H315" i="14" s="1"/>
  <c r="C17" i="13" s="1"/>
  <c r="H134" i="14"/>
  <c r="H314" i="14" s="1"/>
  <c r="C16" i="13" s="1"/>
  <c r="H133" i="14"/>
  <c r="H313" i="14" s="1"/>
  <c r="C15" i="13" s="1"/>
  <c r="H132" i="14"/>
  <c r="H312" i="14" s="1"/>
  <c r="C14" i="13" s="1"/>
  <c r="H131" i="14"/>
  <c r="H311" i="14" s="1"/>
  <c r="C13" i="13" s="1"/>
  <c r="H130" i="14"/>
  <c r="H310" i="14" s="1"/>
  <c r="C12" i="13" s="1"/>
  <c r="H129" i="14"/>
  <c r="H309" i="14" s="1"/>
  <c r="C11" i="13" s="1"/>
  <c r="H128" i="14"/>
  <c r="H127" i="14"/>
  <c r="H126" i="14"/>
  <c r="H125" i="14"/>
  <c r="E124" i="14"/>
  <c r="H123" i="14"/>
  <c r="H122" i="14"/>
  <c r="H121" i="14"/>
  <c r="H120" i="14"/>
  <c r="H119" i="14"/>
  <c r="H116" i="14"/>
  <c r="H115" i="14"/>
  <c r="H114" i="14"/>
  <c r="H113" i="14"/>
  <c r="H112" i="14"/>
  <c r="H111" i="14"/>
  <c r="H110" i="14"/>
  <c r="H109" i="14"/>
  <c r="H108" i="14"/>
  <c r="H107" i="14"/>
  <c r="H106" i="14"/>
  <c r="H105" i="14"/>
  <c r="H104" i="14"/>
  <c r="H103" i="14"/>
  <c r="H102" i="14"/>
  <c r="H101" i="14"/>
  <c r="H100" i="14"/>
  <c r="H99" i="14"/>
  <c r="H96" i="14"/>
  <c r="H301" i="14" s="1"/>
  <c r="D25" i="13" s="1"/>
  <c r="H93" i="14"/>
  <c r="H298" i="14" s="1"/>
  <c r="D22" i="13" s="1"/>
  <c r="H92" i="14"/>
  <c r="H297" i="14" s="1"/>
  <c r="D21" i="13" s="1"/>
  <c r="H91" i="14"/>
  <c r="H296" i="14" s="1"/>
  <c r="D20" i="13" s="1"/>
  <c r="H90" i="14"/>
  <c r="H295" i="14" s="1"/>
  <c r="D19" i="13" s="1"/>
  <c r="H89" i="14"/>
  <c r="H294" i="14" s="1"/>
  <c r="D18" i="13" s="1"/>
  <c r="H88" i="14"/>
  <c r="H293" i="14" s="1"/>
  <c r="D17" i="13" s="1"/>
  <c r="H87" i="14"/>
  <c r="H292" i="14" s="1"/>
  <c r="D16" i="13" s="1"/>
  <c r="H86" i="14"/>
  <c r="H291" i="14" s="1"/>
  <c r="D15" i="13" s="1"/>
  <c r="H85" i="14"/>
  <c r="H290" i="14" s="1"/>
  <c r="D14" i="13" s="1"/>
  <c r="H84" i="14"/>
  <c r="H289" i="14" s="1"/>
  <c r="D13" i="13" s="1"/>
  <c r="H83" i="14"/>
  <c r="H288" i="14" s="1"/>
  <c r="D12" i="13" s="1"/>
  <c r="H82" i="14"/>
  <c r="H287" i="14" s="1"/>
  <c r="D11" i="13" s="1"/>
  <c r="H81" i="14"/>
  <c r="H80" i="14"/>
  <c r="H79" i="14"/>
  <c r="H78" i="14"/>
  <c r="H77" i="14"/>
  <c r="H76" i="14"/>
  <c r="H75" i="14"/>
  <c r="H74" i="14"/>
  <c r="H73" i="14"/>
  <c r="H72" i="14"/>
  <c r="H71" i="14"/>
  <c r="H69" i="14"/>
  <c r="H68" i="14"/>
  <c r="H67" i="14"/>
  <c r="H66" i="14"/>
  <c r="H65" i="14"/>
  <c r="H64" i="14"/>
  <c r="H63" i="14"/>
  <c r="H62" i="14"/>
  <c r="H61" i="14"/>
  <c r="H60" i="14"/>
  <c r="H59" i="14"/>
  <c r="H58" i="14"/>
  <c r="H57" i="14"/>
  <c r="H56" i="14"/>
  <c r="H55" i="14"/>
  <c r="H54" i="14"/>
  <c r="H53" i="14"/>
  <c r="H52" i="14"/>
  <c r="H49" i="14"/>
  <c r="H279" i="14" s="1"/>
  <c r="E25" i="13" s="1"/>
  <c r="H46" i="14"/>
  <c r="H276" i="14" s="1"/>
  <c r="E22" i="13" s="1"/>
  <c r="H45" i="14"/>
  <c r="H44" i="14"/>
  <c r="H43" i="14"/>
  <c r="H273" i="14" s="1"/>
  <c r="E19" i="13" s="1"/>
  <c r="H42" i="14"/>
  <c r="H272" i="14" s="1"/>
  <c r="E18" i="13" s="1"/>
  <c r="H41" i="14"/>
  <c r="H40" i="14"/>
  <c r="H39" i="14"/>
  <c r="H269" i="14" s="1"/>
  <c r="E15" i="13" s="1"/>
  <c r="H38" i="14"/>
  <c r="H37" i="14"/>
  <c r="H36" i="14"/>
  <c r="H35" i="14"/>
  <c r="H265" i="14" s="1"/>
  <c r="E11" i="13" s="1"/>
  <c r="H34" i="14"/>
  <c r="H33" i="14"/>
  <c r="H32" i="14"/>
  <c r="H31" i="14"/>
  <c r="H30" i="14"/>
  <c r="H29" i="14"/>
  <c r="H28" i="14"/>
  <c r="H27" i="14"/>
  <c r="H26" i="14"/>
  <c r="H25" i="14"/>
  <c r="H24" i="14"/>
  <c r="H22" i="14"/>
  <c r="H21" i="14"/>
  <c r="H20" i="14"/>
  <c r="H19" i="14"/>
  <c r="H18" i="14"/>
  <c r="H17" i="14"/>
  <c r="H16" i="14"/>
  <c r="H15" i="14"/>
  <c r="H14" i="14"/>
  <c r="H13" i="14"/>
  <c r="H12" i="14"/>
  <c r="H11" i="14"/>
  <c r="H10" i="14"/>
  <c r="H9" i="14"/>
  <c r="H8" i="14"/>
  <c r="H7" i="14"/>
  <c r="H6" i="14"/>
  <c r="H5" i="14"/>
  <c r="E95" i="13"/>
  <c r="D95" i="13"/>
  <c r="F91" i="13"/>
  <c r="J91" i="13" s="1"/>
  <c r="E91" i="13"/>
  <c r="D91" i="13"/>
  <c r="C91" i="13"/>
  <c r="B91" i="13"/>
  <c r="F89" i="13"/>
  <c r="J89" i="13" s="1"/>
  <c r="E89" i="13"/>
  <c r="D89" i="13"/>
  <c r="C89" i="13"/>
  <c r="B89" i="13"/>
  <c r="F87" i="13"/>
  <c r="J87" i="13" s="1"/>
  <c r="E87" i="13"/>
  <c r="D87" i="13"/>
  <c r="C87" i="13"/>
  <c r="B87" i="13"/>
  <c r="F85" i="13"/>
  <c r="J85" i="13" s="1"/>
  <c r="E85" i="13"/>
  <c r="D85" i="13"/>
  <c r="C85" i="13"/>
  <c r="B85" i="13"/>
  <c r="F83" i="13"/>
  <c r="J83" i="13" s="1"/>
  <c r="E83" i="13"/>
  <c r="D83" i="13"/>
  <c r="C83" i="13"/>
  <c r="B83" i="13"/>
  <c r="F81" i="13"/>
  <c r="J81" i="13" s="1"/>
  <c r="E81" i="13"/>
  <c r="D81" i="13"/>
  <c r="C81" i="13"/>
  <c r="B81" i="13"/>
  <c r="G58" i="13"/>
  <c r="G57" i="13"/>
  <c r="G32" i="13"/>
  <c r="G31" i="13"/>
  <c r="G10" i="13"/>
  <c r="G9" i="13"/>
  <c r="X49" i="25"/>
  <c r="X220" i="25" s="1"/>
  <c r="X46" i="25"/>
  <c r="X217" i="25" s="1"/>
  <c r="L46" i="25"/>
  <c r="L217" i="25" s="1"/>
  <c r="L44" i="25"/>
  <c r="L215" i="25" s="1"/>
  <c r="X42" i="25"/>
  <c r="X213" i="25" s="1"/>
  <c r="L42" i="25"/>
  <c r="L213" i="25" s="1"/>
  <c r="L40" i="25"/>
  <c r="L211" i="25" s="1"/>
  <c r="X39" i="25"/>
  <c r="X210" i="25" s="1"/>
  <c r="X38" i="25"/>
  <c r="X209" i="25" s="1"/>
  <c r="L38" i="25"/>
  <c r="L209" i="25" s="1"/>
  <c r="L36" i="25"/>
  <c r="L207" i="25" s="1"/>
  <c r="X34" i="25"/>
  <c r="L34" i="25"/>
  <c r="X33" i="25"/>
  <c r="X32" i="25"/>
  <c r="L32" i="25"/>
  <c r="X31" i="25"/>
  <c r="X30" i="25"/>
  <c r="X29" i="25"/>
  <c r="X28" i="25"/>
  <c r="L28" i="25"/>
  <c r="X27" i="25"/>
  <c r="X26" i="25"/>
  <c r="L26" i="25"/>
  <c r="X24" i="25"/>
  <c r="L24" i="25"/>
  <c r="L23" i="25"/>
  <c r="X21" i="25"/>
  <c r="L21" i="25"/>
  <c r="X19" i="25"/>
  <c r="L19" i="25"/>
  <c r="X17" i="25"/>
  <c r="L17" i="25"/>
  <c r="X15" i="25"/>
  <c r="X13" i="25"/>
  <c r="L13" i="25"/>
  <c r="X11" i="25"/>
  <c r="L11" i="25"/>
  <c r="X9" i="25"/>
  <c r="L9" i="25"/>
  <c r="X7" i="25"/>
  <c r="L7" i="25"/>
  <c r="X5" i="25"/>
  <c r="L5" i="25"/>
  <c r="F37" i="24"/>
  <c r="F209" i="24" s="1"/>
  <c r="L26" i="24"/>
  <c r="L22" i="24"/>
  <c r="L18" i="24"/>
  <c r="L10" i="24"/>
  <c r="L6" i="24"/>
  <c r="C59" i="8"/>
  <c r="B59" i="8"/>
  <c r="B33" i="8"/>
  <c r="B55" i="8"/>
  <c r="G67" i="8"/>
  <c r="G59" i="8"/>
  <c r="L96" i="23"/>
  <c r="L242" i="23" s="1"/>
  <c r="L93" i="23"/>
  <c r="L239" i="23" s="1"/>
  <c r="I86" i="23"/>
  <c r="I232" i="23" s="1"/>
  <c r="F86" i="23"/>
  <c r="F232" i="23" s="1"/>
  <c r="L82" i="23"/>
  <c r="L228" i="23" s="1"/>
  <c r="L71" i="23"/>
  <c r="L70" i="23"/>
  <c r="F56" i="8"/>
  <c r="F30" i="8"/>
  <c r="L61" i="23"/>
  <c r="E36" i="8"/>
  <c r="D34" i="23"/>
  <c r="E33" i="8"/>
  <c r="E32" i="8"/>
  <c r="E58" i="8"/>
  <c r="E56" i="8"/>
  <c r="D42" i="8"/>
  <c r="D40" i="8"/>
  <c r="D34" i="8"/>
  <c r="D33" i="8"/>
  <c r="D32" i="8"/>
  <c r="D57" i="8"/>
  <c r="D31" i="8"/>
  <c r="D29" i="8"/>
  <c r="D55" i="8"/>
  <c r="L38" i="23"/>
  <c r="L209" i="23" s="1"/>
  <c r="H38" i="23"/>
  <c r="H209" i="23" s="1"/>
  <c r="L36" i="23"/>
  <c r="L207" i="23" s="1"/>
  <c r="L32" i="23"/>
  <c r="L28" i="23"/>
  <c r="L21" i="23"/>
  <c r="L19" i="23"/>
  <c r="L17" i="23"/>
  <c r="C56" i="8"/>
  <c r="L15" i="23"/>
  <c r="C55" i="8"/>
  <c r="B74" i="8"/>
  <c r="B44" i="8"/>
  <c r="B40" i="8"/>
  <c r="N180" i="27"/>
  <c r="D180" i="27"/>
  <c r="C180" i="27"/>
  <c r="B180" i="27"/>
  <c r="F179" i="27"/>
  <c r="B60" i="8"/>
  <c r="F14" i="8"/>
  <c r="D13" i="8"/>
  <c r="C19" i="8"/>
  <c r="B12" i="8"/>
  <c r="F20" i="8"/>
  <c r="F82" i="22"/>
  <c r="F232" i="22" s="1"/>
  <c r="F12" i="8"/>
  <c r="L67" i="22"/>
  <c r="L57" i="22"/>
  <c r="E22" i="8"/>
  <c r="E21" i="8"/>
  <c r="E20" i="8"/>
  <c r="E18" i="8"/>
  <c r="E17" i="8"/>
  <c r="E16" i="8"/>
  <c r="E15" i="8"/>
  <c r="E13" i="8"/>
  <c r="E11" i="8"/>
  <c r="D32" i="22"/>
  <c r="E8" i="8"/>
  <c r="D22" i="8"/>
  <c r="D21" i="8"/>
  <c r="D20" i="8"/>
  <c r="D18" i="8"/>
  <c r="D17" i="8"/>
  <c r="D16" i="8"/>
  <c r="G37" i="22"/>
  <c r="G210" i="22" s="1"/>
  <c r="D14" i="8"/>
  <c r="D12" i="8"/>
  <c r="D8" i="8"/>
  <c r="C25" i="8"/>
  <c r="I37" i="22"/>
  <c r="I210" i="22" s="1"/>
  <c r="L28" i="22"/>
  <c r="L25" i="22"/>
  <c r="L21" i="22"/>
  <c r="L17" i="22"/>
  <c r="L12" i="22"/>
  <c r="L5" i="22"/>
  <c r="B22" i="8"/>
  <c r="B18" i="8"/>
  <c r="D180" i="26"/>
  <c r="B14" i="8"/>
  <c r="B9" i="8"/>
  <c r="F74" i="8"/>
  <c r="E74" i="8"/>
  <c r="D74" i="8"/>
  <c r="C74" i="8"/>
  <c r="F71" i="8"/>
  <c r="E71" i="8"/>
  <c r="D71" i="8"/>
  <c r="C71" i="8"/>
  <c r="B71" i="8"/>
  <c r="G70" i="8"/>
  <c r="K70" i="8" s="1"/>
  <c r="F70" i="8"/>
  <c r="E70" i="8"/>
  <c r="D70" i="8"/>
  <c r="C70" i="8"/>
  <c r="B70" i="8"/>
  <c r="F69" i="8"/>
  <c r="E69" i="8"/>
  <c r="D69" i="8"/>
  <c r="C69" i="8"/>
  <c r="B69" i="8"/>
  <c r="F68" i="8"/>
  <c r="E68" i="8"/>
  <c r="D68" i="8"/>
  <c r="C68" i="8"/>
  <c r="B68" i="8"/>
  <c r="K67" i="8"/>
  <c r="F67" i="8"/>
  <c r="E67" i="8"/>
  <c r="D67" i="8"/>
  <c r="C67" i="8"/>
  <c r="B67" i="8"/>
  <c r="F66" i="8"/>
  <c r="E66" i="8"/>
  <c r="D66" i="8"/>
  <c r="C66" i="8"/>
  <c r="B66" i="8"/>
  <c r="F65" i="8"/>
  <c r="E65" i="8"/>
  <c r="D65" i="8"/>
  <c r="C65" i="8"/>
  <c r="B65" i="8"/>
  <c r="F64" i="8"/>
  <c r="E64" i="8"/>
  <c r="D64" i="8"/>
  <c r="C64" i="8"/>
  <c r="F63" i="8"/>
  <c r="D63" i="8"/>
  <c r="C63" i="8"/>
  <c r="F62" i="8"/>
  <c r="E62" i="8"/>
  <c r="D62" i="8"/>
  <c r="C62" i="8"/>
  <c r="B62" i="8"/>
  <c r="F61" i="8"/>
  <c r="E61" i="8"/>
  <c r="D61" i="8"/>
  <c r="C61" i="8"/>
  <c r="B61" i="8"/>
  <c r="F60" i="8"/>
  <c r="E60" i="8"/>
  <c r="D60" i="8"/>
  <c r="C60" i="8"/>
  <c r="I59" i="8"/>
  <c r="F59" i="8"/>
  <c r="E59" i="8"/>
  <c r="D59" i="8"/>
  <c r="I58" i="8"/>
  <c r="F58" i="8"/>
  <c r="D58" i="8"/>
  <c r="C58" i="8"/>
  <c r="J57" i="8"/>
  <c r="I57" i="8"/>
  <c r="F57" i="8"/>
  <c r="C57" i="8"/>
  <c r="D56" i="8"/>
  <c r="B56" i="8"/>
  <c r="E55" i="8"/>
  <c r="G54" i="8"/>
  <c r="K54" i="8" s="1"/>
  <c r="F54" i="8"/>
  <c r="E54" i="8"/>
  <c r="D54" i="8"/>
  <c r="C54" i="8"/>
  <c r="B54" i="8"/>
  <c r="F48" i="8"/>
  <c r="E48" i="8"/>
  <c r="D48" i="8"/>
  <c r="C48" i="8"/>
  <c r="B48" i="8"/>
  <c r="F45" i="8"/>
  <c r="E45" i="8"/>
  <c r="D45" i="8"/>
  <c r="B45" i="8"/>
  <c r="E44" i="8"/>
  <c r="D44" i="8"/>
  <c r="F43" i="8"/>
  <c r="D43" i="8"/>
  <c r="C43" i="8"/>
  <c r="B43" i="8"/>
  <c r="F42" i="8"/>
  <c r="E42" i="8"/>
  <c r="C42" i="8"/>
  <c r="B42" i="8"/>
  <c r="F41" i="8"/>
  <c r="E41" i="8"/>
  <c r="D41" i="8"/>
  <c r="B41" i="8"/>
  <c r="E40" i="8"/>
  <c r="C40" i="8"/>
  <c r="D39" i="8"/>
  <c r="C39" i="8"/>
  <c r="B39" i="8"/>
  <c r="F37" i="8"/>
  <c r="E37" i="8"/>
  <c r="D37" i="8"/>
  <c r="D36" i="8"/>
  <c r="C36" i="8"/>
  <c r="F35" i="8"/>
  <c r="D35" i="8"/>
  <c r="C35" i="8"/>
  <c r="B35" i="8"/>
  <c r="F34" i="8"/>
  <c r="E34" i="8"/>
  <c r="C34" i="8"/>
  <c r="J33" i="8"/>
  <c r="I33" i="8"/>
  <c r="J32" i="8"/>
  <c r="I32" i="8"/>
  <c r="J31" i="8"/>
  <c r="I31" i="8"/>
  <c r="B31" i="8"/>
  <c r="E30" i="8"/>
  <c r="G28" i="8"/>
  <c r="K28" i="8" s="1"/>
  <c r="F28" i="8"/>
  <c r="E28" i="8"/>
  <c r="D28" i="8"/>
  <c r="C28" i="8"/>
  <c r="B28" i="8"/>
  <c r="D25" i="8"/>
  <c r="F19" i="8"/>
  <c r="D19" i="8"/>
  <c r="F17" i="8"/>
  <c r="B17" i="8"/>
  <c r="D15" i="8"/>
  <c r="C14" i="8"/>
  <c r="D11" i="8"/>
  <c r="J10" i="8"/>
  <c r="I10" i="8"/>
  <c r="J9" i="8"/>
  <c r="I9" i="8"/>
  <c r="J8" i="8"/>
  <c r="I8" i="8"/>
  <c r="G5" i="8"/>
  <c r="K5" i="8" s="1"/>
  <c r="F5" i="8"/>
  <c r="E5" i="8"/>
  <c r="D5" i="8"/>
  <c r="C5" i="8"/>
  <c r="B5" i="8"/>
  <c r="A428" i="7"/>
  <c r="A408" i="7"/>
  <c r="W406" i="7"/>
  <c r="V406" i="7"/>
  <c r="U406" i="7"/>
  <c r="T406" i="7"/>
  <c r="S406" i="7"/>
  <c r="R406" i="7"/>
  <c r="Q406" i="7"/>
  <c r="P406" i="7"/>
  <c r="O406" i="7"/>
  <c r="N406" i="7"/>
  <c r="K406" i="7"/>
  <c r="J406" i="7"/>
  <c r="I406" i="7"/>
  <c r="H406" i="7"/>
  <c r="G406" i="7"/>
  <c r="F406" i="7"/>
  <c r="E406" i="7"/>
  <c r="D406" i="7"/>
  <c r="C406" i="7"/>
  <c r="B406" i="7"/>
  <c r="W403" i="7"/>
  <c r="V403" i="7"/>
  <c r="U403" i="7"/>
  <c r="T403" i="7"/>
  <c r="S403" i="7"/>
  <c r="R403" i="7"/>
  <c r="Q403" i="7"/>
  <c r="P403" i="7"/>
  <c r="O403" i="7"/>
  <c r="N403" i="7"/>
  <c r="K403" i="7"/>
  <c r="J403" i="7"/>
  <c r="I403" i="7"/>
  <c r="H403" i="7"/>
  <c r="G403" i="7"/>
  <c r="F403" i="7"/>
  <c r="E403" i="7"/>
  <c r="D403" i="7"/>
  <c r="C403" i="7"/>
  <c r="B403" i="7"/>
  <c r="X402" i="7"/>
  <c r="W402" i="7"/>
  <c r="V402" i="7"/>
  <c r="U402" i="7"/>
  <c r="T402" i="7"/>
  <c r="S402" i="7"/>
  <c r="R402" i="7"/>
  <c r="Q402" i="7"/>
  <c r="P402" i="7"/>
  <c r="O402" i="7"/>
  <c r="N402" i="7"/>
  <c r="K402" i="7"/>
  <c r="J402" i="7"/>
  <c r="I402" i="7"/>
  <c r="H402" i="7"/>
  <c r="G402" i="7"/>
  <c r="F402" i="7"/>
  <c r="E402" i="7"/>
  <c r="D402" i="7"/>
  <c r="C402" i="7"/>
  <c r="B402" i="7"/>
  <c r="X401" i="7"/>
  <c r="W401" i="7"/>
  <c r="V401" i="7"/>
  <c r="U401" i="7"/>
  <c r="T401" i="7"/>
  <c r="S401" i="7"/>
  <c r="R401" i="7"/>
  <c r="Q401" i="7"/>
  <c r="P401" i="7"/>
  <c r="O401" i="7"/>
  <c r="N401" i="7"/>
  <c r="K401" i="7"/>
  <c r="J401" i="7"/>
  <c r="I401" i="7"/>
  <c r="H401" i="7"/>
  <c r="G401" i="7"/>
  <c r="F401" i="7"/>
  <c r="E401" i="7"/>
  <c r="D401" i="7"/>
  <c r="C401" i="7"/>
  <c r="B401" i="7"/>
  <c r="W400" i="7"/>
  <c r="V400" i="7"/>
  <c r="U400" i="7"/>
  <c r="T400" i="7"/>
  <c r="S400" i="7"/>
  <c r="R400" i="7"/>
  <c r="Q400" i="7"/>
  <c r="P400" i="7"/>
  <c r="O400" i="7"/>
  <c r="N400" i="7"/>
  <c r="K400" i="7"/>
  <c r="J400" i="7"/>
  <c r="I400" i="7"/>
  <c r="H400" i="7"/>
  <c r="G400" i="7"/>
  <c r="F400" i="7"/>
  <c r="E400" i="7"/>
  <c r="D400" i="7"/>
  <c r="C400" i="7"/>
  <c r="B400" i="7"/>
  <c r="W399" i="7"/>
  <c r="V399" i="7"/>
  <c r="U399" i="7"/>
  <c r="T399" i="7"/>
  <c r="S399" i="7"/>
  <c r="R399" i="7"/>
  <c r="Q399" i="7"/>
  <c r="P399" i="7"/>
  <c r="O399" i="7"/>
  <c r="N399" i="7"/>
  <c r="K399" i="7"/>
  <c r="J399" i="7"/>
  <c r="I399" i="7"/>
  <c r="H399" i="7"/>
  <c r="G399" i="7"/>
  <c r="F399" i="7"/>
  <c r="E399" i="7"/>
  <c r="D399" i="7"/>
  <c r="C399" i="7"/>
  <c r="B399" i="7"/>
  <c r="W398" i="7"/>
  <c r="V398" i="7"/>
  <c r="U398" i="7"/>
  <c r="T398" i="7"/>
  <c r="S398" i="7"/>
  <c r="R398" i="7"/>
  <c r="Q398" i="7"/>
  <c r="P398" i="7"/>
  <c r="O398" i="7"/>
  <c r="N398" i="7"/>
  <c r="K398" i="7"/>
  <c r="J398" i="7"/>
  <c r="I398" i="7"/>
  <c r="H398" i="7"/>
  <c r="G398" i="7"/>
  <c r="F398" i="7"/>
  <c r="E398" i="7"/>
  <c r="D398" i="7"/>
  <c r="C398" i="7"/>
  <c r="B398" i="7"/>
  <c r="W397" i="7"/>
  <c r="V397" i="7"/>
  <c r="U397" i="7"/>
  <c r="T397" i="7"/>
  <c r="S397" i="7"/>
  <c r="R397" i="7"/>
  <c r="Q397" i="7"/>
  <c r="P397" i="7"/>
  <c r="O397" i="7"/>
  <c r="N397" i="7"/>
  <c r="K397" i="7"/>
  <c r="J397" i="7"/>
  <c r="I397" i="7"/>
  <c r="H397" i="7"/>
  <c r="G397" i="7"/>
  <c r="F397" i="7"/>
  <c r="E397" i="7"/>
  <c r="D397" i="7"/>
  <c r="C397" i="7"/>
  <c r="B397" i="7"/>
  <c r="W396" i="7"/>
  <c r="V396" i="7"/>
  <c r="U396" i="7"/>
  <c r="T396" i="7"/>
  <c r="S396" i="7"/>
  <c r="R396" i="7"/>
  <c r="Q396" i="7"/>
  <c r="P396" i="7"/>
  <c r="O396" i="7"/>
  <c r="N396" i="7"/>
  <c r="K396" i="7"/>
  <c r="J396" i="7"/>
  <c r="I396" i="7"/>
  <c r="H396" i="7"/>
  <c r="G396" i="7"/>
  <c r="F396" i="7"/>
  <c r="E396" i="7"/>
  <c r="D396" i="7"/>
  <c r="C396" i="7"/>
  <c r="B396" i="7"/>
  <c r="X395" i="7"/>
  <c r="W395" i="7"/>
  <c r="V395" i="7"/>
  <c r="U395" i="7"/>
  <c r="T395" i="7"/>
  <c r="S395" i="7"/>
  <c r="R395" i="7"/>
  <c r="Q395" i="7"/>
  <c r="P395" i="7"/>
  <c r="O395" i="7"/>
  <c r="N395" i="7"/>
  <c r="L395" i="7"/>
  <c r="K395" i="7"/>
  <c r="J395" i="7"/>
  <c r="I395" i="7"/>
  <c r="H395" i="7"/>
  <c r="G395" i="7"/>
  <c r="F395" i="7"/>
  <c r="E395" i="7"/>
  <c r="D395" i="7"/>
  <c r="C395" i="7"/>
  <c r="B395" i="7"/>
  <c r="X394" i="7"/>
  <c r="W394" i="7"/>
  <c r="V394" i="7"/>
  <c r="U394" i="7"/>
  <c r="T394" i="7"/>
  <c r="S394" i="7"/>
  <c r="R394" i="7"/>
  <c r="Q394" i="7"/>
  <c r="P394" i="7"/>
  <c r="O394" i="7"/>
  <c r="N394" i="7"/>
  <c r="L394" i="7"/>
  <c r="K394" i="7"/>
  <c r="J394" i="7"/>
  <c r="I394" i="7"/>
  <c r="H394" i="7"/>
  <c r="G394" i="7"/>
  <c r="F394" i="7"/>
  <c r="E394" i="7"/>
  <c r="D394" i="7"/>
  <c r="C394" i="7"/>
  <c r="B394" i="7"/>
  <c r="W393" i="7"/>
  <c r="V393" i="7"/>
  <c r="U393" i="7"/>
  <c r="T393" i="7"/>
  <c r="S393" i="7"/>
  <c r="R393" i="7"/>
  <c r="Q393" i="7"/>
  <c r="P393" i="7"/>
  <c r="O393" i="7"/>
  <c r="N393" i="7"/>
  <c r="K393" i="7"/>
  <c r="I393" i="7"/>
  <c r="H393" i="7"/>
  <c r="G393" i="7"/>
  <c r="F393" i="7"/>
  <c r="E393" i="7"/>
  <c r="D393" i="7"/>
  <c r="C393" i="7"/>
  <c r="B393" i="7"/>
  <c r="X392" i="7"/>
  <c r="W392" i="7"/>
  <c r="V392" i="7"/>
  <c r="U392" i="7"/>
  <c r="T392" i="7"/>
  <c r="S392" i="7"/>
  <c r="R392" i="7"/>
  <c r="Q392" i="7"/>
  <c r="P392" i="7"/>
  <c r="O392" i="7"/>
  <c r="N392" i="7"/>
  <c r="K392" i="7"/>
  <c r="J392" i="7"/>
  <c r="I392" i="7"/>
  <c r="H392" i="7"/>
  <c r="G392" i="7"/>
  <c r="F392" i="7"/>
  <c r="E392" i="7"/>
  <c r="D392" i="7"/>
  <c r="C392" i="7"/>
  <c r="B392" i="7"/>
  <c r="W391" i="7"/>
  <c r="V391" i="7"/>
  <c r="U391" i="7"/>
  <c r="T391" i="7"/>
  <c r="S391" i="7"/>
  <c r="R391" i="7"/>
  <c r="Q391" i="7"/>
  <c r="P391" i="7"/>
  <c r="O391" i="7"/>
  <c r="N391" i="7"/>
  <c r="I391" i="7"/>
  <c r="H391" i="7"/>
  <c r="G391" i="7"/>
  <c r="F391" i="7"/>
  <c r="E391" i="7"/>
  <c r="D391" i="7"/>
  <c r="C391" i="7"/>
  <c r="B391" i="7"/>
  <c r="T390" i="7"/>
  <c r="S390" i="7"/>
  <c r="R390" i="7"/>
  <c r="I390" i="7"/>
  <c r="H390" i="7"/>
  <c r="G390" i="7"/>
  <c r="F390" i="7"/>
  <c r="E390" i="7"/>
  <c r="D390" i="7"/>
  <c r="C390" i="7"/>
  <c r="W389" i="7"/>
  <c r="V389" i="7"/>
  <c r="U389" i="7"/>
  <c r="T389" i="7"/>
  <c r="S389" i="7"/>
  <c r="R389" i="7"/>
  <c r="Q389" i="7"/>
  <c r="P389" i="7"/>
  <c r="O389" i="7"/>
  <c r="N389" i="7"/>
  <c r="K389" i="7"/>
  <c r="J389" i="7"/>
  <c r="I389" i="7"/>
  <c r="H389" i="7"/>
  <c r="G389" i="7"/>
  <c r="F389" i="7"/>
  <c r="E389" i="7"/>
  <c r="D389" i="7"/>
  <c r="C389" i="7"/>
  <c r="B389" i="7"/>
  <c r="W388" i="7"/>
  <c r="V388" i="7"/>
  <c r="U388" i="7"/>
  <c r="T388" i="7"/>
  <c r="S388" i="7"/>
  <c r="R388" i="7"/>
  <c r="Q388" i="7"/>
  <c r="P388" i="7"/>
  <c r="O388" i="7"/>
  <c r="N388" i="7"/>
  <c r="K388" i="7"/>
  <c r="J388" i="7"/>
  <c r="I388" i="7"/>
  <c r="H388" i="7"/>
  <c r="G388" i="7"/>
  <c r="F388" i="7"/>
  <c r="E388" i="7"/>
  <c r="D388" i="7"/>
  <c r="C388" i="7"/>
  <c r="B388" i="7"/>
  <c r="A387" i="7"/>
  <c r="W382" i="7"/>
  <c r="V382" i="7"/>
  <c r="U382" i="7"/>
  <c r="T382" i="7"/>
  <c r="S382" i="7"/>
  <c r="R382" i="7"/>
  <c r="Q382" i="7"/>
  <c r="P382" i="7"/>
  <c r="O382" i="7"/>
  <c r="N382" i="7"/>
  <c r="K382" i="7"/>
  <c r="J382" i="7"/>
  <c r="I382" i="7"/>
  <c r="H382" i="7"/>
  <c r="G382" i="7"/>
  <c r="F382" i="7"/>
  <c r="E382" i="7"/>
  <c r="D382" i="7"/>
  <c r="C382" i="7"/>
  <c r="B382" i="7"/>
  <c r="W379" i="7"/>
  <c r="V379" i="7"/>
  <c r="U379" i="7"/>
  <c r="T379" i="7"/>
  <c r="S379" i="7"/>
  <c r="R379" i="7"/>
  <c r="Q379" i="7"/>
  <c r="P379" i="7"/>
  <c r="O379" i="7"/>
  <c r="N379" i="7"/>
  <c r="K379" i="7"/>
  <c r="J379" i="7"/>
  <c r="I379" i="7"/>
  <c r="H379" i="7"/>
  <c r="G379" i="7"/>
  <c r="F379" i="7"/>
  <c r="E379" i="7"/>
  <c r="D379" i="7"/>
  <c r="C379" i="7"/>
  <c r="B379" i="7"/>
  <c r="W378" i="7"/>
  <c r="V378" i="7"/>
  <c r="U378" i="7"/>
  <c r="T378" i="7"/>
  <c r="S378" i="7"/>
  <c r="R378" i="7"/>
  <c r="Q378" i="7"/>
  <c r="P378" i="7"/>
  <c r="O378" i="7"/>
  <c r="N378" i="7"/>
  <c r="K378" i="7"/>
  <c r="J378" i="7"/>
  <c r="I378" i="7"/>
  <c r="H378" i="7"/>
  <c r="G378" i="7"/>
  <c r="F378" i="7"/>
  <c r="E378" i="7"/>
  <c r="D378" i="7"/>
  <c r="C378" i="7"/>
  <c r="B378" i="7"/>
  <c r="W377" i="7"/>
  <c r="V377" i="7"/>
  <c r="U377" i="7"/>
  <c r="T377" i="7"/>
  <c r="S377" i="7"/>
  <c r="R377" i="7"/>
  <c r="Q377" i="7"/>
  <c r="P377" i="7"/>
  <c r="O377" i="7"/>
  <c r="N377" i="7"/>
  <c r="K377" i="7"/>
  <c r="J377" i="7"/>
  <c r="I377" i="7"/>
  <c r="H377" i="7"/>
  <c r="G377" i="7"/>
  <c r="F377" i="7"/>
  <c r="E377" i="7"/>
  <c r="D377" i="7"/>
  <c r="C377" i="7"/>
  <c r="B377" i="7"/>
  <c r="W376" i="7"/>
  <c r="V376" i="7"/>
  <c r="U376" i="7"/>
  <c r="T376" i="7"/>
  <c r="S376" i="7"/>
  <c r="R376" i="7"/>
  <c r="Q376" i="7"/>
  <c r="P376" i="7"/>
  <c r="O376" i="7"/>
  <c r="N376" i="7"/>
  <c r="K376" i="7"/>
  <c r="J376" i="7"/>
  <c r="I376" i="7"/>
  <c r="H376" i="7"/>
  <c r="G376" i="7"/>
  <c r="F376" i="7"/>
  <c r="E376" i="7"/>
  <c r="D376" i="7"/>
  <c r="C376" i="7"/>
  <c r="B376" i="7"/>
  <c r="W375" i="7"/>
  <c r="V375" i="7"/>
  <c r="U375" i="7"/>
  <c r="T375" i="7"/>
  <c r="S375" i="7"/>
  <c r="R375" i="7"/>
  <c r="Q375" i="7"/>
  <c r="P375" i="7"/>
  <c r="O375" i="7"/>
  <c r="N375" i="7"/>
  <c r="K375" i="7"/>
  <c r="J375" i="7"/>
  <c r="I375" i="7"/>
  <c r="H375" i="7"/>
  <c r="G375" i="7"/>
  <c r="F375" i="7"/>
  <c r="E375" i="7"/>
  <c r="D375" i="7"/>
  <c r="C375" i="7"/>
  <c r="B375" i="7"/>
  <c r="W374" i="7"/>
  <c r="V374" i="7"/>
  <c r="U374" i="7"/>
  <c r="T374" i="7"/>
  <c r="S374" i="7"/>
  <c r="R374" i="7"/>
  <c r="Q374" i="7"/>
  <c r="P374" i="7"/>
  <c r="O374" i="7"/>
  <c r="N374" i="7"/>
  <c r="K374" i="7"/>
  <c r="J374" i="7"/>
  <c r="I374" i="7"/>
  <c r="H374" i="7"/>
  <c r="G374" i="7"/>
  <c r="F374" i="7"/>
  <c r="E374" i="7"/>
  <c r="D374" i="7"/>
  <c r="C374" i="7"/>
  <c r="B374" i="7"/>
  <c r="W373" i="7"/>
  <c r="V373" i="7"/>
  <c r="U373" i="7"/>
  <c r="T373" i="7"/>
  <c r="S373" i="7"/>
  <c r="R373" i="7"/>
  <c r="Q373" i="7"/>
  <c r="P373" i="7"/>
  <c r="O373" i="7"/>
  <c r="N373" i="7"/>
  <c r="K373" i="7"/>
  <c r="J373" i="7"/>
  <c r="I373" i="7"/>
  <c r="H373" i="7"/>
  <c r="G373" i="7"/>
  <c r="F373" i="7"/>
  <c r="E373" i="7"/>
  <c r="D373" i="7"/>
  <c r="C373" i="7"/>
  <c r="B373" i="7"/>
  <c r="W372" i="7"/>
  <c r="V372" i="7"/>
  <c r="U372" i="7"/>
  <c r="T372" i="7"/>
  <c r="S372" i="7"/>
  <c r="R372" i="7"/>
  <c r="Q372" i="7"/>
  <c r="P372" i="7"/>
  <c r="O372" i="7"/>
  <c r="N372" i="7"/>
  <c r="K372" i="7"/>
  <c r="J372" i="7"/>
  <c r="I372" i="7"/>
  <c r="H372" i="7"/>
  <c r="G372" i="7"/>
  <c r="F372" i="7"/>
  <c r="E372" i="7"/>
  <c r="D372" i="7"/>
  <c r="C372" i="7"/>
  <c r="B372" i="7"/>
  <c r="X371" i="7"/>
  <c r="W371" i="7"/>
  <c r="V371" i="7"/>
  <c r="U371" i="7"/>
  <c r="T371" i="7"/>
  <c r="S371" i="7"/>
  <c r="R371" i="7"/>
  <c r="Q371" i="7"/>
  <c r="P371" i="7"/>
  <c r="O371" i="7"/>
  <c r="N371" i="7"/>
  <c r="L371" i="7"/>
  <c r="K371" i="7"/>
  <c r="J371" i="7"/>
  <c r="I371" i="7"/>
  <c r="H371" i="7"/>
  <c r="G371" i="7"/>
  <c r="F371" i="7"/>
  <c r="E371" i="7"/>
  <c r="D371" i="7"/>
  <c r="C371" i="7"/>
  <c r="B371" i="7"/>
  <c r="X370" i="7"/>
  <c r="W370" i="7"/>
  <c r="V370" i="7"/>
  <c r="U370" i="7"/>
  <c r="T370" i="7"/>
  <c r="S370" i="7"/>
  <c r="R370" i="7"/>
  <c r="Q370" i="7"/>
  <c r="P370" i="7"/>
  <c r="O370" i="7"/>
  <c r="N370" i="7"/>
  <c r="L370" i="7"/>
  <c r="K370" i="7"/>
  <c r="J370" i="7"/>
  <c r="I370" i="7"/>
  <c r="H370" i="7"/>
  <c r="G370" i="7"/>
  <c r="F370" i="7"/>
  <c r="E370" i="7"/>
  <c r="D370" i="7"/>
  <c r="C370" i="7"/>
  <c r="B370" i="7"/>
  <c r="W369" i="7"/>
  <c r="V369" i="7"/>
  <c r="U369" i="7"/>
  <c r="T369" i="7"/>
  <c r="S369" i="7"/>
  <c r="R369" i="7"/>
  <c r="Q369" i="7"/>
  <c r="P369" i="7"/>
  <c r="O369" i="7"/>
  <c r="N369" i="7"/>
  <c r="K369" i="7"/>
  <c r="J369" i="7"/>
  <c r="I369" i="7"/>
  <c r="H369" i="7"/>
  <c r="G369" i="7"/>
  <c r="F369" i="7"/>
  <c r="E369" i="7"/>
  <c r="D369" i="7"/>
  <c r="C369" i="7"/>
  <c r="B369" i="7"/>
  <c r="W368" i="7"/>
  <c r="V368" i="7"/>
  <c r="U368" i="7"/>
  <c r="T368" i="7"/>
  <c r="S368" i="7"/>
  <c r="R368" i="7"/>
  <c r="Q368" i="7"/>
  <c r="P368" i="7"/>
  <c r="O368" i="7"/>
  <c r="N368" i="7"/>
  <c r="K368" i="7"/>
  <c r="J368" i="7"/>
  <c r="I368" i="7"/>
  <c r="H368" i="7"/>
  <c r="G368" i="7"/>
  <c r="F368" i="7"/>
  <c r="E368" i="7"/>
  <c r="D368" i="7"/>
  <c r="C368" i="7"/>
  <c r="B368" i="7"/>
  <c r="W367" i="7"/>
  <c r="V367" i="7"/>
  <c r="U367" i="7"/>
  <c r="T367" i="7"/>
  <c r="S367" i="7"/>
  <c r="R367" i="7"/>
  <c r="Q367" i="7"/>
  <c r="P367" i="7"/>
  <c r="O367" i="7"/>
  <c r="N367" i="7"/>
  <c r="K367" i="7"/>
  <c r="J367" i="7"/>
  <c r="I367" i="7"/>
  <c r="H367" i="7"/>
  <c r="G367" i="7"/>
  <c r="F367" i="7"/>
  <c r="E367" i="7"/>
  <c r="D367" i="7"/>
  <c r="C367" i="7"/>
  <c r="B367" i="7"/>
  <c r="V366" i="7"/>
  <c r="U366" i="7"/>
  <c r="T366" i="7"/>
  <c r="S366" i="7"/>
  <c r="R366" i="7"/>
  <c r="Q366" i="7"/>
  <c r="K366" i="7"/>
  <c r="J366" i="7"/>
  <c r="I366" i="7"/>
  <c r="H366" i="7"/>
  <c r="G366" i="7"/>
  <c r="F366" i="7"/>
  <c r="E366" i="7"/>
  <c r="D366" i="7"/>
  <c r="C366" i="7"/>
  <c r="W365" i="7"/>
  <c r="V365" i="7"/>
  <c r="U365" i="7"/>
  <c r="T365" i="7"/>
  <c r="S365" i="7"/>
  <c r="R365" i="7"/>
  <c r="Q365" i="7"/>
  <c r="P365" i="7"/>
  <c r="O365" i="7"/>
  <c r="N365" i="7"/>
  <c r="K365" i="7"/>
  <c r="J365" i="7"/>
  <c r="I365" i="7"/>
  <c r="H365" i="7"/>
  <c r="G365" i="7"/>
  <c r="F365" i="7"/>
  <c r="E365" i="7"/>
  <c r="D365" i="7"/>
  <c r="C365" i="7"/>
  <c r="B365" i="7"/>
  <c r="W364" i="7"/>
  <c r="V364" i="7"/>
  <c r="U364" i="7"/>
  <c r="T364" i="7"/>
  <c r="S364" i="7"/>
  <c r="R364" i="7"/>
  <c r="Q364" i="7"/>
  <c r="P364" i="7"/>
  <c r="O364" i="7"/>
  <c r="N364" i="7"/>
  <c r="K364" i="7"/>
  <c r="J364" i="7"/>
  <c r="I364" i="7"/>
  <c r="H364" i="7"/>
  <c r="G364" i="7"/>
  <c r="F364" i="7"/>
  <c r="E364" i="7"/>
  <c r="D364" i="7"/>
  <c r="C364" i="7"/>
  <c r="B364" i="7"/>
  <c r="A363" i="7"/>
  <c r="W361" i="7"/>
  <c r="V361" i="7"/>
  <c r="U361" i="7"/>
  <c r="T361" i="7"/>
  <c r="S361" i="7"/>
  <c r="R361" i="7"/>
  <c r="Q361" i="7"/>
  <c r="P361" i="7"/>
  <c r="O361" i="7"/>
  <c r="N361" i="7"/>
  <c r="K361" i="7"/>
  <c r="J361" i="7"/>
  <c r="I361" i="7"/>
  <c r="H361" i="7"/>
  <c r="G361" i="7"/>
  <c r="F361" i="7"/>
  <c r="E361" i="7"/>
  <c r="D361" i="7"/>
  <c r="C361" i="7"/>
  <c r="B361" i="7"/>
  <c r="W358" i="7"/>
  <c r="V358" i="7"/>
  <c r="U358" i="7"/>
  <c r="T358" i="7"/>
  <c r="S358" i="7"/>
  <c r="R358" i="7"/>
  <c r="Q358" i="7"/>
  <c r="P358" i="7"/>
  <c r="O358" i="7"/>
  <c r="N358" i="7"/>
  <c r="K358" i="7"/>
  <c r="J358" i="7"/>
  <c r="I358" i="7"/>
  <c r="H358" i="7"/>
  <c r="G358" i="7"/>
  <c r="F358" i="7"/>
  <c r="E358" i="7"/>
  <c r="D358" i="7"/>
  <c r="C358" i="7"/>
  <c r="B358" i="7"/>
  <c r="W357" i="7"/>
  <c r="V357" i="7"/>
  <c r="U357" i="7"/>
  <c r="T357" i="7"/>
  <c r="S357" i="7"/>
  <c r="R357" i="7"/>
  <c r="Q357" i="7"/>
  <c r="P357" i="7"/>
  <c r="O357" i="7"/>
  <c r="N357" i="7"/>
  <c r="K357" i="7"/>
  <c r="J357" i="7"/>
  <c r="I357" i="7"/>
  <c r="H357" i="7"/>
  <c r="G357" i="7"/>
  <c r="F357" i="7"/>
  <c r="E357" i="7"/>
  <c r="D357" i="7"/>
  <c r="C357" i="7"/>
  <c r="B357" i="7"/>
  <c r="W356" i="7"/>
  <c r="V356" i="7"/>
  <c r="U356" i="7"/>
  <c r="T356" i="7"/>
  <c r="S356" i="7"/>
  <c r="R356" i="7"/>
  <c r="Q356" i="7"/>
  <c r="P356" i="7"/>
  <c r="O356" i="7"/>
  <c r="N356" i="7"/>
  <c r="K356" i="7"/>
  <c r="J356" i="7"/>
  <c r="I356" i="7"/>
  <c r="H356" i="7"/>
  <c r="G356" i="7"/>
  <c r="F356" i="7"/>
  <c r="E356" i="7"/>
  <c r="D356" i="7"/>
  <c r="C356" i="7"/>
  <c r="B356" i="7"/>
  <c r="W355" i="7"/>
  <c r="V355" i="7"/>
  <c r="U355" i="7"/>
  <c r="T355" i="7"/>
  <c r="S355" i="7"/>
  <c r="R355" i="7"/>
  <c r="Q355" i="7"/>
  <c r="P355" i="7"/>
  <c r="O355" i="7"/>
  <c r="N355" i="7"/>
  <c r="K355" i="7"/>
  <c r="J355" i="7"/>
  <c r="I355" i="7"/>
  <c r="H355" i="7"/>
  <c r="G355" i="7"/>
  <c r="F355" i="7"/>
  <c r="E355" i="7"/>
  <c r="D355" i="7"/>
  <c r="C355" i="7"/>
  <c r="B355" i="7"/>
  <c r="W354" i="7"/>
  <c r="V354" i="7"/>
  <c r="U354" i="7"/>
  <c r="T354" i="7"/>
  <c r="S354" i="7"/>
  <c r="R354" i="7"/>
  <c r="Q354" i="7"/>
  <c r="P354" i="7"/>
  <c r="O354" i="7"/>
  <c r="N354" i="7"/>
  <c r="K354" i="7"/>
  <c r="J354" i="7"/>
  <c r="I354" i="7"/>
  <c r="H354" i="7"/>
  <c r="G354" i="7"/>
  <c r="F354" i="7"/>
  <c r="E354" i="7"/>
  <c r="D354" i="7"/>
  <c r="C354" i="7"/>
  <c r="B354" i="7"/>
  <c r="W353" i="7"/>
  <c r="V353" i="7"/>
  <c r="U353" i="7"/>
  <c r="T353" i="7"/>
  <c r="S353" i="7"/>
  <c r="R353" i="7"/>
  <c r="Q353" i="7"/>
  <c r="P353" i="7"/>
  <c r="O353" i="7"/>
  <c r="N353" i="7"/>
  <c r="K353" i="7"/>
  <c r="J353" i="7"/>
  <c r="I353" i="7"/>
  <c r="H353" i="7"/>
  <c r="G353" i="7"/>
  <c r="F353" i="7"/>
  <c r="E353" i="7"/>
  <c r="D353" i="7"/>
  <c r="C353" i="7"/>
  <c r="B353" i="7"/>
  <c r="W352" i="7"/>
  <c r="V352" i="7"/>
  <c r="U352" i="7"/>
  <c r="T352" i="7"/>
  <c r="S352" i="7"/>
  <c r="R352" i="7"/>
  <c r="Q352" i="7"/>
  <c r="P352" i="7"/>
  <c r="O352" i="7"/>
  <c r="N352" i="7"/>
  <c r="K352" i="7"/>
  <c r="J352" i="7"/>
  <c r="I352" i="7"/>
  <c r="H352" i="7"/>
  <c r="G352" i="7"/>
  <c r="F352" i="7"/>
  <c r="E352" i="7"/>
  <c r="D352" i="7"/>
  <c r="C352" i="7"/>
  <c r="B352" i="7"/>
  <c r="W351" i="7"/>
  <c r="V351" i="7"/>
  <c r="U351" i="7"/>
  <c r="T351" i="7"/>
  <c r="S351" i="7"/>
  <c r="R351" i="7"/>
  <c r="Q351" i="7"/>
  <c r="P351" i="7"/>
  <c r="O351" i="7"/>
  <c r="N351" i="7"/>
  <c r="K351" i="7"/>
  <c r="J351" i="7"/>
  <c r="I351" i="7"/>
  <c r="H351" i="7"/>
  <c r="G351" i="7"/>
  <c r="F351" i="7"/>
  <c r="E351" i="7"/>
  <c r="D351" i="7"/>
  <c r="C351" i="7"/>
  <c r="B351" i="7"/>
  <c r="X350" i="7"/>
  <c r="W350" i="7"/>
  <c r="V350" i="7"/>
  <c r="U350" i="7"/>
  <c r="T350" i="7"/>
  <c r="S350" i="7"/>
  <c r="R350" i="7"/>
  <c r="Q350" i="7"/>
  <c r="P350" i="7"/>
  <c r="O350" i="7"/>
  <c r="N350" i="7"/>
  <c r="L350" i="7"/>
  <c r="K350" i="7"/>
  <c r="J350" i="7"/>
  <c r="I350" i="7"/>
  <c r="H350" i="7"/>
  <c r="G350" i="7"/>
  <c r="F350" i="7"/>
  <c r="E350" i="7"/>
  <c r="D350" i="7"/>
  <c r="C350" i="7"/>
  <c r="B350" i="7"/>
  <c r="X349" i="7"/>
  <c r="W349" i="7"/>
  <c r="V349" i="7"/>
  <c r="U349" i="7"/>
  <c r="T349" i="7"/>
  <c r="S349" i="7"/>
  <c r="R349" i="7"/>
  <c r="Q349" i="7"/>
  <c r="P349" i="7"/>
  <c r="O349" i="7"/>
  <c r="N349" i="7"/>
  <c r="K349" i="7"/>
  <c r="J349" i="7"/>
  <c r="I349" i="7"/>
  <c r="H349" i="7"/>
  <c r="G349" i="7"/>
  <c r="F349" i="7"/>
  <c r="E349" i="7"/>
  <c r="D349" i="7"/>
  <c r="C349" i="7"/>
  <c r="B349" i="7"/>
  <c r="W348" i="7"/>
  <c r="V348" i="7"/>
  <c r="U348" i="7"/>
  <c r="T348" i="7"/>
  <c r="S348" i="7"/>
  <c r="R348" i="7"/>
  <c r="Q348" i="7"/>
  <c r="P348" i="7"/>
  <c r="O348" i="7"/>
  <c r="N348" i="7"/>
  <c r="K348" i="7"/>
  <c r="J348" i="7"/>
  <c r="I348" i="7"/>
  <c r="H348" i="7"/>
  <c r="G348" i="7"/>
  <c r="F348" i="7"/>
  <c r="E348" i="7"/>
  <c r="D348" i="7"/>
  <c r="C348" i="7"/>
  <c r="B348" i="7"/>
  <c r="W347" i="7"/>
  <c r="V347" i="7"/>
  <c r="U347" i="7"/>
  <c r="T347" i="7"/>
  <c r="S347" i="7"/>
  <c r="R347" i="7"/>
  <c r="Q347" i="7"/>
  <c r="P347" i="7"/>
  <c r="O347" i="7"/>
  <c r="N347" i="7"/>
  <c r="K347" i="7"/>
  <c r="J347" i="7"/>
  <c r="I347" i="7"/>
  <c r="H347" i="7"/>
  <c r="G347" i="7"/>
  <c r="F347" i="7"/>
  <c r="E347" i="7"/>
  <c r="D347" i="7"/>
  <c r="C347" i="7"/>
  <c r="B347" i="7"/>
  <c r="W346" i="7"/>
  <c r="V346" i="7"/>
  <c r="U346" i="7"/>
  <c r="T346" i="7"/>
  <c r="S346" i="7"/>
  <c r="R346" i="7"/>
  <c r="Q346" i="7"/>
  <c r="P346" i="7"/>
  <c r="O346" i="7"/>
  <c r="N346" i="7"/>
  <c r="K346" i="7"/>
  <c r="J346" i="7"/>
  <c r="I346" i="7"/>
  <c r="H346" i="7"/>
  <c r="G346" i="7"/>
  <c r="F346" i="7"/>
  <c r="E346" i="7"/>
  <c r="D346" i="7"/>
  <c r="C346" i="7"/>
  <c r="B346" i="7"/>
  <c r="U345" i="7"/>
  <c r="T345" i="7"/>
  <c r="S345" i="7"/>
  <c r="R345" i="7"/>
  <c r="Q345" i="7"/>
  <c r="P345" i="7"/>
  <c r="J345" i="7"/>
  <c r="I345" i="7"/>
  <c r="H345" i="7"/>
  <c r="G345" i="7"/>
  <c r="F345" i="7"/>
  <c r="E345" i="7"/>
  <c r="D345" i="7"/>
  <c r="C345" i="7"/>
  <c r="B345" i="7"/>
  <c r="W344" i="7"/>
  <c r="V344" i="7"/>
  <c r="U344" i="7"/>
  <c r="T344" i="7"/>
  <c r="S344" i="7"/>
  <c r="R344" i="7"/>
  <c r="Q344" i="7"/>
  <c r="P344" i="7"/>
  <c r="O344" i="7"/>
  <c r="N344" i="7"/>
  <c r="K344" i="7"/>
  <c r="J344" i="7"/>
  <c r="I344" i="7"/>
  <c r="H344" i="7"/>
  <c r="G344" i="7"/>
  <c r="F344" i="7"/>
  <c r="E344" i="7"/>
  <c r="D344" i="7"/>
  <c r="C344" i="7"/>
  <c r="B344" i="7"/>
  <c r="W343" i="7"/>
  <c r="V343" i="7"/>
  <c r="U343" i="7"/>
  <c r="T343" i="7"/>
  <c r="S343" i="7"/>
  <c r="R343" i="7"/>
  <c r="Q343" i="7"/>
  <c r="P343" i="7"/>
  <c r="O343" i="7"/>
  <c r="N343" i="7"/>
  <c r="K343" i="7"/>
  <c r="J343" i="7"/>
  <c r="I343" i="7"/>
  <c r="H343" i="7"/>
  <c r="G343" i="7"/>
  <c r="F343" i="7"/>
  <c r="E343" i="7"/>
  <c r="D343" i="7"/>
  <c r="C343" i="7"/>
  <c r="B343" i="7"/>
  <c r="A342" i="7"/>
  <c r="X337" i="7"/>
  <c r="W337" i="7"/>
  <c r="V337" i="7"/>
  <c r="U337" i="7"/>
  <c r="T337" i="7"/>
  <c r="S337" i="7"/>
  <c r="R337" i="7"/>
  <c r="Q337" i="7"/>
  <c r="P337" i="7"/>
  <c r="O337" i="7"/>
  <c r="N337" i="7"/>
  <c r="L337" i="7"/>
  <c r="K337" i="7"/>
  <c r="J337" i="7"/>
  <c r="I337" i="7"/>
  <c r="H337" i="7"/>
  <c r="G337" i="7"/>
  <c r="F337" i="7"/>
  <c r="E337" i="7"/>
  <c r="D337" i="7"/>
  <c r="C337" i="7"/>
  <c r="B337" i="7"/>
  <c r="X334" i="7"/>
  <c r="W334" i="7"/>
  <c r="V334" i="7"/>
  <c r="U334" i="7"/>
  <c r="T334" i="7"/>
  <c r="S334" i="7"/>
  <c r="R334" i="7"/>
  <c r="Q334" i="7"/>
  <c r="P334" i="7"/>
  <c r="O334" i="7"/>
  <c r="N334" i="7"/>
  <c r="L334" i="7"/>
  <c r="K334" i="7"/>
  <c r="J334" i="7"/>
  <c r="I334" i="7"/>
  <c r="H334" i="7"/>
  <c r="G334" i="7"/>
  <c r="F334" i="7"/>
  <c r="E334" i="7"/>
  <c r="D334" i="7"/>
  <c r="C334" i="7"/>
  <c r="B334" i="7"/>
  <c r="W333" i="7"/>
  <c r="V333" i="7"/>
  <c r="U333" i="7"/>
  <c r="T333" i="7"/>
  <c r="S333" i="7"/>
  <c r="R333" i="7"/>
  <c r="Q333" i="7"/>
  <c r="P333" i="7"/>
  <c r="O333" i="7"/>
  <c r="N333" i="7"/>
  <c r="K333" i="7"/>
  <c r="J333" i="7"/>
  <c r="I333" i="7"/>
  <c r="H333" i="7"/>
  <c r="G333" i="7"/>
  <c r="F333" i="7"/>
  <c r="E333" i="7"/>
  <c r="D333" i="7"/>
  <c r="C333" i="7"/>
  <c r="B333" i="7"/>
  <c r="W332" i="7"/>
  <c r="V332" i="7"/>
  <c r="U332" i="7"/>
  <c r="T332" i="7"/>
  <c r="S332" i="7"/>
  <c r="R332" i="7"/>
  <c r="Q332" i="7"/>
  <c r="P332" i="7"/>
  <c r="O332" i="7"/>
  <c r="N332" i="7"/>
  <c r="K332" i="7"/>
  <c r="J332" i="7"/>
  <c r="I332" i="7"/>
  <c r="H332" i="7"/>
  <c r="G332" i="7"/>
  <c r="F332" i="7"/>
  <c r="E332" i="7"/>
  <c r="D332" i="7"/>
  <c r="C332" i="7"/>
  <c r="B332" i="7"/>
  <c r="W331" i="7"/>
  <c r="V331" i="7"/>
  <c r="U331" i="7"/>
  <c r="T331" i="7"/>
  <c r="S331" i="7"/>
  <c r="R331" i="7"/>
  <c r="Q331" i="7"/>
  <c r="P331" i="7"/>
  <c r="O331" i="7"/>
  <c r="N331" i="7"/>
  <c r="K331" i="7"/>
  <c r="J331" i="7"/>
  <c r="I331" i="7"/>
  <c r="H331" i="7"/>
  <c r="G331" i="7"/>
  <c r="F331" i="7"/>
  <c r="E331" i="7"/>
  <c r="D331" i="7"/>
  <c r="C331" i="7"/>
  <c r="B331" i="7"/>
  <c r="W330" i="7"/>
  <c r="V330" i="7"/>
  <c r="U330" i="7"/>
  <c r="T330" i="7"/>
  <c r="S330" i="7"/>
  <c r="R330" i="7"/>
  <c r="Q330" i="7"/>
  <c r="P330" i="7"/>
  <c r="O330" i="7"/>
  <c r="N330" i="7"/>
  <c r="K330" i="7"/>
  <c r="J330" i="7"/>
  <c r="I330" i="7"/>
  <c r="H330" i="7"/>
  <c r="G330" i="7"/>
  <c r="F330" i="7"/>
  <c r="E330" i="7"/>
  <c r="D330" i="7"/>
  <c r="C330" i="7"/>
  <c r="B330" i="7"/>
  <c r="W329" i="7"/>
  <c r="V329" i="7"/>
  <c r="U329" i="7"/>
  <c r="T329" i="7"/>
  <c r="S329" i="7"/>
  <c r="R329" i="7"/>
  <c r="Q329" i="7"/>
  <c r="P329" i="7"/>
  <c r="O329" i="7"/>
  <c r="N329" i="7"/>
  <c r="K329" i="7"/>
  <c r="J329" i="7"/>
  <c r="I329" i="7"/>
  <c r="H329" i="7"/>
  <c r="G329" i="7"/>
  <c r="F329" i="7"/>
  <c r="E329" i="7"/>
  <c r="D329" i="7"/>
  <c r="C329" i="7"/>
  <c r="B329" i="7"/>
  <c r="W328" i="7"/>
  <c r="V328" i="7"/>
  <c r="U328" i="7"/>
  <c r="T328" i="7"/>
  <c r="S328" i="7"/>
  <c r="R328" i="7"/>
  <c r="Q328" i="7"/>
  <c r="P328" i="7"/>
  <c r="O328" i="7"/>
  <c r="N328" i="7"/>
  <c r="K328" i="7"/>
  <c r="J328" i="7"/>
  <c r="I328" i="7"/>
  <c r="H328" i="7"/>
  <c r="G328" i="7"/>
  <c r="F328" i="7"/>
  <c r="E328" i="7"/>
  <c r="D328" i="7"/>
  <c r="C328" i="7"/>
  <c r="B328" i="7"/>
  <c r="W327" i="7"/>
  <c r="V327" i="7"/>
  <c r="U327" i="7"/>
  <c r="T327" i="7"/>
  <c r="S327" i="7"/>
  <c r="R327" i="7"/>
  <c r="Q327" i="7"/>
  <c r="P327" i="7"/>
  <c r="O327" i="7"/>
  <c r="N327" i="7"/>
  <c r="K327" i="7"/>
  <c r="J327" i="7"/>
  <c r="I327" i="7"/>
  <c r="H327" i="7"/>
  <c r="G327" i="7"/>
  <c r="F327" i="7"/>
  <c r="E327" i="7"/>
  <c r="D327" i="7"/>
  <c r="C327" i="7"/>
  <c r="B327" i="7"/>
  <c r="W326" i="7"/>
  <c r="V326" i="7"/>
  <c r="U326" i="7"/>
  <c r="T326" i="7"/>
  <c r="S326" i="7"/>
  <c r="R326" i="7"/>
  <c r="Q326" i="7"/>
  <c r="P326" i="7"/>
  <c r="O326" i="7"/>
  <c r="N326" i="7"/>
  <c r="K326" i="7"/>
  <c r="J326" i="7"/>
  <c r="I326" i="7"/>
  <c r="H326" i="7"/>
  <c r="G326" i="7"/>
  <c r="F326" i="7"/>
  <c r="E326" i="7"/>
  <c r="D326" i="7"/>
  <c r="C326" i="7"/>
  <c r="B326" i="7"/>
  <c r="X325" i="7"/>
  <c r="W325" i="7"/>
  <c r="V325" i="7"/>
  <c r="U325" i="7"/>
  <c r="T325" i="7"/>
  <c r="S325" i="7"/>
  <c r="R325" i="7"/>
  <c r="Q325" i="7"/>
  <c r="P325" i="7"/>
  <c r="O325" i="7"/>
  <c r="N325" i="7"/>
  <c r="L325" i="7"/>
  <c r="K325" i="7"/>
  <c r="J325" i="7"/>
  <c r="I325" i="7"/>
  <c r="H325" i="7"/>
  <c r="G325" i="7"/>
  <c r="F325" i="7"/>
  <c r="E325" i="7"/>
  <c r="D325" i="7"/>
  <c r="C325" i="7"/>
  <c r="B325" i="7"/>
  <c r="W324" i="7"/>
  <c r="V324" i="7"/>
  <c r="U324" i="7"/>
  <c r="T324" i="7"/>
  <c r="S324" i="7"/>
  <c r="R324" i="7"/>
  <c r="Q324" i="7"/>
  <c r="P324" i="7"/>
  <c r="O324" i="7"/>
  <c r="N324" i="7"/>
  <c r="K324" i="7"/>
  <c r="J324" i="7"/>
  <c r="I324" i="7"/>
  <c r="H324" i="7"/>
  <c r="G324" i="7"/>
  <c r="F324" i="7"/>
  <c r="E324" i="7"/>
  <c r="D324" i="7"/>
  <c r="C324" i="7"/>
  <c r="B324" i="7"/>
  <c r="W323" i="7"/>
  <c r="V323" i="7"/>
  <c r="U323" i="7"/>
  <c r="T323" i="7"/>
  <c r="S323" i="7"/>
  <c r="R323" i="7"/>
  <c r="Q323" i="7"/>
  <c r="P323" i="7"/>
  <c r="O323" i="7"/>
  <c r="N323" i="7"/>
  <c r="K323" i="7"/>
  <c r="J323" i="7"/>
  <c r="I323" i="7"/>
  <c r="H323" i="7"/>
  <c r="G323" i="7"/>
  <c r="F323" i="7"/>
  <c r="E323" i="7"/>
  <c r="D323" i="7"/>
  <c r="C323" i="7"/>
  <c r="B323" i="7"/>
  <c r="W322" i="7"/>
  <c r="V322" i="7"/>
  <c r="U322" i="7"/>
  <c r="T322" i="7"/>
  <c r="S322" i="7"/>
  <c r="R322" i="7"/>
  <c r="Q322" i="7"/>
  <c r="P322" i="7"/>
  <c r="O322" i="7"/>
  <c r="N322" i="7"/>
  <c r="K322" i="7"/>
  <c r="J322" i="7"/>
  <c r="I322" i="7"/>
  <c r="H322" i="7"/>
  <c r="G322" i="7"/>
  <c r="F322" i="7"/>
  <c r="E322" i="7"/>
  <c r="D322" i="7"/>
  <c r="C322" i="7"/>
  <c r="B322" i="7"/>
  <c r="U321" i="7"/>
  <c r="T321" i="7"/>
  <c r="S321" i="7"/>
  <c r="R321" i="7"/>
  <c r="Q321" i="7"/>
  <c r="I321" i="7"/>
  <c r="H321" i="7"/>
  <c r="G321" i="7"/>
  <c r="F321" i="7"/>
  <c r="E321" i="7"/>
  <c r="V320" i="7"/>
  <c r="U320" i="7"/>
  <c r="T320" i="7"/>
  <c r="S320" i="7"/>
  <c r="R320" i="7"/>
  <c r="Q320" i="7"/>
  <c r="J320" i="7"/>
  <c r="I320" i="7"/>
  <c r="H320" i="7"/>
  <c r="G320" i="7"/>
  <c r="F320" i="7"/>
  <c r="E320" i="7"/>
  <c r="V319" i="7"/>
  <c r="U319" i="7"/>
  <c r="T319" i="7"/>
  <c r="S319" i="7"/>
  <c r="R319" i="7"/>
  <c r="Q319" i="7"/>
  <c r="J319" i="7"/>
  <c r="I319" i="7"/>
  <c r="H319" i="7"/>
  <c r="G319" i="7"/>
  <c r="F319" i="7"/>
  <c r="E319" i="7"/>
  <c r="A318" i="7"/>
  <c r="X316" i="7"/>
  <c r="W316" i="7"/>
  <c r="V316" i="7"/>
  <c r="U316" i="7"/>
  <c r="T316" i="7"/>
  <c r="S316" i="7"/>
  <c r="R316" i="7"/>
  <c r="Q316" i="7"/>
  <c r="P316" i="7"/>
  <c r="O316" i="7"/>
  <c r="N316" i="7"/>
  <c r="L316" i="7"/>
  <c r="K316" i="7"/>
  <c r="J316" i="7"/>
  <c r="I316" i="7"/>
  <c r="H316" i="7"/>
  <c r="G316" i="7"/>
  <c r="F316" i="7"/>
  <c r="E316" i="7"/>
  <c r="D316" i="7"/>
  <c r="C316" i="7"/>
  <c r="B316" i="7"/>
  <c r="X313" i="7"/>
  <c r="W313" i="7"/>
  <c r="V313" i="7"/>
  <c r="U313" i="7"/>
  <c r="T313" i="7"/>
  <c r="S313" i="7"/>
  <c r="R313" i="7"/>
  <c r="Q313" i="7"/>
  <c r="P313" i="7"/>
  <c r="O313" i="7"/>
  <c r="N313" i="7"/>
  <c r="L313" i="7"/>
  <c r="K313" i="7"/>
  <c r="J313" i="7"/>
  <c r="I313" i="7"/>
  <c r="H313" i="7"/>
  <c r="G313" i="7"/>
  <c r="F313" i="7"/>
  <c r="E313" i="7"/>
  <c r="D313" i="7"/>
  <c r="C313" i="7"/>
  <c r="B313" i="7"/>
  <c r="X312" i="7"/>
  <c r="W312" i="7"/>
  <c r="V312" i="7"/>
  <c r="U312" i="7"/>
  <c r="T312" i="7"/>
  <c r="S312" i="7"/>
  <c r="R312" i="7"/>
  <c r="Q312" i="7"/>
  <c r="P312" i="7"/>
  <c r="O312" i="7"/>
  <c r="N312" i="7"/>
  <c r="K312" i="7"/>
  <c r="J312" i="7"/>
  <c r="I312" i="7"/>
  <c r="H312" i="7"/>
  <c r="G312" i="7"/>
  <c r="F312" i="7"/>
  <c r="E312" i="7"/>
  <c r="D312" i="7"/>
  <c r="C312" i="7"/>
  <c r="B312" i="7"/>
  <c r="X311" i="7"/>
  <c r="W311" i="7"/>
  <c r="V311" i="7"/>
  <c r="U311" i="7"/>
  <c r="T311" i="7"/>
  <c r="S311" i="7"/>
  <c r="R311" i="7"/>
  <c r="Q311" i="7"/>
  <c r="P311" i="7"/>
  <c r="O311" i="7"/>
  <c r="N311" i="7"/>
  <c r="K311" i="7"/>
  <c r="J311" i="7"/>
  <c r="I311" i="7"/>
  <c r="H311" i="7"/>
  <c r="G311" i="7"/>
  <c r="F311" i="7"/>
  <c r="E311" i="7"/>
  <c r="D311" i="7"/>
  <c r="C311" i="7"/>
  <c r="B311" i="7"/>
  <c r="W310" i="7"/>
  <c r="V310" i="7"/>
  <c r="U310" i="7"/>
  <c r="T310" i="7"/>
  <c r="S310" i="7"/>
  <c r="R310" i="7"/>
  <c r="Q310" i="7"/>
  <c r="P310" i="7"/>
  <c r="O310" i="7"/>
  <c r="N310" i="7"/>
  <c r="K310" i="7"/>
  <c r="J310" i="7"/>
  <c r="I310" i="7"/>
  <c r="H310" i="7"/>
  <c r="G310" i="7"/>
  <c r="F310" i="7"/>
  <c r="E310" i="7"/>
  <c r="D310" i="7"/>
  <c r="C310" i="7"/>
  <c r="B310" i="7"/>
  <c r="W309" i="7"/>
  <c r="V309" i="7"/>
  <c r="U309" i="7"/>
  <c r="T309" i="7"/>
  <c r="S309" i="7"/>
  <c r="R309" i="7"/>
  <c r="Q309" i="7"/>
  <c r="P309" i="7"/>
  <c r="O309" i="7"/>
  <c r="N309" i="7"/>
  <c r="K309" i="7"/>
  <c r="J309" i="7"/>
  <c r="I309" i="7"/>
  <c r="H309" i="7"/>
  <c r="G309" i="7"/>
  <c r="F309" i="7"/>
  <c r="E309" i="7"/>
  <c r="D309" i="7"/>
  <c r="C309" i="7"/>
  <c r="B309" i="7"/>
  <c r="W308" i="7"/>
  <c r="V308" i="7"/>
  <c r="U308" i="7"/>
  <c r="T308" i="7"/>
  <c r="S308" i="7"/>
  <c r="R308" i="7"/>
  <c r="Q308" i="7"/>
  <c r="P308" i="7"/>
  <c r="O308" i="7"/>
  <c r="N308" i="7"/>
  <c r="K308" i="7"/>
  <c r="J308" i="7"/>
  <c r="I308" i="7"/>
  <c r="H308" i="7"/>
  <c r="G308" i="7"/>
  <c r="F308" i="7"/>
  <c r="E308" i="7"/>
  <c r="D308" i="7"/>
  <c r="C308" i="7"/>
  <c r="B308" i="7"/>
  <c r="X307" i="7"/>
  <c r="W307" i="7"/>
  <c r="V307" i="7"/>
  <c r="U307" i="7"/>
  <c r="T307" i="7"/>
  <c r="S307" i="7"/>
  <c r="R307" i="7"/>
  <c r="Q307" i="7"/>
  <c r="P307" i="7"/>
  <c r="O307" i="7"/>
  <c r="N307" i="7"/>
  <c r="K307" i="7"/>
  <c r="J307" i="7"/>
  <c r="I307" i="7"/>
  <c r="H307" i="7"/>
  <c r="G307" i="7"/>
  <c r="F307" i="7"/>
  <c r="E307" i="7"/>
  <c r="D307" i="7"/>
  <c r="C307" i="7"/>
  <c r="B307" i="7"/>
  <c r="X306" i="7"/>
  <c r="W306" i="7"/>
  <c r="V306" i="7"/>
  <c r="U306" i="7"/>
  <c r="T306" i="7"/>
  <c r="S306" i="7"/>
  <c r="R306" i="7"/>
  <c r="Q306" i="7"/>
  <c r="P306" i="7"/>
  <c r="O306" i="7"/>
  <c r="N306" i="7"/>
  <c r="K306" i="7"/>
  <c r="J306" i="7"/>
  <c r="I306" i="7"/>
  <c r="H306" i="7"/>
  <c r="G306" i="7"/>
  <c r="F306" i="7"/>
  <c r="E306" i="7"/>
  <c r="D306" i="7"/>
  <c r="C306" i="7"/>
  <c r="B306" i="7"/>
  <c r="W305" i="7"/>
  <c r="V305" i="7"/>
  <c r="U305" i="7"/>
  <c r="T305" i="7"/>
  <c r="S305" i="7"/>
  <c r="R305" i="7"/>
  <c r="Q305" i="7"/>
  <c r="P305" i="7"/>
  <c r="O305" i="7"/>
  <c r="N305" i="7"/>
  <c r="K305" i="7"/>
  <c r="J305" i="7"/>
  <c r="I305" i="7"/>
  <c r="H305" i="7"/>
  <c r="G305" i="7"/>
  <c r="F305" i="7"/>
  <c r="E305" i="7"/>
  <c r="D305" i="7"/>
  <c r="C305" i="7"/>
  <c r="B305" i="7"/>
  <c r="X304" i="7"/>
  <c r="W304" i="7"/>
  <c r="V304" i="7"/>
  <c r="U304" i="7"/>
  <c r="T304" i="7"/>
  <c r="S304" i="7"/>
  <c r="R304" i="7"/>
  <c r="Q304" i="7"/>
  <c r="P304" i="7"/>
  <c r="O304" i="7"/>
  <c r="N304" i="7"/>
  <c r="L304" i="7"/>
  <c r="K304" i="7"/>
  <c r="J304" i="7"/>
  <c r="I304" i="7"/>
  <c r="H304" i="7"/>
  <c r="G304" i="7"/>
  <c r="F304" i="7"/>
  <c r="E304" i="7"/>
  <c r="D304" i="7"/>
  <c r="C304" i="7"/>
  <c r="B304" i="7"/>
  <c r="W303" i="7"/>
  <c r="V303" i="7"/>
  <c r="U303" i="7"/>
  <c r="T303" i="7"/>
  <c r="S303" i="7"/>
  <c r="R303" i="7"/>
  <c r="Q303" i="7"/>
  <c r="P303" i="7"/>
  <c r="O303" i="7"/>
  <c r="N303" i="7"/>
  <c r="K303" i="7"/>
  <c r="J303" i="7"/>
  <c r="I303" i="7"/>
  <c r="H303" i="7"/>
  <c r="G303" i="7"/>
  <c r="F303" i="7"/>
  <c r="E303" i="7"/>
  <c r="D303" i="7"/>
  <c r="C303" i="7"/>
  <c r="B303" i="7"/>
  <c r="W302" i="7"/>
  <c r="V302" i="7"/>
  <c r="U302" i="7"/>
  <c r="T302" i="7"/>
  <c r="S302" i="7"/>
  <c r="R302" i="7"/>
  <c r="Q302" i="7"/>
  <c r="P302" i="7"/>
  <c r="O302" i="7"/>
  <c r="N302" i="7"/>
  <c r="K302" i="7"/>
  <c r="J302" i="7"/>
  <c r="I302" i="7"/>
  <c r="H302" i="7"/>
  <c r="G302" i="7"/>
  <c r="F302" i="7"/>
  <c r="E302" i="7"/>
  <c r="D302" i="7"/>
  <c r="C302" i="7"/>
  <c r="B302" i="7"/>
  <c r="W301" i="7"/>
  <c r="V301" i="7"/>
  <c r="U301" i="7"/>
  <c r="T301" i="7"/>
  <c r="S301" i="7"/>
  <c r="R301" i="7"/>
  <c r="Q301" i="7"/>
  <c r="P301" i="7"/>
  <c r="O301" i="7"/>
  <c r="N301" i="7"/>
  <c r="K301" i="7"/>
  <c r="J301" i="7"/>
  <c r="I301" i="7"/>
  <c r="H301" i="7"/>
  <c r="G301" i="7"/>
  <c r="F301" i="7"/>
  <c r="E301" i="7"/>
  <c r="D301" i="7"/>
  <c r="C301" i="7"/>
  <c r="B301" i="7"/>
  <c r="U300" i="7"/>
  <c r="T300" i="7"/>
  <c r="S300" i="7"/>
  <c r="R300" i="7"/>
  <c r="Q300" i="7"/>
  <c r="I300" i="7"/>
  <c r="H300" i="7"/>
  <c r="G300" i="7"/>
  <c r="F300" i="7"/>
  <c r="E300" i="7"/>
  <c r="U299" i="7"/>
  <c r="T299" i="7"/>
  <c r="S299" i="7"/>
  <c r="R299" i="7"/>
  <c r="Q299" i="7"/>
  <c r="I299" i="7"/>
  <c r="H299" i="7"/>
  <c r="G299" i="7"/>
  <c r="F299" i="7"/>
  <c r="E299" i="7"/>
  <c r="U298" i="7"/>
  <c r="T298" i="7"/>
  <c r="S298" i="7"/>
  <c r="R298" i="7"/>
  <c r="Q298" i="7"/>
  <c r="I298" i="7"/>
  <c r="H298" i="7"/>
  <c r="G298" i="7"/>
  <c r="F298" i="7"/>
  <c r="E298" i="7"/>
  <c r="W284" i="7"/>
  <c r="W427" i="7" s="1"/>
  <c r="V284" i="7"/>
  <c r="V427" i="7" s="1"/>
  <c r="U284" i="7"/>
  <c r="U427" i="7" s="1"/>
  <c r="T284" i="7"/>
  <c r="T427" i="7" s="1"/>
  <c r="S284" i="7"/>
  <c r="S427" i="7" s="1"/>
  <c r="R284" i="7"/>
  <c r="R427" i="7" s="1"/>
  <c r="Q284" i="7"/>
  <c r="Q427" i="7" s="1"/>
  <c r="P284" i="7"/>
  <c r="P427" i="7" s="1"/>
  <c r="O284" i="7"/>
  <c r="O427" i="7" s="1"/>
  <c r="N284" i="7"/>
  <c r="N427" i="7" s="1"/>
  <c r="K284" i="7"/>
  <c r="K427" i="7" s="1"/>
  <c r="J284" i="7"/>
  <c r="J427" i="7" s="1"/>
  <c r="I284" i="7"/>
  <c r="I427" i="7" s="1"/>
  <c r="H284" i="7"/>
  <c r="H427" i="7" s="1"/>
  <c r="G284" i="7"/>
  <c r="G427" i="7" s="1"/>
  <c r="F427" i="7"/>
  <c r="E427" i="7"/>
  <c r="D284" i="7"/>
  <c r="D427" i="7" s="1"/>
  <c r="C284" i="7"/>
  <c r="C427" i="7" s="1"/>
  <c r="B284" i="7"/>
  <c r="B427" i="7" s="1"/>
  <c r="W281" i="7"/>
  <c r="W424" i="7" s="1"/>
  <c r="V281" i="7"/>
  <c r="V424" i="7" s="1"/>
  <c r="U281" i="7"/>
  <c r="U424" i="7" s="1"/>
  <c r="T281" i="7"/>
  <c r="T424" i="7" s="1"/>
  <c r="S281" i="7"/>
  <c r="S424" i="7" s="1"/>
  <c r="R281" i="7"/>
  <c r="R424" i="7" s="1"/>
  <c r="Q281" i="7"/>
  <c r="Q424" i="7" s="1"/>
  <c r="P281" i="7"/>
  <c r="P424" i="7" s="1"/>
  <c r="O281" i="7"/>
  <c r="O424" i="7" s="1"/>
  <c r="N281" i="7"/>
  <c r="N424" i="7" s="1"/>
  <c r="K281" i="7"/>
  <c r="K424" i="7" s="1"/>
  <c r="J281" i="7"/>
  <c r="J424" i="7" s="1"/>
  <c r="I281" i="7"/>
  <c r="I424" i="7" s="1"/>
  <c r="H281" i="7"/>
  <c r="H424" i="7" s="1"/>
  <c r="G281" i="7"/>
  <c r="G424" i="7" s="1"/>
  <c r="F281" i="7"/>
  <c r="F424" i="7" s="1"/>
  <c r="E281" i="7"/>
  <c r="E424" i="7" s="1"/>
  <c r="D281" i="7"/>
  <c r="D424" i="7" s="1"/>
  <c r="C281" i="7"/>
  <c r="C424" i="7" s="1"/>
  <c r="B281" i="7"/>
  <c r="B424" i="7" s="1"/>
  <c r="W280" i="7"/>
  <c r="W423" i="7" s="1"/>
  <c r="V280" i="7"/>
  <c r="V423" i="7" s="1"/>
  <c r="U280" i="7"/>
  <c r="U423" i="7" s="1"/>
  <c r="T280" i="7"/>
  <c r="T423" i="7" s="1"/>
  <c r="S280" i="7"/>
  <c r="S423" i="7" s="1"/>
  <c r="R280" i="7"/>
  <c r="R423" i="7" s="1"/>
  <c r="Q280" i="7"/>
  <c r="Q423" i="7" s="1"/>
  <c r="P280" i="7"/>
  <c r="P423" i="7" s="1"/>
  <c r="O280" i="7"/>
  <c r="O423" i="7" s="1"/>
  <c r="N280" i="7"/>
  <c r="N423" i="7" s="1"/>
  <c r="K280" i="7"/>
  <c r="K423" i="7" s="1"/>
  <c r="J280" i="7"/>
  <c r="J423" i="7" s="1"/>
  <c r="I280" i="7"/>
  <c r="I423" i="7" s="1"/>
  <c r="H280" i="7"/>
  <c r="H423" i="7" s="1"/>
  <c r="G280" i="7"/>
  <c r="G423" i="7" s="1"/>
  <c r="F280" i="7"/>
  <c r="F423" i="7" s="1"/>
  <c r="E280" i="7"/>
  <c r="E423" i="7" s="1"/>
  <c r="D280" i="7"/>
  <c r="D423" i="7" s="1"/>
  <c r="C280" i="7"/>
  <c r="C423" i="7" s="1"/>
  <c r="B280" i="7"/>
  <c r="B423" i="7" s="1"/>
  <c r="W279" i="7"/>
  <c r="W422" i="7" s="1"/>
  <c r="V279" i="7"/>
  <c r="V422" i="7" s="1"/>
  <c r="U279" i="7"/>
  <c r="U422" i="7" s="1"/>
  <c r="T279" i="7"/>
  <c r="T422" i="7" s="1"/>
  <c r="S279" i="7"/>
  <c r="S422" i="7" s="1"/>
  <c r="R279" i="7"/>
  <c r="R422" i="7" s="1"/>
  <c r="Q279" i="7"/>
  <c r="Q422" i="7" s="1"/>
  <c r="P279" i="7"/>
  <c r="P422" i="7" s="1"/>
  <c r="O279" i="7"/>
  <c r="O422" i="7" s="1"/>
  <c r="N279" i="7"/>
  <c r="N422" i="7" s="1"/>
  <c r="K279" i="7"/>
  <c r="K422" i="7" s="1"/>
  <c r="J279" i="7"/>
  <c r="J422" i="7" s="1"/>
  <c r="I279" i="7"/>
  <c r="I422" i="7" s="1"/>
  <c r="H279" i="7"/>
  <c r="H422" i="7" s="1"/>
  <c r="G279" i="7"/>
  <c r="G422" i="7" s="1"/>
  <c r="F279" i="7"/>
  <c r="F422" i="7" s="1"/>
  <c r="E279" i="7"/>
  <c r="E422" i="7" s="1"/>
  <c r="D279" i="7"/>
  <c r="D422" i="7" s="1"/>
  <c r="C279" i="7"/>
  <c r="C422" i="7" s="1"/>
  <c r="B279" i="7"/>
  <c r="B422" i="7" s="1"/>
  <c r="W278" i="7"/>
  <c r="W421" i="7" s="1"/>
  <c r="V278" i="7"/>
  <c r="V421" i="7" s="1"/>
  <c r="U278" i="7"/>
  <c r="U421" i="7" s="1"/>
  <c r="T278" i="7"/>
  <c r="T421" i="7" s="1"/>
  <c r="S278" i="7"/>
  <c r="S421" i="7" s="1"/>
  <c r="R278" i="7"/>
  <c r="R421" i="7" s="1"/>
  <c r="Q278" i="7"/>
  <c r="Q421" i="7" s="1"/>
  <c r="P278" i="7"/>
  <c r="P421" i="7" s="1"/>
  <c r="O278" i="7"/>
  <c r="O421" i="7" s="1"/>
  <c r="N278" i="7"/>
  <c r="N421" i="7" s="1"/>
  <c r="K278" i="7"/>
  <c r="K421" i="7" s="1"/>
  <c r="J278" i="7"/>
  <c r="J421" i="7" s="1"/>
  <c r="I278" i="7"/>
  <c r="I421" i="7" s="1"/>
  <c r="H278" i="7"/>
  <c r="H421" i="7" s="1"/>
  <c r="G278" i="7"/>
  <c r="G421" i="7" s="1"/>
  <c r="F278" i="7"/>
  <c r="F421" i="7" s="1"/>
  <c r="E278" i="7"/>
  <c r="E421" i="7" s="1"/>
  <c r="D278" i="7"/>
  <c r="D421" i="7" s="1"/>
  <c r="C278" i="7"/>
  <c r="C421" i="7" s="1"/>
  <c r="B278" i="7"/>
  <c r="B421" i="7" s="1"/>
  <c r="W277" i="7"/>
  <c r="W420" i="7" s="1"/>
  <c r="V277" i="7"/>
  <c r="V420" i="7" s="1"/>
  <c r="U277" i="7"/>
  <c r="U420" i="7" s="1"/>
  <c r="T277" i="7"/>
  <c r="T420" i="7" s="1"/>
  <c r="S277" i="7"/>
  <c r="S420" i="7" s="1"/>
  <c r="R277" i="7"/>
  <c r="R420" i="7" s="1"/>
  <c r="Q277" i="7"/>
  <c r="Q420" i="7" s="1"/>
  <c r="P277" i="7"/>
  <c r="P420" i="7" s="1"/>
  <c r="O277" i="7"/>
  <c r="O420" i="7" s="1"/>
  <c r="N277" i="7"/>
  <c r="N420" i="7" s="1"/>
  <c r="K277" i="7"/>
  <c r="K420" i="7" s="1"/>
  <c r="J277" i="7"/>
  <c r="J420" i="7" s="1"/>
  <c r="I277" i="7"/>
  <c r="I420" i="7" s="1"/>
  <c r="H277" i="7"/>
  <c r="H420" i="7" s="1"/>
  <c r="G277" i="7"/>
  <c r="G420" i="7" s="1"/>
  <c r="F277" i="7"/>
  <c r="F420" i="7" s="1"/>
  <c r="E277" i="7"/>
  <c r="E420" i="7" s="1"/>
  <c r="D277" i="7"/>
  <c r="D420" i="7" s="1"/>
  <c r="C277" i="7"/>
  <c r="C420" i="7" s="1"/>
  <c r="B277" i="7"/>
  <c r="B420" i="7" s="1"/>
  <c r="W276" i="7"/>
  <c r="W419" i="7" s="1"/>
  <c r="V276" i="7"/>
  <c r="V419" i="7" s="1"/>
  <c r="U276" i="7"/>
  <c r="U419" i="7" s="1"/>
  <c r="T276" i="7"/>
  <c r="T419" i="7" s="1"/>
  <c r="S276" i="7"/>
  <c r="S419" i="7" s="1"/>
  <c r="R276" i="7"/>
  <c r="R419" i="7" s="1"/>
  <c r="Q276" i="7"/>
  <c r="Q419" i="7" s="1"/>
  <c r="P276" i="7"/>
  <c r="P419" i="7" s="1"/>
  <c r="O276" i="7"/>
  <c r="O419" i="7" s="1"/>
  <c r="N276" i="7"/>
  <c r="N419" i="7" s="1"/>
  <c r="K276" i="7"/>
  <c r="K419" i="7" s="1"/>
  <c r="J276" i="7"/>
  <c r="J419" i="7" s="1"/>
  <c r="I276" i="7"/>
  <c r="I419" i="7" s="1"/>
  <c r="H276" i="7"/>
  <c r="H419" i="7" s="1"/>
  <c r="G276" i="7"/>
  <c r="G419" i="7" s="1"/>
  <c r="F276" i="7"/>
  <c r="F419" i="7" s="1"/>
  <c r="E276" i="7"/>
  <c r="E419" i="7" s="1"/>
  <c r="D276" i="7"/>
  <c r="D419" i="7" s="1"/>
  <c r="C276" i="7"/>
  <c r="C419" i="7" s="1"/>
  <c r="B276" i="7"/>
  <c r="B419" i="7" s="1"/>
  <c r="W275" i="7"/>
  <c r="W418" i="7" s="1"/>
  <c r="V275" i="7"/>
  <c r="V418" i="7" s="1"/>
  <c r="U275" i="7"/>
  <c r="U418" i="7" s="1"/>
  <c r="T275" i="7"/>
  <c r="T418" i="7" s="1"/>
  <c r="S275" i="7"/>
  <c r="S418" i="7" s="1"/>
  <c r="R275" i="7"/>
  <c r="R418" i="7" s="1"/>
  <c r="Q275" i="7"/>
  <c r="Q418" i="7" s="1"/>
  <c r="P275" i="7"/>
  <c r="P418" i="7" s="1"/>
  <c r="O275" i="7"/>
  <c r="O418" i="7" s="1"/>
  <c r="N275" i="7"/>
  <c r="N418" i="7" s="1"/>
  <c r="K275" i="7"/>
  <c r="K418" i="7" s="1"/>
  <c r="J275" i="7"/>
  <c r="J418" i="7" s="1"/>
  <c r="I275" i="7"/>
  <c r="I418" i="7" s="1"/>
  <c r="H275" i="7"/>
  <c r="H418" i="7" s="1"/>
  <c r="G275" i="7"/>
  <c r="G418" i="7" s="1"/>
  <c r="F275" i="7"/>
  <c r="F418" i="7" s="1"/>
  <c r="E275" i="7"/>
  <c r="E418" i="7" s="1"/>
  <c r="D275" i="7"/>
  <c r="D418" i="7" s="1"/>
  <c r="C275" i="7"/>
  <c r="C418" i="7" s="1"/>
  <c r="B275" i="7"/>
  <c r="B418" i="7" s="1"/>
  <c r="W274" i="7"/>
  <c r="W417" i="7" s="1"/>
  <c r="V274" i="7"/>
  <c r="V417" i="7" s="1"/>
  <c r="U274" i="7"/>
  <c r="U417" i="7" s="1"/>
  <c r="T274" i="7"/>
  <c r="T417" i="7" s="1"/>
  <c r="S274" i="7"/>
  <c r="S417" i="7" s="1"/>
  <c r="R274" i="7"/>
  <c r="R417" i="7" s="1"/>
  <c r="Q274" i="7"/>
  <c r="Q417" i="7" s="1"/>
  <c r="P274" i="7"/>
  <c r="P417" i="7" s="1"/>
  <c r="O274" i="7"/>
  <c r="O417" i="7" s="1"/>
  <c r="N274" i="7"/>
  <c r="N417" i="7" s="1"/>
  <c r="K274" i="7"/>
  <c r="K417" i="7" s="1"/>
  <c r="J274" i="7"/>
  <c r="J417" i="7" s="1"/>
  <c r="I274" i="7"/>
  <c r="I417" i="7" s="1"/>
  <c r="H274" i="7"/>
  <c r="H417" i="7" s="1"/>
  <c r="G274" i="7"/>
  <c r="G417" i="7" s="1"/>
  <c r="F274" i="7"/>
  <c r="F417" i="7" s="1"/>
  <c r="E274" i="7"/>
  <c r="E417" i="7" s="1"/>
  <c r="D274" i="7"/>
  <c r="D417" i="7" s="1"/>
  <c r="C274" i="7"/>
  <c r="C417" i="7" s="1"/>
  <c r="B274" i="7"/>
  <c r="B417" i="7" s="1"/>
  <c r="W273" i="7"/>
  <c r="W416" i="7" s="1"/>
  <c r="V273" i="7"/>
  <c r="V416" i="7" s="1"/>
  <c r="U273" i="7"/>
  <c r="U416" i="7" s="1"/>
  <c r="T273" i="7"/>
  <c r="T416" i="7" s="1"/>
  <c r="S273" i="7"/>
  <c r="S416" i="7" s="1"/>
  <c r="R273" i="7"/>
  <c r="R416" i="7" s="1"/>
  <c r="Q273" i="7"/>
  <c r="Q416" i="7" s="1"/>
  <c r="P273" i="7"/>
  <c r="P416" i="7" s="1"/>
  <c r="O273" i="7"/>
  <c r="O416" i="7" s="1"/>
  <c r="N273" i="7"/>
  <c r="N416" i="7" s="1"/>
  <c r="K273" i="7"/>
  <c r="K416" i="7" s="1"/>
  <c r="J273" i="7"/>
  <c r="J416" i="7" s="1"/>
  <c r="I273" i="7"/>
  <c r="I416" i="7" s="1"/>
  <c r="H273" i="7"/>
  <c r="H416" i="7" s="1"/>
  <c r="G273" i="7"/>
  <c r="G416" i="7" s="1"/>
  <c r="F273" i="7"/>
  <c r="F416" i="7" s="1"/>
  <c r="E273" i="7"/>
  <c r="E416" i="7" s="1"/>
  <c r="D273" i="7"/>
  <c r="D416" i="7" s="1"/>
  <c r="C273" i="7"/>
  <c r="C416" i="7" s="1"/>
  <c r="B273" i="7"/>
  <c r="B416" i="7" s="1"/>
  <c r="X272" i="7"/>
  <c r="X415" i="7" s="1"/>
  <c r="W272" i="7"/>
  <c r="W415" i="7" s="1"/>
  <c r="V272" i="7"/>
  <c r="V415" i="7" s="1"/>
  <c r="U272" i="7"/>
  <c r="U415" i="7" s="1"/>
  <c r="T272" i="7"/>
  <c r="T415" i="7" s="1"/>
  <c r="S272" i="7"/>
  <c r="S415" i="7" s="1"/>
  <c r="R272" i="7"/>
  <c r="R415" i="7" s="1"/>
  <c r="Q272" i="7"/>
  <c r="Q415" i="7" s="1"/>
  <c r="P272" i="7"/>
  <c r="P415" i="7" s="1"/>
  <c r="O272" i="7"/>
  <c r="O415" i="7" s="1"/>
  <c r="N272" i="7"/>
  <c r="N415" i="7" s="1"/>
  <c r="K272" i="7"/>
  <c r="K415" i="7" s="1"/>
  <c r="J272" i="7"/>
  <c r="J415" i="7" s="1"/>
  <c r="I272" i="7"/>
  <c r="I415" i="7" s="1"/>
  <c r="H272" i="7"/>
  <c r="H415" i="7" s="1"/>
  <c r="G272" i="7"/>
  <c r="G415" i="7" s="1"/>
  <c r="F272" i="7"/>
  <c r="F415" i="7" s="1"/>
  <c r="E272" i="7"/>
  <c r="E415" i="7" s="1"/>
  <c r="D272" i="7"/>
  <c r="D415" i="7" s="1"/>
  <c r="C272" i="7"/>
  <c r="C415" i="7" s="1"/>
  <c r="B272" i="7"/>
  <c r="B415" i="7" s="1"/>
  <c r="W271" i="7"/>
  <c r="W414" i="7" s="1"/>
  <c r="V271" i="7"/>
  <c r="V414" i="7" s="1"/>
  <c r="U271" i="7"/>
  <c r="U414" i="7" s="1"/>
  <c r="T271" i="7"/>
  <c r="T414" i="7" s="1"/>
  <c r="S271" i="7"/>
  <c r="S414" i="7" s="1"/>
  <c r="R271" i="7"/>
  <c r="R414" i="7" s="1"/>
  <c r="Q271" i="7"/>
  <c r="Q414" i="7" s="1"/>
  <c r="P271" i="7"/>
  <c r="P414" i="7" s="1"/>
  <c r="O271" i="7"/>
  <c r="O414" i="7" s="1"/>
  <c r="N271" i="7"/>
  <c r="N414" i="7" s="1"/>
  <c r="K271" i="7"/>
  <c r="K414" i="7" s="1"/>
  <c r="J271" i="7"/>
  <c r="J414" i="7" s="1"/>
  <c r="I271" i="7"/>
  <c r="I414" i="7" s="1"/>
  <c r="H271" i="7"/>
  <c r="H414" i="7" s="1"/>
  <c r="G271" i="7"/>
  <c r="G414" i="7" s="1"/>
  <c r="F271" i="7"/>
  <c r="F414" i="7" s="1"/>
  <c r="E271" i="7"/>
  <c r="E414" i="7" s="1"/>
  <c r="D271" i="7"/>
  <c r="D414" i="7" s="1"/>
  <c r="C271" i="7"/>
  <c r="C414" i="7" s="1"/>
  <c r="B271" i="7"/>
  <c r="B414" i="7" s="1"/>
  <c r="W270" i="7"/>
  <c r="W413" i="7" s="1"/>
  <c r="V270" i="7"/>
  <c r="V413" i="7" s="1"/>
  <c r="U270" i="7"/>
  <c r="U413" i="7" s="1"/>
  <c r="T270" i="7"/>
  <c r="T413" i="7" s="1"/>
  <c r="S270" i="7"/>
  <c r="S413" i="7" s="1"/>
  <c r="R270" i="7"/>
  <c r="R413" i="7" s="1"/>
  <c r="Q270" i="7"/>
  <c r="Q413" i="7" s="1"/>
  <c r="P270" i="7"/>
  <c r="P413" i="7" s="1"/>
  <c r="O270" i="7"/>
  <c r="O413" i="7" s="1"/>
  <c r="N270" i="7"/>
  <c r="N413" i="7" s="1"/>
  <c r="K270" i="7"/>
  <c r="K413" i="7" s="1"/>
  <c r="J270" i="7"/>
  <c r="J413" i="7" s="1"/>
  <c r="I270" i="7"/>
  <c r="I413" i="7" s="1"/>
  <c r="H270" i="7"/>
  <c r="H413" i="7" s="1"/>
  <c r="G270" i="7"/>
  <c r="G413" i="7" s="1"/>
  <c r="F270" i="7"/>
  <c r="F413" i="7" s="1"/>
  <c r="E270" i="7"/>
  <c r="E413" i="7" s="1"/>
  <c r="D270" i="7"/>
  <c r="D413" i="7" s="1"/>
  <c r="C270" i="7"/>
  <c r="C413" i="7" s="1"/>
  <c r="B270" i="7"/>
  <c r="B413" i="7" s="1"/>
  <c r="W269" i="7"/>
  <c r="V269" i="7"/>
  <c r="U269" i="7"/>
  <c r="T269" i="7"/>
  <c r="S269" i="7"/>
  <c r="R269" i="7"/>
  <c r="Q269" i="7"/>
  <c r="P269" i="7"/>
  <c r="O269" i="7"/>
  <c r="N269" i="7"/>
  <c r="K269" i="7"/>
  <c r="J269" i="7"/>
  <c r="I269" i="7"/>
  <c r="H269" i="7"/>
  <c r="G269" i="7"/>
  <c r="F269" i="7"/>
  <c r="E269" i="7"/>
  <c r="D269" i="7"/>
  <c r="C269" i="7"/>
  <c r="B269" i="7"/>
  <c r="W268" i="7"/>
  <c r="V268" i="7"/>
  <c r="U268" i="7"/>
  <c r="T268" i="7"/>
  <c r="S268" i="7"/>
  <c r="R268" i="7"/>
  <c r="Q268" i="7"/>
  <c r="P268" i="7"/>
  <c r="O268" i="7"/>
  <c r="N268" i="7"/>
  <c r="K268" i="7"/>
  <c r="J268" i="7"/>
  <c r="I268" i="7"/>
  <c r="H268" i="7"/>
  <c r="G268" i="7"/>
  <c r="F268" i="7"/>
  <c r="E268" i="7"/>
  <c r="D268" i="7"/>
  <c r="C268" i="7"/>
  <c r="B268" i="7"/>
  <c r="W267" i="7"/>
  <c r="V267" i="7"/>
  <c r="U267" i="7"/>
  <c r="T267" i="7"/>
  <c r="S267" i="7"/>
  <c r="R267" i="7"/>
  <c r="Q267" i="7"/>
  <c r="P267" i="7"/>
  <c r="O267" i="7"/>
  <c r="N267" i="7"/>
  <c r="K267" i="7"/>
  <c r="J267" i="7"/>
  <c r="I267" i="7"/>
  <c r="H267" i="7"/>
  <c r="G267" i="7"/>
  <c r="F267" i="7"/>
  <c r="E267" i="7"/>
  <c r="D267" i="7"/>
  <c r="C267" i="7"/>
  <c r="B267" i="7"/>
  <c r="W266" i="7"/>
  <c r="V266" i="7"/>
  <c r="U266" i="7"/>
  <c r="T266" i="7"/>
  <c r="S266" i="7"/>
  <c r="R266" i="7"/>
  <c r="Q266" i="7"/>
  <c r="P266" i="7"/>
  <c r="O266" i="7"/>
  <c r="N266" i="7"/>
  <c r="K266" i="7"/>
  <c r="J266" i="7"/>
  <c r="I266" i="7"/>
  <c r="H266" i="7"/>
  <c r="G266" i="7"/>
  <c r="F266" i="7"/>
  <c r="E266" i="7"/>
  <c r="D266" i="7"/>
  <c r="C266" i="7"/>
  <c r="B266" i="7"/>
  <c r="B412" i="7" s="1"/>
  <c r="W265" i="7"/>
  <c r="W412" i="7" s="1"/>
  <c r="V265" i="7"/>
  <c r="V412" i="7" s="1"/>
  <c r="U265" i="7"/>
  <c r="T265" i="7"/>
  <c r="S265" i="7"/>
  <c r="S412" i="7" s="1"/>
  <c r="R265" i="7"/>
  <c r="R412" i="7" s="1"/>
  <c r="Q265" i="7"/>
  <c r="P265" i="7"/>
  <c r="O265" i="7"/>
  <c r="O412" i="7" s="1"/>
  <c r="N265" i="7"/>
  <c r="N412" i="7" s="1"/>
  <c r="K265" i="7"/>
  <c r="K412" i="7" s="1"/>
  <c r="J265" i="7"/>
  <c r="J412" i="7" s="1"/>
  <c r="I265" i="7"/>
  <c r="H265" i="7"/>
  <c r="G265" i="7"/>
  <c r="F265" i="7"/>
  <c r="F412" i="7" s="1"/>
  <c r="E265" i="7"/>
  <c r="E412" i="7" s="1"/>
  <c r="D265" i="7"/>
  <c r="C265" i="7"/>
  <c r="W264" i="7"/>
  <c r="V264" i="7"/>
  <c r="U264" i="7"/>
  <c r="T264" i="7"/>
  <c r="S264" i="7"/>
  <c r="R264" i="7"/>
  <c r="Q264" i="7"/>
  <c r="P264" i="7"/>
  <c r="O264" i="7"/>
  <c r="N264" i="7"/>
  <c r="K264" i="7"/>
  <c r="J264" i="7"/>
  <c r="I264" i="7"/>
  <c r="H264" i="7"/>
  <c r="G264" i="7"/>
  <c r="F264" i="7"/>
  <c r="E264" i="7"/>
  <c r="D264" i="7"/>
  <c r="W263" i="7"/>
  <c r="V263" i="7"/>
  <c r="U263" i="7"/>
  <c r="T263" i="7"/>
  <c r="S263" i="7"/>
  <c r="R263" i="7"/>
  <c r="Q263" i="7"/>
  <c r="P263" i="7"/>
  <c r="O263" i="7"/>
  <c r="N263" i="7"/>
  <c r="J263" i="7"/>
  <c r="I263" i="7"/>
  <c r="H263" i="7"/>
  <c r="G263" i="7"/>
  <c r="F263" i="7"/>
  <c r="E263" i="7"/>
  <c r="D263" i="7"/>
  <c r="C263" i="7"/>
  <c r="B263" i="7"/>
  <c r="W262" i="7"/>
  <c r="V262" i="7"/>
  <c r="U262" i="7"/>
  <c r="T262" i="7"/>
  <c r="S262" i="7"/>
  <c r="R262" i="7"/>
  <c r="Q262" i="7"/>
  <c r="P262" i="7"/>
  <c r="O262" i="7"/>
  <c r="N262" i="7"/>
  <c r="J262" i="7"/>
  <c r="I262" i="7"/>
  <c r="H262" i="7"/>
  <c r="G262" i="7"/>
  <c r="F262" i="7"/>
  <c r="E262" i="7"/>
  <c r="D262" i="7"/>
  <c r="C262" i="7"/>
  <c r="W261" i="7"/>
  <c r="V261" i="7"/>
  <c r="U261" i="7"/>
  <c r="T261" i="7"/>
  <c r="S261" i="7"/>
  <c r="R261" i="7"/>
  <c r="Q261" i="7"/>
  <c r="P261" i="7"/>
  <c r="O261" i="7"/>
  <c r="N261" i="7"/>
  <c r="K261" i="7"/>
  <c r="J261" i="7"/>
  <c r="I261" i="7"/>
  <c r="H261" i="7"/>
  <c r="G261" i="7"/>
  <c r="F261" i="7"/>
  <c r="E261" i="7"/>
  <c r="D261" i="7"/>
  <c r="C261" i="7"/>
  <c r="W260" i="7"/>
  <c r="V260" i="7"/>
  <c r="U260" i="7"/>
  <c r="T260" i="7"/>
  <c r="S260" i="7"/>
  <c r="R260" i="7"/>
  <c r="Q260" i="7"/>
  <c r="P260" i="7"/>
  <c r="O260" i="7"/>
  <c r="N260" i="7"/>
  <c r="J260" i="7"/>
  <c r="I260" i="7"/>
  <c r="H260" i="7"/>
  <c r="G260" i="7"/>
  <c r="F260" i="7"/>
  <c r="E260" i="7"/>
  <c r="D260" i="7"/>
  <c r="C260" i="7"/>
  <c r="B260" i="7"/>
  <c r="B411" i="7" s="1"/>
  <c r="W259" i="7"/>
  <c r="V259" i="7"/>
  <c r="U259" i="7"/>
  <c r="T259" i="7"/>
  <c r="S259" i="7"/>
  <c r="R259" i="7"/>
  <c r="Q259" i="7"/>
  <c r="P259" i="7"/>
  <c r="O259" i="7"/>
  <c r="N259" i="7"/>
  <c r="J259" i="7"/>
  <c r="I259" i="7"/>
  <c r="H259" i="7"/>
  <c r="G259" i="7"/>
  <c r="F259" i="7"/>
  <c r="E259" i="7"/>
  <c r="D259" i="7"/>
  <c r="C259" i="7"/>
  <c r="B259" i="7"/>
  <c r="W258" i="7"/>
  <c r="V258" i="7"/>
  <c r="U258" i="7"/>
  <c r="T258" i="7"/>
  <c r="S258" i="7"/>
  <c r="R258" i="7"/>
  <c r="Q258" i="7"/>
  <c r="P258" i="7"/>
  <c r="O258" i="7"/>
  <c r="N258" i="7"/>
  <c r="J258" i="7"/>
  <c r="I258" i="7"/>
  <c r="H258" i="7"/>
  <c r="G258" i="7"/>
  <c r="F258" i="7"/>
  <c r="E258" i="7"/>
  <c r="D258" i="7"/>
  <c r="C258" i="7"/>
  <c r="B258" i="7"/>
  <c r="W257" i="7"/>
  <c r="V257" i="7"/>
  <c r="U257" i="7"/>
  <c r="T257" i="7"/>
  <c r="S257" i="7"/>
  <c r="R257" i="7"/>
  <c r="Q257" i="7"/>
  <c r="P257" i="7"/>
  <c r="O257" i="7"/>
  <c r="N257" i="7"/>
  <c r="J257" i="7"/>
  <c r="I257" i="7"/>
  <c r="H257" i="7"/>
  <c r="G257" i="7"/>
  <c r="F257" i="7"/>
  <c r="E257" i="7"/>
  <c r="D257" i="7"/>
  <c r="C257" i="7"/>
  <c r="B257" i="7"/>
  <c r="W256" i="7"/>
  <c r="V256" i="7"/>
  <c r="U256" i="7"/>
  <c r="T256" i="7"/>
  <c r="S256" i="7"/>
  <c r="R256" i="7"/>
  <c r="Q256" i="7"/>
  <c r="P256" i="7"/>
  <c r="O256" i="7"/>
  <c r="N256" i="7"/>
  <c r="K256" i="7"/>
  <c r="J256" i="7"/>
  <c r="I256" i="7"/>
  <c r="H256" i="7"/>
  <c r="G256" i="7"/>
  <c r="F256" i="7"/>
  <c r="E256" i="7"/>
  <c r="D256" i="7"/>
  <c r="C256" i="7"/>
  <c r="B256" i="7"/>
  <c r="W255" i="7"/>
  <c r="V255" i="7"/>
  <c r="U255" i="7"/>
  <c r="T255" i="7"/>
  <c r="S255" i="7"/>
  <c r="R255" i="7"/>
  <c r="Q255" i="7"/>
  <c r="P255" i="7"/>
  <c r="O255" i="7"/>
  <c r="N255" i="7"/>
  <c r="K255" i="7"/>
  <c r="K410" i="7" s="1"/>
  <c r="J255" i="7"/>
  <c r="I255" i="7"/>
  <c r="H255" i="7"/>
  <c r="G255" i="7"/>
  <c r="F255" i="7"/>
  <c r="E255" i="7"/>
  <c r="D255" i="7"/>
  <c r="C255" i="7"/>
  <c r="B255" i="7"/>
  <c r="W254" i="7"/>
  <c r="V254" i="7"/>
  <c r="U254" i="7"/>
  <c r="T254" i="7"/>
  <c r="S254" i="7"/>
  <c r="R254" i="7"/>
  <c r="Q254" i="7"/>
  <c r="P254" i="7"/>
  <c r="O254" i="7"/>
  <c r="N254" i="7"/>
  <c r="K254" i="7"/>
  <c r="J254" i="7"/>
  <c r="I254" i="7"/>
  <c r="H254" i="7"/>
  <c r="G254" i="7"/>
  <c r="F254" i="7"/>
  <c r="E254" i="7"/>
  <c r="D254" i="7"/>
  <c r="C254" i="7"/>
  <c r="B254" i="7"/>
  <c r="W253" i="7"/>
  <c r="V253" i="7"/>
  <c r="U253" i="7"/>
  <c r="T253" i="7"/>
  <c r="S253" i="7"/>
  <c r="R253" i="7"/>
  <c r="Q253" i="7"/>
  <c r="P253" i="7"/>
  <c r="O253" i="7"/>
  <c r="N253" i="7"/>
  <c r="K253" i="7"/>
  <c r="J253" i="7"/>
  <c r="I253" i="7"/>
  <c r="H253" i="7"/>
  <c r="G253" i="7"/>
  <c r="F253" i="7"/>
  <c r="E253" i="7"/>
  <c r="D253" i="7"/>
  <c r="C253" i="7"/>
  <c r="B253" i="7"/>
  <c r="W252" i="7"/>
  <c r="V252" i="7"/>
  <c r="U252" i="7"/>
  <c r="T252" i="7"/>
  <c r="S252" i="7"/>
  <c r="R252" i="7"/>
  <c r="Q252" i="7"/>
  <c r="P252" i="7"/>
  <c r="O252" i="7"/>
  <c r="N252" i="7"/>
  <c r="K252" i="7"/>
  <c r="J252" i="7"/>
  <c r="I252" i="7"/>
  <c r="H252" i="7"/>
  <c r="G252" i="7"/>
  <c r="F252" i="7"/>
  <c r="E252" i="7"/>
  <c r="D252" i="7"/>
  <c r="C252" i="7"/>
  <c r="B252" i="7"/>
  <c r="W251" i="7"/>
  <c r="V251" i="7"/>
  <c r="U251" i="7"/>
  <c r="T251" i="7"/>
  <c r="S251" i="7"/>
  <c r="R251" i="7"/>
  <c r="Q251" i="7"/>
  <c r="P251" i="7"/>
  <c r="O251" i="7"/>
  <c r="N251" i="7"/>
  <c r="K251" i="7"/>
  <c r="J251" i="7"/>
  <c r="I251" i="7"/>
  <c r="H251" i="7"/>
  <c r="G251" i="7"/>
  <c r="F251" i="7"/>
  <c r="E251" i="7"/>
  <c r="D251" i="7"/>
  <c r="C251" i="7"/>
  <c r="B251" i="7"/>
  <c r="W250" i="7"/>
  <c r="V250" i="7"/>
  <c r="U250" i="7"/>
  <c r="T250" i="7"/>
  <c r="S250" i="7"/>
  <c r="R250" i="7"/>
  <c r="Q250" i="7"/>
  <c r="P250" i="7"/>
  <c r="O250" i="7"/>
  <c r="N250" i="7"/>
  <c r="K250" i="7"/>
  <c r="J250" i="7"/>
  <c r="J409" i="7" s="1"/>
  <c r="I250" i="7"/>
  <c r="I409" i="7" s="1"/>
  <c r="H250" i="7"/>
  <c r="H409" i="7" s="1"/>
  <c r="G250" i="7"/>
  <c r="F250" i="7"/>
  <c r="E250" i="7"/>
  <c r="D250" i="7"/>
  <c r="D409" i="7" s="1"/>
  <c r="C250" i="7"/>
  <c r="B250" i="7"/>
  <c r="W249" i="7"/>
  <c r="V249" i="7"/>
  <c r="U249" i="7"/>
  <c r="T249" i="7"/>
  <c r="S249" i="7"/>
  <c r="R249" i="7"/>
  <c r="Q249" i="7"/>
  <c r="P249" i="7"/>
  <c r="O249" i="7"/>
  <c r="N249" i="7"/>
  <c r="K249" i="7"/>
  <c r="J249" i="7"/>
  <c r="I249" i="7"/>
  <c r="H249" i="7"/>
  <c r="G249" i="7"/>
  <c r="F249" i="7"/>
  <c r="E249" i="7"/>
  <c r="D249" i="7"/>
  <c r="C249" i="7"/>
  <c r="B249" i="7"/>
  <c r="W248" i="7"/>
  <c r="V248" i="7"/>
  <c r="U248" i="7"/>
  <c r="T248" i="7"/>
  <c r="S248" i="7"/>
  <c r="R248" i="7"/>
  <c r="Q248" i="7"/>
  <c r="P248" i="7"/>
  <c r="O248" i="7"/>
  <c r="N248" i="7"/>
  <c r="K248" i="7"/>
  <c r="J248" i="7"/>
  <c r="I248" i="7"/>
  <c r="H248" i="7"/>
  <c r="G248" i="7"/>
  <c r="F248" i="7"/>
  <c r="E248" i="7"/>
  <c r="D248" i="7"/>
  <c r="C248" i="7"/>
  <c r="B248" i="7"/>
  <c r="W247" i="7"/>
  <c r="V247" i="7"/>
  <c r="U247" i="7"/>
  <c r="T247" i="7"/>
  <c r="S247" i="7"/>
  <c r="R247" i="7"/>
  <c r="Q247" i="7"/>
  <c r="P247" i="7"/>
  <c r="O247" i="7"/>
  <c r="N247" i="7"/>
  <c r="K247" i="7"/>
  <c r="J247" i="7"/>
  <c r="I247" i="7"/>
  <c r="H247" i="7"/>
  <c r="G247" i="7"/>
  <c r="F247" i="7"/>
  <c r="E247" i="7"/>
  <c r="D247" i="7"/>
  <c r="C247" i="7"/>
  <c r="B247" i="7"/>
  <c r="W246" i="7"/>
  <c r="V246" i="7"/>
  <c r="U246" i="7"/>
  <c r="T246" i="7"/>
  <c r="S246" i="7"/>
  <c r="R246" i="7"/>
  <c r="Q246" i="7"/>
  <c r="P246" i="7"/>
  <c r="O246" i="7"/>
  <c r="N246" i="7"/>
  <c r="K246" i="7"/>
  <c r="J246" i="7"/>
  <c r="I246" i="7"/>
  <c r="H246" i="7"/>
  <c r="G246" i="7"/>
  <c r="F246" i="7"/>
  <c r="E246" i="7"/>
  <c r="D246" i="7"/>
  <c r="C246" i="7"/>
  <c r="B246" i="7"/>
  <c r="W245" i="7"/>
  <c r="V245" i="7"/>
  <c r="U245" i="7"/>
  <c r="T245" i="7"/>
  <c r="S245" i="7"/>
  <c r="R245" i="7"/>
  <c r="Q245" i="7"/>
  <c r="P245" i="7"/>
  <c r="O245" i="7"/>
  <c r="N245" i="7"/>
  <c r="K245" i="7"/>
  <c r="J245" i="7"/>
  <c r="I245" i="7"/>
  <c r="H245" i="7"/>
  <c r="G245" i="7"/>
  <c r="F245" i="7"/>
  <c r="E245" i="7"/>
  <c r="D245" i="7"/>
  <c r="C245" i="7"/>
  <c r="B245" i="7"/>
  <c r="W244" i="7"/>
  <c r="V244" i="7"/>
  <c r="U244" i="7"/>
  <c r="T244" i="7"/>
  <c r="S244" i="7"/>
  <c r="R244" i="7"/>
  <c r="Q244" i="7"/>
  <c r="P244" i="7"/>
  <c r="O244" i="7"/>
  <c r="N244" i="7"/>
  <c r="K244" i="7"/>
  <c r="J244" i="7"/>
  <c r="I244" i="7"/>
  <c r="H244" i="7"/>
  <c r="G244" i="7"/>
  <c r="F244" i="7"/>
  <c r="E244" i="7"/>
  <c r="D244" i="7"/>
  <c r="C244" i="7"/>
  <c r="B244" i="7"/>
  <c r="W243" i="7"/>
  <c r="V243" i="7"/>
  <c r="U243" i="7"/>
  <c r="T243" i="7"/>
  <c r="S243" i="7"/>
  <c r="R243" i="7"/>
  <c r="Q243" i="7"/>
  <c r="P243" i="7"/>
  <c r="O243" i="7"/>
  <c r="N243" i="7"/>
  <c r="K243" i="7"/>
  <c r="J243" i="7"/>
  <c r="I243" i="7"/>
  <c r="H243" i="7"/>
  <c r="G243" i="7"/>
  <c r="F243" i="7"/>
  <c r="E243" i="7"/>
  <c r="D243" i="7"/>
  <c r="C243" i="7"/>
  <c r="B243" i="7"/>
  <c r="W242" i="7"/>
  <c r="V242" i="7"/>
  <c r="U242" i="7"/>
  <c r="T242" i="7"/>
  <c r="S242" i="7"/>
  <c r="R242" i="7"/>
  <c r="Q242" i="7"/>
  <c r="P242" i="7"/>
  <c r="O242" i="7"/>
  <c r="N242" i="7"/>
  <c r="K242" i="7"/>
  <c r="J242" i="7"/>
  <c r="I242" i="7"/>
  <c r="H242" i="7"/>
  <c r="G242" i="7"/>
  <c r="F242" i="7"/>
  <c r="E242" i="7"/>
  <c r="D242" i="7"/>
  <c r="C242" i="7"/>
  <c r="B242" i="7"/>
  <c r="W241" i="7"/>
  <c r="V241" i="7"/>
  <c r="U241" i="7"/>
  <c r="T241" i="7"/>
  <c r="S241" i="7"/>
  <c r="R241" i="7"/>
  <c r="Q241" i="7"/>
  <c r="P241" i="7"/>
  <c r="O241" i="7"/>
  <c r="N241" i="7"/>
  <c r="K241" i="7"/>
  <c r="J241" i="7"/>
  <c r="I241" i="7"/>
  <c r="H241" i="7"/>
  <c r="G241" i="7"/>
  <c r="F241" i="7"/>
  <c r="E241" i="7"/>
  <c r="D241" i="7"/>
  <c r="C241" i="7"/>
  <c r="B241" i="7"/>
  <c r="W240" i="7"/>
  <c r="V240" i="7"/>
  <c r="U240" i="7"/>
  <c r="T240" i="7"/>
  <c r="S240" i="7"/>
  <c r="R240" i="7"/>
  <c r="Q240" i="7"/>
  <c r="P240" i="7"/>
  <c r="O240" i="7"/>
  <c r="N240" i="7"/>
  <c r="K240" i="7"/>
  <c r="J240" i="7"/>
  <c r="I240" i="7"/>
  <c r="H240" i="7"/>
  <c r="G240" i="7"/>
  <c r="F240" i="7"/>
  <c r="E240" i="7"/>
  <c r="D240" i="7"/>
  <c r="C240" i="7"/>
  <c r="B240" i="7"/>
  <c r="X406" i="7"/>
  <c r="L237" i="7"/>
  <c r="L406" i="7" s="1"/>
  <c r="X234" i="7"/>
  <c r="L234" i="7"/>
  <c r="L403" i="7" s="1"/>
  <c r="L233" i="7"/>
  <c r="L402" i="7" s="1"/>
  <c r="L232" i="7"/>
  <c r="X231" i="7"/>
  <c r="X400" i="7" s="1"/>
  <c r="L231" i="7"/>
  <c r="L400" i="7" s="1"/>
  <c r="X230" i="7"/>
  <c r="L230" i="7"/>
  <c r="L399" i="7" s="1"/>
  <c r="X229" i="7"/>
  <c r="X398" i="7" s="1"/>
  <c r="L229" i="7"/>
  <c r="L398" i="7" s="1"/>
  <c r="X228" i="7"/>
  <c r="L228" i="7"/>
  <c r="L397" i="7" s="1"/>
  <c r="X227" i="7"/>
  <c r="X396" i="7" s="1"/>
  <c r="L227" i="7"/>
  <c r="L396" i="7" s="1"/>
  <c r="X224" i="7"/>
  <c r="L224" i="7"/>
  <c r="L393" i="7" s="1"/>
  <c r="L223" i="7"/>
  <c r="L392" i="7" s="1"/>
  <c r="X222" i="7"/>
  <c r="L222" i="7"/>
  <c r="X221" i="7"/>
  <c r="L221" i="7"/>
  <c r="X220" i="7"/>
  <c r="L220" i="7"/>
  <c r="X219" i="7"/>
  <c r="L219" i="7"/>
  <c r="X218" i="7"/>
  <c r="L218" i="7"/>
  <c r="X217" i="7"/>
  <c r="L217" i="7"/>
  <c r="X216" i="7"/>
  <c r="L216" i="7"/>
  <c r="X215" i="7"/>
  <c r="L215" i="7"/>
  <c r="X214" i="7"/>
  <c r="L214" i="7"/>
  <c r="X213" i="7"/>
  <c r="L213" i="7"/>
  <c r="X212" i="7"/>
  <c r="L212" i="7"/>
  <c r="X211" i="7"/>
  <c r="L211" i="7"/>
  <c r="X210" i="7"/>
  <c r="L210" i="7"/>
  <c r="X209" i="7"/>
  <c r="L209" i="7"/>
  <c r="X208" i="7"/>
  <c r="L208" i="7"/>
  <c r="X207" i="7"/>
  <c r="L207" i="7"/>
  <c r="X206" i="7"/>
  <c r="L206" i="7"/>
  <c r="X205" i="7"/>
  <c r="L205" i="7"/>
  <c r="X204" i="7"/>
  <c r="L204" i="7"/>
  <c r="X203" i="7"/>
  <c r="L203" i="7"/>
  <c r="X202" i="7"/>
  <c r="L202" i="7"/>
  <c r="X201" i="7"/>
  <c r="L201" i="7"/>
  <c r="X200" i="7"/>
  <c r="L200" i="7"/>
  <c r="X199" i="7"/>
  <c r="L199" i="7"/>
  <c r="X198" i="7"/>
  <c r="L198" i="7"/>
  <c r="X197" i="7"/>
  <c r="L197" i="7"/>
  <c r="X196" i="7"/>
  <c r="L196" i="7"/>
  <c r="X195" i="7"/>
  <c r="L195" i="7"/>
  <c r="X194" i="7"/>
  <c r="L194" i="7"/>
  <c r="X193" i="7"/>
  <c r="L193" i="7"/>
  <c r="X190" i="7"/>
  <c r="X382" i="7" s="1"/>
  <c r="L190" i="7"/>
  <c r="L382" i="7" s="1"/>
  <c r="X187" i="7"/>
  <c r="X379" i="7" s="1"/>
  <c r="L187" i="7"/>
  <c r="X186" i="7"/>
  <c r="X378" i="7" s="1"/>
  <c r="L186" i="7"/>
  <c r="L378" i="7" s="1"/>
  <c r="X185" i="7"/>
  <c r="X377" i="7" s="1"/>
  <c r="L185" i="7"/>
  <c r="L377" i="7" s="1"/>
  <c r="X184" i="7"/>
  <c r="X376" i="7" s="1"/>
  <c r="L184" i="7"/>
  <c r="L376" i="7" s="1"/>
  <c r="X183" i="7"/>
  <c r="X375" i="7" s="1"/>
  <c r="L183" i="7"/>
  <c r="L375" i="7" s="1"/>
  <c r="X182" i="7"/>
  <c r="X374" i="7" s="1"/>
  <c r="L182" i="7"/>
  <c r="L374" i="7" s="1"/>
  <c r="X181" i="7"/>
  <c r="X373" i="7" s="1"/>
  <c r="L181" i="7"/>
  <c r="X180" i="7"/>
  <c r="X372" i="7" s="1"/>
  <c r="L180" i="7"/>
  <c r="L372" i="7" s="1"/>
  <c r="X177" i="7"/>
  <c r="X369" i="7" s="1"/>
  <c r="L177" i="7"/>
  <c r="L369" i="7" s="1"/>
  <c r="X176" i="7"/>
  <c r="L176" i="7"/>
  <c r="L368" i="7" s="1"/>
  <c r="X175" i="7"/>
  <c r="L175" i="7"/>
  <c r="X174" i="7"/>
  <c r="L174" i="7"/>
  <c r="X173" i="7"/>
  <c r="L173" i="7"/>
  <c r="X172" i="7"/>
  <c r="L172" i="7"/>
  <c r="X171" i="7"/>
  <c r="L171" i="7"/>
  <c r="X170" i="7"/>
  <c r="L170" i="7"/>
  <c r="X169" i="7"/>
  <c r="L169" i="7"/>
  <c r="X168" i="7"/>
  <c r="L168" i="7"/>
  <c r="X167" i="7"/>
  <c r="L167" i="7"/>
  <c r="X166" i="7"/>
  <c r="L166" i="7"/>
  <c r="X165" i="7"/>
  <c r="L165" i="7"/>
  <c r="X164" i="7"/>
  <c r="L164" i="7"/>
  <c r="X163" i="7"/>
  <c r="L163" i="7"/>
  <c r="X162" i="7"/>
  <c r="L162" i="7"/>
  <c r="X161" i="7"/>
  <c r="L161" i="7"/>
  <c r="X160" i="7"/>
  <c r="L160" i="7"/>
  <c r="X159" i="7"/>
  <c r="L159" i="7"/>
  <c r="X158" i="7"/>
  <c r="L158" i="7"/>
  <c r="X157" i="7"/>
  <c r="L157" i="7"/>
  <c r="X156" i="7"/>
  <c r="L156" i="7"/>
  <c r="X155" i="7"/>
  <c r="L155" i="7"/>
  <c r="X154" i="7"/>
  <c r="L154" i="7"/>
  <c r="X153" i="7"/>
  <c r="L153" i="7"/>
  <c r="X152" i="7"/>
  <c r="L152" i="7"/>
  <c r="X151" i="7"/>
  <c r="L151" i="7"/>
  <c r="X150" i="7"/>
  <c r="L150" i="7"/>
  <c r="X149" i="7"/>
  <c r="L149" i="7"/>
  <c r="X148" i="7"/>
  <c r="L148" i="7"/>
  <c r="X147" i="7"/>
  <c r="L147" i="7"/>
  <c r="X146" i="7"/>
  <c r="L146" i="7"/>
  <c r="X143" i="7"/>
  <c r="X361" i="7" s="1"/>
  <c r="L143" i="7"/>
  <c r="X140" i="7"/>
  <c r="X358" i="7" s="1"/>
  <c r="L140" i="7"/>
  <c r="X139" i="7"/>
  <c r="X357" i="7" s="1"/>
  <c r="L139" i="7"/>
  <c r="X138" i="7"/>
  <c r="X356" i="7" s="1"/>
  <c r="L138" i="7"/>
  <c r="X137" i="7"/>
  <c r="L137" i="7"/>
  <c r="X136" i="7"/>
  <c r="X354" i="7" s="1"/>
  <c r="L136" i="7"/>
  <c r="X135" i="7"/>
  <c r="X353" i="7" s="1"/>
  <c r="L135" i="7"/>
  <c r="X134" i="7"/>
  <c r="X352" i="7" s="1"/>
  <c r="L134" i="7"/>
  <c r="X133" i="7"/>
  <c r="X351" i="7" s="1"/>
  <c r="L133" i="7"/>
  <c r="L131" i="7"/>
  <c r="L131" i="25" s="1"/>
  <c r="X130" i="7"/>
  <c r="L130" i="7"/>
  <c r="L348" i="7" s="1"/>
  <c r="X129" i="7"/>
  <c r="L129" i="7"/>
  <c r="X128" i="7"/>
  <c r="L128" i="7"/>
  <c r="X127" i="7"/>
  <c r="L127" i="7"/>
  <c r="X126" i="7"/>
  <c r="L126" i="7"/>
  <c r="X125" i="7"/>
  <c r="L125" i="7"/>
  <c r="X124" i="7"/>
  <c r="L124" i="7"/>
  <c r="X123" i="7"/>
  <c r="L123" i="7"/>
  <c r="X122" i="7"/>
  <c r="L122" i="7"/>
  <c r="X121" i="7"/>
  <c r="L121" i="7"/>
  <c r="X120" i="7"/>
  <c r="L120" i="7"/>
  <c r="X119" i="7"/>
  <c r="L119" i="7"/>
  <c r="X118" i="7"/>
  <c r="L118" i="7"/>
  <c r="X117" i="7"/>
  <c r="L117" i="7"/>
  <c r="X116" i="7"/>
  <c r="L116" i="7"/>
  <c r="X115" i="7"/>
  <c r="L115" i="7"/>
  <c r="X114" i="7"/>
  <c r="L114" i="7"/>
  <c r="X113" i="7"/>
  <c r="L113" i="7"/>
  <c r="X112" i="7"/>
  <c r="L112" i="7"/>
  <c r="X111" i="7"/>
  <c r="L111" i="7"/>
  <c r="X110" i="7"/>
  <c r="L110" i="7"/>
  <c r="X109" i="7"/>
  <c r="L109" i="7"/>
  <c r="X108" i="7"/>
  <c r="L108" i="7"/>
  <c r="X107" i="7"/>
  <c r="L107" i="7"/>
  <c r="X106" i="7"/>
  <c r="L106" i="7"/>
  <c r="X105" i="7"/>
  <c r="L105" i="7"/>
  <c r="X104" i="7"/>
  <c r="L104" i="7"/>
  <c r="X103" i="7"/>
  <c r="L103" i="7"/>
  <c r="X102" i="7"/>
  <c r="L102" i="7"/>
  <c r="X101" i="7"/>
  <c r="L101" i="7"/>
  <c r="X100" i="7"/>
  <c r="L100" i="7"/>
  <c r="X99" i="7"/>
  <c r="L99" i="7"/>
  <c r="X92" i="7"/>
  <c r="X333" i="7" s="1"/>
  <c r="L92" i="7"/>
  <c r="L333" i="7" s="1"/>
  <c r="X91" i="7"/>
  <c r="X332" i="7" s="1"/>
  <c r="L91" i="7"/>
  <c r="L332" i="7" s="1"/>
  <c r="X90" i="7"/>
  <c r="X331" i="7" s="1"/>
  <c r="L90" i="7"/>
  <c r="L331" i="7" s="1"/>
  <c r="X89" i="7"/>
  <c r="X330" i="7" s="1"/>
  <c r="L89" i="7"/>
  <c r="L330" i="7" s="1"/>
  <c r="X88" i="7"/>
  <c r="X329" i="7" s="1"/>
  <c r="L88" i="7"/>
  <c r="L329" i="7" s="1"/>
  <c r="X87" i="7"/>
  <c r="X328" i="7" s="1"/>
  <c r="L87" i="7"/>
  <c r="L328" i="7" s="1"/>
  <c r="X86" i="7"/>
  <c r="X327" i="7" s="1"/>
  <c r="L86" i="7"/>
  <c r="L327" i="7" s="1"/>
  <c r="X85" i="7"/>
  <c r="X326" i="7" s="1"/>
  <c r="L85" i="7"/>
  <c r="X83" i="7"/>
  <c r="X324" i="7" s="1"/>
  <c r="L83" i="7"/>
  <c r="L324" i="7" s="1"/>
  <c r="X82" i="7"/>
  <c r="X323" i="7" s="1"/>
  <c r="L82" i="7"/>
  <c r="L323" i="7" s="1"/>
  <c r="X81" i="7"/>
  <c r="L81" i="7"/>
  <c r="X80" i="7"/>
  <c r="L80" i="7"/>
  <c r="X79" i="7"/>
  <c r="L79" i="7"/>
  <c r="X78" i="7"/>
  <c r="L78" i="7"/>
  <c r="X77" i="7"/>
  <c r="L77" i="7"/>
  <c r="X76" i="7"/>
  <c r="L76" i="7"/>
  <c r="X75" i="7"/>
  <c r="L75" i="7"/>
  <c r="X74" i="7"/>
  <c r="L74" i="7"/>
  <c r="X73" i="7"/>
  <c r="L73" i="7"/>
  <c r="X72" i="7"/>
  <c r="L72" i="7"/>
  <c r="X71" i="7"/>
  <c r="L71" i="7"/>
  <c r="X70" i="7"/>
  <c r="L70" i="7"/>
  <c r="X69" i="7"/>
  <c r="L69" i="7"/>
  <c r="X68" i="7"/>
  <c r="L68" i="7"/>
  <c r="X67" i="7"/>
  <c r="L67" i="7"/>
  <c r="X66" i="7"/>
  <c r="L66" i="7"/>
  <c r="X65" i="7"/>
  <c r="L65" i="7"/>
  <c r="X64" i="7"/>
  <c r="L64" i="7"/>
  <c r="X63" i="7"/>
  <c r="L63" i="7"/>
  <c r="X62" i="7"/>
  <c r="L62" i="7"/>
  <c r="X61" i="7"/>
  <c r="L61" i="7"/>
  <c r="X60" i="7"/>
  <c r="L60" i="7"/>
  <c r="X59" i="7"/>
  <c r="L59" i="7"/>
  <c r="X58" i="7"/>
  <c r="L58" i="7"/>
  <c r="X57" i="7"/>
  <c r="L57" i="7"/>
  <c r="X56" i="7"/>
  <c r="L56" i="7"/>
  <c r="X55" i="7"/>
  <c r="L55" i="7"/>
  <c r="X54" i="7"/>
  <c r="L54" i="7"/>
  <c r="X53" i="7"/>
  <c r="L53" i="7"/>
  <c r="X52" i="7"/>
  <c r="L52" i="7"/>
  <c r="L45" i="7"/>
  <c r="L312" i="7" s="1"/>
  <c r="L44" i="7"/>
  <c r="L311" i="7" s="1"/>
  <c r="X43" i="7"/>
  <c r="X310" i="7" s="1"/>
  <c r="L43" i="7"/>
  <c r="L310" i="7" s="1"/>
  <c r="X42" i="7"/>
  <c r="X309" i="7" s="1"/>
  <c r="L42" i="7"/>
  <c r="L309" i="7" s="1"/>
  <c r="X41" i="7"/>
  <c r="X308" i="7" s="1"/>
  <c r="L41" i="7"/>
  <c r="L308" i="7" s="1"/>
  <c r="L40" i="7"/>
  <c r="L307" i="7" s="1"/>
  <c r="L39" i="7"/>
  <c r="L306" i="7" s="1"/>
  <c r="X38" i="7"/>
  <c r="X305" i="7" s="1"/>
  <c r="L38" i="7"/>
  <c r="L305" i="7" s="1"/>
  <c r="X36" i="7"/>
  <c r="X303" i="7" s="1"/>
  <c r="L36" i="7"/>
  <c r="L303" i="7" s="1"/>
  <c r="X35" i="7"/>
  <c r="X302" i="7" s="1"/>
  <c r="L35" i="7"/>
  <c r="L302" i="7" s="1"/>
  <c r="X34" i="7"/>
  <c r="L34" i="7"/>
  <c r="X33" i="7"/>
  <c r="L33" i="7"/>
  <c r="X32" i="7"/>
  <c r="L32" i="7"/>
  <c r="X31" i="7"/>
  <c r="L31" i="7"/>
  <c r="X30" i="7"/>
  <c r="X29" i="7"/>
  <c r="L29" i="7"/>
  <c r="X28" i="7"/>
  <c r="L28" i="7"/>
  <c r="X27" i="7"/>
  <c r="L27" i="7"/>
  <c r="X26" i="7"/>
  <c r="L26" i="7"/>
  <c r="X25" i="7"/>
  <c r="L25" i="7"/>
  <c r="X24" i="7"/>
  <c r="L24" i="7"/>
  <c r="X23" i="7"/>
  <c r="L23" i="7"/>
  <c r="X22" i="7"/>
  <c r="L22" i="7"/>
  <c r="X21" i="7"/>
  <c r="L21" i="7"/>
  <c r="X20" i="7"/>
  <c r="L20" i="7"/>
  <c r="X19" i="7"/>
  <c r="L19" i="7"/>
  <c r="X18" i="7"/>
  <c r="L18" i="7"/>
  <c r="X17" i="7"/>
  <c r="L17" i="7"/>
  <c r="X16" i="7"/>
  <c r="L16" i="7"/>
  <c r="X15" i="7"/>
  <c r="L15" i="7"/>
  <c r="X14" i="7"/>
  <c r="L14" i="7"/>
  <c r="X13" i="7"/>
  <c r="L13" i="7"/>
  <c r="X12" i="7"/>
  <c r="L12" i="7"/>
  <c r="X11" i="7"/>
  <c r="L11" i="7"/>
  <c r="X10" i="7"/>
  <c r="L10" i="7"/>
  <c r="X9" i="7"/>
  <c r="L9" i="7"/>
  <c r="X8" i="7"/>
  <c r="L8" i="7"/>
  <c r="X7" i="7"/>
  <c r="L7" i="7"/>
  <c r="X6" i="7"/>
  <c r="L6" i="7"/>
  <c r="X5" i="7"/>
  <c r="L5" i="7"/>
  <c r="A425" i="6"/>
  <c r="A405" i="6"/>
  <c r="K403" i="6"/>
  <c r="J403" i="6"/>
  <c r="I403" i="6"/>
  <c r="H403" i="6"/>
  <c r="G403" i="6"/>
  <c r="F403" i="6"/>
  <c r="E403" i="6"/>
  <c r="D403" i="6"/>
  <c r="C403" i="6"/>
  <c r="B403" i="6"/>
  <c r="K400" i="6"/>
  <c r="J400" i="6"/>
  <c r="I400" i="6"/>
  <c r="H400" i="6"/>
  <c r="G400" i="6"/>
  <c r="F400" i="6"/>
  <c r="E400" i="6"/>
  <c r="D400" i="6"/>
  <c r="C400" i="6"/>
  <c r="B400" i="6"/>
  <c r="K399" i="6"/>
  <c r="J399" i="6"/>
  <c r="I399" i="6"/>
  <c r="H399" i="6"/>
  <c r="G399" i="6"/>
  <c r="F399" i="6"/>
  <c r="E399" i="6"/>
  <c r="D399" i="6"/>
  <c r="C399" i="6"/>
  <c r="B399" i="6"/>
  <c r="K398" i="6"/>
  <c r="J398" i="6"/>
  <c r="I398" i="6"/>
  <c r="H398" i="6"/>
  <c r="G398" i="6"/>
  <c r="F398" i="6"/>
  <c r="E398" i="6"/>
  <c r="D398" i="6"/>
  <c r="C398" i="6"/>
  <c r="B398" i="6"/>
  <c r="K397" i="6"/>
  <c r="J397" i="6"/>
  <c r="I397" i="6"/>
  <c r="H397" i="6"/>
  <c r="G397" i="6"/>
  <c r="F397" i="6"/>
  <c r="E397" i="6"/>
  <c r="D397" i="6"/>
  <c r="C397" i="6"/>
  <c r="B397" i="6"/>
  <c r="K396" i="6"/>
  <c r="J396" i="6"/>
  <c r="I396" i="6"/>
  <c r="H396" i="6"/>
  <c r="G396" i="6"/>
  <c r="F396" i="6"/>
  <c r="E396" i="6"/>
  <c r="D396" i="6"/>
  <c r="C396" i="6"/>
  <c r="B396" i="6"/>
  <c r="K395" i="6"/>
  <c r="J395" i="6"/>
  <c r="I395" i="6"/>
  <c r="H395" i="6"/>
  <c r="G395" i="6"/>
  <c r="F395" i="6"/>
  <c r="E395" i="6"/>
  <c r="D395" i="6"/>
  <c r="C395" i="6"/>
  <c r="B395" i="6"/>
  <c r="K394" i="6"/>
  <c r="J394" i="6"/>
  <c r="I394" i="6"/>
  <c r="H394" i="6"/>
  <c r="G394" i="6"/>
  <c r="F394" i="6"/>
  <c r="E394" i="6"/>
  <c r="D394" i="6"/>
  <c r="C394" i="6"/>
  <c r="B394" i="6"/>
  <c r="K393" i="6"/>
  <c r="J393" i="6"/>
  <c r="I393" i="6"/>
  <c r="H393" i="6"/>
  <c r="G393" i="6"/>
  <c r="F393" i="6"/>
  <c r="E393" i="6"/>
  <c r="D393" i="6"/>
  <c r="C393" i="6"/>
  <c r="B393" i="6"/>
  <c r="L392" i="6"/>
  <c r="K392" i="6"/>
  <c r="J392" i="6"/>
  <c r="I392" i="6"/>
  <c r="H392" i="6"/>
  <c r="G392" i="6"/>
  <c r="F392" i="6"/>
  <c r="E392" i="6"/>
  <c r="D392" i="6"/>
  <c r="C392" i="6"/>
  <c r="B392" i="6"/>
  <c r="L391" i="6"/>
  <c r="K391" i="6"/>
  <c r="J391" i="6"/>
  <c r="I391" i="6"/>
  <c r="H391" i="6"/>
  <c r="G391" i="6"/>
  <c r="F391" i="6"/>
  <c r="E391" i="6"/>
  <c r="D391" i="6"/>
  <c r="C391" i="6"/>
  <c r="B391" i="6"/>
  <c r="K390" i="6"/>
  <c r="J390" i="6"/>
  <c r="I390" i="6"/>
  <c r="H390" i="6"/>
  <c r="G390" i="6"/>
  <c r="F390" i="6"/>
  <c r="E390" i="6"/>
  <c r="D390" i="6"/>
  <c r="C390" i="6"/>
  <c r="B390" i="6"/>
  <c r="L389" i="6"/>
  <c r="K389" i="6"/>
  <c r="J389" i="6"/>
  <c r="I389" i="6"/>
  <c r="H389" i="6"/>
  <c r="G389" i="6"/>
  <c r="F389" i="6"/>
  <c r="E389" i="6"/>
  <c r="D389" i="6"/>
  <c r="C389" i="6"/>
  <c r="B389" i="6"/>
  <c r="I388" i="6"/>
  <c r="H388" i="6"/>
  <c r="G388" i="6"/>
  <c r="F388" i="6"/>
  <c r="E388" i="6"/>
  <c r="D388" i="6"/>
  <c r="C388" i="6"/>
  <c r="B388" i="6"/>
  <c r="I387" i="6"/>
  <c r="H387" i="6"/>
  <c r="G387" i="6"/>
  <c r="F387" i="6"/>
  <c r="E387" i="6"/>
  <c r="D387" i="6"/>
  <c r="C387" i="6"/>
  <c r="K386" i="6"/>
  <c r="J386" i="6"/>
  <c r="I386" i="6"/>
  <c r="H386" i="6"/>
  <c r="G386" i="6"/>
  <c r="F386" i="6"/>
  <c r="E386" i="6"/>
  <c r="D386" i="6"/>
  <c r="C386" i="6"/>
  <c r="B386" i="6"/>
  <c r="K385" i="6"/>
  <c r="J385" i="6"/>
  <c r="I385" i="6"/>
  <c r="H385" i="6"/>
  <c r="G385" i="6"/>
  <c r="F385" i="6"/>
  <c r="E385" i="6"/>
  <c r="D385" i="6"/>
  <c r="C385" i="6"/>
  <c r="B385" i="6"/>
  <c r="A384" i="6"/>
  <c r="K380" i="6"/>
  <c r="J380" i="6"/>
  <c r="I380" i="6"/>
  <c r="H380" i="6"/>
  <c r="G380" i="6"/>
  <c r="F380" i="6"/>
  <c r="E380" i="6"/>
  <c r="D380" i="6"/>
  <c r="C380" i="6"/>
  <c r="B380" i="6"/>
  <c r="K377" i="6"/>
  <c r="J377" i="6"/>
  <c r="I377" i="6"/>
  <c r="H377" i="6"/>
  <c r="G377" i="6"/>
  <c r="F377" i="6"/>
  <c r="E377" i="6"/>
  <c r="D377" i="6"/>
  <c r="C377" i="6"/>
  <c r="B377" i="6"/>
  <c r="K376" i="6"/>
  <c r="J376" i="6"/>
  <c r="I376" i="6"/>
  <c r="H376" i="6"/>
  <c r="G376" i="6"/>
  <c r="F376" i="6"/>
  <c r="E376" i="6"/>
  <c r="D376" i="6"/>
  <c r="C376" i="6"/>
  <c r="B376" i="6"/>
  <c r="K375" i="6"/>
  <c r="J375" i="6"/>
  <c r="I375" i="6"/>
  <c r="H375" i="6"/>
  <c r="G375" i="6"/>
  <c r="F375" i="6"/>
  <c r="E375" i="6"/>
  <c r="D375" i="6"/>
  <c r="C375" i="6"/>
  <c r="B375" i="6"/>
  <c r="K374" i="6"/>
  <c r="J374" i="6"/>
  <c r="I374" i="6"/>
  <c r="H374" i="6"/>
  <c r="G374" i="6"/>
  <c r="F374" i="6"/>
  <c r="E374" i="6"/>
  <c r="D374" i="6"/>
  <c r="C374" i="6"/>
  <c r="B374" i="6"/>
  <c r="K373" i="6"/>
  <c r="J373" i="6"/>
  <c r="I373" i="6"/>
  <c r="H373" i="6"/>
  <c r="G373" i="6"/>
  <c r="F373" i="6"/>
  <c r="E373" i="6"/>
  <c r="D373" i="6"/>
  <c r="C373" i="6"/>
  <c r="B373" i="6"/>
  <c r="K372" i="6"/>
  <c r="J372" i="6"/>
  <c r="I372" i="6"/>
  <c r="H372" i="6"/>
  <c r="G372" i="6"/>
  <c r="F372" i="6"/>
  <c r="E372" i="6"/>
  <c r="D372" i="6"/>
  <c r="C372" i="6"/>
  <c r="B372" i="6"/>
  <c r="K371" i="6"/>
  <c r="J371" i="6"/>
  <c r="I371" i="6"/>
  <c r="H371" i="6"/>
  <c r="G371" i="6"/>
  <c r="F371" i="6"/>
  <c r="E371" i="6"/>
  <c r="D371" i="6"/>
  <c r="C371" i="6"/>
  <c r="B371" i="6"/>
  <c r="K370" i="6"/>
  <c r="J370" i="6"/>
  <c r="I370" i="6"/>
  <c r="H370" i="6"/>
  <c r="G370" i="6"/>
  <c r="F370" i="6"/>
  <c r="E370" i="6"/>
  <c r="D370" i="6"/>
  <c r="C370" i="6"/>
  <c r="B370" i="6"/>
  <c r="L369" i="6"/>
  <c r="K369" i="6"/>
  <c r="J369" i="6"/>
  <c r="I369" i="6"/>
  <c r="H369" i="6"/>
  <c r="G369" i="6"/>
  <c r="F369" i="6"/>
  <c r="E369" i="6"/>
  <c r="D369" i="6"/>
  <c r="C369" i="6"/>
  <c r="B369" i="6"/>
  <c r="L368" i="6"/>
  <c r="K368" i="6"/>
  <c r="J368" i="6"/>
  <c r="I368" i="6"/>
  <c r="H368" i="6"/>
  <c r="G368" i="6"/>
  <c r="F368" i="6"/>
  <c r="E368" i="6"/>
  <c r="D368" i="6"/>
  <c r="C368" i="6"/>
  <c r="B368" i="6"/>
  <c r="K367" i="6"/>
  <c r="J367" i="6"/>
  <c r="I367" i="6"/>
  <c r="H367" i="6"/>
  <c r="G367" i="6"/>
  <c r="F367" i="6"/>
  <c r="E367" i="6"/>
  <c r="D367" i="6"/>
  <c r="C367" i="6"/>
  <c r="B367" i="6"/>
  <c r="L366" i="6"/>
  <c r="K366" i="6"/>
  <c r="J366" i="6"/>
  <c r="I366" i="6"/>
  <c r="H366" i="6"/>
  <c r="G366" i="6"/>
  <c r="F366" i="6"/>
  <c r="E366" i="6"/>
  <c r="D366" i="6"/>
  <c r="C366" i="6"/>
  <c r="B366" i="6"/>
  <c r="K365" i="6"/>
  <c r="J365" i="6"/>
  <c r="I365" i="6"/>
  <c r="H365" i="6"/>
  <c r="G365" i="6"/>
  <c r="F365" i="6"/>
  <c r="E365" i="6"/>
  <c r="D365" i="6"/>
  <c r="C365" i="6"/>
  <c r="B365" i="6"/>
  <c r="K364" i="6"/>
  <c r="J364" i="6"/>
  <c r="I364" i="6"/>
  <c r="H364" i="6"/>
  <c r="G364" i="6"/>
  <c r="F364" i="6"/>
  <c r="E364" i="6"/>
  <c r="D364" i="6"/>
  <c r="C364" i="6"/>
  <c r="K363" i="6"/>
  <c r="J363" i="6"/>
  <c r="I363" i="6"/>
  <c r="H363" i="6"/>
  <c r="G363" i="6"/>
  <c r="F363" i="6"/>
  <c r="E363" i="6"/>
  <c r="D363" i="6"/>
  <c r="C363" i="6"/>
  <c r="B363" i="6"/>
  <c r="K362" i="6"/>
  <c r="J362" i="6"/>
  <c r="I362" i="6"/>
  <c r="H362" i="6"/>
  <c r="G362" i="6"/>
  <c r="F362" i="6"/>
  <c r="E362" i="6"/>
  <c r="D362" i="6"/>
  <c r="C362" i="6"/>
  <c r="B362" i="6"/>
  <c r="A361" i="6"/>
  <c r="K359" i="6"/>
  <c r="J359" i="6"/>
  <c r="I359" i="6"/>
  <c r="H359" i="6"/>
  <c r="G359" i="6"/>
  <c r="F359" i="6"/>
  <c r="E359" i="6"/>
  <c r="D359" i="6"/>
  <c r="C359" i="6"/>
  <c r="B359" i="6"/>
  <c r="K356" i="6"/>
  <c r="J356" i="6"/>
  <c r="I356" i="6"/>
  <c r="H356" i="6"/>
  <c r="G356" i="6"/>
  <c r="F356" i="6"/>
  <c r="E356" i="6"/>
  <c r="D356" i="6"/>
  <c r="C356" i="6"/>
  <c r="B356" i="6"/>
  <c r="K355" i="6"/>
  <c r="J355" i="6"/>
  <c r="I355" i="6"/>
  <c r="H355" i="6"/>
  <c r="G355" i="6"/>
  <c r="F355" i="6"/>
  <c r="E355" i="6"/>
  <c r="D355" i="6"/>
  <c r="C355" i="6"/>
  <c r="B355" i="6"/>
  <c r="K354" i="6"/>
  <c r="J354" i="6"/>
  <c r="I354" i="6"/>
  <c r="H354" i="6"/>
  <c r="G354" i="6"/>
  <c r="F354" i="6"/>
  <c r="E354" i="6"/>
  <c r="D354" i="6"/>
  <c r="C354" i="6"/>
  <c r="B354" i="6"/>
  <c r="K353" i="6"/>
  <c r="J353" i="6"/>
  <c r="I353" i="6"/>
  <c r="H353" i="6"/>
  <c r="G353" i="6"/>
  <c r="F353" i="6"/>
  <c r="E353" i="6"/>
  <c r="D353" i="6"/>
  <c r="C353" i="6"/>
  <c r="B353" i="6"/>
  <c r="K352" i="6"/>
  <c r="J352" i="6"/>
  <c r="I352" i="6"/>
  <c r="H352" i="6"/>
  <c r="G352" i="6"/>
  <c r="F352" i="6"/>
  <c r="E352" i="6"/>
  <c r="D352" i="6"/>
  <c r="C352" i="6"/>
  <c r="B352" i="6"/>
  <c r="K351" i="6"/>
  <c r="J351" i="6"/>
  <c r="I351" i="6"/>
  <c r="H351" i="6"/>
  <c r="G351" i="6"/>
  <c r="F351" i="6"/>
  <c r="E351" i="6"/>
  <c r="D351" i="6"/>
  <c r="C351" i="6"/>
  <c r="B351" i="6"/>
  <c r="K350" i="6"/>
  <c r="J350" i="6"/>
  <c r="I350" i="6"/>
  <c r="H350" i="6"/>
  <c r="G350" i="6"/>
  <c r="F350" i="6"/>
  <c r="E350" i="6"/>
  <c r="D350" i="6"/>
  <c r="C350" i="6"/>
  <c r="B350" i="6"/>
  <c r="K349" i="6"/>
  <c r="J349" i="6"/>
  <c r="I349" i="6"/>
  <c r="H349" i="6"/>
  <c r="G349" i="6"/>
  <c r="F349" i="6"/>
  <c r="E349" i="6"/>
  <c r="D349" i="6"/>
  <c r="C349" i="6"/>
  <c r="B349" i="6"/>
  <c r="L348" i="6"/>
  <c r="K348" i="6"/>
  <c r="J348" i="6"/>
  <c r="I348" i="6"/>
  <c r="H348" i="6"/>
  <c r="G348" i="6"/>
  <c r="F348" i="6"/>
  <c r="E348" i="6"/>
  <c r="D348" i="6"/>
  <c r="C348" i="6"/>
  <c r="B348" i="6"/>
  <c r="K347" i="6"/>
  <c r="J347" i="6"/>
  <c r="I347" i="6"/>
  <c r="H347" i="6"/>
  <c r="G347" i="6"/>
  <c r="F347" i="6"/>
  <c r="E347" i="6"/>
  <c r="D347" i="6"/>
  <c r="C347" i="6"/>
  <c r="B347" i="6"/>
  <c r="K346" i="6"/>
  <c r="J346" i="6"/>
  <c r="I346" i="6"/>
  <c r="H346" i="6"/>
  <c r="G346" i="6"/>
  <c r="F346" i="6"/>
  <c r="E346" i="6"/>
  <c r="D346" i="6"/>
  <c r="C346" i="6"/>
  <c r="B346" i="6"/>
  <c r="L345" i="6"/>
  <c r="K345" i="6"/>
  <c r="J345" i="6"/>
  <c r="I345" i="6"/>
  <c r="H345" i="6"/>
  <c r="G345" i="6"/>
  <c r="F345" i="6"/>
  <c r="E345" i="6"/>
  <c r="D345" i="6"/>
  <c r="C345" i="6"/>
  <c r="B345" i="6"/>
  <c r="K344" i="6"/>
  <c r="J344" i="6"/>
  <c r="I344" i="6"/>
  <c r="H344" i="6"/>
  <c r="G344" i="6"/>
  <c r="F344" i="6"/>
  <c r="E344" i="6"/>
  <c r="D344" i="6"/>
  <c r="C344" i="6"/>
  <c r="B344" i="6"/>
  <c r="K343" i="6"/>
  <c r="J343" i="6"/>
  <c r="I343" i="6"/>
  <c r="H343" i="6"/>
  <c r="G343" i="6"/>
  <c r="F343" i="6"/>
  <c r="E343" i="6"/>
  <c r="D343" i="6"/>
  <c r="C343" i="6"/>
  <c r="B343" i="6"/>
  <c r="K342" i="6"/>
  <c r="J342" i="6"/>
  <c r="I342" i="6"/>
  <c r="H342" i="6"/>
  <c r="G342" i="6"/>
  <c r="F342" i="6"/>
  <c r="E342" i="6"/>
  <c r="D342" i="6"/>
  <c r="C342" i="6"/>
  <c r="B342" i="6"/>
  <c r="K341" i="6"/>
  <c r="J341" i="6"/>
  <c r="I341" i="6"/>
  <c r="H341" i="6"/>
  <c r="G341" i="6"/>
  <c r="F341" i="6"/>
  <c r="E341" i="6"/>
  <c r="D341" i="6"/>
  <c r="C341" i="6"/>
  <c r="B341" i="6"/>
  <c r="A340" i="6"/>
  <c r="L336" i="6"/>
  <c r="K336" i="6"/>
  <c r="J336" i="6"/>
  <c r="I336" i="6"/>
  <c r="H336" i="6"/>
  <c r="G336" i="6"/>
  <c r="F336" i="6"/>
  <c r="E336" i="6"/>
  <c r="D336" i="6"/>
  <c r="C336" i="6"/>
  <c r="B336" i="6"/>
  <c r="L333" i="6"/>
  <c r="K333" i="6"/>
  <c r="J333" i="6"/>
  <c r="I333" i="6"/>
  <c r="H333" i="6"/>
  <c r="G333" i="6"/>
  <c r="F333" i="6"/>
  <c r="E333" i="6"/>
  <c r="D333" i="6"/>
  <c r="C333" i="6"/>
  <c r="B333" i="6"/>
  <c r="K332" i="6"/>
  <c r="J332" i="6"/>
  <c r="I332" i="6"/>
  <c r="H332" i="6"/>
  <c r="G332" i="6"/>
  <c r="F332" i="6"/>
  <c r="E332" i="6"/>
  <c r="D332" i="6"/>
  <c r="C332" i="6"/>
  <c r="B332" i="6"/>
  <c r="K331" i="6"/>
  <c r="J331" i="6"/>
  <c r="I331" i="6"/>
  <c r="H331" i="6"/>
  <c r="G331" i="6"/>
  <c r="F331" i="6"/>
  <c r="E331" i="6"/>
  <c r="D331" i="6"/>
  <c r="C331" i="6"/>
  <c r="B331" i="6"/>
  <c r="K330" i="6"/>
  <c r="J330" i="6"/>
  <c r="I330" i="6"/>
  <c r="H330" i="6"/>
  <c r="G330" i="6"/>
  <c r="F330" i="6"/>
  <c r="E330" i="6"/>
  <c r="D330" i="6"/>
  <c r="C330" i="6"/>
  <c r="B330" i="6"/>
  <c r="K329" i="6"/>
  <c r="J329" i="6"/>
  <c r="I329" i="6"/>
  <c r="H329" i="6"/>
  <c r="G329" i="6"/>
  <c r="F329" i="6"/>
  <c r="E329" i="6"/>
  <c r="D329" i="6"/>
  <c r="C329" i="6"/>
  <c r="B329" i="6"/>
  <c r="K328" i="6"/>
  <c r="J328" i="6"/>
  <c r="I328" i="6"/>
  <c r="H328" i="6"/>
  <c r="G328" i="6"/>
  <c r="F328" i="6"/>
  <c r="E328" i="6"/>
  <c r="D328" i="6"/>
  <c r="C328" i="6"/>
  <c r="B328" i="6"/>
  <c r="K327" i="6"/>
  <c r="J327" i="6"/>
  <c r="I327" i="6"/>
  <c r="H327" i="6"/>
  <c r="G327" i="6"/>
  <c r="F327" i="6"/>
  <c r="E327" i="6"/>
  <c r="D327" i="6"/>
  <c r="C327" i="6"/>
  <c r="B327" i="6"/>
  <c r="K326" i="6"/>
  <c r="J326" i="6"/>
  <c r="I326" i="6"/>
  <c r="H326" i="6"/>
  <c r="G326" i="6"/>
  <c r="F326" i="6"/>
  <c r="E326" i="6"/>
  <c r="D326" i="6"/>
  <c r="C326" i="6"/>
  <c r="B326" i="6"/>
  <c r="K325" i="6"/>
  <c r="J325" i="6"/>
  <c r="I325" i="6"/>
  <c r="H325" i="6"/>
  <c r="G325" i="6"/>
  <c r="F325" i="6"/>
  <c r="E325" i="6"/>
  <c r="D325" i="6"/>
  <c r="C325" i="6"/>
  <c r="B325" i="6"/>
  <c r="L324" i="6"/>
  <c r="K324" i="6"/>
  <c r="J324" i="6"/>
  <c r="I324" i="6"/>
  <c r="H324" i="6"/>
  <c r="G324" i="6"/>
  <c r="F324" i="6"/>
  <c r="E324" i="6"/>
  <c r="D324" i="6"/>
  <c r="C324" i="6"/>
  <c r="B324" i="6"/>
  <c r="K323" i="6"/>
  <c r="J323" i="6"/>
  <c r="I323" i="6"/>
  <c r="H323" i="6"/>
  <c r="G323" i="6"/>
  <c r="F323" i="6"/>
  <c r="E323" i="6"/>
  <c r="D323" i="6"/>
  <c r="C323" i="6"/>
  <c r="B323" i="6"/>
  <c r="L322" i="6"/>
  <c r="K322" i="6"/>
  <c r="J322" i="6"/>
  <c r="I322" i="6"/>
  <c r="H322" i="6"/>
  <c r="G322" i="6"/>
  <c r="F322" i="6"/>
  <c r="E322" i="6"/>
  <c r="D322" i="6"/>
  <c r="C322" i="6"/>
  <c r="B322" i="6"/>
  <c r="K321" i="6"/>
  <c r="J321" i="6"/>
  <c r="I321" i="6"/>
  <c r="H321" i="6"/>
  <c r="G321" i="6"/>
  <c r="F321" i="6"/>
  <c r="E321" i="6"/>
  <c r="D321" i="6"/>
  <c r="C321" i="6"/>
  <c r="B321" i="6"/>
  <c r="I320" i="6"/>
  <c r="H320" i="6"/>
  <c r="G320" i="6"/>
  <c r="F320" i="6"/>
  <c r="E320" i="6"/>
  <c r="J319" i="6"/>
  <c r="I319" i="6"/>
  <c r="H319" i="6"/>
  <c r="G319" i="6"/>
  <c r="F319" i="6"/>
  <c r="E319" i="6"/>
  <c r="J318" i="6"/>
  <c r="I318" i="6"/>
  <c r="H318" i="6"/>
  <c r="G318" i="6"/>
  <c r="F318" i="6"/>
  <c r="E318" i="6"/>
  <c r="A317" i="6"/>
  <c r="L315" i="6"/>
  <c r="K315" i="6"/>
  <c r="J315" i="6"/>
  <c r="I315" i="6"/>
  <c r="H315" i="6"/>
  <c r="G315" i="6"/>
  <c r="F315" i="6"/>
  <c r="E315" i="6"/>
  <c r="D315" i="6"/>
  <c r="C315" i="6"/>
  <c r="B315" i="6"/>
  <c r="L312" i="6"/>
  <c r="K312" i="6"/>
  <c r="J312" i="6"/>
  <c r="I312" i="6"/>
  <c r="H312" i="6"/>
  <c r="G312" i="6"/>
  <c r="F312" i="6"/>
  <c r="E312" i="6"/>
  <c r="D312" i="6"/>
  <c r="C312" i="6"/>
  <c r="B312" i="6"/>
  <c r="K311" i="6"/>
  <c r="J311" i="6"/>
  <c r="I311" i="6"/>
  <c r="H311" i="6"/>
  <c r="G311" i="6"/>
  <c r="F311" i="6"/>
  <c r="E311" i="6"/>
  <c r="D311" i="6"/>
  <c r="C311" i="6"/>
  <c r="B311" i="6"/>
  <c r="K310" i="6"/>
  <c r="J310" i="6"/>
  <c r="I310" i="6"/>
  <c r="H310" i="6"/>
  <c r="G310" i="6"/>
  <c r="F310" i="6"/>
  <c r="E310" i="6"/>
  <c r="D310" i="6"/>
  <c r="C310" i="6"/>
  <c r="B310" i="6"/>
  <c r="K309" i="6"/>
  <c r="J309" i="6"/>
  <c r="I309" i="6"/>
  <c r="H309" i="6"/>
  <c r="G309" i="6"/>
  <c r="F309" i="6"/>
  <c r="E309" i="6"/>
  <c r="D309" i="6"/>
  <c r="C309" i="6"/>
  <c r="B309" i="6"/>
  <c r="K308" i="6"/>
  <c r="J308" i="6"/>
  <c r="I308" i="6"/>
  <c r="H308" i="6"/>
  <c r="G308" i="6"/>
  <c r="F308" i="6"/>
  <c r="E308" i="6"/>
  <c r="D308" i="6"/>
  <c r="C308" i="6"/>
  <c r="B308" i="6"/>
  <c r="K307" i="6"/>
  <c r="J307" i="6"/>
  <c r="I307" i="6"/>
  <c r="H307" i="6"/>
  <c r="G307" i="6"/>
  <c r="F307" i="6"/>
  <c r="E307" i="6"/>
  <c r="D307" i="6"/>
  <c r="C307" i="6"/>
  <c r="B307" i="6"/>
  <c r="K306" i="6"/>
  <c r="J306" i="6"/>
  <c r="I306" i="6"/>
  <c r="H306" i="6"/>
  <c r="G306" i="6"/>
  <c r="F306" i="6"/>
  <c r="E306" i="6"/>
  <c r="D306" i="6"/>
  <c r="C306" i="6"/>
  <c r="B306" i="6"/>
  <c r="K305" i="6"/>
  <c r="J305" i="6"/>
  <c r="I305" i="6"/>
  <c r="H305" i="6"/>
  <c r="G305" i="6"/>
  <c r="F305" i="6"/>
  <c r="E305" i="6"/>
  <c r="D305" i="6"/>
  <c r="C305" i="6"/>
  <c r="B305" i="6"/>
  <c r="K304" i="6"/>
  <c r="J304" i="6"/>
  <c r="I304" i="6"/>
  <c r="H304" i="6"/>
  <c r="G304" i="6"/>
  <c r="F304" i="6"/>
  <c r="E304" i="6"/>
  <c r="D304" i="6"/>
  <c r="C304" i="6"/>
  <c r="B304" i="6"/>
  <c r="L303" i="6"/>
  <c r="K303" i="6"/>
  <c r="J303" i="6"/>
  <c r="I303" i="6"/>
  <c r="H303" i="6"/>
  <c r="G303" i="6"/>
  <c r="F303" i="6"/>
  <c r="E303" i="6"/>
  <c r="D303" i="6"/>
  <c r="C303" i="6"/>
  <c r="B303" i="6"/>
  <c r="K302" i="6"/>
  <c r="J302" i="6"/>
  <c r="I302" i="6"/>
  <c r="H302" i="6"/>
  <c r="G302" i="6"/>
  <c r="F302" i="6"/>
  <c r="E302" i="6"/>
  <c r="D302" i="6"/>
  <c r="C302" i="6"/>
  <c r="B302" i="6"/>
  <c r="L301" i="6"/>
  <c r="K301" i="6"/>
  <c r="J301" i="6"/>
  <c r="I301" i="6"/>
  <c r="H301" i="6"/>
  <c r="G301" i="6"/>
  <c r="F301" i="6"/>
  <c r="E301" i="6"/>
  <c r="D301" i="6"/>
  <c r="C301" i="6"/>
  <c r="B301" i="6"/>
  <c r="K300" i="6"/>
  <c r="J300" i="6"/>
  <c r="I300" i="6"/>
  <c r="H300" i="6"/>
  <c r="G300" i="6"/>
  <c r="F300" i="6"/>
  <c r="E300" i="6"/>
  <c r="D300" i="6"/>
  <c r="C300" i="6"/>
  <c r="B300" i="6"/>
  <c r="I299" i="6"/>
  <c r="H299" i="6"/>
  <c r="G299" i="6"/>
  <c r="F299" i="6"/>
  <c r="E299" i="6"/>
  <c r="I298" i="6"/>
  <c r="H298" i="6"/>
  <c r="G298" i="6"/>
  <c r="F298" i="6"/>
  <c r="E298" i="6"/>
  <c r="I297" i="6"/>
  <c r="H297" i="6"/>
  <c r="G297" i="6"/>
  <c r="F297" i="6"/>
  <c r="E297" i="6"/>
  <c r="K284" i="6"/>
  <c r="K424" i="6" s="1"/>
  <c r="J284" i="6"/>
  <c r="J424" i="6" s="1"/>
  <c r="I284" i="6"/>
  <c r="I424" i="6" s="1"/>
  <c r="H284" i="6"/>
  <c r="H424" i="6" s="1"/>
  <c r="G284" i="6"/>
  <c r="G424" i="6" s="1"/>
  <c r="F424" i="6"/>
  <c r="E424" i="6"/>
  <c r="D284" i="6"/>
  <c r="D424" i="6" s="1"/>
  <c r="C284" i="6"/>
  <c r="C424" i="6" s="1"/>
  <c r="B284" i="6"/>
  <c r="B424" i="6" s="1"/>
  <c r="K281" i="6"/>
  <c r="K421" i="6" s="1"/>
  <c r="J281" i="6"/>
  <c r="J421" i="6" s="1"/>
  <c r="I281" i="6"/>
  <c r="I421" i="6" s="1"/>
  <c r="H281" i="6"/>
  <c r="H421" i="6" s="1"/>
  <c r="G281" i="6"/>
  <c r="G421" i="6" s="1"/>
  <c r="F281" i="6"/>
  <c r="F421" i="6" s="1"/>
  <c r="E281" i="6"/>
  <c r="E421" i="6" s="1"/>
  <c r="D281" i="6"/>
  <c r="D421" i="6" s="1"/>
  <c r="C281" i="6"/>
  <c r="C421" i="6" s="1"/>
  <c r="B281" i="6"/>
  <c r="B421" i="6" s="1"/>
  <c r="K280" i="6"/>
  <c r="K420" i="6" s="1"/>
  <c r="J280" i="6"/>
  <c r="J420" i="6" s="1"/>
  <c r="I280" i="6"/>
  <c r="I420" i="6" s="1"/>
  <c r="H280" i="6"/>
  <c r="H420" i="6" s="1"/>
  <c r="G280" i="6"/>
  <c r="G420" i="6" s="1"/>
  <c r="F280" i="6"/>
  <c r="F420" i="6" s="1"/>
  <c r="E280" i="6"/>
  <c r="E420" i="6" s="1"/>
  <c r="D280" i="6"/>
  <c r="D420" i="6" s="1"/>
  <c r="C280" i="6"/>
  <c r="C420" i="6" s="1"/>
  <c r="B280" i="6"/>
  <c r="B420" i="6" s="1"/>
  <c r="K279" i="6"/>
  <c r="K419" i="6" s="1"/>
  <c r="J279" i="6"/>
  <c r="J419" i="6" s="1"/>
  <c r="I279" i="6"/>
  <c r="I419" i="6" s="1"/>
  <c r="H279" i="6"/>
  <c r="H419" i="6" s="1"/>
  <c r="G279" i="6"/>
  <c r="G419" i="6" s="1"/>
  <c r="F279" i="6"/>
  <c r="F419" i="6" s="1"/>
  <c r="E279" i="6"/>
  <c r="E419" i="6" s="1"/>
  <c r="D279" i="6"/>
  <c r="D419" i="6" s="1"/>
  <c r="C279" i="6"/>
  <c r="C419" i="6" s="1"/>
  <c r="B279" i="6"/>
  <c r="B419" i="6" s="1"/>
  <c r="K278" i="6"/>
  <c r="K418" i="6" s="1"/>
  <c r="J278" i="6"/>
  <c r="J418" i="6" s="1"/>
  <c r="I278" i="6"/>
  <c r="I418" i="6" s="1"/>
  <c r="H278" i="6"/>
  <c r="H418" i="6" s="1"/>
  <c r="G278" i="6"/>
  <c r="G418" i="6" s="1"/>
  <c r="F278" i="6"/>
  <c r="F418" i="6" s="1"/>
  <c r="E278" i="6"/>
  <c r="E418" i="6" s="1"/>
  <c r="D278" i="6"/>
  <c r="D418" i="6" s="1"/>
  <c r="C278" i="6"/>
  <c r="C418" i="6" s="1"/>
  <c r="B278" i="6"/>
  <c r="B418" i="6" s="1"/>
  <c r="K277" i="6"/>
  <c r="K417" i="6" s="1"/>
  <c r="J277" i="6"/>
  <c r="J417" i="6" s="1"/>
  <c r="I277" i="6"/>
  <c r="I417" i="6" s="1"/>
  <c r="H277" i="6"/>
  <c r="H417" i="6" s="1"/>
  <c r="G277" i="6"/>
  <c r="G417" i="6" s="1"/>
  <c r="F277" i="6"/>
  <c r="F417" i="6" s="1"/>
  <c r="E277" i="6"/>
  <c r="E417" i="6" s="1"/>
  <c r="D277" i="6"/>
  <c r="D417" i="6" s="1"/>
  <c r="C277" i="6"/>
  <c r="C417" i="6" s="1"/>
  <c r="B277" i="6"/>
  <c r="B417" i="6" s="1"/>
  <c r="K276" i="6"/>
  <c r="K416" i="6" s="1"/>
  <c r="J276" i="6"/>
  <c r="J416" i="6" s="1"/>
  <c r="I276" i="6"/>
  <c r="I416" i="6" s="1"/>
  <c r="H276" i="6"/>
  <c r="H416" i="6" s="1"/>
  <c r="G276" i="6"/>
  <c r="G416" i="6" s="1"/>
  <c r="F276" i="6"/>
  <c r="F416" i="6" s="1"/>
  <c r="E276" i="6"/>
  <c r="E416" i="6" s="1"/>
  <c r="D276" i="6"/>
  <c r="D416" i="6" s="1"/>
  <c r="C276" i="6"/>
  <c r="C416" i="6" s="1"/>
  <c r="B276" i="6"/>
  <c r="B416" i="6" s="1"/>
  <c r="K275" i="6"/>
  <c r="K415" i="6" s="1"/>
  <c r="J275" i="6"/>
  <c r="J415" i="6" s="1"/>
  <c r="I275" i="6"/>
  <c r="I415" i="6" s="1"/>
  <c r="H275" i="6"/>
  <c r="H415" i="6" s="1"/>
  <c r="G275" i="6"/>
  <c r="G415" i="6" s="1"/>
  <c r="F275" i="6"/>
  <c r="F415" i="6" s="1"/>
  <c r="E275" i="6"/>
  <c r="E415" i="6" s="1"/>
  <c r="D275" i="6"/>
  <c r="D415" i="6" s="1"/>
  <c r="C275" i="6"/>
  <c r="C415" i="6" s="1"/>
  <c r="B275" i="6"/>
  <c r="B415" i="6" s="1"/>
  <c r="K274" i="6"/>
  <c r="K414" i="6" s="1"/>
  <c r="J274" i="6"/>
  <c r="J414" i="6" s="1"/>
  <c r="I274" i="6"/>
  <c r="I414" i="6" s="1"/>
  <c r="H274" i="6"/>
  <c r="H414" i="6" s="1"/>
  <c r="G274" i="6"/>
  <c r="G414" i="6" s="1"/>
  <c r="F274" i="6"/>
  <c r="F414" i="6" s="1"/>
  <c r="E274" i="6"/>
  <c r="E414" i="6" s="1"/>
  <c r="D274" i="6"/>
  <c r="D414" i="6" s="1"/>
  <c r="C274" i="6"/>
  <c r="C414" i="6" s="1"/>
  <c r="B274" i="6"/>
  <c r="B414" i="6" s="1"/>
  <c r="K273" i="6"/>
  <c r="K413" i="6" s="1"/>
  <c r="J273" i="6"/>
  <c r="J413" i="6" s="1"/>
  <c r="I273" i="6"/>
  <c r="I413" i="6" s="1"/>
  <c r="H273" i="6"/>
  <c r="H413" i="6" s="1"/>
  <c r="G273" i="6"/>
  <c r="G413" i="6" s="1"/>
  <c r="F273" i="6"/>
  <c r="F413" i="6" s="1"/>
  <c r="E273" i="6"/>
  <c r="E413" i="6" s="1"/>
  <c r="D273" i="6"/>
  <c r="D413" i="6" s="1"/>
  <c r="C273" i="6"/>
  <c r="C413" i="6" s="1"/>
  <c r="B273" i="6"/>
  <c r="B413" i="6" s="1"/>
  <c r="K272" i="6"/>
  <c r="K412" i="6" s="1"/>
  <c r="J272" i="6"/>
  <c r="J412" i="6" s="1"/>
  <c r="I272" i="6"/>
  <c r="I412" i="6" s="1"/>
  <c r="H272" i="6"/>
  <c r="H412" i="6" s="1"/>
  <c r="G272" i="6"/>
  <c r="G412" i="6" s="1"/>
  <c r="F272" i="6"/>
  <c r="F412" i="6" s="1"/>
  <c r="E272" i="6"/>
  <c r="E412" i="6" s="1"/>
  <c r="D272" i="6"/>
  <c r="D412" i="6" s="1"/>
  <c r="C272" i="6"/>
  <c r="C412" i="6" s="1"/>
  <c r="B272" i="6"/>
  <c r="B412" i="6" s="1"/>
  <c r="K271" i="6"/>
  <c r="K411" i="6" s="1"/>
  <c r="J271" i="6"/>
  <c r="J411" i="6" s="1"/>
  <c r="I271" i="6"/>
  <c r="I411" i="6" s="1"/>
  <c r="H271" i="6"/>
  <c r="H411" i="6" s="1"/>
  <c r="G271" i="6"/>
  <c r="G411" i="6" s="1"/>
  <c r="F271" i="6"/>
  <c r="F411" i="6" s="1"/>
  <c r="E271" i="6"/>
  <c r="E411" i="6" s="1"/>
  <c r="D271" i="6"/>
  <c r="D411" i="6" s="1"/>
  <c r="C271" i="6"/>
  <c r="C411" i="6" s="1"/>
  <c r="B271" i="6"/>
  <c r="B411" i="6" s="1"/>
  <c r="L270" i="6"/>
  <c r="K270" i="6"/>
  <c r="K410" i="6" s="1"/>
  <c r="J270" i="6"/>
  <c r="J410" i="6" s="1"/>
  <c r="I270" i="6"/>
  <c r="I410" i="6" s="1"/>
  <c r="H270" i="6"/>
  <c r="H410" i="6" s="1"/>
  <c r="G270" i="6"/>
  <c r="G410" i="6" s="1"/>
  <c r="F270" i="6"/>
  <c r="F410" i="6" s="1"/>
  <c r="E270" i="6"/>
  <c r="E410" i="6" s="1"/>
  <c r="D270" i="6"/>
  <c r="D410" i="6" s="1"/>
  <c r="C270" i="6"/>
  <c r="C410" i="6" s="1"/>
  <c r="B270" i="6"/>
  <c r="B410" i="6" s="1"/>
  <c r="K269" i="6"/>
  <c r="J269" i="6"/>
  <c r="I269" i="6"/>
  <c r="H269" i="6"/>
  <c r="G269" i="6"/>
  <c r="F269" i="6"/>
  <c r="E269" i="6"/>
  <c r="D269" i="6"/>
  <c r="C269" i="6"/>
  <c r="B269" i="6"/>
  <c r="K268" i="6"/>
  <c r="J268" i="6"/>
  <c r="I268" i="6"/>
  <c r="H268" i="6"/>
  <c r="G268" i="6"/>
  <c r="F268" i="6"/>
  <c r="E268" i="6"/>
  <c r="D268" i="6"/>
  <c r="C268" i="6"/>
  <c r="B268" i="6"/>
  <c r="K267" i="6"/>
  <c r="J267" i="6"/>
  <c r="I267" i="6"/>
  <c r="H267" i="6"/>
  <c r="G267" i="6"/>
  <c r="F267" i="6"/>
  <c r="E267" i="6"/>
  <c r="D267" i="6"/>
  <c r="C267" i="6"/>
  <c r="B267" i="6"/>
  <c r="K266" i="6"/>
  <c r="J266" i="6"/>
  <c r="I266" i="6"/>
  <c r="H266" i="6"/>
  <c r="G266" i="6"/>
  <c r="F266" i="6"/>
  <c r="E266" i="6"/>
  <c r="D266" i="6"/>
  <c r="C266" i="6"/>
  <c r="B266" i="6"/>
  <c r="K265" i="6"/>
  <c r="J265" i="6"/>
  <c r="I265" i="6"/>
  <c r="H265" i="6"/>
  <c r="G265" i="6"/>
  <c r="F265" i="6"/>
  <c r="E265" i="6"/>
  <c r="D265" i="6"/>
  <c r="C265" i="6"/>
  <c r="K264" i="6"/>
  <c r="J264" i="6"/>
  <c r="I264" i="6"/>
  <c r="H264" i="6"/>
  <c r="G264" i="6"/>
  <c r="F264" i="6"/>
  <c r="E264" i="6"/>
  <c r="D264" i="6"/>
  <c r="J263" i="6"/>
  <c r="I263" i="6"/>
  <c r="H263" i="6"/>
  <c r="G263" i="6"/>
  <c r="F263" i="6"/>
  <c r="E263" i="6"/>
  <c r="D263" i="6"/>
  <c r="C263" i="6"/>
  <c r="B263" i="6"/>
  <c r="J262" i="6"/>
  <c r="I262" i="6"/>
  <c r="H262" i="6"/>
  <c r="G262" i="6"/>
  <c r="F262" i="6"/>
  <c r="E262" i="6"/>
  <c r="D262" i="6"/>
  <c r="C262" i="6"/>
  <c r="K261" i="6"/>
  <c r="J261" i="6"/>
  <c r="I261" i="6"/>
  <c r="H261" i="6"/>
  <c r="G261" i="6"/>
  <c r="F261" i="6"/>
  <c r="E261" i="6"/>
  <c r="D261" i="6"/>
  <c r="C261" i="6"/>
  <c r="J260" i="6"/>
  <c r="I260" i="6"/>
  <c r="H260" i="6"/>
  <c r="G260" i="6"/>
  <c r="F260" i="6"/>
  <c r="E260" i="6"/>
  <c r="D260" i="6"/>
  <c r="C260" i="6"/>
  <c r="B260" i="6"/>
  <c r="J259" i="6"/>
  <c r="I259" i="6"/>
  <c r="H259" i="6"/>
  <c r="G259" i="6"/>
  <c r="F259" i="6"/>
  <c r="E259" i="6"/>
  <c r="D259" i="6"/>
  <c r="C259" i="6"/>
  <c r="B259" i="6"/>
  <c r="J258" i="6"/>
  <c r="I258" i="6"/>
  <c r="H258" i="6"/>
  <c r="G258" i="6"/>
  <c r="F258" i="6"/>
  <c r="E258" i="6"/>
  <c r="D258" i="6"/>
  <c r="C258" i="6"/>
  <c r="B258" i="6"/>
  <c r="K257" i="6"/>
  <c r="J257" i="6"/>
  <c r="I257" i="6"/>
  <c r="H257" i="6"/>
  <c r="G257" i="6"/>
  <c r="F257" i="6"/>
  <c r="E257" i="6"/>
  <c r="D257" i="6"/>
  <c r="C257" i="6"/>
  <c r="B257" i="6"/>
  <c r="K256" i="6"/>
  <c r="J256" i="6"/>
  <c r="I256" i="6"/>
  <c r="H256" i="6"/>
  <c r="G256" i="6"/>
  <c r="F256" i="6"/>
  <c r="E256" i="6"/>
  <c r="D256" i="6"/>
  <c r="C256" i="6"/>
  <c r="B256" i="6"/>
  <c r="K255" i="6"/>
  <c r="J255" i="6"/>
  <c r="I255" i="6"/>
  <c r="H255" i="6"/>
  <c r="G255" i="6"/>
  <c r="F255" i="6"/>
  <c r="E255" i="6"/>
  <c r="D255" i="6"/>
  <c r="C255" i="6"/>
  <c r="B255" i="6"/>
  <c r="K254" i="6"/>
  <c r="J254" i="6"/>
  <c r="I254" i="6"/>
  <c r="H254" i="6"/>
  <c r="G254" i="6"/>
  <c r="F254" i="6"/>
  <c r="E254" i="6"/>
  <c r="D254" i="6"/>
  <c r="C254" i="6"/>
  <c r="B254" i="6"/>
  <c r="K253" i="6"/>
  <c r="J253" i="6"/>
  <c r="I253" i="6"/>
  <c r="H253" i="6"/>
  <c r="G253" i="6"/>
  <c r="F253" i="6"/>
  <c r="E253" i="6"/>
  <c r="D253" i="6"/>
  <c r="C253" i="6"/>
  <c r="B253" i="6"/>
  <c r="K252" i="6"/>
  <c r="J252" i="6"/>
  <c r="I252" i="6"/>
  <c r="H252" i="6"/>
  <c r="G252" i="6"/>
  <c r="F252" i="6"/>
  <c r="E252" i="6"/>
  <c r="D252" i="6"/>
  <c r="C252" i="6"/>
  <c r="B252" i="6"/>
  <c r="K251" i="6"/>
  <c r="J251" i="6"/>
  <c r="I251" i="6"/>
  <c r="H251" i="6"/>
  <c r="G251" i="6"/>
  <c r="F251" i="6"/>
  <c r="E251" i="6"/>
  <c r="D251" i="6"/>
  <c r="C251" i="6"/>
  <c r="B251" i="6"/>
  <c r="K250" i="6"/>
  <c r="J250" i="6"/>
  <c r="I250" i="6"/>
  <c r="H250" i="6"/>
  <c r="G250" i="6"/>
  <c r="F250" i="6"/>
  <c r="E250" i="6"/>
  <c r="D250" i="6"/>
  <c r="C250" i="6"/>
  <c r="B250" i="6"/>
  <c r="K249" i="6"/>
  <c r="J249" i="6"/>
  <c r="I249" i="6"/>
  <c r="H249" i="6"/>
  <c r="G249" i="6"/>
  <c r="F249" i="6"/>
  <c r="E249" i="6"/>
  <c r="D249" i="6"/>
  <c r="C249" i="6"/>
  <c r="B249" i="6"/>
  <c r="K248" i="6"/>
  <c r="J248" i="6"/>
  <c r="I248" i="6"/>
  <c r="H248" i="6"/>
  <c r="G248" i="6"/>
  <c r="F248" i="6"/>
  <c r="E248" i="6"/>
  <c r="D248" i="6"/>
  <c r="C248" i="6"/>
  <c r="B248" i="6"/>
  <c r="K247" i="6"/>
  <c r="J247" i="6"/>
  <c r="I247" i="6"/>
  <c r="H247" i="6"/>
  <c r="G247" i="6"/>
  <c r="F247" i="6"/>
  <c r="E247" i="6"/>
  <c r="D247" i="6"/>
  <c r="C247" i="6"/>
  <c r="B247" i="6"/>
  <c r="K246" i="6"/>
  <c r="J246" i="6"/>
  <c r="I246" i="6"/>
  <c r="H246" i="6"/>
  <c r="G246" i="6"/>
  <c r="F246" i="6"/>
  <c r="E246" i="6"/>
  <c r="D246" i="6"/>
  <c r="C246" i="6"/>
  <c r="B246" i="6"/>
  <c r="K245" i="6"/>
  <c r="J245" i="6"/>
  <c r="I245" i="6"/>
  <c r="H245" i="6"/>
  <c r="G245" i="6"/>
  <c r="F245" i="6"/>
  <c r="E245" i="6"/>
  <c r="D245" i="6"/>
  <c r="C245" i="6"/>
  <c r="B245" i="6"/>
  <c r="K244" i="6"/>
  <c r="J244" i="6"/>
  <c r="I244" i="6"/>
  <c r="H244" i="6"/>
  <c r="G244" i="6"/>
  <c r="F244" i="6"/>
  <c r="E244" i="6"/>
  <c r="D244" i="6"/>
  <c r="C244" i="6"/>
  <c r="B244" i="6"/>
  <c r="K243" i="6"/>
  <c r="J243" i="6"/>
  <c r="I243" i="6"/>
  <c r="H243" i="6"/>
  <c r="G243" i="6"/>
  <c r="F243" i="6"/>
  <c r="E243" i="6"/>
  <c r="D243" i="6"/>
  <c r="C243" i="6"/>
  <c r="B243" i="6"/>
  <c r="K242" i="6"/>
  <c r="J242" i="6"/>
  <c r="I242" i="6"/>
  <c r="H242" i="6"/>
  <c r="G242" i="6"/>
  <c r="F242" i="6"/>
  <c r="E242" i="6"/>
  <c r="D242" i="6"/>
  <c r="C242" i="6"/>
  <c r="B242" i="6"/>
  <c r="K241" i="6"/>
  <c r="J241" i="6"/>
  <c r="I241" i="6"/>
  <c r="H241" i="6"/>
  <c r="G241" i="6"/>
  <c r="F241" i="6"/>
  <c r="E241" i="6"/>
  <c r="D241" i="6"/>
  <c r="C241" i="6"/>
  <c r="B241" i="6"/>
  <c r="K240" i="6"/>
  <c r="J240" i="6"/>
  <c r="I240" i="6"/>
  <c r="H240" i="6"/>
  <c r="G240" i="6"/>
  <c r="F240" i="6"/>
  <c r="E240" i="6"/>
  <c r="D240" i="6"/>
  <c r="C240" i="6"/>
  <c r="B240" i="6"/>
  <c r="L237" i="6"/>
  <c r="L403" i="6" s="1"/>
  <c r="L234" i="6"/>
  <c r="L400" i="6" s="1"/>
  <c r="L233" i="6"/>
  <c r="L399" i="6" s="1"/>
  <c r="L232" i="6"/>
  <c r="L398" i="6" s="1"/>
  <c r="L231" i="6"/>
  <c r="L230" i="6"/>
  <c r="L396" i="6" s="1"/>
  <c r="L229" i="6"/>
  <c r="L395" i="6" s="1"/>
  <c r="L228" i="6"/>
  <c r="L394" i="6" s="1"/>
  <c r="L227" i="6"/>
  <c r="L393" i="6" s="1"/>
  <c r="L224" i="6"/>
  <c r="L222" i="6"/>
  <c r="L221" i="6"/>
  <c r="L220" i="6"/>
  <c r="L219" i="6"/>
  <c r="L218" i="6"/>
  <c r="L217" i="6"/>
  <c r="L216" i="6"/>
  <c r="L215" i="6"/>
  <c r="L214" i="6"/>
  <c r="L213" i="6"/>
  <c r="L212" i="6"/>
  <c r="L211" i="6"/>
  <c r="L210" i="6"/>
  <c r="L209" i="6"/>
  <c r="L208" i="6"/>
  <c r="L207" i="6"/>
  <c r="L206" i="6"/>
  <c r="L205" i="6"/>
  <c r="L204" i="6"/>
  <c r="L203" i="6"/>
  <c r="L202" i="6"/>
  <c r="L201" i="6"/>
  <c r="L200" i="6"/>
  <c r="L199" i="6"/>
  <c r="L198" i="6"/>
  <c r="L197" i="6"/>
  <c r="L196" i="6"/>
  <c r="L195" i="6"/>
  <c r="L194" i="6"/>
  <c r="L193" i="6"/>
  <c r="L190" i="6"/>
  <c r="L380" i="6" s="1"/>
  <c r="L187" i="6"/>
  <c r="L377" i="6" s="1"/>
  <c r="L186" i="6"/>
  <c r="L376" i="6" s="1"/>
  <c r="L185" i="6"/>
  <c r="L375" i="6" s="1"/>
  <c r="L184" i="6"/>
  <c r="L374" i="6" s="1"/>
  <c r="L183" i="6"/>
  <c r="L373" i="6" s="1"/>
  <c r="L182" i="6"/>
  <c r="L372" i="6" s="1"/>
  <c r="L181" i="6"/>
  <c r="L371" i="6" s="1"/>
  <c r="L180" i="6"/>
  <c r="L370" i="6" s="1"/>
  <c r="L177" i="6"/>
  <c r="L367" i="6" s="1"/>
  <c r="L175" i="6"/>
  <c r="L174" i="6"/>
  <c r="L173" i="6"/>
  <c r="L172" i="6"/>
  <c r="L171" i="6"/>
  <c r="L170" i="6"/>
  <c r="L169" i="6"/>
  <c r="L168" i="6"/>
  <c r="L167" i="6"/>
  <c r="L166" i="6"/>
  <c r="L165" i="6"/>
  <c r="L164" i="6"/>
  <c r="L163" i="6"/>
  <c r="L162" i="6"/>
  <c r="L161" i="6"/>
  <c r="L160" i="6"/>
  <c r="L159" i="6"/>
  <c r="L158" i="6"/>
  <c r="L157" i="6"/>
  <c r="L156" i="6"/>
  <c r="L155" i="6"/>
  <c r="L154" i="6"/>
  <c r="L153" i="6"/>
  <c r="L152" i="6"/>
  <c r="L151" i="6"/>
  <c r="L150" i="6"/>
  <c r="L149" i="6"/>
  <c r="L148" i="6"/>
  <c r="L147" i="6"/>
  <c r="L146" i="6"/>
  <c r="L142" i="24"/>
  <c r="L138" i="6"/>
  <c r="L137" i="6"/>
  <c r="L136" i="6"/>
  <c r="L135" i="6"/>
  <c r="L134" i="6"/>
  <c r="L133" i="6"/>
  <c r="L131" i="6"/>
  <c r="L130" i="24" s="1"/>
  <c r="L130" i="6"/>
  <c r="L346" i="6" s="1"/>
  <c r="L128" i="6"/>
  <c r="L127" i="6"/>
  <c r="L126" i="6"/>
  <c r="L125" i="6"/>
  <c r="L124" i="6"/>
  <c r="L123" i="6"/>
  <c r="L122" i="6"/>
  <c r="L121" i="6"/>
  <c r="L120" i="6"/>
  <c r="L119" i="6"/>
  <c r="L118" i="6"/>
  <c r="L117" i="6"/>
  <c r="L116" i="6"/>
  <c r="L115" i="6"/>
  <c r="L114" i="6"/>
  <c r="L113" i="6"/>
  <c r="L112" i="6"/>
  <c r="L111" i="6"/>
  <c r="L110" i="6"/>
  <c r="L109" i="6"/>
  <c r="L108" i="6"/>
  <c r="L107" i="6"/>
  <c r="L106" i="6"/>
  <c r="L105" i="6"/>
  <c r="L104" i="6"/>
  <c r="L103" i="6"/>
  <c r="L102" i="6"/>
  <c r="L101" i="6"/>
  <c r="L100" i="6"/>
  <c r="L99" i="6"/>
  <c r="L92" i="6"/>
  <c r="L332" i="6" s="1"/>
  <c r="L91" i="6"/>
  <c r="L331" i="6" s="1"/>
  <c r="L90" i="6"/>
  <c r="L330" i="6" s="1"/>
  <c r="L89" i="6"/>
  <c r="L329" i="6" s="1"/>
  <c r="L88" i="6"/>
  <c r="L328" i="6" s="1"/>
  <c r="L87" i="6"/>
  <c r="L327" i="6" s="1"/>
  <c r="L86" i="6"/>
  <c r="L85" i="6"/>
  <c r="L325" i="6" s="1"/>
  <c r="L83" i="6"/>
  <c r="L323" i="6" s="1"/>
  <c r="L81" i="6"/>
  <c r="L80" i="6"/>
  <c r="L79" i="6"/>
  <c r="L78" i="6"/>
  <c r="L77" i="6"/>
  <c r="L76" i="6"/>
  <c r="L75" i="6"/>
  <c r="L74" i="6"/>
  <c r="L73" i="6"/>
  <c r="L72" i="6"/>
  <c r="L71" i="6"/>
  <c r="L70" i="6"/>
  <c r="L69" i="6"/>
  <c r="L68" i="6"/>
  <c r="L67" i="6"/>
  <c r="L66" i="6"/>
  <c r="L65" i="6"/>
  <c r="L64" i="6"/>
  <c r="L63" i="6"/>
  <c r="L62" i="6"/>
  <c r="L61" i="6"/>
  <c r="L60" i="6"/>
  <c r="L59" i="6"/>
  <c r="L58" i="6"/>
  <c r="L57" i="6"/>
  <c r="L56" i="6"/>
  <c r="L55" i="6"/>
  <c r="L54" i="6"/>
  <c r="L53" i="6"/>
  <c r="L52" i="6"/>
  <c r="L45" i="6"/>
  <c r="L311" i="6" s="1"/>
  <c r="L44" i="6"/>
  <c r="L310" i="6" s="1"/>
  <c r="L43" i="6"/>
  <c r="L309" i="6" s="1"/>
  <c r="L42" i="6"/>
  <c r="L41" i="6"/>
  <c r="L307" i="6" s="1"/>
  <c r="L40" i="6"/>
  <c r="L306" i="6" s="1"/>
  <c r="L39" i="6"/>
  <c r="L305" i="6" s="1"/>
  <c r="L38" i="6"/>
  <c r="L304" i="6" s="1"/>
  <c r="L36" i="6"/>
  <c r="L302" i="6" s="1"/>
  <c r="L34" i="6"/>
  <c r="L33" i="6"/>
  <c r="L32" i="6"/>
  <c r="L31" i="6"/>
  <c r="L29" i="6"/>
  <c r="L28" i="6"/>
  <c r="L27" i="6"/>
  <c r="L26" i="6"/>
  <c r="L25" i="6"/>
  <c r="L24" i="6"/>
  <c r="L23" i="6"/>
  <c r="L22" i="6"/>
  <c r="L21" i="6"/>
  <c r="L20" i="6"/>
  <c r="L19" i="6"/>
  <c r="L18" i="6"/>
  <c r="L17" i="6"/>
  <c r="L16" i="6"/>
  <c r="L15" i="6"/>
  <c r="L14" i="6"/>
  <c r="L13" i="6"/>
  <c r="L12" i="6"/>
  <c r="L11" i="6"/>
  <c r="L10" i="6"/>
  <c r="L9" i="6"/>
  <c r="L8" i="6"/>
  <c r="L7" i="6"/>
  <c r="L6" i="6"/>
  <c r="L5" i="6"/>
  <c r="A441" i="5"/>
  <c r="A440" i="5"/>
  <c r="A439" i="5"/>
  <c r="R417" i="5"/>
  <c r="Q417" i="5"/>
  <c r="P417" i="5"/>
  <c r="O417" i="5"/>
  <c r="N417" i="5"/>
  <c r="M417" i="5"/>
  <c r="L417" i="5"/>
  <c r="K417" i="5"/>
  <c r="H417" i="5"/>
  <c r="G417" i="5"/>
  <c r="F417" i="5"/>
  <c r="E417" i="5"/>
  <c r="D417" i="5"/>
  <c r="C417" i="5"/>
  <c r="B417" i="5"/>
  <c r="R414" i="5"/>
  <c r="Q414" i="5"/>
  <c r="P414" i="5"/>
  <c r="O414" i="5"/>
  <c r="N414" i="5"/>
  <c r="M414" i="5"/>
  <c r="L414" i="5"/>
  <c r="K414" i="5"/>
  <c r="H414" i="5"/>
  <c r="G414" i="5"/>
  <c r="F414" i="5"/>
  <c r="E414" i="5"/>
  <c r="D414" i="5"/>
  <c r="C414" i="5"/>
  <c r="B414" i="5"/>
  <c r="R413" i="5"/>
  <c r="Q413" i="5"/>
  <c r="P413" i="5"/>
  <c r="O413" i="5"/>
  <c r="N413" i="5"/>
  <c r="M413" i="5"/>
  <c r="L413" i="5"/>
  <c r="K413" i="5"/>
  <c r="H413" i="5"/>
  <c r="G413" i="5"/>
  <c r="F413" i="5"/>
  <c r="E413" i="5"/>
  <c r="D413" i="5"/>
  <c r="C413" i="5"/>
  <c r="B413" i="5"/>
  <c r="R412" i="5"/>
  <c r="Q412" i="5"/>
  <c r="P412" i="5"/>
  <c r="O412" i="5"/>
  <c r="N412" i="5"/>
  <c r="M412" i="5"/>
  <c r="L412" i="5"/>
  <c r="K412" i="5"/>
  <c r="H412" i="5"/>
  <c r="G412" i="5"/>
  <c r="F412" i="5"/>
  <c r="E412" i="5"/>
  <c r="D412" i="5"/>
  <c r="C412" i="5"/>
  <c r="B412" i="5"/>
  <c r="R411" i="5"/>
  <c r="Q411" i="5"/>
  <c r="P411" i="5"/>
  <c r="O411" i="5"/>
  <c r="N411" i="5"/>
  <c r="M411" i="5"/>
  <c r="L411" i="5"/>
  <c r="K411" i="5"/>
  <c r="H411" i="5"/>
  <c r="G411" i="5"/>
  <c r="F411" i="5"/>
  <c r="E411" i="5"/>
  <c r="D411" i="5"/>
  <c r="C411" i="5"/>
  <c r="B411" i="5"/>
  <c r="R410" i="5"/>
  <c r="Q410" i="5"/>
  <c r="P410" i="5"/>
  <c r="O410" i="5"/>
  <c r="N410" i="5"/>
  <c r="M410" i="5"/>
  <c r="L410" i="5"/>
  <c r="K410" i="5"/>
  <c r="H410" i="5"/>
  <c r="G410" i="5"/>
  <c r="F410" i="5"/>
  <c r="E410" i="5"/>
  <c r="D410" i="5"/>
  <c r="C410" i="5"/>
  <c r="B410" i="5"/>
  <c r="R409" i="5"/>
  <c r="Q409" i="5"/>
  <c r="P409" i="5"/>
  <c r="O409" i="5"/>
  <c r="N409" i="5"/>
  <c r="M409" i="5"/>
  <c r="L409" i="5"/>
  <c r="K409" i="5"/>
  <c r="H409" i="5"/>
  <c r="G409" i="5"/>
  <c r="F409" i="5"/>
  <c r="E409" i="5"/>
  <c r="D409" i="5"/>
  <c r="C409" i="5"/>
  <c r="B409" i="5"/>
  <c r="R408" i="5"/>
  <c r="Q408" i="5"/>
  <c r="P408" i="5"/>
  <c r="O408" i="5"/>
  <c r="N408" i="5"/>
  <c r="M408" i="5"/>
  <c r="L408" i="5"/>
  <c r="K408" i="5"/>
  <c r="H408" i="5"/>
  <c r="G408" i="5"/>
  <c r="F408" i="5"/>
  <c r="E408" i="5"/>
  <c r="D408" i="5"/>
  <c r="C408" i="5"/>
  <c r="B408" i="5"/>
  <c r="R407" i="5"/>
  <c r="Q407" i="5"/>
  <c r="P407" i="5"/>
  <c r="O407" i="5"/>
  <c r="N407" i="5"/>
  <c r="M407" i="5"/>
  <c r="L407" i="5"/>
  <c r="K407" i="5"/>
  <c r="H407" i="5"/>
  <c r="G407" i="5"/>
  <c r="F407" i="5"/>
  <c r="E407" i="5"/>
  <c r="D407" i="5"/>
  <c r="C407" i="5"/>
  <c r="B407" i="5"/>
  <c r="R406" i="5"/>
  <c r="Q406" i="5"/>
  <c r="P406" i="5"/>
  <c r="O406" i="5"/>
  <c r="N406" i="5"/>
  <c r="M406" i="5"/>
  <c r="L406" i="5"/>
  <c r="K406" i="5"/>
  <c r="I406" i="5"/>
  <c r="H406" i="5"/>
  <c r="G406" i="5"/>
  <c r="F406" i="5"/>
  <c r="E406" i="5"/>
  <c r="D406" i="5"/>
  <c r="C406" i="5"/>
  <c r="B406" i="5"/>
  <c r="R405" i="5"/>
  <c r="Q405" i="5"/>
  <c r="P405" i="5"/>
  <c r="O405" i="5"/>
  <c r="N405" i="5"/>
  <c r="M405" i="5"/>
  <c r="L405" i="5"/>
  <c r="K405" i="5"/>
  <c r="I405" i="5"/>
  <c r="H405" i="5"/>
  <c r="G405" i="5"/>
  <c r="F405" i="5"/>
  <c r="E405" i="5"/>
  <c r="D405" i="5"/>
  <c r="C405" i="5"/>
  <c r="B405" i="5"/>
  <c r="R404" i="5"/>
  <c r="Q404" i="5"/>
  <c r="P404" i="5"/>
  <c r="O404" i="5"/>
  <c r="N404" i="5"/>
  <c r="M404" i="5"/>
  <c r="L404" i="5"/>
  <c r="K404" i="5"/>
  <c r="H404" i="5"/>
  <c r="G404" i="5"/>
  <c r="F404" i="5"/>
  <c r="E404" i="5"/>
  <c r="D404" i="5"/>
  <c r="C404" i="5"/>
  <c r="B404" i="5"/>
  <c r="R403" i="5"/>
  <c r="Q403" i="5"/>
  <c r="P403" i="5"/>
  <c r="O403" i="5"/>
  <c r="N403" i="5"/>
  <c r="M403" i="5"/>
  <c r="L403" i="5"/>
  <c r="K403" i="5"/>
  <c r="H403" i="5"/>
  <c r="G403" i="5"/>
  <c r="F403" i="5"/>
  <c r="E403" i="5"/>
  <c r="D403" i="5"/>
  <c r="C403" i="5"/>
  <c r="B403" i="5"/>
  <c r="R402" i="5"/>
  <c r="Q402" i="5"/>
  <c r="P402" i="5"/>
  <c r="O402" i="5"/>
  <c r="N402" i="5"/>
  <c r="M402" i="5"/>
  <c r="L402" i="5"/>
  <c r="K402" i="5"/>
  <c r="H402" i="5"/>
  <c r="G402" i="5"/>
  <c r="F402" i="5"/>
  <c r="E402" i="5"/>
  <c r="D402" i="5"/>
  <c r="C402" i="5"/>
  <c r="B402" i="5"/>
  <c r="G401" i="5"/>
  <c r="F401" i="5"/>
  <c r="E401" i="5"/>
  <c r="D401" i="5"/>
  <c r="C401" i="5"/>
  <c r="B401" i="5"/>
  <c r="O400" i="5"/>
  <c r="N400" i="5"/>
  <c r="M400" i="5"/>
  <c r="G400" i="5"/>
  <c r="F400" i="5"/>
  <c r="E400" i="5"/>
  <c r="D400" i="5"/>
  <c r="C400" i="5"/>
  <c r="P399" i="5"/>
  <c r="O399" i="5"/>
  <c r="N399" i="5"/>
  <c r="M399" i="5"/>
  <c r="G399" i="5"/>
  <c r="F399" i="5"/>
  <c r="E399" i="5"/>
  <c r="D399" i="5"/>
  <c r="C399" i="5"/>
  <c r="A398" i="5"/>
  <c r="R393" i="5"/>
  <c r="Q393" i="5"/>
  <c r="P393" i="5"/>
  <c r="O393" i="5"/>
  <c r="N393" i="5"/>
  <c r="M393" i="5"/>
  <c r="L393" i="5"/>
  <c r="K393" i="5"/>
  <c r="H393" i="5"/>
  <c r="G393" i="5"/>
  <c r="F393" i="5"/>
  <c r="E393" i="5"/>
  <c r="D393" i="5"/>
  <c r="C393" i="5"/>
  <c r="B393" i="5"/>
  <c r="R390" i="5"/>
  <c r="Q390" i="5"/>
  <c r="P390" i="5"/>
  <c r="O390" i="5"/>
  <c r="N390" i="5"/>
  <c r="M390" i="5"/>
  <c r="L390" i="5"/>
  <c r="K390" i="5"/>
  <c r="H390" i="5"/>
  <c r="G390" i="5"/>
  <c r="F390" i="5"/>
  <c r="E390" i="5"/>
  <c r="D390" i="5"/>
  <c r="C390" i="5"/>
  <c r="B390" i="5"/>
  <c r="R389" i="5"/>
  <c r="Q389" i="5"/>
  <c r="P389" i="5"/>
  <c r="O389" i="5"/>
  <c r="N389" i="5"/>
  <c r="M389" i="5"/>
  <c r="L389" i="5"/>
  <c r="K389" i="5"/>
  <c r="H389" i="5"/>
  <c r="G389" i="5"/>
  <c r="F389" i="5"/>
  <c r="E389" i="5"/>
  <c r="D389" i="5"/>
  <c r="C389" i="5"/>
  <c r="B389" i="5"/>
  <c r="R388" i="5"/>
  <c r="Q388" i="5"/>
  <c r="P388" i="5"/>
  <c r="O388" i="5"/>
  <c r="N388" i="5"/>
  <c r="M388" i="5"/>
  <c r="L388" i="5"/>
  <c r="K388" i="5"/>
  <c r="H388" i="5"/>
  <c r="G388" i="5"/>
  <c r="F388" i="5"/>
  <c r="E388" i="5"/>
  <c r="D388" i="5"/>
  <c r="C388" i="5"/>
  <c r="B388" i="5"/>
  <c r="R387" i="5"/>
  <c r="Q387" i="5"/>
  <c r="P387" i="5"/>
  <c r="O387" i="5"/>
  <c r="N387" i="5"/>
  <c r="M387" i="5"/>
  <c r="L387" i="5"/>
  <c r="K387" i="5"/>
  <c r="H387" i="5"/>
  <c r="G387" i="5"/>
  <c r="F387" i="5"/>
  <c r="E387" i="5"/>
  <c r="D387" i="5"/>
  <c r="C387" i="5"/>
  <c r="B387" i="5"/>
  <c r="R386" i="5"/>
  <c r="Q386" i="5"/>
  <c r="P386" i="5"/>
  <c r="O386" i="5"/>
  <c r="N386" i="5"/>
  <c r="M386" i="5"/>
  <c r="L386" i="5"/>
  <c r="K386" i="5"/>
  <c r="H386" i="5"/>
  <c r="G386" i="5"/>
  <c r="F386" i="5"/>
  <c r="E386" i="5"/>
  <c r="D386" i="5"/>
  <c r="C386" i="5"/>
  <c r="B386" i="5"/>
  <c r="R385" i="5"/>
  <c r="Q385" i="5"/>
  <c r="P385" i="5"/>
  <c r="O385" i="5"/>
  <c r="N385" i="5"/>
  <c r="M385" i="5"/>
  <c r="L385" i="5"/>
  <c r="K385" i="5"/>
  <c r="H385" i="5"/>
  <c r="G385" i="5"/>
  <c r="F385" i="5"/>
  <c r="E385" i="5"/>
  <c r="D385" i="5"/>
  <c r="C385" i="5"/>
  <c r="B385" i="5"/>
  <c r="R384" i="5"/>
  <c r="Q384" i="5"/>
  <c r="P384" i="5"/>
  <c r="O384" i="5"/>
  <c r="N384" i="5"/>
  <c r="M384" i="5"/>
  <c r="L384" i="5"/>
  <c r="K384" i="5"/>
  <c r="H384" i="5"/>
  <c r="G384" i="5"/>
  <c r="F384" i="5"/>
  <c r="E384" i="5"/>
  <c r="D384" i="5"/>
  <c r="C384" i="5"/>
  <c r="B384" i="5"/>
  <c r="R383" i="5"/>
  <c r="Q383" i="5"/>
  <c r="P383" i="5"/>
  <c r="O383" i="5"/>
  <c r="N383" i="5"/>
  <c r="M383" i="5"/>
  <c r="L383" i="5"/>
  <c r="K383" i="5"/>
  <c r="H383" i="5"/>
  <c r="G383" i="5"/>
  <c r="F383" i="5"/>
  <c r="E383" i="5"/>
  <c r="D383" i="5"/>
  <c r="C383" i="5"/>
  <c r="B383" i="5"/>
  <c r="R382" i="5"/>
  <c r="Q382" i="5"/>
  <c r="P382" i="5"/>
  <c r="O382" i="5"/>
  <c r="N382" i="5"/>
  <c r="M382" i="5"/>
  <c r="L382" i="5"/>
  <c r="K382" i="5"/>
  <c r="I382" i="5"/>
  <c r="H382" i="5"/>
  <c r="G382" i="5"/>
  <c r="F382" i="5"/>
  <c r="E382" i="5"/>
  <c r="D382" i="5"/>
  <c r="C382" i="5"/>
  <c r="B382" i="5"/>
  <c r="R381" i="5"/>
  <c r="Q381" i="5"/>
  <c r="P381" i="5"/>
  <c r="O381" i="5"/>
  <c r="N381" i="5"/>
  <c r="M381" i="5"/>
  <c r="L381" i="5"/>
  <c r="K381" i="5"/>
  <c r="I381" i="5"/>
  <c r="H381" i="5"/>
  <c r="G381" i="5"/>
  <c r="F381" i="5"/>
  <c r="E381" i="5"/>
  <c r="D381" i="5"/>
  <c r="C381" i="5"/>
  <c r="B381" i="5"/>
  <c r="R380" i="5"/>
  <c r="Q380" i="5"/>
  <c r="P380" i="5"/>
  <c r="O380" i="5"/>
  <c r="N380" i="5"/>
  <c r="M380" i="5"/>
  <c r="L380" i="5"/>
  <c r="K380" i="5"/>
  <c r="H380" i="5"/>
  <c r="G380" i="5"/>
  <c r="F380" i="5"/>
  <c r="E380" i="5"/>
  <c r="D380" i="5"/>
  <c r="C380" i="5"/>
  <c r="B380" i="5"/>
  <c r="R379" i="5"/>
  <c r="Q379" i="5"/>
  <c r="P379" i="5"/>
  <c r="O379" i="5"/>
  <c r="N379" i="5"/>
  <c r="M379" i="5"/>
  <c r="L379" i="5"/>
  <c r="K379" i="5"/>
  <c r="H379" i="5"/>
  <c r="G379" i="5"/>
  <c r="F379" i="5"/>
  <c r="E379" i="5"/>
  <c r="D379" i="5"/>
  <c r="C379" i="5"/>
  <c r="B379" i="5"/>
  <c r="R378" i="5"/>
  <c r="Q378" i="5"/>
  <c r="P378" i="5"/>
  <c r="O378" i="5"/>
  <c r="N378" i="5"/>
  <c r="M378" i="5"/>
  <c r="L378" i="5"/>
  <c r="K378" i="5"/>
  <c r="H378" i="5"/>
  <c r="G378" i="5"/>
  <c r="F378" i="5"/>
  <c r="E378" i="5"/>
  <c r="D378" i="5"/>
  <c r="C378" i="5"/>
  <c r="B378" i="5"/>
  <c r="G377" i="5"/>
  <c r="F377" i="5"/>
  <c r="E377" i="5"/>
  <c r="D377" i="5"/>
  <c r="C377" i="5"/>
  <c r="B377" i="5"/>
  <c r="O376" i="5"/>
  <c r="N376" i="5"/>
  <c r="M376" i="5"/>
  <c r="G376" i="5"/>
  <c r="F376" i="5"/>
  <c r="E376" i="5"/>
  <c r="D376" i="5"/>
  <c r="C376" i="5"/>
  <c r="P375" i="5"/>
  <c r="O375" i="5"/>
  <c r="N375" i="5"/>
  <c r="M375" i="5"/>
  <c r="G375" i="5"/>
  <c r="F375" i="5"/>
  <c r="E375" i="5"/>
  <c r="D375" i="5"/>
  <c r="C375" i="5"/>
  <c r="A374" i="5"/>
  <c r="R372" i="5"/>
  <c r="Q372" i="5"/>
  <c r="P372" i="5"/>
  <c r="O372" i="5"/>
  <c r="N372" i="5"/>
  <c r="M372" i="5"/>
  <c r="L372" i="5"/>
  <c r="K372" i="5"/>
  <c r="H372" i="5"/>
  <c r="G372" i="5"/>
  <c r="F372" i="5"/>
  <c r="E372" i="5"/>
  <c r="D372" i="5"/>
  <c r="C372" i="5"/>
  <c r="B372" i="5"/>
  <c r="R369" i="5"/>
  <c r="Q369" i="5"/>
  <c r="P369" i="5"/>
  <c r="O369" i="5"/>
  <c r="N369" i="5"/>
  <c r="M369" i="5"/>
  <c r="L369" i="5"/>
  <c r="K369" i="5"/>
  <c r="H369" i="5"/>
  <c r="G369" i="5"/>
  <c r="F369" i="5"/>
  <c r="E369" i="5"/>
  <c r="D369" i="5"/>
  <c r="C369" i="5"/>
  <c r="B369" i="5"/>
  <c r="R368" i="5"/>
  <c r="Q368" i="5"/>
  <c r="P368" i="5"/>
  <c r="O368" i="5"/>
  <c r="N368" i="5"/>
  <c r="M368" i="5"/>
  <c r="L368" i="5"/>
  <c r="K368" i="5"/>
  <c r="H368" i="5"/>
  <c r="G368" i="5"/>
  <c r="F368" i="5"/>
  <c r="E368" i="5"/>
  <c r="D368" i="5"/>
  <c r="C368" i="5"/>
  <c r="B368" i="5"/>
  <c r="R367" i="5"/>
  <c r="Q367" i="5"/>
  <c r="P367" i="5"/>
  <c r="O367" i="5"/>
  <c r="N367" i="5"/>
  <c r="M367" i="5"/>
  <c r="L367" i="5"/>
  <c r="K367" i="5"/>
  <c r="H367" i="5"/>
  <c r="G367" i="5"/>
  <c r="F367" i="5"/>
  <c r="E367" i="5"/>
  <c r="D367" i="5"/>
  <c r="C367" i="5"/>
  <c r="B367" i="5"/>
  <c r="R366" i="5"/>
  <c r="Q366" i="5"/>
  <c r="P366" i="5"/>
  <c r="O366" i="5"/>
  <c r="N366" i="5"/>
  <c r="M366" i="5"/>
  <c r="L366" i="5"/>
  <c r="K366" i="5"/>
  <c r="H366" i="5"/>
  <c r="G366" i="5"/>
  <c r="F366" i="5"/>
  <c r="E366" i="5"/>
  <c r="D366" i="5"/>
  <c r="C366" i="5"/>
  <c r="B366" i="5"/>
  <c r="R365" i="5"/>
  <c r="Q365" i="5"/>
  <c r="P365" i="5"/>
  <c r="O365" i="5"/>
  <c r="N365" i="5"/>
  <c r="M365" i="5"/>
  <c r="L365" i="5"/>
  <c r="K365" i="5"/>
  <c r="H365" i="5"/>
  <c r="G365" i="5"/>
  <c r="F365" i="5"/>
  <c r="E365" i="5"/>
  <c r="D365" i="5"/>
  <c r="C365" i="5"/>
  <c r="B365" i="5"/>
  <c r="R364" i="5"/>
  <c r="Q364" i="5"/>
  <c r="P364" i="5"/>
  <c r="O364" i="5"/>
  <c r="N364" i="5"/>
  <c r="M364" i="5"/>
  <c r="L364" i="5"/>
  <c r="K364" i="5"/>
  <c r="H364" i="5"/>
  <c r="G364" i="5"/>
  <c r="F364" i="5"/>
  <c r="E364" i="5"/>
  <c r="D364" i="5"/>
  <c r="C364" i="5"/>
  <c r="B364" i="5"/>
  <c r="R363" i="5"/>
  <c r="Q363" i="5"/>
  <c r="P363" i="5"/>
  <c r="O363" i="5"/>
  <c r="N363" i="5"/>
  <c r="M363" i="5"/>
  <c r="L363" i="5"/>
  <c r="K363" i="5"/>
  <c r="H363" i="5"/>
  <c r="G363" i="5"/>
  <c r="F363" i="5"/>
  <c r="E363" i="5"/>
  <c r="D363" i="5"/>
  <c r="C363" i="5"/>
  <c r="B363" i="5"/>
  <c r="R362" i="5"/>
  <c r="Q362" i="5"/>
  <c r="P362" i="5"/>
  <c r="O362" i="5"/>
  <c r="N362" i="5"/>
  <c r="M362" i="5"/>
  <c r="L362" i="5"/>
  <c r="K362" i="5"/>
  <c r="H362" i="5"/>
  <c r="G362" i="5"/>
  <c r="F362" i="5"/>
  <c r="E362" i="5"/>
  <c r="D362" i="5"/>
  <c r="C362" i="5"/>
  <c r="B362" i="5"/>
  <c r="R361" i="5"/>
  <c r="Q361" i="5"/>
  <c r="P361" i="5"/>
  <c r="O361" i="5"/>
  <c r="N361" i="5"/>
  <c r="M361" i="5"/>
  <c r="L361" i="5"/>
  <c r="K361" i="5"/>
  <c r="I361" i="5"/>
  <c r="H361" i="5"/>
  <c r="G361" i="5"/>
  <c r="F361" i="5"/>
  <c r="E361" i="5"/>
  <c r="D361" i="5"/>
  <c r="C361" i="5"/>
  <c r="B361" i="5"/>
  <c r="R360" i="5"/>
  <c r="Q360" i="5"/>
  <c r="P360" i="5"/>
  <c r="O360" i="5"/>
  <c r="N360" i="5"/>
  <c r="M360" i="5"/>
  <c r="L360" i="5"/>
  <c r="K360" i="5"/>
  <c r="I360" i="5"/>
  <c r="H360" i="5"/>
  <c r="G360" i="5"/>
  <c r="F360" i="5"/>
  <c r="E360" i="5"/>
  <c r="D360" i="5"/>
  <c r="C360" i="5"/>
  <c r="B360" i="5"/>
  <c r="R359" i="5"/>
  <c r="Q359" i="5"/>
  <c r="P359" i="5"/>
  <c r="O359" i="5"/>
  <c r="N359" i="5"/>
  <c r="M359" i="5"/>
  <c r="L359" i="5"/>
  <c r="K359" i="5"/>
  <c r="H359" i="5"/>
  <c r="G359" i="5"/>
  <c r="F359" i="5"/>
  <c r="E359" i="5"/>
  <c r="D359" i="5"/>
  <c r="C359" i="5"/>
  <c r="B359" i="5"/>
  <c r="R358" i="5"/>
  <c r="Q358" i="5"/>
  <c r="P358" i="5"/>
  <c r="O358" i="5"/>
  <c r="N358" i="5"/>
  <c r="M358" i="5"/>
  <c r="L358" i="5"/>
  <c r="K358" i="5"/>
  <c r="H358" i="5"/>
  <c r="G358" i="5"/>
  <c r="F358" i="5"/>
  <c r="E358" i="5"/>
  <c r="D358" i="5"/>
  <c r="C358" i="5"/>
  <c r="B358" i="5"/>
  <c r="R357" i="5"/>
  <c r="Q357" i="5"/>
  <c r="P357" i="5"/>
  <c r="O357" i="5"/>
  <c r="N357" i="5"/>
  <c r="M357" i="5"/>
  <c r="L357" i="5"/>
  <c r="K357" i="5"/>
  <c r="H357" i="5"/>
  <c r="G357" i="5"/>
  <c r="F357" i="5"/>
  <c r="E357" i="5"/>
  <c r="D357" i="5"/>
  <c r="C357" i="5"/>
  <c r="B357" i="5"/>
  <c r="G356" i="5"/>
  <c r="F356" i="5"/>
  <c r="R355" i="5"/>
  <c r="D47" i="3" s="1"/>
  <c r="O355" i="5"/>
  <c r="G355" i="5"/>
  <c r="F355" i="5"/>
  <c r="C355" i="5"/>
  <c r="R354" i="5"/>
  <c r="D46" i="3" s="1"/>
  <c r="P354" i="5"/>
  <c r="O354" i="5"/>
  <c r="N354" i="5"/>
  <c r="M354" i="5"/>
  <c r="G354" i="5"/>
  <c r="F354" i="5"/>
  <c r="E354" i="5"/>
  <c r="D354" i="5"/>
  <c r="C354" i="5"/>
  <c r="A353" i="5"/>
  <c r="R348" i="5"/>
  <c r="Q348" i="5"/>
  <c r="P348" i="5"/>
  <c r="O348" i="5"/>
  <c r="N348" i="5"/>
  <c r="M348" i="5"/>
  <c r="L348" i="5"/>
  <c r="K348" i="5"/>
  <c r="I348" i="5"/>
  <c r="H348" i="5"/>
  <c r="G348" i="5"/>
  <c r="F348" i="5"/>
  <c r="E348" i="5"/>
  <c r="D348" i="5"/>
  <c r="C348" i="5"/>
  <c r="B348" i="5"/>
  <c r="R345" i="5"/>
  <c r="Q345" i="5"/>
  <c r="P345" i="5"/>
  <c r="O345" i="5"/>
  <c r="N345" i="5"/>
  <c r="M345" i="5"/>
  <c r="L345" i="5"/>
  <c r="K345" i="5"/>
  <c r="I345" i="5"/>
  <c r="H345" i="5"/>
  <c r="G345" i="5"/>
  <c r="F345" i="5"/>
  <c r="E345" i="5"/>
  <c r="D345" i="5"/>
  <c r="C345" i="5"/>
  <c r="B345" i="5"/>
  <c r="R344" i="5"/>
  <c r="Q344" i="5"/>
  <c r="P344" i="5"/>
  <c r="O344" i="5"/>
  <c r="N344" i="5"/>
  <c r="M344" i="5"/>
  <c r="L344" i="5"/>
  <c r="K344" i="5"/>
  <c r="H344" i="5"/>
  <c r="G344" i="5"/>
  <c r="F344" i="5"/>
  <c r="E344" i="5"/>
  <c r="D344" i="5"/>
  <c r="C344" i="5"/>
  <c r="B344" i="5"/>
  <c r="R343" i="5"/>
  <c r="Q343" i="5"/>
  <c r="P343" i="5"/>
  <c r="O343" i="5"/>
  <c r="N343" i="5"/>
  <c r="M343" i="5"/>
  <c r="L343" i="5"/>
  <c r="K343" i="5"/>
  <c r="H343" i="5"/>
  <c r="G343" i="5"/>
  <c r="F343" i="5"/>
  <c r="E343" i="5"/>
  <c r="D343" i="5"/>
  <c r="C343" i="5"/>
  <c r="B343" i="5"/>
  <c r="R342" i="5"/>
  <c r="Q342" i="5"/>
  <c r="P342" i="5"/>
  <c r="O342" i="5"/>
  <c r="N342" i="5"/>
  <c r="M342" i="5"/>
  <c r="L342" i="5"/>
  <c r="K342" i="5"/>
  <c r="H342" i="5"/>
  <c r="G342" i="5"/>
  <c r="F342" i="5"/>
  <c r="E342" i="5"/>
  <c r="D342" i="5"/>
  <c r="C342" i="5"/>
  <c r="B342" i="5"/>
  <c r="R341" i="5"/>
  <c r="Q341" i="5"/>
  <c r="P341" i="5"/>
  <c r="O341" i="5"/>
  <c r="N341" i="5"/>
  <c r="M341" i="5"/>
  <c r="L341" i="5"/>
  <c r="K341" i="5"/>
  <c r="H341" i="5"/>
  <c r="G341" i="5"/>
  <c r="F341" i="5"/>
  <c r="E341" i="5"/>
  <c r="D341" i="5"/>
  <c r="C341" i="5"/>
  <c r="B341" i="5"/>
  <c r="R340" i="5"/>
  <c r="Q340" i="5"/>
  <c r="P340" i="5"/>
  <c r="O340" i="5"/>
  <c r="N340" i="5"/>
  <c r="M340" i="5"/>
  <c r="L340" i="5"/>
  <c r="K340" i="5"/>
  <c r="H340" i="5"/>
  <c r="G340" i="5"/>
  <c r="F340" i="5"/>
  <c r="E340" i="5"/>
  <c r="D340" i="5"/>
  <c r="C340" i="5"/>
  <c r="B340" i="5"/>
  <c r="R339" i="5"/>
  <c r="Q339" i="5"/>
  <c r="P339" i="5"/>
  <c r="O339" i="5"/>
  <c r="N339" i="5"/>
  <c r="M339" i="5"/>
  <c r="L339" i="5"/>
  <c r="K339" i="5"/>
  <c r="H339" i="5"/>
  <c r="G339" i="5"/>
  <c r="F339" i="5"/>
  <c r="E339" i="5"/>
  <c r="D339" i="5"/>
  <c r="C339" i="5"/>
  <c r="B339" i="5"/>
  <c r="R338" i="5"/>
  <c r="Q338" i="5"/>
  <c r="P338" i="5"/>
  <c r="O338" i="5"/>
  <c r="N338" i="5"/>
  <c r="M338" i="5"/>
  <c r="L338" i="5"/>
  <c r="K338" i="5"/>
  <c r="I338" i="5"/>
  <c r="H338" i="5"/>
  <c r="G338" i="5"/>
  <c r="F338" i="5"/>
  <c r="E338" i="5"/>
  <c r="D338" i="5"/>
  <c r="C338" i="5"/>
  <c r="B338" i="5"/>
  <c r="R337" i="5"/>
  <c r="Q337" i="5"/>
  <c r="P337" i="5"/>
  <c r="O337" i="5"/>
  <c r="N337" i="5"/>
  <c r="M337" i="5"/>
  <c r="L337" i="5"/>
  <c r="K337" i="5"/>
  <c r="I337" i="5"/>
  <c r="H337" i="5"/>
  <c r="G337" i="5"/>
  <c r="F337" i="5"/>
  <c r="E337" i="5"/>
  <c r="D337" i="5"/>
  <c r="C337" i="5"/>
  <c r="B337" i="5"/>
  <c r="R336" i="5"/>
  <c r="Q336" i="5"/>
  <c r="P336" i="5"/>
  <c r="O336" i="5"/>
  <c r="N336" i="5"/>
  <c r="M336" i="5"/>
  <c r="L336" i="5"/>
  <c r="K336" i="5"/>
  <c r="I336" i="5"/>
  <c r="H336" i="5"/>
  <c r="G336" i="5"/>
  <c r="F336" i="5"/>
  <c r="E336" i="5"/>
  <c r="D336" i="5"/>
  <c r="C336" i="5"/>
  <c r="B336" i="5"/>
  <c r="R335" i="5"/>
  <c r="Q335" i="5"/>
  <c r="P335" i="5"/>
  <c r="O335" i="5"/>
  <c r="N335" i="5"/>
  <c r="M335" i="5"/>
  <c r="L335" i="5"/>
  <c r="K335" i="5"/>
  <c r="H335" i="5"/>
  <c r="G335" i="5"/>
  <c r="F335" i="5"/>
  <c r="E335" i="5"/>
  <c r="D335" i="5"/>
  <c r="C335" i="5"/>
  <c r="B335" i="5"/>
  <c r="R334" i="5"/>
  <c r="Q334" i="5"/>
  <c r="P334" i="5"/>
  <c r="O334" i="5"/>
  <c r="N334" i="5"/>
  <c r="M334" i="5"/>
  <c r="L334" i="5"/>
  <c r="K334" i="5"/>
  <c r="I334" i="5"/>
  <c r="H334" i="5"/>
  <c r="G334" i="5"/>
  <c r="F334" i="5"/>
  <c r="E334" i="5"/>
  <c r="D334" i="5"/>
  <c r="C334" i="5"/>
  <c r="B334" i="5"/>
  <c r="R333" i="5"/>
  <c r="Q333" i="5"/>
  <c r="P333" i="5"/>
  <c r="O333" i="5"/>
  <c r="N333" i="5"/>
  <c r="M333" i="5"/>
  <c r="L333" i="5"/>
  <c r="K333" i="5"/>
  <c r="H333" i="5"/>
  <c r="G333" i="5"/>
  <c r="F333" i="5"/>
  <c r="E333" i="5"/>
  <c r="D333" i="5"/>
  <c r="C333" i="5"/>
  <c r="B333" i="5"/>
  <c r="G332" i="5"/>
  <c r="Q331" i="5"/>
  <c r="P331" i="5"/>
  <c r="H331" i="5"/>
  <c r="G331" i="5"/>
  <c r="Q330" i="5"/>
  <c r="P330" i="5"/>
  <c r="O330" i="5"/>
  <c r="N330" i="5"/>
  <c r="M330" i="5"/>
  <c r="H330" i="5"/>
  <c r="G330" i="5"/>
  <c r="F330" i="5"/>
  <c r="E330" i="5"/>
  <c r="D330" i="5"/>
  <c r="A329" i="5"/>
  <c r="R327" i="5"/>
  <c r="Q327" i="5"/>
  <c r="P327" i="5"/>
  <c r="O327" i="5"/>
  <c r="N327" i="5"/>
  <c r="M327" i="5"/>
  <c r="L327" i="5"/>
  <c r="K327" i="5"/>
  <c r="I327" i="5"/>
  <c r="H327" i="5"/>
  <c r="G327" i="5"/>
  <c r="F327" i="5"/>
  <c r="E327" i="5"/>
  <c r="D327" i="5"/>
  <c r="C327" i="5"/>
  <c r="B327" i="5"/>
  <c r="R324" i="5"/>
  <c r="Q324" i="5"/>
  <c r="P324" i="5"/>
  <c r="O324" i="5"/>
  <c r="N324" i="5"/>
  <c r="M324" i="5"/>
  <c r="L324" i="5"/>
  <c r="K324" i="5"/>
  <c r="I324" i="5"/>
  <c r="H324" i="5"/>
  <c r="G324" i="5"/>
  <c r="F324" i="5"/>
  <c r="E324" i="5"/>
  <c r="D324" i="5"/>
  <c r="C324" i="5"/>
  <c r="B324" i="5"/>
  <c r="R323" i="5"/>
  <c r="Q323" i="5"/>
  <c r="P323" i="5"/>
  <c r="O323" i="5"/>
  <c r="N323" i="5"/>
  <c r="M323" i="5"/>
  <c r="L323" i="5"/>
  <c r="K323" i="5"/>
  <c r="H323" i="5"/>
  <c r="G323" i="5"/>
  <c r="F323" i="5"/>
  <c r="E323" i="5"/>
  <c r="D323" i="5"/>
  <c r="C323" i="5"/>
  <c r="B323" i="5"/>
  <c r="R322" i="5"/>
  <c r="Q322" i="5"/>
  <c r="P322" i="5"/>
  <c r="O322" i="5"/>
  <c r="N322" i="5"/>
  <c r="M322" i="5"/>
  <c r="L322" i="5"/>
  <c r="K322" i="5"/>
  <c r="H322" i="5"/>
  <c r="G322" i="5"/>
  <c r="F322" i="5"/>
  <c r="E322" i="5"/>
  <c r="D322" i="5"/>
  <c r="C322" i="5"/>
  <c r="B322" i="5"/>
  <c r="R321" i="5"/>
  <c r="Q321" i="5"/>
  <c r="P321" i="5"/>
  <c r="O321" i="5"/>
  <c r="N321" i="5"/>
  <c r="M321" i="5"/>
  <c r="L321" i="5"/>
  <c r="K321" i="5"/>
  <c r="H321" i="5"/>
  <c r="G321" i="5"/>
  <c r="F321" i="5"/>
  <c r="E321" i="5"/>
  <c r="D321" i="5"/>
  <c r="C321" i="5"/>
  <c r="B321" i="5"/>
  <c r="R320" i="5"/>
  <c r="Q320" i="5"/>
  <c r="P320" i="5"/>
  <c r="O320" i="5"/>
  <c r="N320" i="5"/>
  <c r="M320" i="5"/>
  <c r="L320" i="5"/>
  <c r="K320" i="5"/>
  <c r="H320" i="5"/>
  <c r="G320" i="5"/>
  <c r="F320" i="5"/>
  <c r="E320" i="5"/>
  <c r="D320" i="5"/>
  <c r="C320" i="5"/>
  <c r="B320" i="5"/>
  <c r="R319" i="5"/>
  <c r="Q319" i="5"/>
  <c r="P319" i="5"/>
  <c r="O319" i="5"/>
  <c r="N319" i="5"/>
  <c r="M319" i="5"/>
  <c r="L319" i="5"/>
  <c r="K319" i="5"/>
  <c r="H319" i="5"/>
  <c r="G319" i="5"/>
  <c r="F319" i="5"/>
  <c r="E319" i="5"/>
  <c r="D319" i="5"/>
  <c r="C319" i="5"/>
  <c r="B319" i="5"/>
  <c r="R318" i="5"/>
  <c r="Q318" i="5"/>
  <c r="P318" i="5"/>
  <c r="O318" i="5"/>
  <c r="N318" i="5"/>
  <c r="M318" i="5"/>
  <c r="L318" i="5"/>
  <c r="K318" i="5"/>
  <c r="H318" i="5"/>
  <c r="G318" i="5"/>
  <c r="F318" i="5"/>
  <c r="E318" i="5"/>
  <c r="D318" i="5"/>
  <c r="C318" i="5"/>
  <c r="B318" i="5"/>
  <c r="R317" i="5"/>
  <c r="Q317" i="5"/>
  <c r="P317" i="5"/>
  <c r="O317" i="5"/>
  <c r="N317" i="5"/>
  <c r="M317" i="5"/>
  <c r="L317" i="5"/>
  <c r="K317" i="5"/>
  <c r="I317" i="5"/>
  <c r="H317" i="5"/>
  <c r="G317" i="5"/>
  <c r="F317" i="5"/>
  <c r="E317" i="5"/>
  <c r="D317" i="5"/>
  <c r="C317" i="5"/>
  <c r="B317" i="5"/>
  <c r="R316" i="5"/>
  <c r="Q316" i="5"/>
  <c r="P316" i="5"/>
  <c r="O316" i="5"/>
  <c r="N316" i="5"/>
  <c r="M316" i="5"/>
  <c r="L316" i="5"/>
  <c r="K316" i="5"/>
  <c r="I316" i="5"/>
  <c r="H316" i="5"/>
  <c r="G316" i="5"/>
  <c r="F316" i="5"/>
  <c r="E316" i="5"/>
  <c r="D316" i="5"/>
  <c r="C316" i="5"/>
  <c r="B316" i="5"/>
  <c r="R315" i="5"/>
  <c r="Q315" i="5"/>
  <c r="P315" i="5"/>
  <c r="O315" i="5"/>
  <c r="N315" i="5"/>
  <c r="M315" i="5"/>
  <c r="L315" i="5"/>
  <c r="K315" i="5"/>
  <c r="I315" i="5"/>
  <c r="H315" i="5"/>
  <c r="G315" i="5"/>
  <c r="F315" i="5"/>
  <c r="E315" i="5"/>
  <c r="D315" i="5"/>
  <c r="C315" i="5"/>
  <c r="B315" i="5"/>
  <c r="R314" i="5"/>
  <c r="Q314" i="5"/>
  <c r="P314" i="5"/>
  <c r="O314" i="5"/>
  <c r="N314" i="5"/>
  <c r="M314" i="5"/>
  <c r="L314" i="5"/>
  <c r="K314" i="5"/>
  <c r="H314" i="5"/>
  <c r="G314" i="5"/>
  <c r="F314" i="5"/>
  <c r="E314" i="5"/>
  <c r="D314" i="5"/>
  <c r="C314" i="5"/>
  <c r="B314" i="5"/>
  <c r="R313" i="5"/>
  <c r="Q313" i="5"/>
  <c r="P313" i="5"/>
  <c r="O313" i="5"/>
  <c r="N313" i="5"/>
  <c r="M313" i="5"/>
  <c r="L313" i="5"/>
  <c r="K313" i="5"/>
  <c r="I313" i="5"/>
  <c r="H313" i="5"/>
  <c r="G313" i="5"/>
  <c r="F313" i="5"/>
  <c r="E313" i="5"/>
  <c r="D313" i="5"/>
  <c r="C313" i="5"/>
  <c r="B313" i="5"/>
  <c r="R312" i="5"/>
  <c r="Q312" i="5"/>
  <c r="P312" i="5"/>
  <c r="O312" i="5"/>
  <c r="N312" i="5"/>
  <c r="M312" i="5"/>
  <c r="L312" i="5"/>
  <c r="K312" i="5"/>
  <c r="H312" i="5"/>
  <c r="G312" i="5"/>
  <c r="F312" i="5"/>
  <c r="E312" i="5"/>
  <c r="D312" i="5"/>
  <c r="C312" i="5"/>
  <c r="B312" i="5"/>
  <c r="G311" i="5"/>
  <c r="F311" i="5"/>
  <c r="P309" i="5"/>
  <c r="O309" i="5"/>
  <c r="N309" i="5"/>
  <c r="M309" i="5"/>
  <c r="G309" i="5"/>
  <c r="F309" i="5"/>
  <c r="E309" i="5"/>
  <c r="D309" i="5"/>
  <c r="C309" i="5"/>
  <c r="R284" i="5"/>
  <c r="Q284" i="5"/>
  <c r="Q438" i="5" s="1"/>
  <c r="P284" i="5"/>
  <c r="P438" i="5" s="1"/>
  <c r="O284" i="5"/>
  <c r="O438" i="5" s="1"/>
  <c r="N284" i="5"/>
  <c r="N438" i="5" s="1"/>
  <c r="M284" i="5"/>
  <c r="M438" i="5" s="1"/>
  <c r="L284" i="5"/>
  <c r="L438" i="5" s="1"/>
  <c r="K284" i="5"/>
  <c r="K438" i="5" s="1"/>
  <c r="H284" i="5"/>
  <c r="H438" i="5" s="1"/>
  <c r="G284" i="5"/>
  <c r="G438" i="5" s="1"/>
  <c r="F284" i="5"/>
  <c r="F438" i="5" s="1"/>
  <c r="E284" i="5"/>
  <c r="E438" i="5" s="1"/>
  <c r="D284" i="5"/>
  <c r="D438" i="5" s="1"/>
  <c r="C284" i="5"/>
  <c r="C438" i="5" s="1"/>
  <c r="B284" i="5"/>
  <c r="B438" i="5" s="1"/>
  <c r="R281" i="5"/>
  <c r="R435" i="5" s="1"/>
  <c r="Q281" i="5"/>
  <c r="Q435" i="5" s="1"/>
  <c r="P281" i="5"/>
  <c r="P435" i="5" s="1"/>
  <c r="O281" i="5"/>
  <c r="O435" i="5" s="1"/>
  <c r="N281" i="5"/>
  <c r="N435" i="5" s="1"/>
  <c r="M281" i="5"/>
  <c r="M435" i="5" s="1"/>
  <c r="L281" i="5"/>
  <c r="L435" i="5" s="1"/>
  <c r="K281" i="5"/>
  <c r="K435" i="5" s="1"/>
  <c r="H281" i="5"/>
  <c r="H435" i="5" s="1"/>
  <c r="G281" i="5"/>
  <c r="G435" i="5" s="1"/>
  <c r="F281" i="5"/>
  <c r="F435" i="5" s="1"/>
  <c r="E281" i="5"/>
  <c r="E435" i="5" s="1"/>
  <c r="D281" i="5"/>
  <c r="D435" i="5" s="1"/>
  <c r="C281" i="5"/>
  <c r="C435" i="5" s="1"/>
  <c r="B281" i="5"/>
  <c r="B435" i="5" s="1"/>
  <c r="R280" i="5"/>
  <c r="R434" i="5" s="1"/>
  <c r="Q280" i="5"/>
  <c r="Q434" i="5" s="1"/>
  <c r="P280" i="5"/>
  <c r="P434" i="5" s="1"/>
  <c r="O280" i="5"/>
  <c r="O434" i="5" s="1"/>
  <c r="N280" i="5"/>
  <c r="N434" i="5" s="1"/>
  <c r="M280" i="5"/>
  <c r="M434" i="5" s="1"/>
  <c r="L280" i="5"/>
  <c r="L434" i="5" s="1"/>
  <c r="K280" i="5"/>
  <c r="K434" i="5" s="1"/>
  <c r="H280" i="5"/>
  <c r="H434" i="5" s="1"/>
  <c r="G280" i="5"/>
  <c r="G434" i="5" s="1"/>
  <c r="F280" i="5"/>
  <c r="F434" i="5" s="1"/>
  <c r="E280" i="5"/>
  <c r="E434" i="5" s="1"/>
  <c r="D280" i="5"/>
  <c r="D434" i="5" s="1"/>
  <c r="C280" i="5"/>
  <c r="C434" i="5" s="1"/>
  <c r="B280" i="5"/>
  <c r="B434" i="5" s="1"/>
  <c r="R279" i="5"/>
  <c r="R433" i="5" s="1"/>
  <c r="Q279" i="5"/>
  <c r="Q433" i="5" s="1"/>
  <c r="P279" i="5"/>
  <c r="P433" i="5" s="1"/>
  <c r="O279" i="5"/>
  <c r="O433" i="5" s="1"/>
  <c r="N279" i="5"/>
  <c r="N433" i="5" s="1"/>
  <c r="M279" i="5"/>
  <c r="M433" i="5" s="1"/>
  <c r="L279" i="5"/>
  <c r="L433" i="5" s="1"/>
  <c r="K279" i="5"/>
  <c r="K433" i="5" s="1"/>
  <c r="H279" i="5"/>
  <c r="H433" i="5" s="1"/>
  <c r="G279" i="5"/>
  <c r="G433" i="5" s="1"/>
  <c r="F279" i="5"/>
  <c r="F433" i="5" s="1"/>
  <c r="E279" i="5"/>
  <c r="E433" i="5" s="1"/>
  <c r="D279" i="5"/>
  <c r="D433" i="5" s="1"/>
  <c r="C279" i="5"/>
  <c r="C433" i="5" s="1"/>
  <c r="B279" i="5"/>
  <c r="B433" i="5" s="1"/>
  <c r="R278" i="5"/>
  <c r="R432" i="5" s="1"/>
  <c r="Q278" i="5"/>
  <c r="Q432" i="5" s="1"/>
  <c r="P278" i="5"/>
  <c r="P432" i="5" s="1"/>
  <c r="O278" i="5"/>
  <c r="O432" i="5" s="1"/>
  <c r="N278" i="5"/>
  <c r="N432" i="5" s="1"/>
  <c r="M278" i="5"/>
  <c r="M432" i="5" s="1"/>
  <c r="L278" i="5"/>
  <c r="L432" i="5" s="1"/>
  <c r="K278" i="5"/>
  <c r="K432" i="5" s="1"/>
  <c r="H278" i="5"/>
  <c r="H432" i="5" s="1"/>
  <c r="G278" i="5"/>
  <c r="G432" i="5" s="1"/>
  <c r="F278" i="5"/>
  <c r="F432" i="5" s="1"/>
  <c r="E278" i="5"/>
  <c r="E432" i="5" s="1"/>
  <c r="D278" i="5"/>
  <c r="D432" i="5" s="1"/>
  <c r="C278" i="5"/>
  <c r="C432" i="5" s="1"/>
  <c r="B278" i="5"/>
  <c r="B432" i="5" s="1"/>
  <c r="R277" i="5"/>
  <c r="Q277" i="5"/>
  <c r="Q431" i="5" s="1"/>
  <c r="P277" i="5"/>
  <c r="P431" i="5" s="1"/>
  <c r="O277" i="5"/>
  <c r="O431" i="5" s="1"/>
  <c r="N277" i="5"/>
  <c r="N431" i="5" s="1"/>
  <c r="M277" i="5"/>
  <c r="M431" i="5" s="1"/>
  <c r="L277" i="5"/>
  <c r="L431" i="5" s="1"/>
  <c r="K277" i="5"/>
  <c r="K431" i="5" s="1"/>
  <c r="H277" i="5"/>
  <c r="H431" i="5" s="1"/>
  <c r="G277" i="5"/>
  <c r="G431" i="5" s="1"/>
  <c r="F277" i="5"/>
  <c r="F431" i="5" s="1"/>
  <c r="E277" i="5"/>
  <c r="E431" i="5" s="1"/>
  <c r="D277" i="5"/>
  <c r="D431" i="5" s="1"/>
  <c r="C277" i="5"/>
  <c r="C431" i="5" s="1"/>
  <c r="B277" i="5"/>
  <c r="B431" i="5" s="1"/>
  <c r="R276" i="5"/>
  <c r="Q276" i="5"/>
  <c r="Q430" i="5" s="1"/>
  <c r="P276" i="5"/>
  <c r="P430" i="5" s="1"/>
  <c r="O276" i="5"/>
  <c r="O430" i="5" s="1"/>
  <c r="N276" i="5"/>
  <c r="N430" i="5" s="1"/>
  <c r="M276" i="5"/>
  <c r="M430" i="5" s="1"/>
  <c r="L276" i="5"/>
  <c r="L430" i="5" s="1"/>
  <c r="K276" i="5"/>
  <c r="K430" i="5" s="1"/>
  <c r="H276" i="5"/>
  <c r="H430" i="5" s="1"/>
  <c r="G276" i="5"/>
  <c r="G430" i="5" s="1"/>
  <c r="F276" i="5"/>
  <c r="F430" i="5" s="1"/>
  <c r="E276" i="5"/>
  <c r="E430" i="5" s="1"/>
  <c r="D276" i="5"/>
  <c r="D430" i="5" s="1"/>
  <c r="C276" i="5"/>
  <c r="C430" i="5" s="1"/>
  <c r="B276" i="5"/>
  <c r="B430" i="5" s="1"/>
  <c r="R275" i="5"/>
  <c r="Q275" i="5"/>
  <c r="Q429" i="5" s="1"/>
  <c r="P275" i="5"/>
  <c r="P429" i="5" s="1"/>
  <c r="O275" i="5"/>
  <c r="O429" i="5" s="1"/>
  <c r="N275" i="5"/>
  <c r="N429" i="5" s="1"/>
  <c r="M275" i="5"/>
  <c r="M429" i="5" s="1"/>
  <c r="L275" i="5"/>
  <c r="L429" i="5" s="1"/>
  <c r="K275" i="5"/>
  <c r="K429" i="5" s="1"/>
  <c r="H275" i="5"/>
  <c r="H429" i="5" s="1"/>
  <c r="G275" i="5"/>
  <c r="G429" i="5" s="1"/>
  <c r="F275" i="5"/>
  <c r="F429" i="5" s="1"/>
  <c r="E275" i="5"/>
  <c r="E429" i="5" s="1"/>
  <c r="D275" i="5"/>
  <c r="D429" i="5" s="1"/>
  <c r="C275" i="5"/>
  <c r="C429" i="5" s="1"/>
  <c r="B275" i="5"/>
  <c r="B429" i="5" s="1"/>
  <c r="R274" i="5"/>
  <c r="Q274" i="5"/>
  <c r="Q428" i="5" s="1"/>
  <c r="P274" i="5"/>
  <c r="P428" i="5" s="1"/>
  <c r="O274" i="5"/>
  <c r="O428" i="5" s="1"/>
  <c r="N274" i="5"/>
  <c r="N428" i="5" s="1"/>
  <c r="M274" i="5"/>
  <c r="M428" i="5" s="1"/>
  <c r="L274" i="5"/>
  <c r="L428" i="5" s="1"/>
  <c r="K274" i="5"/>
  <c r="K428" i="5" s="1"/>
  <c r="H274" i="5"/>
  <c r="H428" i="5" s="1"/>
  <c r="G274" i="5"/>
  <c r="G428" i="5" s="1"/>
  <c r="F274" i="5"/>
  <c r="F428" i="5" s="1"/>
  <c r="E274" i="5"/>
  <c r="E428" i="5" s="1"/>
  <c r="D274" i="5"/>
  <c r="D428" i="5" s="1"/>
  <c r="C274" i="5"/>
  <c r="C428" i="5" s="1"/>
  <c r="B274" i="5"/>
  <c r="B428" i="5" s="1"/>
  <c r="R273" i="5"/>
  <c r="Q273" i="5"/>
  <c r="Q427" i="5" s="1"/>
  <c r="P273" i="5"/>
  <c r="P427" i="5" s="1"/>
  <c r="O273" i="5"/>
  <c r="O427" i="5" s="1"/>
  <c r="N273" i="5"/>
  <c r="N427" i="5" s="1"/>
  <c r="M273" i="5"/>
  <c r="M427" i="5" s="1"/>
  <c r="L273" i="5"/>
  <c r="L427" i="5" s="1"/>
  <c r="K273" i="5"/>
  <c r="K427" i="5" s="1"/>
  <c r="I273" i="5"/>
  <c r="H273" i="5"/>
  <c r="H427" i="5" s="1"/>
  <c r="G273" i="5"/>
  <c r="G427" i="5" s="1"/>
  <c r="F273" i="5"/>
  <c r="F427" i="5" s="1"/>
  <c r="E273" i="5"/>
  <c r="E427" i="5" s="1"/>
  <c r="D273" i="5"/>
  <c r="D427" i="5" s="1"/>
  <c r="C273" i="5"/>
  <c r="C427" i="5" s="1"/>
  <c r="B273" i="5"/>
  <c r="B427" i="5" s="1"/>
  <c r="R272" i="5"/>
  <c r="Q272" i="5"/>
  <c r="Q426" i="5" s="1"/>
  <c r="P272" i="5"/>
  <c r="P426" i="5" s="1"/>
  <c r="O272" i="5"/>
  <c r="O426" i="5" s="1"/>
  <c r="N272" i="5"/>
  <c r="N426" i="5" s="1"/>
  <c r="M272" i="5"/>
  <c r="M426" i="5" s="1"/>
  <c r="L272" i="5"/>
  <c r="L426" i="5" s="1"/>
  <c r="K272" i="5"/>
  <c r="K426" i="5" s="1"/>
  <c r="I272" i="5"/>
  <c r="H272" i="5"/>
  <c r="H426" i="5" s="1"/>
  <c r="G272" i="5"/>
  <c r="G426" i="5" s="1"/>
  <c r="F272" i="5"/>
  <c r="F426" i="5" s="1"/>
  <c r="E272" i="5"/>
  <c r="E426" i="5" s="1"/>
  <c r="D272" i="5"/>
  <c r="D426" i="5" s="1"/>
  <c r="C272" i="5"/>
  <c r="C426" i="5" s="1"/>
  <c r="B272" i="5"/>
  <c r="B426" i="5" s="1"/>
  <c r="R271" i="5"/>
  <c r="Q271" i="5"/>
  <c r="Q425" i="5" s="1"/>
  <c r="P271" i="5"/>
  <c r="P425" i="5" s="1"/>
  <c r="O271" i="5"/>
  <c r="O425" i="5" s="1"/>
  <c r="N271" i="5"/>
  <c r="N425" i="5" s="1"/>
  <c r="M271" i="5"/>
  <c r="M425" i="5" s="1"/>
  <c r="L271" i="5"/>
  <c r="L425" i="5" s="1"/>
  <c r="K271" i="5"/>
  <c r="K425" i="5" s="1"/>
  <c r="H271" i="5"/>
  <c r="H425" i="5" s="1"/>
  <c r="G271" i="5"/>
  <c r="G425" i="5" s="1"/>
  <c r="F271" i="5"/>
  <c r="F425" i="5" s="1"/>
  <c r="E271" i="5"/>
  <c r="E425" i="5" s="1"/>
  <c r="D271" i="5"/>
  <c r="D425" i="5" s="1"/>
  <c r="C271" i="5"/>
  <c r="C425" i="5" s="1"/>
  <c r="B271" i="5"/>
  <c r="B425" i="5" s="1"/>
  <c r="R270" i="5"/>
  <c r="Q270" i="5"/>
  <c r="Q424" i="5" s="1"/>
  <c r="P270" i="5"/>
  <c r="P424" i="5" s="1"/>
  <c r="O270" i="5"/>
  <c r="O424" i="5" s="1"/>
  <c r="N270" i="5"/>
  <c r="N424" i="5" s="1"/>
  <c r="M270" i="5"/>
  <c r="M424" i="5" s="1"/>
  <c r="L270" i="5"/>
  <c r="L424" i="5" s="1"/>
  <c r="K270" i="5"/>
  <c r="K424" i="5" s="1"/>
  <c r="H270" i="5"/>
  <c r="H424" i="5" s="1"/>
  <c r="G270" i="5"/>
  <c r="G424" i="5" s="1"/>
  <c r="F270" i="5"/>
  <c r="F424" i="5" s="1"/>
  <c r="E270" i="5"/>
  <c r="E424" i="5" s="1"/>
  <c r="D270" i="5"/>
  <c r="D424" i="5" s="1"/>
  <c r="C270" i="5"/>
  <c r="C424" i="5" s="1"/>
  <c r="B270" i="5"/>
  <c r="B424" i="5" s="1"/>
  <c r="R269" i="5"/>
  <c r="Q269" i="5"/>
  <c r="P269" i="5"/>
  <c r="O269" i="5"/>
  <c r="N269" i="5"/>
  <c r="M269" i="5"/>
  <c r="L269" i="5"/>
  <c r="K269" i="5"/>
  <c r="H269" i="5"/>
  <c r="G269" i="5"/>
  <c r="F269" i="5"/>
  <c r="E269" i="5"/>
  <c r="D269" i="5"/>
  <c r="C269" i="5"/>
  <c r="B269" i="5"/>
  <c r="R268" i="5"/>
  <c r="Q268" i="5"/>
  <c r="P268" i="5"/>
  <c r="O268" i="5"/>
  <c r="N268" i="5"/>
  <c r="M268" i="5"/>
  <c r="L268" i="5"/>
  <c r="K268" i="5"/>
  <c r="H268" i="5"/>
  <c r="G268" i="5"/>
  <c r="F268" i="5"/>
  <c r="E268" i="5"/>
  <c r="D268" i="5"/>
  <c r="C268" i="5"/>
  <c r="B268" i="5"/>
  <c r="R267" i="5"/>
  <c r="Q267" i="5"/>
  <c r="P267" i="5"/>
  <c r="O267" i="5"/>
  <c r="N267" i="5"/>
  <c r="M267" i="5"/>
  <c r="L267" i="5"/>
  <c r="K267" i="5"/>
  <c r="H267" i="5"/>
  <c r="G267" i="5"/>
  <c r="F267" i="5"/>
  <c r="E267" i="5"/>
  <c r="D267" i="5"/>
  <c r="C267" i="5"/>
  <c r="B267" i="5"/>
  <c r="R266" i="5"/>
  <c r="Q266" i="5"/>
  <c r="P266" i="5"/>
  <c r="O266" i="5"/>
  <c r="N266" i="5"/>
  <c r="M266" i="5"/>
  <c r="L266" i="5"/>
  <c r="K266" i="5"/>
  <c r="H266" i="5"/>
  <c r="G266" i="5"/>
  <c r="F266" i="5"/>
  <c r="E266" i="5"/>
  <c r="D266" i="5"/>
  <c r="C266" i="5"/>
  <c r="B266" i="5"/>
  <c r="R265" i="5"/>
  <c r="Q265" i="5"/>
  <c r="Q423" i="5" s="1"/>
  <c r="P265" i="5"/>
  <c r="P423" i="5" s="1"/>
  <c r="O265" i="5"/>
  <c r="O423" i="5" s="1"/>
  <c r="N265" i="5"/>
  <c r="N423" i="5" s="1"/>
  <c r="M265" i="5"/>
  <c r="M423" i="5" s="1"/>
  <c r="L265" i="5"/>
  <c r="L423" i="5" s="1"/>
  <c r="K265" i="5"/>
  <c r="K423" i="5" s="1"/>
  <c r="H265" i="5"/>
  <c r="G265" i="5"/>
  <c r="F265" i="5"/>
  <c r="E265" i="5"/>
  <c r="D265" i="5"/>
  <c r="C265" i="5"/>
  <c r="B265" i="5"/>
  <c r="R264" i="5"/>
  <c r="Q264" i="5"/>
  <c r="P264" i="5"/>
  <c r="O264" i="5"/>
  <c r="N264" i="5"/>
  <c r="M264" i="5"/>
  <c r="L264" i="5"/>
  <c r="K264" i="5"/>
  <c r="H264" i="5"/>
  <c r="G264" i="5"/>
  <c r="F264" i="5"/>
  <c r="E264" i="5"/>
  <c r="D264" i="5"/>
  <c r="C264" i="5"/>
  <c r="B264" i="5"/>
  <c r="R263" i="5"/>
  <c r="Q263" i="5"/>
  <c r="P263" i="5"/>
  <c r="O263" i="5"/>
  <c r="N263" i="5"/>
  <c r="M263" i="5"/>
  <c r="L263" i="5"/>
  <c r="K263" i="5"/>
  <c r="H263" i="5"/>
  <c r="G263" i="5"/>
  <c r="F263" i="5"/>
  <c r="E263" i="5"/>
  <c r="D263" i="5"/>
  <c r="C263" i="5"/>
  <c r="B263" i="5"/>
  <c r="R262" i="5"/>
  <c r="Q262" i="5"/>
  <c r="P262" i="5"/>
  <c r="O262" i="5"/>
  <c r="N262" i="5"/>
  <c r="M262" i="5"/>
  <c r="L262" i="5"/>
  <c r="K262" i="5"/>
  <c r="H262" i="5"/>
  <c r="G262" i="5"/>
  <c r="F262" i="5"/>
  <c r="E262" i="5"/>
  <c r="D262" i="5"/>
  <c r="C262" i="5"/>
  <c r="B262" i="5"/>
  <c r="R261" i="5"/>
  <c r="Q261" i="5"/>
  <c r="P261" i="5"/>
  <c r="O261" i="5"/>
  <c r="N261" i="5"/>
  <c r="M261" i="5"/>
  <c r="L261" i="5"/>
  <c r="K261" i="5"/>
  <c r="H261" i="5"/>
  <c r="G261" i="5"/>
  <c r="F261" i="5"/>
  <c r="E261" i="5"/>
  <c r="D261" i="5"/>
  <c r="C261" i="5"/>
  <c r="B261" i="5"/>
  <c r="R260" i="5"/>
  <c r="Q260" i="5"/>
  <c r="P260" i="5"/>
  <c r="O260" i="5"/>
  <c r="N260" i="5"/>
  <c r="M260" i="5"/>
  <c r="L260" i="5"/>
  <c r="K260" i="5"/>
  <c r="H260" i="5"/>
  <c r="G260" i="5"/>
  <c r="F260" i="5"/>
  <c r="E260" i="5"/>
  <c r="D260" i="5"/>
  <c r="C260" i="5"/>
  <c r="B260" i="5"/>
  <c r="R259" i="5"/>
  <c r="Q259" i="5"/>
  <c r="P259" i="5"/>
  <c r="O259" i="5"/>
  <c r="N259" i="5"/>
  <c r="M259" i="5"/>
  <c r="L259" i="5"/>
  <c r="K259" i="5"/>
  <c r="H259" i="5"/>
  <c r="G259" i="5"/>
  <c r="F259" i="5"/>
  <c r="E259" i="5"/>
  <c r="D259" i="5"/>
  <c r="C259" i="5"/>
  <c r="B259" i="5"/>
  <c r="R258" i="5"/>
  <c r="Q258" i="5"/>
  <c r="P258" i="5"/>
  <c r="O258" i="5"/>
  <c r="N258" i="5"/>
  <c r="M258" i="5"/>
  <c r="L258" i="5"/>
  <c r="K258" i="5"/>
  <c r="H258" i="5"/>
  <c r="G258" i="5"/>
  <c r="F258" i="5"/>
  <c r="E258" i="5"/>
  <c r="D258" i="5"/>
  <c r="C258" i="5"/>
  <c r="B258" i="5"/>
  <c r="R257" i="5"/>
  <c r="Q257" i="5"/>
  <c r="P257" i="5"/>
  <c r="O257" i="5"/>
  <c r="N257" i="5"/>
  <c r="M257" i="5"/>
  <c r="L257" i="5"/>
  <c r="K257" i="5"/>
  <c r="H257" i="5"/>
  <c r="G257" i="5"/>
  <c r="F257" i="5"/>
  <c r="E257" i="5"/>
  <c r="D257" i="5"/>
  <c r="C257" i="5"/>
  <c r="B257" i="5"/>
  <c r="Q256" i="5"/>
  <c r="P256" i="5"/>
  <c r="O256" i="5"/>
  <c r="N256" i="5"/>
  <c r="M256" i="5"/>
  <c r="L256" i="5"/>
  <c r="K256" i="5"/>
  <c r="H256" i="5"/>
  <c r="G256" i="5"/>
  <c r="F256" i="5"/>
  <c r="E256" i="5"/>
  <c r="D256" i="5"/>
  <c r="C256" i="5"/>
  <c r="B256" i="5"/>
  <c r="Q255" i="5"/>
  <c r="P255" i="5"/>
  <c r="O255" i="5"/>
  <c r="N255" i="5"/>
  <c r="M255" i="5"/>
  <c r="L255" i="5"/>
  <c r="K255" i="5"/>
  <c r="H255" i="5"/>
  <c r="G255" i="5"/>
  <c r="F255" i="5"/>
  <c r="E255" i="5"/>
  <c r="D255" i="5"/>
  <c r="C255" i="5"/>
  <c r="B255" i="5"/>
  <c r="Q254" i="5"/>
  <c r="P254" i="5"/>
  <c r="O254" i="5"/>
  <c r="N254" i="5"/>
  <c r="M254" i="5"/>
  <c r="L254" i="5"/>
  <c r="K254" i="5"/>
  <c r="H254" i="5"/>
  <c r="G254" i="5"/>
  <c r="F254" i="5"/>
  <c r="E254" i="5"/>
  <c r="D254" i="5"/>
  <c r="C254" i="5"/>
  <c r="B254" i="5"/>
  <c r="Q253" i="5"/>
  <c r="P253" i="5"/>
  <c r="O253" i="5"/>
  <c r="N253" i="5"/>
  <c r="M253" i="5"/>
  <c r="L253" i="5"/>
  <c r="K253" i="5"/>
  <c r="H253" i="5"/>
  <c r="G253" i="5"/>
  <c r="F253" i="5"/>
  <c r="E253" i="5"/>
  <c r="D253" i="5"/>
  <c r="C253" i="5"/>
  <c r="B253" i="5"/>
  <c r="Q252" i="5"/>
  <c r="P252" i="5"/>
  <c r="O252" i="5"/>
  <c r="N252" i="5"/>
  <c r="M252" i="5"/>
  <c r="L252" i="5"/>
  <c r="K252" i="5"/>
  <c r="H252" i="5"/>
  <c r="G252" i="5"/>
  <c r="F252" i="5"/>
  <c r="E252" i="5"/>
  <c r="D252" i="5"/>
  <c r="C252" i="5"/>
  <c r="B252" i="5"/>
  <c r="Q251" i="5"/>
  <c r="P251" i="5"/>
  <c r="O251" i="5"/>
  <c r="N251" i="5"/>
  <c r="M251" i="5"/>
  <c r="L251" i="5"/>
  <c r="K251" i="5"/>
  <c r="H251" i="5"/>
  <c r="G251" i="5"/>
  <c r="F251" i="5"/>
  <c r="E251" i="5"/>
  <c r="D251" i="5"/>
  <c r="C251" i="5"/>
  <c r="B251" i="5"/>
  <c r="Q250" i="5"/>
  <c r="P250" i="5"/>
  <c r="O250" i="5"/>
  <c r="N250" i="5"/>
  <c r="M250" i="5"/>
  <c r="L250" i="5"/>
  <c r="K250" i="5"/>
  <c r="H250" i="5"/>
  <c r="G250" i="5"/>
  <c r="F250" i="5"/>
  <c r="E250" i="5"/>
  <c r="D250" i="5"/>
  <c r="C250" i="5"/>
  <c r="B250" i="5"/>
  <c r="Q249" i="5"/>
  <c r="P249" i="5"/>
  <c r="O249" i="5"/>
  <c r="N249" i="5"/>
  <c r="M249" i="5"/>
  <c r="L249" i="5"/>
  <c r="K249" i="5"/>
  <c r="H249" i="5"/>
  <c r="G249" i="5"/>
  <c r="F249" i="5"/>
  <c r="E249" i="5"/>
  <c r="D249" i="5"/>
  <c r="C249" i="5"/>
  <c r="B249" i="5"/>
  <c r="Q248" i="5"/>
  <c r="P248" i="5"/>
  <c r="O248" i="5"/>
  <c r="N248" i="5"/>
  <c r="M248" i="5"/>
  <c r="L248" i="5"/>
  <c r="K248" i="5"/>
  <c r="H248" i="5"/>
  <c r="G248" i="5"/>
  <c r="F248" i="5"/>
  <c r="E248" i="5"/>
  <c r="D248" i="5"/>
  <c r="C248" i="5"/>
  <c r="B248" i="5"/>
  <c r="Q247" i="5"/>
  <c r="P247" i="5"/>
  <c r="O247" i="5"/>
  <c r="N247" i="5"/>
  <c r="M247" i="5"/>
  <c r="L247" i="5"/>
  <c r="K247" i="5"/>
  <c r="H247" i="5"/>
  <c r="G247" i="5"/>
  <c r="F247" i="5"/>
  <c r="E247" i="5"/>
  <c r="D247" i="5"/>
  <c r="C247" i="5"/>
  <c r="B247" i="5"/>
  <c r="Q246" i="5"/>
  <c r="P246" i="5"/>
  <c r="O246" i="5"/>
  <c r="N246" i="5"/>
  <c r="M246" i="5"/>
  <c r="L246" i="5"/>
  <c r="K246" i="5"/>
  <c r="H246" i="5"/>
  <c r="G246" i="5"/>
  <c r="F246" i="5"/>
  <c r="E246" i="5"/>
  <c r="D246" i="5"/>
  <c r="C246" i="5"/>
  <c r="Q245" i="5"/>
  <c r="P245" i="5"/>
  <c r="O245" i="5"/>
  <c r="N245" i="5"/>
  <c r="M245" i="5"/>
  <c r="L245" i="5"/>
  <c r="K245" i="5"/>
  <c r="H245" i="5"/>
  <c r="G245" i="5"/>
  <c r="F245" i="5"/>
  <c r="E245" i="5"/>
  <c r="D245" i="5"/>
  <c r="C245" i="5"/>
  <c r="B245" i="5"/>
  <c r="Q244" i="5"/>
  <c r="P244" i="5"/>
  <c r="O244" i="5"/>
  <c r="N244" i="5"/>
  <c r="M244" i="5"/>
  <c r="L244" i="5"/>
  <c r="K244" i="5"/>
  <c r="H244" i="5"/>
  <c r="G244" i="5"/>
  <c r="F244" i="5"/>
  <c r="E244" i="5"/>
  <c r="D244" i="5"/>
  <c r="C244" i="5"/>
  <c r="B244" i="5"/>
  <c r="Q243" i="5"/>
  <c r="P243" i="5"/>
  <c r="O243" i="5"/>
  <c r="N243" i="5"/>
  <c r="M243" i="5"/>
  <c r="L243" i="5"/>
  <c r="K243" i="5"/>
  <c r="H243" i="5"/>
  <c r="G243" i="5"/>
  <c r="F243" i="5"/>
  <c r="E243" i="5"/>
  <c r="D243" i="5"/>
  <c r="C243" i="5"/>
  <c r="B243" i="5"/>
  <c r="Q242" i="5"/>
  <c r="P242" i="5"/>
  <c r="O242" i="5"/>
  <c r="N242" i="5"/>
  <c r="M242" i="5"/>
  <c r="L242" i="5"/>
  <c r="K242" i="5"/>
  <c r="H242" i="5"/>
  <c r="G242" i="5"/>
  <c r="F242" i="5"/>
  <c r="E242" i="5"/>
  <c r="D242" i="5"/>
  <c r="C242" i="5"/>
  <c r="B242" i="5"/>
  <c r="Q241" i="5"/>
  <c r="P241" i="5"/>
  <c r="O241" i="5"/>
  <c r="N241" i="5"/>
  <c r="M241" i="5"/>
  <c r="L241" i="5"/>
  <c r="K241" i="5"/>
  <c r="H241" i="5"/>
  <c r="G241" i="5"/>
  <c r="F241" i="5"/>
  <c r="E241" i="5"/>
  <c r="D241" i="5"/>
  <c r="C241" i="5"/>
  <c r="B241" i="5"/>
  <c r="Q240" i="5"/>
  <c r="P240" i="5"/>
  <c r="O240" i="5"/>
  <c r="N240" i="5"/>
  <c r="M240" i="5"/>
  <c r="L240" i="5"/>
  <c r="K240" i="5"/>
  <c r="H240" i="5"/>
  <c r="G240" i="5"/>
  <c r="F240" i="5"/>
  <c r="E240" i="5"/>
  <c r="D240" i="5"/>
  <c r="C240" i="5"/>
  <c r="B240" i="5"/>
  <c r="I237" i="5"/>
  <c r="F43" i="3" s="1"/>
  <c r="I234" i="5"/>
  <c r="F40" i="3" s="1"/>
  <c r="I233" i="5"/>
  <c r="F39" i="3" s="1"/>
  <c r="I232" i="5"/>
  <c r="I231" i="5"/>
  <c r="F37" i="3" s="1"/>
  <c r="I230" i="5"/>
  <c r="I410" i="5" s="1"/>
  <c r="I229" i="5"/>
  <c r="F35" i="3" s="1"/>
  <c r="I228" i="5"/>
  <c r="I227" i="5"/>
  <c r="F33" i="3" s="1"/>
  <c r="I224" i="5"/>
  <c r="F30" i="3" s="1"/>
  <c r="I223" i="5"/>
  <c r="I403" i="5" s="1"/>
  <c r="I222" i="5"/>
  <c r="I221" i="5"/>
  <c r="I220" i="5"/>
  <c r="I219" i="5"/>
  <c r="I218" i="5"/>
  <c r="I217" i="5"/>
  <c r="I216" i="5"/>
  <c r="I215" i="5"/>
  <c r="I214" i="5"/>
  <c r="I213" i="5"/>
  <c r="I212" i="5"/>
  <c r="I211" i="5"/>
  <c r="I210" i="5"/>
  <c r="R209" i="5"/>
  <c r="I209" i="5"/>
  <c r="R208" i="5"/>
  <c r="I208" i="5"/>
  <c r="R207" i="5"/>
  <c r="I207" i="5"/>
  <c r="R206" i="5"/>
  <c r="I206" i="5"/>
  <c r="R205" i="5"/>
  <c r="I205" i="5"/>
  <c r="R204" i="5"/>
  <c r="I204" i="5"/>
  <c r="R203" i="5"/>
  <c r="I203" i="5"/>
  <c r="R202" i="5"/>
  <c r="I202" i="5"/>
  <c r="R201" i="5"/>
  <c r="I201" i="5"/>
  <c r="R200" i="5"/>
  <c r="I200" i="5"/>
  <c r="R199" i="5"/>
  <c r="I199" i="5"/>
  <c r="R198" i="5"/>
  <c r="I198" i="5"/>
  <c r="R197" i="5"/>
  <c r="I197" i="5"/>
  <c r="R196" i="5"/>
  <c r="I196" i="5"/>
  <c r="R195" i="5"/>
  <c r="I195" i="5"/>
  <c r="R194" i="5"/>
  <c r="I194" i="5"/>
  <c r="R193" i="5"/>
  <c r="I193" i="5"/>
  <c r="I190" i="5"/>
  <c r="I393" i="5" s="1"/>
  <c r="I187" i="5"/>
  <c r="I390" i="5" s="1"/>
  <c r="I186" i="5"/>
  <c r="I389" i="5" s="1"/>
  <c r="I185" i="5"/>
  <c r="I184" i="5"/>
  <c r="I387" i="5" s="1"/>
  <c r="I183" i="5"/>
  <c r="I386" i="5" s="1"/>
  <c r="I182" i="5"/>
  <c r="I385" i="5" s="1"/>
  <c r="I181" i="5"/>
  <c r="E34" i="3" s="1"/>
  <c r="I180" i="5"/>
  <c r="E33" i="3" s="1"/>
  <c r="I177" i="5"/>
  <c r="I176" i="5"/>
  <c r="I175" i="5"/>
  <c r="I174" i="5"/>
  <c r="I173" i="5"/>
  <c r="I172" i="5"/>
  <c r="I171" i="5"/>
  <c r="I170" i="5"/>
  <c r="I169" i="5"/>
  <c r="I168" i="5"/>
  <c r="I167" i="5"/>
  <c r="I166" i="5"/>
  <c r="I165" i="5"/>
  <c r="I164" i="5"/>
  <c r="I163" i="5"/>
  <c r="R162" i="5"/>
  <c r="I162" i="5"/>
  <c r="R161" i="5"/>
  <c r="I161" i="5"/>
  <c r="R160" i="5"/>
  <c r="I160" i="5"/>
  <c r="R159" i="5"/>
  <c r="I159" i="5"/>
  <c r="R158" i="5"/>
  <c r="I158" i="5"/>
  <c r="R157" i="5"/>
  <c r="I157" i="5"/>
  <c r="R156" i="5"/>
  <c r="I156" i="5"/>
  <c r="R155" i="5"/>
  <c r="I155" i="5"/>
  <c r="R154" i="5"/>
  <c r="I154" i="5"/>
  <c r="R153" i="5"/>
  <c r="I153" i="5"/>
  <c r="R152" i="5"/>
  <c r="B152" i="5"/>
  <c r="R151" i="5"/>
  <c r="I151" i="5"/>
  <c r="R150" i="5"/>
  <c r="I150" i="5"/>
  <c r="R149" i="5"/>
  <c r="I149" i="5"/>
  <c r="R148" i="5"/>
  <c r="I148" i="5"/>
  <c r="R147" i="5"/>
  <c r="I147" i="5"/>
  <c r="R146" i="5"/>
  <c r="I146" i="5"/>
  <c r="I143" i="5"/>
  <c r="I372" i="5" s="1"/>
  <c r="I140" i="5"/>
  <c r="I139" i="5"/>
  <c r="I368" i="5" s="1"/>
  <c r="I138" i="5"/>
  <c r="I367" i="5" s="1"/>
  <c r="I137" i="5"/>
  <c r="D37" i="3" s="1"/>
  <c r="I136" i="5"/>
  <c r="I135" i="5"/>
  <c r="I364" i="5" s="1"/>
  <c r="I134" i="5"/>
  <c r="I363" i="5" s="1"/>
  <c r="I133" i="5"/>
  <c r="D33" i="3" s="1"/>
  <c r="I130" i="5"/>
  <c r="I129" i="5"/>
  <c r="I358" i="5" s="1"/>
  <c r="I128" i="5"/>
  <c r="I127" i="5"/>
  <c r="I126" i="5"/>
  <c r="I125" i="5"/>
  <c r="I124" i="5"/>
  <c r="I123" i="5"/>
  <c r="I122" i="5"/>
  <c r="I121" i="5"/>
  <c r="I120" i="5"/>
  <c r="I119" i="5"/>
  <c r="I118" i="5"/>
  <c r="I117" i="5"/>
  <c r="I116" i="5"/>
  <c r="I114" i="5"/>
  <c r="I113" i="5"/>
  <c r="I112" i="5"/>
  <c r="I111" i="5"/>
  <c r="I110" i="5"/>
  <c r="I109" i="5"/>
  <c r="R108" i="5"/>
  <c r="I108" i="5"/>
  <c r="R107" i="5"/>
  <c r="I107" i="5"/>
  <c r="R106" i="5"/>
  <c r="I106" i="5"/>
  <c r="R105" i="5"/>
  <c r="I105" i="5"/>
  <c r="R104" i="5"/>
  <c r="I104" i="5"/>
  <c r="R103" i="5"/>
  <c r="I103" i="5"/>
  <c r="R102" i="5"/>
  <c r="I102" i="5"/>
  <c r="R101" i="5"/>
  <c r="I101" i="5"/>
  <c r="I100" i="5"/>
  <c r="I99" i="5"/>
  <c r="I92" i="5"/>
  <c r="I91" i="5"/>
  <c r="I343" i="5" s="1"/>
  <c r="I90" i="5"/>
  <c r="I342" i="5" s="1"/>
  <c r="I89" i="5"/>
  <c r="I88" i="5"/>
  <c r="I87" i="5"/>
  <c r="C34" i="3" s="1"/>
  <c r="I83" i="5"/>
  <c r="I335" i="5" s="1"/>
  <c r="I81" i="5"/>
  <c r="I80" i="5"/>
  <c r="I79" i="5"/>
  <c r="I78" i="5"/>
  <c r="I77" i="5"/>
  <c r="I76" i="5"/>
  <c r="I75" i="5"/>
  <c r="I74" i="5"/>
  <c r="I73" i="5"/>
  <c r="I72" i="5"/>
  <c r="R67" i="5"/>
  <c r="R331" i="5" s="1"/>
  <c r="C47" i="3" s="1"/>
  <c r="I67" i="5"/>
  <c r="I331" i="5" s="1"/>
  <c r="C26" i="3" s="1"/>
  <c r="R66" i="5"/>
  <c r="I66" i="5"/>
  <c r="R65" i="5"/>
  <c r="I65" i="5"/>
  <c r="R64" i="5"/>
  <c r="I64" i="5"/>
  <c r="R63" i="5"/>
  <c r="I63" i="5"/>
  <c r="R62" i="5"/>
  <c r="I62" i="5"/>
  <c r="R60" i="5"/>
  <c r="I60" i="5"/>
  <c r="R59" i="5"/>
  <c r="I59" i="5"/>
  <c r="R58" i="5"/>
  <c r="I58" i="5"/>
  <c r="R57" i="5"/>
  <c r="I57" i="5"/>
  <c r="R56" i="5"/>
  <c r="I56" i="5"/>
  <c r="R55" i="5"/>
  <c r="I55" i="5"/>
  <c r="R54" i="5"/>
  <c r="I54" i="5"/>
  <c r="R53" i="5"/>
  <c r="I53" i="5"/>
  <c r="R52" i="5"/>
  <c r="I52" i="5"/>
  <c r="I45" i="5"/>
  <c r="B39" i="3" s="1"/>
  <c r="I44" i="5"/>
  <c r="I322" i="5" s="1"/>
  <c r="I43" i="5"/>
  <c r="B37" i="3" s="1"/>
  <c r="I42" i="5"/>
  <c r="I320" i="5" s="1"/>
  <c r="I41" i="5"/>
  <c r="B35" i="3" s="1"/>
  <c r="I40" i="5"/>
  <c r="I318" i="5" s="1"/>
  <c r="I36" i="5"/>
  <c r="B30" i="3" s="1"/>
  <c r="I34" i="5"/>
  <c r="AB33" i="5"/>
  <c r="I33" i="5"/>
  <c r="AB32" i="5"/>
  <c r="I32" i="5"/>
  <c r="AB31" i="5"/>
  <c r="I31" i="5"/>
  <c r="AB30" i="5"/>
  <c r="I30" i="5"/>
  <c r="AB29" i="5"/>
  <c r="I29" i="5"/>
  <c r="AB28" i="5"/>
  <c r="I28" i="5"/>
  <c r="AB27" i="5"/>
  <c r="I27" i="5"/>
  <c r="AB26" i="5"/>
  <c r="I26" i="5"/>
  <c r="AB25" i="5"/>
  <c r="I25" i="5"/>
  <c r="AL19" i="5"/>
  <c r="AB19" i="5"/>
  <c r="R19" i="5"/>
  <c r="I19" i="5"/>
  <c r="AL18" i="5"/>
  <c r="AB18" i="5"/>
  <c r="R18" i="5"/>
  <c r="I18" i="5"/>
  <c r="AL17" i="5"/>
  <c r="AB17" i="5"/>
  <c r="R17" i="5"/>
  <c r="I17" i="5"/>
  <c r="AL16" i="5"/>
  <c r="AB16" i="5"/>
  <c r="R16" i="5"/>
  <c r="I16" i="5"/>
  <c r="AL15" i="5"/>
  <c r="G46" i="3" s="1"/>
  <c r="AB15" i="5"/>
  <c r="G25" i="3" s="1"/>
  <c r="R15" i="5"/>
  <c r="R309" i="5" s="1"/>
  <c r="B46" i="3" s="1"/>
  <c r="I15" i="5"/>
  <c r="I309" i="5" s="1"/>
  <c r="B25" i="3" s="1"/>
  <c r="AL14" i="5"/>
  <c r="AB14" i="5"/>
  <c r="AL13" i="5"/>
  <c r="AB13" i="5"/>
  <c r="R13" i="5"/>
  <c r="I13" i="5"/>
  <c r="L60" i="23" s="1"/>
  <c r="AL12" i="5"/>
  <c r="AB12" i="5"/>
  <c r="R12" i="5"/>
  <c r="I12" i="5"/>
  <c r="AL11" i="5"/>
  <c r="AB11" i="5"/>
  <c r="R11" i="5"/>
  <c r="I11" i="5"/>
  <c r="AL10" i="5"/>
  <c r="AB10" i="5"/>
  <c r="R10" i="5"/>
  <c r="I10" i="5"/>
  <c r="AL9" i="5"/>
  <c r="AB9" i="5"/>
  <c r="R9" i="5"/>
  <c r="I9" i="5"/>
  <c r="AL8" i="5"/>
  <c r="AB8" i="5"/>
  <c r="R8" i="5"/>
  <c r="I8" i="5"/>
  <c r="AL7" i="5"/>
  <c r="AB7" i="5"/>
  <c r="R7" i="5"/>
  <c r="I7" i="5"/>
  <c r="AL6" i="5"/>
  <c r="AB6" i="5"/>
  <c r="R6" i="5"/>
  <c r="I6" i="5"/>
  <c r="AL5" i="5"/>
  <c r="AB5" i="5"/>
  <c r="R5" i="5"/>
  <c r="I5" i="5"/>
  <c r="A430" i="4"/>
  <c r="A427" i="4"/>
  <c r="H405" i="4"/>
  <c r="G405" i="4"/>
  <c r="F405" i="4"/>
  <c r="E405" i="4"/>
  <c r="D405" i="4"/>
  <c r="C405" i="4"/>
  <c r="B405" i="4"/>
  <c r="H402" i="4"/>
  <c r="G402" i="4"/>
  <c r="F402" i="4"/>
  <c r="E402" i="4"/>
  <c r="D402" i="4"/>
  <c r="C402" i="4"/>
  <c r="B402" i="4"/>
  <c r="H401" i="4"/>
  <c r="G401" i="4"/>
  <c r="F401" i="4"/>
  <c r="E401" i="4"/>
  <c r="D401" i="4"/>
  <c r="C401" i="4"/>
  <c r="B401" i="4"/>
  <c r="H400" i="4"/>
  <c r="G400" i="4"/>
  <c r="F400" i="4"/>
  <c r="E400" i="4"/>
  <c r="D400" i="4"/>
  <c r="C400" i="4"/>
  <c r="B400" i="4"/>
  <c r="H399" i="4"/>
  <c r="G399" i="4"/>
  <c r="F399" i="4"/>
  <c r="E399" i="4"/>
  <c r="D399" i="4"/>
  <c r="C399" i="4"/>
  <c r="B399" i="4"/>
  <c r="H398" i="4"/>
  <c r="G398" i="4"/>
  <c r="F398" i="4"/>
  <c r="E398" i="4"/>
  <c r="D398" i="4"/>
  <c r="C398" i="4"/>
  <c r="B398" i="4"/>
  <c r="H397" i="4"/>
  <c r="G397" i="4"/>
  <c r="F397" i="4"/>
  <c r="E397" i="4"/>
  <c r="D397" i="4"/>
  <c r="C397" i="4"/>
  <c r="B397" i="4"/>
  <c r="H396" i="4"/>
  <c r="G396" i="4"/>
  <c r="F396" i="4"/>
  <c r="E396" i="4"/>
  <c r="D396" i="4"/>
  <c r="C396" i="4"/>
  <c r="B396" i="4"/>
  <c r="H395" i="4"/>
  <c r="G395" i="4"/>
  <c r="F395" i="4"/>
  <c r="E395" i="4"/>
  <c r="D395" i="4"/>
  <c r="C395" i="4"/>
  <c r="B395" i="4"/>
  <c r="I394" i="4"/>
  <c r="H394" i="4"/>
  <c r="G394" i="4"/>
  <c r="F394" i="4"/>
  <c r="E394" i="4"/>
  <c r="D394" i="4"/>
  <c r="C394" i="4"/>
  <c r="B394" i="4"/>
  <c r="I393" i="4"/>
  <c r="H393" i="4"/>
  <c r="G393" i="4"/>
  <c r="F393" i="4"/>
  <c r="E393" i="4"/>
  <c r="D393" i="4"/>
  <c r="C393" i="4"/>
  <c r="B393" i="4"/>
  <c r="H392" i="4"/>
  <c r="G392" i="4"/>
  <c r="F392" i="4"/>
  <c r="E392" i="4"/>
  <c r="D392" i="4"/>
  <c r="C392" i="4"/>
  <c r="B392" i="4"/>
  <c r="H391" i="4"/>
  <c r="G391" i="4"/>
  <c r="F391" i="4"/>
  <c r="E391" i="4"/>
  <c r="D391" i="4"/>
  <c r="C391" i="4"/>
  <c r="B391" i="4"/>
  <c r="H390" i="4"/>
  <c r="G390" i="4"/>
  <c r="F390" i="4"/>
  <c r="E390" i="4"/>
  <c r="D390" i="4"/>
  <c r="C390" i="4"/>
  <c r="B390" i="4"/>
  <c r="G389" i="4"/>
  <c r="F389" i="4"/>
  <c r="E389" i="4"/>
  <c r="D389" i="4"/>
  <c r="C389" i="4"/>
  <c r="B389" i="4"/>
  <c r="G388" i="4"/>
  <c r="F388" i="4"/>
  <c r="E388" i="4"/>
  <c r="D388" i="4"/>
  <c r="C388" i="4"/>
  <c r="G387" i="4"/>
  <c r="F387" i="4"/>
  <c r="E387" i="4"/>
  <c r="D387" i="4"/>
  <c r="C387" i="4"/>
  <c r="A386" i="4"/>
  <c r="H384" i="4"/>
  <c r="G384" i="4"/>
  <c r="F384" i="4"/>
  <c r="E384" i="4"/>
  <c r="D384" i="4"/>
  <c r="C384" i="4"/>
  <c r="B384" i="4"/>
  <c r="H381" i="4"/>
  <c r="G381" i="4"/>
  <c r="F381" i="4"/>
  <c r="E381" i="4"/>
  <c r="D381" i="4"/>
  <c r="C381" i="4"/>
  <c r="B381" i="4"/>
  <c r="H380" i="4"/>
  <c r="G380" i="4"/>
  <c r="F380" i="4"/>
  <c r="E380" i="4"/>
  <c r="D380" i="4"/>
  <c r="C380" i="4"/>
  <c r="B380" i="4"/>
  <c r="H379" i="4"/>
  <c r="G379" i="4"/>
  <c r="F379" i="4"/>
  <c r="E379" i="4"/>
  <c r="D379" i="4"/>
  <c r="C379" i="4"/>
  <c r="B379" i="4"/>
  <c r="H378" i="4"/>
  <c r="G378" i="4"/>
  <c r="F378" i="4"/>
  <c r="E378" i="4"/>
  <c r="D378" i="4"/>
  <c r="C378" i="4"/>
  <c r="B378" i="4"/>
  <c r="H377" i="4"/>
  <c r="G377" i="4"/>
  <c r="F377" i="4"/>
  <c r="E377" i="4"/>
  <c r="D377" i="4"/>
  <c r="C377" i="4"/>
  <c r="B377" i="4"/>
  <c r="H376" i="4"/>
  <c r="G376" i="4"/>
  <c r="F376" i="4"/>
  <c r="E376" i="4"/>
  <c r="D376" i="4"/>
  <c r="C376" i="4"/>
  <c r="B376" i="4"/>
  <c r="H375" i="4"/>
  <c r="G375" i="4"/>
  <c r="F375" i="4"/>
  <c r="E375" i="4"/>
  <c r="D375" i="4"/>
  <c r="C375" i="4"/>
  <c r="B375" i="4"/>
  <c r="H374" i="4"/>
  <c r="G374" i="4"/>
  <c r="F374" i="4"/>
  <c r="E374" i="4"/>
  <c r="D374" i="4"/>
  <c r="C374" i="4"/>
  <c r="B374" i="4"/>
  <c r="I373" i="4"/>
  <c r="H373" i="4"/>
  <c r="G373" i="4"/>
  <c r="F373" i="4"/>
  <c r="E373" i="4"/>
  <c r="D373" i="4"/>
  <c r="C373" i="4"/>
  <c r="B373" i="4"/>
  <c r="I372" i="4"/>
  <c r="H372" i="4"/>
  <c r="G372" i="4"/>
  <c r="F372" i="4"/>
  <c r="E372" i="4"/>
  <c r="D372" i="4"/>
  <c r="C372" i="4"/>
  <c r="B372" i="4"/>
  <c r="H371" i="4"/>
  <c r="G371" i="4"/>
  <c r="F371" i="4"/>
  <c r="E371" i="4"/>
  <c r="D371" i="4"/>
  <c r="C371" i="4"/>
  <c r="B371" i="4"/>
  <c r="H370" i="4"/>
  <c r="G370" i="4"/>
  <c r="F370" i="4"/>
  <c r="E370" i="4"/>
  <c r="D370" i="4"/>
  <c r="C370" i="4"/>
  <c r="B370" i="4"/>
  <c r="H369" i="4"/>
  <c r="G369" i="4"/>
  <c r="F369" i="4"/>
  <c r="E369" i="4"/>
  <c r="D369" i="4"/>
  <c r="C369" i="4"/>
  <c r="B369" i="4"/>
  <c r="G368" i="4"/>
  <c r="F368" i="4"/>
  <c r="E368" i="4"/>
  <c r="D368" i="4"/>
  <c r="C368" i="4"/>
  <c r="B368" i="4"/>
  <c r="G367" i="4"/>
  <c r="F367" i="4"/>
  <c r="E367" i="4"/>
  <c r="D367" i="4"/>
  <c r="C367" i="4"/>
  <c r="G366" i="4"/>
  <c r="F366" i="4"/>
  <c r="E366" i="4"/>
  <c r="D366" i="4"/>
  <c r="C366" i="4"/>
  <c r="A365" i="4"/>
  <c r="H361" i="4"/>
  <c r="G361" i="4"/>
  <c r="F361" i="4"/>
  <c r="E361" i="4"/>
  <c r="D361" i="4"/>
  <c r="C361" i="4"/>
  <c r="B361" i="4"/>
  <c r="H358" i="4"/>
  <c r="G358" i="4"/>
  <c r="F358" i="4"/>
  <c r="E358" i="4"/>
  <c r="D358" i="4"/>
  <c r="C358" i="4"/>
  <c r="B358" i="4"/>
  <c r="H357" i="4"/>
  <c r="G357" i="4"/>
  <c r="F357" i="4"/>
  <c r="E357" i="4"/>
  <c r="D357" i="4"/>
  <c r="C357" i="4"/>
  <c r="B357" i="4"/>
  <c r="H356" i="4"/>
  <c r="G356" i="4"/>
  <c r="F356" i="4"/>
  <c r="E356" i="4"/>
  <c r="D356" i="4"/>
  <c r="C356" i="4"/>
  <c r="B356" i="4"/>
  <c r="H355" i="4"/>
  <c r="G355" i="4"/>
  <c r="F355" i="4"/>
  <c r="E355" i="4"/>
  <c r="D355" i="4"/>
  <c r="C355" i="4"/>
  <c r="B355" i="4"/>
  <c r="H354" i="4"/>
  <c r="G354" i="4"/>
  <c r="F354" i="4"/>
  <c r="E354" i="4"/>
  <c r="D354" i="4"/>
  <c r="C354" i="4"/>
  <c r="B354" i="4"/>
  <c r="H353" i="4"/>
  <c r="G353" i="4"/>
  <c r="F353" i="4"/>
  <c r="E353" i="4"/>
  <c r="D353" i="4"/>
  <c r="C353" i="4"/>
  <c r="B353" i="4"/>
  <c r="H352" i="4"/>
  <c r="G352" i="4"/>
  <c r="F352" i="4"/>
  <c r="E352" i="4"/>
  <c r="D352" i="4"/>
  <c r="C352" i="4"/>
  <c r="B352" i="4"/>
  <c r="H351" i="4"/>
  <c r="G351" i="4"/>
  <c r="F351" i="4"/>
  <c r="E351" i="4"/>
  <c r="D351" i="4"/>
  <c r="C351" i="4"/>
  <c r="B351" i="4"/>
  <c r="I350" i="4"/>
  <c r="H350" i="4"/>
  <c r="G350" i="4"/>
  <c r="F350" i="4"/>
  <c r="E350" i="4"/>
  <c r="D350" i="4"/>
  <c r="C350" i="4"/>
  <c r="B350" i="4"/>
  <c r="I349" i="4"/>
  <c r="H349" i="4"/>
  <c r="G349" i="4"/>
  <c r="F349" i="4"/>
  <c r="E349" i="4"/>
  <c r="D349" i="4"/>
  <c r="C349" i="4"/>
  <c r="B349" i="4"/>
  <c r="H348" i="4"/>
  <c r="G348" i="4"/>
  <c r="F348" i="4"/>
  <c r="E348" i="4"/>
  <c r="D348" i="4"/>
  <c r="C348" i="4"/>
  <c r="B348" i="4"/>
  <c r="H347" i="4"/>
  <c r="G347" i="4"/>
  <c r="F347" i="4"/>
  <c r="E347" i="4"/>
  <c r="D347" i="4"/>
  <c r="C347" i="4"/>
  <c r="B347" i="4"/>
  <c r="H346" i="4"/>
  <c r="G346" i="4"/>
  <c r="F346" i="4"/>
  <c r="E346" i="4"/>
  <c r="D346" i="4"/>
  <c r="C346" i="4"/>
  <c r="B346" i="4"/>
  <c r="G345" i="4"/>
  <c r="F345" i="4"/>
  <c r="G344" i="4"/>
  <c r="F344" i="4"/>
  <c r="C344" i="4"/>
  <c r="G343" i="4"/>
  <c r="F343" i="4"/>
  <c r="E343" i="4"/>
  <c r="D343" i="4"/>
  <c r="C343" i="4"/>
  <c r="A342" i="4"/>
  <c r="I340" i="4"/>
  <c r="H340" i="4"/>
  <c r="G340" i="4"/>
  <c r="F340" i="4"/>
  <c r="E340" i="4"/>
  <c r="D340" i="4"/>
  <c r="C340" i="4"/>
  <c r="B340" i="4"/>
  <c r="I337" i="4"/>
  <c r="H337" i="4"/>
  <c r="G337" i="4"/>
  <c r="F337" i="4"/>
  <c r="E337" i="4"/>
  <c r="D337" i="4"/>
  <c r="C337" i="4"/>
  <c r="B337" i="4"/>
  <c r="H336" i="4"/>
  <c r="G336" i="4"/>
  <c r="F336" i="4"/>
  <c r="E336" i="4"/>
  <c r="D336" i="4"/>
  <c r="C336" i="4"/>
  <c r="B336" i="4"/>
  <c r="H335" i="4"/>
  <c r="G335" i="4"/>
  <c r="F335" i="4"/>
  <c r="E335" i="4"/>
  <c r="D335" i="4"/>
  <c r="C335" i="4"/>
  <c r="B335" i="4"/>
  <c r="H334" i="4"/>
  <c r="G334" i="4"/>
  <c r="F334" i="4"/>
  <c r="E334" i="4"/>
  <c r="D334" i="4"/>
  <c r="C334" i="4"/>
  <c r="B334" i="4"/>
  <c r="H333" i="4"/>
  <c r="G333" i="4"/>
  <c r="F333" i="4"/>
  <c r="E333" i="4"/>
  <c r="D333" i="4"/>
  <c r="C333" i="4"/>
  <c r="B333" i="4"/>
  <c r="H332" i="4"/>
  <c r="G332" i="4"/>
  <c r="F332" i="4"/>
  <c r="E332" i="4"/>
  <c r="D332" i="4"/>
  <c r="C332" i="4"/>
  <c r="B332" i="4"/>
  <c r="H331" i="4"/>
  <c r="G331" i="4"/>
  <c r="F331" i="4"/>
  <c r="E331" i="4"/>
  <c r="D331" i="4"/>
  <c r="C331" i="4"/>
  <c r="B331" i="4"/>
  <c r="I330" i="4"/>
  <c r="H330" i="4"/>
  <c r="G330" i="4"/>
  <c r="F330" i="4"/>
  <c r="E330" i="4"/>
  <c r="D330" i="4"/>
  <c r="C330" i="4"/>
  <c r="B330" i="4"/>
  <c r="I329" i="4"/>
  <c r="H329" i="4"/>
  <c r="G329" i="4"/>
  <c r="F329" i="4"/>
  <c r="E329" i="4"/>
  <c r="D329" i="4"/>
  <c r="C329" i="4"/>
  <c r="B329" i="4"/>
  <c r="I328" i="4"/>
  <c r="H328" i="4"/>
  <c r="G328" i="4"/>
  <c r="F328" i="4"/>
  <c r="E328" i="4"/>
  <c r="D328" i="4"/>
  <c r="C328" i="4"/>
  <c r="B328" i="4"/>
  <c r="H327" i="4"/>
  <c r="G327" i="4"/>
  <c r="F327" i="4"/>
  <c r="E327" i="4"/>
  <c r="D327" i="4"/>
  <c r="C327" i="4"/>
  <c r="B327" i="4"/>
  <c r="I326" i="4"/>
  <c r="H326" i="4"/>
  <c r="G326" i="4"/>
  <c r="F326" i="4"/>
  <c r="E326" i="4"/>
  <c r="D326" i="4"/>
  <c r="C326" i="4"/>
  <c r="B326" i="4"/>
  <c r="H325" i="4"/>
  <c r="G325" i="4"/>
  <c r="F325" i="4"/>
  <c r="E325" i="4"/>
  <c r="D325" i="4"/>
  <c r="C325" i="4"/>
  <c r="B325" i="4"/>
  <c r="G324" i="4"/>
  <c r="F324" i="4"/>
  <c r="H323" i="4"/>
  <c r="G323" i="4"/>
  <c r="H322" i="4"/>
  <c r="G322" i="4"/>
  <c r="F322" i="4"/>
  <c r="E322" i="4"/>
  <c r="D322" i="4"/>
  <c r="A321" i="4"/>
  <c r="I319" i="4"/>
  <c r="H319" i="4"/>
  <c r="G319" i="4"/>
  <c r="F319" i="4"/>
  <c r="E319" i="4"/>
  <c r="D319" i="4"/>
  <c r="C319" i="4"/>
  <c r="B319" i="4"/>
  <c r="I316" i="4"/>
  <c r="H316" i="4"/>
  <c r="G316" i="4"/>
  <c r="F316" i="4"/>
  <c r="E316" i="4"/>
  <c r="D316" i="4"/>
  <c r="C316" i="4"/>
  <c r="B316" i="4"/>
  <c r="H315" i="4"/>
  <c r="G315" i="4"/>
  <c r="F315" i="4"/>
  <c r="E315" i="4"/>
  <c r="D315" i="4"/>
  <c r="C315" i="4"/>
  <c r="B315" i="4"/>
  <c r="H314" i="4"/>
  <c r="G314" i="4"/>
  <c r="F314" i="4"/>
  <c r="E314" i="4"/>
  <c r="D314" i="4"/>
  <c r="C314" i="4"/>
  <c r="B314" i="4"/>
  <c r="H313" i="4"/>
  <c r="G313" i="4"/>
  <c r="F313" i="4"/>
  <c r="E313" i="4"/>
  <c r="D313" i="4"/>
  <c r="C313" i="4"/>
  <c r="B313" i="4"/>
  <c r="H312" i="4"/>
  <c r="G312" i="4"/>
  <c r="F312" i="4"/>
  <c r="E312" i="4"/>
  <c r="D312" i="4"/>
  <c r="C312" i="4"/>
  <c r="B312" i="4"/>
  <c r="H311" i="4"/>
  <c r="G311" i="4"/>
  <c r="F311" i="4"/>
  <c r="E311" i="4"/>
  <c r="D311" i="4"/>
  <c r="C311" i="4"/>
  <c r="B311" i="4"/>
  <c r="H310" i="4"/>
  <c r="G310" i="4"/>
  <c r="F310" i="4"/>
  <c r="E310" i="4"/>
  <c r="D310" i="4"/>
  <c r="C310" i="4"/>
  <c r="B310" i="4"/>
  <c r="I309" i="4"/>
  <c r="H309" i="4"/>
  <c r="G309" i="4"/>
  <c r="F309" i="4"/>
  <c r="E309" i="4"/>
  <c r="D309" i="4"/>
  <c r="C309" i="4"/>
  <c r="B309" i="4"/>
  <c r="I308" i="4"/>
  <c r="H308" i="4"/>
  <c r="G308" i="4"/>
  <c r="F308" i="4"/>
  <c r="E308" i="4"/>
  <c r="D308" i="4"/>
  <c r="C308" i="4"/>
  <c r="B308" i="4"/>
  <c r="I307" i="4"/>
  <c r="H307" i="4"/>
  <c r="G307" i="4"/>
  <c r="F307" i="4"/>
  <c r="E307" i="4"/>
  <c r="D307" i="4"/>
  <c r="C307" i="4"/>
  <c r="B307" i="4"/>
  <c r="H306" i="4"/>
  <c r="G306" i="4"/>
  <c r="F306" i="4"/>
  <c r="E306" i="4"/>
  <c r="D306" i="4"/>
  <c r="C306" i="4"/>
  <c r="B306" i="4"/>
  <c r="I305" i="4"/>
  <c r="H305" i="4"/>
  <c r="G305" i="4"/>
  <c r="F305" i="4"/>
  <c r="E305" i="4"/>
  <c r="D305" i="4"/>
  <c r="C305" i="4"/>
  <c r="B305" i="4"/>
  <c r="H304" i="4"/>
  <c r="G304" i="4"/>
  <c r="F304" i="4"/>
  <c r="E304" i="4"/>
  <c r="D304" i="4"/>
  <c r="C304" i="4"/>
  <c r="B304" i="4"/>
  <c r="G303" i="4"/>
  <c r="F303" i="4"/>
  <c r="I302" i="4"/>
  <c r="B5" i="3" s="1"/>
  <c r="G301" i="4"/>
  <c r="F301" i="4"/>
  <c r="E301" i="4"/>
  <c r="D301" i="4"/>
  <c r="C301" i="4"/>
  <c r="H271" i="4"/>
  <c r="H426" i="4" s="1"/>
  <c r="G271" i="4"/>
  <c r="G426" i="4" s="1"/>
  <c r="F271" i="4"/>
  <c r="F426" i="4" s="1"/>
  <c r="E271" i="4"/>
  <c r="E426" i="4" s="1"/>
  <c r="D426" i="4"/>
  <c r="C426" i="4"/>
  <c r="B426" i="4"/>
  <c r="H268" i="4"/>
  <c r="H423" i="4" s="1"/>
  <c r="G268" i="4"/>
  <c r="G423" i="4" s="1"/>
  <c r="F268" i="4"/>
  <c r="F423" i="4" s="1"/>
  <c r="E268" i="4"/>
  <c r="E423" i="4" s="1"/>
  <c r="D268" i="4"/>
  <c r="D423" i="4" s="1"/>
  <c r="C268" i="4"/>
  <c r="C423" i="4" s="1"/>
  <c r="B268" i="4"/>
  <c r="B423" i="4" s="1"/>
  <c r="H267" i="4"/>
  <c r="H422" i="4" s="1"/>
  <c r="G267" i="4"/>
  <c r="G422" i="4" s="1"/>
  <c r="F267" i="4"/>
  <c r="F422" i="4" s="1"/>
  <c r="E267" i="4"/>
  <c r="E422" i="4" s="1"/>
  <c r="D267" i="4"/>
  <c r="D422" i="4" s="1"/>
  <c r="C267" i="4"/>
  <c r="C422" i="4" s="1"/>
  <c r="B267" i="4"/>
  <c r="B422" i="4" s="1"/>
  <c r="H266" i="4"/>
  <c r="H421" i="4" s="1"/>
  <c r="G266" i="4"/>
  <c r="G421" i="4" s="1"/>
  <c r="F266" i="4"/>
  <c r="F421" i="4" s="1"/>
  <c r="E266" i="4"/>
  <c r="E421" i="4" s="1"/>
  <c r="D266" i="4"/>
  <c r="D421" i="4" s="1"/>
  <c r="C266" i="4"/>
  <c r="C421" i="4" s="1"/>
  <c r="B266" i="4"/>
  <c r="B421" i="4" s="1"/>
  <c r="H265" i="4"/>
  <c r="H420" i="4" s="1"/>
  <c r="G265" i="4"/>
  <c r="G420" i="4" s="1"/>
  <c r="F265" i="4"/>
  <c r="F420" i="4" s="1"/>
  <c r="E265" i="4"/>
  <c r="E420" i="4" s="1"/>
  <c r="D265" i="4"/>
  <c r="D420" i="4" s="1"/>
  <c r="C265" i="4"/>
  <c r="C420" i="4" s="1"/>
  <c r="B265" i="4"/>
  <c r="B420" i="4" s="1"/>
  <c r="H264" i="4"/>
  <c r="H419" i="4" s="1"/>
  <c r="G264" i="4"/>
  <c r="G419" i="4" s="1"/>
  <c r="F264" i="4"/>
  <c r="F419" i="4" s="1"/>
  <c r="E264" i="4"/>
  <c r="E419" i="4" s="1"/>
  <c r="D264" i="4"/>
  <c r="D419" i="4" s="1"/>
  <c r="C264" i="4"/>
  <c r="C419" i="4" s="1"/>
  <c r="B264" i="4"/>
  <c r="B419" i="4" s="1"/>
  <c r="H263" i="4"/>
  <c r="H418" i="4" s="1"/>
  <c r="G263" i="4"/>
  <c r="G418" i="4" s="1"/>
  <c r="F263" i="4"/>
  <c r="F418" i="4" s="1"/>
  <c r="E263" i="4"/>
  <c r="E418" i="4" s="1"/>
  <c r="D263" i="4"/>
  <c r="D418" i="4" s="1"/>
  <c r="C263" i="4"/>
  <c r="C418" i="4" s="1"/>
  <c r="B263" i="4"/>
  <c r="B418" i="4" s="1"/>
  <c r="H262" i="4"/>
  <c r="H417" i="4" s="1"/>
  <c r="G262" i="4"/>
  <c r="G417" i="4" s="1"/>
  <c r="F262" i="4"/>
  <c r="F417" i="4" s="1"/>
  <c r="E262" i="4"/>
  <c r="E417" i="4" s="1"/>
  <c r="D262" i="4"/>
  <c r="D417" i="4" s="1"/>
  <c r="C262" i="4"/>
  <c r="C417" i="4" s="1"/>
  <c r="B262" i="4"/>
  <c r="B417" i="4" s="1"/>
  <c r="H261" i="4"/>
  <c r="H416" i="4" s="1"/>
  <c r="G261" i="4"/>
  <c r="G416" i="4" s="1"/>
  <c r="F261" i="4"/>
  <c r="F416" i="4" s="1"/>
  <c r="E261" i="4"/>
  <c r="E416" i="4" s="1"/>
  <c r="D261" i="4"/>
  <c r="D416" i="4" s="1"/>
  <c r="C261" i="4"/>
  <c r="C416" i="4" s="1"/>
  <c r="B261" i="4"/>
  <c r="B416" i="4" s="1"/>
  <c r="I260" i="4"/>
  <c r="H260" i="4"/>
  <c r="H415" i="4" s="1"/>
  <c r="G260" i="4"/>
  <c r="G415" i="4" s="1"/>
  <c r="F260" i="4"/>
  <c r="F415" i="4" s="1"/>
  <c r="E260" i="4"/>
  <c r="E415" i="4" s="1"/>
  <c r="D260" i="4"/>
  <c r="D415" i="4" s="1"/>
  <c r="C260" i="4"/>
  <c r="C415" i="4" s="1"/>
  <c r="B260" i="4"/>
  <c r="B415" i="4" s="1"/>
  <c r="I259" i="4"/>
  <c r="H259" i="4"/>
  <c r="H414" i="4" s="1"/>
  <c r="G259" i="4"/>
  <c r="G414" i="4" s="1"/>
  <c r="F259" i="4"/>
  <c r="F414" i="4" s="1"/>
  <c r="E259" i="4"/>
  <c r="E414" i="4" s="1"/>
  <c r="D259" i="4"/>
  <c r="D414" i="4" s="1"/>
  <c r="C259" i="4"/>
  <c r="C414" i="4" s="1"/>
  <c r="B259" i="4"/>
  <c r="B414" i="4" s="1"/>
  <c r="H258" i="4"/>
  <c r="H413" i="4" s="1"/>
  <c r="G258" i="4"/>
  <c r="G413" i="4" s="1"/>
  <c r="F258" i="4"/>
  <c r="F413" i="4" s="1"/>
  <c r="E258" i="4"/>
  <c r="E413" i="4" s="1"/>
  <c r="D258" i="4"/>
  <c r="D413" i="4" s="1"/>
  <c r="C258" i="4"/>
  <c r="C413" i="4" s="1"/>
  <c r="B258" i="4"/>
  <c r="B413" i="4" s="1"/>
  <c r="H257" i="4"/>
  <c r="H412" i="4" s="1"/>
  <c r="G257" i="4"/>
  <c r="G412" i="4" s="1"/>
  <c r="F257" i="4"/>
  <c r="F412" i="4" s="1"/>
  <c r="E257" i="4"/>
  <c r="E412" i="4" s="1"/>
  <c r="D257" i="4"/>
  <c r="D412" i="4" s="1"/>
  <c r="C257" i="4"/>
  <c r="C412" i="4" s="1"/>
  <c r="B257" i="4"/>
  <c r="B412" i="4" s="1"/>
  <c r="H256" i="4"/>
  <c r="G256" i="4"/>
  <c r="F256" i="4"/>
  <c r="E256" i="4"/>
  <c r="D256" i="4"/>
  <c r="C256" i="4"/>
  <c r="B256" i="4"/>
  <c r="H255" i="4"/>
  <c r="G255" i="4"/>
  <c r="F255" i="4"/>
  <c r="E255" i="4"/>
  <c r="D255" i="4"/>
  <c r="C255" i="4"/>
  <c r="B255" i="4"/>
  <c r="H254" i="4"/>
  <c r="G254" i="4"/>
  <c r="F254" i="4"/>
  <c r="E254" i="4"/>
  <c r="D254" i="4"/>
  <c r="C254" i="4"/>
  <c r="B254" i="4"/>
  <c r="H253" i="4"/>
  <c r="G253" i="4"/>
  <c r="F253" i="4"/>
  <c r="E253" i="4"/>
  <c r="D253" i="4"/>
  <c r="C253" i="4"/>
  <c r="B253" i="4"/>
  <c r="H252" i="4"/>
  <c r="G252" i="4"/>
  <c r="F252" i="4"/>
  <c r="E252" i="4"/>
  <c r="D252" i="4"/>
  <c r="C252" i="4"/>
  <c r="B252" i="4"/>
  <c r="H251" i="4"/>
  <c r="G251" i="4"/>
  <c r="F251" i="4"/>
  <c r="E251" i="4"/>
  <c r="D251" i="4"/>
  <c r="C251" i="4"/>
  <c r="B251" i="4"/>
  <c r="H250" i="4"/>
  <c r="G250" i="4"/>
  <c r="F250" i="4"/>
  <c r="E250" i="4"/>
  <c r="D250" i="4"/>
  <c r="C250" i="4"/>
  <c r="B250" i="4"/>
  <c r="H249" i="4"/>
  <c r="G249" i="4"/>
  <c r="F249" i="4"/>
  <c r="E249" i="4"/>
  <c r="D249" i="4"/>
  <c r="C249" i="4"/>
  <c r="B249" i="4"/>
  <c r="H248" i="4"/>
  <c r="G248" i="4"/>
  <c r="F248" i="4"/>
  <c r="E248" i="4"/>
  <c r="D248" i="4"/>
  <c r="C248" i="4"/>
  <c r="B248" i="4"/>
  <c r="H247" i="4"/>
  <c r="G247" i="4"/>
  <c r="F247" i="4"/>
  <c r="E247" i="4"/>
  <c r="D247" i="4"/>
  <c r="C247" i="4"/>
  <c r="B247" i="4"/>
  <c r="H246" i="4"/>
  <c r="G246" i="4"/>
  <c r="F246" i="4"/>
  <c r="E246" i="4"/>
  <c r="D246" i="4"/>
  <c r="C246" i="4"/>
  <c r="B246" i="4"/>
  <c r="H245" i="4"/>
  <c r="G245" i="4"/>
  <c r="F245" i="4"/>
  <c r="E245" i="4"/>
  <c r="D245" i="4"/>
  <c r="C245" i="4"/>
  <c r="B245" i="4"/>
  <c r="H244" i="4"/>
  <c r="G244" i="4"/>
  <c r="F244" i="4"/>
  <c r="E244" i="4"/>
  <c r="D244" i="4"/>
  <c r="C244" i="4"/>
  <c r="B244" i="4"/>
  <c r="H243" i="4"/>
  <c r="G243" i="4"/>
  <c r="F243" i="4"/>
  <c r="E243" i="4"/>
  <c r="D243" i="4"/>
  <c r="C243" i="4"/>
  <c r="B243" i="4"/>
  <c r="H242" i="4"/>
  <c r="G242" i="4"/>
  <c r="F242" i="4"/>
  <c r="E242" i="4"/>
  <c r="D242" i="4"/>
  <c r="C242" i="4"/>
  <c r="B242" i="4"/>
  <c r="H241" i="4"/>
  <c r="G241" i="4"/>
  <c r="F241" i="4"/>
  <c r="E241" i="4"/>
  <c r="D241" i="4"/>
  <c r="C241" i="4"/>
  <c r="B241" i="4"/>
  <c r="H240" i="4"/>
  <c r="G240" i="4"/>
  <c r="F240" i="4"/>
  <c r="E240" i="4"/>
  <c r="D240" i="4"/>
  <c r="C240" i="4"/>
  <c r="B240" i="4"/>
  <c r="H239" i="4"/>
  <c r="G239" i="4"/>
  <c r="F239" i="4"/>
  <c r="E239" i="4"/>
  <c r="D239" i="4"/>
  <c r="C239" i="4"/>
  <c r="B239" i="4"/>
  <c r="H238" i="4"/>
  <c r="G238" i="4"/>
  <c r="F238" i="4"/>
  <c r="E238" i="4"/>
  <c r="D238" i="4"/>
  <c r="C238" i="4"/>
  <c r="B238" i="4"/>
  <c r="H237" i="4"/>
  <c r="G237" i="4"/>
  <c r="F237" i="4"/>
  <c r="E237" i="4"/>
  <c r="D237" i="4"/>
  <c r="C237" i="4"/>
  <c r="B237" i="4"/>
  <c r="H236" i="4"/>
  <c r="G236" i="4"/>
  <c r="F236" i="4"/>
  <c r="E236" i="4"/>
  <c r="D236" i="4"/>
  <c r="C236" i="4"/>
  <c r="B236" i="4"/>
  <c r="H235" i="4"/>
  <c r="G235" i="4"/>
  <c r="F235" i="4"/>
  <c r="E235" i="4"/>
  <c r="D235" i="4"/>
  <c r="C235" i="4"/>
  <c r="B235" i="4"/>
  <c r="H234" i="4"/>
  <c r="G234" i="4"/>
  <c r="F234" i="4"/>
  <c r="E234" i="4"/>
  <c r="D234" i="4"/>
  <c r="C234" i="4"/>
  <c r="B234" i="4"/>
  <c r="H233" i="4"/>
  <c r="G233" i="4"/>
  <c r="F233" i="4"/>
  <c r="E233" i="4"/>
  <c r="D233" i="4"/>
  <c r="C233" i="4"/>
  <c r="H232" i="4"/>
  <c r="G232" i="4"/>
  <c r="F232" i="4"/>
  <c r="E232" i="4"/>
  <c r="D232" i="4"/>
  <c r="C232" i="4"/>
  <c r="B232" i="4"/>
  <c r="H231" i="4"/>
  <c r="G231" i="4"/>
  <c r="F231" i="4"/>
  <c r="E231" i="4"/>
  <c r="D231" i="4"/>
  <c r="C231" i="4"/>
  <c r="B231" i="4"/>
  <c r="H230" i="4"/>
  <c r="G230" i="4"/>
  <c r="F230" i="4"/>
  <c r="E230" i="4"/>
  <c r="D230" i="4"/>
  <c r="C230" i="4"/>
  <c r="B230" i="4"/>
  <c r="H229" i="4"/>
  <c r="G229" i="4"/>
  <c r="F229" i="4"/>
  <c r="E229" i="4"/>
  <c r="D229" i="4"/>
  <c r="C229" i="4"/>
  <c r="B229" i="4"/>
  <c r="I226" i="4"/>
  <c r="I405" i="4" s="1"/>
  <c r="I223" i="4"/>
  <c r="I222" i="4"/>
  <c r="I401" i="4" s="1"/>
  <c r="I221" i="4"/>
  <c r="F17" i="3" s="1"/>
  <c r="I220" i="4"/>
  <c r="I399" i="4" s="1"/>
  <c r="I219" i="4"/>
  <c r="I398" i="4" s="1"/>
  <c r="I218" i="4"/>
  <c r="I397" i="4" s="1"/>
  <c r="I217" i="4"/>
  <c r="I216" i="4"/>
  <c r="I395" i="4" s="1"/>
  <c r="I213" i="4"/>
  <c r="I392" i="4" s="1"/>
  <c r="I212" i="4"/>
  <c r="F8" i="3" s="1"/>
  <c r="I211" i="4"/>
  <c r="I210" i="4"/>
  <c r="I209" i="4"/>
  <c r="I208" i="4"/>
  <c r="I207" i="4"/>
  <c r="I206" i="4"/>
  <c r="I205" i="4"/>
  <c r="I204" i="4"/>
  <c r="I203" i="4"/>
  <c r="I202" i="4"/>
  <c r="I201" i="4"/>
  <c r="I200" i="4"/>
  <c r="I199" i="4"/>
  <c r="I198" i="4"/>
  <c r="I197" i="4"/>
  <c r="I196" i="4"/>
  <c r="I195" i="4"/>
  <c r="I194" i="4"/>
  <c r="I193" i="4"/>
  <c r="I192" i="4"/>
  <c r="I191" i="4"/>
  <c r="I190" i="4"/>
  <c r="I189" i="4"/>
  <c r="I188" i="4"/>
  <c r="I187" i="4"/>
  <c r="I186" i="4"/>
  <c r="I185" i="4"/>
  <c r="I184" i="4"/>
  <c r="I181" i="4"/>
  <c r="E22" i="3" s="1"/>
  <c r="I178" i="4"/>
  <c r="I381" i="4" s="1"/>
  <c r="I177" i="4"/>
  <c r="I176" i="4"/>
  <c r="I379" i="4" s="1"/>
  <c r="I175" i="4"/>
  <c r="E16" i="3" s="1"/>
  <c r="I174" i="4"/>
  <c r="I377" i="4" s="1"/>
  <c r="I173" i="4"/>
  <c r="E14" i="3" s="1"/>
  <c r="I172" i="4"/>
  <c r="I375" i="4" s="1"/>
  <c r="I171" i="4"/>
  <c r="E12" i="3" s="1"/>
  <c r="I168" i="4"/>
  <c r="I371" i="4" s="1"/>
  <c r="I167" i="4"/>
  <c r="E8" i="3" s="1"/>
  <c r="I166" i="4"/>
  <c r="I165" i="4"/>
  <c r="I164" i="4"/>
  <c r="I163" i="4"/>
  <c r="I162" i="4"/>
  <c r="I161" i="4"/>
  <c r="I160" i="4"/>
  <c r="I159" i="4"/>
  <c r="I158" i="4"/>
  <c r="I157" i="4"/>
  <c r="I156" i="4"/>
  <c r="I155" i="4"/>
  <c r="I154" i="4"/>
  <c r="I153" i="4"/>
  <c r="I152" i="4"/>
  <c r="I151" i="4"/>
  <c r="I150" i="4"/>
  <c r="I149" i="4"/>
  <c r="I148" i="4"/>
  <c r="I147" i="4"/>
  <c r="I146" i="4"/>
  <c r="I145" i="4"/>
  <c r="I144" i="4"/>
  <c r="B143" i="4"/>
  <c r="C99" i="22" s="1"/>
  <c r="I142" i="4"/>
  <c r="I141" i="4"/>
  <c r="I140" i="4"/>
  <c r="I139" i="4"/>
  <c r="I361" i="4"/>
  <c r="I133" i="4"/>
  <c r="I358" i="4" s="1"/>
  <c r="I132" i="4"/>
  <c r="I357" i="4" s="1"/>
  <c r="I131" i="4"/>
  <c r="I356" i="4" s="1"/>
  <c r="I130" i="4"/>
  <c r="I355" i="4" s="1"/>
  <c r="I129" i="4"/>
  <c r="I354" i="4" s="1"/>
  <c r="I128" i="4"/>
  <c r="I353" i="4" s="1"/>
  <c r="I127" i="4"/>
  <c r="I352" i="4" s="1"/>
  <c r="I126" i="4"/>
  <c r="I351" i="4" s="1"/>
  <c r="I123" i="4"/>
  <c r="D9" i="3" s="1"/>
  <c r="I122" i="4"/>
  <c r="I347" i="4" s="1"/>
  <c r="I121" i="4"/>
  <c r="I120" i="4"/>
  <c r="I119" i="4"/>
  <c r="I118" i="4"/>
  <c r="I117" i="4"/>
  <c r="I116" i="4"/>
  <c r="I115" i="4"/>
  <c r="I114" i="4"/>
  <c r="I113" i="4"/>
  <c r="I112" i="4"/>
  <c r="I111" i="4"/>
  <c r="I110" i="4"/>
  <c r="I109" i="4"/>
  <c r="I107" i="4"/>
  <c r="I106" i="4"/>
  <c r="I105" i="4"/>
  <c r="I104" i="4"/>
  <c r="I103" i="4"/>
  <c r="I102" i="4"/>
  <c r="I101" i="4"/>
  <c r="I100" i="4"/>
  <c r="I99" i="4"/>
  <c r="I98" i="4"/>
  <c r="I97" i="4"/>
  <c r="I96" i="4"/>
  <c r="I95" i="4"/>
  <c r="I94" i="4"/>
  <c r="I87" i="4"/>
  <c r="I336" i="4" s="1"/>
  <c r="I86" i="4"/>
  <c r="C17" i="3" s="1"/>
  <c r="I85" i="4"/>
  <c r="I334" i="4" s="1"/>
  <c r="I84" i="4"/>
  <c r="I333" i="4" s="1"/>
  <c r="I83" i="4"/>
  <c r="I332" i="4" s="1"/>
  <c r="I82" i="4"/>
  <c r="C13" i="3" s="1"/>
  <c r="I78" i="4"/>
  <c r="C9" i="3" s="1"/>
  <c r="I76" i="4"/>
  <c r="I75" i="4"/>
  <c r="I74" i="4"/>
  <c r="I73" i="4"/>
  <c r="I72" i="4"/>
  <c r="I71" i="4"/>
  <c r="I70" i="4"/>
  <c r="I69" i="4"/>
  <c r="I68" i="4"/>
  <c r="I67" i="4"/>
  <c r="I62" i="4"/>
  <c r="I323" i="4" s="1"/>
  <c r="C5" i="3" s="1"/>
  <c r="I61" i="4"/>
  <c r="I60" i="4"/>
  <c r="I59" i="4"/>
  <c r="I58" i="4"/>
  <c r="I57" i="4"/>
  <c r="I55" i="4"/>
  <c r="I54" i="4"/>
  <c r="I53" i="4"/>
  <c r="I52" i="4"/>
  <c r="I51" i="4"/>
  <c r="I50" i="4"/>
  <c r="I49" i="4"/>
  <c r="I42" i="4"/>
  <c r="I315" i="4" s="1"/>
  <c r="I41" i="4"/>
  <c r="I314" i="4" s="1"/>
  <c r="I40" i="4"/>
  <c r="I313" i="4" s="1"/>
  <c r="I39" i="4"/>
  <c r="I312" i="4" s="1"/>
  <c r="I38" i="4"/>
  <c r="I311" i="4" s="1"/>
  <c r="I37" i="4"/>
  <c r="I310" i="4" s="1"/>
  <c r="I33" i="4"/>
  <c r="I306" i="4" s="1"/>
  <c r="I31" i="4"/>
  <c r="T30" i="4"/>
  <c r="I30" i="4"/>
  <c r="T29" i="4"/>
  <c r="I29" i="4"/>
  <c r="T28" i="4"/>
  <c r="I28" i="4"/>
  <c r="T27" i="4"/>
  <c r="I27" i="4"/>
  <c r="T26" i="4"/>
  <c r="I26" i="4"/>
  <c r="T25" i="4"/>
  <c r="I25" i="4"/>
  <c r="T24" i="4"/>
  <c r="I24" i="4"/>
  <c r="T23" i="4"/>
  <c r="I23" i="4"/>
  <c r="T22" i="4"/>
  <c r="I22" i="4"/>
  <c r="T21" i="4"/>
  <c r="T20" i="4"/>
  <c r="T19" i="4"/>
  <c r="T18" i="4"/>
  <c r="T17" i="4"/>
  <c r="T16" i="4"/>
  <c r="I16" i="4"/>
  <c r="T15" i="4"/>
  <c r="I15" i="4"/>
  <c r="T14" i="4"/>
  <c r="I14" i="4"/>
  <c r="T13" i="4"/>
  <c r="I13" i="4"/>
  <c r="T12" i="4"/>
  <c r="I12" i="4"/>
  <c r="T11" i="4"/>
  <c r="T10" i="4"/>
  <c r="I10" i="4"/>
  <c r="T9" i="4"/>
  <c r="I9" i="4"/>
  <c r="T8" i="4"/>
  <c r="I8" i="4"/>
  <c r="T7" i="4"/>
  <c r="I7" i="4"/>
  <c r="T6" i="4"/>
  <c r="I6" i="4"/>
  <c r="T5" i="4"/>
  <c r="I5" i="4"/>
  <c r="T4" i="4"/>
  <c r="I4" i="4"/>
  <c r="F64" i="3"/>
  <c r="E64" i="3"/>
  <c r="D64" i="3"/>
  <c r="C64" i="3"/>
  <c r="B64" i="3"/>
  <c r="F61" i="3"/>
  <c r="E61" i="3"/>
  <c r="D61" i="3"/>
  <c r="C61" i="3"/>
  <c r="B61" i="3"/>
  <c r="F60" i="3"/>
  <c r="E60" i="3"/>
  <c r="D60" i="3"/>
  <c r="C60" i="3"/>
  <c r="B60" i="3"/>
  <c r="F59" i="3"/>
  <c r="E59" i="3"/>
  <c r="D59" i="3"/>
  <c r="C59" i="3"/>
  <c r="B59" i="3"/>
  <c r="F58" i="3"/>
  <c r="E58" i="3"/>
  <c r="D58" i="3"/>
  <c r="C58" i="3"/>
  <c r="B58" i="3"/>
  <c r="F57" i="3"/>
  <c r="E57" i="3"/>
  <c r="D57" i="3"/>
  <c r="C57" i="3"/>
  <c r="B57" i="3"/>
  <c r="F56" i="3"/>
  <c r="E56" i="3"/>
  <c r="D56" i="3"/>
  <c r="C56" i="3"/>
  <c r="B56" i="3"/>
  <c r="F55" i="3"/>
  <c r="E55" i="3"/>
  <c r="D55" i="3"/>
  <c r="C55" i="3"/>
  <c r="B55" i="3"/>
  <c r="F54" i="3"/>
  <c r="E54" i="3"/>
  <c r="D54" i="3"/>
  <c r="C54" i="3"/>
  <c r="B54" i="3"/>
  <c r="F53" i="3"/>
  <c r="E53" i="3"/>
  <c r="D53" i="3"/>
  <c r="C53" i="3"/>
  <c r="B53" i="3"/>
  <c r="F52" i="3"/>
  <c r="E52" i="3"/>
  <c r="D52" i="3"/>
  <c r="C52" i="3"/>
  <c r="B52" i="3"/>
  <c r="F51" i="3"/>
  <c r="E51" i="3"/>
  <c r="D51" i="3"/>
  <c r="C51" i="3"/>
  <c r="B51" i="3"/>
  <c r="F50" i="3"/>
  <c r="E50" i="3"/>
  <c r="D50" i="3"/>
  <c r="C50" i="3"/>
  <c r="B50" i="3"/>
  <c r="F49" i="3"/>
  <c r="E49" i="3"/>
  <c r="D49" i="3"/>
  <c r="C49" i="3"/>
  <c r="B49" i="3"/>
  <c r="E48" i="3"/>
  <c r="D48" i="3"/>
  <c r="C48" i="3"/>
  <c r="B48" i="3"/>
  <c r="B47" i="3"/>
  <c r="C43" i="3"/>
  <c r="B43" i="3"/>
  <c r="C40" i="3"/>
  <c r="B40" i="3"/>
  <c r="E38" i="3"/>
  <c r="C33" i="3"/>
  <c r="B33" i="3"/>
  <c r="F32" i="3"/>
  <c r="E32" i="3"/>
  <c r="D32" i="3"/>
  <c r="C32" i="3"/>
  <c r="B32" i="3"/>
  <c r="F31" i="3"/>
  <c r="E31" i="3"/>
  <c r="D31" i="3"/>
  <c r="C31" i="3"/>
  <c r="B31" i="3"/>
  <c r="C29" i="3"/>
  <c r="B29" i="3"/>
  <c r="B26" i="3"/>
  <c r="C22" i="3"/>
  <c r="B22" i="3"/>
  <c r="C19" i="3"/>
  <c r="B19" i="3"/>
  <c r="C12" i="3"/>
  <c r="B12" i="3"/>
  <c r="F11" i="3"/>
  <c r="E11" i="3"/>
  <c r="D11" i="3"/>
  <c r="C11" i="3"/>
  <c r="B11" i="3"/>
  <c r="F10" i="3"/>
  <c r="E10" i="3"/>
  <c r="D10" i="3"/>
  <c r="C10" i="3"/>
  <c r="B10" i="3"/>
  <c r="C8" i="3"/>
  <c r="B8" i="3"/>
  <c r="N370" i="27" l="1"/>
  <c r="I11" i="30"/>
  <c r="I12" i="30"/>
  <c r="D127" i="29"/>
  <c r="J147" i="25"/>
  <c r="J155" i="25"/>
  <c r="P190" i="27"/>
  <c r="P434" i="27" s="1"/>
  <c r="P177" i="27"/>
  <c r="P421" i="27" s="1"/>
  <c r="P182" i="27"/>
  <c r="P426" i="27" s="1"/>
  <c r="K219" i="27"/>
  <c r="K313" i="27" s="1"/>
  <c r="P172" i="27"/>
  <c r="P219" i="27" s="1"/>
  <c r="P313" i="27" s="1"/>
  <c r="K222" i="27"/>
  <c r="P175" i="27"/>
  <c r="K425" i="27"/>
  <c r="P181" i="27"/>
  <c r="P425" i="27" s="1"/>
  <c r="K429" i="27"/>
  <c r="P185" i="27"/>
  <c r="P429" i="27" s="1"/>
  <c r="H190" i="27"/>
  <c r="K419" i="27"/>
  <c r="P171" i="27"/>
  <c r="P178" i="27"/>
  <c r="P422" i="27" s="1"/>
  <c r="P184" i="27"/>
  <c r="P428" i="27" s="1"/>
  <c r="K217" i="27"/>
  <c r="P170" i="27"/>
  <c r="P217" i="27" s="1"/>
  <c r="P311" i="27" s="1"/>
  <c r="K221" i="27"/>
  <c r="K315" i="27" s="1"/>
  <c r="P174" i="27"/>
  <c r="P180" i="27"/>
  <c r="P424" i="27" s="1"/>
  <c r="K427" i="27"/>
  <c r="P183" i="27"/>
  <c r="P427" i="27" s="1"/>
  <c r="K216" i="27"/>
  <c r="K310" i="27" s="1"/>
  <c r="P169" i="27"/>
  <c r="K220" i="27"/>
  <c r="P173" i="27"/>
  <c r="P176" i="27"/>
  <c r="P420" i="27" s="1"/>
  <c r="K423" i="27"/>
  <c r="P179" i="27"/>
  <c r="P423" i="27" s="1"/>
  <c r="K431" i="27"/>
  <c r="P187" i="27"/>
  <c r="P431" i="27" s="1"/>
  <c r="S159" i="25"/>
  <c r="L410" i="6"/>
  <c r="I426" i="5"/>
  <c r="R424" i="5"/>
  <c r="R430" i="5"/>
  <c r="R425" i="5"/>
  <c r="R426" i="5"/>
  <c r="I427" i="5"/>
  <c r="R431" i="5"/>
  <c r="H56" i="3"/>
  <c r="R423" i="5"/>
  <c r="R429" i="5"/>
  <c r="R427" i="5"/>
  <c r="I414" i="4"/>
  <c r="H10" i="3" s="1"/>
  <c r="I415" i="4"/>
  <c r="H11" i="3" s="1"/>
  <c r="L113" i="24"/>
  <c r="L101" i="24"/>
  <c r="L105" i="24"/>
  <c r="L109" i="24"/>
  <c r="L117" i="24"/>
  <c r="L121" i="24"/>
  <c r="L125" i="24"/>
  <c r="C409" i="6"/>
  <c r="K409" i="6"/>
  <c r="H50" i="3"/>
  <c r="H60" i="3"/>
  <c r="C420" i="5"/>
  <c r="G420" i="5"/>
  <c r="M420" i="5"/>
  <c r="Q420" i="5"/>
  <c r="F36" i="3"/>
  <c r="E39" i="3"/>
  <c r="C14" i="3"/>
  <c r="C18" i="3"/>
  <c r="B9" i="3"/>
  <c r="F12" i="3"/>
  <c r="F16" i="3"/>
  <c r="E19" i="3"/>
  <c r="B261" i="20"/>
  <c r="E407" i="6"/>
  <c r="I407" i="6"/>
  <c r="R152" i="20"/>
  <c r="R58" i="30" s="1"/>
  <c r="D406" i="6"/>
  <c r="D407" i="6"/>
  <c r="B408" i="6"/>
  <c r="B197" i="32"/>
  <c r="I308" i="20"/>
  <c r="I310" i="20"/>
  <c r="I311" i="20"/>
  <c r="F330" i="20"/>
  <c r="B34" i="3"/>
  <c r="H285" i="14"/>
  <c r="D9" i="13" s="1"/>
  <c r="G148" i="32"/>
  <c r="I9" i="19"/>
  <c r="I12" i="19"/>
  <c r="I150" i="19"/>
  <c r="I14" i="20"/>
  <c r="H199" i="20"/>
  <c r="X225" i="23"/>
  <c r="K195" i="20"/>
  <c r="K198" i="20"/>
  <c r="O198" i="20"/>
  <c r="Q199" i="20"/>
  <c r="K261" i="20"/>
  <c r="H198" i="19"/>
  <c r="D354" i="19"/>
  <c r="F198" i="20"/>
  <c r="F202" i="20"/>
  <c r="F261" i="20"/>
  <c r="I4" i="19"/>
  <c r="H194" i="19"/>
  <c r="H354" i="19"/>
  <c r="E9" i="3"/>
  <c r="E15" i="3"/>
  <c r="B233" i="4"/>
  <c r="C410" i="7"/>
  <c r="G410" i="7"/>
  <c r="F411" i="7"/>
  <c r="J411" i="7"/>
  <c r="N19" i="32"/>
  <c r="G101" i="32"/>
  <c r="N149" i="32"/>
  <c r="B306" i="32"/>
  <c r="I151" i="19"/>
  <c r="B192" i="19"/>
  <c r="G215" i="19"/>
  <c r="G353" i="19" s="1"/>
  <c r="C359" i="20"/>
  <c r="G359" i="20"/>
  <c r="E254" i="28"/>
  <c r="C256" i="28"/>
  <c r="F9" i="3"/>
  <c r="B16" i="3"/>
  <c r="F22" i="3"/>
  <c r="C30" i="3"/>
  <c r="I301" i="4"/>
  <c r="B4" i="3" s="1"/>
  <c r="G6" i="3"/>
  <c r="C408" i="4"/>
  <c r="H408" i="4"/>
  <c r="E408" i="4"/>
  <c r="H409" i="4"/>
  <c r="E410" i="4"/>
  <c r="B411" i="4"/>
  <c r="G411" i="4"/>
  <c r="D410" i="7"/>
  <c r="S410" i="7"/>
  <c r="W410" i="7"/>
  <c r="P302" i="32"/>
  <c r="I151" i="20"/>
  <c r="I152" i="20"/>
  <c r="I330" i="20" s="1"/>
  <c r="H195" i="20"/>
  <c r="L357" i="20"/>
  <c r="J290" i="27"/>
  <c r="J310" i="27"/>
  <c r="J298" i="27"/>
  <c r="H217" i="28"/>
  <c r="H105" i="30"/>
  <c r="H245" i="28"/>
  <c r="B152" i="28"/>
  <c r="F152" i="28"/>
  <c r="E158" i="28"/>
  <c r="B254" i="28"/>
  <c r="F254" i="28"/>
  <c r="F255" i="28"/>
  <c r="C157" i="28"/>
  <c r="C254" i="28"/>
  <c r="G305" i="27"/>
  <c r="O314" i="27"/>
  <c r="J300" i="27"/>
  <c r="G287" i="27"/>
  <c r="G288" i="27"/>
  <c r="G291" i="27"/>
  <c r="O301" i="27"/>
  <c r="J304" i="27"/>
  <c r="J305" i="27"/>
  <c r="J288" i="27"/>
  <c r="J289" i="27"/>
  <c r="J308" i="27"/>
  <c r="J309" i="27"/>
  <c r="O248" i="25"/>
  <c r="F248" i="25"/>
  <c r="J248" i="25"/>
  <c r="H249" i="25"/>
  <c r="R49" i="30"/>
  <c r="R194" i="30" s="1"/>
  <c r="I349" i="20"/>
  <c r="I96" i="30"/>
  <c r="I346" i="20"/>
  <c r="I93" i="30"/>
  <c r="R349" i="20"/>
  <c r="R96" i="30"/>
  <c r="R263" i="20"/>
  <c r="O189" i="30"/>
  <c r="O176" i="30"/>
  <c r="E177" i="30"/>
  <c r="E178" i="30"/>
  <c r="O178" i="30"/>
  <c r="G179" i="30"/>
  <c r="Q179" i="30"/>
  <c r="E105" i="30"/>
  <c r="M109" i="30"/>
  <c r="M111" i="30"/>
  <c r="M113" i="30"/>
  <c r="D104" i="30"/>
  <c r="D108" i="30"/>
  <c r="I283" i="20"/>
  <c r="I285" i="20"/>
  <c r="I286" i="20"/>
  <c r="I216" i="20"/>
  <c r="O185" i="30"/>
  <c r="O177" i="30"/>
  <c r="G99" i="30"/>
  <c r="M101" i="30"/>
  <c r="H175" i="30"/>
  <c r="G103" i="30"/>
  <c r="Q103" i="30"/>
  <c r="P105" i="30"/>
  <c r="K175" i="30"/>
  <c r="B355" i="20"/>
  <c r="F355" i="20"/>
  <c r="L355" i="20"/>
  <c r="P355" i="20"/>
  <c r="D357" i="20"/>
  <c r="H357" i="20"/>
  <c r="F357" i="20"/>
  <c r="N358" i="20"/>
  <c r="F359" i="20"/>
  <c r="L359" i="20"/>
  <c r="I277" i="20"/>
  <c r="G112" i="30"/>
  <c r="M112" i="30"/>
  <c r="Q112" i="30"/>
  <c r="M119" i="30"/>
  <c r="M121" i="30"/>
  <c r="M123" i="30"/>
  <c r="D100" i="30"/>
  <c r="I273" i="20"/>
  <c r="C101" i="30"/>
  <c r="G101" i="30"/>
  <c r="M103" i="30"/>
  <c r="E108" i="30"/>
  <c r="F175" i="30"/>
  <c r="Q105" i="30"/>
  <c r="I203" i="20"/>
  <c r="I205" i="20"/>
  <c r="I207" i="20"/>
  <c r="I220" i="20"/>
  <c r="I222" i="20"/>
  <c r="E355" i="20"/>
  <c r="K355" i="20"/>
  <c r="O355" i="20"/>
  <c r="C356" i="20"/>
  <c r="G356" i="20"/>
  <c r="M356" i="20"/>
  <c r="Q356" i="20"/>
  <c r="C357" i="20"/>
  <c r="G357" i="20"/>
  <c r="M357" i="20"/>
  <c r="Q357" i="20"/>
  <c r="G358" i="20"/>
  <c r="O358" i="20"/>
  <c r="E359" i="20"/>
  <c r="P176" i="30"/>
  <c r="F177" i="30"/>
  <c r="F178" i="30"/>
  <c r="P178" i="30"/>
  <c r="H179" i="30"/>
  <c r="N179" i="30"/>
  <c r="N101" i="30"/>
  <c r="P102" i="30"/>
  <c r="D111" i="30"/>
  <c r="I24" i="29"/>
  <c r="B101" i="29"/>
  <c r="F101" i="29"/>
  <c r="C102" i="29"/>
  <c r="G102" i="29"/>
  <c r="B104" i="29"/>
  <c r="F104" i="29"/>
  <c r="E106" i="29"/>
  <c r="B107" i="29"/>
  <c r="F107" i="29"/>
  <c r="C108" i="29"/>
  <c r="E110" i="29"/>
  <c r="B111" i="29"/>
  <c r="F111" i="29"/>
  <c r="C112" i="29"/>
  <c r="G112" i="29"/>
  <c r="E114" i="29"/>
  <c r="B115" i="29"/>
  <c r="F115" i="29"/>
  <c r="C116" i="29"/>
  <c r="G116" i="29"/>
  <c r="C117" i="29"/>
  <c r="G117" i="29"/>
  <c r="D118" i="29"/>
  <c r="E119" i="29"/>
  <c r="B120" i="29"/>
  <c r="F120" i="29"/>
  <c r="C121" i="29"/>
  <c r="I8" i="29"/>
  <c r="I305" i="19"/>
  <c r="I306" i="19"/>
  <c r="I307" i="19"/>
  <c r="I308" i="19"/>
  <c r="I18" i="29"/>
  <c r="I23" i="29"/>
  <c r="I285" i="19"/>
  <c r="I286" i="19"/>
  <c r="E169" i="29"/>
  <c r="I213" i="19"/>
  <c r="F353" i="19"/>
  <c r="F165" i="29"/>
  <c r="F166" i="29"/>
  <c r="E167" i="29"/>
  <c r="F168" i="29"/>
  <c r="D100" i="29"/>
  <c r="E101" i="29"/>
  <c r="B102" i="29"/>
  <c r="F102" i="29"/>
  <c r="C105" i="29"/>
  <c r="G105" i="29"/>
  <c r="D106" i="29"/>
  <c r="H106" i="29"/>
  <c r="E107" i="29"/>
  <c r="B108" i="29"/>
  <c r="C109" i="29"/>
  <c r="G109" i="29"/>
  <c r="D110" i="29"/>
  <c r="E111" i="29"/>
  <c r="B112" i="29"/>
  <c r="F112" i="29"/>
  <c r="C113" i="29"/>
  <c r="D114" i="29"/>
  <c r="E115" i="29"/>
  <c r="B116" i="29"/>
  <c r="F116" i="29"/>
  <c r="B117" i="29"/>
  <c r="F117" i="29"/>
  <c r="C118" i="29"/>
  <c r="E120" i="29"/>
  <c r="B121" i="29"/>
  <c r="F121" i="29"/>
  <c r="I214" i="19"/>
  <c r="I211" i="19"/>
  <c r="E351" i="19"/>
  <c r="E354" i="19"/>
  <c r="D98" i="29"/>
  <c r="D125" i="29"/>
  <c r="I212" i="19"/>
  <c r="E350" i="19"/>
  <c r="C350" i="19"/>
  <c r="G100" i="29"/>
  <c r="F71" i="28"/>
  <c r="F229" i="28" s="1"/>
  <c r="D211" i="28"/>
  <c r="F206" i="28"/>
  <c r="C67" i="28"/>
  <c r="C225" i="28" s="1"/>
  <c r="G71" i="28"/>
  <c r="G229" i="28" s="1"/>
  <c r="C221" i="28"/>
  <c r="C222" i="28"/>
  <c r="E208" i="28"/>
  <c r="G67" i="28"/>
  <c r="G225" i="28" s="1"/>
  <c r="F108" i="27"/>
  <c r="B112" i="27"/>
  <c r="L112" i="27"/>
  <c r="F118" i="27"/>
  <c r="L122" i="27"/>
  <c r="F128" i="27"/>
  <c r="O140" i="27"/>
  <c r="O409" i="27" s="1"/>
  <c r="F112" i="27"/>
  <c r="L116" i="27"/>
  <c r="B122" i="27"/>
  <c r="F122" i="27"/>
  <c r="B124" i="27"/>
  <c r="G134" i="27"/>
  <c r="G403" i="27" s="1"/>
  <c r="M107" i="27"/>
  <c r="M119" i="27"/>
  <c r="M125" i="27"/>
  <c r="M115" i="27"/>
  <c r="C122" i="27"/>
  <c r="G130" i="27"/>
  <c r="G399" i="27" s="1"/>
  <c r="G138" i="27"/>
  <c r="G407" i="27" s="1"/>
  <c r="M103" i="27"/>
  <c r="C116" i="27"/>
  <c r="G136" i="27"/>
  <c r="G405" i="27" s="1"/>
  <c r="C112" i="27"/>
  <c r="M117" i="27"/>
  <c r="C118" i="27"/>
  <c r="M123" i="27"/>
  <c r="C128" i="27"/>
  <c r="G132" i="27"/>
  <c r="G401" i="27" s="1"/>
  <c r="G140" i="27"/>
  <c r="G409" i="27" s="1"/>
  <c r="D105" i="26"/>
  <c r="D113" i="26"/>
  <c r="D117" i="26"/>
  <c r="D125" i="26"/>
  <c r="F371" i="26"/>
  <c r="D101" i="26"/>
  <c r="E118" i="26"/>
  <c r="E122" i="26"/>
  <c r="D369" i="26"/>
  <c r="D348" i="27"/>
  <c r="H14" i="27"/>
  <c r="H108" i="27" s="1"/>
  <c r="P32" i="27"/>
  <c r="H33" i="27"/>
  <c r="H127" i="27" s="1"/>
  <c r="E101" i="27"/>
  <c r="E102" i="27"/>
  <c r="E106" i="27"/>
  <c r="E110" i="27"/>
  <c r="E116" i="27"/>
  <c r="E122" i="27"/>
  <c r="E44" i="13"/>
  <c r="G235" i="32"/>
  <c r="G365" i="32" s="1"/>
  <c r="F44" i="13" s="1"/>
  <c r="J44" i="13" s="1"/>
  <c r="H8" i="26"/>
  <c r="H102" i="26" s="1"/>
  <c r="H12" i="26"/>
  <c r="H106" i="26" s="1"/>
  <c r="H16" i="26"/>
  <c r="H110" i="26" s="1"/>
  <c r="H20" i="26"/>
  <c r="H114" i="26" s="1"/>
  <c r="H333" i="14"/>
  <c r="B9" i="13" s="1"/>
  <c r="H224" i="14"/>
  <c r="H25" i="26"/>
  <c r="H213" i="26" s="1"/>
  <c r="H29" i="26"/>
  <c r="H305" i="14"/>
  <c r="C7" i="13" s="1"/>
  <c r="H306" i="14"/>
  <c r="C8" i="13" s="1"/>
  <c r="H307" i="14"/>
  <c r="C9" i="13" s="1"/>
  <c r="H283" i="14"/>
  <c r="D7" i="13" s="1"/>
  <c r="H199" i="14"/>
  <c r="H203" i="14"/>
  <c r="H205" i="14"/>
  <c r="H212" i="14"/>
  <c r="H282" i="14"/>
  <c r="D6" i="13" s="1"/>
  <c r="H195" i="14"/>
  <c r="H207" i="14"/>
  <c r="F203" i="26"/>
  <c r="F297" i="26" s="1"/>
  <c r="D354" i="14"/>
  <c r="H193" i="14"/>
  <c r="H197" i="14"/>
  <c r="H201" i="14"/>
  <c r="H209" i="14"/>
  <c r="B352" i="14"/>
  <c r="E355" i="14"/>
  <c r="E114" i="26"/>
  <c r="E193" i="26"/>
  <c r="E287" i="26" s="1"/>
  <c r="C194" i="26"/>
  <c r="C288" i="26" s="1"/>
  <c r="G194" i="26"/>
  <c r="G288" i="26" s="1"/>
  <c r="G196" i="26"/>
  <c r="G290" i="26" s="1"/>
  <c r="C208" i="26"/>
  <c r="C302" i="26" s="1"/>
  <c r="E209" i="26"/>
  <c r="E303" i="26" s="1"/>
  <c r="C210" i="26"/>
  <c r="C304" i="26" s="1"/>
  <c r="G210" i="26"/>
  <c r="G304" i="26" s="1"/>
  <c r="B215" i="26"/>
  <c r="B309" i="26" s="1"/>
  <c r="D107" i="30"/>
  <c r="E197" i="30"/>
  <c r="E200" i="30"/>
  <c r="M201" i="30"/>
  <c r="G204" i="25"/>
  <c r="K164" i="25"/>
  <c r="K204" i="25"/>
  <c r="T201" i="25"/>
  <c r="E203" i="25"/>
  <c r="I203" i="25"/>
  <c r="S203" i="25"/>
  <c r="T204" i="25"/>
  <c r="G205" i="25"/>
  <c r="S151" i="25"/>
  <c r="K169" i="25"/>
  <c r="D104" i="29"/>
  <c r="D107" i="29"/>
  <c r="D111" i="29"/>
  <c r="H111" i="29"/>
  <c r="D115" i="29"/>
  <c r="H115" i="29"/>
  <c r="D120" i="29"/>
  <c r="H120" i="29"/>
  <c r="J203" i="24"/>
  <c r="D165" i="24"/>
  <c r="G201" i="24"/>
  <c r="F201" i="24"/>
  <c r="F204" i="24"/>
  <c r="J204" i="24"/>
  <c r="O287" i="27"/>
  <c r="G299" i="27"/>
  <c r="G301" i="27"/>
  <c r="G295" i="27"/>
  <c r="K305" i="27"/>
  <c r="O305" i="27"/>
  <c r="O293" i="27"/>
  <c r="G304" i="27"/>
  <c r="O289" i="27"/>
  <c r="O291" i="27"/>
  <c r="G307" i="27"/>
  <c r="G309" i="27"/>
  <c r="O295" i="27"/>
  <c r="G303" i="27"/>
  <c r="K168" i="23"/>
  <c r="K172" i="23"/>
  <c r="G289" i="27"/>
  <c r="O299" i="27"/>
  <c r="E205" i="23"/>
  <c r="I205" i="23"/>
  <c r="G294" i="27"/>
  <c r="G315" i="27"/>
  <c r="B154" i="23"/>
  <c r="J154" i="23"/>
  <c r="K167" i="23"/>
  <c r="S162" i="23"/>
  <c r="G293" i="27"/>
  <c r="G313" i="27"/>
  <c r="G316" i="27"/>
  <c r="X5" i="23"/>
  <c r="X8" i="23"/>
  <c r="S201" i="23"/>
  <c r="X12" i="23"/>
  <c r="G202" i="23"/>
  <c r="T202" i="23"/>
  <c r="D203" i="23"/>
  <c r="H203" i="23"/>
  <c r="E204" i="23"/>
  <c r="I204" i="23"/>
  <c r="K150" i="23"/>
  <c r="B153" i="23"/>
  <c r="J153" i="23"/>
  <c r="B156" i="23"/>
  <c r="K157" i="23"/>
  <c r="B160" i="23"/>
  <c r="J160" i="23"/>
  <c r="K162" i="23"/>
  <c r="K169" i="23"/>
  <c r="K173" i="23"/>
  <c r="R159" i="23"/>
  <c r="K146" i="23"/>
  <c r="K158" i="23"/>
  <c r="B165" i="23"/>
  <c r="J165" i="23"/>
  <c r="B173" i="23"/>
  <c r="J173" i="23"/>
  <c r="G300" i="27"/>
  <c r="O310" i="27"/>
  <c r="K152" i="23"/>
  <c r="K154" i="23"/>
  <c r="T176" i="23"/>
  <c r="T275" i="23" s="1"/>
  <c r="M195" i="27"/>
  <c r="M289" i="27" s="1"/>
  <c r="D219" i="27"/>
  <c r="D313" i="27" s="1"/>
  <c r="M221" i="27"/>
  <c r="M315" i="27" s="1"/>
  <c r="O416" i="27"/>
  <c r="G429" i="27"/>
  <c r="K170" i="23"/>
  <c r="K174" i="23"/>
  <c r="G415" i="27"/>
  <c r="E214" i="26"/>
  <c r="E308" i="26" s="1"/>
  <c r="D221" i="26"/>
  <c r="D315" i="26" s="1"/>
  <c r="D225" i="26"/>
  <c r="D444" i="26" s="1"/>
  <c r="J161" i="22"/>
  <c r="E416" i="26"/>
  <c r="D419" i="26"/>
  <c r="K154" i="22"/>
  <c r="F227" i="26"/>
  <c r="F446" i="26" s="1"/>
  <c r="L364" i="7"/>
  <c r="L365" i="7"/>
  <c r="X130" i="25"/>
  <c r="X254" i="25" s="1"/>
  <c r="L134" i="25"/>
  <c r="L258" i="25" s="1"/>
  <c r="L136" i="25"/>
  <c r="L260" i="25" s="1"/>
  <c r="L138" i="25"/>
  <c r="L262" i="25" s="1"/>
  <c r="L366" i="7"/>
  <c r="L321" i="7"/>
  <c r="L343" i="7"/>
  <c r="X364" i="7"/>
  <c r="X367" i="7"/>
  <c r="X320" i="7"/>
  <c r="X322" i="7"/>
  <c r="U157" i="25"/>
  <c r="J156" i="25"/>
  <c r="W146" i="25"/>
  <c r="W163" i="25"/>
  <c r="W154" i="25"/>
  <c r="W162" i="25"/>
  <c r="X299" i="7"/>
  <c r="X301" i="7"/>
  <c r="L241" i="7"/>
  <c r="L243" i="7"/>
  <c r="L245" i="7"/>
  <c r="L247" i="7"/>
  <c r="L249" i="7"/>
  <c r="L251" i="7"/>
  <c r="L253" i="7"/>
  <c r="L255" i="7"/>
  <c r="L257" i="7"/>
  <c r="L259" i="7"/>
  <c r="L261" i="7"/>
  <c r="L263" i="7"/>
  <c r="L265" i="7"/>
  <c r="L267" i="7"/>
  <c r="L269" i="7"/>
  <c r="O157" i="25"/>
  <c r="W161" i="25"/>
  <c r="K251" i="25"/>
  <c r="B178" i="25"/>
  <c r="B277" i="25" s="1"/>
  <c r="L298" i="7"/>
  <c r="X244" i="7"/>
  <c r="K411" i="7"/>
  <c r="P169" i="25"/>
  <c r="N242" i="25"/>
  <c r="X96" i="25"/>
  <c r="X242" i="25" s="1"/>
  <c r="N149" i="25"/>
  <c r="N153" i="25"/>
  <c r="N157" i="25"/>
  <c r="R250" i="25"/>
  <c r="P168" i="25"/>
  <c r="O170" i="25"/>
  <c r="P175" i="25"/>
  <c r="W187" i="25"/>
  <c r="W286" i="25" s="1"/>
  <c r="L134" i="24"/>
  <c r="L259" i="24" s="1"/>
  <c r="L138" i="24"/>
  <c r="L263" i="24" s="1"/>
  <c r="K163" i="24"/>
  <c r="L136" i="24"/>
  <c r="L261" i="24" s="1"/>
  <c r="L132" i="24"/>
  <c r="L257" i="24" s="1"/>
  <c r="L362" i="6"/>
  <c r="L365" i="6"/>
  <c r="L351" i="6"/>
  <c r="L133" i="24"/>
  <c r="L258" i="24" s="1"/>
  <c r="L137" i="24"/>
  <c r="L262" i="24" s="1"/>
  <c r="B174" i="24"/>
  <c r="G152" i="24"/>
  <c r="K156" i="24"/>
  <c r="G225" i="24"/>
  <c r="L318" i="6"/>
  <c r="L321" i="6"/>
  <c r="G166" i="24"/>
  <c r="F409" i="6"/>
  <c r="E146" i="24"/>
  <c r="I146" i="24"/>
  <c r="D149" i="24"/>
  <c r="H149" i="24"/>
  <c r="F151" i="24"/>
  <c r="D153" i="24"/>
  <c r="H153" i="24"/>
  <c r="E154" i="24"/>
  <c r="I154" i="24"/>
  <c r="E162" i="24"/>
  <c r="B147" i="24"/>
  <c r="B223" i="24"/>
  <c r="B155" i="24"/>
  <c r="J159" i="24"/>
  <c r="B146" i="24"/>
  <c r="B148" i="24"/>
  <c r="B154" i="24"/>
  <c r="B158" i="24"/>
  <c r="F250" i="24"/>
  <c r="B162" i="24"/>
  <c r="B251" i="24"/>
  <c r="F251" i="24"/>
  <c r="J251" i="24"/>
  <c r="H165" i="24"/>
  <c r="C166" i="24"/>
  <c r="K166" i="24"/>
  <c r="L254" i="6"/>
  <c r="F408" i="6"/>
  <c r="J408" i="6"/>
  <c r="B409" i="6"/>
  <c r="J409" i="6"/>
  <c r="L300" i="6"/>
  <c r="G408" i="6"/>
  <c r="E158" i="24"/>
  <c r="I158" i="24"/>
  <c r="K149" i="24"/>
  <c r="K153" i="24"/>
  <c r="K157" i="24"/>
  <c r="I162" i="24"/>
  <c r="K251" i="24"/>
  <c r="B170" i="24"/>
  <c r="U223" i="23"/>
  <c r="I163" i="23"/>
  <c r="F29" i="3"/>
  <c r="D29" i="3"/>
  <c r="E35" i="3"/>
  <c r="R376" i="5"/>
  <c r="E47" i="3" s="1"/>
  <c r="I384" i="5"/>
  <c r="D35" i="3"/>
  <c r="D39" i="3"/>
  <c r="K156" i="23"/>
  <c r="C160" i="23"/>
  <c r="G160" i="23"/>
  <c r="K160" i="23"/>
  <c r="Q248" i="23"/>
  <c r="P152" i="23"/>
  <c r="E155" i="23"/>
  <c r="G158" i="23"/>
  <c r="G250" i="23"/>
  <c r="K180" i="23"/>
  <c r="K279" i="23" s="1"/>
  <c r="C37" i="3"/>
  <c r="I330" i="5"/>
  <c r="C25" i="3" s="1"/>
  <c r="R240" i="5"/>
  <c r="T150" i="23"/>
  <c r="P150" i="23"/>
  <c r="P154" i="23"/>
  <c r="F248" i="23"/>
  <c r="S250" i="23"/>
  <c r="G251" i="23"/>
  <c r="C38" i="3"/>
  <c r="D226" i="23"/>
  <c r="H226" i="23"/>
  <c r="I161" i="23"/>
  <c r="I155" i="23"/>
  <c r="P153" i="23"/>
  <c r="H52" i="3"/>
  <c r="I311" i="5"/>
  <c r="B27" i="3" s="1"/>
  <c r="I312" i="5"/>
  <c r="F420" i="5"/>
  <c r="D421" i="5"/>
  <c r="H421" i="5"/>
  <c r="K164" i="23"/>
  <c r="K176" i="23"/>
  <c r="K275" i="23" s="1"/>
  <c r="P420" i="5"/>
  <c r="N421" i="5"/>
  <c r="G422" i="5"/>
  <c r="B36" i="3"/>
  <c r="E421" i="5"/>
  <c r="O421" i="5"/>
  <c r="G421" i="5"/>
  <c r="D422" i="5"/>
  <c r="E423" i="5"/>
  <c r="B423" i="5"/>
  <c r="C182" i="23"/>
  <c r="C281" i="23" s="1"/>
  <c r="P148" i="23"/>
  <c r="D15" i="3"/>
  <c r="B17" i="3"/>
  <c r="D13" i="3"/>
  <c r="I376" i="4"/>
  <c r="D8" i="3"/>
  <c r="D14" i="3"/>
  <c r="D18" i="3"/>
  <c r="I369" i="4"/>
  <c r="E7" i="3" s="1"/>
  <c r="I322" i="4"/>
  <c r="C4" i="3" s="1"/>
  <c r="I324" i="4"/>
  <c r="C6" i="3" s="1"/>
  <c r="I325" i="4"/>
  <c r="C7" i="3" s="1"/>
  <c r="I344" i="4"/>
  <c r="D5" i="3" s="1"/>
  <c r="I345" i="4"/>
  <c r="D6" i="3" s="1"/>
  <c r="I245" i="4"/>
  <c r="I257" i="4"/>
  <c r="D19" i="3"/>
  <c r="G4" i="3"/>
  <c r="I304" i="4"/>
  <c r="I246" i="4"/>
  <c r="I268" i="4"/>
  <c r="B13" i="3"/>
  <c r="C15" i="3"/>
  <c r="I348" i="4"/>
  <c r="E409" i="4"/>
  <c r="G248" i="22"/>
  <c r="F248" i="22"/>
  <c r="E249" i="22"/>
  <c r="F250" i="22"/>
  <c r="G251" i="22"/>
  <c r="G5" i="3"/>
  <c r="K59" i="8"/>
  <c r="G21" i="32"/>
  <c r="H20" i="27" s="1"/>
  <c r="H114" i="27" s="1"/>
  <c r="U105" i="32"/>
  <c r="B303" i="32"/>
  <c r="G158" i="32"/>
  <c r="G159" i="32"/>
  <c r="N161" i="32"/>
  <c r="T195" i="32"/>
  <c r="P197" i="32"/>
  <c r="B204" i="32"/>
  <c r="B281" i="32"/>
  <c r="M325" i="32"/>
  <c r="K309" i="27"/>
  <c r="O309" i="27"/>
  <c r="J315" i="27"/>
  <c r="D211" i="27"/>
  <c r="D305" i="27" s="1"/>
  <c r="F5" i="27"/>
  <c r="F193" i="27" s="1"/>
  <c r="F287" i="27" s="1"/>
  <c r="F6" i="27"/>
  <c r="F100" i="27" s="1"/>
  <c r="G8" i="32"/>
  <c r="G19" i="32"/>
  <c r="G207" i="32" s="1"/>
  <c r="N148" i="32"/>
  <c r="G149" i="32"/>
  <c r="G150" i="32"/>
  <c r="G197" i="32" s="1"/>
  <c r="G151" i="32"/>
  <c r="F196" i="32"/>
  <c r="P199" i="32"/>
  <c r="B208" i="32"/>
  <c r="F208" i="32"/>
  <c r="P117" i="27"/>
  <c r="P305" i="27"/>
  <c r="K293" i="27"/>
  <c r="O313" i="27"/>
  <c r="N7" i="27"/>
  <c r="N195" i="27" s="1"/>
  <c r="N289" i="27" s="1"/>
  <c r="G53" i="32"/>
  <c r="B277" i="32"/>
  <c r="M194" i="32"/>
  <c r="G106" i="32"/>
  <c r="G161" i="32"/>
  <c r="G176" i="32"/>
  <c r="M196" i="32"/>
  <c r="B200" i="32"/>
  <c r="K299" i="27"/>
  <c r="K301" i="27"/>
  <c r="G308" i="27"/>
  <c r="G311" i="27"/>
  <c r="M133" i="27"/>
  <c r="M402" i="27" s="1"/>
  <c r="K267" i="25"/>
  <c r="L284" i="6"/>
  <c r="D150" i="28"/>
  <c r="F158" i="28"/>
  <c r="D66" i="28"/>
  <c r="D224" i="28" s="1"/>
  <c r="D70" i="28"/>
  <c r="D228" i="28" s="1"/>
  <c r="C212" i="28"/>
  <c r="H114" i="28"/>
  <c r="D152" i="28"/>
  <c r="E66" i="28"/>
  <c r="E224" i="28" s="1"/>
  <c r="C71" i="28"/>
  <c r="C229" i="28" s="1"/>
  <c r="D215" i="28"/>
  <c r="H241" i="28"/>
  <c r="H115" i="28"/>
  <c r="H258" i="28" s="1"/>
  <c r="F232" i="26"/>
  <c r="F451" i="26" s="1"/>
  <c r="D99" i="26"/>
  <c r="B110" i="26"/>
  <c r="F110" i="26"/>
  <c r="D115" i="26"/>
  <c r="F120" i="26"/>
  <c r="D121" i="26"/>
  <c r="B126" i="26"/>
  <c r="F126" i="26"/>
  <c r="D139" i="26"/>
  <c r="D405" i="26" s="1"/>
  <c r="E210" i="26"/>
  <c r="E304" i="26" s="1"/>
  <c r="D217" i="26"/>
  <c r="D311" i="26" s="1"/>
  <c r="D137" i="26"/>
  <c r="D403" i="26" s="1"/>
  <c r="E231" i="26"/>
  <c r="E450" i="26" s="1"/>
  <c r="E237" i="26"/>
  <c r="E456" i="26" s="1"/>
  <c r="E102" i="26"/>
  <c r="E106" i="26"/>
  <c r="C347" i="26"/>
  <c r="E110" i="26"/>
  <c r="B119" i="26"/>
  <c r="B123" i="26"/>
  <c r="F123" i="26"/>
  <c r="E126" i="26"/>
  <c r="G100" i="26"/>
  <c r="E103" i="26"/>
  <c r="C112" i="26"/>
  <c r="G116" i="26"/>
  <c r="C372" i="26"/>
  <c r="C128" i="26"/>
  <c r="C134" i="26"/>
  <c r="C400" i="26" s="1"/>
  <c r="G134" i="26"/>
  <c r="G400" i="26" s="1"/>
  <c r="E135" i="26"/>
  <c r="E401" i="26" s="1"/>
  <c r="E137" i="26"/>
  <c r="E403" i="26" s="1"/>
  <c r="B135" i="26"/>
  <c r="B401" i="26" s="1"/>
  <c r="D199" i="26"/>
  <c r="D293" i="26" s="1"/>
  <c r="D201" i="26"/>
  <c r="D295" i="26" s="1"/>
  <c r="E232" i="26"/>
  <c r="E451" i="26" s="1"/>
  <c r="C233" i="26"/>
  <c r="C452" i="26" s="1"/>
  <c r="F58" i="28"/>
  <c r="F221" i="28" s="1"/>
  <c r="B66" i="28"/>
  <c r="B224" i="28" s="1"/>
  <c r="F68" i="28"/>
  <c r="F226" i="28" s="1"/>
  <c r="B70" i="28"/>
  <c r="B228" i="28" s="1"/>
  <c r="F72" i="28"/>
  <c r="F230" i="28" s="1"/>
  <c r="F213" i="28"/>
  <c r="G68" i="28"/>
  <c r="G226" i="28" s="1"/>
  <c r="E214" i="28"/>
  <c r="D74" i="28"/>
  <c r="D232" i="28" s="1"/>
  <c r="B206" i="28"/>
  <c r="E63" i="28"/>
  <c r="E223" i="28" s="1"/>
  <c r="B68" i="28"/>
  <c r="B226" i="28" s="1"/>
  <c r="D69" i="28"/>
  <c r="D227" i="28" s="1"/>
  <c r="G207" i="28"/>
  <c r="F210" i="28"/>
  <c r="E212" i="28"/>
  <c r="G208" i="28"/>
  <c r="F66" i="28"/>
  <c r="F224" i="28" s="1"/>
  <c r="B71" i="28"/>
  <c r="B229" i="28" s="1"/>
  <c r="J135" i="27"/>
  <c r="J404" i="27" s="1"/>
  <c r="J137" i="27"/>
  <c r="J406" i="27" s="1"/>
  <c r="D139" i="27"/>
  <c r="D408" i="27" s="1"/>
  <c r="K130" i="27"/>
  <c r="K399" i="27" s="1"/>
  <c r="K132" i="27"/>
  <c r="K401" i="27" s="1"/>
  <c r="J139" i="27"/>
  <c r="J408" i="27" s="1"/>
  <c r="J143" i="27"/>
  <c r="J412" i="27" s="1"/>
  <c r="N115" i="27"/>
  <c r="E121" i="27"/>
  <c r="O130" i="27"/>
  <c r="O399" i="27" s="1"/>
  <c r="O132" i="27"/>
  <c r="O401" i="27" s="1"/>
  <c r="K134" i="27"/>
  <c r="K403" i="27" s="1"/>
  <c r="K136" i="27"/>
  <c r="K405" i="27" s="1"/>
  <c r="K138" i="27"/>
  <c r="K407" i="27" s="1"/>
  <c r="F106" i="27"/>
  <c r="F110" i="27"/>
  <c r="D111" i="27"/>
  <c r="F114" i="27"/>
  <c r="B116" i="27"/>
  <c r="F116" i="27"/>
  <c r="N117" i="27"/>
  <c r="L120" i="27"/>
  <c r="E123" i="27"/>
  <c r="L126" i="27"/>
  <c r="J129" i="27"/>
  <c r="J398" i="27" s="1"/>
  <c r="J131" i="27"/>
  <c r="J400" i="27" s="1"/>
  <c r="J133" i="27"/>
  <c r="J402" i="27" s="1"/>
  <c r="O134" i="27"/>
  <c r="O403" i="27" s="1"/>
  <c r="O136" i="27"/>
  <c r="O405" i="27" s="1"/>
  <c r="O138" i="27"/>
  <c r="O407" i="27" s="1"/>
  <c r="K140" i="27"/>
  <c r="K409" i="27" s="1"/>
  <c r="G124" i="26"/>
  <c r="G394" i="26" s="1"/>
  <c r="C100" i="26"/>
  <c r="G104" i="26"/>
  <c r="C108" i="26"/>
  <c r="G108" i="26"/>
  <c r="G112" i="26"/>
  <c r="C116" i="26"/>
  <c r="G128" i="26"/>
  <c r="D129" i="26"/>
  <c r="D395" i="26" s="1"/>
  <c r="B99" i="26"/>
  <c r="F99" i="26"/>
  <c r="B103" i="26"/>
  <c r="F103" i="26"/>
  <c r="B107" i="26"/>
  <c r="F107" i="26"/>
  <c r="B111" i="26"/>
  <c r="F111" i="26"/>
  <c r="B115" i="26"/>
  <c r="F115" i="26"/>
  <c r="C120" i="26"/>
  <c r="G120" i="26"/>
  <c r="B127" i="26"/>
  <c r="F127" i="26"/>
  <c r="G132" i="26"/>
  <c r="G398" i="26" s="1"/>
  <c r="K205" i="25"/>
  <c r="J201" i="25"/>
  <c r="I202" i="25"/>
  <c r="T202" i="25"/>
  <c r="H204" i="25"/>
  <c r="J167" i="25"/>
  <c r="F146" i="25"/>
  <c r="F154" i="25"/>
  <c r="Q155" i="25"/>
  <c r="F162" i="25"/>
  <c r="V164" i="25"/>
  <c r="T170" i="25"/>
  <c r="C148" i="25"/>
  <c r="G148" i="25"/>
  <c r="K148" i="25"/>
  <c r="U148" i="25"/>
  <c r="U149" i="25"/>
  <c r="I169" i="25"/>
  <c r="H201" i="30"/>
  <c r="D139" i="30"/>
  <c r="D237" i="30" s="1"/>
  <c r="J148" i="25"/>
  <c r="D131" i="30"/>
  <c r="D229" i="30" s="1"/>
  <c r="F201" i="25"/>
  <c r="E202" i="25"/>
  <c r="C205" i="25"/>
  <c r="P101" i="30"/>
  <c r="O135" i="30"/>
  <c r="O233" i="30" s="1"/>
  <c r="H158" i="25"/>
  <c r="R203" i="25"/>
  <c r="L52" i="25"/>
  <c r="X53" i="25"/>
  <c r="X55" i="25"/>
  <c r="L56" i="25"/>
  <c r="X57" i="25"/>
  <c r="R223" i="25"/>
  <c r="F153" i="25"/>
  <c r="X59" i="25"/>
  <c r="L60" i="25"/>
  <c r="X61" i="25"/>
  <c r="X63" i="25"/>
  <c r="L64" i="25"/>
  <c r="X65" i="25"/>
  <c r="X67" i="25"/>
  <c r="L68" i="25"/>
  <c r="X69" i="25"/>
  <c r="X71" i="25"/>
  <c r="X73" i="25"/>
  <c r="R227" i="25"/>
  <c r="V227" i="25"/>
  <c r="X79" i="25"/>
  <c r="L80" i="25"/>
  <c r="X81" i="25"/>
  <c r="D146" i="25"/>
  <c r="H146" i="25"/>
  <c r="D149" i="25"/>
  <c r="H149" i="25"/>
  <c r="R149" i="25"/>
  <c r="V149" i="25"/>
  <c r="D150" i="25"/>
  <c r="H150" i="25"/>
  <c r="R153" i="25"/>
  <c r="D154" i="25"/>
  <c r="H154" i="25"/>
  <c r="D157" i="25"/>
  <c r="H157" i="25"/>
  <c r="R157" i="25"/>
  <c r="V157" i="25"/>
  <c r="D158" i="25"/>
  <c r="D161" i="25"/>
  <c r="H161" i="25"/>
  <c r="D162" i="25"/>
  <c r="H162" i="25"/>
  <c r="E165" i="25"/>
  <c r="I165" i="25"/>
  <c r="Q166" i="25"/>
  <c r="T168" i="25"/>
  <c r="Q169" i="25"/>
  <c r="U169" i="25"/>
  <c r="F172" i="25"/>
  <c r="E202" i="24"/>
  <c r="I202" i="24"/>
  <c r="E203" i="24"/>
  <c r="I203" i="24"/>
  <c r="E165" i="24"/>
  <c r="I165" i="24"/>
  <c r="D146" i="24"/>
  <c r="H146" i="24"/>
  <c r="D223" i="24"/>
  <c r="H223" i="24"/>
  <c r="F223" i="24"/>
  <c r="J223" i="24"/>
  <c r="D154" i="24"/>
  <c r="H154" i="24"/>
  <c r="D158" i="24"/>
  <c r="H158" i="24"/>
  <c r="J167" i="24"/>
  <c r="F169" i="24"/>
  <c r="J169" i="24"/>
  <c r="H172" i="24"/>
  <c r="F173" i="24"/>
  <c r="J173" i="24"/>
  <c r="D174" i="24"/>
  <c r="H174" i="24"/>
  <c r="F146" i="24"/>
  <c r="J146" i="24"/>
  <c r="F152" i="24"/>
  <c r="F154" i="24"/>
  <c r="J154" i="24"/>
  <c r="F156" i="24"/>
  <c r="F158" i="24"/>
  <c r="J158" i="24"/>
  <c r="D159" i="24"/>
  <c r="H159" i="24"/>
  <c r="J160" i="24"/>
  <c r="D161" i="24"/>
  <c r="H161" i="24"/>
  <c r="F162" i="24"/>
  <c r="J162" i="24"/>
  <c r="C164" i="24"/>
  <c r="C168" i="24"/>
  <c r="C171" i="24"/>
  <c r="G171" i="24"/>
  <c r="K171" i="24"/>
  <c r="E174" i="24"/>
  <c r="I174" i="24"/>
  <c r="E189" i="24"/>
  <c r="E289" i="24" s="1"/>
  <c r="D116" i="29"/>
  <c r="H116" i="29"/>
  <c r="D117" i="29"/>
  <c r="H117" i="29"/>
  <c r="D121" i="29"/>
  <c r="G128" i="29"/>
  <c r="G214" i="29" s="1"/>
  <c r="F202" i="24"/>
  <c r="C156" i="24"/>
  <c r="G156" i="24"/>
  <c r="K164" i="24"/>
  <c r="E169" i="24"/>
  <c r="E173" i="24"/>
  <c r="I173" i="24"/>
  <c r="I177" i="24"/>
  <c r="I277" i="24" s="1"/>
  <c r="C145" i="24"/>
  <c r="K145" i="24"/>
  <c r="C149" i="24"/>
  <c r="G149" i="24"/>
  <c r="E223" i="24"/>
  <c r="I223" i="24"/>
  <c r="G153" i="24"/>
  <c r="C157" i="24"/>
  <c r="G157" i="24"/>
  <c r="C161" i="24"/>
  <c r="G161" i="24"/>
  <c r="K161" i="24"/>
  <c r="G226" i="24"/>
  <c r="E145" i="24"/>
  <c r="I145" i="24"/>
  <c r="K148" i="24"/>
  <c r="I151" i="24"/>
  <c r="C152" i="24"/>
  <c r="K152" i="24"/>
  <c r="E153" i="24"/>
  <c r="I153" i="24"/>
  <c r="E157" i="24"/>
  <c r="I157" i="24"/>
  <c r="I159" i="24"/>
  <c r="F166" i="24"/>
  <c r="J166" i="24"/>
  <c r="E167" i="24"/>
  <c r="H181" i="24"/>
  <c r="H281" i="24" s="1"/>
  <c r="E204" i="24"/>
  <c r="D112" i="29"/>
  <c r="H112" i="29"/>
  <c r="F188" i="29"/>
  <c r="D191" i="29"/>
  <c r="H191" i="29"/>
  <c r="K204" i="24"/>
  <c r="I169" i="24"/>
  <c r="B151" i="23"/>
  <c r="B155" i="23"/>
  <c r="J155" i="23"/>
  <c r="K175" i="23"/>
  <c r="O230" i="27"/>
  <c r="O452" i="27" s="1"/>
  <c r="O288" i="27"/>
  <c r="G290" i="27"/>
  <c r="O290" i="27"/>
  <c r="O294" i="27"/>
  <c r="G296" i="27"/>
  <c r="O296" i="27"/>
  <c r="G298" i="27"/>
  <c r="O298" i="27"/>
  <c r="G201" i="23"/>
  <c r="T201" i="23"/>
  <c r="X16" i="23"/>
  <c r="X19" i="23"/>
  <c r="E203" i="23"/>
  <c r="I203" i="23"/>
  <c r="R203" i="23"/>
  <c r="C205" i="23"/>
  <c r="G205" i="23"/>
  <c r="K205" i="23"/>
  <c r="U146" i="23"/>
  <c r="J147" i="23"/>
  <c r="R147" i="23"/>
  <c r="K153" i="23"/>
  <c r="C154" i="23"/>
  <c r="K155" i="23"/>
  <c r="B159" i="23"/>
  <c r="J159" i="23"/>
  <c r="K161" i="23"/>
  <c r="B164" i="23"/>
  <c r="J164" i="23"/>
  <c r="B166" i="23"/>
  <c r="J166" i="23"/>
  <c r="B168" i="23"/>
  <c r="J168" i="23"/>
  <c r="B170" i="23"/>
  <c r="J170" i="23"/>
  <c r="B174" i="23"/>
  <c r="J174" i="23"/>
  <c r="E147" i="23"/>
  <c r="I147" i="23"/>
  <c r="T148" i="23"/>
  <c r="C150" i="23"/>
  <c r="S159" i="23"/>
  <c r="I183" i="23"/>
  <c r="I282" i="23" s="1"/>
  <c r="I187" i="23"/>
  <c r="I286" i="23" s="1"/>
  <c r="R179" i="23"/>
  <c r="R278" i="23" s="1"/>
  <c r="R183" i="23"/>
  <c r="R282" i="23" s="1"/>
  <c r="K184" i="23"/>
  <c r="K283" i="23" s="1"/>
  <c r="T186" i="23"/>
  <c r="T285" i="23" s="1"/>
  <c r="C234" i="23"/>
  <c r="O228" i="27"/>
  <c r="O450" i="27" s="1"/>
  <c r="O234" i="27"/>
  <c r="O456" i="27" s="1"/>
  <c r="J190" i="23"/>
  <c r="J289" i="23" s="1"/>
  <c r="T152" i="23"/>
  <c r="R153" i="23"/>
  <c r="R187" i="23"/>
  <c r="R286" i="23" s="1"/>
  <c r="O300" i="27"/>
  <c r="O303" i="27"/>
  <c r="O304" i="27"/>
  <c r="G306" i="27"/>
  <c r="O306" i="27"/>
  <c r="O307" i="27"/>
  <c r="O308" i="27"/>
  <c r="G310" i="27"/>
  <c r="O311" i="27"/>
  <c r="G314" i="27"/>
  <c r="X7" i="23"/>
  <c r="D201" i="23"/>
  <c r="H201" i="23"/>
  <c r="X10" i="23"/>
  <c r="X11" i="23"/>
  <c r="E202" i="23"/>
  <c r="I202" i="23"/>
  <c r="R202" i="23"/>
  <c r="F203" i="23"/>
  <c r="J203" i="23"/>
  <c r="H205" i="23"/>
  <c r="J146" i="23"/>
  <c r="G148" i="23"/>
  <c r="K148" i="23"/>
  <c r="B149" i="23"/>
  <c r="J149" i="23"/>
  <c r="D224" i="23"/>
  <c r="H224" i="23"/>
  <c r="U224" i="23"/>
  <c r="B158" i="23"/>
  <c r="J158" i="23"/>
  <c r="K159" i="23"/>
  <c r="D225" i="23"/>
  <c r="H225" i="23"/>
  <c r="B163" i="23"/>
  <c r="J163" i="23"/>
  <c r="E165" i="23"/>
  <c r="G226" i="23"/>
  <c r="E167" i="23"/>
  <c r="C168" i="23"/>
  <c r="E169" i="23"/>
  <c r="C172" i="23"/>
  <c r="E173" i="23"/>
  <c r="E175" i="23"/>
  <c r="J187" i="23"/>
  <c r="J286" i="23" s="1"/>
  <c r="C146" i="23"/>
  <c r="G146" i="23"/>
  <c r="P146" i="23"/>
  <c r="S147" i="23"/>
  <c r="D148" i="23"/>
  <c r="H148" i="23"/>
  <c r="F149" i="23"/>
  <c r="S149" i="23"/>
  <c r="D150" i="23"/>
  <c r="H150" i="23"/>
  <c r="Q150" i="23"/>
  <c r="U150" i="23"/>
  <c r="E152" i="23"/>
  <c r="I152" i="23"/>
  <c r="C153" i="23"/>
  <c r="G153" i="23"/>
  <c r="T153" i="23"/>
  <c r="E154" i="23"/>
  <c r="I154" i="23"/>
  <c r="R154" i="23"/>
  <c r="C155" i="23"/>
  <c r="G155" i="23"/>
  <c r="E156" i="23"/>
  <c r="I156" i="23"/>
  <c r="T157" i="23"/>
  <c r="T158" i="23"/>
  <c r="E159" i="23"/>
  <c r="I159" i="23"/>
  <c r="F160" i="23"/>
  <c r="E164" i="23"/>
  <c r="I164" i="23"/>
  <c r="F165" i="23"/>
  <c r="D167" i="23"/>
  <c r="H167" i="23"/>
  <c r="E168" i="23"/>
  <c r="I168" i="23"/>
  <c r="D171" i="23"/>
  <c r="E172" i="23"/>
  <c r="I172" i="23"/>
  <c r="H175" i="23"/>
  <c r="E176" i="23"/>
  <c r="E275" i="23" s="1"/>
  <c r="C180" i="23"/>
  <c r="C279" i="23" s="1"/>
  <c r="E182" i="23"/>
  <c r="E281" i="23" s="1"/>
  <c r="I182" i="23"/>
  <c r="I281" i="23" s="1"/>
  <c r="C184" i="23"/>
  <c r="C283" i="23" s="1"/>
  <c r="D185" i="23"/>
  <c r="D284" i="23" s="1"/>
  <c r="E186" i="23"/>
  <c r="E285" i="23" s="1"/>
  <c r="I186" i="23"/>
  <c r="I285" i="23" s="1"/>
  <c r="K178" i="23"/>
  <c r="K277" i="23" s="1"/>
  <c r="T178" i="23"/>
  <c r="T277" i="23" s="1"/>
  <c r="R181" i="23"/>
  <c r="R280" i="23" s="1"/>
  <c r="R185" i="23"/>
  <c r="R284" i="23" s="1"/>
  <c r="T214" i="23"/>
  <c r="T220" i="23"/>
  <c r="J239" i="23"/>
  <c r="J242" i="23"/>
  <c r="G416" i="27"/>
  <c r="G237" i="27"/>
  <c r="G459" i="27" s="1"/>
  <c r="O315" i="27"/>
  <c r="O316" i="27"/>
  <c r="E201" i="23"/>
  <c r="I201" i="23"/>
  <c r="R201" i="23"/>
  <c r="X14" i="23"/>
  <c r="S202" i="23"/>
  <c r="X17" i="23"/>
  <c r="X21" i="23"/>
  <c r="X22" i="23"/>
  <c r="X163" i="23" s="1"/>
  <c r="D204" i="23"/>
  <c r="H204" i="23"/>
  <c r="K149" i="23"/>
  <c r="R149" i="23"/>
  <c r="B150" i="23"/>
  <c r="J150" i="23"/>
  <c r="X58" i="23"/>
  <c r="B162" i="23"/>
  <c r="J162" i="23"/>
  <c r="K163" i="23"/>
  <c r="B175" i="23"/>
  <c r="J175" i="23"/>
  <c r="F159" i="23"/>
  <c r="C162" i="23"/>
  <c r="G162" i="23"/>
  <c r="R162" i="23"/>
  <c r="E163" i="23"/>
  <c r="F164" i="23"/>
  <c r="C165" i="23"/>
  <c r="G165" i="23"/>
  <c r="F168" i="23"/>
  <c r="C169" i="23"/>
  <c r="G169" i="23"/>
  <c r="F172" i="23"/>
  <c r="C173" i="23"/>
  <c r="G173" i="23"/>
  <c r="C177" i="23"/>
  <c r="C276" i="23" s="1"/>
  <c r="D179" i="23"/>
  <c r="D278" i="23" s="1"/>
  <c r="I185" i="23"/>
  <c r="I284" i="23" s="1"/>
  <c r="R177" i="23"/>
  <c r="R276" i="23" s="1"/>
  <c r="K182" i="23"/>
  <c r="K281" i="23" s="1"/>
  <c r="R205" i="23"/>
  <c r="B165" i="22"/>
  <c r="E226" i="26"/>
  <c r="E445" i="26" s="1"/>
  <c r="F202" i="22"/>
  <c r="J202" i="22"/>
  <c r="D204" i="22"/>
  <c r="H204" i="22"/>
  <c r="F205" i="22"/>
  <c r="B143" i="22"/>
  <c r="J143" i="22"/>
  <c r="J145" i="22"/>
  <c r="B147" i="22"/>
  <c r="J147" i="22"/>
  <c r="B151" i="22"/>
  <c r="J151" i="22"/>
  <c r="K172" i="22"/>
  <c r="K279" i="22" s="1"/>
  <c r="K176" i="22"/>
  <c r="K283" i="22" s="1"/>
  <c r="K182" i="22"/>
  <c r="K289" i="22" s="1"/>
  <c r="B195" i="26"/>
  <c r="B289" i="26" s="1"/>
  <c r="F195" i="26"/>
  <c r="F289" i="26" s="1"/>
  <c r="F199" i="26"/>
  <c r="F293" i="26" s="1"/>
  <c r="B203" i="26"/>
  <c r="B297" i="26" s="1"/>
  <c r="B207" i="26"/>
  <c r="B301" i="26" s="1"/>
  <c r="F207" i="26"/>
  <c r="F301" i="26" s="1"/>
  <c r="B211" i="26"/>
  <c r="B305" i="26" s="1"/>
  <c r="F211" i="26"/>
  <c r="F305" i="26" s="1"/>
  <c r="C212" i="26"/>
  <c r="C306" i="26" s="1"/>
  <c r="G212" i="26"/>
  <c r="G306" i="26" s="1"/>
  <c r="K142" i="22"/>
  <c r="E201" i="22"/>
  <c r="I201" i="22"/>
  <c r="K146" i="22"/>
  <c r="G202" i="22"/>
  <c r="K150" i="22"/>
  <c r="K141" i="22"/>
  <c r="K143" i="22"/>
  <c r="K145" i="22"/>
  <c r="K147" i="22"/>
  <c r="K149" i="22"/>
  <c r="K151" i="22"/>
  <c r="K153" i="22"/>
  <c r="B155" i="22"/>
  <c r="J155" i="22"/>
  <c r="B175" i="22"/>
  <c r="B282" i="22" s="1"/>
  <c r="J175" i="22"/>
  <c r="J282" i="22" s="1"/>
  <c r="B179" i="22"/>
  <c r="B286" i="22" s="1"/>
  <c r="J179" i="22"/>
  <c r="J286" i="22" s="1"/>
  <c r="F215" i="26"/>
  <c r="F309" i="26" s="1"/>
  <c r="E222" i="26"/>
  <c r="E316" i="26" s="1"/>
  <c r="C419" i="26"/>
  <c r="D7" i="8"/>
  <c r="H203" i="22"/>
  <c r="B156" i="22"/>
  <c r="J156" i="22"/>
  <c r="B158" i="22"/>
  <c r="J158" i="22"/>
  <c r="B164" i="22"/>
  <c r="J164" i="22"/>
  <c r="B170" i="22"/>
  <c r="B277" i="22" s="1"/>
  <c r="B230" i="22"/>
  <c r="J170" i="22"/>
  <c r="J277" i="22" s="1"/>
  <c r="J230" i="22"/>
  <c r="K234" i="22"/>
  <c r="K174" i="22"/>
  <c r="K281" i="22" s="1"/>
  <c r="L33" i="22"/>
  <c r="L206" i="22" s="1"/>
  <c r="L40" i="22"/>
  <c r="L213" i="22" s="1"/>
  <c r="L44" i="22"/>
  <c r="L217" i="22" s="1"/>
  <c r="E10" i="8"/>
  <c r="C11" i="8"/>
  <c r="E12" i="8"/>
  <c r="D9" i="8"/>
  <c r="E9" i="8"/>
  <c r="D202" i="22"/>
  <c r="B160" i="22"/>
  <c r="J160" i="22"/>
  <c r="B162" i="22"/>
  <c r="J162" i="22"/>
  <c r="B166" i="22"/>
  <c r="J166" i="22"/>
  <c r="L6" i="22"/>
  <c r="L10" i="22"/>
  <c r="L14" i="22"/>
  <c r="L18" i="22"/>
  <c r="L22" i="22"/>
  <c r="L26" i="22"/>
  <c r="L92" i="22"/>
  <c r="L242" i="22" s="1"/>
  <c r="F25" i="8"/>
  <c r="K156" i="22"/>
  <c r="K160" i="22"/>
  <c r="K164" i="22"/>
  <c r="K168" i="22"/>
  <c r="K275" i="22" s="1"/>
  <c r="F143" i="22"/>
  <c r="D144" i="22"/>
  <c r="H144" i="22"/>
  <c r="D148" i="22"/>
  <c r="H148" i="22"/>
  <c r="D152" i="22"/>
  <c r="H152" i="22"/>
  <c r="F162" i="22"/>
  <c r="F166" i="22"/>
  <c r="K170" i="22"/>
  <c r="K277" i="22" s="1"/>
  <c r="C421" i="26"/>
  <c r="C224" i="26"/>
  <c r="C443" i="26" s="1"/>
  <c r="B141" i="22"/>
  <c r="J141" i="22"/>
  <c r="B145" i="22"/>
  <c r="H202" i="22"/>
  <c r="J173" i="22"/>
  <c r="J280" i="22" s="1"/>
  <c r="E300" i="26"/>
  <c r="E140" i="22"/>
  <c r="I140" i="22"/>
  <c r="G201" i="22"/>
  <c r="I144" i="22"/>
  <c r="B149" i="22"/>
  <c r="J149" i="22"/>
  <c r="B153" i="22"/>
  <c r="B205" i="22"/>
  <c r="J205" i="22"/>
  <c r="B140" i="22"/>
  <c r="J140" i="22"/>
  <c r="B142" i="22"/>
  <c r="J142" i="22"/>
  <c r="B144" i="22"/>
  <c r="F223" i="22"/>
  <c r="J144" i="22"/>
  <c r="B146" i="22"/>
  <c r="J146" i="22"/>
  <c r="B148" i="22"/>
  <c r="J148" i="22"/>
  <c r="B150" i="22"/>
  <c r="J150" i="22"/>
  <c r="B152" i="22"/>
  <c r="J152" i="22"/>
  <c r="D225" i="22"/>
  <c r="H225" i="22"/>
  <c r="B154" i="22"/>
  <c r="J154" i="22"/>
  <c r="K155" i="22"/>
  <c r="D226" i="22"/>
  <c r="H226" i="22"/>
  <c r="B159" i="22"/>
  <c r="J159" i="22"/>
  <c r="B163" i="22"/>
  <c r="J163" i="22"/>
  <c r="B167" i="22"/>
  <c r="J167" i="22"/>
  <c r="B171" i="22"/>
  <c r="B278" i="22" s="1"/>
  <c r="J171" i="22"/>
  <c r="J278" i="22" s="1"/>
  <c r="K175" i="22"/>
  <c r="K282" i="22" s="1"/>
  <c r="K179" i="22"/>
  <c r="K286" i="22" s="1"/>
  <c r="D140" i="22"/>
  <c r="H140" i="22"/>
  <c r="E141" i="22"/>
  <c r="I141" i="22"/>
  <c r="E144" i="22"/>
  <c r="G146" i="22"/>
  <c r="F149" i="22"/>
  <c r="C150" i="22"/>
  <c r="H151" i="22"/>
  <c r="E152" i="22"/>
  <c r="G154" i="22"/>
  <c r="H155" i="22"/>
  <c r="F157" i="22"/>
  <c r="D159" i="22"/>
  <c r="H159" i="22"/>
  <c r="E160" i="22"/>
  <c r="I160" i="22"/>
  <c r="G162" i="22"/>
  <c r="F165" i="22"/>
  <c r="C166" i="22"/>
  <c r="D167" i="22"/>
  <c r="H167" i="22"/>
  <c r="G170" i="22"/>
  <c r="G277" i="22" s="1"/>
  <c r="D201" i="22"/>
  <c r="I202" i="22"/>
  <c r="G203" i="22"/>
  <c r="E204" i="22"/>
  <c r="I204" i="22"/>
  <c r="K140" i="22"/>
  <c r="K144" i="22"/>
  <c r="G224" i="22"/>
  <c r="K148" i="22"/>
  <c r="K152" i="22"/>
  <c r="K157" i="22"/>
  <c r="K159" i="22"/>
  <c r="K161" i="22"/>
  <c r="C227" i="22"/>
  <c r="K163" i="22"/>
  <c r="K165" i="22"/>
  <c r="K167" i="22"/>
  <c r="K171" i="22"/>
  <c r="K278" i="22" s="1"/>
  <c r="B174" i="22"/>
  <c r="B281" i="22" s="1"/>
  <c r="J174" i="22"/>
  <c r="J281" i="22" s="1"/>
  <c r="B178" i="22"/>
  <c r="B285" i="22" s="1"/>
  <c r="J178" i="22"/>
  <c r="J285" i="22" s="1"/>
  <c r="F141" i="22"/>
  <c r="D146" i="22"/>
  <c r="H146" i="22"/>
  <c r="D150" i="22"/>
  <c r="H150" i="22"/>
  <c r="D154" i="22"/>
  <c r="H154" i="22"/>
  <c r="E155" i="22"/>
  <c r="I155" i="22"/>
  <c r="F156" i="22"/>
  <c r="F160" i="22"/>
  <c r="B169" i="22"/>
  <c r="B276" i="22" s="1"/>
  <c r="K227" i="22"/>
  <c r="B234" i="22"/>
  <c r="J238" i="22"/>
  <c r="C216" i="26"/>
  <c r="C310" i="26" s="1"/>
  <c r="G216" i="26"/>
  <c r="G310" i="26" s="1"/>
  <c r="B219" i="26"/>
  <c r="B313" i="26" s="1"/>
  <c r="B223" i="26"/>
  <c r="B442" i="26" s="1"/>
  <c r="I16" i="30"/>
  <c r="I25" i="30"/>
  <c r="I27" i="30"/>
  <c r="R33" i="30"/>
  <c r="R37" i="30"/>
  <c r="R182" i="30" s="1"/>
  <c r="R45" i="30"/>
  <c r="R190" i="30" s="1"/>
  <c r="D356" i="20"/>
  <c r="E100" i="30"/>
  <c r="E102" i="30"/>
  <c r="C103" i="30"/>
  <c r="E106" i="30"/>
  <c r="O125" i="30"/>
  <c r="O204" i="30"/>
  <c r="O131" i="30"/>
  <c r="O229" i="30" s="1"/>
  <c r="O206" i="30"/>
  <c r="O133" i="30"/>
  <c r="O231" i="30" s="1"/>
  <c r="O212" i="30"/>
  <c r="O139" i="30"/>
  <c r="O237" i="30" s="1"/>
  <c r="O137" i="30"/>
  <c r="O235" i="30" s="1"/>
  <c r="I265" i="20"/>
  <c r="I6" i="30"/>
  <c r="I14" i="30"/>
  <c r="I20" i="30"/>
  <c r="I22" i="30"/>
  <c r="N357" i="20"/>
  <c r="R18" i="30"/>
  <c r="I44" i="30"/>
  <c r="I189" i="30" s="1"/>
  <c r="I275" i="20"/>
  <c r="I284" i="20"/>
  <c r="I287" i="20"/>
  <c r="I309" i="20"/>
  <c r="C355" i="20"/>
  <c r="G355" i="20"/>
  <c r="M355" i="20"/>
  <c r="Q355" i="20"/>
  <c r="E357" i="20"/>
  <c r="E358" i="20"/>
  <c r="M359" i="20"/>
  <c r="Q359" i="20"/>
  <c r="D175" i="30"/>
  <c r="P100" i="30"/>
  <c r="D101" i="30"/>
  <c r="D103" i="30"/>
  <c r="N103" i="30"/>
  <c r="P106" i="30"/>
  <c r="N107" i="30"/>
  <c r="M117" i="30"/>
  <c r="O129" i="30"/>
  <c r="O227" i="30" s="1"/>
  <c r="R35" i="30"/>
  <c r="R180" i="30" s="1"/>
  <c r="R266" i="20"/>
  <c r="R39" i="30"/>
  <c r="R184" i="30" s="1"/>
  <c r="R41" i="30"/>
  <c r="R186" i="30" s="1"/>
  <c r="R43" i="30"/>
  <c r="R188" i="30" s="1"/>
  <c r="R274" i="20"/>
  <c r="P357" i="20"/>
  <c r="R268" i="20"/>
  <c r="R280" i="20"/>
  <c r="I331" i="20"/>
  <c r="O143" i="30"/>
  <c r="O241" i="30" s="1"/>
  <c r="M175" i="30"/>
  <c r="D113" i="30"/>
  <c r="I8" i="30"/>
  <c r="I15" i="30"/>
  <c r="I17" i="30"/>
  <c r="I19" i="30"/>
  <c r="I21" i="30"/>
  <c r="I24" i="30"/>
  <c r="R34" i="30"/>
  <c r="R283" i="20"/>
  <c r="R284" i="20"/>
  <c r="R287" i="20"/>
  <c r="R309" i="20"/>
  <c r="R310" i="20"/>
  <c r="R311" i="20"/>
  <c r="R312" i="20"/>
  <c r="D355" i="20"/>
  <c r="H355" i="20"/>
  <c r="N355" i="20"/>
  <c r="L356" i="20"/>
  <c r="P356" i="20"/>
  <c r="F358" i="20"/>
  <c r="P358" i="20"/>
  <c r="D359" i="20"/>
  <c r="H359" i="20"/>
  <c r="N359" i="20"/>
  <c r="N175" i="30"/>
  <c r="P108" i="30"/>
  <c r="N177" i="30"/>
  <c r="N178" i="30"/>
  <c r="L99" i="30"/>
  <c r="P99" i="30"/>
  <c r="N100" i="30"/>
  <c r="N102" i="30"/>
  <c r="P103" i="30"/>
  <c r="D105" i="30"/>
  <c r="D106" i="30"/>
  <c r="N106" i="30"/>
  <c r="P107" i="30"/>
  <c r="N108" i="30"/>
  <c r="D110" i="30"/>
  <c r="D112" i="30"/>
  <c r="D199" i="30"/>
  <c r="N125" i="30"/>
  <c r="N127" i="30"/>
  <c r="E175" i="30"/>
  <c r="Q175" i="30"/>
  <c r="E179" i="30"/>
  <c r="E101" i="30"/>
  <c r="E103" i="30"/>
  <c r="N197" i="30"/>
  <c r="N105" i="30"/>
  <c r="E107" i="30"/>
  <c r="C108" i="30"/>
  <c r="G108" i="30"/>
  <c r="M108" i="30"/>
  <c r="Q108" i="30"/>
  <c r="C110" i="30"/>
  <c r="G110" i="30"/>
  <c r="M110" i="30"/>
  <c r="Q110" i="30"/>
  <c r="C112" i="30"/>
  <c r="C114" i="30"/>
  <c r="M199" i="30"/>
  <c r="Q114" i="30"/>
  <c r="C116" i="30"/>
  <c r="G116" i="30"/>
  <c r="Q116" i="30"/>
  <c r="C119" i="30"/>
  <c r="Q119" i="30"/>
  <c r="C121" i="30"/>
  <c r="G121" i="30"/>
  <c r="Q121" i="30"/>
  <c r="C123" i="30"/>
  <c r="G123" i="30"/>
  <c r="Q123" i="30"/>
  <c r="C125" i="30"/>
  <c r="G125" i="30"/>
  <c r="O126" i="30"/>
  <c r="C127" i="30"/>
  <c r="G127" i="30"/>
  <c r="O128" i="30"/>
  <c r="C352" i="19"/>
  <c r="F98" i="29"/>
  <c r="C122" i="29"/>
  <c r="G122" i="29"/>
  <c r="E124" i="29"/>
  <c r="B125" i="29"/>
  <c r="F125" i="29"/>
  <c r="C126" i="29"/>
  <c r="G126" i="29"/>
  <c r="G194" i="29"/>
  <c r="G130" i="29"/>
  <c r="G216" i="29" s="1"/>
  <c r="G202" i="29"/>
  <c r="G138" i="29"/>
  <c r="G224" i="29" s="1"/>
  <c r="B165" i="29"/>
  <c r="I282" i="19"/>
  <c r="G165" i="29"/>
  <c r="D119" i="29"/>
  <c r="H119" i="29"/>
  <c r="D99" i="29"/>
  <c r="E100" i="29"/>
  <c r="H105" i="29"/>
  <c r="D189" i="29"/>
  <c r="B124" i="29"/>
  <c r="F124" i="29"/>
  <c r="G125" i="29"/>
  <c r="C129" i="29"/>
  <c r="C215" i="29" s="1"/>
  <c r="C133" i="29"/>
  <c r="C219" i="29" s="1"/>
  <c r="C137" i="29"/>
  <c r="C223" i="29" s="1"/>
  <c r="C201" i="29"/>
  <c r="C197" i="29"/>
  <c r="I12" i="29"/>
  <c r="I16" i="29"/>
  <c r="I20" i="29"/>
  <c r="I332" i="19"/>
  <c r="B350" i="19"/>
  <c r="F350" i="19"/>
  <c r="C351" i="19"/>
  <c r="G351" i="19"/>
  <c r="D352" i="19"/>
  <c r="H352" i="19"/>
  <c r="E353" i="19"/>
  <c r="C354" i="19"/>
  <c r="G354" i="19"/>
  <c r="J262" i="19"/>
  <c r="F169" i="29"/>
  <c r="G101" i="29"/>
  <c r="D102" i="29"/>
  <c r="C165" i="29"/>
  <c r="E166" i="29"/>
  <c r="F167" i="29"/>
  <c r="H99" i="29"/>
  <c r="D105" i="29"/>
  <c r="C125" i="29"/>
  <c r="E127" i="29"/>
  <c r="I4" i="29"/>
  <c r="I199" i="19"/>
  <c r="I203" i="19"/>
  <c r="I193" i="19"/>
  <c r="I304" i="19"/>
  <c r="H104" i="29"/>
  <c r="I333" i="19"/>
  <c r="G350" i="19"/>
  <c r="F189" i="29"/>
  <c r="H110" i="29"/>
  <c r="C167" i="29"/>
  <c r="H114" i="29"/>
  <c r="H118" i="29"/>
  <c r="H98" i="29"/>
  <c r="F100" i="29"/>
  <c r="C101" i="29"/>
  <c r="C104" i="29"/>
  <c r="G104" i="29"/>
  <c r="F106" i="29"/>
  <c r="C107" i="29"/>
  <c r="G107" i="29"/>
  <c r="D188" i="29"/>
  <c r="E109" i="29"/>
  <c r="B110" i="29"/>
  <c r="F110" i="29"/>
  <c r="C111" i="29"/>
  <c r="G111" i="29"/>
  <c r="B114" i="29"/>
  <c r="F114" i="29"/>
  <c r="C115" i="29"/>
  <c r="B119" i="29"/>
  <c r="F119" i="29"/>
  <c r="C120" i="29"/>
  <c r="G120" i="29"/>
  <c r="E122" i="29"/>
  <c r="F191" i="29"/>
  <c r="C124" i="29"/>
  <c r="G124" i="29"/>
  <c r="E126" i="29"/>
  <c r="B127" i="29"/>
  <c r="F127" i="29"/>
  <c r="F354" i="19"/>
  <c r="J261" i="19"/>
  <c r="E165" i="29"/>
  <c r="C166" i="29"/>
  <c r="G166" i="29"/>
  <c r="D109" i="29"/>
  <c r="H109" i="29"/>
  <c r="E168" i="29"/>
  <c r="C169" i="29"/>
  <c r="G169" i="29"/>
  <c r="E98" i="29"/>
  <c r="B99" i="29"/>
  <c r="F99" i="29"/>
  <c r="C100" i="29"/>
  <c r="D101" i="29"/>
  <c r="H101" i="29"/>
  <c r="E102" i="29"/>
  <c r="G187" i="29"/>
  <c r="B105" i="29"/>
  <c r="F105" i="29"/>
  <c r="C106" i="29"/>
  <c r="G106" i="29"/>
  <c r="H107" i="29"/>
  <c r="B109" i="29"/>
  <c r="F109" i="29"/>
  <c r="C110" i="29"/>
  <c r="G110" i="29"/>
  <c r="E112" i="29"/>
  <c r="B113" i="29"/>
  <c r="F113" i="29"/>
  <c r="C114" i="29"/>
  <c r="G114" i="29"/>
  <c r="E116" i="29"/>
  <c r="I116" i="29"/>
  <c r="E117" i="29"/>
  <c r="B118" i="29"/>
  <c r="F118" i="29"/>
  <c r="C119" i="29"/>
  <c r="G119" i="29"/>
  <c r="E121" i="29"/>
  <c r="B122" i="29"/>
  <c r="F122" i="29"/>
  <c r="C123" i="29"/>
  <c r="E125" i="29"/>
  <c r="B126" i="29"/>
  <c r="F126" i="29"/>
  <c r="C127" i="29"/>
  <c r="G127" i="29"/>
  <c r="C131" i="29"/>
  <c r="C217" i="29" s="1"/>
  <c r="C135" i="29"/>
  <c r="C221" i="29" s="1"/>
  <c r="C139" i="29"/>
  <c r="C225" i="29" s="1"/>
  <c r="F190" i="29"/>
  <c r="H8" i="27"/>
  <c r="H102" i="27" s="1"/>
  <c r="P9" i="27"/>
  <c r="P197" i="27" s="1"/>
  <c r="P291" i="27" s="1"/>
  <c r="U277" i="32"/>
  <c r="D76" i="13" s="1"/>
  <c r="G279" i="32"/>
  <c r="D30" i="13" s="1"/>
  <c r="N227" i="32"/>
  <c r="U233" i="32"/>
  <c r="U363" i="32" s="1"/>
  <c r="F90" i="13" s="1"/>
  <c r="J90" i="13" s="1"/>
  <c r="U235" i="32"/>
  <c r="T349" i="32"/>
  <c r="C350" i="32"/>
  <c r="S350" i="32"/>
  <c r="F351" i="32"/>
  <c r="L351" i="32"/>
  <c r="R351" i="32"/>
  <c r="L352" i="32"/>
  <c r="Q352" i="32"/>
  <c r="H27" i="27"/>
  <c r="H121" i="27" s="1"/>
  <c r="H29" i="27"/>
  <c r="H123" i="27" s="1"/>
  <c r="T350" i="32"/>
  <c r="Q351" i="32"/>
  <c r="R352" i="32"/>
  <c r="Q353" i="32"/>
  <c r="K232" i="27"/>
  <c r="K454" i="27" s="1"/>
  <c r="H38" i="26"/>
  <c r="H354" i="26" s="1"/>
  <c r="C355" i="14"/>
  <c r="D356" i="14"/>
  <c r="F353" i="26"/>
  <c r="F131" i="26"/>
  <c r="F397" i="26" s="1"/>
  <c r="E217" i="26"/>
  <c r="E311" i="26" s="1"/>
  <c r="G233" i="26"/>
  <c r="G452" i="26" s="1"/>
  <c r="G430" i="26"/>
  <c r="F352" i="14"/>
  <c r="C353" i="14"/>
  <c r="C354" i="14"/>
  <c r="F356" i="14"/>
  <c r="H340" i="14"/>
  <c r="D350" i="26"/>
  <c r="E352" i="26"/>
  <c r="E130" i="26"/>
  <c r="E396" i="26" s="1"/>
  <c r="E230" i="26"/>
  <c r="E449" i="26" s="1"/>
  <c r="F139" i="26"/>
  <c r="F405" i="26" s="1"/>
  <c r="D216" i="26"/>
  <c r="D310" i="26" s="1"/>
  <c r="F219" i="26"/>
  <c r="F313" i="26" s="1"/>
  <c r="H174" i="26"/>
  <c r="D233" i="26"/>
  <c r="D452" i="26" s="1"/>
  <c r="E358" i="26"/>
  <c r="H214" i="14"/>
  <c r="H216" i="14"/>
  <c r="H220" i="14"/>
  <c r="H232" i="14"/>
  <c r="F223" i="26"/>
  <c r="F442" i="26" s="1"/>
  <c r="F351" i="26"/>
  <c r="F357" i="26"/>
  <c r="F135" i="26"/>
  <c r="F401" i="26" s="1"/>
  <c r="B237" i="26"/>
  <c r="B456" i="26" s="1"/>
  <c r="B365" i="26"/>
  <c r="F416" i="26"/>
  <c r="H7" i="26"/>
  <c r="H11" i="26"/>
  <c r="H15" i="26"/>
  <c r="H19" i="26"/>
  <c r="H24" i="26"/>
  <c r="H118" i="26" s="1"/>
  <c r="H32" i="26"/>
  <c r="H126" i="26" s="1"/>
  <c r="H36" i="26"/>
  <c r="H352" i="26" s="1"/>
  <c r="H40" i="26"/>
  <c r="H356" i="26" s="1"/>
  <c r="H44" i="26"/>
  <c r="H360" i="26" s="1"/>
  <c r="H286" i="14"/>
  <c r="D10" i="13" s="1"/>
  <c r="H213" i="14"/>
  <c r="H194" i="14"/>
  <c r="H202" i="14"/>
  <c r="H206" i="14"/>
  <c r="H210" i="14"/>
  <c r="H222" i="14"/>
  <c r="C352" i="14"/>
  <c r="D353" i="14"/>
  <c r="E353" i="14"/>
  <c r="B354" i="14"/>
  <c r="F354" i="14"/>
  <c r="E288" i="26"/>
  <c r="D193" i="26"/>
  <c r="D287" i="26" s="1"/>
  <c r="D197" i="26"/>
  <c r="D291" i="26" s="1"/>
  <c r="D205" i="26"/>
  <c r="D299" i="26" s="1"/>
  <c r="D209" i="26"/>
  <c r="D303" i="26" s="1"/>
  <c r="C349" i="26"/>
  <c r="B101" i="26"/>
  <c r="F101" i="26"/>
  <c r="D102" i="26"/>
  <c r="B199" i="26"/>
  <c r="B293" i="26" s="1"/>
  <c r="F237" i="26"/>
  <c r="F456" i="26" s="1"/>
  <c r="B117" i="26"/>
  <c r="F117" i="26"/>
  <c r="D118" i="26"/>
  <c r="B129" i="26"/>
  <c r="B395" i="26" s="1"/>
  <c r="F129" i="26"/>
  <c r="F395" i="26" s="1"/>
  <c r="D130" i="26"/>
  <c r="D396" i="26" s="1"/>
  <c r="H150" i="26"/>
  <c r="H158" i="26"/>
  <c r="F205" i="26"/>
  <c r="F299" i="26" s="1"/>
  <c r="E419" i="26"/>
  <c r="G225" i="26"/>
  <c r="G444" i="26" s="1"/>
  <c r="G228" i="26"/>
  <c r="G447" i="26" s="1"/>
  <c r="D352" i="14"/>
  <c r="B356" i="14"/>
  <c r="E296" i="26"/>
  <c r="C196" i="26"/>
  <c r="C290" i="26" s="1"/>
  <c r="E346" i="26"/>
  <c r="C200" i="26"/>
  <c r="C294" i="26" s="1"/>
  <c r="G200" i="26"/>
  <c r="G294" i="26" s="1"/>
  <c r="C204" i="26"/>
  <c r="C298" i="26" s="1"/>
  <c r="G204" i="26"/>
  <c r="G298" i="26" s="1"/>
  <c r="G208" i="26"/>
  <c r="G302" i="26" s="1"/>
  <c r="C220" i="26"/>
  <c r="C314" i="26" s="1"/>
  <c r="G220" i="26"/>
  <c r="G314" i="26" s="1"/>
  <c r="C228" i="26"/>
  <c r="C447" i="26" s="1"/>
  <c r="E100" i="26"/>
  <c r="E116" i="26"/>
  <c r="C121" i="26"/>
  <c r="G121" i="26"/>
  <c r="E128" i="26"/>
  <c r="C136" i="26"/>
  <c r="C402" i="26" s="1"/>
  <c r="E204" i="26"/>
  <c r="E298" i="26" s="1"/>
  <c r="E418" i="26"/>
  <c r="F222" i="26"/>
  <c r="F316" i="26" s="1"/>
  <c r="D223" i="26"/>
  <c r="D442" i="26" s="1"/>
  <c r="B224" i="26"/>
  <c r="B443" i="26" s="1"/>
  <c r="F224" i="26"/>
  <c r="F443" i="26" s="1"/>
  <c r="H186" i="26"/>
  <c r="B231" i="26"/>
  <c r="B450" i="26" s="1"/>
  <c r="E428" i="26"/>
  <c r="G224" i="32"/>
  <c r="G329" i="32"/>
  <c r="B33" i="13" s="1"/>
  <c r="N230" i="32"/>
  <c r="N335" i="32"/>
  <c r="B65" i="13" s="1"/>
  <c r="E193" i="27"/>
  <c r="E287" i="27" s="1"/>
  <c r="C211" i="27"/>
  <c r="C305" i="27" s="1"/>
  <c r="M214" i="27"/>
  <c r="M308" i="27" s="1"/>
  <c r="E80" i="13"/>
  <c r="G305" i="32"/>
  <c r="C31" i="13" s="1"/>
  <c r="U221" i="32"/>
  <c r="D349" i="32"/>
  <c r="Q349" i="32"/>
  <c r="K300" i="27"/>
  <c r="K314" i="27"/>
  <c r="D195" i="27"/>
  <c r="D289" i="27" s="1"/>
  <c r="E138" i="27"/>
  <c r="E407" i="27" s="1"/>
  <c r="E349" i="32"/>
  <c r="C352" i="32"/>
  <c r="S352" i="32"/>
  <c r="H117" i="27"/>
  <c r="K316" i="27"/>
  <c r="M193" i="27"/>
  <c r="M287" i="27" s="1"/>
  <c r="M203" i="27"/>
  <c r="M297" i="27" s="1"/>
  <c r="F102" i="27"/>
  <c r="C193" i="27"/>
  <c r="C287" i="27" s="1"/>
  <c r="C194" i="27"/>
  <c r="C288" i="27" s="1"/>
  <c r="F196" i="27"/>
  <c r="F290" i="27" s="1"/>
  <c r="M196" i="27"/>
  <c r="M290" i="27" s="1"/>
  <c r="D197" i="27"/>
  <c r="F202" i="27"/>
  <c r="F296" i="27" s="1"/>
  <c r="M202" i="27"/>
  <c r="M296" i="27" s="1"/>
  <c r="F204" i="27"/>
  <c r="F298" i="27" s="1"/>
  <c r="M204" i="27"/>
  <c r="M298" i="27" s="1"/>
  <c r="D205" i="27"/>
  <c r="D299" i="27" s="1"/>
  <c r="C207" i="27"/>
  <c r="C301" i="27" s="1"/>
  <c r="C209" i="27"/>
  <c r="C303" i="27" s="1"/>
  <c r="M212" i="27"/>
  <c r="M306" i="27" s="1"/>
  <c r="M216" i="27"/>
  <c r="M310" i="27" s="1"/>
  <c r="C217" i="27"/>
  <c r="C311" i="27" s="1"/>
  <c r="F220" i="27"/>
  <c r="F314" i="27" s="1"/>
  <c r="M220" i="27"/>
  <c r="M314" i="27" s="1"/>
  <c r="C221" i="27"/>
  <c r="C315" i="27" s="1"/>
  <c r="E222" i="27"/>
  <c r="E316" i="27" s="1"/>
  <c r="B230" i="27"/>
  <c r="B452" i="27" s="1"/>
  <c r="M231" i="27"/>
  <c r="M453" i="27" s="1"/>
  <c r="L237" i="27"/>
  <c r="L459" i="27" s="1"/>
  <c r="C215" i="27"/>
  <c r="C309" i="27" s="1"/>
  <c r="N302" i="32"/>
  <c r="C54" i="13" s="1"/>
  <c r="N304" i="32"/>
  <c r="C56" i="13" s="1"/>
  <c r="E350" i="27"/>
  <c r="N198" i="32"/>
  <c r="N207" i="32"/>
  <c r="N218" i="32"/>
  <c r="B351" i="32"/>
  <c r="T351" i="32"/>
  <c r="C353" i="32"/>
  <c r="D291" i="27"/>
  <c r="K306" i="27"/>
  <c r="B349" i="27"/>
  <c r="E108" i="27"/>
  <c r="E118" i="27"/>
  <c r="E128" i="27"/>
  <c r="F212" i="27"/>
  <c r="F306" i="27" s="1"/>
  <c r="H26" i="27"/>
  <c r="H120" i="27" s="1"/>
  <c r="P28" i="27"/>
  <c r="P216" i="27" s="1"/>
  <c r="P310" i="27" s="1"/>
  <c r="E58" i="13"/>
  <c r="P35" i="27"/>
  <c r="P129" i="27" s="1"/>
  <c r="P398" i="27" s="1"/>
  <c r="H37" i="27"/>
  <c r="H353" i="27" s="1"/>
  <c r="P40" i="27"/>
  <c r="P43" i="27"/>
  <c r="P359" i="27" s="1"/>
  <c r="E351" i="32"/>
  <c r="S353" i="32"/>
  <c r="M205" i="27"/>
  <c r="M299" i="27" s="1"/>
  <c r="D222" i="27"/>
  <c r="D316" i="27" s="1"/>
  <c r="C101" i="27"/>
  <c r="M101" i="27"/>
  <c r="M110" i="27"/>
  <c r="C115" i="27"/>
  <c r="C117" i="27"/>
  <c r="M120" i="27"/>
  <c r="C121" i="27"/>
  <c r="M126" i="27"/>
  <c r="B132" i="27"/>
  <c r="B401" i="27" s="1"/>
  <c r="L193" i="27"/>
  <c r="L287" i="27" s="1"/>
  <c r="C195" i="27"/>
  <c r="C289" i="27" s="1"/>
  <c r="C196" i="27"/>
  <c r="C290" i="27" s="1"/>
  <c r="N196" i="27"/>
  <c r="N290" i="27" s="1"/>
  <c r="D200" i="27"/>
  <c r="D294" i="27" s="1"/>
  <c r="E201" i="27"/>
  <c r="E295" i="27" s="1"/>
  <c r="L201" i="27"/>
  <c r="L295" i="27" s="1"/>
  <c r="E416" i="27"/>
  <c r="H159" i="27"/>
  <c r="F206" i="27"/>
  <c r="F300" i="27" s="1"/>
  <c r="E210" i="27"/>
  <c r="E304" i="27" s="1"/>
  <c r="M211" i="27"/>
  <c r="M305" i="27" s="1"/>
  <c r="D213" i="27"/>
  <c r="E214" i="27"/>
  <c r="E308" i="27" s="1"/>
  <c r="L419" i="27"/>
  <c r="D221" i="27"/>
  <c r="D315" i="27" s="1"/>
  <c r="M222" i="27"/>
  <c r="M316" i="27" s="1"/>
  <c r="K421" i="27"/>
  <c r="K224" i="27"/>
  <c r="K446" i="27" s="1"/>
  <c r="F425" i="27"/>
  <c r="F228" i="27"/>
  <c r="F450" i="27" s="1"/>
  <c r="C122" i="28"/>
  <c r="C265" i="28" s="1"/>
  <c r="H11" i="27"/>
  <c r="H105" i="27" s="1"/>
  <c r="H22" i="27"/>
  <c r="P42" i="27"/>
  <c r="P358" i="27" s="1"/>
  <c r="E66" i="13"/>
  <c r="N213" i="32"/>
  <c r="U303" i="32"/>
  <c r="C77" i="13" s="1"/>
  <c r="N305" i="32"/>
  <c r="C57" i="13" s="1"/>
  <c r="N210" i="32"/>
  <c r="U219" i="32"/>
  <c r="N221" i="32"/>
  <c r="U225" i="32"/>
  <c r="U355" i="32" s="1"/>
  <c r="F82" i="13" s="1"/>
  <c r="J82" i="13" s="1"/>
  <c r="U330" i="32"/>
  <c r="B82" i="13" s="1"/>
  <c r="G229" i="32"/>
  <c r="G334" i="32"/>
  <c r="B38" i="13" s="1"/>
  <c r="G232" i="32"/>
  <c r="G337" i="32"/>
  <c r="B41" i="13" s="1"/>
  <c r="C349" i="32"/>
  <c r="E352" i="32"/>
  <c r="P353" i="32"/>
  <c r="T353" i="32"/>
  <c r="N328" i="32"/>
  <c r="B58" i="13" s="1"/>
  <c r="K303" i="27"/>
  <c r="K304" i="27"/>
  <c r="K308" i="27"/>
  <c r="K311" i="27"/>
  <c r="D209" i="27"/>
  <c r="D303" i="27" s="1"/>
  <c r="D115" i="27"/>
  <c r="B212" i="27"/>
  <c r="B306" i="27" s="1"/>
  <c r="F352" i="27"/>
  <c r="F130" i="27"/>
  <c r="F399" i="27" s="1"/>
  <c r="F360" i="27"/>
  <c r="F138" i="27"/>
  <c r="F407" i="27" s="1"/>
  <c r="E100" i="27"/>
  <c r="E107" i="27"/>
  <c r="E120" i="27"/>
  <c r="E126" i="27"/>
  <c r="N277" i="32"/>
  <c r="D54" i="13" s="1"/>
  <c r="U207" i="32"/>
  <c r="G211" i="32"/>
  <c r="G223" i="32"/>
  <c r="N332" i="32"/>
  <c r="B62" i="13" s="1"/>
  <c r="U338" i="32"/>
  <c r="B90" i="13" s="1"/>
  <c r="N415" i="27"/>
  <c r="D416" i="27"/>
  <c r="N418" i="27"/>
  <c r="D419" i="27"/>
  <c r="M420" i="27"/>
  <c r="M223" i="27"/>
  <c r="M445" i="27" s="1"/>
  <c r="P7" i="27"/>
  <c r="P195" i="27" s="1"/>
  <c r="P289" i="27" s="1"/>
  <c r="P18" i="27"/>
  <c r="P206" i="27" s="1"/>
  <c r="P300" i="27" s="1"/>
  <c r="H21" i="27"/>
  <c r="H115" i="27" s="1"/>
  <c r="G277" i="32"/>
  <c r="D28" i="13" s="1"/>
  <c r="U279" i="32"/>
  <c r="D78" i="13" s="1"/>
  <c r="N279" i="32"/>
  <c r="D56" i="13" s="1"/>
  <c r="N280" i="32"/>
  <c r="D57" i="13" s="1"/>
  <c r="G281" i="32"/>
  <c r="D32" i="13" s="1"/>
  <c r="U304" i="32"/>
  <c r="C78" i="13" s="1"/>
  <c r="U217" i="32"/>
  <c r="G200" i="32"/>
  <c r="U326" i="32"/>
  <c r="B78" i="13" s="1"/>
  <c r="N223" i="32"/>
  <c r="G225" i="32"/>
  <c r="N226" i="32"/>
  <c r="G228" i="32"/>
  <c r="U229" i="32"/>
  <c r="U359" i="32" s="1"/>
  <c r="F86" i="13" s="1"/>
  <c r="J86" i="13" s="1"/>
  <c r="N231" i="32"/>
  <c r="G233" i="32"/>
  <c r="N238" i="32"/>
  <c r="N368" i="32" s="1"/>
  <c r="K349" i="32"/>
  <c r="S349" i="32"/>
  <c r="P350" i="32"/>
  <c r="H305" i="27"/>
  <c r="D217" i="27"/>
  <c r="D311" i="27" s="1"/>
  <c r="B220" i="27"/>
  <c r="B314" i="27" s="1"/>
  <c r="B117" i="27"/>
  <c r="F117" i="27"/>
  <c r="L117" i="27"/>
  <c r="B125" i="27"/>
  <c r="F125" i="27"/>
  <c r="L125" i="27"/>
  <c r="L133" i="27"/>
  <c r="L402" i="27" s="1"/>
  <c r="D123" i="27"/>
  <c r="D131" i="27"/>
  <c r="D400" i="27" s="1"/>
  <c r="E194" i="27"/>
  <c r="E288" i="27" s="1"/>
  <c r="M194" i="27"/>
  <c r="M288" i="27" s="1"/>
  <c r="L195" i="27"/>
  <c r="L289" i="27" s="1"/>
  <c r="D415" i="27"/>
  <c r="C199" i="27"/>
  <c r="C293" i="27" s="1"/>
  <c r="N199" i="27"/>
  <c r="N293" i="27" s="1"/>
  <c r="E200" i="27"/>
  <c r="E294" i="27" s="1"/>
  <c r="M416" i="27"/>
  <c r="D204" i="27"/>
  <c r="D298" i="27" s="1"/>
  <c r="M207" i="27"/>
  <c r="M301" i="27" s="1"/>
  <c r="H163" i="27"/>
  <c r="F210" i="27"/>
  <c r="F304" i="27" s="1"/>
  <c r="M210" i="27"/>
  <c r="M304" i="27" s="1"/>
  <c r="H167" i="27"/>
  <c r="H171" i="27"/>
  <c r="F419" i="27"/>
  <c r="M419" i="27"/>
  <c r="C219" i="27"/>
  <c r="C313" i="27" s="1"/>
  <c r="B214" i="27"/>
  <c r="B308" i="27" s="1"/>
  <c r="D229" i="27"/>
  <c r="D451" i="27" s="1"/>
  <c r="H45" i="27"/>
  <c r="H361" i="27" s="1"/>
  <c r="H49" i="27"/>
  <c r="H365" i="27" s="1"/>
  <c r="U306" i="32"/>
  <c r="C80" i="13" s="1"/>
  <c r="M349" i="32"/>
  <c r="K351" i="32"/>
  <c r="D352" i="32"/>
  <c r="M352" i="32"/>
  <c r="P352" i="32"/>
  <c r="T352" i="32"/>
  <c r="F353" i="32"/>
  <c r="M353" i="32"/>
  <c r="G330" i="32"/>
  <c r="B34" i="13" s="1"/>
  <c r="G333" i="32"/>
  <c r="B37" i="13" s="1"/>
  <c r="N336" i="32"/>
  <c r="B66" i="13" s="1"/>
  <c r="N343" i="32"/>
  <c r="B73" i="13" s="1"/>
  <c r="D193" i="27"/>
  <c r="D287" i="27" s="1"/>
  <c r="L349" i="27"/>
  <c r="C99" i="27"/>
  <c r="M99" i="27"/>
  <c r="M100" i="27"/>
  <c r="C102" i="27"/>
  <c r="M102" i="27"/>
  <c r="C103" i="27"/>
  <c r="C105" i="27"/>
  <c r="C107" i="27"/>
  <c r="M108" i="27"/>
  <c r="C111" i="27"/>
  <c r="C113" i="27"/>
  <c r="M116" i="27"/>
  <c r="M118" i="27"/>
  <c r="M122" i="27"/>
  <c r="C123" i="27"/>
  <c r="C125" i="27"/>
  <c r="C127" i="27"/>
  <c r="M128" i="27"/>
  <c r="C129" i="27"/>
  <c r="C398" i="27" s="1"/>
  <c r="P120" i="27"/>
  <c r="P121" i="27"/>
  <c r="P308" i="27"/>
  <c r="P309" i="27"/>
  <c r="K287" i="27"/>
  <c r="K288" i="27"/>
  <c r="K289" i="27"/>
  <c r="K290" i="27"/>
  <c r="K291" i="27"/>
  <c r="K294" i="27"/>
  <c r="K295" i="27"/>
  <c r="K296" i="27"/>
  <c r="K298" i="27"/>
  <c r="M197" i="27"/>
  <c r="M291" i="27" s="1"/>
  <c r="N346" i="27"/>
  <c r="D201" i="27"/>
  <c r="D295" i="27" s="1"/>
  <c r="F216" i="27"/>
  <c r="F310" i="27" s="1"/>
  <c r="M219" i="27"/>
  <c r="M313" i="27" s="1"/>
  <c r="D99" i="27"/>
  <c r="D103" i="27"/>
  <c r="D108" i="27"/>
  <c r="N112" i="27"/>
  <c r="D122" i="27"/>
  <c r="N128" i="27"/>
  <c r="D107" i="27"/>
  <c r="E195" i="27"/>
  <c r="E289" i="27" s="1"/>
  <c r="E196" i="27"/>
  <c r="E290" i="27" s="1"/>
  <c r="C197" i="27"/>
  <c r="C291" i="27" s="1"/>
  <c r="E415" i="27"/>
  <c r="F200" i="27"/>
  <c r="F294" i="27" s="1"/>
  <c r="C201" i="27"/>
  <c r="C295" i="27" s="1"/>
  <c r="E202" i="27"/>
  <c r="E296" i="27" s="1"/>
  <c r="C416" i="27"/>
  <c r="E204" i="27"/>
  <c r="E298" i="27" s="1"/>
  <c r="C205" i="27"/>
  <c r="C299" i="27" s="1"/>
  <c r="F209" i="27"/>
  <c r="F303" i="27" s="1"/>
  <c r="C210" i="27"/>
  <c r="C304" i="27" s="1"/>
  <c r="N210" i="27"/>
  <c r="N304" i="27" s="1"/>
  <c r="E212" i="27"/>
  <c r="E306" i="27" s="1"/>
  <c r="L212" i="27"/>
  <c r="L306" i="27" s="1"/>
  <c r="M418" i="27"/>
  <c r="C214" i="27"/>
  <c r="C308" i="27" s="1"/>
  <c r="E216" i="27"/>
  <c r="E310" i="27" s="1"/>
  <c r="L216" i="27"/>
  <c r="L310" i="27" s="1"/>
  <c r="B217" i="27"/>
  <c r="B311" i="27" s="1"/>
  <c r="F217" i="27"/>
  <c r="F311" i="27" s="1"/>
  <c r="C419" i="27"/>
  <c r="N419" i="27"/>
  <c r="E220" i="27"/>
  <c r="E314" i="27" s="1"/>
  <c r="L220" i="27"/>
  <c r="L314" i="27" s="1"/>
  <c r="B221" i="27"/>
  <c r="B315" i="27" s="1"/>
  <c r="F221" i="27"/>
  <c r="F315" i="27" s="1"/>
  <c r="L272" i="7"/>
  <c r="L273" i="7"/>
  <c r="L326" i="7"/>
  <c r="X368" i="7"/>
  <c r="X270" i="7"/>
  <c r="O409" i="7"/>
  <c r="S409" i="7"/>
  <c r="W409" i="7"/>
  <c r="X319" i="7"/>
  <c r="X321" i="7"/>
  <c r="X99" i="25"/>
  <c r="X101" i="25"/>
  <c r="X103" i="25"/>
  <c r="X105" i="25"/>
  <c r="X107" i="25"/>
  <c r="X250" i="7"/>
  <c r="X111" i="25"/>
  <c r="X113" i="25"/>
  <c r="X115" i="25"/>
  <c r="X117" i="25"/>
  <c r="X119" i="25"/>
  <c r="X121" i="25"/>
  <c r="X123" i="25"/>
  <c r="X125" i="25"/>
  <c r="X127" i="25"/>
  <c r="X129" i="25"/>
  <c r="X253" i="25" s="1"/>
  <c r="L367" i="7"/>
  <c r="L275" i="7"/>
  <c r="L373" i="7"/>
  <c r="L281" i="7"/>
  <c r="L240" i="7"/>
  <c r="L242" i="7"/>
  <c r="L244" i="7"/>
  <c r="L248" i="7"/>
  <c r="L388" i="7"/>
  <c r="L252" i="7"/>
  <c r="L256" i="7"/>
  <c r="L390" i="7"/>
  <c r="L262" i="7"/>
  <c r="L266" i="7"/>
  <c r="L268" i="7"/>
  <c r="I412" i="7"/>
  <c r="L299" i="7"/>
  <c r="L300" i="7"/>
  <c r="L301" i="7"/>
  <c r="L319" i="7"/>
  <c r="L320" i="7"/>
  <c r="L322" i="7"/>
  <c r="L344" i="7"/>
  <c r="X139" i="25"/>
  <c r="X263" i="25" s="1"/>
  <c r="X241" i="7"/>
  <c r="X249" i="7"/>
  <c r="X365" i="7"/>
  <c r="X257" i="7"/>
  <c r="X366" i="7"/>
  <c r="X246" i="7"/>
  <c r="X388" i="7"/>
  <c r="X252" i="7"/>
  <c r="X254" i="7"/>
  <c r="X389" i="7"/>
  <c r="X258" i="7"/>
  <c r="X390" i="7"/>
  <c r="X260" i="7"/>
  <c r="X264" i="7"/>
  <c r="X391" i="7"/>
  <c r="L279" i="7"/>
  <c r="L401" i="7"/>
  <c r="Q409" i="7"/>
  <c r="Q411" i="7"/>
  <c r="U411" i="7"/>
  <c r="E411" i="7"/>
  <c r="I411" i="7"/>
  <c r="Q146" i="25"/>
  <c r="X100" i="25"/>
  <c r="X102" i="25"/>
  <c r="X104" i="25"/>
  <c r="X106" i="25"/>
  <c r="X108" i="25"/>
  <c r="X110" i="25"/>
  <c r="X112" i="25"/>
  <c r="X114" i="25"/>
  <c r="X116" i="25"/>
  <c r="X118" i="25"/>
  <c r="X120" i="25"/>
  <c r="X122" i="25"/>
  <c r="X124" i="25"/>
  <c r="X126" i="25"/>
  <c r="X128" i="25"/>
  <c r="L140" i="25"/>
  <c r="L264" i="25" s="1"/>
  <c r="L246" i="7"/>
  <c r="L254" i="7"/>
  <c r="X275" i="7"/>
  <c r="N409" i="7"/>
  <c r="R409" i="7"/>
  <c r="V409" i="7"/>
  <c r="H410" i="7"/>
  <c r="R411" i="7"/>
  <c r="V411" i="7"/>
  <c r="L76" i="25"/>
  <c r="C170" i="25"/>
  <c r="I228" i="25"/>
  <c r="I176" i="25"/>
  <c r="I275" i="25" s="1"/>
  <c r="D147" i="25"/>
  <c r="H147" i="25"/>
  <c r="V147" i="25"/>
  <c r="D151" i="25"/>
  <c r="H151" i="25"/>
  <c r="N151" i="25"/>
  <c r="D155" i="25"/>
  <c r="H155" i="25"/>
  <c r="D159" i="25"/>
  <c r="H159" i="25"/>
  <c r="N159" i="25"/>
  <c r="D163" i="25"/>
  <c r="H163" i="25"/>
  <c r="P165" i="25"/>
  <c r="T165" i="25"/>
  <c r="D167" i="25"/>
  <c r="H167" i="25"/>
  <c r="E168" i="25"/>
  <c r="I168" i="25"/>
  <c r="P173" i="25"/>
  <c r="T173" i="25"/>
  <c r="I255" i="25"/>
  <c r="I178" i="25"/>
  <c r="I277" i="25" s="1"/>
  <c r="V256" i="25"/>
  <c r="V179" i="25"/>
  <c r="V278" i="25" s="1"/>
  <c r="K184" i="25"/>
  <c r="K283" i="25" s="1"/>
  <c r="K261" i="25"/>
  <c r="K186" i="25"/>
  <c r="K285" i="25" s="1"/>
  <c r="K263" i="25"/>
  <c r="U182" i="25"/>
  <c r="U281" i="25" s="1"/>
  <c r="S160" i="25"/>
  <c r="D148" i="25"/>
  <c r="X54" i="25"/>
  <c r="L57" i="25"/>
  <c r="L58" i="25"/>
  <c r="X58" i="25"/>
  <c r="D156" i="25"/>
  <c r="X62" i="25"/>
  <c r="L65" i="25"/>
  <c r="X66" i="25"/>
  <c r="E225" i="25"/>
  <c r="I225" i="25"/>
  <c r="L70" i="25"/>
  <c r="X70" i="25"/>
  <c r="F226" i="25"/>
  <c r="J226" i="25"/>
  <c r="L73" i="25"/>
  <c r="L74" i="25"/>
  <c r="X74" i="25"/>
  <c r="L78" i="25"/>
  <c r="X78" i="25"/>
  <c r="L81" i="25"/>
  <c r="K146" i="25"/>
  <c r="U146" i="25"/>
  <c r="Q147" i="25"/>
  <c r="U147" i="25"/>
  <c r="Q149" i="25"/>
  <c r="C150" i="25"/>
  <c r="G150" i="25"/>
  <c r="K150" i="25"/>
  <c r="Q150" i="25"/>
  <c r="U150" i="25"/>
  <c r="Q151" i="25"/>
  <c r="U151" i="25"/>
  <c r="K152" i="25"/>
  <c r="Q152" i="25"/>
  <c r="U152" i="25"/>
  <c r="Q153" i="25"/>
  <c r="U153" i="25"/>
  <c r="C154" i="25"/>
  <c r="G154" i="25"/>
  <c r="K154" i="25"/>
  <c r="Q154" i="25"/>
  <c r="U154" i="25"/>
  <c r="U155" i="25"/>
  <c r="C158" i="25"/>
  <c r="G158" i="25"/>
  <c r="K158" i="25"/>
  <c r="Q158" i="25"/>
  <c r="U158" i="25"/>
  <c r="Q159" i="25"/>
  <c r="U159" i="25"/>
  <c r="C160" i="25"/>
  <c r="G160" i="25"/>
  <c r="K160" i="25"/>
  <c r="Q160" i="25"/>
  <c r="U160" i="25"/>
  <c r="U161" i="25"/>
  <c r="C162" i="25"/>
  <c r="G162" i="25"/>
  <c r="K162" i="25"/>
  <c r="Q162" i="25"/>
  <c r="U162" i="25"/>
  <c r="C164" i="25"/>
  <c r="G164" i="25"/>
  <c r="N164" i="25"/>
  <c r="R164" i="25"/>
  <c r="O165" i="25"/>
  <c r="W165" i="25"/>
  <c r="I251" i="25"/>
  <c r="C167" i="25"/>
  <c r="G167" i="25"/>
  <c r="Q167" i="25"/>
  <c r="U167" i="25"/>
  <c r="H168" i="25"/>
  <c r="O168" i="25"/>
  <c r="S168" i="25"/>
  <c r="W168" i="25"/>
  <c r="E169" i="25"/>
  <c r="D170" i="25"/>
  <c r="H170" i="25"/>
  <c r="N170" i="25"/>
  <c r="R170" i="25"/>
  <c r="V170" i="25"/>
  <c r="E172" i="25"/>
  <c r="I172" i="25"/>
  <c r="E174" i="25"/>
  <c r="I174" i="25"/>
  <c r="B262" i="25"/>
  <c r="B185" i="25"/>
  <c r="B284" i="25" s="1"/>
  <c r="F264" i="25"/>
  <c r="F187" i="25"/>
  <c r="F286" i="25" s="1"/>
  <c r="D166" i="25"/>
  <c r="D182" i="25"/>
  <c r="D281" i="25" s="1"/>
  <c r="X281" i="7"/>
  <c r="X424" i="7" s="1"/>
  <c r="B409" i="7"/>
  <c r="F409" i="7"/>
  <c r="E409" i="7"/>
  <c r="O410" i="7"/>
  <c r="H411" i="7"/>
  <c r="S411" i="7"/>
  <c r="P412" i="7"/>
  <c r="T412" i="7"/>
  <c r="I170" i="25"/>
  <c r="L55" i="25"/>
  <c r="L59" i="25"/>
  <c r="L63" i="25"/>
  <c r="G224" i="25"/>
  <c r="G225" i="25"/>
  <c r="Q225" i="25"/>
  <c r="U225" i="25"/>
  <c r="L71" i="25"/>
  <c r="L75" i="25"/>
  <c r="E227" i="25"/>
  <c r="I227" i="25"/>
  <c r="L79" i="25"/>
  <c r="O149" i="25"/>
  <c r="S152" i="25"/>
  <c r="W153" i="25"/>
  <c r="E164" i="25"/>
  <c r="J165" i="25"/>
  <c r="V166" i="25"/>
  <c r="K173" i="25"/>
  <c r="U409" i="7"/>
  <c r="B410" i="7"/>
  <c r="F410" i="7"/>
  <c r="J410" i="7"/>
  <c r="P410" i="7"/>
  <c r="T410" i="7"/>
  <c r="Q410" i="7"/>
  <c r="U410" i="7"/>
  <c r="P411" i="7"/>
  <c r="T411" i="7"/>
  <c r="D411" i="7"/>
  <c r="C412" i="7"/>
  <c r="G412" i="7"/>
  <c r="X52" i="25"/>
  <c r="X60" i="25"/>
  <c r="C224" i="25"/>
  <c r="X64" i="25"/>
  <c r="X68" i="25"/>
  <c r="X72" i="25"/>
  <c r="S226" i="25"/>
  <c r="X76" i="25"/>
  <c r="X80" i="25"/>
  <c r="N179" i="25"/>
  <c r="N278" i="25" s="1"/>
  <c r="R179" i="25"/>
  <c r="R278" i="25" s="1"/>
  <c r="T150" i="25"/>
  <c r="P156" i="25"/>
  <c r="V165" i="25"/>
  <c r="V168" i="25"/>
  <c r="D169" i="25"/>
  <c r="J146" i="25"/>
  <c r="P146" i="25"/>
  <c r="T146" i="25"/>
  <c r="F148" i="25"/>
  <c r="P148" i="25"/>
  <c r="T148" i="25"/>
  <c r="F149" i="25"/>
  <c r="J149" i="25"/>
  <c r="P150" i="25"/>
  <c r="F152" i="25"/>
  <c r="J152" i="25"/>
  <c r="P152" i="25"/>
  <c r="T152" i="25"/>
  <c r="J153" i="25"/>
  <c r="J154" i="25"/>
  <c r="P154" i="25"/>
  <c r="T154" i="25"/>
  <c r="F157" i="25"/>
  <c r="J157" i="25"/>
  <c r="P158" i="25"/>
  <c r="T158" i="25"/>
  <c r="F159" i="25"/>
  <c r="J159" i="25"/>
  <c r="J160" i="25"/>
  <c r="P160" i="25"/>
  <c r="T160" i="25"/>
  <c r="J162" i="25"/>
  <c r="P162" i="25"/>
  <c r="T162" i="25"/>
  <c r="P163" i="25"/>
  <c r="T163" i="25"/>
  <c r="Q164" i="25"/>
  <c r="N165" i="25"/>
  <c r="R165" i="25"/>
  <c r="H166" i="25"/>
  <c r="T167" i="25"/>
  <c r="N168" i="25"/>
  <c r="R168" i="25"/>
  <c r="H169" i="25"/>
  <c r="G170" i="25"/>
  <c r="K170" i="25"/>
  <c r="N172" i="25"/>
  <c r="R172" i="25"/>
  <c r="V172" i="25"/>
  <c r="N174" i="25"/>
  <c r="R174" i="25"/>
  <c r="V174" i="25"/>
  <c r="E181" i="25"/>
  <c r="E280" i="25" s="1"/>
  <c r="I181" i="25"/>
  <c r="I280" i="25" s="1"/>
  <c r="B151" i="25"/>
  <c r="B270" i="25" s="1"/>
  <c r="P249" i="25"/>
  <c r="E147" i="25"/>
  <c r="I147" i="25"/>
  <c r="O147" i="25"/>
  <c r="S147" i="25"/>
  <c r="W147" i="25"/>
  <c r="O148" i="25"/>
  <c r="S148" i="25"/>
  <c r="W148" i="25"/>
  <c r="S149" i="25"/>
  <c r="W149" i="25"/>
  <c r="O152" i="25"/>
  <c r="W152" i="25"/>
  <c r="E153" i="25"/>
  <c r="I153" i="25"/>
  <c r="O153" i="25"/>
  <c r="S153" i="25"/>
  <c r="E155" i="25"/>
  <c r="I155" i="25"/>
  <c r="O155" i="25"/>
  <c r="S155" i="25"/>
  <c r="W155" i="25"/>
  <c r="S156" i="25"/>
  <c r="W156" i="25"/>
  <c r="E157" i="25"/>
  <c r="I157" i="25"/>
  <c r="S157" i="25"/>
  <c r="W157" i="25"/>
  <c r="O159" i="25"/>
  <c r="W159" i="25"/>
  <c r="O160" i="25"/>
  <c r="W160" i="25"/>
  <c r="I161" i="25"/>
  <c r="E163" i="25"/>
  <c r="I163" i="25"/>
  <c r="O163" i="25"/>
  <c r="S163" i="25"/>
  <c r="I164" i="25"/>
  <c r="P164" i="25"/>
  <c r="F165" i="25"/>
  <c r="N166" i="25"/>
  <c r="R166" i="25"/>
  <c r="O167" i="25"/>
  <c r="W167" i="25"/>
  <c r="N169" i="25"/>
  <c r="P170" i="25"/>
  <c r="C175" i="25"/>
  <c r="G175" i="25"/>
  <c r="K175" i="25"/>
  <c r="N181" i="25"/>
  <c r="N280" i="25" s="1"/>
  <c r="R181" i="25"/>
  <c r="R280" i="25" s="1"/>
  <c r="V181" i="25"/>
  <c r="V280" i="25" s="1"/>
  <c r="N258" i="25"/>
  <c r="L242" i="6"/>
  <c r="L258" i="6"/>
  <c r="E408" i="6"/>
  <c r="I189" i="24"/>
  <c r="I289" i="24" s="1"/>
  <c r="I267" i="24"/>
  <c r="B183" i="24"/>
  <c r="B283" i="24" s="1"/>
  <c r="L353" i="6"/>
  <c r="D157" i="24"/>
  <c r="H157" i="24"/>
  <c r="G164" i="24"/>
  <c r="C169" i="24"/>
  <c r="G169" i="24"/>
  <c r="K169" i="24"/>
  <c r="E172" i="24"/>
  <c r="I172" i="24"/>
  <c r="C173" i="24"/>
  <c r="G173" i="24"/>
  <c r="K173" i="24"/>
  <c r="K250" i="24"/>
  <c r="D182" i="24"/>
  <c r="D282" i="24" s="1"/>
  <c r="H182" i="24"/>
  <c r="H282" i="24" s="1"/>
  <c r="H260" i="24"/>
  <c r="F267" i="24"/>
  <c r="F189" i="24"/>
  <c r="F289" i="24" s="1"/>
  <c r="B151" i="24"/>
  <c r="K175" i="24"/>
  <c r="K275" i="24" s="1"/>
  <c r="D260" i="24"/>
  <c r="L250" i="6"/>
  <c r="L262" i="6"/>
  <c r="I408" i="6"/>
  <c r="G409" i="6"/>
  <c r="C253" i="24"/>
  <c r="C175" i="24"/>
  <c r="C275" i="24" s="1"/>
  <c r="H254" i="24"/>
  <c r="H176" i="24"/>
  <c r="H276" i="24" s="1"/>
  <c r="G262" i="24"/>
  <c r="G184" i="24"/>
  <c r="G284" i="24" s="1"/>
  <c r="L278" i="6"/>
  <c r="L397" i="6"/>
  <c r="L347" i="6"/>
  <c r="L251" i="6"/>
  <c r="L298" i="6"/>
  <c r="L277" i="6"/>
  <c r="L319" i="6"/>
  <c r="L320" i="6"/>
  <c r="L274" i="6"/>
  <c r="L99" i="24"/>
  <c r="L107" i="24"/>
  <c r="L111" i="24"/>
  <c r="L115" i="24"/>
  <c r="L119" i="24"/>
  <c r="L127" i="24"/>
  <c r="L363" i="6"/>
  <c r="L364" i="6"/>
  <c r="L240" i="6"/>
  <c r="L244" i="6"/>
  <c r="L248" i="6"/>
  <c r="L252" i="6"/>
  <c r="L256" i="6"/>
  <c r="L387" i="6"/>
  <c r="L268" i="6"/>
  <c r="H406" i="6"/>
  <c r="C408" i="6"/>
  <c r="K408" i="6"/>
  <c r="E409" i="6"/>
  <c r="I409" i="6"/>
  <c r="L355" i="6"/>
  <c r="F227" i="24"/>
  <c r="H150" i="24"/>
  <c r="J151" i="24"/>
  <c r="F155" i="24"/>
  <c r="J155" i="24"/>
  <c r="B159" i="24"/>
  <c r="F159" i="24"/>
  <c r="B163" i="24"/>
  <c r="F167" i="24"/>
  <c r="D176" i="24"/>
  <c r="D276" i="24" s="1"/>
  <c r="L266" i="6"/>
  <c r="L280" i="6"/>
  <c r="G253" i="24"/>
  <c r="G175" i="24"/>
  <c r="G275" i="24" s="1"/>
  <c r="C258" i="24"/>
  <c r="C180" i="24"/>
  <c r="C280" i="24" s="1"/>
  <c r="L255" i="6"/>
  <c r="C406" i="6"/>
  <c r="G406" i="6"/>
  <c r="K406" i="6"/>
  <c r="E406" i="6"/>
  <c r="I406" i="6"/>
  <c r="H407" i="6"/>
  <c r="B407" i="6"/>
  <c r="F407" i="6"/>
  <c r="J407" i="6"/>
  <c r="D409" i="6"/>
  <c r="H409" i="6"/>
  <c r="L349" i="6"/>
  <c r="L359" i="6"/>
  <c r="G145" i="24"/>
  <c r="C153" i="24"/>
  <c r="D172" i="24"/>
  <c r="E267" i="24"/>
  <c r="D145" i="24"/>
  <c r="H145" i="24"/>
  <c r="F147" i="24"/>
  <c r="J147" i="24"/>
  <c r="C160" i="24"/>
  <c r="D164" i="24"/>
  <c r="H164" i="24"/>
  <c r="G168" i="24"/>
  <c r="L53" i="24"/>
  <c r="F148" i="24"/>
  <c r="J148" i="24"/>
  <c r="L57" i="24"/>
  <c r="J152" i="24"/>
  <c r="L61" i="24"/>
  <c r="H224" i="24"/>
  <c r="B156" i="24"/>
  <c r="F224" i="24"/>
  <c r="J156" i="24"/>
  <c r="L65" i="24"/>
  <c r="L66" i="24"/>
  <c r="F225" i="24"/>
  <c r="J225" i="24"/>
  <c r="L69" i="24"/>
  <c r="L73" i="24"/>
  <c r="L74" i="24"/>
  <c r="D171" i="24"/>
  <c r="H171" i="24"/>
  <c r="D148" i="24"/>
  <c r="H148" i="24"/>
  <c r="D152" i="24"/>
  <c r="H152" i="24"/>
  <c r="D251" i="24"/>
  <c r="H251" i="24"/>
  <c r="C252" i="24"/>
  <c r="G252" i="24"/>
  <c r="K252" i="24"/>
  <c r="B178" i="24"/>
  <c r="B278" i="24" s="1"/>
  <c r="J178" i="24"/>
  <c r="J278" i="24" s="1"/>
  <c r="C148" i="24"/>
  <c r="G148" i="24"/>
  <c r="F163" i="24"/>
  <c r="D168" i="24"/>
  <c r="H168" i="24"/>
  <c r="J170" i="24"/>
  <c r="F174" i="24"/>
  <c r="J174" i="24"/>
  <c r="L52" i="24"/>
  <c r="E147" i="24"/>
  <c r="I147" i="24"/>
  <c r="L56" i="24"/>
  <c r="E151" i="24"/>
  <c r="L60" i="24"/>
  <c r="E155" i="24"/>
  <c r="L64" i="24"/>
  <c r="E159" i="24"/>
  <c r="L68" i="24"/>
  <c r="E226" i="24"/>
  <c r="I226" i="24"/>
  <c r="L80" i="24"/>
  <c r="K147" i="24"/>
  <c r="C151" i="24"/>
  <c r="G151" i="24"/>
  <c r="K151" i="24"/>
  <c r="K159" i="24"/>
  <c r="C163" i="24"/>
  <c r="G163" i="24"/>
  <c r="I251" i="24"/>
  <c r="B171" i="24"/>
  <c r="F171" i="24"/>
  <c r="J171" i="24"/>
  <c r="I341" i="5"/>
  <c r="C36" i="3"/>
  <c r="I408" i="5"/>
  <c r="F34" i="3"/>
  <c r="R428" i="5"/>
  <c r="H54" i="3"/>
  <c r="E227" i="23"/>
  <c r="E171" i="23"/>
  <c r="E157" i="23"/>
  <c r="I157" i="23"/>
  <c r="C170" i="23"/>
  <c r="G174" i="23"/>
  <c r="G255" i="23"/>
  <c r="G178" i="23"/>
  <c r="G277" i="23" s="1"/>
  <c r="G184" i="23"/>
  <c r="G283" i="23" s="1"/>
  <c r="I259" i="23"/>
  <c r="I263" i="23"/>
  <c r="E40" i="3"/>
  <c r="O420" i="5"/>
  <c r="I332" i="5"/>
  <c r="C27" i="3" s="1"/>
  <c r="I340" i="5"/>
  <c r="C35" i="3"/>
  <c r="I344" i="5"/>
  <c r="C39" i="3"/>
  <c r="I355" i="5"/>
  <c r="D26" i="3" s="1"/>
  <c r="E29" i="3"/>
  <c r="I379" i="5"/>
  <c r="R242" i="5"/>
  <c r="R244" i="5"/>
  <c r="I401" i="5"/>
  <c r="F27" i="3" s="1"/>
  <c r="C422" i="5"/>
  <c r="D423" i="5"/>
  <c r="H423" i="5"/>
  <c r="C257" i="23"/>
  <c r="C261" i="23"/>
  <c r="D262" i="23"/>
  <c r="I380" i="5"/>
  <c r="E30" i="3"/>
  <c r="I412" i="5"/>
  <c r="F38" i="3"/>
  <c r="R438" i="5"/>
  <c r="H64" i="3"/>
  <c r="I227" i="23"/>
  <c r="C228" i="23"/>
  <c r="C176" i="23"/>
  <c r="C275" i="23" s="1"/>
  <c r="P155" i="23"/>
  <c r="G170" i="23"/>
  <c r="C174" i="23"/>
  <c r="I176" i="23"/>
  <c r="I275" i="23" s="1"/>
  <c r="I253" i="23"/>
  <c r="C178" i="23"/>
  <c r="C277" i="23" s="1"/>
  <c r="C255" i="23"/>
  <c r="E36" i="3"/>
  <c r="H58" i="3"/>
  <c r="B422" i="5"/>
  <c r="F422" i="5"/>
  <c r="G423" i="5"/>
  <c r="E223" i="23"/>
  <c r="E151" i="23"/>
  <c r="I223" i="23"/>
  <c r="I151" i="23"/>
  <c r="R246" i="5"/>
  <c r="R248" i="5"/>
  <c r="R375" i="5"/>
  <c r="E46" i="3" s="1"/>
  <c r="R252" i="5"/>
  <c r="R254" i="5"/>
  <c r="R256" i="5"/>
  <c r="I260" i="5"/>
  <c r="I264" i="5"/>
  <c r="I378" i="5"/>
  <c r="E28" i="3" s="1"/>
  <c r="H33" i="3"/>
  <c r="R241" i="5"/>
  <c r="R243" i="5"/>
  <c r="R247" i="5"/>
  <c r="R249" i="5"/>
  <c r="R251" i="5"/>
  <c r="R253" i="5"/>
  <c r="R400" i="5"/>
  <c r="F47" i="3" s="1"/>
  <c r="I258" i="5"/>
  <c r="I262" i="5"/>
  <c r="I402" i="5"/>
  <c r="F28" i="3" s="1"/>
  <c r="D420" i="5"/>
  <c r="H420" i="5"/>
  <c r="N420" i="5"/>
  <c r="F421" i="5"/>
  <c r="P421" i="5"/>
  <c r="E422" i="5"/>
  <c r="F423" i="5"/>
  <c r="E153" i="23"/>
  <c r="I153" i="23"/>
  <c r="C190" i="23"/>
  <c r="C289" i="23" s="1"/>
  <c r="G190" i="23"/>
  <c r="G289" i="23" s="1"/>
  <c r="X56" i="23"/>
  <c r="S224" i="23"/>
  <c r="G152" i="23"/>
  <c r="R155" i="23"/>
  <c r="R157" i="23"/>
  <c r="G164" i="23"/>
  <c r="G168" i="23"/>
  <c r="G172" i="23"/>
  <c r="E43" i="3"/>
  <c r="R330" i="5"/>
  <c r="C46" i="3" s="1"/>
  <c r="I333" i="5"/>
  <c r="C28" i="3" s="1"/>
  <c r="L101" i="23"/>
  <c r="L103" i="23"/>
  <c r="L107" i="23"/>
  <c r="L109" i="23"/>
  <c r="L113" i="23"/>
  <c r="L118" i="23"/>
  <c r="L122" i="23"/>
  <c r="L126" i="23"/>
  <c r="L130" i="23"/>
  <c r="L254" i="23" s="1"/>
  <c r="I241" i="5"/>
  <c r="I243" i="5"/>
  <c r="I245" i="5"/>
  <c r="I247" i="5"/>
  <c r="I249" i="5"/>
  <c r="I251" i="5"/>
  <c r="I253" i="5"/>
  <c r="I376" i="5"/>
  <c r="E26" i="3" s="1"/>
  <c r="I257" i="5"/>
  <c r="I261" i="5"/>
  <c r="I265" i="5"/>
  <c r="I269" i="5"/>
  <c r="I279" i="5"/>
  <c r="I388" i="5"/>
  <c r="I240" i="5"/>
  <c r="I242" i="5"/>
  <c r="I244" i="5"/>
  <c r="I248" i="5"/>
  <c r="I250" i="5"/>
  <c r="I252" i="5"/>
  <c r="I254" i="5"/>
  <c r="I400" i="5"/>
  <c r="F26" i="3" s="1"/>
  <c r="I259" i="5"/>
  <c r="I263" i="5"/>
  <c r="I267" i="5"/>
  <c r="E420" i="5"/>
  <c r="C421" i="5"/>
  <c r="I354" i="5"/>
  <c r="D25" i="3" s="1"/>
  <c r="T146" i="23"/>
  <c r="T154" i="23"/>
  <c r="C166" i="23"/>
  <c r="E179" i="23"/>
  <c r="E278" i="23" s="1"/>
  <c r="P223" i="23"/>
  <c r="T223" i="23"/>
  <c r="X59" i="23"/>
  <c r="S223" i="23"/>
  <c r="G224" i="23"/>
  <c r="T224" i="23"/>
  <c r="X63" i="23"/>
  <c r="E149" i="23"/>
  <c r="I165" i="23"/>
  <c r="I169" i="23"/>
  <c r="I173" i="23"/>
  <c r="G156" i="23"/>
  <c r="M421" i="5"/>
  <c r="Q421" i="5"/>
  <c r="C423" i="5"/>
  <c r="C164" i="23"/>
  <c r="R223" i="23"/>
  <c r="E224" i="23"/>
  <c r="I224" i="23"/>
  <c r="X66" i="23"/>
  <c r="I225" i="23"/>
  <c r="G225" i="23"/>
  <c r="D146" i="23"/>
  <c r="H146" i="23"/>
  <c r="Q146" i="23"/>
  <c r="E148" i="23"/>
  <c r="I148" i="23"/>
  <c r="C149" i="23"/>
  <c r="G149" i="23"/>
  <c r="P149" i="23"/>
  <c r="T149" i="23"/>
  <c r="E150" i="23"/>
  <c r="I150" i="23"/>
  <c r="R150" i="23"/>
  <c r="P151" i="23"/>
  <c r="T248" i="23"/>
  <c r="S152" i="23"/>
  <c r="D153" i="23"/>
  <c r="H153" i="23"/>
  <c r="F154" i="23"/>
  <c r="D155" i="23"/>
  <c r="H155" i="23"/>
  <c r="F249" i="23"/>
  <c r="U156" i="23"/>
  <c r="Q157" i="23"/>
  <c r="U157" i="23"/>
  <c r="R160" i="23"/>
  <c r="E250" i="23"/>
  <c r="E161" i="23"/>
  <c r="H166" i="23"/>
  <c r="I167" i="23"/>
  <c r="D170" i="23"/>
  <c r="H170" i="23"/>
  <c r="E252" i="23"/>
  <c r="I252" i="23"/>
  <c r="I171" i="23"/>
  <c r="D174" i="23"/>
  <c r="H174" i="23"/>
  <c r="I175" i="23"/>
  <c r="C187" i="23"/>
  <c r="C286" i="23" s="1"/>
  <c r="X64" i="23"/>
  <c r="D227" i="23"/>
  <c r="H227" i="23"/>
  <c r="F146" i="23"/>
  <c r="S146" i="23"/>
  <c r="C148" i="23"/>
  <c r="G150" i="23"/>
  <c r="E248" i="23"/>
  <c r="R248" i="23"/>
  <c r="D152" i="23"/>
  <c r="H152" i="23"/>
  <c r="Q152" i="23"/>
  <c r="U152" i="23"/>
  <c r="F153" i="23"/>
  <c r="S153" i="23"/>
  <c r="Q154" i="23"/>
  <c r="U154" i="23"/>
  <c r="F155" i="23"/>
  <c r="S155" i="23"/>
  <c r="S156" i="23"/>
  <c r="D157" i="23"/>
  <c r="H157" i="23"/>
  <c r="S157" i="23"/>
  <c r="D158" i="23"/>
  <c r="H158" i="23"/>
  <c r="S158" i="23"/>
  <c r="D159" i="23"/>
  <c r="H159" i="23"/>
  <c r="E160" i="23"/>
  <c r="I160" i="23"/>
  <c r="C161" i="23"/>
  <c r="G161" i="23"/>
  <c r="E162" i="23"/>
  <c r="I162" i="23"/>
  <c r="C163" i="23"/>
  <c r="G163" i="23"/>
  <c r="D164" i="23"/>
  <c r="H164" i="23"/>
  <c r="F251" i="23"/>
  <c r="C167" i="23"/>
  <c r="G167" i="23"/>
  <c r="D168" i="23"/>
  <c r="H168" i="23"/>
  <c r="F170" i="23"/>
  <c r="C171" i="23"/>
  <c r="G252" i="23"/>
  <c r="H172" i="23"/>
  <c r="F174" i="23"/>
  <c r="C175" i="23"/>
  <c r="G175" i="23"/>
  <c r="C181" i="23"/>
  <c r="C280" i="23" s="1"/>
  <c r="C185" i="23"/>
  <c r="C284" i="23" s="1"/>
  <c r="R151" i="23"/>
  <c r="I177" i="23"/>
  <c r="I276" i="23" s="1"/>
  <c r="F225" i="23"/>
  <c r="C227" i="23"/>
  <c r="G227" i="23"/>
  <c r="E146" i="23"/>
  <c r="I146" i="23"/>
  <c r="D147" i="23"/>
  <c r="H147" i="23"/>
  <c r="Q147" i="23"/>
  <c r="U147" i="23"/>
  <c r="S148" i="23"/>
  <c r="D149" i="23"/>
  <c r="H149" i="23"/>
  <c r="F150" i="23"/>
  <c r="D248" i="23"/>
  <c r="H248" i="23"/>
  <c r="U248" i="23"/>
  <c r="G154" i="23"/>
  <c r="C156" i="23"/>
  <c r="G249" i="23"/>
  <c r="C158" i="23"/>
  <c r="C159" i="23"/>
  <c r="G159" i="23"/>
  <c r="Q250" i="23"/>
  <c r="D162" i="23"/>
  <c r="H162" i="23"/>
  <c r="F163" i="23"/>
  <c r="D165" i="23"/>
  <c r="H165" i="23"/>
  <c r="E251" i="23"/>
  <c r="I166" i="23"/>
  <c r="D169" i="23"/>
  <c r="H169" i="23"/>
  <c r="E170" i="23"/>
  <c r="I170" i="23"/>
  <c r="F252" i="23"/>
  <c r="D173" i="23"/>
  <c r="H173" i="23"/>
  <c r="E174" i="23"/>
  <c r="I174" i="23"/>
  <c r="D177" i="23"/>
  <c r="D276" i="23" s="1"/>
  <c r="E184" i="23"/>
  <c r="E283" i="23" s="1"/>
  <c r="I184" i="23"/>
  <c r="I283" i="23" s="1"/>
  <c r="D187" i="23"/>
  <c r="D286" i="23" s="1"/>
  <c r="E190" i="23"/>
  <c r="E289" i="23" s="1"/>
  <c r="I190" i="23"/>
  <c r="I289" i="23" s="1"/>
  <c r="G176" i="23"/>
  <c r="G275" i="23" s="1"/>
  <c r="G182" i="23"/>
  <c r="G281" i="23" s="1"/>
  <c r="E183" i="23"/>
  <c r="E282" i="23" s="1"/>
  <c r="E187" i="23"/>
  <c r="E286" i="23" s="1"/>
  <c r="D151" i="22"/>
  <c r="D264" i="22"/>
  <c r="D179" i="22"/>
  <c r="D286" i="22" s="1"/>
  <c r="I182" i="22"/>
  <c r="I289" i="22" s="1"/>
  <c r="G255" i="22"/>
  <c r="I346" i="4"/>
  <c r="D7" i="3" s="1"/>
  <c r="E18" i="3"/>
  <c r="I380" i="4"/>
  <c r="D408" i="4"/>
  <c r="L83" i="22"/>
  <c r="L233" i="22" s="1"/>
  <c r="D147" i="22"/>
  <c r="E156" i="22"/>
  <c r="I164" i="22"/>
  <c r="G226" i="22"/>
  <c r="G227" i="22"/>
  <c r="L97" i="22"/>
  <c r="I267" i="22"/>
  <c r="D12" i="3"/>
  <c r="E13" i="3"/>
  <c r="B15" i="3"/>
  <c r="F15" i="3"/>
  <c r="E17" i="3"/>
  <c r="F18" i="3"/>
  <c r="I231" i="4"/>
  <c r="I235" i="4"/>
  <c r="I239" i="4"/>
  <c r="I243" i="4"/>
  <c r="I247" i="4"/>
  <c r="I251" i="4"/>
  <c r="I255" i="4"/>
  <c r="I261" i="4"/>
  <c r="I265" i="4"/>
  <c r="I271" i="4"/>
  <c r="F409" i="4"/>
  <c r="D409" i="4"/>
  <c r="C410" i="4"/>
  <c r="G410" i="4"/>
  <c r="F410" i="4"/>
  <c r="D411" i="4"/>
  <c r="H411" i="4"/>
  <c r="I331" i="4"/>
  <c r="C178" i="22"/>
  <c r="C285" i="22" s="1"/>
  <c r="F224" i="22"/>
  <c r="F142" i="22"/>
  <c r="E168" i="22"/>
  <c r="E275" i="22" s="1"/>
  <c r="E253" i="22"/>
  <c r="L128" i="22"/>
  <c r="L258" i="22" s="1"/>
  <c r="F173" i="22"/>
  <c r="F280" i="22" s="1"/>
  <c r="H260" i="22"/>
  <c r="H175" i="22"/>
  <c r="H282" i="22" s="1"/>
  <c r="E176" i="22"/>
  <c r="E283" i="22" s="1"/>
  <c r="E261" i="22"/>
  <c r="F14" i="3"/>
  <c r="C411" i="4"/>
  <c r="I335" i="4"/>
  <c r="I152" i="22"/>
  <c r="I156" i="22"/>
  <c r="E164" i="22"/>
  <c r="F19" i="3"/>
  <c r="I303" i="4"/>
  <c r="B6" i="3" s="1"/>
  <c r="I343" i="4"/>
  <c r="D4" i="3" s="1"/>
  <c r="I366" i="4"/>
  <c r="E4" i="3" s="1"/>
  <c r="I367" i="4"/>
  <c r="E5" i="3" s="1"/>
  <c r="I368" i="4"/>
  <c r="E6" i="3" s="1"/>
  <c r="I236" i="4"/>
  <c r="I240" i="4"/>
  <c r="I244" i="4"/>
  <c r="I248" i="4"/>
  <c r="I252" i="4"/>
  <c r="I256" i="4"/>
  <c r="I262" i="4"/>
  <c r="I266" i="4"/>
  <c r="G408" i="4"/>
  <c r="D410" i="4"/>
  <c r="B410" i="4"/>
  <c r="E411" i="4"/>
  <c r="F411" i="4"/>
  <c r="I370" i="4"/>
  <c r="I389" i="4"/>
  <c r="F6" i="3" s="1"/>
  <c r="I390" i="4"/>
  <c r="F7" i="3" s="1"/>
  <c r="I391" i="4"/>
  <c r="I396" i="4"/>
  <c r="I400" i="4"/>
  <c r="I402" i="4"/>
  <c r="F145" i="22"/>
  <c r="G150" i="22"/>
  <c r="C154" i="22"/>
  <c r="C158" i="22"/>
  <c r="C162" i="22"/>
  <c r="G166" i="22"/>
  <c r="G223" i="22"/>
  <c r="E224" i="22"/>
  <c r="I224" i="22"/>
  <c r="C140" i="22"/>
  <c r="G140" i="22"/>
  <c r="D141" i="22"/>
  <c r="H141" i="22"/>
  <c r="E142" i="22"/>
  <c r="I142" i="22"/>
  <c r="E145" i="22"/>
  <c r="I145" i="22"/>
  <c r="F146" i="22"/>
  <c r="L102" i="22"/>
  <c r="L147" i="22" s="1"/>
  <c r="G147" i="22"/>
  <c r="E149" i="22"/>
  <c r="I149" i="22"/>
  <c r="F150" i="22"/>
  <c r="L106" i="22"/>
  <c r="G151" i="22"/>
  <c r="E250" i="22"/>
  <c r="I153" i="22"/>
  <c r="F154" i="22"/>
  <c r="L110" i="22"/>
  <c r="G155" i="22"/>
  <c r="D156" i="22"/>
  <c r="H156" i="22"/>
  <c r="E157" i="22"/>
  <c r="I157" i="22"/>
  <c r="F251" i="22"/>
  <c r="L114" i="22"/>
  <c r="G159" i="22"/>
  <c r="D160" i="22"/>
  <c r="H160" i="22"/>
  <c r="E161" i="22"/>
  <c r="I161" i="22"/>
  <c r="L118" i="22"/>
  <c r="G252" i="22"/>
  <c r="D164" i="22"/>
  <c r="H164" i="22"/>
  <c r="E165" i="22"/>
  <c r="I165" i="22"/>
  <c r="L122" i="22"/>
  <c r="G167" i="22"/>
  <c r="G178" i="22"/>
  <c r="G285" i="22" s="1"/>
  <c r="F144" i="22"/>
  <c r="L100" i="22"/>
  <c r="G145" i="22"/>
  <c r="E147" i="22"/>
  <c r="I147" i="22"/>
  <c r="F249" i="22"/>
  <c r="L104" i="22"/>
  <c r="G149" i="22"/>
  <c r="E151" i="22"/>
  <c r="I151" i="22"/>
  <c r="L108" i="22"/>
  <c r="G250" i="22"/>
  <c r="L112" i="22"/>
  <c r="G157" i="22"/>
  <c r="L116" i="22"/>
  <c r="G161" i="22"/>
  <c r="D162" i="22"/>
  <c r="H162" i="22"/>
  <c r="E252" i="22"/>
  <c r="I252" i="22"/>
  <c r="L120" i="22"/>
  <c r="G165" i="22"/>
  <c r="D166" i="22"/>
  <c r="H166" i="22"/>
  <c r="E167" i="22"/>
  <c r="I167" i="22"/>
  <c r="L124" i="22"/>
  <c r="L254" i="22" s="1"/>
  <c r="C142" i="22"/>
  <c r="G142" i="22"/>
  <c r="C146" i="22"/>
  <c r="D155" i="22"/>
  <c r="D224" i="22"/>
  <c r="H224" i="22"/>
  <c r="D227" i="22"/>
  <c r="H227" i="22"/>
  <c r="D142" i="22"/>
  <c r="H142" i="22"/>
  <c r="E143" i="22"/>
  <c r="I143" i="22"/>
  <c r="G144" i="22"/>
  <c r="D145" i="22"/>
  <c r="H145" i="22"/>
  <c r="E146" i="22"/>
  <c r="I146" i="22"/>
  <c r="F147" i="22"/>
  <c r="C148" i="22"/>
  <c r="G148" i="22"/>
  <c r="D149" i="22"/>
  <c r="H149" i="22"/>
  <c r="E150" i="22"/>
  <c r="I150" i="22"/>
  <c r="F151" i="22"/>
  <c r="C152" i="22"/>
  <c r="G152" i="22"/>
  <c r="E154" i="22"/>
  <c r="I154" i="22"/>
  <c r="F155" i="22"/>
  <c r="C156" i="22"/>
  <c r="G156" i="22"/>
  <c r="D157" i="22"/>
  <c r="H157" i="22"/>
  <c r="E158" i="22"/>
  <c r="I158" i="22"/>
  <c r="F159" i="22"/>
  <c r="C160" i="22"/>
  <c r="G160" i="22"/>
  <c r="D161" i="22"/>
  <c r="H161" i="22"/>
  <c r="E162" i="22"/>
  <c r="I162" i="22"/>
  <c r="F252" i="22"/>
  <c r="C164" i="22"/>
  <c r="G164" i="22"/>
  <c r="D165" i="22"/>
  <c r="H165" i="22"/>
  <c r="E166" i="22"/>
  <c r="I166" i="22"/>
  <c r="F167" i="22"/>
  <c r="I377" i="5"/>
  <c r="E27" i="3" s="1"/>
  <c r="I383" i="5"/>
  <c r="X277" i="7"/>
  <c r="X255" i="7"/>
  <c r="X344" i="7"/>
  <c r="X345" i="7"/>
  <c r="L352" i="7"/>
  <c r="L391" i="7"/>
  <c r="E180" i="27"/>
  <c r="H180" i="27" s="1"/>
  <c r="E57" i="8"/>
  <c r="J278" i="27"/>
  <c r="E37" i="3"/>
  <c r="G409" i="4"/>
  <c r="I327" i="4"/>
  <c r="I388" i="4"/>
  <c r="F5" i="3" s="1"/>
  <c r="L140" i="23"/>
  <c r="D40" i="3"/>
  <c r="R250" i="5"/>
  <c r="I255" i="5"/>
  <c r="R255" i="5"/>
  <c r="I256" i="5"/>
  <c r="I266" i="5"/>
  <c r="I268" i="5"/>
  <c r="I270" i="5"/>
  <c r="I271" i="5"/>
  <c r="I274" i="5"/>
  <c r="I275" i="5"/>
  <c r="I276" i="5"/>
  <c r="I277" i="5"/>
  <c r="I278" i="5"/>
  <c r="I280" i="5"/>
  <c r="I281" i="5"/>
  <c r="I435" i="5" s="1"/>
  <c r="I284" i="5"/>
  <c r="I339" i="5"/>
  <c r="I399" i="5"/>
  <c r="F25" i="3" s="1"/>
  <c r="L299" i="6"/>
  <c r="L241" i="6"/>
  <c r="L245" i="6"/>
  <c r="L249" i="6"/>
  <c r="L253" i="6"/>
  <c r="L257" i="6"/>
  <c r="L261" i="6"/>
  <c r="L388" i="6"/>
  <c r="L247" i="6"/>
  <c r="L260" i="6"/>
  <c r="L263" i="6"/>
  <c r="L273" i="6"/>
  <c r="L276" i="6"/>
  <c r="L308" i="6"/>
  <c r="L326" i="6"/>
  <c r="L343" i="6"/>
  <c r="L350" i="6"/>
  <c r="X259" i="7"/>
  <c r="X265" i="7"/>
  <c r="X267" i="7"/>
  <c r="X269" i="7"/>
  <c r="X242" i="7"/>
  <c r="X245" i="7"/>
  <c r="C409" i="7"/>
  <c r="G409" i="7"/>
  <c r="K409" i="7"/>
  <c r="P409" i="7"/>
  <c r="T409" i="7"/>
  <c r="X253" i="7"/>
  <c r="C411" i="7"/>
  <c r="G411" i="7"/>
  <c r="L260" i="7"/>
  <c r="X261" i="7"/>
  <c r="X262" i="7"/>
  <c r="X263" i="7"/>
  <c r="X268" i="7"/>
  <c r="L270" i="7"/>
  <c r="X276" i="7"/>
  <c r="L278" i="7"/>
  <c r="X348" i="7"/>
  <c r="L358" i="7"/>
  <c r="L379" i="7"/>
  <c r="X397" i="7"/>
  <c r="B6" i="8"/>
  <c r="B15" i="8"/>
  <c r="B19" i="8"/>
  <c r="B25" i="8"/>
  <c r="L9" i="22"/>
  <c r="C6" i="8"/>
  <c r="L13" i="22"/>
  <c r="C7" i="8"/>
  <c r="L29" i="22"/>
  <c r="C10" i="8"/>
  <c r="F37" i="22"/>
  <c r="F210" i="22" s="1"/>
  <c r="L39" i="22"/>
  <c r="L212" i="22" s="1"/>
  <c r="C17" i="8"/>
  <c r="L43" i="22"/>
  <c r="L216" i="22" s="1"/>
  <c r="C21" i="8"/>
  <c r="E19" i="8"/>
  <c r="E25" i="8"/>
  <c r="L50" i="22"/>
  <c r="L54" i="22"/>
  <c r="F6" i="8"/>
  <c r="L58" i="22"/>
  <c r="F7" i="8"/>
  <c r="L62" i="22"/>
  <c r="L68" i="22"/>
  <c r="L72" i="22"/>
  <c r="L76" i="22"/>
  <c r="L80" i="22"/>
  <c r="F13" i="8"/>
  <c r="G12" i="8"/>
  <c r="K12" i="8" s="1"/>
  <c r="B57" i="8"/>
  <c r="B34" i="8"/>
  <c r="B36" i="8"/>
  <c r="L42" i="23"/>
  <c r="L213" i="23" s="1"/>
  <c r="C41" i="8"/>
  <c r="L45" i="23"/>
  <c r="L216" i="23" s="1"/>
  <c r="G55" i="8"/>
  <c r="K55" i="8" s="1"/>
  <c r="G58" i="8"/>
  <c r="K58" i="8" s="1"/>
  <c r="B29" i="8"/>
  <c r="C33" i="8"/>
  <c r="H330" i="14"/>
  <c r="B6" i="13" s="1"/>
  <c r="H198" i="14"/>
  <c r="H334" i="14"/>
  <c r="B10" i="13" s="1"/>
  <c r="B14" i="13"/>
  <c r="H338" i="14"/>
  <c r="H226" i="14"/>
  <c r="B18" i="13"/>
  <c r="H230" i="14"/>
  <c r="H342" i="14"/>
  <c r="B22" i="13"/>
  <c r="H346" i="14"/>
  <c r="H234" i="14"/>
  <c r="N6" i="27"/>
  <c r="N194" i="27" s="1"/>
  <c r="N288" i="27" s="1"/>
  <c r="N7" i="32"/>
  <c r="M195" i="32"/>
  <c r="B17" i="27"/>
  <c r="B111" i="27" s="1"/>
  <c r="B206" i="32"/>
  <c r="G18" i="32"/>
  <c r="H17" i="27" s="1"/>
  <c r="H111" i="27" s="1"/>
  <c r="S209" i="32"/>
  <c r="U21" i="32"/>
  <c r="U209" i="32" s="1"/>
  <c r="H31" i="27"/>
  <c r="H125" i="27" s="1"/>
  <c r="E32" i="13"/>
  <c r="P36" i="27"/>
  <c r="P130" i="27" s="1"/>
  <c r="P399" i="27" s="1"/>
  <c r="E60" i="13"/>
  <c r="H38" i="27"/>
  <c r="H354" i="27" s="1"/>
  <c r="E36" i="13"/>
  <c r="P39" i="27"/>
  <c r="P133" i="27" s="1"/>
  <c r="P402" i="27" s="1"/>
  <c r="E63" i="13"/>
  <c r="H41" i="27"/>
  <c r="H357" i="27" s="1"/>
  <c r="E39" i="13"/>
  <c r="P44" i="27"/>
  <c r="P138" i="27" s="1"/>
  <c r="P407" i="27" s="1"/>
  <c r="E68" i="13"/>
  <c r="P46" i="27"/>
  <c r="P140" i="27" s="1"/>
  <c r="P409" i="27" s="1"/>
  <c r="E70" i="13"/>
  <c r="L8" i="27"/>
  <c r="L196" i="27" s="1"/>
  <c r="L290" i="27" s="1"/>
  <c r="N56" i="32"/>
  <c r="N197" i="32" s="1"/>
  <c r="K197" i="32"/>
  <c r="U213" i="32"/>
  <c r="N325" i="32"/>
  <c r="B55" i="13" s="1"/>
  <c r="N204" i="32"/>
  <c r="U325" i="32"/>
  <c r="B77" i="13" s="1"/>
  <c r="N326" i="32"/>
  <c r="B56" i="13" s="1"/>
  <c r="N209" i="32"/>
  <c r="U215" i="32"/>
  <c r="U327" i="32"/>
  <c r="B79" i="13" s="1"/>
  <c r="G328" i="32"/>
  <c r="B32" i="13" s="1"/>
  <c r="G220" i="32"/>
  <c r="N224" i="32"/>
  <c r="N329" i="32"/>
  <c r="B59" i="13" s="1"/>
  <c r="G226" i="32"/>
  <c r="G331" i="32"/>
  <c r="B35" i="13" s="1"/>
  <c r="U227" i="32"/>
  <c r="U357" i="32" s="1"/>
  <c r="F84" i="13" s="1"/>
  <c r="J84" i="13" s="1"/>
  <c r="U332" i="32"/>
  <c r="B84" i="13" s="1"/>
  <c r="N229" i="32"/>
  <c r="N334" i="32"/>
  <c r="B64" i="13" s="1"/>
  <c r="G231" i="32"/>
  <c r="G336" i="32"/>
  <c r="B40" i="13" s="1"/>
  <c r="N232" i="32"/>
  <c r="N337" i="32"/>
  <c r="B67" i="13" s="1"/>
  <c r="G234" i="32"/>
  <c r="G364" i="32" s="1"/>
  <c r="F43" i="13" s="1"/>
  <c r="J43" i="13" s="1"/>
  <c r="G339" i="32"/>
  <c r="B43" i="13" s="1"/>
  <c r="G238" i="32"/>
  <c r="G368" i="32" s="1"/>
  <c r="G343" i="32"/>
  <c r="B47" i="13" s="1"/>
  <c r="D260" i="26"/>
  <c r="B281" i="26"/>
  <c r="F281" i="26"/>
  <c r="J250" i="27"/>
  <c r="N250" i="27"/>
  <c r="D272" i="27"/>
  <c r="J284" i="27"/>
  <c r="N284" i="27"/>
  <c r="H201" i="22"/>
  <c r="H147" i="22"/>
  <c r="E202" i="22"/>
  <c r="E148" i="22"/>
  <c r="K229" i="22"/>
  <c r="K169" i="22"/>
  <c r="K276" i="22" s="1"/>
  <c r="I148" i="22"/>
  <c r="L103" i="24"/>
  <c r="L386" i="6"/>
  <c r="X271" i="7"/>
  <c r="L277" i="7"/>
  <c r="X278" i="7"/>
  <c r="L280" i="7"/>
  <c r="X399" i="7"/>
  <c r="F273" i="26"/>
  <c r="N278" i="27"/>
  <c r="F138" i="28"/>
  <c r="C409" i="4"/>
  <c r="L136" i="23"/>
  <c r="D36" i="3"/>
  <c r="F13" i="3"/>
  <c r="C16" i="3"/>
  <c r="I253" i="4"/>
  <c r="L119" i="23"/>
  <c r="L127" i="23"/>
  <c r="L137" i="23"/>
  <c r="I413" i="5"/>
  <c r="I417" i="5"/>
  <c r="L135" i="24"/>
  <c r="L352" i="6"/>
  <c r="L271" i="6"/>
  <c r="L246" i="6"/>
  <c r="G407" i="6"/>
  <c r="H408" i="6"/>
  <c r="L342" i="6"/>
  <c r="L390" i="6"/>
  <c r="X298" i="7"/>
  <c r="X300" i="7"/>
  <c r="X273" i="7"/>
  <c r="X109" i="25"/>
  <c r="X343" i="7"/>
  <c r="L133" i="25"/>
  <c r="L351" i="7"/>
  <c r="L135" i="25"/>
  <c r="L353" i="7"/>
  <c r="L137" i="25"/>
  <c r="L355" i="7"/>
  <c r="L139" i="25"/>
  <c r="L357" i="7"/>
  <c r="L143" i="25"/>
  <c r="L361" i="7"/>
  <c r="L258" i="7"/>
  <c r="L264" i="7"/>
  <c r="X240" i="7"/>
  <c r="X243" i="7"/>
  <c r="X248" i="7"/>
  <c r="L250" i="7"/>
  <c r="X251" i="7"/>
  <c r="N410" i="7"/>
  <c r="R410" i="7"/>
  <c r="V410" i="7"/>
  <c r="X256" i="7"/>
  <c r="D412" i="7"/>
  <c r="H412" i="7"/>
  <c r="Q412" i="7"/>
  <c r="U412" i="7"/>
  <c r="X266" i="7"/>
  <c r="X274" i="7"/>
  <c r="L276" i="7"/>
  <c r="X284" i="7"/>
  <c r="X346" i="7"/>
  <c r="L356" i="7"/>
  <c r="X393" i="7"/>
  <c r="X403" i="7"/>
  <c r="B63" i="8"/>
  <c r="B7" i="8"/>
  <c r="B10" i="8"/>
  <c r="G16" i="8"/>
  <c r="K16" i="8" s="1"/>
  <c r="D6" i="8"/>
  <c r="D10" i="8"/>
  <c r="E6" i="8"/>
  <c r="L85" i="22"/>
  <c r="L235" i="22" s="1"/>
  <c r="F18" i="8"/>
  <c r="L89" i="22"/>
  <c r="L239" i="22" s="1"/>
  <c r="F22" i="8"/>
  <c r="B13" i="8"/>
  <c r="F9" i="8"/>
  <c r="B32" i="8"/>
  <c r="L14" i="23"/>
  <c r="L16" i="23"/>
  <c r="L18" i="23"/>
  <c r="L20" i="23"/>
  <c r="C31" i="8"/>
  <c r="L22" i="23"/>
  <c r="L26" i="23"/>
  <c r="C32" i="8"/>
  <c r="L34" i="23"/>
  <c r="L37" i="23"/>
  <c r="L208" i="23" s="1"/>
  <c r="D39" i="23"/>
  <c r="D210" i="23" s="1"/>
  <c r="I39" i="23"/>
  <c r="I210" i="23" s="1"/>
  <c r="E29" i="8"/>
  <c r="L87" i="23"/>
  <c r="L233" i="23" s="1"/>
  <c r="L91" i="23"/>
  <c r="L237" i="23" s="1"/>
  <c r="F55" i="8"/>
  <c r="D260" i="27"/>
  <c r="J270" i="27"/>
  <c r="N270" i="27"/>
  <c r="D276" i="27"/>
  <c r="D133" i="28"/>
  <c r="D157" i="28" s="1"/>
  <c r="B7" i="30"/>
  <c r="B101" i="30" s="1"/>
  <c r="I7" i="20"/>
  <c r="I7" i="30" s="1"/>
  <c r="B195" i="20"/>
  <c r="I26" i="30"/>
  <c r="I264" i="20"/>
  <c r="R28" i="30"/>
  <c r="R264" i="20"/>
  <c r="R30" i="30"/>
  <c r="R265" i="20"/>
  <c r="R36" i="30"/>
  <c r="R181" i="30" s="1"/>
  <c r="R267" i="20"/>
  <c r="R38" i="30"/>
  <c r="R183" i="30" s="1"/>
  <c r="R269" i="20"/>
  <c r="R40" i="30"/>
  <c r="R185" i="30" s="1"/>
  <c r="R271" i="20"/>
  <c r="R42" i="30"/>
  <c r="R187" i="30" s="1"/>
  <c r="R273" i="20"/>
  <c r="R44" i="30"/>
  <c r="R189" i="30" s="1"/>
  <c r="R275" i="20"/>
  <c r="R46" i="30"/>
  <c r="R191" i="30" s="1"/>
  <c r="R277" i="20"/>
  <c r="I313" i="20"/>
  <c r="R53" i="30"/>
  <c r="R194" i="20"/>
  <c r="R55" i="30"/>
  <c r="R196" i="20"/>
  <c r="I57" i="30"/>
  <c r="I199" i="20"/>
  <c r="R59" i="30"/>
  <c r="R200" i="20"/>
  <c r="R61" i="30"/>
  <c r="R202" i="20"/>
  <c r="R63" i="30"/>
  <c r="R204" i="20"/>
  <c r="R65" i="30"/>
  <c r="R206" i="20"/>
  <c r="R67" i="30"/>
  <c r="R332" i="20"/>
  <c r="R208" i="20"/>
  <c r="R69" i="30"/>
  <c r="R210" i="20"/>
  <c r="R72" i="30"/>
  <c r="R333" i="20"/>
  <c r="R213" i="20"/>
  <c r="R74" i="30"/>
  <c r="R215" i="20"/>
  <c r="R76" i="30"/>
  <c r="R123" i="30" s="1"/>
  <c r="R217" i="20"/>
  <c r="R78" i="30"/>
  <c r="R125" i="30" s="1"/>
  <c r="R219" i="20"/>
  <c r="R80" i="30"/>
  <c r="R221" i="20"/>
  <c r="R82" i="30"/>
  <c r="R335" i="20"/>
  <c r="R223" i="20"/>
  <c r="R360" i="20" s="1"/>
  <c r="R84" i="30"/>
  <c r="R337" i="20"/>
  <c r="R225" i="20"/>
  <c r="R362" i="20" s="1"/>
  <c r="R86" i="30"/>
  <c r="R339" i="20"/>
  <c r="R227" i="20"/>
  <c r="R364" i="20" s="1"/>
  <c r="R88" i="30"/>
  <c r="R341" i="20"/>
  <c r="R229" i="20"/>
  <c r="R366" i="20" s="1"/>
  <c r="I91" i="30"/>
  <c r="I344" i="20"/>
  <c r="I232" i="20"/>
  <c r="I369" i="20" s="1"/>
  <c r="R92" i="30"/>
  <c r="R345" i="20"/>
  <c r="R233" i="20"/>
  <c r="R370" i="20" s="1"/>
  <c r="S215" i="23"/>
  <c r="S185" i="23"/>
  <c r="S284" i="23" s="1"/>
  <c r="C186" i="23"/>
  <c r="C285" i="23" s="1"/>
  <c r="C216" i="23"/>
  <c r="G186" i="23"/>
  <c r="G285" i="23" s="1"/>
  <c r="G216" i="23"/>
  <c r="K216" i="23"/>
  <c r="K186" i="23"/>
  <c r="K285" i="23" s="1"/>
  <c r="C154" i="24"/>
  <c r="G154" i="24"/>
  <c r="K154" i="24"/>
  <c r="L123" i="24"/>
  <c r="L344" i="6"/>
  <c r="L264" i="6"/>
  <c r="L275" i="6"/>
  <c r="L279" i="6"/>
  <c r="L354" i="6"/>
  <c r="X247" i="7"/>
  <c r="L389" i="7"/>
  <c r="L87" i="22"/>
  <c r="L237" i="22" s="1"/>
  <c r="F16" i="8"/>
  <c r="E31" i="8"/>
  <c r="B273" i="26"/>
  <c r="B138" i="28"/>
  <c r="B272" i="28" s="1"/>
  <c r="I232" i="4"/>
  <c r="F408" i="4"/>
  <c r="B18" i="3"/>
  <c r="D22" i="3"/>
  <c r="C144" i="22"/>
  <c r="L99" i="22"/>
  <c r="I229" i="4"/>
  <c r="I387" i="4"/>
  <c r="F4" i="3" s="1"/>
  <c r="I237" i="4"/>
  <c r="I241" i="4"/>
  <c r="I249" i="4"/>
  <c r="I263" i="4"/>
  <c r="I267" i="4"/>
  <c r="I374" i="4"/>
  <c r="I378" i="4"/>
  <c r="I384" i="4"/>
  <c r="L110" i="23"/>
  <c r="L114" i="23"/>
  <c r="L123" i="23"/>
  <c r="L133" i="23"/>
  <c r="L143" i="23"/>
  <c r="R399" i="5"/>
  <c r="F46" i="3" s="1"/>
  <c r="R245" i="5"/>
  <c r="I356" i="5"/>
  <c r="D27" i="3" s="1"/>
  <c r="I357" i="5"/>
  <c r="D28" i="3" s="1"/>
  <c r="I359" i="5"/>
  <c r="I362" i="5"/>
  <c r="I365" i="5"/>
  <c r="I366" i="5"/>
  <c r="I369" i="5"/>
  <c r="I404" i="5"/>
  <c r="I407" i="5"/>
  <c r="I409" i="5"/>
  <c r="I411" i="5"/>
  <c r="I414" i="5"/>
  <c r="L255" i="24"/>
  <c r="L139" i="24"/>
  <c r="L356" i="6"/>
  <c r="L385" i="6"/>
  <c r="L243" i="6"/>
  <c r="C407" i="6"/>
  <c r="K407" i="6"/>
  <c r="D408" i="6"/>
  <c r="L269" i="6"/>
  <c r="L272" i="6"/>
  <c r="B14" i="3"/>
  <c r="D16" i="3"/>
  <c r="D17" i="3"/>
  <c r="D30" i="3"/>
  <c r="B38" i="3"/>
  <c r="D43" i="3"/>
  <c r="H49" i="3"/>
  <c r="H51" i="3"/>
  <c r="H53" i="3"/>
  <c r="H55" i="3"/>
  <c r="H57" i="3"/>
  <c r="H59" i="3"/>
  <c r="H61" i="3"/>
  <c r="I143" i="4"/>
  <c r="I233" i="4" s="1"/>
  <c r="I230" i="4"/>
  <c r="I234" i="4"/>
  <c r="I238" i="4"/>
  <c r="I242" i="4"/>
  <c r="I250" i="4"/>
  <c r="I254" i="4"/>
  <c r="I258" i="4"/>
  <c r="I264" i="4"/>
  <c r="L99" i="23"/>
  <c r="L102" i="23"/>
  <c r="L104" i="23"/>
  <c r="L106" i="23"/>
  <c r="L108" i="23"/>
  <c r="L111" i="23"/>
  <c r="L116" i="23"/>
  <c r="L120" i="23"/>
  <c r="L124" i="23"/>
  <c r="L128" i="23"/>
  <c r="L134" i="23"/>
  <c r="D34" i="3"/>
  <c r="L138" i="23"/>
  <c r="D38" i="3"/>
  <c r="C105" i="23"/>
  <c r="C152" i="23" s="1"/>
  <c r="B246" i="5"/>
  <c r="I152" i="5"/>
  <c r="I246" i="5" s="1"/>
  <c r="I375" i="5"/>
  <c r="E25" i="3" s="1"/>
  <c r="I314" i="5"/>
  <c r="I319" i="5"/>
  <c r="I321" i="5"/>
  <c r="I323" i="5"/>
  <c r="L297" i="6"/>
  <c r="L98" i="24"/>
  <c r="L102" i="24"/>
  <c r="L106" i="24"/>
  <c r="L110" i="24"/>
  <c r="L114" i="24"/>
  <c r="L118" i="24"/>
  <c r="L122" i="24"/>
  <c r="L126" i="24"/>
  <c r="L267" i="24"/>
  <c r="L259" i="6"/>
  <c r="L267" i="6"/>
  <c r="B406" i="6"/>
  <c r="F406" i="6"/>
  <c r="J406" i="6"/>
  <c r="L265" i="6"/>
  <c r="L281" i="6"/>
  <c r="L341" i="6"/>
  <c r="L100" i="25"/>
  <c r="L102" i="25"/>
  <c r="L104" i="25"/>
  <c r="L106" i="25"/>
  <c r="L108" i="25"/>
  <c r="L110" i="25"/>
  <c r="L112" i="25"/>
  <c r="L114" i="25"/>
  <c r="L116" i="25"/>
  <c r="L118" i="25"/>
  <c r="L120" i="25"/>
  <c r="L122" i="25"/>
  <c r="L124" i="25"/>
  <c r="L126" i="25"/>
  <c r="L128" i="25"/>
  <c r="L130" i="25"/>
  <c r="X133" i="25"/>
  <c r="X135" i="25"/>
  <c r="X137" i="25"/>
  <c r="X143" i="25"/>
  <c r="X279" i="7"/>
  <c r="E410" i="7"/>
  <c r="I410" i="7"/>
  <c r="L271" i="7"/>
  <c r="L274" i="7"/>
  <c r="X280" i="7"/>
  <c r="L284" i="7"/>
  <c r="L346" i="7"/>
  <c r="X347" i="7"/>
  <c r="L354" i="7"/>
  <c r="X355" i="7"/>
  <c r="F39" i="8"/>
  <c r="C44" i="8"/>
  <c r="B8" i="8"/>
  <c r="B11" i="8"/>
  <c r="C180" i="26"/>
  <c r="L7" i="22"/>
  <c r="L11" i="22"/>
  <c r="L15" i="22"/>
  <c r="L19" i="22"/>
  <c r="L23" i="22"/>
  <c r="C9" i="8"/>
  <c r="L27" i="22"/>
  <c r="L31" i="22"/>
  <c r="L35" i="22"/>
  <c r="L208" i="22" s="1"/>
  <c r="C13" i="8"/>
  <c r="L41" i="22"/>
  <c r="L214" i="22" s="1"/>
  <c r="L47" i="22"/>
  <c r="L220" i="22" s="1"/>
  <c r="E7" i="8"/>
  <c r="E14" i="8"/>
  <c r="L52" i="22"/>
  <c r="L56" i="22"/>
  <c r="L60" i="22"/>
  <c r="L66" i="22"/>
  <c r="L70" i="22"/>
  <c r="L74" i="22"/>
  <c r="L78" i="22"/>
  <c r="L228" i="22" s="1"/>
  <c r="F11" i="8"/>
  <c r="I82" i="22"/>
  <c r="B21" i="8"/>
  <c r="B30" i="8"/>
  <c r="D30" i="8"/>
  <c r="E39" i="8"/>
  <c r="L62" i="23"/>
  <c r="L64" i="23"/>
  <c r="L66" i="23"/>
  <c r="L72" i="23"/>
  <c r="F32" i="8"/>
  <c r="L76" i="23"/>
  <c r="L80" i="23"/>
  <c r="L84" i="23"/>
  <c r="L230" i="23" s="1"/>
  <c r="F36" i="8"/>
  <c r="L14" i="24"/>
  <c r="L34" i="24"/>
  <c r="L206" i="24" s="1"/>
  <c r="L37" i="24"/>
  <c r="L209" i="24" s="1"/>
  <c r="L41" i="24"/>
  <c r="L213" i="24" s="1"/>
  <c r="L45" i="24"/>
  <c r="L217" i="24" s="1"/>
  <c r="L15" i="25"/>
  <c r="X25" i="25"/>
  <c r="X204" i="25" s="1"/>
  <c r="X35" i="25"/>
  <c r="X206" i="25" s="1"/>
  <c r="X37" i="25"/>
  <c r="X208" i="25" s="1"/>
  <c r="X41" i="25"/>
  <c r="X212" i="25" s="1"/>
  <c r="X43" i="25"/>
  <c r="X214" i="25" s="1"/>
  <c r="X45" i="25"/>
  <c r="X216" i="25" s="1"/>
  <c r="B463" i="26"/>
  <c r="F265" i="26"/>
  <c r="D276" i="26"/>
  <c r="J274" i="27"/>
  <c r="N274" i="27"/>
  <c r="D280" i="27"/>
  <c r="B130" i="28"/>
  <c r="F130" i="28"/>
  <c r="F269" i="28" s="1"/>
  <c r="L34" i="22"/>
  <c r="L207" i="22" s="1"/>
  <c r="L51" i="22"/>
  <c r="L55" i="22"/>
  <c r="L59" i="22"/>
  <c r="L63" i="22"/>
  <c r="L69" i="22"/>
  <c r="L73" i="22"/>
  <c r="L77" i="22"/>
  <c r="L88" i="22"/>
  <c r="L238" i="22" s="1"/>
  <c r="B16" i="8"/>
  <c r="B20" i="8"/>
  <c r="C18" i="8"/>
  <c r="C22" i="8"/>
  <c r="B424" i="27"/>
  <c r="B227" i="27"/>
  <c r="B449" i="27" s="1"/>
  <c r="L6" i="23"/>
  <c r="L8" i="23"/>
  <c r="L10" i="23"/>
  <c r="L12" i="23"/>
  <c r="L23" i="23"/>
  <c r="L27" i="23"/>
  <c r="L31" i="23"/>
  <c r="L35" i="23"/>
  <c r="L206" i="23" s="1"/>
  <c r="E39" i="23"/>
  <c r="E210" i="23" s="1"/>
  <c r="L43" i="23"/>
  <c r="L214" i="23" s="1"/>
  <c r="L46" i="23"/>
  <c r="L217" i="23" s="1"/>
  <c r="O52" i="23"/>
  <c r="X52" i="23" s="1"/>
  <c r="L52" i="23"/>
  <c r="L54" i="23"/>
  <c r="L56" i="23"/>
  <c r="L58" i="23"/>
  <c r="L67" i="23"/>
  <c r="L73" i="23"/>
  <c r="L77" i="23"/>
  <c r="L81" i="23"/>
  <c r="L88" i="23"/>
  <c r="L234" i="23" s="1"/>
  <c r="L92" i="23"/>
  <c r="L238" i="23" s="1"/>
  <c r="F29" i="8"/>
  <c r="F31" i="8"/>
  <c r="F33" i="8"/>
  <c r="L7" i="24"/>
  <c r="L11" i="24"/>
  <c r="L15" i="24"/>
  <c r="L19" i="24"/>
  <c r="L23" i="24"/>
  <c r="L27" i="24"/>
  <c r="L31" i="24"/>
  <c r="L35" i="24"/>
  <c r="L207" i="24" s="1"/>
  <c r="L38" i="24"/>
  <c r="L210" i="24" s="1"/>
  <c r="L42" i="24"/>
  <c r="L214" i="24" s="1"/>
  <c r="L48" i="24"/>
  <c r="L220" i="24" s="1"/>
  <c r="H33" i="26"/>
  <c r="H37" i="26"/>
  <c r="H353" i="26" s="1"/>
  <c r="H41" i="26"/>
  <c r="H357" i="26" s="1"/>
  <c r="H45" i="26"/>
  <c r="H361" i="26" s="1"/>
  <c r="E30" i="26"/>
  <c r="E124" i="26" s="1"/>
  <c r="H124" i="14"/>
  <c r="H308" i="14" s="1"/>
  <c r="C10" i="13" s="1"/>
  <c r="E218" i="14"/>
  <c r="E356" i="14" s="1"/>
  <c r="H219" i="14"/>
  <c r="H223" i="14"/>
  <c r="H227" i="14"/>
  <c r="H231" i="14"/>
  <c r="H237" i="14"/>
  <c r="C356" i="14"/>
  <c r="H263" i="14"/>
  <c r="E9" i="13" s="1"/>
  <c r="H271" i="14"/>
  <c r="E17" i="13" s="1"/>
  <c r="B5" i="27"/>
  <c r="B193" i="27" s="1"/>
  <c r="B287" i="27" s="1"/>
  <c r="P10" i="27"/>
  <c r="P104" i="27" s="1"/>
  <c r="B12" i="27"/>
  <c r="B106" i="27" s="1"/>
  <c r="G13" i="32"/>
  <c r="H12" i="27" s="1"/>
  <c r="H106" i="27" s="1"/>
  <c r="B16" i="27"/>
  <c r="B110" i="27" s="1"/>
  <c r="G17" i="32"/>
  <c r="H16" i="27" s="1"/>
  <c r="H110" i="27" s="1"/>
  <c r="P17" i="27"/>
  <c r="P205" i="27" s="1"/>
  <c r="P299" i="27" s="1"/>
  <c r="N206" i="32"/>
  <c r="S211" i="32"/>
  <c r="U23" i="32"/>
  <c r="U211" i="32" s="1"/>
  <c r="B194" i="32"/>
  <c r="G100" i="32"/>
  <c r="P203" i="32"/>
  <c r="P349" i="32" s="1"/>
  <c r="U109" i="32"/>
  <c r="U203" i="32" s="1"/>
  <c r="M30" i="27"/>
  <c r="M350" i="27" s="1"/>
  <c r="L219" i="32"/>
  <c r="L353" i="32" s="1"/>
  <c r="L306" i="32"/>
  <c r="N125" i="32"/>
  <c r="N306" i="32" s="1"/>
  <c r="C58" i="13" s="1"/>
  <c r="U195" i="32"/>
  <c r="N196" i="32"/>
  <c r="U197" i="32"/>
  <c r="B151" i="27"/>
  <c r="B199" i="32"/>
  <c r="G152" i="32"/>
  <c r="U201" i="32"/>
  <c r="N203" i="32"/>
  <c r="N211" i="32"/>
  <c r="G217" i="32"/>
  <c r="N220" i="32"/>
  <c r="G222" i="32"/>
  <c r="T197" i="32"/>
  <c r="R349" i="32"/>
  <c r="D350" i="32"/>
  <c r="B205" i="32"/>
  <c r="B324" i="32"/>
  <c r="H265" i="26"/>
  <c r="H271" i="26"/>
  <c r="H273" i="26"/>
  <c r="H275" i="26"/>
  <c r="H277" i="26"/>
  <c r="H279" i="26"/>
  <c r="H281" i="26"/>
  <c r="D464" i="26"/>
  <c r="B469" i="26"/>
  <c r="F469" i="26"/>
  <c r="D472" i="26"/>
  <c r="H270" i="27"/>
  <c r="H271" i="27"/>
  <c r="H272" i="27"/>
  <c r="H273" i="27"/>
  <c r="H274" i="27"/>
  <c r="H275" i="27"/>
  <c r="H276" i="27"/>
  <c r="H277" i="27"/>
  <c r="H278" i="27"/>
  <c r="H279" i="27"/>
  <c r="H280" i="27"/>
  <c r="H281" i="27"/>
  <c r="H284" i="27"/>
  <c r="D245" i="27"/>
  <c r="J255" i="27"/>
  <c r="N255" i="27"/>
  <c r="D265" i="27"/>
  <c r="J271" i="27"/>
  <c r="N271" i="27"/>
  <c r="D273" i="27"/>
  <c r="J275" i="27"/>
  <c r="N275" i="27"/>
  <c r="D277" i="27"/>
  <c r="J279" i="27"/>
  <c r="N279" i="27"/>
  <c r="D281" i="27"/>
  <c r="D127" i="28"/>
  <c r="D268" i="28" s="1"/>
  <c r="B132" i="28"/>
  <c r="B270" i="28" s="1"/>
  <c r="F132" i="28"/>
  <c r="D135" i="28"/>
  <c r="D159" i="28" s="1"/>
  <c r="D142" i="28"/>
  <c r="C146" i="28"/>
  <c r="C280" i="28" s="1"/>
  <c r="G146" i="28"/>
  <c r="G280" i="28" s="1"/>
  <c r="D205" i="22"/>
  <c r="H205" i="22"/>
  <c r="H163" i="22"/>
  <c r="B215" i="22"/>
  <c r="B177" i="22"/>
  <c r="B284" i="22" s="1"/>
  <c r="B242" i="22"/>
  <c r="B182" i="22"/>
  <c r="B289" i="22" s="1"/>
  <c r="J242" i="22"/>
  <c r="J182" i="22"/>
  <c r="J289" i="22" s="1"/>
  <c r="D248" i="22"/>
  <c r="D143" i="22"/>
  <c r="H248" i="22"/>
  <c r="H143" i="22"/>
  <c r="F152" i="22"/>
  <c r="D158" i="22"/>
  <c r="D251" i="22"/>
  <c r="H158" i="22"/>
  <c r="H251" i="22"/>
  <c r="E159" i="22"/>
  <c r="I159" i="22"/>
  <c r="F164" i="22"/>
  <c r="D255" i="22"/>
  <c r="D170" i="22"/>
  <c r="D277" i="22" s="1"/>
  <c r="H255" i="22"/>
  <c r="H170" i="22"/>
  <c r="H277" i="22" s="1"/>
  <c r="E256" i="22"/>
  <c r="E171" i="22"/>
  <c r="E278" i="22" s="1"/>
  <c r="I256" i="22"/>
  <c r="I171" i="22"/>
  <c r="I278" i="22" s="1"/>
  <c r="F257" i="22"/>
  <c r="L127" i="22"/>
  <c r="F259" i="22"/>
  <c r="F174" i="22"/>
  <c r="F281" i="22" s="1"/>
  <c r="L129" i="22"/>
  <c r="F260" i="22"/>
  <c r="F175" i="22"/>
  <c r="F282" i="22" s="1"/>
  <c r="L130" i="22"/>
  <c r="F261" i="22"/>
  <c r="F176" i="22"/>
  <c r="F283" i="22" s="1"/>
  <c r="L131" i="22"/>
  <c r="F177" i="22"/>
  <c r="F284" i="22" s="1"/>
  <c r="L132" i="22"/>
  <c r="F263" i="22"/>
  <c r="F178" i="22"/>
  <c r="F285" i="22" s="1"/>
  <c r="L133" i="22"/>
  <c r="F264" i="22"/>
  <c r="F179" i="22"/>
  <c r="F286" i="22" s="1"/>
  <c r="L134" i="22"/>
  <c r="F267" i="22"/>
  <c r="F182" i="22"/>
  <c r="F289" i="22" s="1"/>
  <c r="L137" i="22"/>
  <c r="D163" i="22"/>
  <c r="J177" i="22"/>
  <c r="J284" i="22" s="1"/>
  <c r="F262" i="22"/>
  <c r="Q203" i="23"/>
  <c r="U203" i="23"/>
  <c r="B238" i="23"/>
  <c r="B186" i="23"/>
  <c r="B285" i="23" s="1"/>
  <c r="J238" i="23"/>
  <c r="J186" i="23"/>
  <c r="J285" i="23" s="1"/>
  <c r="H251" i="23"/>
  <c r="C239" i="24"/>
  <c r="L92" i="24"/>
  <c r="L239" i="24" s="1"/>
  <c r="C8" i="8"/>
  <c r="F10" i="8"/>
  <c r="F423" i="27"/>
  <c r="F226" i="27"/>
  <c r="F448" i="27" s="1"/>
  <c r="C424" i="27"/>
  <c r="C227" i="27"/>
  <c r="C449" i="27" s="1"/>
  <c r="N424" i="27"/>
  <c r="N227" i="27"/>
  <c r="N449" i="27" s="1"/>
  <c r="L24" i="23"/>
  <c r="F39" i="23"/>
  <c r="F210" i="23" s="1"/>
  <c r="L40" i="23"/>
  <c r="L211" i="23" s="1"/>
  <c r="L49" i="23"/>
  <c r="L220" i="23" s="1"/>
  <c r="L63" i="23"/>
  <c r="L65" i="23"/>
  <c r="L74" i="23"/>
  <c r="L78" i="23"/>
  <c r="L89" i="23"/>
  <c r="L235" i="23" s="1"/>
  <c r="B58" i="8"/>
  <c r="C29" i="8"/>
  <c r="C30" i="8"/>
  <c r="L4" i="24"/>
  <c r="L8" i="24"/>
  <c r="L12" i="24"/>
  <c r="L16" i="24"/>
  <c r="L20" i="24"/>
  <c r="L24" i="24"/>
  <c r="L28" i="24"/>
  <c r="L32" i="24"/>
  <c r="L36" i="24"/>
  <c r="L208" i="24" s="1"/>
  <c r="L39" i="24"/>
  <c r="L211" i="24" s="1"/>
  <c r="L43" i="24"/>
  <c r="L215" i="24" s="1"/>
  <c r="L6" i="25"/>
  <c r="L8" i="25"/>
  <c r="L10" i="25"/>
  <c r="L12" i="25"/>
  <c r="L14" i="25"/>
  <c r="L16" i="25"/>
  <c r="L18" i="25"/>
  <c r="L20" i="25"/>
  <c r="L22" i="25"/>
  <c r="X205" i="25"/>
  <c r="X36" i="25"/>
  <c r="X207" i="25" s="1"/>
  <c r="X40" i="25"/>
  <c r="X211" i="25" s="1"/>
  <c r="X44" i="25"/>
  <c r="X215" i="25" s="1"/>
  <c r="H264" i="14"/>
  <c r="E10" i="13" s="1"/>
  <c r="H215" i="14"/>
  <c r="H196" i="14"/>
  <c r="H200" i="14"/>
  <c r="H204" i="14"/>
  <c r="H208" i="14"/>
  <c r="H332" i="14"/>
  <c r="B8" i="13" s="1"/>
  <c r="E352" i="14"/>
  <c r="D355" i="14"/>
  <c r="H228" i="14"/>
  <c r="H260" i="14"/>
  <c r="E6" i="13" s="1"/>
  <c r="H336" i="14"/>
  <c r="H344" i="14"/>
  <c r="B9" i="27"/>
  <c r="B197" i="27" s="1"/>
  <c r="B291" i="27" s="1"/>
  <c r="G10" i="32"/>
  <c r="E76" i="13"/>
  <c r="M12" i="27"/>
  <c r="M200" i="27" s="1"/>
  <c r="M294" i="27" s="1"/>
  <c r="N13" i="32"/>
  <c r="P12" i="27" s="1"/>
  <c r="P200" i="27" s="1"/>
  <c r="P294" i="27" s="1"/>
  <c r="L201" i="32"/>
  <c r="L16" i="27"/>
  <c r="L204" i="27" s="1"/>
  <c r="L298" i="27" s="1"/>
  <c r="N17" i="32"/>
  <c r="P16" i="27" s="1"/>
  <c r="P204" i="27" s="1"/>
  <c r="P298" i="27" s="1"/>
  <c r="H24" i="27"/>
  <c r="H212" i="27" s="1"/>
  <c r="H306" i="27" s="1"/>
  <c r="G213" i="32"/>
  <c r="L6" i="27"/>
  <c r="L100" i="27" s="1"/>
  <c r="K195" i="32"/>
  <c r="N54" i="32"/>
  <c r="B198" i="32"/>
  <c r="G57" i="32"/>
  <c r="N19" i="27"/>
  <c r="N113" i="27" s="1"/>
  <c r="M208" i="32"/>
  <c r="M350" i="32" s="1"/>
  <c r="M278" i="32"/>
  <c r="N67" i="32"/>
  <c r="P19" i="27" s="1"/>
  <c r="G280" i="32"/>
  <c r="D31" i="13" s="1"/>
  <c r="N281" i="32"/>
  <c r="D58" i="13" s="1"/>
  <c r="G216" i="32"/>
  <c r="N146" i="27"/>
  <c r="N147" i="32"/>
  <c r="N200" i="32"/>
  <c r="G202" i="32"/>
  <c r="N208" i="32"/>
  <c r="G210" i="32"/>
  <c r="N217" i="32"/>
  <c r="G221" i="32"/>
  <c r="N222" i="32"/>
  <c r="U223" i="32"/>
  <c r="N225" i="32"/>
  <c r="G227" i="32"/>
  <c r="N228" i="32"/>
  <c r="G230" i="32"/>
  <c r="U231" i="32"/>
  <c r="U361" i="32" s="1"/>
  <c r="F88" i="13" s="1"/>
  <c r="J88" i="13" s="1"/>
  <c r="N233" i="32"/>
  <c r="N235" i="32"/>
  <c r="N365" i="32" s="1"/>
  <c r="F70" i="13" s="1"/>
  <c r="J70" i="13" s="1"/>
  <c r="F349" i="32"/>
  <c r="B201" i="32"/>
  <c r="K350" i="32"/>
  <c r="M351" i="32"/>
  <c r="B352" i="32"/>
  <c r="F352" i="32"/>
  <c r="K352" i="32"/>
  <c r="E31" i="13"/>
  <c r="B245" i="26"/>
  <c r="F245" i="26"/>
  <c r="D466" i="26"/>
  <c r="B471" i="26"/>
  <c r="F471" i="26"/>
  <c r="D474" i="26"/>
  <c r="D250" i="27"/>
  <c r="J260" i="27"/>
  <c r="N260" i="27"/>
  <c r="D270" i="27"/>
  <c r="J272" i="27"/>
  <c r="N272" i="27"/>
  <c r="D274" i="27"/>
  <c r="J276" i="27"/>
  <c r="N276" i="27"/>
  <c r="D278" i="27"/>
  <c r="J280" i="27"/>
  <c r="N280" i="27"/>
  <c r="D284" i="27"/>
  <c r="D137" i="28"/>
  <c r="D161" i="28" s="1"/>
  <c r="E144" i="28"/>
  <c r="E278" i="28" s="1"/>
  <c r="H144" i="28"/>
  <c r="H278" i="28" s="1"/>
  <c r="I30" i="29"/>
  <c r="I218" i="19"/>
  <c r="I34" i="29"/>
  <c r="I170" i="29" s="1"/>
  <c r="I222" i="19"/>
  <c r="I265" i="19"/>
  <c r="I38" i="29"/>
  <c r="I174" i="29" s="1"/>
  <c r="I226" i="19"/>
  <c r="I269" i="19"/>
  <c r="I42" i="29"/>
  <c r="I178" i="29" s="1"/>
  <c r="I230" i="19"/>
  <c r="I273" i="19"/>
  <c r="I48" i="29"/>
  <c r="I184" i="29" s="1"/>
  <c r="I236" i="19"/>
  <c r="I279" i="19"/>
  <c r="I207" i="19"/>
  <c r="G204" i="22"/>
  <c r="G158" i="22"/>
  <c r="L84" i="22"/>
  <c r="L234" i="22" s="1"/>
  <c r="I179" i="23"/>
  <c r="I278" i="23" s="1"/>
  <c r="I209" i="23"/>
  <c r="X65" i="23"/>
  <c r="Q224" i="23"/>
  <c r="E177" i="23"/>
  <c r="E276" i="23" s="1"/>
  <c r="E229" i="23"/>
  <c r="E233" i="23"/>
  <c r="E181" i="23"/>
  <c r="E280" i="23" s="1"/>
  <c r="O153" i="23"/>
  <c r="X106" i="23"/>
  <c r="D154" i="23"/>
  <c r="H154" i="23"/>
  <c r="O155" i="23"/>
  <c r="X108" i="23"/>
  <c r="R250" i="23"/>
  <c r="R161" i="23"/>
  <c r="D172" i="23"/>
  <c r="D252" i="23"/>
  <c r="D253" i="23"/>
  <c r="D176" i="23"/>
  <c r="D275" i="23" s="1"/>
  <c r="H253" i="23"/>
  <c r="H176" i="23"/>
  <c r="H275" i="23" s="1"/>
  <c r="D259" i="23"/>
  <c r="D182" i="23"/>
  <c r="D281" i="23" s="1"/>
  <c r="H259" i="23"/>
  <c r="H182" i="23"/>
  <c r="H281" i="23" s="1"/>
  <c r="D263" i="23"/>
  <c r="D186" i="23"/>
  <c r="D285" i="23" s="1"/>
  <c r="H263" i="23"/>
  <c r="H186" i="23"/>
  <c r="H285" i="23" s="1"/>
  <c r="B175" i="24"/>
  <c r="B275" i="24" s="1"/>
  <c r="B253" i="24"/>
  <c r="F175" i="24"/>
  <c r="F275" i="24" s="1"/>
  <c r="F253" i="24"/>
  <c r="J175" i="24"/>
  <c r="J275" i="24" s="1"/>
  <c r="J253" i="24"/>
  <c r="C176" i="24"/>
  <c r="C276" i="24" s="1"/>
  <c r="C254" i="24"/>
  <c r="G176" i="24"/>
  <c r="G276" i="24" s="1"/>
  <c r="G254" i="24"/>
  <c r="K176" i="24"/>
  <c r="K276" i="24" s="1"/>
  <c r="K254" i="24"/>
  <c r="X90" i="25"/>
  <c r="X236" i="25" s="1"/>
  <c r="C252" i="25"/>
  <c r="C171" i="25"/>
  <c r="G252" i="25"/>
  <c r="G171" i="25"/>
  <c r="K252" i="25"/>
  <c r="K171" i="25"/>
  <c r="L100" i="23"/>
  <c r="L112" i="23"/>
  <c r="L117" i="23"/>
  <c r="L121" i="23"/>
  <c r="L125" i="23"/>
  <c r="L129" i="23"/>
  <c r="L135" i="23"/>
  <c r="L139" i="23"/>
  <c r="L115" i="23"/>
  <c r="L162" i="23" s="1"/>
  <c r="L100" i="24"/>
  <c r="L104" i="24"/>
  <c r="L108" i="24"/>
  <c r="L112" i="24"/>
  <c r="L116" i="24"/>
  <c r="L120" i="24"/>
  <c r="L124" i="24"/>
  <c r="L129" i="24"/>
  <c r="L99" i="25"/>
  <c r="L101" i="25"/>
  <c r="L103" i="25"/>
  <c r="L105" i="25"/>
  <c r="L107" i="25"/>
  <c r="L109" i="25"/>
  <c r="L111" i="25"/>
  <c r="L113" i="25"/>
  <c r="L115" i="25"/>
  <c r="L117" i="25"/>
  <c r="L119" i="25"/>
  <c r="L121" i="25"/>
  <c r="L123" i="25"/>
  <c r="L125" i="25"/>
  <c r="L127" i="25"/>
  <c r="L129" i="25"/>
  <c r="L255" i="25"/>
  <c r="X134" i="25"/>
  <c r="X136" i="25"/>
  <c r="X138" i="25"/>
  <c r="X140" i="25"/>
  <c r="L345" i="7"/>
  <c r="L347" i="7"/>
  <c r="L349" i="7"/>
  <c r="E35" i="8"/>
  <c r="C37" i="8"/>
  <c r="F40" i="8"/>
  <c r="E43" i="8"/>
  <c r="F44" i="8"/>
  <c r="C45" i="8"/>
  <c r="E63" i="8"/>
  <c r="D424" i="26"/>
  <c r="D227" i="26"/>
  <c r="D446" i="26" s="1"/>
  <c r="L8" i="22"/>
  <c r="L16" i="22"/>
  <c r="L20" i="22"/>
  <c r="L24" i="22"/>
  <c r="L32" i="22"/>
  <c r="L36" i="22"/>
  <c r="L38" i="22"/>
  <c r="L211" i="22" s="1"/>
  <c r="L42" i="22"/>
  <c r="L215" i="22" s="1"/>
  <c r="L53" i="22"/>
  <c r="L61" i="22"/>
  <c r="L71" i="22"/>
  <c r="L75" i="22"/>
  <c r="L79" i="22"/>
  <c r="L229" i="22" s="1"/>
  <c r="L86" i="22"/>
  <c r="L236" i="22" s="1"/>
  <c r="C12" i="8"/>
  <c r="C16" i="8"/>
  <c r="C20" i="8"/>
  <c r="F8" i="8"/>
  <c r="F21" i="8"/>
  <c r="D424" i="27"/>
  <c r="D227" i="27"/>
  <c r="D449" i="27" s="1"/>
  <c r="L5" i="23"/>
  <c r="L7" i="23"/>
  <c r="L9" i="23"/>
  <c r="L11" i="23"/>
  <c r="L13" i="23"/>
  <c r="L25" i="23"/>
  <c r="L29" i="23"/>
  <c r="L33" i="23"/>
  <c r="G39" i="23"/>
  <c r="L41" i="23"/>
  <c r="L212" i="23" s="1"/>
  <c r="L44" i="23"/>
  <c r="L215" i="23" s="1"/>
  <c r="L53" i="23"/>
  <c r="O53" i="23"/>
  <c r="X53" i="23" s="1"/>
  <c r="L55" i="23"/>
  <c r="L57" i="23"/>
  <c r="L59" i="23"/>
  <c r="L75" i="23"/>
  <c r="L79" i="23"/>
  <c r="L83" i="23"/>
  <c r="L229" i="23" s="1"/>
  <c r="L90" i="23"/>
  <c r="L236" i="23" s="1"/>
  <c r="L5" i="24"/>
  <c r="L9" i="24"/>
  <c r="L13" i="24"/>
  <c r="L17" i="24"/>
  <c r="L21" i="24"/>
  <c r="L25" i="24"/>
  <c r="L29" i="24"/>
  <c r="L33" i="24"/>
  <c r="L40" i="24"/>
  <c r="L212" i="24" s="1"/>
  <c r="L44" i="24"/>
  <c r="L216" i="24" s="1"/>
  <c r="X6" i="25"/>
  <c r="X8" i="25"/>
  <c r="X10" i="25"/>
  <c r="X12" i="25"/>
  <c r="X14" i="25"/>
  <c r="X16" i="25"/>
  <c r="X18" i="25"/>
  <c r="X20" i="25"/>
  <c r="X22" i="25"/>
  <c r="L25" i="25"/>
  <c r="L27" i="25"/>
  <c r="L29" i="25"/>
  <c r="L31" i="25"/>
  <c r="L33" i="25"/>
  <c r="L35" i="25"/>
  <c r="L206" i="25" s="1"/>
  <c r="L37" i="25"/>
  <c r="L208" i="25" s="1"/>
  <c r="L39" i="25"/>
  <c r="L210" i="25" s="1"/>
  <c r="L41" i="25"/>
  <c r="L212" i="25" s="1"/>
  <c r="L43" i="25"/>
  <c r="L214" i="25" s="1"/>
  <c r="L45" i="25"/>
  <c r="L216" i="25" s="1"/>
  <c r="L49" i="25"/>
  <c r="L220" i="25" s="1"/>
  <c r="H6" i="26"/>
  <c r="H100" i="26" s="1"/>
  <c r="H10" i="26"/>
  <c r="H104" i="26" s="1"/>
  <c r="H14" i="26"/>
  <c r="H108" i="26" s="1"/>
  <c r="H18" i="26"/>
  <c r="H112" i="26" s="1"/>
  <c r="H22" i="26"/>
  <c r="H116" i="26" s="1"/>
  <c r="H27" i="26"/>
  <c r="H31" i="26"/>
  <c r="H35" i="26"/>
  <c r="H351" i="26" s="1"/>
  <c r="H39" i="26"/>
  <c r="H355" i="26" s="1"/>
  <c r="H43" i="26"/>
  <c r="H359" i="26" s="1"/>
  <c r="H49" i="26"/>
  <c r="H365" i="26" s="1"/>
  <c r="H284" i="14"/>
  <c r="D8" i="13" s="1"/>
  <c r="H304" i="14"/>
  <c r="C6" i="13" s="1"/>
  <c r="H217" i="14"/>
  <c r="H221" i="14"/>
  <c r="B353" i="14"/>
  <c r="F353" i="14"/>
  <c r="E354" i="14"/>
  <c r="H262" i="14"/>
  <c r="E8" i="13" s="1"/>
  <c r="H267" i="14"/>
  <c r="E13" i="13" s="1"/>
  <c r="H275" i="14"/>
  <c r="E21" i="13" s="1"/>
  <c r="E308" i="14"/>
  <c r="H331" i="14"/>
  <c r="B7" i="13" s="1"/>
  <c r="G6" i="32"/>
  <c r="U17" i="32"/>
  <c r="E77" i="13" s="1"/>
  <c r="R205" i="32"/>
  <c r="R350" i="32" s="1"/>
  <c r="B19" i="27"/>
  <c r="B207" i="27" s="1"/>
  <c r="B301" i="27" s="1"/>
  <c r="G20" i="32"/>
  <c r="U281" i="32"/>
  <c r="D80" i="13" s="1"/>
  <c r="B302" i="32"/>
  <c r="G105" i="32"/>
  <c r="G302" i="32" s="1"/>
  <c r="C28" i="13" s="1"/>
  <c r="N303" i="32"/>
  <c r="C55" i="13" s="1"/>
  <c r="G304" i="32"/>
  <c r="C30" i="13" s="1"/>
  <c r="U199" i="32"/>
  <c r="U324" i="32"/>
  <c r="B76" i="13" s="1"/>
  <c r="B153" i="27"/>
  <c r="G154" i="32"/>
  <c r="N202" i="32"/>
  <c r="G326" i="32"/>
  <c r="B30" i="13" s="1"/>
  <c r="G215" i="32"/>
  <c r="G218" i="32"/>
  <c r="F350" i="32"/>
  <c r="D351" i="32"/>
  <c r="P351" i="32"/>
  <c r="D353" i="32"/>
  <c r="K353" i="32"/>
  <c r="R353" i="32"/>
  <c r="D250" i="26"/>
  <c r="B255" i="26"/>
  <c r="F255" i="26"/>
  <c r="B465" i="26"/>
  <c r="F465" i="26"/>
  <c r="D468" i="26"/>
  <c r="B473" i="26"/>
  <c r="F473" i="26"/>
  <c r="D478" i="26"/>
  <c r="P245" i="27"/>
  <c r="P295" i="27"/>
  <c r="P250" i="27"/>
  <c r="P255" i="27"/>
  <c r="P465" i="27"/>
  <c r="P265" i="27"/>
  <c r="P270" i="27"/>
  <c r="P271" i="27"/>
  <c r="P272" i="27"/>
  <c r="P273" i="27"/>
  <c r="P274" i="27"/>
  <c r="P275" i="27"/>
  <c r="P276" i="27"/>
  <c r="P277" i="27"/>
  <c r="P278" i="27"/>
  <c r="P279" i="27"/>
  <c r="P280" i="27"/>
  <c r="P281" i="27"/>
  <c r="P284" i="27"/>
  <c r="J245" i="27"/>
  <c r="N245" i="27"/>
  <c r="D255" i="27"/>
  <c r="J265" i="27"/>
  <c r="N265" i="27"/>
  <c r="D271" i="27"/>
  <c r="J273" i="27"/>
  <c r="N273" i="27"/>
  <c r="D275" i="27"/>
  <c r="J277" i="27"/>
  <c r="N277" i="27"/>
  <c r="D279" i="27"/>
  <c r="J281" i="27"/>
  <c r="N281" i="27"/>
  <c r="D139" i="28"/>
  <c r="D273" i="28" s="1"/>
  <c r="B143" i="28"/>
  <c r="F143" i="28"/>
  <c r="F351" i="19"/>
  <c r="F203" i="22"/>
  <c r="F153" i="22"/>
  <c r="J203" i="22"/>
  <c r="J153" i="22"/>
  <c r="F207" i="22"/>
  <c r="F169" i="22"/>
  <c r="F276" i="22" s="1"/>
  <c r="J207" i="22"/>
  <c r="J169" i="22"/>
  <c r="J276" i="22" s="1"/>
  <c r="D252" i="22"/>
  <c r="G204" i="23"/>
  <c r="G166" i="23"/>
  <c r="D205" i="23"/>
  <c r="B148" i="23"/>
  <c r="J148" i="23"/>
  <c r="K227" i="23"/>
  <c r="K171" i="23"/>
  <c r="F147" i="23"/>
  <c r="X100" i="23"/>
  <c r="Q148" i="23"/>
  <c r="U148" i="23"/>
  <c r="O149" i="23"/>
  <c r="X102" i="23"/>
  <c r="O248" i="23"/>
  <c r="O151" i="23"/>
  <c r="X104" i="23"/>
  <c r="S248" i="23"/>
  <c r="S151" i="23"/>
  <c r="I181" i="23"/>
  <c r="I280" i="23" s="1"/>
  <c r="O190" i="25"/>
  <c r="O289" i="25" s="1"/>
  <c r="O267" i="25"/>
  <c r="S190" i="25"/>
  <c r="S289" i="25" s="1"/>
  <c r="S267" i="25"/>
  <c r="W190" i="25"/>
  <c r="W289" i="25" s="1"/>
  <c r="W267" i="25"/>
  <c r="H28" i="26"/>
  <c r="H122" i="26" s="1"/>
  <c r="H225" i="14"/>
  <c r="H229" i="14"/>
  <c r="H233" i="14"/>
  <c r="H261" i="14"/>
  <c r="E7" i="13" s="1"/>
  <c r="H268" i="14"/>
  <c r="E14" i="13" s="1"/>
  <c r="H335" i="14"/>
  <c r="H339" i="14"/>
  <c r="H343" i="14"/>
  <c r="H349" i="14"/>
  <c r="B6" i="27"/>
  <c r="B194" i="27" s="1"/>
  <c r="B288" i="27" s="1"/>
  <c r="H13" i="27"/>
  <c r="H107" i="27" s="1"/>
  <c r="P14" i="27"/>
  <c r="P202" i="27" s="1"/>
  <c r="P296" i="27" s="1"/>
  <c r="P15" i="27"/>
  <c r="P109" i="27" s="1"/>
  <c r="P20" i="27"/>
  <c r="P114" i="27" s="1"/>
  <c r="P21" i="27"/>
  <c r="P209" i="27" s="1"/>
  <c r="P303" i="27" s="1"/>
  <c r="P25" i="27"/>
  <c r="P119" i="27" s="1"/>
  <c r="H28" i="27"/>
  <c r="H122" i="27" s="1"/>
  <c r="H32" i="27"/>
  <c r="H126" i="27" s="1"/>
  <c r="P33" i="27"/>
  <c r="P221" i="27" s="1"/>
  <c r="P315" i="27" s="1"/>
  <c r="H35" i="27"/>
  <c r="H351" i="27" s="1"/>
  <c r="P38" i="27"/>
  <c r="P132" i="27" s="1"/>
  <c r="P401" i="27" s="1"/>
  <c r="H40" i="27"/>
  <c r="H356" i="27" s="1"/>
  <c r="P41" i="27"/>
  <c r="P135" i="27" s="1"/>
  <c r="P404" i="27" s="1"/>
  <c r="H43" i="27"/>
  <c r="H359" i="27" s="1"/>
  <c r="B34" i="27"/>
  <c r="B128" i="27" s="1"/>
  <c r="N100" i="32"/>
  <c r="P5" i="27" s="1"/>
  <c r="P193" i="27" s="1"/>
  <c r="H146" i="27"/>
  <c r="F195" i="27"/>
  <c r="F289" i="27" s="1"/>
  <c r="H149" i="27"/>
  <c r="H150" i="27"/>
  <c r="B199" i="27"/>
  <c r="B293" i="27" s="1"/>
  <c r="H152" i="27"/>
  <c r="H157" i="27"/>
  <c r="H158" i="27"/>
  <c r="E207" i="32"/>
  <c r="E350" i="32" s="1"/>
  <c r="C209" i="32"/>
  <c r="C351" i="32" s="1"/>
  <c r="N214" i="32"/>
  <c r="E219" i="32"/>
  <c r="E353" i="32" s="1"/>
  <c r="E56" i="13"/>
  <c r="B278" i="32"/>
  <c r="F278" i="32"/>
  <c r="N327" i="32"/>
  <c r="B57" i="13" s="1"/>
  <c r="B328" i="32"/>
  <c r="H52" i="26"/>
  <c r="H54" i="26"/>
  <c r="H56" i="26"/>
  <c r="H58" i="26"/>
  <c r="H60" i="26"/>
  <c r="H62" i="26"/>
  <c r="H64" i="26"/>
  <c r="H66" i="26"/>
  <c r="H68" i="26"/>
  <c r="H70" i="26"/>
  <c r="H117" i="26" s="1"/>
  <c r="H72" i="26"/>
  <c r="H74" i="26"/>
  <c r="H76" i="26"/>
  <c r="H78" i="26"/>
  <c r="H80" i="26"/>
  <c r="H82" i="26"/>
  <c r="H84" i="26"/>
  <c r="H86" i="26"/>
  <c r="H88" i="26"/>
  <c r="H90" i="26"/>
  <c r="H92" i="26"/>
  <c r="H96" i="26"/>
  <c r="C459" i="26"/>
  <c r="G459" i="26"/>
  <c r="E460" i="26"/>
  <c r="C461" i="26"/>
  <c r="G461" i="26"/>
  <c r="H256" i="26"/>
  <c r="E462" i="26"/>
  <c r="C463" i="26"/>
  <c r="G463" i="26"/>
  <c r="E464" i="26"/>
  <c r="C465" i="26"/>
  <c r="G465" i="26"/>
  <c r="E466" i="26"/>
  <c r="C467" i="26"/>
  <c r="G467" i="26"/>
  <c r="E468" i="26"/>
  <c r="C469" i="26"/>
  <c r="G469" i="26"/>
  <c r="E470" i="26"/>
  <c r="C471" i="26"/>
  <c r="G471" i="26"/>
  <c r="E472" i="26"/>
  <c r="C473" i="26"/>
  <c r="G473" i="26"/>
  <c r="E474" i="26"/>
  <c r="C475" i="26"/>
  <c r="G475" i="26"/>
  <c r="E478" i="26"/>
  <c r="H368" i="27"/>
  <c r="H369" i="27"/>
  <c r="H370" i="27"/>
  <c r="H371" i="27"/>
  <c r="H119" i="27"/>
  <c r="H372" i="27"/>
  <c r="H373" i="27"/>
  <c r="H374" i="27"/>
  <c r="H375" i="27"/>
  <c r="H376" i="27"/>
  <c r="H377" i="27"/>
  <c r="H378" i="27"/>
  <c r="H379" i="27"/>
  <c r="H380" i="27"/>
  <c r="H381" i="27"/>
  <c r="H382" i="27"/>
  <c r="H383" i="27"/>
  <c r="H384" i="27"/>
  <c r="H387" i="27"/>
  <c r="E462" i="27"/>
  <c r="K462" i="27"/>
  <c r="K292" i="27"/>
  <c r="O462" i="27"/>
  <c r="O292" i="27"/>
  <c r="E463" i="27"/>
  <c r="K463" i="27"/>
  <c r="K297" i="27"/>
  <c r="O463" i="27"/>
  <c r="E464" i="27"/>
  <c r="K464" i="27"/>
  <c r="K302" i="27"/>
  <c r="O464" i="27"/>
  <c r="O302" i="27"/>
  <c r="E465" i="27"/>
  <c r="K465" i="27"/>
  <c r="K307" i="27"/>
  <c r="E466" i="27"/>
  <c r="K466" i="27"/>
  <c r="O466" i="27"/>
  <c r="E467" i="27"/>
  <c r="K467" i="27"/>
  <c r="O467" i="27"/>
  <c r="E468" i="27"/>
  <c r="K468" i="27"/>
  <c r="O468" i="27"/>
  <c r="E469" i="27"/>
  <c r="K469" i="27"/>
  <c r="O469" i="27"/>
  <c r="E470" i="27"/>
  <c r="K470" i="27"/>
  <c r="O470" i="27"/>
  <c r="E471" i="27"/>
  <c r="K471" i="27"/>
  <c r="O471" i="27"/>
  <c r="E472" i="27"/>
  <c r="K472" i="27"/>
  <c r="O472" i="27"/>
  <c r="E473" i="27"/>
  <c r="K473" i="27"/>
  <c r="O473" i="27"/>
  <c r="E474" i="27"/>
  <c r="K474" i="27"/>
  <c r="O474" i="27"/>
  <c r="E475" i="27"/>
  <c r="K475" i="27"/>
  <c r="O475" i="27"/>
  <c r="E476" i="27"/>
  <c r="K476" i="27"/>
  <c r="O476" i="27"/>
  <c r="E477" i="27"/>
  <c r="K477" i="27"/>
  <c r="O477" i="27"/>
  <c r="E478" i="27"/>
  <c r="K478" i="27"/>
  <c r="O478" i="27"/>
  <c r="E481" i="27"/>
  <c r="K481" i="27"/>
  <c r="O481" i="27"/>
  <c r="H55" i="28"/>
  <c r="H63" i="28"/>
  <c r="H210" i="28"/>
  <c r="H67" i="28"/>
  <c r="H225" i="28" s="1"/>
  <c r="H212" i="28"/>
  <c r="H69" i="28"/>
  <c r="H227" i="28" s="1"/>
  <c r="H214" i="28"/>
  <c r="H71" i="28"/>
  <c r="H229" i="28" s="1"/>
  <c r="E127" i="28"/>
  <c r="E268" i="28" s="1"/>
  <c r="C130" i="28"/>
  <c r="C269" i="28" s="1"/>
  <c r="G130" i="28"/>
  <c r="G269" i="28" s="1"/>
  <c r="C132" i="28"/>
  <c r="G132" i="28"/>
  <c r="E135" i="28"/>
  <c r="D140" i="28"/>
  <c r="D274" i="28" s="1"/>
  <c r="B141" i="28"/>
  <c r="B275" i="28" s="1"/>
  <c r="F141" i="28"/>
  <c r="F275" i="28" s="1"/>
  <c r="E276" i="28"/>
  <c r="E166" i="28"/>
  <c r="E291" i="28" s="1"/>
  <c r="G277" i="28"/>
  <c r="G167" i="28"/>
  <c r="G292" i="28" s="1"/>
  <c r="B144" i="28"/>
  <c r="B278" i="28" s="1"/>
  <c r="F144" i="28"/>
  <c r="D146" i="28"/>
  <c r="D280" i="28" s="1"/>
  <c r="I11" i="29"/>
  <c r="I14" i="29"/>
  <c r="I261" i="19"/>
  <c r="G27" i="29"/>
  <c r="G168" i="29" s="1"/>
  <c r="I27" i="19"/>
  <c r="I27" i="29" s="1"/>
  <c r="I51" i="29"/>
  <c r="I192" i="19"/>
  <c r="I55" i="29"/>
  <c r="I102" i="29" s="1"/>
  <c r="I196" i="19"/>
  <c r="I57" i="29"/>
  <c r="I198" i="19"/>
  <c r="I61" i="29"/>
  <c r="I329" i="19"/>
  <c r="I202" i="19"/>
  <c r="I65" i="29"/>
  <c r="I206" i="19"/>
  <c r="I70" i="29"/>
  <c r="I74" i="29"/>
  <c r="I78" i="29"/>
  <c r="I219" i="19"/>
  <c r="I82" i="29"/>
  <c r="I223" i="19"/>
  <c r="I86" i="29"/>
  <c r="I227" i="19"/>
  <c r="I90" i="29"/>
  <c r="I231" i="19"/>
  <c r="D351" i="19"/>
  <c r="H351" i="19"/>
  <c r="E352" i="19"/>
  <c r="I262" i="19"/>
  <c r="K5" i="30"/>
  <c r="S5" i="30" s="1"/>
  <c r="R5" i="20"/>
  <c r="R5" i="30" s="1"/>
  <c r="N19" i="30"/>
  <c r="N176" i="30" s="1"/>
  <c r="R19" i="20"/>
  <c r="R19" i="30" s="1"/>
  <c r="N262" i="20"/>
  <c r="N207" i="20"/>
  <c r="N356" i="20" s="1"/>
  <c r="I209" i="20"/>
  <c r="I212" i="20"/>
  <c r="I214" i="20"/>
  <c r="O356" i="20"/>
  <c r="O357" i="20"/>
  <c r="F201" i="22"/>
  <c r="J201" i="22"/>
  <c r="E205" i="22"/>
  <c r="I205" i="22"/>
  <c r="I225" i="22"/>
  <c r="I226" i="22"/>
  <c r="E227" i="22"/>
  <c r="I227" i="22"/>
  <c r="B228" i="22"/>
  <c r="B168" i="22"/>
  <c r="B275" i="22" s="1"/>
  <c r="J228" i="22"/>
  <c r="J168" i="22"/>
  <c r="J275" i="22" s="1"/>
  <c r="K233" i="22"/>
  <c r="K173" i="22"/>
  <c r="K280" i="22" s="1"/>
  <c r="F140" i="22"/>
  <c r="L96" i="22"/>
  <c r="G141" i="22"/>
  <c r="D250" i="22"/>
  <c r="D153" i="22"/>
  <c r="H250" i="22"/>
  <c r="H153" i="22"/>
  <c r="D254" i="22"/>
  <c r="D169" i="22"/>
  <c r="D276" i="22" s="1"/>
  <c r="H254" i="22"/>
  <c r="H169" i="22"/>
  <c r="H276" i="22" s="1"/>
  <c r="E172" i="22"/>
  <c r="E279" i="22" s="1"/>
  <c r="D175" i="22"/>
  <c r="D282" i="22" s="1"/>
  <c r="I176" i="22"/>
  <c r="I283" i="22" s="1"/>
  <c r="H179" i="22"/>
  <c r="H286" i="22" s="1"/>
  <c r="D203" i="22"/>
  <c r="J223" i="22"/>
  <c r="H252" i="22"/>
  <c r="F202" i="23"/>
  <c r="J202" i="23"/>
  <c r="X20" i="23"/>
  <c r="Q273" i="23"/>
  <c r="X273" i="23" s="1"/>
  <c r="Q208" i="23"/>
  <c r="Q178" i="23"/>
  <c r="Q277" i="23" s="1"/>
  <c r="U208" i="23"/>
  <c r="U178" i="23"/>
  <c r="U277" i="23" s="1"/>
  <c r="S220" i="23"/>
  <c r="S190" i="23"/>
  <c r="S289" i="23" s="1"/>
  <c r="K147" i="23"/>
  <c r="F223" i="23"/>
  <c r="J151" i="23"/>
  <c r="J223" i="23"/>
  <c r="B152" i="23"/>
  <c r="J152" i="23"/>
  <c r="X61" i="23"/>
  <c r="B172" i="23"/>
  <c r="J172" i="23"/>
  <c r="C147" i="23"/>
  <c r="G147" i="23"/>
  <c r="P147" i="23"/>
  <c r="T147" i="23"/>
  <c r="R148" i="23"/>
  <c r="C151" i="23"/>
  <c r="G151" i="23"/>
  <c r="R152" i="23"/>
  <c r="T155" i="23"/>
  <c r="E158" i="23"/>
  <c r="I158" i="23"/>
  <c r="T159" i="23"/>
  <c r="X113" i="23"/>
  <c r="D250" i="23"/>
  <c r="D161" i="23"/>
  <c r="H250" i="23"/>
  <c r="H161" i="23"/>
  <c r="F162" i="23"/>
  <c r="X115" i="23"/>
  <c r="D163" i="23"/>
  <c r="H163" i="23"/>
  <c r="F169" i="23"/>
  <c r="H252" i="23"/>
  <c r="H171" i="23"/>
  <c r="F173" i="23"/>
  <c r="D175" i="23"/>
  <c r="C179" i="23"/>
  <c r="C278" i="23" s="1"/>
  <c r="D181" i="23"/>
  <c r="D280" i="23" s="1"/>
  <c r="H258" i="23"/>
  <c r="H181" i="23"/>
  <c r="H280" i="23" s="1"/>
  <c r="H262" i="23"/>
  <c r="H185" i="23"/>
  <c r="H284" i="23" s="1"/>
  <c r="T156" i="23"/>
  <c r="E185" i="23"/>
  <c r="E284" i="23" s="1"/>
  <c r="T212" i="23"/>
  <c r="G220" i="23"/>
  <c r="G248" i="23"/>
  <c r="U249" i="23"/>
  <c r="L77" i="24"/>
  <c r="D169" i="24"/>
  <c r="H169" i="24"/>
  <c r="E170" i="24"/>
  <c r="E252" i="24"/>
  <c r="I170" i="24"/>
  <c r="I252" i="24"/>
  <c r="G178" i="24"/>
  <c r="G278" i="24" s="1"/>
  <c r="J205" i="24"/>
  <c r="N227" i="25"/>
  <c r="X77" i="25"/>
  <c r="I149" i="25"/>
  <c r="V155" i="25"/>
  <c r="I166" i="25"/>
  <c r="H184" i="25"/>
  <c r="H283" i="25" s="1"/>
  <c r="C232" i="26"/>
  <c r="C451" i="26" s="1"/>
  <c r="C360" i="26"/>
  <c r="G232" i="26"/>
  <c r="G451" i="26" s="1"/>
  <c r="G360" i="26"/>
  <c r="H175" i="26"/>
  <c r="B222" i="26"/>
  <c r="B316" i="26" s="1"/>
  <c r="C358" i="27"/>
  <c r="C136" i="27"/>
  <c r="C405" i="27" s="1"/>
  <c r="H42" i="27"/>
  <c r="H358" i="27" s="1"/>
  <c r="E359" i="27"/>
  <c r="E137" i="27"/>
  <c r="E406" i="27" s="1"/>
  <c r="N359" i="27"/>
  <c r="N231" i="27"/>
  <c r="N453" i="27" s="1"/>
  <c r="N137" i="27"/>
  <c r="N406" i="27" s="1"/>
  <c r="D365" i="27"/>
  <c r="D143" i="27"/>
  <c r="D412" i="27" s="1"/>
  <c r="M365" i="27"/>
  <c r="M237" i="27"/>
  <c r="M459" i="27" s="1"/>
  <c r="M143" i="27"/>
  <c r="M412" i="27" s="1"/>
  <c r="H34" i="27"/>
  <c r="H128" i="27" s="1"/>
  <c r="H147" i="27"/>
  <c r="M415" i="27"/>
  <c r="M198" i="27"/>
  <c r="M292" i="27" s="1"/>
  <c r="H155" i="27"/>
  <c r="B416" i="27"/>
  <c r="H156" i="27"/>
  <c r="H160" i="27"/>
  <c r="F194" i="32"/>
  <c r="B195" i="32"/>
  <c r="F195" i="32"/>
  <c r="B203" i="32"/>
  <c r="B223" i="32"/>
  <c r="B353" i="32" s="1"/>
  <c r="E59" i="13"/>
  <c r="E35" i="13"/>
  <c r="E64" i="13"/>
  <c r="E67" i="13"/>
  <c r="E43" i="13"/>
  <c r="B325" i="32"/>
  <c r="F325" i="32"/>
  <c r="G327" i="32"/>
  <c r="B31" i="13" s="1"/>
  <c r="U328" i="32"/>
  <c r="B80" i="13" s="1"/>
  <c r="N330" i="32"/>
  <c r="B60" i="13" s="1"/>
  <c r="G332" i="32"/>
  <c r="B36" i="13" s="1"/>
  <c r="N333" i="32"/>
  <c r="B63" i="13" s="1"/>
  <c r="G335" i="32"/>
  <c r="B39" i="13" s="1"/>
  <c r="U336" i="32"/>
  <c r="B88" i="13" s="1"/>
  <c r="N338" i="32"/>
  <c r="B68" i="13" s="1"/>
  <c r="U340" i="32"/>
  <c r="B92" i="13" s="1"/>
  <c r="D459" i="26"/>
  <c r="B460" i="26"/>
  <c r="F460" i="26"/>
  <c r="D461" i="26"/>
  <c r="B462" i="26"/>
  <c r="F462" i="26"/>
  <c r="D463" i="26"/>
  <c r="B464" i="26"/>
  <c r="F464" i="26"/>
  <c r="D465" i="26"/>
  <c r="B466" i="26"/>
  <c r="F466" i="26"/>
  <c r="D467" i="26"/>
  <c r="B468" i="26"/>
  <c r="F468" i="26"/>
  <c r="D469" i="26"/>
  <c r="B470" i="26"/>
  <c r="D471" i="26"/>
  <c r="B472" i="26"/>
  <c r="F472" i="26"/>
  <c r="D473" i="26"/>
  <c r="B474" i="26"/>
  <c r="F474" i="26"/>
  <c r="D475" i="26"/>
  <c r="B478" i="26"/>
  <c r="F478" i="26"/>
  <c r="B462" i="27"/>
  <c r="F462" i="27"/>
  <c r="L462" i="27"/>
  <c r="B463" i="27"/>
  <c r="F463" i="27"/>
  <c r="L463" i="27"/>
  <c r="B464" i="27"/>
  <c r="F464" i="27"/>
  <c r="L464" i="27"/>
  <c r="B465" i="27"/>
  <c r="F465" i="27"/>
  <c r="L465" i="27"/>
  <c r="B466" i="27"/>
  <c r="F466" i="27"/>
  <c r="L466" i="27"/>
  <c r="B467" i="27"/>
  <c r="F467" i="27"/>
  <c r="L467" i="27"/>
  <c r="B468" i="27"/>
  <c r="F468" i="27"/>
  <c r="L468" i="27"/>
  <c r="B469" i="27"/>
  <c r="F469" i="27"/>
  <c r="L469" i="27"/>
  <c r="B470" i="27"/>
  <c r="F470" i="27"/>
  <c r="L470" i="27"/>
  <c r="B471" i="27"/>
  <c r="F471" i="27"/>
  <c r="L471" i="27"/>
  <c r="B472" i="27"/>
  <c r="F472" i="27"/>
  <c r="L472" i="27"/>
  <c r="B473" i="27"/>
  <c r="F473" i="27"/>
  <c r="L473" i="27"/>
  <c r="B474" i="27"/>
  <c r="F474" i="27"/>
  <c r="L474" i="27"/>
  <c r="B475" i="27"/>
  <c r="F475" i="27"/>
  <c r="L475" i="27"/>
  <c r="B476" i="27"/>
  <c r="F476" i="27"/>
  <c r="L476" i="27"/>
  <c r="B477" i="27"/>
  <c r="F477" i="27"/>
  <c r="L477" i="27"/>
  <c r="B478" i="27"/>
  <c r="F478" i="27"/>
  <c r="L478" i="27"/>
  <c r="B481" i="27"/>
  <c r="F481" i="27"/>
  <c r="L481" i="27"/>
  <c r="B268" i="28"/>
  <c r="F268" i="28"/>
  <c r="D154" i="28"/>
  <c r="D269" i="28"/>
  <c r="B159" i="28"/>
  <c r="F159" i="28"/>
  <c r="B137" i="28"/>
  <c r="B271" i="28" s="1"/>
  <c r="F137" i="28"/>
  <c r="F271" i="28" s="1"/>
  <c r="D138" i="28"/>
  <c r="D272" i="28" s="1"/>
  <c r="B139" i="28"/>
  <c r="F139" i="28"/>
  <c r="B142" i="28"/>
  <c r="B276" i="28" s="1"/>
  <c r="F142" i="28"/>
  <c r="F276" i="28" s="1"/>
  <c r="D143" i="28"/>
  <c r="D277" i="28" s="1"/>
  <c r="I28" i="29"/>
  <c r="I216" i="19"/>
  <c r="I32" i="29"/>
  <c r="I220" i="19"/>
  <c r="I36" i="29"/>
  <c r="I172" i="29" s="1"/>
  <c r="I224" i="19"/>
  <c r="I267" i="19"/>
  <c r="I40" i="29"/>
  <c r="I176" i="29" s="1"/>
  <c r="I228" i="19"/>
  <c r="I271" i="19"/>
  <c r="I44" i="29"/>
  <c r="I180" i="29" s="1"/>
  <c r="I232" i="19"/>
  <c r="I275" i="19"/>
  <c r="G21" i="29"/>
  <c r="G167" i="29" s="1"/>
  <c r="G284" i="19"/>
  <c r="G209" i="19"/>
  <c r="G352" i="19" s="1"/>
  <c r="I68" i="19"/>
  <c r="I284" i="19" s="1"/>
  <c r="D350" i="19"/>
  <c r="H350" i="19"/>
  <c r="F352" i="19"/>
  <c r="F9" i="30"/>
  <c r="F103" i="30" s="1"/>
  <c r="I9" i="20"/>
  <c r="I9" i="30" s="1"/>
  <c r="E18" i="30"/>
  <c r="E176" i="30" s="1"/>
  <c r="E262" i="20"/>
  <c r="I18" i="20"/>
  <c r="I18" i="30" s="1"/>
  <c r="E206" i="20"/>
  <c r="E356" i="20" s="1"/>
  <c r="R285" i="20"/>
  <c r="R286" i="20"/>
  <c r="R308" i="20"/>
  <c r="R197" i="20"/>
  <c r="R201" i="20"/>
  <c r="R331" i="20"/>
  <c r="R205" i="20"/>
  <c r="R207" i="20"/>
  <c r="R209" i="20"/>
  <c r="R212" i="20"/>
  <c r="R214" i="20"/>
  <c r="R216" i="20"/>
  <c r="R334" i="20"/>
  <c r="R220" i="20"/>
  <c r="R222" i="20"/>
  <c r="F197" i="20"/>
  <c r="F356" i="20"/>
  <c r="D223" i="22"/>
  <c r="H223" i="22"/>
  <c r="F227" i="22"/>
  <c r="J232" i="22"/>
  <c r="J172" i="22"/>
  <c r="J279" i="22" s="1"/>
  <c r="K237" i="22"/>
  <c r="K177" i="22"/>
  <c r="K284" i="22" s="1"/>
  <c r="D253" i="22"/>
  <c r="D168" i="22"/>
  <c r="D275" i="22" s="1"/>
  <c r="H253" i="22"/>
  <c r="H168" i="22"/>
  <c r="H275" i="22" s="1"/>
  <c r="D171" i="22"/>
  <c r="D278" i="22" s="1"/>
  <c r="C174" i="22"/>
  <c r="C281" i="22" s="1"/>
  <c r="D249" i="22"/>
  <c r="B205" i="23"/>
  <c r="F205" i="23"/>
  <c r="J205" i="23"/>
  <c r="X36" i="23"/>
  <c r="T211" i="23"/>
  <c r="T181" i="23"/>
  <c r="T280" i="23" s="1"/>
  <c r="T213" i="23"/>
  <c r="T183" i="23"/>
  <c r="T282" i="23" s="1"/>
  <c r="S217" i="23"/>
  <c r="S187" i="23"/>
  <c r="S286" i="23" s="1"/>
  <c r="X54" i="23"/>
  <c r="K151" i="23"/>
  <c r="X60" i="23"/>
  <c r="B161" i="23"/>
  <c r="J161" i="23"/>
  <c r="B167" i="23"/>
  <c r="J167" i="23"/>
  <c r="K231" i="23"/>
  <c r="K179" i="23"/>
  <c r="K278" i="23" s="1"/>
  <c r="K235" i="23"/>
  <c r="K183" i="23"/>
  <c r="K282" i="23" s="1"/>
  <c r="R146" i="23"/>
  <c r="F148" i="23"/>
  <c r="O148" i="23"/>
  <c r="X101" i="23"/>
  <c r="Q149" i="23"/>
  <c r="U149" i="23"/>
  <c r="O150" i="23"/>
  <c r="X103" i="23"/>
  <c r="S150" i="23"/>
  <c r="Q151" i="23"/>
  <c r="F152" i="23"/>
  <c r="O152" i="23"/>
  <c r="X105" i="23"/>
  <c r="Q153" i="23"/>
  <c r="U153" i="23"/>
  <c r="O154" i="23"/>
  <c r="X107" i="23"/>
  <c r="S154" i="23"/>
  <c r="Q155" i="23"/>
  <c r="U155" i="23"/>
  <c r="Q249" i="23"/>
  <c r="Q156" i="23"/>
  <c r="X109" i="23"/>
  <c r="F157" i="23"/>
  <c r="F158" i="23"/>
  <c r="Q158" i="23"/>
  <c r="X111" i="23"/>
  <c r="U158" i="23"/>
  <c r="X112" i="23"/>
  <c r="D251" i="23"/>
  <c r="D166" i="23"/>
  <c r="D255" i="23"/>
  <c r="D178" i="23"/>
  <c r="D277" i="23" s="1"/>
  <c r="H255" i="23"/>
  <c r="H178" i="23"/>
  <c r="H277" i="23" s="1"/>
  <c r="H256" i="23"/>
  <c r="H179" i="23"/>
  <c r="H278" i="23" s="1"/>
  <c r="D257" i="23"/>
  <c r="H257" i="23"/>
  <c r="H180" i="23"/>
  <c r="H279" i="23" s="1"/>
  <c r="C183" i="23"/>
  <c r="C282" i="23" s="1"/>
  <c r="D261" i="23"/>
  <c r="D184" i="23"/>
  <c r="D283" i="23" s="1"/>
  <c r="H261" i="23"/>
  <c r="H184" i="23"/>
  <c r="H283" i="23" s="1"/>
  <c r="D267" i="23"/>
  <c r="D190" i="23"/>
  <c r="D289" i="23" s="1"/>
  <c r="H267" i="23"/>
  <c r="H190" i="23"/>
  <c r="H289" i="23" s="1"/>
  <c r="T210" i="23"/>
  <c r="K220" i="23"/>
  <c r="D256" i="23"/>
  <c r="F170" i="24"/>
  <c r="F205" i="24"/>
  <c r="D162" i="24"/>
  <c r="H162" i="24"/>
  <c r="C227" i="24"/>
  <c r="C170" i="24"/>
  <c r="L76" i="24"/>
  <c r="G227" i="24"/>
  <c r="G170" i="24"/>
  <c r="K227" i="24"/>
  <c r="K170" i="24"/>
  <c r="L85" i="24"/>
  <c r="L232" i="24" s="1"/>
  <c r="H248" i="24"/>
  <c r="E164" i="24"/>
  <c r="I164" i="24"/>
  <c r="F261" i="24"/>
  <c r="F183" i="24"/>
  <c r="F283" i="24" s="1"/>
  <c r="J261" i="24"/>
  <c r="J183" i="24"/>
  <c r="J283" i="24" s="1"/>
  <c r="C225" i="25"/>
  <c r="L67" i="25"/>
  <c r="C229" i="25"/>
  <c r="L83" i="25"/>
  <c r="L229" i="25" s="1"/>
  <c r="C177" i="25"/>
  <c r="C276" i="25" s="1"/>
  <c r="R163" i="25"/>
  <c r="E251" i="25"/>
  <c r="E166" i="25"/>
  <c r="D251" i="25"/>
  <c r="D168" i="25"/>
  <c r="N253" i="25"/>
  <c r="N176" i="25"/>
  <c r="N275" i="25" s="1"/>
  <c r="R253" i="25"/>
  <c r="R176" i="25"/>
  <c r="R275" i="25" s="1"/>
  <c r="V253" i="25"/>
  <c r="V176" i="25"/>
  <c r="V275" i="25" s="1"/>
  <c r="D177" i="25"/>
  <c r="D276" i="25" s="1"/>
  <c r="D254" i="25"/>
  <c r="H177" i="25"/>
  <c r="H276" i="25" s="1"/>
  <c r="H254" i="25"/>
  <c r="Q177" i="25"/>
  <c r="Q276" i="25" s="1"/>
  <c r="Q254" i="25"/>
  <c r="U177" i="25"/>
  <c r="U276" i="25" s="1"/>
  <c r="U254" i="25"/>
  <c r="D261" i="25"/>
  <c r="D184" i="25"/>
  <c r="D283" i="25" s="1"/>
  <c r="Q261" i="25"/>
  <c r="Q184" i="25"/>
  <c r="Q283" i="25" s="1"/>
  <c r="U261" i="25"/>
  <c r="U184" i="25"/>
  <c r="U283" i="25" s="1"/>
  <c r="C262" i="25"/>
  <c r="C185" i="25"/>
  <c r="C284" i="25" s="1"/>
  <c r="G262" i="25"/>
  <c r="G185" i="25"/>
  <c r="G284" i="25" s="1"/>
  <c r="K262" i="25"/>
  <c r="K185" i="25"/>
  <c r="K284" i="25" s="1"/>
  <c r="O158" i="25"/>
  <c r="J181" i="25"/>
  <c r="J280" i="25" s="1"/>
  <c r="B13" i="13"/>
  <c r="B17" i="13"/>
  <c r="B21" i="13"/>
  <c r="H5" i="26"/>
  <c r="H9" i="26"/>
  <c r="H13" i="26"/>
  <c r="H17" i="26"/>
  <c r="H21" i="26"/>
  <c r="H26" i="26"/>
  <c r="H34" i="26"/>
  <c r="H128" i="26" s="1"/>
  <c r="H42" i="26"/>
  <c r="H358" i="26" s="1"/>
  <c r="H46" i="26"/>
  <c r="H362" i="26" s="1"/>
  <c r="H266" i="14"/>
  <c r="E12" i="13" s="1"/>
  <c r="H270" i="14"/>
  <c r="E16" i="13" s="1"/>
  <c r="H274" i="14"/>
  <c r="E20" i="13" s="1"/>
  <c r="N5" i="27"/>
  <c r="N99" i="27" s="1"/>
  <c r="G7" i="32"/>
  <c r="H6" i="27" s="1"/>
  <c r="H100" i="27" s="1"/>
  <c r="B8" i="27"/>
  <c r="B196" i="27" s="1"/>
  <c r="B290" i="27" s="1"/>
  <c r="P11" i="27"/>
  <c r="P199" i="27" s="1"/>
  <c r="P293" i="27" s="1"/>
  <c r="B14" i="27"/>
  <c r="B108" i="27" s="1"/>
  <c r="B15" i="27"/>
  <c r="C348" i="27"/>
  <c r="C114" i="27"/>
  <c r="P22" i="27"/>
  <c r="P210" i="27" s="1"/>
  <c r="P304" i="27" s="1"/>
  <c r="P24" i="27"/>
  <c r="P212" i="27" s="1"/>
  <c r="P306" i="27" s="1"/>
  <c r="P34" i="27"/>
  <c r="P222" i="27" s="1"/>
  <c r="P316" i="27" s="1"/>
  <c r="H36" i="27"/>
  <c r="H352" i="27" s="1"/>
  <c r="P37" i="27"/>
  <c r="P131" i="27" s="1"/>
  <c r="P400" i="27" s="1"/>
  <c r="H39" i="27"/>
  <c r="H355" i="27" s="1"/>
  <c r="H44" i="27"/>
  <c r="H360" i="27" s="1"/>
  <c r="H46" i="27"/>
  <c r="H362" i="27" s="1"/>
  <c r="P49" i="27"/>
  <c r="P143" i="27" s="1"/>
  <c r="P412" i="27" s="1"/>
  <c r="B10" i="27"/>
  <c r="G67" i="32"/>
  <c r="G110" i="32"/>
  <c r="G303" i="32" s="1"/>
  <c r="C29" i="13" s="1"/>
  <c r="G125" i="32"/>
  <c r="G306" i="32" s="1"/>
  <c r="C32" i="13" s="1"/>
  <c r="G147" i="32"/>
  <c r="N152" i="32"/>
  <c r="G156" i="32"/>
  <c r="G203" i="32" s="1"/>
  <c r="G157" i="32"/>
  <c r="F207" i="27"/>
  <c r="F301" i="27" s="1"/>
  <c r="H175" i="27"/>
  <c r="L199" i="32"/>
  <c r="L349" i="32" s="1"/>
  <c r="L207" i="32"/>
  <c r="L350" i="32" s="1"/>
  <c r="E57" i="13"/>
  <c r="E306" i="32"/>
  <c r="L324" i="32"/>
  <c r="H374" i="26"/>
  <c r="H376" i="26"/>
  <c r="H378" i="26"/>
  <c r="H380" i="26"/>
  <c r="H382" i="26"/>
  <c r="H384" i="26"/>
  <c r="E459" i="26"/>
  <c r="E292" i="26"/>
  <c r="C460" i="26"/>
  <c r="G460" i="26"/>
  <c r="E461" i="26"/>
  <c r="C462" i="26"/>
  <c r="E463" i="26"/>
  <c r="C464" i="26"/>
  <c r="G464" i="26"/>
  <c r="E465" i="26"/>
  <c r="C466" i="26"/>
  <c r="G466" i="26"/>
  <c r="E467" i="26"/>
  <c r="C468" i="26"/>
  <c r="G468" i="26"/>
  <c r="E469" i="26"/>
  <c r="C470" i="26"/>
  <c r="G470" i="26"/>
  <c r="E471" i="26"/>
  <c r="C472" i="26"/>
  <c r="G472" i="26"/>
  <c r="E473" i="26"/>
  <c r="C474" i="26"/>
  <c r="G474" i="26"/>
  <c r="E475" i="26"/>
  <c r="C478" i="26"/>
  <c r="G478" i="26"/>
  <c r="P368" i="27"/>
  <c r="P107" i="27"/>
  <c r="P369" i="27"/>
  <c r="P370" i="27"/>
  <c r="P371" i="27"/>
  <c r="P123" i="27"/>
  <c r="P372" i="27"/>
  <c r="P125" i="27"/>
  <c r="P373" i="27"/>
  <c r="P374" i="27"/>
  <c r="P375" i="27"/>
  <c r="P376" i="27"/>
  <c r="P377" i="27"/>
  <c r="P378" i="27"/>
  <c r="P379" i="27"/>
  <c r="P380" i="27"/>
  <c r="P381" i="27"/>
  <c r="P382" i="27"/>
  <c r="P383" i="27"/>
  <c r="P139" i="27"/>
  <c r="P408" i="27" s="1"/>
  <c r="P384" i="27"/>
  <c r="P387" i="27"/>
  <c r="C462" i="27"/>
  <c r="G462" i="27"/>
  <c r="M462" i="27"/>
  <c r="C463" i="27"/>
  <c r="G463" i="27"/>
  <c r="M463" i="27"/>
  <c r="C464" i="27"/>
  <c r="G464" i="27"/>
  <c r="G302" i="27"/>
  <c r="M464" i="27"/>
  <c r="C465" i="27"/>
  <c r="M465" i="27"/>
  <c r="C466" i="27"/>
  <c r="G466" i="27"/>
  <c r="G312" i="27"/>
  <c r="G491" i="27" s="1"/>
  <c r="M466" i="27"/>
  <c r="C467" i="27"/>
  <c r="G467" i="27"/>
  <c r="M467" i="27"/>
  <c r="C468" i="27"/>
  <c r="G468" i="27"/>
  <c r="G318" i="27"/>
  <c r="G493" i="27" s="1"/>
  <c r="M468" i="27"/>
  <c r="C469" i="27"/>
  <c r="G469" i="27"/>
  <c r="M469" i="27"/>
  <c r="C470" i="27"/>
  <c r="G470" i="27"/>
  <c r="M470" i="27"/>
  <c r="C471" i="27"/>
  <c r="G471" i="27"/>
  <c r="M471" i="27"/>
  <c r="C472" i="27"/>
  <c r="G472" i="27"/>
  <c r="M472" i="27"/>
  <c r="C473" i="27"/>
  <c r="G473" i="27"/>
  <c r="M473" i="27"/>
  <c r="C474" i="27"/>
  <c r="G474" i="27"/>
  <c r="M474" i="27"/>
  <c r="C475" i="27"/>
  <c r="G475" i="27"/>
  <c r="M475" i="27"/>
  <c r="C476" i="27"/>
  <c r="G476" i="27"/>
  <c r="G326" i="27"/>
  <c r="G501" i="27" s="1"/>
  <c r="M476" i="27"/>
  <c r="C477" i="27"/>
  <c r="G477" i="27"/>
  <c r="M477" i="27"/>
  <c r="C478" i="27"/>
  <c r="G478" i="27"/>
  <c r="M478" i="27"/>
  <c r="C481" i="27"/>
  <c r="G481" i="27"/>
  <c r="M481" i="27"/>
  <c r="H30" i="28"/>
  <c r="H54" i="28" s="1"/>
  <c r="H32" i="28"/>
  <c r="H56" i="28" s="1"/>
  <c r="H34" i="28"/>
  <c r="H36" i="28"/>
  <c r="H38" i="28"/>
  <c r="H62" i="28" s="1"/>
  <c r="H40" i="28"/>
  <c r="H64" i="28" s="1"/>
  <c r="H42" i="28"/>
  <c r="H44" i="28"/>
  <c r="H46" i="28"/>
  <c r="H48" i="28"/>
  <c r="C268" i="28"/>
  <c r="G127" i="28"/>
  <c r="G268" i="28" s="1"/>
  <c r="E130" i="28"/>
  <c r="E132" i="28"/>
  <c r="E270" i="28" s="1"/>
  <c r="G271" i="28"/>
  <c r="G157" i="28"/>
  <c r="C135" i="28"/>
  <c r="C271" i="28" s="1"/>
  <c r="E272" i="28"/>
  <c r="E162" i="28"/>
  <c r="E287" i="28" s="1"/>
  <c r="C273" i="28"/>
  <c r="C163" i="28"/>
  <c r="C288" i="28" s="1"/>
  <c r="G273" i="28"/>
  <c r="G163" i="28"/>
  <c r="G288" i="28" s="1"/>
  <c r="B140" i="28"/>
  <c r="B274" i="28" s="1"/>
  <c r="F140" i="28"/>
  <c r="F274" i="28" s="1"/>
  <c r="D141" i="28"/>
  <c r="D144" i="28"/>
  <c r="B146" i="28"/>
  <c r="B280" i="28" s="1"/>
  <c r="F146" i="28"/>
  <c r="F280" i="28" s="1"/>
  <c r="I6" i="19"/>
  <c r="I6" i="29" s="1"/>
  <c r="I9" i="29"/>
  <c r="I260" i="19"/>
  <c r="I25" i="29"/>
  <c r="I283" i="19"/>
  <c r="I53" i="29"/>
  <c r="I56" i="29"/>
  <c r="I328" i="19"/>
  <c r="I197" i="19"/>
  <c r="I59" i="29"/>
  <c r="I200" i="19"/>
  <c r="I63" i="29"/>
  <c r="I204" i="19"/>
  <c r="I67" i="29"/>
  <c r="I330" i="19"/>
  <c r="I208" i="19"/>
  <c r="I72" i="29"/>
  <c r="I331" i="19"/>
  <c r="I76" i="29"/>
  <c r="I217" i="19"/>
  <c r="I80" i="29"/>
  <c r="I221" i="19"/>
  <c r="I84" i="29"/>
  <c r="I225" i="19"/>
  <c r="I88" i="29"/>
  <c r="I229" i="19"/>
  <c r="I92" i="29"/>
  <c r="I233" i="19"/>
  <c r="B194" i="19"/>
  <c r="Q7" i="30"/>
  <c r="Q101" i="30" s="1"/>
  <c r="Q195" i="20"/>
  <c r="B13" i="30"/>
  <c r="B175" i="30" s="1"/>
  <c r="I13" i="20"/>
  <c r="I13" i="30" s="1"/>
  <c r="O359" i="20"/>
  <c r="E203" i="22"/>
  <c r="I203" i="22"/>
  <c r="F204" i="22"/>
  <c r="J204" i="22"/>
  <c r="C205" i="22"/>
  <c r="G205" i="22"/>
  <c r="K205" i="22"/>
  <c r="E223" i="22"/>
  <c r="I223" i="22"/>
  <c r="G225" i="22"/>
  <c r="B232" i="22"/>
  <c r="B172" i="22"/>
  <c r="B279" i="22" s="1"/>
  <c r="B236" i="22"/>
  <c r="B176" i="22"/>
  <c r="B283" i="22" s="1"/>
  <c r="J236" i="22"/>
  <c r="J176" i="22"/>
  <c r="J283" i="22" s="1"/>
  <c r="L98" i="22"/>
  <c r="L101" i="22"/>
  <c r="L105" i="22"/>
  <c r="L109" i="22"/>
  <c r="L113" i="22"/>
  <c r="L117" i="22"/>
  <c r="L121" i="22"/>
  <c r="J165" i="22"/>
  <c r="I168" i="22"/>
  <c r="I275" i="22" s="1"/>
  <c r="C170" i="22"/>
  <c r="C277" i="22" s="1"/>
  <c r="H171" i="22"/>
  <c r="H278" i="22" s="1"/>
  <c r="B173" i="22"/>
  <c r="B280" i="22" s="1"/>
  <c r="G174" i="22"/>
  <c r="G281" i="22" s="1"/>
  <c r="K178" i="22"/>
  <c r="K285" i="22" s="1"/>
  <c r="E182" i="22"/>
  <c r="E289" i="22" s="1"/>
  <c r="J224" i="22"/>
  <c r="H249" i="22"/>
  <c r="X6" i="23"/>
  <c r="X9" i="23"/>
  <c r="F201" i="23"/>
  <c r="J201" i="23"/>
  <c r="D202" i="23"/>
  <c r="H202" i="23"/>
  <c r="Q202" i="23"/>
  <c r="X18" i="23"/>
  <c r="G203" i="23"/>
  <c r="T272" i="23"/>
  <c r="F204" i="23"/>
  <c r="J204" i="23"/>
  <c r="R206" i="23"/>
  <c r="R176" i="23"/>
  <c r="R275" i="23" s="1"/>
  <c r="X38" i="23"/>
  <c r="Q209" i="23"/>
  <c r="Q179" i="23"/>
  <c r="Q278" i="23" s="1"/>
  <c r="U209" i="23"/>
  <c r="U179" i="23"/>
  <c r="U278" i="23" s="1"/>
  <c r="S216" i="23"/>
  <c r="S186" i="23"/>
  <c r="S285" i="23" s="1"/>
  <c r="X55" i="23"/>
  <c r="D223" i="23"/>
  <c r="H223" i="23"/>
  <c r="F224" i="23"/>
  <c r="J224" i="23"/>
  <c r="X62" i="23"/>
  <c r="B157" i="23"/>
  <c r="J157" i="23"/>
  <c r="K165" i="23"/>
  <c r="I226" i="23"/>
  <c r="B169" i="23"/>
  <c r="J169" i="23"/>
  <c r="B227" i="23"/>
  <c r="F227" i="23"/>
  <c r="J227" i="23"/>
  <c r="B230" i="23"/>
  <c r="B178" i="23"/>
  <c r="B277" i="23" s="1"/>
  <c r="J230" i="23"/>
  <c r="J178" i="23"/>
  <c r="J277" i="23" s="1"/>
  <c r="B234" i="23"/>
  <c r="B182" i="23"/>
  <c r="B281" i="23" s="1"/>
  <c r="J234" i="23"/>
  <c r="J182" i="23"/>
  <c r="J281" i="23" s="1"/>
  <c r="K187" i="23"/>
  <c r="K286" i="23" s="1"/>
  <c r="K239" i="23"/>
  <c r="R249" i="23"/>
  <c r="C157" i="23"/>
  <c r="G157" i="23"/>
  <c r="R158" i="23"/>
  <c r="D160" i="23"/>
  <c r="H160" i="23"/>
  <c r="S160" i="23"/>
  <c r="F161" i="23"/>
  <c r="F167" i="23"/>
  <c r="F175" i="23"/>
  <c r="H254" i="23"/>
  <c r="H177" i="23"/>
  <c r="H276" i="23" s="1"/>
  <c r="E178" i="23"/>
  <c r="E277" i="23" s="1"/>
  <c r="I178" i="23"/>
  <c r="I277" i="23" s="1"/>
  <c r="D183" i="23"/>
  <c r="D282" i="23" s="1"/>
  <c r="H260" i="23"/>
  <c r="H183" i="23"/>
  <c r="H282" i="23" s="1"/>
  <c r="H264" i="23"/>
  <c r="H187" i="23"/>
  <c r="H286" i="23" s="1"/>
  <c r="S203" i="23"/>
  <c r="G202" i="24"/>
  <c r="C231" i="24"/>
  <c r="L84" i="24"/>
  <c r="C178" i="24"/>
  <c r="C278" i="24" s="1"/>
  <c r="L95" i="24"/>
  <c r="L242" i="24" s="1"/>
  <c r="C146" i="24"/>
  <c r="G146" i="24"/>
  <c r="K146" i="24"/>
  <c r="F178" i="24"/>
  <c r="F278" i="24" s="1"/>
  <c r="C181" i="24"/>
  <c r="C281" i="24" s="1"/>
  <c r="G181" i="24"/>
  <c r="G281" i="24" s="1"/>
  <c r="K181" i="24"/>
  <c r="K281" i="24" s="1"/>
  <c r="Q210" i="25"/>
  <c r="Q180" i="25"/>
  <c r="Q279" i="25" s="1"/>
  <c r="X56" i="25"/>
  <c r="O150" i="25"/>
  <c r="X86" i="25"/>
  <c r="X232" i="25" s="1"/>
  <c r="C152" i="25"/>
  <c r="G152" i="25"/>
  <c r="I15" i="29"/>
  <c r="I19" i="29"/>
  <c r="I31" i="29"/>
  <c r="I35" i="29"/>
  <c r="I171" i="29" s="1"/>
  <c r="I39" i="29"/>
  <c r="I175" i="29" s="1"/>
  <c r="I43" i="29"/>
  <c r="I179" i="29" s="1"/>
  <c r="I54" i="29"/>
  <c r="I60" i="29"/>
  <c r="I64" i="29"/>
  <c r="I68" i="29"/>
  <c r="I73" i="29"/>
  <c r="I77" i="29"/>
  <c r="I81" i="29"/>
  <c r="I85" i="29"/>
  <c r="I89" i="29"/>
  <c r="I95" i="29"/>
  <c r="I195" i="19"/>
  <c r="I201" i="19"/>
  <c r="I205" i="19"/>
  <c r="B260" i="19"/>
  <c r="J260" i="19" s="1"/>
  <c r="I5" i="20"/>
  <c r="I5" i="30" s="1"/>
  <c r="R6" i="30"/>
  <c r="R8" i="30"/>
  <c r="R10" i="20"/>
  <c r="R198" i="20" s="1"/>
  <c r="R12" i="30"/>
  <c r="R15" i="30"/>
  <c r="R17" i="30"/>
  <c r="R20" i="30"/>
  <c r="R22" i="30"/>
  <c r="R25" i="30"/>
  <c r="R27" i="30"/>
  <c r="I34" i="30"/>
  <c r="I179" i="30" s="1"/>
  <c r="I36" i="30"/>
  <c r="I181" i="30" s="1"/>
  <c r="I38" i="30"/>
  <c r="I183" i="30" s="1"/>
  <c r="I40" i="30"/>
  <c r="I185" i="30" s="1"/>
  <c r="I53" i="30"/>
  <c r="I55" i="30"/>
  <c r="F197" i="30"/>
  <c r="F104" i="30"/>
  <c r="I59" i="30"/>
  <c r="I106" i="30" s="1"/>
  <c r="I61" i="30"/>
  <c r="I63" i="30"/>
  <c r="I65" i="30"/>
  <c r="I67" i="30"/>
  <c r="I69" i="30"/>
  <c r="I72" i="30"/>
  <c r="I74" i="30"/>
  <c r="I76" i="30"/>
  <c r="I123" i="30" s="1"/>
  <c r="I78" i="30"/>
  <c r="I125" i="30" s="1"/>
  <c r="I80" i="30"/>
  <c r="I127" i="30" s="1"/>
  <c r="I82" i="30"/>
  <c r="I84" i="30"/>
  <c r="I86" i="30"/>
  <c r="I88" i="30"/>
  <c r="R89" i="30"/>
  <c r="I92" i="30"/>
  <c r="I194" i="20"/>
  <c r="I196" i="20"/>
  <c r="I200" i="20"/>
  <c r="I202" i="20"/>
  <c r="R203" i="20"/>
  <c r="I204" i="20"/>
  <c r="I208" i="20"/>
  <c r="I210" i="20"/>
  <c r="I213" i="20"/>
  <c r="I215" i="20"/>
  <c r="I217" i="20"/>
  <c r="I218" i="20"/>
  <c r="R218" i="20"/>
  <c r="I219" i="20"/>
  <c r="I221" i="20"/>
  <c r="I223" i="20"/>
  <c r="I360" i="20" s="1"/>
  <c r="I224" i="20"/>
  <c r="I361" i="20" s="1"/>
  <c r="R224" i="20"/>
  <c r="R361" i="20" s="1"/>
  <c r="I225" i="20"/>
  <c r="I362" i="20" s="1"/>
  <c r="I226" i="20"/>
  <c r="I363" i="20" s="1"/>
  <c r="R226" i="20"/>
  <c r="R363" i="20" s="1"/>
  <c r="I227" i="20"/>
  <c r="I364" i="20" s="1"/>
  <c r="I228" i="20"/>
  <c r="I365" i="20" s="1"/>
  <c r="R228" i="20"/>
  <c r="R365" i="20" s="1"/>
  <c r="I229" i="20"/>
  <c r="I366" i="20" s="1"/>
  <c r="I230" i="20"/>
  <c r="I367" i="20" s="1"/>
  <c r="R230" i="20"/>
  <c r="R367" i="20" s="1"/>
  <c r="I231" i="20"/>
  <c r="I368" i="20" s="1"/>
  <c r="R231" i="20"/>
  <c r="R368" i="20" s="1"/>
  <c r="R232" i="20"/>
  <c r="R369" i="20" s="1"/>
  <c r="I233" i="20"/>
  <c r="I370" i="20" s="1"/>
  <c r="I234" i="20"/>
  <c r="I371" i="20" s="1"/>
  <c r="R234" i="20"/>
  <c r="R371" i="20" s="1"/>
  <c r="I237" i="20"/>
  <c r="I374" i="20" s="1"/>
  <c r="R237" i="20"/>
  <c r="R374" i="20" s="1"/>
  <c r="I263" i="20"/>
  <c r="O330" i="20"/>
  <c r="I333" i="20"/>
  <c r="I335" i="20"/>
  <c r="I337" i="20"/>
  <c r="I339" i="20"/>
  <c r="I341" i="20"/>
  <c r="R342" i="20"/>
  <c r="I345" i="20"/>
  <c r="R346" i="20"/>
  <c r="C143" i="22"/>
  <c r="G143" i="22"/>
  <c r="C147" i="22"/>
  <c r="C151" i="22"/>
  <c r="E153" i="22"/>
  <c r="C155" i="22"/>
  <c r="F158" i="22"/>
  <c r="C159" i="22"/>
  <c r="C163" i="22"/>
  <c r="G163" i="22"/>
  <c r="C167" i="22"/>
  <c r="E169" i="22"/>
  <c r="E276" i="22" s="1"/>
  <c r="I169" i="22"/>
  <c r="I276" i="22" s="1"/>
  <c r="F170" i="22"/>
  <c r="F277" i="22" s="1"/>
  <c r="C171" i="22"/>
  <c r="C278" i="22" s="1"/>
  <c r="G171" i="22"/>
  <c r="G278" i="22" s="1"/>
  <c r="D172" i="22"/>
  <c r="D279" i="22" s="1"/>
  <c r="H172" i="22"/>
  <c r="H279" i="22" s="1"/>
  <c r="E173" i="22"/>
  <c r="E280" i="22" s="1"/>
  <c r="I173" i="22"/>
  <c r="I280" i="22" s="1"/>
  <c r="C175" i="22"/>
  <c r="C282" i="22" s="1"/>
  <c r="G175" i="22"/>
  <c r="G282" i="22" s="1"/>
  <c r="D176" i="22"/>
  <c r="D283" i="22" s="1"/>
  <c r="H176" i="22"/>
  <c r="H283" i="22" s="1"/>
  <c r="E177" i="22"/>
  <c r="E284" i="22" s="1"/>
  <c r="I177" i="22"/>
  <c r="I284" i="22" s="1"/>
  <c r="C179" i="22"/>
  <c r="C286" i="22" s="1"/>
  <c r="G179" i="22"/>
  <c r="G286" i="22" s="1"/>
  <c r="D182" i="22"/>
  <c r="D289" i="22" s="1"/>
  <c r="H182" i="22"/>
  <c r="H289" i="22" s="1"/>
  <c r="J227" i="22"/>
  <c r="K228" i="22"/>
  <c r="B231" i="22"/>
  <c r="J231" i="22"/>
  <c r="K232" i="22"/>
  <c r="B235" i="22"/>
  <c r="J235" i="22"/>
  <c r="K236" i="22"/>
  <c r="B239" i="22"/>
  <c r="J239" i="22"/>
  <c r="K242" i="22"/>
  <c r="E248" i="22"/>
  <c r="G249" i="22"/>
  <c r="C252" i="22"/>
  <c r="X15" i="23"/>
  <c r="X25" i="23"/>
  <c r="X166" i="23" s="1"/>
  <c r="X99" i="23"/>
  <c r="X110" i="23"/>
  <c r="D151" i="23"/>
  <c r="H151" i="23"/>
  <c r="U151" i="23"/>
  <c r="F156" i="23"/>
  <c r="J156" i="23"/>
  <c r="Q159" i="23"/>
  <c r="Q161" i="23"/>
  <c r="U161" i="23"/>
  <c r="U272" i="23" s="1"/>
  <c r="F166" i="23"/>
  <c r="Q171" i="23"/>
  <c r="Q274" i="23" s="1"/>
  <c r="U171" i="23"/>
  <c r="U274" i="23" s="1"/>
  <c r="B176" i="23"/>
  <c r="B275" i="23" s="1"/>
  <c r="F176" i="23"/>
  <c r="F275" i="23" s="1"/>
  <c r="J176" i="23"/>
  <c r="J275" i="23" s="1"/>
  <c r="S176" i="23"/>
  <c r="S275" i="23" s="1"/>
  <c r="Q177" i="23"/>
  <c r="Q276" i="23" s="1"/>
  <c r="U177" i="23"/>
  <c r="U276" i="23" s="1"/>
  <c r="F178" i="23"/>
  <c r="F277" i="23" s="1"/>
  <c r="S178" i="23"/>
  <c r="S277" i="23" s="1"/>
  <c r="L179" i="23"/>
  <c r="L278" i="23" s="1"/>
  <c r="B180" i="23"/>
  <c r="B279" i="23" s="1"/>
  <c r="J180" i="23"/>
  <c r="J279" i="23" s="1"/>
  <c r="S180" i="23"/>
  <c r="S279" i="23" s="1"/>
  <c r="Q181" i="23"/>
  <c r="Q280" i="23" s="1"/>
  <c r="U181" i="23"/>
  <c r="U280" i="23" s="1"/>
  <c r="F182" i="23"/>
  <c r="F281" i="23" s="1"/>
  <c r="S182" i="23"/>
  <c r="S281" i="23" s="1"/>
  <c r="Q183" i="23"/>
  <c r="Q282" i="23" s="1"/>
  <c r="U183" i="23"/>
  <c r="U282" i="23" s="1"/>
  <c r="B184" i="23"/>
  <c r="B283" i="23" s="1"/>
  <c r="F184" i="23"/>
  <c r="F283" i="23" s="1"/>
  <c r="J184" i="23"/>
  <c r="J283" i="23" s="1"/>
  <c r="S184" i="23"/>
  <c r="S283" i="23" s="1"/>
  <c r="Q185" i="23"/>
  <c r="Q284" i="23" s="1"/>
  <c r="U185" i="23"/>
  <c r="U284" i="23" s="1"/>
  <c r="F186" i="23"/>
  <c r="F285" i="23" s="1"/>
  <c r="Q187" i="23"/>
  <c r="Q286" i="23" s="1"/>
  <c r="U187" i="23"/>
  <c r="U286" i="23" s="1"/>
  <c r="B190" i="23"/>
  <c r="B289" i="23" s="1"/>
  <c r="F190" i="23"/>
  <c r="F289" i="23" s="1"/>
  <c r="Q204" i="23"/>
  <c r="X204" i="23" s="1"/>
  <c r="P248" i="23"/>
  <c r="F250" i="23"/>
  <c r="C252" i="23"/>
  <c r="C254" i="23"/>
  <c r="C256" i="23"/>
  <c r="C258" i="23"/>
  <c r="C260" i="23"/>
  <c r="C262" i="23"/>
  <c r="C264" i="23"/>
  <c r="E201" i="24"/>
  <c r="E150" i="24"/>
  <c r="I201" i="24"/>
  <c r="I150" i="24"/>
  <c r="H203" i="24"/>
  <c r="E205" i="24"/>
  <c r="I205" i="24"/>
  <c r="L55" i="24"/>
  <c r="L58" i="24"/>
  <c r="L63" i="24"/>
  <c r="B165" i="24"/>
  <c r="L71" i="24"/>
  <c r="F226" i="24"/>
  <c r="F165" i="24"/>
  <c r="J226" i="24"/>
  <c r="J165" i="24"/>
  <c r="D166" i="24"/>
  <c r="H166" i="24"/>
  <c r="L72" i="24"/>
  <c r="L79" i="24"/>
  <c r="B173" i="24"/>
  <c r="E228" i="24"/>
  <c r="E175" i="24"/>
  <c r="E275" i="24" s="1"/>
  <c r="I228" i="24"/>
  <c r="I175" i="24"/>
  <c r="I275" i="24" s="1"/>
  <c r="L82" i="24"/>
  <c r="L229" i="24" s="1"/>
  <c r="B229" i="24"/>
  <c r="B176" i="24"/>
  <c r="B276" i="24" s="1"/>
  <c r="F229" i="24"/>
  <c r="F176" i="24"/>
  <c r="F276" i="24" s="1"/>
  <c r="J229" i="24"/>
  <c r="J176" i="24"/>
  <c r="J276" i="24" s="1"/>
  <c r="L87" i="24"/>
  <c r="L234" i="24" s="1"/>
  <c r="B234" i="24"/>
  <c r="L88" i="24"/>
  <c r="L235" i="24" s="1"/>
  <c r="L90" i="24"/>
  <c r="L237" i="24" s="1"/>
  <c r="B237" i="24"/>
  <c r="D147" i="24"/>
  <c r="H147" i="24"/>
  <c r="E148" i="24"/>
  <c r="I148" i="24"/>
  <c r="B149" i="24"/>
  <c r="F149" i="24"/>
  <c r="J149" i="24"/>
  <c r="D249" i="24"/>
  <c r="D155" i="24"/>
  <c r="H249" i="24"/>
  <c r="H155" i="24"/>
  <c r="C159" i="24"/>
  <c r="G159" i="24"/>
  <c r="E250" i="24"/>
  <c r="I250" i="24"/>
  <c r="B161" i="24"/>
  <c r="F161" i="24"/>
  <c r="J161" i="24"/>
  <c r="C165" i="24"/>
  <c r="G165" i="24"/>
  <c r="D177" i="24"/>
  <c r="D277" i="24" s="1"/>
  <c r="D255" i="24"/>
  <c r="H177" i="24"/>
  <c r="H277" i="24" s="1"/>
  <c r="H255" i="24"/>
  <c r="E178" i="24"/>
  <c r="E278" i="24" s="1"/>
  <c r="E256" i="24"/>
  <c r="I178" i="24"/>
  <c r="I278" i="24" s="1"/>
  <c r="I256" i="24"/>
  <c r="B257" i="24"/>
  <c r="B179" i="24"/>
  <c r="B279" i="24" s="1"/>
  <c r="F257" i="24"/>
  <c r="F179" i="24"/>
  <c r="F279" i="24" s="1"/>
  <c r="J257" i="24"/>
  <c r="J179" i="24"/>
  <c r="J279" i="24" s="1"/>
  <c r="E183" i="24"/>
  <c r="E283" i="24" s="1"/>
  <c r="I183" i="24"/>
  <c r="I283" i="24" s="1"/>
  <c r="D150" i="24"/>
  <c r="F160" i="24"/>
  <c r="J163" i="24"/>
  <c r="I179" i="24"/>
  <c r="I279" i="24" s="1"/>
  <c r="D181" i="24"/>
  <c r="D281" i="24" s="1"/>
  <c r="I182" i="24"/>
  <c r="I282" i="24" s="1"/>
  <c r="C184" i="24"/>
  <c r="C284" i="24" s="1"/>
  <c r="H185" i="24"/>
  <c r="H285" i="24" s="1"/>
  <c r="B189" i="24"/>
  <c r="B289" i="24" s="1"/>
  <c r="I208" i="24"/>
  <c r="J224" i="24"/>
  <c r="B250" i="24"/>
  <c r="G251" i="24"/>
  <c r="F203" i="25"/>
  <c r="K203" i="25"/>
  <c r="D205" i="25"/>
  <c r="H205" i="25"/>
  <c r="T205" i="25"/>
  <c r="L53" i="25"/>
  <c r="L54" i="25"/>
  <c r="E223" i="25"/>
  <c r="I223" i="25"/>
  <c r="L61" i="25"/>
  <c r="H224" i="25"/>
  <c r="L62" i="25"/>
  <c r="Q224" i="25"/>
  <c r="U224" i="25"/>
  <c r="T225" i="25"/>
  <c r="L69" i="25"/>
  <c r="X75" i="25"/>
  <c r="X83" i="25"/>
  <c r="X229" i="25" s="1"/>
  <c r="F178" i="25"/>
  <c r="F277" i="25" s="1"/>
  <c r="F230" i="25"/>
  <c r="J178" i="25"/>
  <c r="J277" i="25" s="1"/>
  <c r="J230" i="25"/>
  <c r="X87" i="25"/>
  <c r="X233" i="25" s="1"/>
  <c r="X91" i="25"/>
  <c r="X237" i="25" s="1"/>
  <c r="O146" i="25"/>
  <c r="S146" i="25"/>
  <c r="N147" i="25"/>
  <c r="R147" i="25"/>
  <c r="H148" i="25"/>
  <c r="O154" i="25"/>
  <c r="S154" i="25"/>
  <c r="N155" i="25"/>
  <c r="R155" i="25"/>
  <c r="Q157" i="25"/>
  <c r="F160" i="25"/>
  <c r="E250" i="25"/>
  <c r="E161" i="25"/>
  <c r="O162" i="25"/>
  <c r="S162" i="25"/>
  <c r="N163" i="25"/>
  <c r="V163" i="25"/>
  <c r="D164" i="25"/>
  <c r="H164" i="25"/>
  <c r="S165" i="25"/>
  <c r="O166" i="25"/>
  <c r="S251" i="25"/>
  <c r="S166" i="25"/>
  <c r="W166" i="25"/>
  <c r="F167" i="25"/>
  <c r="R169" i="25"/>
  <c r="V169" i="25"/>
  <c r="F170" i="25"/>
  <c r="J170" i="25"/>
  <c r="S170" i="25"/>
  <c r="W170" i="25"/>
  <c r="P252" i="25"/>
  <c r="P171" i="25"/>
  <c r="T252" i="25"/>
  <c r="E255" i="25"/>
  <c r="E178" i="25"/>
  <c r="E277" i="25" s="1"/>
  <c r="C182" i="25"/>
  <c r="C281" i="25" s="1"/>
  <c r="G182" i="25"/>
  <c r="G281" i="25" s="1"/>
  <c r="K182" i="25"/>
  <c r="K281" i="25" s="1"/>
  <c r="P262" i="25"/>
  <c r="P185" i="25"/>
  <c r="P284" i="25" s="1"/>
  <c r="T262" i="25"/>
  <c r="T185" i="25"/>
  <c r="T284" i="25" s="1"/>
  <c r="E263" i="25"/>
  <c r="E186" i="25"/>
  <c r="E285" i="25" s="1"/>
  <c r="I263" i="25"/>
  <c r="I186" i="25"/>
  <c r="I285" i="25" s="1"/>
  <c r="F161" i="25"/>
  <c r="O183" i="25"/>
  <c r="O282" i="25" s="1"/>
  <c r="E371" i="26"/>
  <c r="E119" i="26"/>
  <c r="B377" i="27"/>
  <c r="B133" i="27"/>
  <c r="B402" i="27" s="1"/>
  <c r="F377" i="27"/>
  <c r="F133" i="27"/>
  <c r="F402" i="27" s="1"/>
  <c r="C274" i="28"/>
  <c r="C164" i="28"/>
  <c r="C289" i="28" s="1"/>
  <c r="G274" i="28"/>
  <c r="G164" i="28"/>
  <c r="G289" i="28" s="1"/>
  <c r="E165" i="28"/>
  <c r="E290" i="28" s="1"/>
  <c r="E275" i="28"/>
  <c r="C278" i="28"/>
  <c r="C168" i="28"/>
  <c r="C293" i="28" s="1"/>
  <c r="G278" i="28"/>
  <c r="G168" i="28"/>
  <c r="G293" i="28" s="1"/>
  <c r="I5" i="29"/>
  <c r="I7" i="29"/>
  <c r="I10" i="29"/>
  <c r="I13" i="29"/>
  <c r="I17" i="29"/>
  <c r="I26" i="29"/>
  <c r="I29" i="29"/>
  <c r="I33" i="29"/>
  <c r="I37" i="29"/>
  <c r="I173" i="29" s="1"/>
  <c r="I41" i="29"/>
  <c r="I177" i="29" s="1"/>
  <c r="I45" i="29"/>
  <c r="I181" i="29" s="1"/>
  <c r="I52" i="29"/>
  <c r="F103" i="29"/>
  <c r="F187" i="29"/>
  <c r="I58" i="29"/>
  <c r="I62" i="29"/>
  <c r="I66" i="29"/>
  <c r="I71" i="29"/>
  <c r="I75" i="29"/>
  <c r="I79" i="29"/>
  <c r="I83" i="29"/>
  <c r="I87" i="29"/>
  <c r="I91" i="29"/>
  <c r="I264" i="19"/>
  <c r="I266" i="19"/>
  <c r="I268" i="19"/>
  <c r="I270" i="19"/>
  <c r="I272" i="19"/>
  <c r="I274" i="19"/>
  <c r="I276" i="19"/>
  <c r="R7" i="20"/>
  <c r="R7" i="30" s="1"/>
  <c r="I10" i="20"/>
  <c r="I198" i="20" s="1"/>
  <c r="R11" i="30"/>
  <c r="R14" i="30"/>
  <c r="R16" i="30"/>
  <c r="R21" i="30"/>
  <c r="R24" i="30"/>
  <c r="R26" i="30"/>
  <c r="I35" i="30"/>
  <c r="I180" i="30" s="1"/>
  <c r="I37" i="30"/>
  <c r="I182" i="30" s="1"/>
  <c r="I39" i="30"/>
  <c r="I184" i="30" s="1"/>
  <c r="I41" i="30"/>
  <c r="I186" i="30" s="1"/>
  <c r="I43" i="30"/>
  <c r="I188" i="30" s="1"/>
  <c r="I45" i="30"/>
  <c r="I190" i="30" s="1"/>
  <c r="I49" i="30"/>
  <c r="I194" i="30" s="1"/>
  <c r="I52" i="30"/>
  <c r="I54" i="30"/>
  <c r="I56" i="30"/>
  <c r="O197" i="30"/>
  <c r="O104" i="30"/>
  <c r="I60" i="30"/>
  <c r="I62" i="30"/>
  <c r="I64" i="30"/>
  <c r="I66" i="30"/>
  <c r="I68" i="30"/>
  <c r="I71" i="30"/>
  <c r="I73" i="30"/>
  <c r="I75" i="30"/>
  <c r="I122" i="30" s="1"/>
  <c r="I77" i="30"/>
  <c r="I79" i="30"/>
  <c r="I126" i="30" s="1"/>
  <c r="I81" i="30"/>
  <c r="I83" i="30"/>
  <c r="I85" i="30"/>
  <c r="I87" i="30"/>
  <c r="I90" i="30"/>
  <c r="R91" i="30"/>
  <c r="C193" i="20"/>
  <c r="F312" i="20"/>
  <c r="O312" i="20"/>
  <c r="Q330" i="20"/>
  <c r="C141" i="22"/>
  <c r="C145" i="22"/>
  <c r="F148" i="22"/>
  <c r="C149" i="22"/>
  <c r="C153" i="22"/>
  <c r="G153" i="22"/>
  <c r="C157" i="22"/>
  <c r="C161" i="22"/>
  <c r="E163" i="22"/>
  <c r="I163" i="22"/>
  <c r="C165" i="22"/>
  <c r="F168" i="22"/>
  <c r="F275" i="22" s="1"/>
  <c r="C169" i="22"/>
  <c r="C276" i="22" s="1"/>
  <c r="G169" i="22"/>
  <c r="G276" i="22" s="1"/>
  <c r="C173" i="22"/>
  <c r="C280" i="22" s="1"/>
  <c r="G173" i="22"/>
  <c r="G280" i="22" s="1"/>
  <c r="D174" i="22"/>
  <c r="D281" i="22" s="1"/>
  <c r="H174" i="22"/>
  <c r="H281" i="22" s="1"/>
  <c r="E175" i="22"/>
  <c r="E282" i="22" s="1"/>
  <c r="I175" i="22"/>
  <c r="I282" i="22" s="1"/>
  <c r="C177" i="22"/>
  <c r="C284" i="22" s="1"/>
  <c r="G177" i="22"/>
  <c r="G284" i="22" s="1"/>
  <c r="D178" i="22"/>
  <c r="D285" i="22" s="1"/>
  <c r="H178" i="22"/>
  <c r="H285" i="22" s="1"/>
  <c r="E179" i="22"/>
  <c r="E286" i="22" s="1"/>
  <c r="I179" i="22"/>
  <c r="I286" i="22" s="1"/>
  <c r="C248" i="22"/>
  <c r="E251" i="22"/>
  <c r="C254" i="22"/>
  <c r="X57" i="23"/>
  <c r="D249" i="23"/>
  <c r="H249" i="23"/>
  <c r="F151" i="23"/>
  <c r="D156" i="23"/>
  <c r="H156" i="23"/>
  <c r="Q160" i="23"/>
  <c r="S161" i="23"/>
  <c r="Q162" i="23"/>
  <c r="B171" i="23"/>
  <c r="F171" i="23"/>
  <c r="J171" i="23"/>
  <c r="S171" i="23"/>
  <c r="S274" i="23" s="1"/>
  <c r="Q176" i="23"/>
  <c r="Q275" i="23" s="1"/>
  <c r="U176" i="23"/>
  <c r="U275" i="23" s="1"/>
  <c r="B177" i="23"/>
  <c r="B276" i="23" s="1"/>
  <c r="F177" i="23"/>
  <c r="F276" i="23" s="1"/>
  <c r="J177" i="23"/>
  <c r="J276" i="23" s="1"/>
  <c r="S177" i="23"/>
  <c r="S276" i="23" s="1"/>
  <c r="B179" i="23"/>
  <c r="B278" i="23" s="1"/>
  <c r="F179" i="23"/>
  <c r="F278" i="23" s="1"/>
  <c r="J179" i="23"/>
  <c r="J278" i="23" s="1"/>
  <c r="S179" i="23"/>
  <c r="S278" i="23" s="1"/>
  <c r="Q180" i="23"/>
  <c r="Q279" i="23" s="1"/>
  <c r="U180" i="23"/>
  <c r="U279" i="23" s="1"/>
  <c r="B181" i="23"/>
  <c r="B280" i="23" s="1"/>
  <c r="F181" i="23"/>
  <c r="F280" i="23" s="1"/>
  <c r="J181" i="23"/>
  <c r="J280" i="23" s="1"/>
  <c r="S181" i="23"/>
  <c r="S280" i="23" s="1"/>
  <c r="Q182" i="23"/>
  <c r="Q281" i="23" s="1"/>
  <c r="U182" i="23"/>
  <c r="U281" i="23" s="1"/>
  <c r="B183" i="23"/>
  <c r="B282" i="23" s="1"/>
  <c r="F183" i="23"/>
  <c r="F282" i="23" s="1"/>
  <c r="J183" i="23"/>
  <c r="J282" i="23" s="1"/>
  <c r="S183" i="23"/>
  <c r="S282" i="23" s="1"/>
  <c r="Q184" i="23"/>
  <c r="Q283" i="23" s="1"/>
  <c r="U184" i="23"/>
  <c r="U283" i="23" s="1"/>
  <c r="B185" i="23"/>
  <c r="B284" i="23" s="1"/>
  <c r="F185" i="23"/>
  <c r="F284" i="23" s="1"/>
  <c r="J185" i="23"/>
  <c r="J284" i="23" s="1"/>
  <c r="Q186" i="23"/>
  <c r="Q285" i="23" s="1"/>
  <c r="U186" i="23"/>
  <c r="U285" i="23" s="1"/>
  <c r="B187" i="23"/>
  <c r="B286" i="23" s="1"/>
  <c r="F187" i="23"/>
  <c r="F286" i="23" s="1"/>
  <c r="Q190" i="23"/>
  <c r="Q289" i="23" s="1"/>
  <c r="U190" i="23"/>
  <c r="U289" i="23" s="1"/>
  <c r="R224" i="23"/>
  <c r="E249" i="23"/>
  <c r="E253" i="23"/>
  <c r="E255" i="23"/>
  <c r="E257" i="23"/>
  <c r="E259" i="23"/>
  <c r="E261" i="23"/>
  <c r="E263" i="23"/>
  <c r="E267" i="23"/>
  <c r="F203" i="24"/>
  <c r="K203" i="24"/>
  <c r="K160" i="24"/>
  <c r="G204" i="24"/>
  <c r="C205" i="24"/>
  <c r="G205" i="24"/>
  <c r="K205" i="24"/>
  <c r="L51" i="24"/>
  <c r="L54" i="24"/>
  <c r="L59" i="24"/>
  <c r="E224" i="24"/>
  <c r="I224" i="24"/>
  <c r="L62" i="24"/>
  <c r="L67" i="24"/>
  <c r="H225" i="24"/>
  <c r="L70" i="24"/>
  <c r="L75" i="24"/>
  <c r="D227" i="24"/>
  <c r="D170" i="24"/>
  <c r="H227" i="24"/>
  <c r="H170" i="24"/>
  <c r="E171" i="24"/>
  <c r="I171" i="24"/>
  <c r="L78" i="24"/>
  <c r="B172" i="24"/>
  <c r="F172" i="24"/>
  <c r="J172" i="24"/>
  <c r="L83" i="24"/>
  <c r="L230" i="24" s="1"/>
  <c r="B230" i="24"/>
  <c r="B177" i="24"/>
  <c r="B277" i="24" s="1"/>
  <c r="F230" i="24"/>
  <c r="F177" i="24"/>
  <c r="F277" i="24" s="1"/>
  <c r="J230" i="24"/>
  <c r="J177" i="24"/>
  <c r="J277" i="24" s="1"/>
  <c r="D231" i="24"/>
  <c r="D178" i="24"/>
  <c r="D278" i="24" s="1"/>
  <c r="H231" i="24"/>
  <c r="H178" i="24"/>
  <c r="H278" i="24" s="1"/>
  <c r="L86" i="24"/>
  <c r="L233" i="24" s="1"/>
  <c r="B233" i="24"/>
  <c r="L91" i="24"/>
  <c r="L238" i="24" s="1"/>
  <c r="B238" i="24"/>
  <c r="B145" i="24"/>
  <c r="F145" i="24"/>
  <c r="J145" i="24"/>
  <c r="B248" i="24"/>
  <c r="B150" i="24"/>
  <c r="F248" i="24"/>
  <c r="F150" i="24"/>
  <c r="J248" i="24"/>
  <c r="J150" i="24"/>
  <c r="D151" i="24"/>
  <c r="H151" i="24"/>
  <c r="E152" i="24"/>
  <c r="E248" i="24"/>
  <c r="I152" i="24"/>
  <c r="I248" i="24"/>
  <c r="B153" i="24"/>
  <c r="F153" i="24"/>
  <c r="J153" i="24"/>
  <c r="D156" i="24"/>
  <c r="H156" i="24"/>
  <c r="C158" i="24"/>
  <c r="G158" i="24"/>
  <c r="K158" i="24"/>
  <c r="D163" i="24"/>
  <c r="H163" i="24"/>
  <c r="B164" i="24"/>
  <c r="F164" i="24"/>
  <c r="J164" i="24"/>
  <c r="E251" i="24"/>
  <c r="C167" i="24"/>
  <c r="G167" i="24"/>
  <c r="E168" i="24"/>
  <c r="I168" i="24"/>
  <c r="B252" i="24"/>
  <c r="F252" i="24"/>
  <c r="J252" i="24"/>
  <c r="D173" i="24"/>
  <c r="H173" i="24"/>
  <c r="B180" i="24"/>
  <c r="B280" i="24" s="1"/>
  <c r="F180" i="24"/>
  <c r="F280" i="24" s="1"/>
  <c r="J180" i="24"/>
  <c r="J280" i="24" s="1"/>
  <c r="C185" i="24"/>
  <c r="C285" i="24" s="1"/>
  <c r="G185" i="24"/>
  <c r="G285" i="24" s="1"/>
  <c r="K285" i="24"/>
  <c r="D186" i="24"/>
  <c r="D286" i="24" s="1"/>
  <c r="H186" i="24"/>
  <c r="H286" i="24" s="1"/>
  <c r="I155" i="24"/>
  <c r="E177" i="24"/>
  <c r="E277" i="24" s="1"/>
  <c r="G180" i="24"/>
  <c r="G280" i="24" s="1"/>
  <c r="K184" i="24"/>
  <c r="K284" i="24" s="1"/>
  <c r="E186" i="24"/>
  <c r="E286" i="24" s="1"/>
  <c r="J289" i="24"/>
  <c r="I204" i="24"/>
  <c r="J227" i="24"/>
  <c r="E249" i="24"/>
  <c r="J250" i="24"/>
  <c r="D252" i="24"/>
  <c r="S204" i="25"/>
  <c r="G223" i="25"/>
  <c r="K223" i="25"/>
  <c r="S224" i="25"/>
  <c r="L66" i="25"/>
  <c r="L82" i="25"/>
  <c r="L228" i="25" s="1"/>
  <c r="X85" i="25"/>
  <c r="X231" i="25" s="1"/>
  <c r="X89" i="25"/>
  <c r="X235" i="25" s="1"/>
  <c r="L96" i="25"/>
  <c r="L242" i="25" s="1"/>
  <c r="C146" i="25"/>
  <c r="G146" i="25"/>
  <c r="F147" i="25"/>
  <c r="E149" i="25"/>
  <c r="S150" i="25"/>
  <c r="W150" i="25"/>
  <c r="N248" i="25"/>
  <c r="R248" i="25"/>
  <c r="R151" i="25"/>
  <c r="V151" i="25"/>
  <c r="D152" i="25"/>
  <c r="H152" i="25"/>
  <c r="F155" i="25"/>
  <c r="B271" i="25"/>
  <c r="F156" i="25"/>
  <c r="T156" i="25"/>
  <c r="T249" i="25"/>
  <c r="S158" i="25"/>
  <c r="W158" i="25"/>
  <c r="R159" i="25"/>
  <c r="V159" i="25"/>
  <c r="D160" i="25"/>
  <c r="H160" i="25"/>
  <c r="F163" i="25"/>
  <c r="T164" i="25"/>
  <c r="N167" i="25"/>
  <c r="R167" i="25"/>
  <c r="V167" i="25"/>
  <c r="T169" i="25"/>
  <c r="Q170" i="25"/>
  <c r="U170" i="25"/>
  <c r="C173" i="25"/>
  <c r="G173" i="25"/>
  <c r="T175" i="25"/>
  <c r="E253" i="25"/>
  <c r="E176" i="25"/>
  <c r="E275" i="25" s="1"/>
  <c r="O180" i="25"/>
  <c r="O279" i="25" s="1"/>
  <c r="O257" i="25"/>
  <c r="S180" i="25"/>
  <c r="S279" i="25" s="1"/>
  <c r="S257" i="25"/>
  <c r="W180" i="25"/>
  <c r="W279" i="25" s="1"/>
  <c r="W257" i="25"/>
  <c r="S260" i="25"/>
  <c r="S183" i="25"/>
  <c r="S282" i="25" s="1"/>
  <c r="W260" i="25"/>
  <c r="W183" i="25"/>
  <c r="W282" i="25" s="1"/>
  <c r="B190" i="25"/>
  <c r="B289" i="25" s="1"/>
  <c r="B267" i="25"/>
  <c r="F190" i="25"/>
  <c r="F289" i="25" s="1"/>
  <c r="F267" i="25"/>
  <c r="J190" i="25"/>
  <c r="J289" i="25" s="1"/>
  <c r="J267" i="25"/>
  <c r="U156" i="25"/>
  <c r="R161" i="25"/>
  <c r="T171" i="25"/>
  <c r="D179" i="25"/>
  <c r="D278" i="25" s="1"/>
  <c r="I250" i="25"/>
  <c r="B368" i="26"/>
  <c r="B104" i="26"/>
  <c r="F368" i="26"/>
  <c r="F104" i="26"/>
  <c r="H328" i="19"/>
  <c r="R9" i="30"/>
  <c r="R13" i="30"/>
  <c r="R52" i="30"/>
  <c r="R54" i="30"/>
  <c r="R56" i="30"/>
  <c r="R57" i="30"/>
  <c r="R60" i="30"/>
  <c r="R62" i="30"/>
  <c r="R64" i="30"/>
  <c r="R66" i="30"/>
  <c r="R68" i="30"/>
  <c r="R115" i="30" s="1"/>
  <c r="R71" i="30"/>
  <c r="R73" i="30"/>
  <c r="R75" i="30"/>
  <c r="R77" i="30"/>
  <c r="R79" i="30"/>
  <c r="R126" i="30" s="1"/>
  <c r="R81" i="30"/>
  <c r="R83" i="30"/>
  <c r="R85" i="30"/>
  <c r="R87" i="30"/>
  <c r="I89" i="30"/>
  <c r="R90" i="30"/>
  <c r="H330" i="20"/>
  <c r="R330" i="20"/>
  <c r="I332" i="20"/>
  <c r="L95" i="22"/>
  <c r="L103" i="22"/>
  <c r="L107" i="22"/>
  <c r="L111" i="22"/>
  <c r="L115" i="22"/>
  <c r="L119" i="22"/>
  <c r="L123" i="22"/>
  <c r="F163" i="22"/>
  <c r="C168" i="22"/>
  <c r="C275" i="22" s="1"/>
  <c r="G168" i="22"/>
  <c r="G275" i="22" s="1"/>
  <c r="E170" i="22"/>
  <c r="E277" i="22" s="1"/>
  <c r="I170" i="22"/>
  <c r="I277" i="22" s="1"/>
  <c r="F171" i="22"/>
  <c r="F278" i="22" s="1"/>
  <c r="C172" i="22"/>
  <c r="C279" i="22" s="1"/>
  <c r="G172" i="22"/>
  <c r="G279" i="22" s="1"/>
  <c r="D173" i="22"/>
  <c r="D280" i="22" s="1"/>
  <c r="H173" i="22"/>
  <c r="H280" i="22" s="1"/>
  <c r="E174" i="22"/>
  <c r="E281" i="22" s="1"/>
  <c r="I174" i="22"/>
  <c r="I281" i="22" s="1"/>
  <c r="C176" i="22"/>
  <c r="C283" i="22" s="1"/>
  <c r="G176" i="22"/>
  <c r="G283" i="22" s="1"/>
  <c r="D177" i="22"/>
  <c r="D284" i="22" s="1"/>
  <c r="H177" i="22"/>
  <c r="H284" i="22" s="1"/>
  <c r="E178" i="22"/>
  <c r="E285" i="22" s="1"/>
  <c r="I178" i="22"/>
  <c r="I285" i="22" s="1"/>
  <c r="C182" i="22"/>
  <c r="C289" i="22" s="1"/>
  <c r="G182" i="22"/>
  <c r="G289" i="22" s="1"/>
  <c r="X43" i="23"/>
  <c r="S249" i="23"/>
  <c r="X114" i="23"/>
  <c r="T151" i="23"/>
  <c r="R156" i="23"/>
  <c r="E166" i="23"/>
  <c r="G171" i="23"/>
  <c r="T171" i="23"/>
  <c r="T274" i="23" s="1"/>
  <c r="G177" i="23"/>
  <c r="G276" i="23" s="1"/>
  <c r="K177" i="23"/>
  <c r="K276" i="23" s="1"/>
  <c r="T177" i="23"/>
  <c r="T276" i="23" s="1"/>
  <c r="R178" i="23"/>
  <c r="R277" i="23" s="1"/>
  <c r="G179" i="23"/>
  <c r="G278" i="23" s="1"/>
  <c r="T179" i="23"/>
  <c r="T278" i="23" s="1"/>
  <c r="R180" i="23"/>
  <c r="R279" i="23" s="1"/>
  <c r="G181" i="23"/>
  <c r="G280" i="23" s="1"/>
  <c r="K181" i="23"/>
  <c r="K280" i="23" s="1"/>
  <c r="R182" i="23"/>
  <c r="R281" i="23" s="1"/>
  <c r="G183" i="23"/>
  <c r="G282" i="23" s="1"/>
  <c r="R184" i="23"/>
  <c r="R283" i="23" s="1"/>
  <c r="G185" i="23"/>
  <c r="G284" i="23" s="1"/>
  <c r="K185" i="23"/>
  <c r="K284" i="23" s="1"/>
  <c r="T185" i="23"/>
  <c r="T284" i="23" s="1"/>
  <c r="R186" i="23"/>
  <c r="R285" i="23" s="1"/>
  <c r="G187" i="23"/>
  <c r="G286" i="23" s="1"/>
  <c r="T187" i="23"/>
  <c r="T286" i="23" s="1"/>
  <c r="R190" i="23"/>
  <c r="R289" i="23" s="1"/>
  <c r="H201" i="24"/>
  <c r="H202" i="24"/>
  <c r="G203" i="24"/>
  <c r="G160" i="24"/>
  <c r="H204" i="24"/>
  <c r="D205" i="24"/>
  <c r="H205" i="24"/>
  <c r="C223" i="24"/>
  <c r="G223" i="24"/>
  <c r="K223" i="24"/>
  <c r="B224" i="24"/>
  <c r="C224" i="24"/>
  <c r="G224" i="24"/>
  <c r="E225" i="24"/>
  <c r="I225" i="24"/>
  <c r="E227" i="24"/>
  <c r="I227" i="24"/>
  <c r="C174" i="24"/>
  <c r="G174" i="24"/>
  <c r="K174" i="24"/>
  <c r="D228" i="24"/>
  <c r="D175" i="24"/>
  <c r="D275" i="24" s="1"/>
  <c r="H228" i="24"/>
  <c r="H175" i="24"/>
  <c r="H275" i="24" s="1"/>
  <c r="L81" i="24"/>
  <c r="E229" i="24"/>
  <c r="E176" i="24"/>
  <c r="E276" i="24" s="1"/>
  <c r="I229" i="24"/>
  <c r="I176" i="24"/>
  <c r="I276" i="24" s="1"/>
  <c r="C230" i="24"/>
  <c r="C177" i="24"/>
  <c r="C277" i="24" s="1"/>
  <c r="G230" i="24"/>
  <c r="G177" i="24"/>
  <c r="G277" i="24" s="1"/>
  <c r="L89" i="24"/>
  <c r="L236" i="24" s="1"/>
  <c r="C147" i="24"/>
  <c r="G147" i="24"/>
  <c r="E149" i="24"/>
  <c r="I149" i="24"/>
  <c r="C248" i="24"/>
  <c r="C150" i="24"/>
  <c r="G248" i="24"/>
  <c r="G150" i="24"/>
  <c r="K248" i="24"/>
  <c r="K150" i="24"/>
  <c r="C249" i="24"/>
  <c r="C155" i="24"/>
  <c r="G249" i="24"/>
  <c r="G155" i="24"/>
  <c r="K249" i="24"/>
  <c r="K155" i="24"/>
  <c r="E156" i="24"/>
  <c r="I156" i="24"/>
  <c r="B157" i="24"/>
  <c r="F157" i="24"/>
  <c r="J157" i="24"/>
  <c r="D250" i="24"/>
  <c r="D160" i="24"/>
  <c r="H250" i="24"/>
  <c r="H160" i="24"/>
  <c r="E161" i="24"/>
  <c r="I161" i="24"/>
  <c r="C162" i="24"/>
  <c r="G162" i="24"/>
  <c r="E163" i="24"/>
  <c r="I163" i="24"/>
  <c r="E166" i="24"/>
  <c r="I166" i="24"/>
  <c r="D167" i="24"/>
  <c r="H167" i="24"/>
  <c r="B168" i="24"/>
  <c r="F168" i="24"/>
  <c r="J168" i="24"/>
  <c r="C172" i="24"/>
  <c r="G172" i="24"/>
  <c r="K172" i="24"/>
  <c r="B184" i="24"/>
  <c r="B284" i="24" s="1"/>
  <c r="F184" i="24"/>
  <c r="F284" i="24" s="1"/>
  <c r="J184" i="24"/>
  <c r="J284" i="24" s="1"/>
  <c r="B152" i="24"/>
  <c r="B160" i="24"/>
  <c r="I167" i="24"/>
  <c r="K168" i="24"/>
  <c r="E179" i="24"/>
  <c r="E279" i="24" s="1"/>
  <c r="K180" i="24"/>
  <c r="K280" i="24" s="1"/>
  <c r="E182" i="24"/>
  <c r="E282" i="24" s="1"/>
  <c r="D185" i="24"/>
  <c r="D285" i="24" s="1"/>
  <c r="I186" i="24"/>
  <c r="I286" i="24" s="1"/>
  <c r="H226" i="24"/>
  <c r="D248" i="24"/>
  <c r="I249" i="24"/>
  <c r="C251" i="24"/>
  <c r="H252" i="24"/>
  <c r="F202" i="25"/>
  <c r="F204" i="25"/>
  <c r="J204" i="25"/>
  <c r="V223" i="25"/>
  <c r="K165" i="25"/>
  <c r="G226" i="25"/>
  <c r="X84" i="25"/>
  <c r="X230" i="25" s="1"/>
  <c r="X88" i="25"/>
  <c r="X234" i="25" s="1"/>
  <c r="X92" i="25"/>
  <c r="Q148" i="25"/>
  <c r="F150" i="25"/>
  <c r="J150" i="25"/>
  <c r="E151" i="25"/>
  <c r="I248" i="25"/>
  <c r="I151" i="25"/>
  <c r="D153" i="25"/>
  <c r="H153" i="25"/>
  <c r="V153" i="25"/>
  <c r="C156" i="25"/>
  <c r="C249" i="25"/>
  <c r="G249" i="25"/>
  <c r="G156" i="25"/>
  <c r="K249" i="25"/>
  <c r="K156" i="25"/>
  <c r="F158" i="25"/>
  <c r="J158" i="25"/>
  <c r="E159" i="25"/>
  <c r="I159" i="25"/>
  <c r="N250" i="25"/>
  <c r="N161" i="25"/>
  <c r="V250" i="25"/>
  <c r="V161" i="25"/>
  <c r="U164" i="25"/>
  <c r="C165" i="25"/>
  <c r="G165" i="25"/>
  <c r="E167" i="25"/>
  <c r="I167" i="25"/>
  <c r="S167" i="25"/>
  <c r="F168" i="25"/>
  <c r="J168" i="25"/>
  <c r="C169" i="25"/>
  <c r="G169" i="25"/>
  <c r="E170" i="25"/>
  <c r="E171" i="25"/>
  <c r="I252" i="25"/>
  <c r="N255" i="25"/>
  <c r="N178" i="25"/>
  <c r="N277" i="25" s="1"/>
  <c r="R255" i="25"/>
  <c r="R178" i="25"/>
  <c r="R277" i="25" s="1"/>
  <c r="V255" i="25"/>
  <c r="V178" i="25"/>
  <c r="V277" i="25" s="1"/>
  <c r="C256" i="25"/>
  <c r="C179" i="25"/>
  <c r="C278" i="25" s="1"/>
  <c r="G256" i="25"/>
  <c r="G179" i="25"/>
  <c r="G278" i="25" s="1"/>
  <c r="Q256" i="25"/>
  <c r="Q179" i="25"/>
  <c r="Q278" i="25" s="1"/>
  <c r="U256" i="25"/>
  <c r="U179" i="25"/>
  <c r="U278" i="25" s="1"/>
  <c r="B257" i="25"/>
  <c r="B180" i="25"/>
  <c r="B279" i="25" s="1"/>
  <c r="F257" i="25"/>
  <c r="F180" i="25"/>
  <c r="F279" i="25" s="1"/>
  <c r="J257" i="25"/>
  <c r="J180" i="25"/>
  <c r="J279" i="25" s="1"/>
  <c r="P182" i="25"/>
  <c r="P281" i="25" s="1"/>
  <c r="T182" i="25"/>
  <c r="T281" i="25" s="1"/>
  <c r="B260" i="25"/>
  <c r="B183" i="25"/>
  <c r="B282" i="25" s="1"/>
  <c r="F260" i="25"/>
  <c r="F183" i="25"/>
  <c r="F282" i="25" s="1"/>
  <c r="J260" i="25"/>
  <c r="J183" i="25"/>
  <c r="J282" i="25" s="1"/>
  <c r="N263" i="25"/>
  <c r="N186" i="25"/>
  <c r="N285" i="25" s="1"/>
  <c r="R263" i="25"/>
  <c r="R186" i="25"/>
  <c r="R285" i="25" s="1"/>
  <c r="V263" i="25"/>
  <c r="V186" i="25"/>
  <c r="V285" i="25" s="1"/>
  <c r="D187" i="25"/>
  <c r="D286" i="25" s="1"/>
  <c r="D264" i="25"/>
  <c r="H187" i="25"/>
  <c r="H286" i="25" s="1"/>
  <c r="H264" i="25"/>
  <c r="Q187" i="25"/>
  <c r="Q286" i="25" s="1"/>
  <c r="Q264" i="25"/>
  <c r="U187" i="25"/>
  <c r="U286" i="25" s="1"/>
  <c r="U264" i="25"/>
  <c r="T177" i="25"/>
  <c r="T276" i="25" s="1"/>
  <c r="S185" i="25"/>
  <c r="S284" i="25" s="1"/>
  <c r="Q190" i="25"/>
  <c r="Q289" i="25" s="1"/>
  <c r="E248" i="25"/>
  <c r="B138" i="26"/>
  <c r="B404" i="26" s="1"/>
  <c r="B382" i="26"/>
  <c r="F138" i="26"/>
  <c r="F404" i="26" s="1"/>
  <c r="F382" i="26"/>
  <c r="E195" i="26"/>
  <c r="E289" i="26" s="1"/>
  <c r="D180" i="24"/>
  <c r="D280" i="24" s="1"/>
  <c r="H180" i="24"/>
  <c r="H280" i="24" s="1"/>
  <c r="E181" i="24"/>
  <c r="E281" i="24" s="1"/>
  <c r="I181" i="24"/>
  <c r="I281" i="24" s="1"/>
  <c r="B182" i="24"/>
  <c r="B282" i="24" s="1"/>
  <c r="F182" i="24"/>
  <c r="F282" i="24" s="1"/>
  <c r="J182" i="24"/>
  <c r="J282" i="24" s="1"/>
  <c r="C183" i="24"/>
  <c r="C283" i="24" s="1"/>
  <c r="G183" i="24"/>
  <c r="G283" i="24" s="1"/>
  <c r="K183" i="24"/>
  <c r="K283" i="24" s="1"/>
  <c r="D184" i="24"/>
  <c r="D284" i="24" s="1"/>
  <c r="H184" i="24"/>
  <c r="H284" i="24" s="1"/>
  <c r="E185" i="24"/>
  <c r="E285" i="24" s="1"/>
  <c r="I185" i="24"/>
  <c r="I285" i="24" s="1"/>
  <c r="B186" i="24"/>
  <c r="B286" i="24" s="1"/>
  <c r="F186" i="24"/>
  <c r="F286" i="24" s="1"/>
  <c r="J186" i="24"/>
  <c r="J286" i="24" s="1"/>
  <c r="C189" i="24"/>
  <c r="C289" i="24" s="1"/>
  <c r="G189" i="24"/>
  <c r="G289" i="24" s="1"/>
  <c r="K289" i="24"/>
  <c r="B249" i="24"/>
  <c r="F249" i="24"/>
  <c r="J249" i="24"/>
  <c r="C250" i="24"/>
  <c r="G250" i="24"/>
  <c r="G201" i="25"/>
  <c r="Q201" i="25"/>
  <c r="U201" i="25"/>
  <c r="G202" i="25"/>
  <c r="Q202" i="25"/>
  <c r="U202" i="25"/>
  <c r="G203" i="25"/>
  <c r="T203" i="25"/>
  <c r="E205" i="25"/>
  <c r="I205" i="25"/>
  <c r="Q205" i="25"/>
  <c r="U205" i="25"/>
  <c r="F223" i="25"/>
  <c r="J223" i="25"/>
  <c r="S223" i="25"/>
  <c r="W223" i="25"/>
  <c r="E224" i="25"/>
  <c r="I224" i="25"/>
  <c r="R224" i="25"/>
  <c r="V224" i="25"/>
  <c r="H225" i="25"/>
  <c r="T226" i="25"/>
  <c r="F227" i="25"/>
  <c r="J227" i="25"/>
  <c r="S227" i="25"/>
  <c r="L84" i="25"/>
  <c r="L230" i="25" s="1"/>
  <c r="L85" i="25"/>
  <c r="L86" i="25"/>
  <c r="L232" i="25" s="1"/>
  <c r="L87" i="25"/>
  <c r="L233" i="25" s="1"/>
  <c r="L88" i="25"/>
  <c r="L234" i="25" s="1"/>
  <c r="L89" i="25"/>
  <c r="L235" i="25" s="1"/>
  <c r="L90" i="25"/>
  <c r="L236" i="25" s="1"/>
  <c r="L91" i="25"/>
  <c r="L237" i="25" s="1"/>
  <c r="L92" i="25"/>
  <c r="L238" i="25" s="1"/>
  <c r="L93" i="25"/>
  <c r="L239" i="25" s="1"/>
  <c r="B250" i="25"/>
  <c r="F250" i="25"/>
  <c r="J250" i="25"/>
  <c r="O250" i="25"/>
  <c r="S250" i="25"/>
  <c r="Q165" i="25"/>
  <c r="U165" i="25"/>
  <c r="B251" i="25"/>
  <c r="B166" i="25"/>
  <c r="B273" i="25" s="1"/>
  <c r="F251" i="25"/>
  <c r="F166" i="25"/>
  <c r="J251" i="25"/>
  <c r="J166" i="25"/>
  <c r="P251" i="25"/>
  <c r="P166" i="25"/>
  <c r="T251" i="25"/>
  <c r="T166" i="25"/>
  <c r="D252" i="25"/>
  <c r="H252" i="25"/>
  <c r="Q252" i="25"/>
  <c r="U252" i="25"/>
  <c r="B252" i="25"/>
  <c r="J172" i="25"/>
  <c r="O172" i="25"/>
  <c r="S172" i="25"/>
  <c r="W172" i="25"/>
  <c r="D173" i="25"/>
  <c r="H173" i="25"/>
  <c r="Q173" i="25"/>
  <c r="U173" i="25"/>
  <c r="F174" i="25"/>
  <c r="J174" i="25"/>
  <c r="O174" i="25"/>
  <c r="S174" i="25"/>
  <c r="W174" i="25"/>
  <c r="D175" i="25"/>
  <c r="H175" i="25"/>
  <c r="Q175" i="25"/>
  <c r="U175" i="25"/>
  <c r="B176" i="25"/>
  <c r="B275" i="25" s="1"/>
  <c r="B253" i="25"/>
  <c r="F176" i="25"/>
  <c r="F275" i="25" s="1"/>
  <c r="F253" i="25"/>
  <c r="J176" i="25"/>
  <c r="J275" i="25" s="1"/>
  <c r="J253" i="25"/>
  <c r="O176" i="25"/>
  <c r="O275" i="25" s="1"/>
  <c r="O253" i="25"/>
  <c r="S176" i="25"/>
  <c r="S275" i="25" s="1"/>
  <c r="S253" i="25"/>
  <c r="W176" i="25"/>
  <c r="W275" i="25" s="1"/>
  <c r="W253" i="25"/>
  <c r="E177" i="25"/>
  <c r="E276" i="25" s="1"/>
  <c r="I177" i="25"/>
  <c r="I276" i="25" s="1"/>
  <c r="N177" i="25"/>
  <c r="N276" i="25" s="1"/>
  <c r="R177" i="25"/>
  <c r="R276" i="25" s="1"/>
  <c r="V177" i="25"/>
  <c r="V276" i="25" s="1"/>
  <c r="P180" i="25"/>
  <c r="P279" i="25" s="1"/>
  <c r="T180" i="25"/>
  <c r="T279" i="25" s="1"/>
  <c r="C260" i="25"/>
  <c r="C183" i="25"/>
  <c r="C282" i="25" s="1"/>
  <c r="G260" i="25"/>
  <c r="G183" i="25"/>
  <c r="G282" i="25" s="1"/>
  <c r="K260" i="25"/>
  <c r="K183" i="25"/>
  <c r="K282" i="25" s="1"/>
  <c r="P260" i="25"/>
  <c r="P183" i="25"/>
  <c r="P282" i="25" s="1"/>
  <c r="T260" i="25"/>
  <c r="T183" i="25"/>
  <c r="T282" i="25" s="1"/>
  <c r="E261" i="25"/>
  <c r="E184" i="25"/>
  <c r="E283" i="25" s="1"/>
  <c r="I261" i="25"/>
  <c r="I184" i="25"/>
  <c r="I283" i="25" s="1"/>
  <c r="N261" i="25"/>
  <c r="N184" i="25"/>
  <c r="N283" i="25" s="1"/>
  <c r="R261" i="25"/>
  <c r="R184" i="25"/>
  <c r="R283" i="25" s="1"/>
  <c r="V261" i="25"/>
  <c r="V184" i="25"/>
  <c r="V283" i="25" s="1"/>
  <c r="D185" i="25"/>
  <c r="D284" i="25" s="1"/>
  <c r="D262" i="25"/>
  <c r="H185" i="25"/>
  <c r="H284" i="25" s="1"/>
  <c r="H262" i="25"/>
  <c r="Q185" i="25"/>
  <c r="Q284" i="25" s="1"/>
  <c r="Q262" i="25"/>
  <c r="U185" i="25"/>
  <c r="U284" i="25" s="1"/>
  <c r="U262" i="25"/>
  <c r="B186" i="25"/>
  <c r="B285" i="25" s="1"/>
  <c r="B263" i="25"/>
  <c r="F186" i="25"/>
  <c r="F285" i="25" s="1"/>
  <c r="F263" i="25"/>
  <c r="J186" i="25"/>
  <c r="J285" i="25" s="1"/>
  <c r="J263" i="25"/>
  <c r="O186" i="25"/>
  <c r="O285" i="25" s="1"/>
  <c r="O263" i="25"/>
  <c r="S186" i="25"/>
  <c r="S285" i="25" s="1"/>
  <c r="S263" i="25"/>
  <c r="W186" i="25"/>
  <c r="W285" i="25" s="1"/>
  <c r="W263" i="25"/>
  <c r="E187" i="25"/>
  <c r="E286" i="25" s="1"/>
  <c r="I187" i="25"/>
  <c r="I286" i="25" s="1"/>
  <c r="N187" i="25"/>
  <c r="N286" i="25" s="1"/>
  <c r="R187" i="25"/>
  <c r="R286" i="25" s="1"/>
  <c r="V187" i="25"/>
  <c r="V286" i="25" s="1"/>
  <c r="C190" i="25"/>
  <c r="C289" i="25" s="1"/>
  <c r="G190" i="25"/>
  <c r="G289" i="25" s="1"/>
  <c r="P190" i="25"/>
  <c r="P289" i="25" s="1"/>
  <c r="T190" i="25"/>
  <c r="T289" i="25" s="1"/>
  <c r="O151" i="25"/>
  <c r="Q156" i="25"/>
  <c r="B161" i="25"/>
  <c r="B272" i="25" s="1"/>
  <c r="S161" i="25"/>
  <c r="K167" i="25"/>
  <c r="H171" i="25"/>
  <c r="N171" i="25"/>
  <c r="N274" i="25" s="1"/>
  <c r="U171" i="25"/>
  <c r="G177" i="25"/>
  <c r="G276" i="25" s="1"/>
  <c r="O178" i="25"/>
  <c r="O277" i="25" s="1"/>
  <c r="H179" i="25"/>
  <c r="H278" i="25" s="1"/>
  <c r="C180" i="25"/>
  <c r="C279" i="25" s="1"/>
  <c r="U180" i="25"/>
  <c r="U279" i="25" s="1"/>
  <c r="O181" i="25"/>
  <c r="O280" i="25" s="1"/>
  <c r="H182" i="25"/>
  <c r="H281" i="25" s="1"/>
  <c r="F185" i="25"/>
  <c r="F284" i="25" s="1"/>
  <c r="W185" i="25"/>
  <c r="W284" i="25" s="1"/>
  <c r="Q186" i="25"/>
  <c r="Q285" i="25" s="1"/>
  <c r="J187" i="25"/>
  <c r="J286" i="25" s="1"/>
  <c r="D190" i="25"/>
  <c r="D289" i="25" s="1"/>
  <c r="U190" i="25"/>
  <c r="U289" i="25" s="1"/>
  <c r="C223" i="25"/>
  <c r="N231" i="25"/>
  <c r="H251" i="25"/>
  <c r="E252" i="25"/>
  <c r="D346" i="26"/>
  <c r="E348" i="26"/>
  <c r="F359" i="26"/>
  <c r="F231" i="26"/>
  <c r="F450" i="26" s="1"/>
  <c r="D132" i="26"/>
  <c r="D398" i="26" s="1"/>
  <c r="E133" i="26"/>
  <c r="E399" i="26" s="1"/>
  <c r="E377" i="26"/>
  <c r="D206" i="26"/>
  <c r="D300" i="26" s="1"/>
  <c r="D208" i="26"/>
  <c r="D417" i="26"/>
  <c r="H161" i="26"/>
  <c r="E211" i="26"/>
  <c r="E305" i="26" s="1"/>
  <c r="B212" i="26"/>
  <c r="B306" i="26" s="1"/>
  <c r="F212" i="26"/>
  <c r="F306" i="26" s="1"/>
  <c r="G213" i="26"/>
  <c r="G307" i="26" s="1"/>
  <c r="D214" i="26"/>
  <c r="D308" i="26" s="1"/>
  <c r="H169" i="26"/>
  <c r="E219" i="26"/>
  <c r="E313" i="26" s="1"/>
  <c r="N120" i="27"/>
  <c r="C179" i="24"/>
  <c r="C279" i="24" s="1"/>
  <c r="G179" i="24"/>
  <c r="G279" i="24" s="1"/>
  <c r="E180" i="24"/>
  <c r="E280" i="24" s="1"/>
  <c r="I180" i="24"/>
  <c r="I280" i="24" s="1"/>
  <c r="B181" i="24"/>
  <c r="B281" i="24" s="1"/>
  <c r="F181" i="24"/>
  <c r="F281" i="24" s="1"/>
  <c r="J181" i="24"/>
  <c r="J281" i="24" s="1"/>
  <c r="C182" i="24"/>
  <c r="C282" i="24" s="1"/>
  <c r="G182" i="24"/>
  <c r="G282" i="24" s="1"/>
  <c r="K182" i="24"/>
  <c r="K282" i="24" s="1"/>
  <c r="D183" i="24"/>
  <c r="D283" i="24" s="1"/>
  <c r="H183" i="24"/>
  <c r="H283" i="24" s="1"/>
  <c r="E184" i="24"/>
  <c r="E284" i="24" s="1"/>
  <c r="I184" i="24"/>
  <c r="I284" i="24" s="1"/>
  <c r="B185" i="24"/>
  <c r="B285" i="24" s="1"/>
  <c r="F185" i="24"/>
  <c r="F285" i="24" s="1"/>
  <c r="J185" i="24"/>
  <c r="J285" i="24" s="1"/>
  <c r="C186" i="24"/>
  <c r="C286" i="24" s="1"/>
  <c r="G186" i="24"/>
  <c r="G286" i="24" s="1"/>
  <c r="K286" i="24"/>
  <c r="D189" i="24"/>
  <c r="D289" i="24" s="1"/>
  <c r="H189" i="24"/>
  <c r="H289" i="24" s="1"/>
  <c r="B256" i="24"/>
  <c r="F256" i="24"/>
  <c r="J256" i="24"/>
  <c r="H201" i="25"/>
  <c r="R201" i="25"/>
  <c r="H202" i="25"/>
  <c r="R202" i="25"/>
  <c r="H203" i="25"/>
  <c r="Q203" i="25"/>
  <c r="U203" i="25"/>
  <c r="U204" i="25"/>
  <c r="F205" i="25"/>
  <c r="J205" i="25"/>
  <c r="R205" i="25"/>
  <c r="V205" i="25"/>
  <c r="P223" i="25"/>
  <c r="T223" i="25"/>
  <c r="F224" i="25"/>
  <c r="J224" i="25"/>
  <c r="R225" i="25"/>
  <c r="V225" i="25"/>
  <c r="H226" i="25"/>
  <c r="L72" i="25"/>
  <c r="Q226" i="25"/>
  <c r="U226" i="25"/>
  <c r="G227" i="25"/>
  <c r="T227" i="25"/>
  <c r="E146" i="25"/>
  <c r="I146" i="25"/>
  <c r="N146" i="25"/>
  <c r="R146" i="25"/>
  <c r="V146" i="25"/>
  <c r="C147" i="25"/>
  <c r="G147" i="25"/>
  <c r="K147" i="25"/>
  <c r="P147" i="25"/>
  <c r="T147" i="25"/>
  <c r="E148" i="25"/>
  <c r="I148" i="25"/>
  <c r="N148" i="25"/>
  <c r="R148" i="25"/>
  <c r="V148" i="25"/>
  <c r="C149" i="25"/>
  <c r="G149" i="25"/>
  <c r="K149" i="25"/>
  <c r="P149" i="25"/>
  <c r="T149" i="25"/>
  <c r="E150" i="25"/>
  <c r="I150" i="25"/>
  <c r="N150" i="25"/>
  <c r="R150" i="25"/>
  <c r="V150" i="25"/>
  <c r="C248" i="25"/>
  <c r="C151" i="25"/>
  <c r="G248" i="25"/>
  <c r="G151" i="25"/>
  <c r="K248" i="25"/>
  <c r="K151" i="25"/>
  <c r="P248" i="25"/>
  <c r="P151" i="25"/>
  <c r="T248" i="25"/>
  <c r="T151" i="25"/>
  <c r="E152" i="25"/>
  <c r="I152" i="25"/>
  <c r="N152" i="25"/>
  <c r="R152" i="25"/>
  <c r="V152" i="25"/>
  <c r="C153" i="25"/>
  <c r="G153" i="25"/>
  <c r="K153" i="25"/>
  <c r="P153" i="25"/>
  <c r="T153" i="25"/>
  <c r="E154" i="25"/>
  <c r="I154" i="25"/>
  <c r="N154" i="25"/>
  <c r="R154" i="25"/>
  <c r="V154" i="25"/>
  <c r="C155" i="25"/>
  <c r="G155" i="25"/>
  <c r="K155" i="25"/>
  <c r="P155" i="25"/>
  <c r="T155" i="25"/>
  <c r="E249" i="25"/>
  <c r="E156" i="25"/>
  <c r="I249" i="25"/>
  <c r="I156" i="25"/>
  <c r="N249" i="25"/>
  <c r="N156" i="25"/>
  <c r="R249" i="25"/>
  <c r="R156" i="25"/>
  <c r="V249" i="25"/>
  <c r="V156" i="25"/>
  <c r="C157" i="25"/>
  <c r="G157" i="25"/>
  <c r="K157" i="25"/>
  <c r="P157" i="25"/>
  <c r="T157" i="25"/>
  <c r="E158" i="25"/>
  <c r="I158" i="25"/>
  <c r="N158" i="25"/>
  <c r="R158" i="25"/>
  <c r="V158" i="25"/>
  <c r="C159" i="25"/>
  <c r="G159" i="25"/>
  <c r="K159" i="25"/>
  <c r="P159" i="25"/>
  <c r="T159" i="25"/>
  <c r="E160" i="25"/>
  <c r="I160" i="25"/>
  <c r="N160" i="25"/>
  <c r="R160" i="25"/>
  <c r="V160" i="25"/>
  <c r="C250" i="25"/>
  <c r="C161" i="25"/>
  <c r="G250" i="25"/>
  <c r="G161" i="25"/>
  <c r="K250" i="25"/>
  <c r="K161" i="25"/>
  <c r="P250" i="25"/>
  <c r="P161" i="25"/>
  <c r="T250" i="25"/>
  <c r="T161" i="25"/>
  <c r="E162" i="25"/>
  <c r="I162" i="25"/>
  <c r="N162" i="25"/>
  <c r="R162" i="25"/>
  <c r="V162" i="25"/>
  <c r="C163" i="25"/>
  <c r="G163" i="25"/>
  <c r="O164" i="25"/>
  <c r="S164" i="25"/>
  <c r="W164" i="25"/>
  <c r="D165" i="25"/>
  <c r="H165" i="25"/>
  <c r="C251" i="25"/>
  <c r="G251" i="25"/>
  <c r="Q251" i="25"/>
  <c r="U251" i="25"/>
  <c r="O169" i="25"/>
  <c r="S169" i="25"/>
  <c r="W169" i="25"/>
  <c r="R171" i="25"/>
  <c r="V171" i="25"/>
  <c r="C172" i="25"/>
  <c r="G172" i="25"/>
  <c r="K172" i="25"/>
  <c r="P172" i="25"/>
  <c r="T172" i="25"/>
  <c r="E173" i="25"/>
  <c r="I173" i="25"/>
  <c r="N173" i="25"/>
  <c r="R173" i="25"/>
  <c r="V173" i="25"/>
  <c r="C174" i="25"/>
  <c r="G174" i="25"/>
  <c r="K174" i="25"/>
  <c r="P174" i="25"/>
  <c r="T174" i="25"/>
  <c r="E175" i="25"/>
  <c r="I175" i="25"/>
  <c r="N175" i="25"/>
  <c r="R175" i="25"/>
  <c r="V175" i="25"/>
  <c r="C176" i="25"/>
  <c r="C275" i="25" s="1"/>
  <c r="G176" i="25"/>
  <c r="G275" i="25" s="1"/>
  <c r="K176" i="25"/>
  <c r="K275" i="25" s="1"/>
  <c r="P176" i="25"/>
  <c r="P275" i="25" s="1"/>
  <c r="T176" i="25"/>
  <c r="T275" i="25" s="1"/>
  <c r="B254" i="25"/>
  <c r="B177" i="25"/>
  <c r="B276" i="25" s="1"/>
  <c r="F254" i="25"/>
  <c r="F177" i="25"/>
  <c r="F276" i="25" s="1"/>
  <c r="J254" i="25"/>
  <c r="J177" i="25"/>
  <c r="J276" i="25" s="1"/>
  <c r="O254" i="25"/>
  <c r="O177" i="25"/>
  <c r="O276" i="25" s="1"/>
  <c r="S254" i="25"/>
  <c r="S177" i="25"/>
  <c r="S276" i="25" s="1"/>
  <c r="W254" i="25"/>
  <c r="W177" i="25"/>
  <c r="W276" i="25" s="1"/>
  <c r="C178" i="25"/>
  <c r="C277" i="25" s="1"/>
  <c r="G178" i="25"/>
  <c r="G277" i="25" s="1"/>
  <c r="P178" i="25"/>
  <c r="P277" i="25" s="1"/>
  <c r="T178" i="25"/>
  <c r="T277" i="25" s="1"/>
  <c r="E179" i="25"/>
  <c r="E278" i="25" s="1"/>
  <c r="I179" i="25"/>
  <c r="I278" i="25" s="1"/>
  <c r="O256" i="25"/>
  <c r="O179" i="25"/>
  <c r="O278" i="25" s="1"/>
  <c r="S256" i="25"/>
  <c r="S179" i="25"/>
  <c r="S278" i="25" s="1"/>
  <c r="W256" i="25"/>
  <c r="W179" i="25"/>
  <c r="W278" i="25" s="1"/>
  <c r="D257" i="25"/>
  <c r="D180" i="25"/>
  <c r="D279" i="25" s="1"/>
  <c r="H257" i="25"/>
  <c r="H180" i="25"/>
  <c r="H279" i="25" s="1"/>
  <c r="C258" i="25"/>
  <c r="C181" i="25"/>
  <c r="C280" i="25" s="1"/>
  <c r="G258" i="25"/>
  <c r="G181" i="25"/>
  <c r="G280" i="25" s="1"/>
  <c r="K258" i="25"/>
  <c r="K181" i="25"/>
  <c r="K280" i="25" s="1"/>
  <c r="P258" i="25"/>
  <c r="P181" i="25"/>
  <c r="P280" i="25" s="1"/>
  <c r="T258" i="25"/>
  <c r="T181" i="25"/>
  <c r="T280" i="25" s="1"/>
  <c r="E259" i="25"/>
  <c r="E182" i="25"/>
  <c r="E281" i="25" s="1"/>
  <c r="I259" i="25"/>
  <c r="I182" i="25"/>
  <c r="I281" i="25" s="1"/>
  <c r="N259" i="25"/>
  <c r="N182" i="25"/>
  <c r="N281" i="25" s="1"/>
  <c r="R259" i="25"/>
  <c r="R182" i="25"/>
  <c r="R281" i="25" s="1"/>
  <c r="V259" i="25"/>
  <c r="V182" i="25"/>
  <c r="V281" i="25" s="1"/>
  <c r="D183" i="25"/>
  <c r="D282" i="25" s="1"/>
  <c r="D260" i="25"/>
  <c r="H183" i="25"/>
  <c r="H282" i="25" s="1"/>
  <c r="H260" i="25"/>
  <c r="Q183" i="25"/>
  <c r="Q282" i="25" s="1"/>
  <c r="Q260" i="25"/>
  <c r="U183" i="25"/>
  <c r="U282" i="25" s="1"/>
  <c r="U260" i="25"/>
  <c r="B184" i="25"/>
  <c r="B283" i="25" s="1"/>
  <c r="B261" i="25"/>
  <c r="F184" i="25"/>
  <c r="F283" i="25" s="1"/>
  <c r="F261" i="25"/>
  <c r="J184" i="25"/>
  <c r="J283" i="25" s="1"/>
  <c r="J261" i="25"/>
  <c r="O184" i="25"/>
  <c r="O283" i="25" s="1"/>
  <c r="O261" i="25"/>
  <c r="S184" i="25"/>
  <c r="S283" i="25" s="1"/>
  <c r="S261" i="25"/>
  <c r="W184" i="25"/>
  <c r="W283" i="25" s="1"/>
  <c r="W261" i="25"/>
  <c r="E185" i="25"/>
  <c r="E284" i="25" s="1"/>
  <c r="I185" i="25"/>
  <c r="I284" i="25" s="1"/>
  <c r="N185" i="25"/>
  <c r="N284" i="25" s="1"/>
  <c r="R185" i="25"/>
  <c r="R284" i="25" s="1"/>
  <c r="V185" i="25"/>
  <c r="V284" i="25" s="1"/>
  <c r="C186" i="25"/>
  <c r="C285" i="25" s="1"/>
  <c r="G186" i="25"/>
  <c r="G285" i="25" s="1"/>
  <c r="P186" i="25"/>
  <c r="P285" i="25" s="1"/>
  <c r="T186" i="25"/>
  <c r="T285" i="25" s="1"/>
  <c r="J151" i="25"/>
  <c r="O161" i="25"/>
  <c r="G166" i="25"/>
  <c r="D171" i="25"/>
  <c r="I171" i="25"/>
  <c r="K177" i="25"/>
  <c r="K276" i="25" s="1"/>
  <c r="S178" i="25"/>
  <c r="S277" i="25" s="1"/>
  <c r="G180" i="25"/>
  <c r="G279" i="25" s="1"/>
  <c r="B181" i="25"/>
  <c r="B280" i="25" s="1"/>
  <c r="S181" i="25"/>
  <c r="S280" i="25" s="1"/>
  <c r="J185" i="25"/>
  <c r="J284" i="25" s="1"/>
  <c r="D186" i="25"/>
  <c r="D285" i="25" s="1"/>
  <c r="U186" i="25"/>
  <c r="U285" i="25" s="1"/>
  <c r="O187" i="25"/>
  <c r="O286" i="25" s="1"/>
  <c r="H190" i="25"/>
  <c r="H289" i="25" s="1"/>
  <c r="R231" i="25"/>
  <c r="C253" i="25"/>
  <c r="G255" i="25"/>
  <c r="X255" i="25"/>
  <c r="E347" i="26"/>
  <c r="B348" i="26"/>
  <c r="F348" i="26"/>
  <c r="D112" i="26"/>
  <c r="E113" i="26"/>
  <c r="C370" i="26"/>
  <c r="C114" i="26"/>
  <c r="G370" i="26"/>
  <c r="G114" i="26"/>
  <c r="C127" i="26"/>
  <c r="G127" i="26"/>
  <c r="C201" i="26"/>
  <c r="C295" i="26" s="1"/>
  <c r="G201" i="26"/>
  <c r="G295" i="26" s="1"/>
  <c r="C416" i="26"/>
  <c r="C203" i="26"/>
  <c r="C297" i="26" s="1"/>
  <c r="H156" i="26"/>
  <c r="G416" i="26"/>
  <c r="G203" i="26"/>
  <c r="C229" i="26"/>
  <c r="C448" i="26" s="1"/>
  <c r="C428" i="26"/>
  <c r="C231" i="26"/>
  <c r="C450" i="26" s="1"/>
  <c r="H184" i="26"/>
  <c r="G428" i="26"/>
  <c r="G231" i="26"/>
  <c r="G450" i="26" s="1"/>
  <c r="D376" i="26"/>
  <c r="D199" i="27"/>
  <c r="D293" i="27" s="1"/>
  <c r="D105" i="27"/>
  <c r="M105" i="27"/>
  <c r="M199" i="27"/>
  <c r="M293" i="27" s="1"/>
  <c r="E129" i="27"/>
  <c r="E398" i="27" s="1"/>
  <c r="E351" i="27"/>
  <c r="N351" i="27"/>
  <c r="N223" i="27"/>
  <c r="N445" i="27" s="1"/>
  <c r="N129" i="27"/>
  <c r="N398" i="27" s="1"/>
  <c r="E112" i="27"/>
  <c r="E160" i="24"/>
  <c r="I160" i="24"/>
  <c r="D179" i="24"/>
  <c r="D279" i="24" s="1"/>
  <c r="H179" i="24"/>
  <c r="H279" i="24" s="1"/>
  <c r="E201" i="25"/>
  <c r="I201" i="25"/>
  <c r="S201" i="25"/>
  <c r="S202" i="25"/>
  <c r="E204" i="25"/>
  <c r="I204" i="25"/>
  <c r="S205" i="25"/>
  <c r="D223" i="25"/>
  <c r="H223" i="25"/>
  <c r="Q223" i="25"/>
  <c r="U223" i="25"/>
  <c r="T224" i="25"/>
  <c r="F225" i="25"/>
  <c r="J225" i="25"/>
  <c r="S225" i="25"/>
  <c r="E226" i="25"/>
  <c r="I226" i="25"/>
  <c r="R226" i="25"/>
  <c r="V226" i="25"/>
  <c r="H227" i="25"/>
  <c r="L77" i="25"/>
  <c r="Q227" i="25"/>
  <c r="U227" i="25"/>
  <c r="X82" i="25"/>
  <c r="X228" i="25" s="1"/>
  <c r="D248" i="25"/>
  <c r="H248" i="25"/>
  <c r="Q248" i="25"/>
  <c r="U248" i="25"/>
  <c r="B249" i="25"/>
  <c r="F249" i="25"/>
  <c r="J249" i="25"/>
  <c r="O249" i="25"/>
  <c r="S249" i="25"/>
  <c r="W249" i="25"/>
  <c r="D250" i="25"/>
  <c r="H250" i="25"/>
  <c r="Q250" i="25"/>
  <c r="U250" i="25"/>
  <c r="Q163" i="25"/>
  <c r="U163" i="25"/>
  <c r="F164" i="25"/>
  <c r="J164" i="25"/>
  <c r="R251" i="25"/>
  <c r="V251" i="25"/>
  <c r="C168" i="25"/>
  <c r="G168" i="25"/>
  <c r="Q168" i="25"/>
  <c r="U168" i="25"/>
  <c r="F169" i="25"/>
  <c r="J169" i="25"/>
  <c r="F252" i="25"/>
  <c r="F171" i="25"/>
  <c r="J252" i="25"/>
  <c r="J171" i="25"/>
  <c r="O252" i="25"/>
  <c r="O171" i="25"/>
  <c r="O274" i="25" s="1"/>
  <c r="S252" i="25"/>
  <c r="S171" i="25"/>
  <c r="W252" i="25"/>
  <c r="W171" i="25"/>
  <c r="W274" i="25" s="1"/>
  <c r="D172" i="25"/>
  <c r="H172" i="25"/>
  <c r="Q172" i="25"/>
  <c r="U172" i="25"/>
  <c r="F173" i="25"/>
  <c r="J173" i="25"/>
  <c r="O173" i="25"/>
  <c r="S173" i="25"/>
  <c r="W173" i="25"/>
  <c r="D174" i="25"/>
  <c r="H174" i="25"/>
  <c r="Q174" i="25"/>
  <c r="U174" i="25"/>
  <c r="F175" i="25"/>
  <c r="J175" i="25"/>
  <c r="O175" i="25"/>
  <c r="S175" i="25"/>
  <c r="W175" i="25"/>
  <c r="D253" i="25"/>
  <c r="D176" i="25"/>
  <c r="D275" i="25" s="1"/>
  <c r="H253" i="25"/>
  <c r="H176" i="25"/>
  <c r="H275" i="25" s="1"/>
  <c r="Q253" i="25"/>
  <c r="Q176" i="25"/>
  <c r="Q275" i="25" s="1"/>
  <c r="U253" i="25"/>
  <c r="U176" i="25"/>
  <c r="U275" i="25" s="1"/>
  <c r="D255" i="25"/>
  <c r="D178" i="25"/>
  <c r="D277" i="25" s="1"/>
  <c r="H255" i="25"/>
  <c r="H178" i="25"/>
  <c r="H277" i="25" s="1"/>
  <c r="Q178" i="25"/>
  <c r="Q277" i="25" s="1"/>
  <c r="Q255" i="25"/>
  <c r="U178" i="25"/>
  <c r="U277" i="25" s="1"/>
  <c r="U255" i="25"/>
  <c r="B179" i="25"/>
  <c r="B278" i="25" s="1"/>
  <c r="B256" i="25"/>
  <c r="F179" i="25"/>
  <c r="F278" i="25" s="1"/>
  <c r="F256" i="25"/>
  <c r="J179" i="25"/>
  <c r="J278" i="25" s="1"/>
  <c r="J256" i="25"/>
  <c r="P256" i="25"/>
  <c r="P179" i="25"/>
  <c r="P278" i="25" s="1"/>
  <c r="T256" i="25"/>
  <c r="T179" i="25"/>
  <c r="T278" i="25" s="1"/>
  <c r="X256" i="25"/>
  <c r="E257" i="25"/>
  <c r="E180" i="25"/>
  <c r="E279" i="25" s="1"/>
  <c r="I257" i="25"/>
  <c r="I180" i="25"/>
  <c r="I279" i="25" s="1"/>
  <c r="N257" i="25"/>
  <c r="N180" i="25"/>
  <c r="N279" i="25" s="1"/>
  <c r="R257" i="25"/>
  <c r="R180" i="25"/>
  <c r="R279" i="25" s="1"/>
  <c r="V257" i="25"/>
  <c r="V180" i="25"/>
  <c r="V279" i="25" s="1"/>
  <c r="D181" i="25"/>
  <c r="D280" i="25" s="1"/>
  <c r="D258" i="25"/>
  <c r="H181" i="25"/>
  <c r="H280" i="25" s="1"/>
  <c r="H258" i="25"/>
  <c r="Q181" i="25"/>
  <c r="Q280" i="25" s="1"/>
  <c r="Q258" i="25"/>
  <c r="U181" i="25"/>
  <c r="U280" i="25" s="1"/>
  <c r="U258" i="25"/>
  <c r="B182" i="25"/>
  <c r="B281" i="25" s="1"/>
  <c r="B259" i="25"/>
  <c r="F182" i="25"/>
  <c r="F281" i="25" s="1"/>
  <c r="F259" i="25"/>
  <c r="J182" i="25"/>
  <c r="J281" i="25" s="1"/>
  <c r="J259" i="25"/>
  <c r="O182" i="25"/>
  <c r="O281" i="25" s="1"/>
  <c r="O259" i="25"/>
  <c r="S182" i="25"/>
  <c r="S281" i="25" s="1"/>
  <c r="S259" i="25"/>
  <c r="W182" i="25"/>
  <c r="W281" i="25" s="1"/>
  <c r="W259" i="25"/>
  <c r="E183" i="25"/>
  <c r="E282" i="25" s="1"/>
  <c r="I183" i="25"/>
  <c r="I282" i="25" s="1"/>
  <c r="N183" i="25"/>
  <c r="N282" i="25" s="1"/>
  <c r="R183" i="25"/>
  <c r="R282" i="25" s="1"/>
  <c r="V183" i="25"/>
  <c r="V282" i="25" s="1"/>
  <c r="C184" i="25"/>
  <c r="C283" i="25" s="1"/>
  <c r="G184" i="25"/>
  <c r="G283" i="25" s="1"/>
  <c r="P184" i="25"/>
  <c r="P283" i="25" s="1"/>
  <c r="T184" i="25"/>
  <c r="T283" i="25" s="1"/>
  <c r="C264" i="25"/>
  <c r="C187" i="25"/>
  <c r="C286" i="25" s="1"/>
  <c r="G264" i="25"/>
  <c r="G187" i="25"/>
  <c r="G286" i="25" s="1"/>
  <c r="K264" i="25"/>
  <c r="K187" i="25"/>
  <c r="K286" i="25" s="1"/>
  <c r="P264" i="25"/>
  <c r="P187" i="25"/>
  <c r="P286" i="25" s="1"/>
  <c r="T264" i="25"/>
  <c r="T187" i="25"/>
  <c r="T286" i="25" s="1"/>
  <c r="E267" i="25"/>
  <c r="E190" i="25"/>
  <c r="E289" i="25" s="1"/>
  <c r="I267" i="25"/>
  <c r="I190" i="25"/>
  <c r="I289" i="25" s="1"/>
  <c r="N267" i="25"/>
  <c r="N190" i="25"/>
  <c r="N289" i="25" s="1"/>
  <c r="R267" i="25"/>
  <c r="R190" i="25"/>
  <c r="R289" i="25" s="1"/>
  <c r="V267" i="25"/>
  <c r="V190" i="25"/>
  <c r="V289" i="25" s="1"/>
  <c r="F151" i="25"/>
  <c r="W151" i="25"/>
  <c r="H156" i="25"/>
  <c r="O156" i="25"/>
  <c r="J161" i="25"/>
  <c r="Q161" i="25"/>
  <c r="C166" i="25"/>
  <c r="U166" i="25"/>
  <c r="Q171" i="25"/>
  <c r="B172" i="25"/>
  <c r="B274" i="25" s="1"/>
  <c r="P177" i="25"/>
  <c r="P276" i="25" s="1"/>
  <c r="W178" i="25"/>
  <c r="W277" i="25" s="1"/>
  <c r="F181" i="25"/>
  <c r="F280" i="25" s="1"/>
  <c r="W181" i="25"/>
  <c r="W280" i="25" s="1"/>
  <c r="Q182" i="25"/>
  <c r="Q281" i="25" s="1"/>
  <c r="O185" i="25"/>
  <c r="O284" i="25" s="1"/>
  <c r="H186" i="25"/>
  <c r="H285" i="25" s="1"/>
  <c r="B187" i="25"/>
  <c r="B286" i="25" s="1"/>
  <c r="S187" i="25"/>
  <c r="S286" i="25" s="1"/>
  <c r="G253" i="25"/>
  <c r="E256" i="25"/>
  <c r="E234" i="26"/>
  <c r="E453" i="26" s="1"/>
  <c r="E362" i="26"/>
  <c r="C105" i="26"/>
  <c r="C368" i="26"/>
  <c r="G105" i="26"/>
  <c r="G368" i="26"/>
  <c r="C111" i="26"/>
  <c r="G111" i="26"/>
  <c r="B120" i="26"/>
  <c r="B371" i="26"/>
  <c r="H151" i="26"/>
  <c r="B198" i="26"/>
  <c r="B415" i="26"/>
  <c r="F415" i="26"/>
  <c r="F198" i="26"/>
  <c r="B200" i="26"/>
  <c r="B294" i="26" s="1"/>
  <c r="F200" i="26"/>
  <c r="F294" i="26" s="1"/>
  <c r="B228" i="26"/>
  <c r="B447" i="26" s="1"/>
  <c r="F228" i="26"/>
  <c r="F447" i="26" s="1"/>
  <c r="D121" i="27"/>
  <c r="D215" i="27"/>
  <c r="D309" i="27" s="1"/>
  <c r="M121" i="27"/>
  <c r="M215" i="27"/>
  <c r="M309" i="27" s="1"/>
  <c r="N217" i="27"/>
  <c r="N311" i="27" s="1"/>
  <c r="N123" i="27"/>
  <c r="F350" i="27"/>
  <c r="F218" i="27"/>
  <c r="F124" i="27"/>
  <c r="C346" i="26"/>
  <c r="D347" i="26"/>
  <c r="B349" i="26"/>
  <c r="F349" i="26"/>
  <c r="C350" i="26"/>
  <c r="C99" i="26"/>
  <c r="G99" i="26"/>
  <c r="D100" i="26"/>
  <c r="E101" i="26"/>
  <c r="C102" i="26"/>
  <c r="G102" i="26"/>
  <c r="D103" i="26"/>
  <c r="E368" i="26"/>
  <c r="E104" i="26"/>
  <c r="B105" i="26"/>
  <c r="F105" i="26"/>
  <c r="D106" i="26"/>
  <c r="E107" i="26"/>
  <c r="B108" i="26"/>
  <c r="F108" i="26"/>
  <c r="C369" i="26"/>
  <c r="C109" i="26"/>
  <c r="G369" i="26"/>
  <c r="G109" i="26"/>
  <c r="B370" i="26"/>
  <c r="B114" i="26"/>
  <c r="F370" i="26"/>
  <c r="F114" i="26"/>
  <c r="C115" i="26"/>
  <c r="G115" i="26"/>
  <c r="D116" i="26"/>
  <c r="E117" i="26"/>
  <c r="C118" i="26"/>
  <c r="G118" i="26"/>
  <c r="D371" i="26"/>
  <c r="D119" i="26"/>
  <c r="E120" i="26"/>
  <c r="B121" i="26"/>
  <c r="F121" i="26"/>
  <c r="D122" i="26"/>
  <c r="E123" i="26"/>
  <c r="B124" i="26"/>
  <c r="B372" i="26"/>
  <c r="F124" i="26"/>
  <c r="F372" i="26"/>
  <c r="C125" i="26"/>
  <c r="G125" i="26"/>
  <c r="D128" i="26"/>
  <c r="E129" i="26"/>
  <c r="E395" i="26" s="1"/>
  <c r="C130" i="26"/>
  <c r="C396" i="26" s="1"/>
  <c r="G130" i="26"/>
  <c r="G396" i="26" s="1"/>
  <c r="E131" i="26"/>
  <c r="E397" i="26" s="1"/>
  <c r="B134" i="26"/>
  <c r="B400" i="26" s="1"/>
  <c r="F134" i="26"/>
  <c r="F400" i="26" s="1"/>
  <c r="D135" i="26"/>
  <c r="D401" i="26" s="1"/>
  <c r="B136" i="26"/>
  <c r="B402" i="26" s="1"/>
  <c r="F136" i="26"/>
  <c r="F402" i="26" s="1"/>
  <c r="C137" i="26"/>
  <c r="C403" i="26" s="1"/>
  <c r="G137" i="26"/>
  <c r="G403" i="26" s="1"/>
  <c r="C383" i="26"/>
  <c r="C139" i="26"/>
  <c r="C405" i="26" s="1"/>
  <c r="G383" i="26"/>
  <c r="G139" i="26"/>
  <c r="G405" i="26" s="1"/>
  <c r="B143" i="26"/>
  <c r="B409" i="26" s="1"/>
  <c r="F143" i="26"/>
  <c r="F409" i="26" s="1"/>
  <c r="D109" i="26"/>
  <c r="C132" i="26"/>
  <c r="C398" i="26" s="1"/>
  <c r="E134" i="26"/>
  <c r="E400" i="26" s="1"/>
  <c r="G136" i="26"/>
  <c r="G402" i="26" s="1"/>
  <c r="B139" i="26"/>
  <c r="B405" i="26" s="1"/>
  <c r="D143" i="26"/>
  <c r="D409" i="26" s="1"/>
  <c r="H147" i="26"/>
  <c r="B194" i="26"/>
  <c r="B288" i="26" s="1"/>
  <c r="F194" i="26"/>
  <c r="F288" i="26" s="1"/>
  <c r="D195" i="26"/>
  <c r="D289" i="26" s="1"/>
  <c r="B196" i="26"/>
  <c r="B290" i="26" s="1"/>
  <c r="F196" i="26"/>
  <c r="F290" i="26" s="1"/>
  <c r="C197" i="26"/>
  <c r="C291" i="26" s="1"/>
  <c r="G197" i="26"/>
  <c r="G291" i="26" s="1"/>
  <c r="E415" i="26"/>
  <c r="C199" i="26"/>
  <c r="C293" i="26" s="1"/>
  <c r="H152" i="26"/>
  <c r="G199" i="26"/>
  <c r="G293" i="26" s="1"/>
  <c r="E200" i="26"/>
  <c r="E294" i="26" s="1"/>
  <c r="H154" i="26"/>
  <c r="F201" i="26"/>
  <c r="F295" i="26" s="1"/>
  <c r="D202" i="26"/>
  <c r="D296" i="26" s="1"/>
  <c r="B416" i="26"/>
  <c r="D204" i="26"/>
  <c r="D298" i="26" s="1"/>
  <c r="H157" i="26"/>
  <c r="E205" i="26"/>
  <c r="E299" i="26" s="1"/>
  <c r="C206" i="26"/>
  <c r="C300" i="26" s="1"/>
  <c r="G206" i="26"/>
  <c r="G300" i="26" s="1"/>
  <c r="E207" i="26"/>
  <c r="E301" i="26" s="1"/>
  <c r="C417" i="26"/>
  <c r="H163" i="26"/>
  <c r="B210" i="26"/>
  <c r="B304" i="26" s="1"/>
  <c r="F210" i="26"/>
  <c r="F304" i="26" s="1"/>
  <c r="D211" i="26"/>
  <c r="D305" i="26" s="1"/>
  <c r="H211" i="26"/>
  <c r="H305" i="26" s="1"/>
  <c r="E212" i="26"/>
  <c r="E306" i="26" s="1"/>
  <c r="B418" i="26"/>
  <c r="F213" i="26"/>
  <c r="C214" i="26"/>
  <c r="C308" i="26" s="1"/>
  <c r="G214" i="26"/>
  <c r="G308" i="26" s="1"/>
  <c r="E215" i="26"/>
  <c r="E309" i="26" s="1"/>
  <c r="B419" i="26"/>
  <c r="H171" i="26"/>
  <c r="B218" i="26"/>
  <c r="F419" i="26"/>
  <c r="F218" i="26"/>
  <c r="D219" i="26"/>
  <c r="D313" i="26" s="1"/>
  <c r="B220" i="26"/>
  <c r="B314" i="26" s="1"/>
  <c r="F220" i="26"/>
  <c r="F314" i="26" s="1"/>
  <c r="C221" i="26"/>
  <c r="C315" i="26" s="1"/>
  <c r="G221" i="26"/>
  <c r="G315" i="26" s="1"/>
  <c r="C420" i="26"/>
  <c r="C223" i="26"/>
  <c r="C442" i="26" s="1"/>
  <c r="H176" i="26"/>
  <c r="G420" i="26"/>
  <c r="G223" i="26"/>
  <c r="G442" i="26" s="1"/>
  <c r="H178" i="26"/>
  <c r="F225" i="26"/>
  <c r="F444" i="26" s="1"/>
  <c r="D226" i="26"/>
  <c r="D445" i="26" s="1"/>
  <c r="G424" i="26"/>
  <c r="G227" i="26"/>
  <c r="G446" i="26" s="1"/>
  <c r="E228" i="26"/>
  <c r="E447" i="26" s="1"/>
  <c r="D230" i="26"/>
  <c r="D449" i="26" s="1"/>
  <c r="D429" i="26"/>
  <c r="D232" i="26"/>
  <c r="D451" i="26" s="1"/>
  <c r="H185" i="26"/>
  <c r="E430" i="26"/>
  <c r="E233" i="26"/>
  <c r="E452" i="26" s="1"/>
  <c r="G234" i="26"/>
  <c r="G453" i="26" s="1"/>
  <c r="B351" i="26"/>
  <c r="D353" i="26"/>
  <c r="F355" i="26"/>
  <c r="E373" i="26"/>
  <c r="B378" i="26"/>
  <c r="F346" i="27"/>
  <c r="F104" i="27"/>
  <c r="E347" i="27"/>
  <c r="N219" i="27"/>
  <c r="N313" i="27" s="1"/>
  <c r="N125" i="27"/>
  <c r="F103" i="27"/>
  <c r="D370" i="27"/>
  <c r="D114" i="27"/>
  <c r="M370" i="27"/>
  <c r="M114" i="27"/>
  <c r="K379" i="27"/>
  <c r="K135" i="27"/>
  <c r="K404" i="27" s="1"/>
  <c r="O379" i="27"/>
  <c r="O135" i="27"/>
  <c r="O404" i="27" s="1"/>
  <c r="O393" i="27"/>
  <c r="N203" i="27"/>
  <c r="L417" i="27"/>
  <c r="L208" i="27"/>
  <c r="L302" i="27" s="1"/>
  <c r="B209" i="27"/>
  <c r="B303" i="27" s="1"/>
  <c r="H162" i="27"/>
  <c r="N214" i="27"/>
  <c r="N308" i="27" s="1"/>
  <c r="E420" i="27"/>
  <c r="E223" i="27"/>
  <c r="E445" i="27" s="1"/>
  <c r="K426" i="27"/>
  <c r="K229" i="27"/>
  <c r="K451" i="27" s="1"/>
  <c r="O426" i="27"/>
  <c r="O229" i="27"/>
  <c r="O451" i="27" s="1"/>
  <c r="E427" i="27"/>
  <c r="E230" i="27"/>
  <c r="E452" i="27" s="1"/>
  <c r="K430" i="27"/>
  <c r="K233" i="27"/>
  <c r="K455" i="27" s="1"/>
  <c r="O430" i="27"/>
  <c r="O233" i="27"/>
  <c r="O455" i="27" s="1"/>
  <c r="D431" i="27"/>
  <c r="D234" i="27"/>
  <c r="D456" i="27" s="1"/>
  <c r="H187" i="27"/>
  <c r="N431" i="27"/>
  <c r="N234" i="27"/>
  <c r="N456" i="27" s="1"/>
  <c r="D434" i="27"/>
  <c r="D237" i="27"/>
  <c r="D459" i="27" s="1"/>
  <c r="N434" i="27"/>
  <c r="N237" i="27"/>
  <c r="N459" i="27" s="1"/>
  <c r="B347" i="26"/>
  <c r="F347" i="26"/>
  <c r="C348" i="26"/>
  <c r="D349" i="26"/>
  <c r="E99" i="26"/>
  <c r="B100" i="26"/>
  <c r="F100" i="26"/>
  <c r="C101" i="26"/>
  <c r="G101" i="26"/>
  <c r="B106" i="26"/>
  <c r="F106" i="26"/>
  <c r="C107" i="26"/>
  <c r="G107" i="26"/>
  <c r="D108" i="26"/>
  <c r="E369" i="26"/>
  <c r="E109" i="26"/>
  <c r="C110" i="26"/>
  <c r="G110" i="26"/>
  <c r="D111" i="26"/>
  <c r="E112" i="26"/>
  <c r="B113" i="26"/>
  <c r="F113" i="26"/>
  <c r="D370" i="26"/>
  <c r="D114" i="26"/>
  <c r="E115" i="26"/>
  <c r="B116" i="26"/>
  <c r="F116" i="26"/>
  <c r="C117" i="26"/>
  <c r="G117" i="26"/>
  <c r="B122" i="26"/>
  <c r="F122" i="26"/>
  <c r="C123" i="26"/>
  <c r="G123" i="26"/>
  <c r="D124" i="26"/>
  <c r="E125" i="26"/>
  <c r="C126" i="26"/>
  <c r="G126" i="26"/>
  <c r="D127" i="26"/>
  <c r="B128" i="26"/>
  <c r="F128" i="26"/>
  <c r="C129" i="26"/>
  <c r="C395" i="26" s="1"/>
  <c r="G129" i="26"/>
  <c r="G395" i="26" s="1"/>
  <c r="C131" i="26"/>
  <c r="C397" i="26" s="1"/>
  <c r="G131" i="26"/>
  <c r="G397" i="26" s="1"/>
  <c r="E132" i="26"/>
  <c r="E398" i="26" s="1"/>
  <c r="B133" i="26"/>
  <c r="B399" i="26" s="1"/>
  <c r="F133" i="26"/>
  <c r="F399" i="26" s="1"/>
  <c r="D134" i="26"/>
  <c r="D400" i="26" s="1"/>
  <c r="D136" i="26"/>
  <c r="D402" i="26" s="1"/>
  <c r="C138" i="26"/>
  <c r="C404" i="26" s="1"/>
  <c r="G138" i="26"/>
  <c r="G404" i="26" s="1"/>
  <c r="F119" i="26"/>
  <c r="C124" i="26"/>
  <c r="B131" i="26"/>
  <c r="B397" i="26" s="1"/>
  <c r="D133" i="26"/>
  <c r="D399" i="26" s="1"/>
  <c r="C140" i="26"/>
  <c r="C406" i="26" s="1"/>
  <c r="H146" i="26"/>
  <c r="F193" i="26"/>
  <c r="F287" i="26" s="1"/>
  <c r="D194" i="26"/>
  <c r="D288" i="26" s="1"/>
  <c r="D196" i="26"/>
  <c r="D290" i="26" s="1"/>
  <c r="H149" i="26"/>
  <c r="E197" i="26"/>
  <c r="E291" i="26" s="1"/>
  <c r="E199" i="26"/>
  <c r="H155" i="26"/>
  <c r="B202" i="26"/>
  <c r="B296" i="26" s="1"/>
  <c r="F202" i="26"/>
  <c r="F296" i="26" s="1"/>
  <c r="B204" i="26"/>
  <c r="F204" i="26"/>
  <c r="F298" i="26" s="1"/>
  <c r="C205" i="26"/>
  <c r="C299" i="26" s="1"/>
  <c r="G205" i="26"/>
  <c r="G299" i="26" s="1"/>
  <c r="C207" i="26"/>
  <c r="C301" i="26" s="1"/>
  <c r="H160" i="26"/>
  <c r="G207" i="26"/>
  <c r="G301" i="26" s="1"/>
  <c r="H162" i="26"/>
  <c r="F209" i="26"/>
  <c r="F303" i="26" s="1"/>
  <c r="D210" i="26"/>
  <c r="D304" i="26" s="1"/>
  <c r="C215" i="26"/>
  <c r="C309" i="26" s="1"/>
  <c r="H168" i="26"/>
  <c r="G215" i="26"/>
  <c r="G309" i="26" s="1"/>
  <c r="E216" i="26"/>
  <c r="E310" i="26" s="1"/>
  <c r="H170" i="26"/>
  <c r="F217" i="26"/>
  <c r="F311" i="26" s="1"/>
  <c r="D218" i="26"/>
  <c r="D220" i="26"/>
  <c r="D314" i="26" s="1"/>
  <c r="H173" i="26"/>
  <c r="E221" i="26"/>
  <c r="E315" i="26" s="1"/>
  <c r="C222" i="26"/>
  <c r="C316" i="26" s="1"/>
  <c r="G222" i="26"/>
  <c r="G316" i="26" s="1"/>
  <c r="E223" i="26"/>
  <c r="E442" i="26" s="1"/>
  <c r="B423" i="26"/>
  <c r="H179" i="26"/>
  <c r="B226" i="26"/>
  <c r="B445" i="26" s="1"/>
  <c r="F423" i="26"/>
  <c r="F226" i="26"/>
  <c r="F445" i="26" s="1"/>
  <c r="B427" i="26"/>
  <c r="H183" i="26"/>
  <c r="B230" i="26"/>
  <c r="B449" i="26" s="1"/>
  <c r="F427" i="26"/>
  <c r="F230" i="26"/>
  <c r="F449" i="26" s="1"/>
  <c r="C434" i="26"/>
  <c r="C237" i="26"/>
  <c r="C456" i="26" s="1"/>
  <c r="H190" i="26"/>
  <c r="G434" i="26"/>
  <c r="G237" i="26"/>
  <c r="G456" i="26" s="1"/>
  <c r="D213" i="26"/>
  <c r="G224" i="26"/>
  <c r="G443" i="26" s="1"/>
  <c r="B227" i="26"/>
  <c r="B446" i="26" s="1"/>
  <c r="D229" i="26"/>
  <c r="D448" i="26" s="1"/>
  <c r="D372" i="26"/>
  <c r="E381" i="26"/>
  <c r="E209" i="27"/>
  <c r="E303" i="27" s="1"/>
  <c r="E115" i="27"/>
  <c r="F120" i="27"/>
  <c r="F214" i="27"/>
  <c r="F308" i="27" s="1"/>
  <c r="D101" i="27"/>
  <c r="D104" i="27"/>
  <c r="D368" i="27"/>
  <c r="M104" i="27"/>
  <c r="M368" i="27"/>
  <c r="K371" i="27"/>
  <c r="K119" i="27"/>
  <c r="K396" i="27" s="1"/>
  <c r="D374" i="27"/>
  <c r="D130" i="27"/>
  <c r="D399" i="27" s="1"/>
  <c r="M374" i="27"/>
  <c r="M130" i="27"/>
  <c r="M399" i="27" s="1"/>
  <c r="B387" i="27"/>
  <c r="B143" i="27"/>
  <c r="B412" i="27" s="1"/>
  <c r="F387" i="27"/>
  <c r="F143" i="27"/>
  <c r="F412" i="27" s="1"/>
  <c r="B140" i="27"/>
  <c r="B409" i="27" s="1"/>
  <c r="L205" i="27"/>
  <c r="L299" i="27" s="1"/>
  <c r="M206" i="27"/>
  <c r="M300" i="27" s="1"/>
  <c r="B346" i="26"/>
  <c r="F346" i="26"/>
  <c r="D348" i="26"/>
  <c r="E349" i="26"/>
  <c r="B350" i="26"/>
  <c r="F350" i="26"/>
  <c r="B102" i="26"/>
  <c r="F102" i="26"/>
  <c r="C103" i="26"/>
  <c r="G103" i="26"/>
  <c r="D368" i="26"/>
  <c r="D104" i="26"/>
  <c r="E105" i="26"/>
  <c r="C106" i="26"/>
  <c r="G106" i="26"/>
  <c r="D107" i="26"/>
  <c r="E108" i="26"/>
  <c r="B369" i="26"/>
  <c r="B109" i="26"/>
  <c r="F369" i="26"/>
  <c r="F109" i="26"/>
  <c r="D110" i="26"/>
  <c r="E111" i="26"/>
  <c r="B112" i="26"/>
  <c r="F112" i="26"/>
  <c r="C113" i="26"/>
  <c r="G113" i="26"/>
  <c r="B118" i="26"/>
  <c r="F118" i="26"/>
  <c r="C371" i="26"/>
  <c r="C119" i="26"/>
  <c r="G119" i="26"/>
  <c r="D120" i="26"/>
  <c r="E121" i="26"/>
  <c r="C122" i="26"/>
  <c r="G122" i="26"/>
  <c r="D123" i="26"/>
  <c r="E372" i="26"/>
  <c r="B125" i="26"/>
  <c r="F125" i="26"/>
  <c r="D126" i="26"/>
  <c r="E127" i="26"/>
  <c r="B130" i="26"/>
  <c r="B396" i="26" s="1"/>
  <c r="F130" i="26"/>
  <c r="F396" i="26" s="1"/>
  <c r="D131" i="26"/>
  <c r="D397" i="26" s="1"/>
  <c r="B132" i="26"/>
  <c r="B398" i="26" s="1"/>
  <c r="F132" i="26"/>
  <c r="F398" i="26" s="1"/>
  <c r="C133" i="26"/>
  <c r="C399" i="26" s="1"/>
  <c r="G133" i="26"/>
  <c r="G399" i="26" s="1"/>
  <c r="C135" i="26"/>
  <c r="C401" i="26" s="1"/>
  <c r="G135" i="26"/>
  <c r="G401" i="26" s="1"/>
  <c r="E136" i="26"/>
  <c r="E402" i="26" s="1"/>
  <c r="B137" i="26"/>
  <c r="B403" i="26" s="1"/>
  <c r="F137" i="26"/>
  <c r="F403" i="26" s="1"/>
  <c r="D138" i="26"/>
  <c r="D404" i="26" s="1"/>
  <c r="D384" i="26"/>
  <c r="D140" i="26"/>
  <c r="D406" i="26" s="1"/>
  <c r="E387" i="26"/>
  <c r="E143" i="26"/>
  <c r="E409" i="26" s="1"/>
  <c r="C104" i="26"/>
  <c r="E138" i="26"/>
  <c r="E404" i="26" s="1"/>
  <c r="G140" i="26"/>
  <c r="G406" i="26" s="1"/>
  <c r="C193" i="26"/>
  <c r="C287" i="26" s="1"/>
  <c r="G193" i="26"/>
  <c r="G287" i="26" s="1"/>
  <c r="C195" i="26"/>
  <c r="C289" i="26" s="1"/>
  <c r="H148" i="26"/>
  <c r="G195" i="26"/>
  <c r="G289" i="26" s="1"/>
  <c r="E196" i="26"/>
  <c r="E290" i="26" s="1"/>
  <c r="F197" i="26"/>
  <c r="F291" i="26" s="1"/>
  <c r="D198" i="26"/>
  <c r="D200" i="26"/>
  <c r="D294" i="26" s="1"/>
  <c r="H153" i="26"/>
  <c r="E201" i="26"/>
  <c r="E295" i="26" s="1"/>
  <c r="C202" i="26"/>
  <c r="C296" i="26" s="1"/>
  <c r="G202" i="26"/>
  <c r="G296" i="26" s="1"/>
  <c r="H159" i="26"/>
  <c r="B206" i="26"/>
  <c r="B300" i="26" s="1"/>
  <c r="F206" i="26"/>
  <c r="F300" i="26" s="1"/>
  <c r="D207" i="26"/>
  <c r="D301" i="26" s="1"/>
  <c r="B208" i="26"/>
  <c r="F208" i="26"/>
  <c r="C209" i="26"/>
  <c r="C303" i="26" s="1"/>
  <c r="G209" i="26"/>
  <c r="G303" i="26" s="1"/>
  <c r="C211" i="26"/>
  <c r="C305" i="26" s="1"/>
  <c r="G211" i="26"/>
  <c r="G305" i="26" s="1"/>
  <c r="D212" i="26"/>
  <c r="D306" i="26" s="1"/>
  <c r="E213" i="26"/>
  <c r="H167" i="26"/>
  <c r="B214" i="26"/>
  <c r="B308" i="26" s="1"/>
  <c r="F214" i="26"/>
  <c r="F308" i="26" s="1"/>
  <c r="D215" i="26"/>
  <c r="D309" i="26" s="1"/>
  <c r="B216" i="26"/>
  <c r="B310" i="26" s="1"/>
  <c r="F216" i="26"/>
  <c r="F310" i="26" s="1"/>
  <c r="C217" i="26"/>
  <c r="C311" i="26" s="1"/>
  <c r="G217" i="26"/>
  <c r="G311" i="26" s="1"/>
  <c r="C219" i="26"/>
  <c r="C313" i="26" s="1"/>
  <c r="H172" i="26"/>
  <c r="G219" i="26"/>
  <c r="G313" i="26" s="1"/>
  <c r="E220" i="26"/>
  <c r="E314" i="26" s="1"/>
  <c r="F221" i="26"/>
  <c r="F315" i="26" s="1"/>
  <c r="D222" i="26"/>
  <c r="D316" i="26" s="1"/>
  <c r="D421" i="26"/>
  <c r="D224" i="26"/>
  <c r="D443" i="26" s="1"/>
  <c r="H177" i="26"/>
  <c r="E422" i="26"/>
  <c r="E225" i="26"/>
  <c r="E444" i="26" s="1"/>
  <c r="C226" i="26"/>
  <c r="C445" i="26" s="1"/>
  <c r="D425" i="26"/>
  <c r="D228" i="26"/>
  <c r="D447" i="26" s="1"/>
  <c r="H181" i="26"/>
  <c r="E426" i="26"/>
  <c r="E229" i="26"/>
  <c r="E448" i="26" s="1"/>
  <c r="C230" i="26"/>
  <c r="C449" i="26" s="1"/>
  <c r="G230" i="26"/>
  <c r="G449" i="26" s="1"/>
  <c r="B431" i="26"/>
  <c r="H187" i="26"/>
  <c r="B234" i="26"/>
  <c r="B453" i="26" s="1"/>
  <c r="F431" i="26"/>
  <c r="F234" i="26"/>
  <c r="F453" i="26" s="1"/>
  <c r="D237" i="26"/>
  <c r="D456" i="26" s="1"/>
  <c r="E370" i="26"/>
  <c r="C375" i="26"/>
  <c r="G379" i="26"/>
  <c r="C354" i="27"/>
  <c r="C132" i="27"/>
  <c r="C401" i="27" s="1"/>
  <c r="E355" i="27"/>
  <c r="E133" i="27"/>
  <c r="E402" i="27" s="1"/>
  <c r="N355" i="27"/>
  <c r="N133" i="27"/>
  <c r="N402" i="27" s="1"/>
  <c r="F362" i="27"/>
  <c r="F140" i="27"/>
  <c r="F409" i="27" s="1"/>
  <c r="C369" i="27"/>
  <c r="C109" i="27"/>
  <c r="G369" i="27"/>
  <c r="G109" i="27"/>
  <c r="G394" i="27" s="1"/>
  <c r="D382" i="27"/>
  <c r="D138" i="27"/>
  <c r="D407" i="27" s="1"/>
  <c r="M382" i="27"/>
  <c r="M138" i="27"/>
  <c r="M407" i="27" s="1"/>
  <c r="O397" i="27"/>
  <c r="L415" i="27"/>
  <c r="L198" i="27"/>
  <c r="B206" i="27"/>
  <c r="B300" i="27" s="1"/>
  <c r="C415" i="26"/>
  <c r="G415" i="26"/>
  <c r="D416" i="26"/>
  <c r="E417" i="26"/>
  <c r="B373" i="26"/>
  <c r="F373" i="26"/>
  <c r="C374" i="26"/>
  <c r="G374" i="26"/>
  <c r="D375" i="26"/>
  <c r="E376" i="26"/>
  <c r="B377" i="26"/>
  <c r="F377" i="26"/>
  <c r="C378" i="26"/>
  <c r="G378" i="26"/>
  <c r="D379" i="26"/>
  <c r="E380" i="26"/>
  <c r="B381" i="26"/>
  <c r="F381" i="26"/>
  <c r="C382" i="26"/>
  <c r="G382" i="26"/>
  <c r="B387" i="26"/>
  <c r="D415" i="26"/>
  <c r="F417" i="26"/>
  <c r="F418" i="26"/>
  <c r="D420" i="26"/>
  <c r="B421" i="26"/>
  <c r="F422" i="26"/>
  <c r="D423" i="26"/>
  <c r="F425" i="26"/>
  <c r="C427" i="26"/>
  <c r="E429" i="26"/>
  <c r="C430" i="26"/>
  <c r="G431" i="26"/>
  <c r="E434" i="26"/>
  <c r="C346" i="27"/>
  <c r="F347" i="27"/>
  <c r="L348" i="27"/>
  <c r="L114" i="27"/>
  <c r="D349" i="27"/>
  <c r="N215" i="27"/>
  <c r="N309" i="27" s="1"/>
  <c r="N121" i="27"/>
  <c r="D354" i="27"/>
  <c r="D226" i="27"/>
  <c r="D448" i="27" s="1"/>
  <c r="L354" i="27"/>
  <c r="L132" i="27"/>
  <c r="L401" i="27" s="1"/>
  <c r="D358" i="27"/>
  <c r="D230" i="27"/>
  <c r="D452" i="27" s="1"/>
  <c r="L358" i="27"/>
  <c r="L136" i="27"/>
  <c r="L405" i="27" s="1"/>
  <c r="C362" i="27"/>
  <c r="C140" i="27"/>
  <c r="C409" i="27" s="1"/>
  <c r="E143" i="27"/>
  <c r="E412" i="27" s="1"/>
  <c r="E365" i="27"/>
  <c r="N365" i="27"/>
  <c r="N143" i="27"/>
  <c r="N412" i="27" s="1"/>
  <c r="E99" i="27"/>
  <c r="C100" i="27"/>
  <c r="B101" i="27"/>
  <c r="F101" i="27"/>
  <c r="D102" i="27"/>
  <c r="L103" i="27"/>
  <c r="E368" i="27"/>
  <c r="E104" i="27"/>
  <c r="J368" i="27"/>
  <c r="J104" i="27"/>
  <c r="J393" i="27" s="1"/>
  <c r="N368" i="27"/>
  <c r="N104" i="27"/>
  <c r="N105" i="27"/>
  <c r="C106" i="27"/>
  <c r="L106" i="27"/>
  <c r="B107" i="27"/>
  <c r="F107" i="27"/>
  <c r="L107" i="27"/>
  <c r="N108" i="27"/>
  <c r="C110" i="27"/>
  <c r="F111" i="27"/>
  <c r="L111" i="27"/>
  <c r="D116" i="27"/>
  <c r="B119" i="27"/>
  <c r="B371" i="27"/>
  <c r="F371" i="27"/>
  <c r="F119" i="27"/>
  <c r="N122" i="27"/>
  <c r="D372" i="27"/>
  <c r="D124" i="27"/>
  <c r="M372" i="27"/>
  <c r="B127" i="27"/>
  <c r="F127" i="27"/>
  <c r="L127" i="27"/>
  <c r="K373" i="27"/>
  <c r="K129" i="27"/>
  <c r="K398" i="27" s="1"/>
  <c r="O373" i="27"/>
  <c r="O129" i="27"/>
  <c r="O398" i="27" s="1"/>
  <c r="D376" i="27"/>
  <c r="D132" i="27"/>
  <c r="D401" i="27" s="1"/>
  <c r="M376" i="27"/>
  <c r="M132" i="27"/>
  <c r="M401" i="27" s="1"/>
  <c r="B379" i="27"/>
  <c r="B135" i="27"/>
  <c r="B404" i="27" s="1"/>
  <c r="F379" i="27"/>
  <c r="F135" i="27"/>
  <c r="F404" i="27" s="1"/>
  <c r="K381" i="27"/>
  <c r="K137" i="27"/>
  <c r="K406" i="27" s="1"/>
  <c r="O381" i="27"/>
  <c r="O137" i="27"/>
  <c r="O406" i="27" s="1"/>
  <c r="D384" i="27"/>
  <c r="D140" i="27"/>
  <c r="D409" i="27" s="1"/>
  <c r="M384" i="27"/>
  <c r="M140" i="27"/>
  <c r="M409" i="27" s="1"/>
  <c r="M109" i="27"/>
  <c r="M111" i="27"/>
  <c r="D117" i="27"/>
  <c r="B118" i="27"/>
  <c r="D125" i="27"/>
  <c r="B126" i="27"/>
  <c r="M127" i="27"/>
  <c r="F132" i="27"/>
  <c r="F401" i="27" s="1"/>
  <c r="D133" i="27"/>
  <c r="D402" i="27" s="1"/>
  <c r="B134" i="27"/>
  <c r="B403" i="27" s="1"/>
  <c r="M135" i="27"/>
  <c r="M404" i="27" s="1"/>
  <c r="D194" i="27"/>
  <c r="D288" i="27" s="1"/>
  <c r="B195" i="27"/>
  <c r="B289" i="27" s="1"/>
  <c r="H148" i="27"/>
  <c r="D196" i="27"/>
  <c r="D290" i="27" s="1"/>
  <c r="E197" i="27"/>
  <c r="E291" i="27" s="1"/>
  <c r="L197" i="27"/>
  <c r="L291" i="27" s="1"/>
  <c r="F415" i="27"/>
  <c r="L200" i="27"/>
  <c r="L294" i="27" s="1"/>
  <c r="B201" i="27"/>
  <c r="B295" i="27" s="1"/>
  <c r="H154" i="27"/>
  <c r="F201" i="27"/>
  <c r="F295" i="27" s="1"/>
  <c r="C202" i="27"/>
  <c r="C296" i="27" s="1"/>
  <c r="N202" i="27"/>
  <c r="N296" i="27" s="1"/>
  <c r="F205" i="27"/>
  <c r="F299" i="27" s="1"/>
  <c r="C206" i="27"/>
  <c r="C300" i="27" s="1"/>
  <c r="N206" i="27"/>
  <c r="N300" i="27" s="1"/>
  <c r="B417" i="27"/>
  <c r="H161" i="27"/>
  <c r="F417" i="27"/>
  <c r="N209" i="27"/>
  <c r="N303" i="27" s="1"/>
  <c r="D210" i="27"/>
  <c r="D304" i="27" s="1"/>
  <c r="L211" i="27"/>
  <c r="L305" i="27" s="1"/>
  <c r="D214" i="27"/>
  <c r="D308" i="27" s="1"/>
  <c r="E215" i="27"/>
  <c r="E309" i="27" s="1"/>
  <c r="L215" i="27"/>
  <c r="L309" i="27" s="1"/>
  <c r="H169" i="27"/>
  <c r="E219" i="27"/>
  <c r="E313" i="27" s="1"/>
  <c r="L219" i="27"/>
  <c r="L313" i="27" s="1"/>
  <c r="H173" i="27"/>
  <c r="L222" i="27"/>
  <c r="L316" i="27" s="1"/>
  <c r="K422" i="27"/>
  <c r="K225" i="27"/>
  <c r="K447" i="27" s="1"/>
  <c r="O422" i="27"/>
  <c r="O225" i="27"/>
  <c r="O447" i="27" s="1"/>
  <c r="E423" i="27"/>
  <c r="E226" i="27"/>
  <c r="E448" i="27" s="1"/>
  <c r="E426" i="27"/>
  <c r="E229" i="27"/>
  <c r="E451" i="27" s="1"/>
  <c r="E233" i="27"/>
  <c r="E455" i="27" s="1"/>
  <c r="E430" i="27"/>
  <c r="F198" i="27"/>
  <c r="M201" i="27"/>
  <c r="M295" i="27" s="1"/>
  <c r="D207" i="27"/>
  <c r="D301" i="27" s="1"/>
  <c r="B208" i="27"/>
  <c r="M209" i="27"/>
  <c r="M303" i="27" s="1"/>
  <c r="B216" i="27"/>
  <c r="B310" i="27" s="1"/>
  <c r="M217" i="27"/>
  <c r="M311" i="27" s="1"/>
  <c r="K218" i="27"/>
  <c r="K444" i="27" s="1"/>
  <c r="F222" i="27"/>
  <c r="F316" i="27" s="1"/>
  <c r="D223" i="27"/>
  <c r="D445" i="27" s="1"/>
  <c r="B224" i="27"/>
  <c r="B446" i="27" s="1"/>
  <c r="O224" i="27"/>
  <c r="O446" i="27" s="1"/>
  <c r="M225" i="27"/>
  <c r="M447" i="27" s="1"/>
  <c r="K226" i="27"/>
  <c r="K448" i="27" s="1"/>
  <c r="F230" i="27"/>
  <c r="F452" i="27" s="1"/>
  <c r="D231" i="27"/>
  <c r="D453" i="27" s="1"/>
  <c r="B232" i="27"/>
  <c r="B454" i="27" s="1"/>
  <c r="O232" i="27"/>
  <c r="O454" i="27" s="1"/>
  <c r="M233" i="27"/>
  <c r="M455" i="27" s="1"/>
  <c r="E237" i="27"/>
  <c r="E459" i="27" s="1"/>
  <c r="E140" i="26"/>
  <c r="E406" i="26" s="1"/>
  <c r="C418" i="26"/>
  <c r="B193" i="26"/>
  <c r="B287" i="26" s="1"/>
  <c r="B197" i="26"/>
  <c r="B291" i="26" s="1"/>
  <c r="C198" i="26"/>
  <c r="G198" i="26"/>
  <c r="B201" i="26"/>
  <c r="B295" i="26" s="1"/>
  <c r="D203" i="26"/>
  <c r="B205" i="26"/>
  <c r="B299" i="26" s="1"/>
  <c r="E208" i="26"/>
  <c r="B209" i="26"/>
  <c r="B303" i="26" s="1"/>
  <c r="B213" i="26"/>
  <c r="B217" i="26"/>
  <c r="B311" i="26" s="1"/>
  <c r="C218" i="26"/>
  <c r="G218" i="26"/>
  <c r="G441" i="26" s="1"/>
  <c r="B221" i="26"/>
  <c r="B315" i="26" s="1"/>
  <c r="E224" i="26"/>
  <c r="E443" i="26" s="1"/>
  <c r="B225" i="26"/>
  <c r="B444" i="26" s="1"/>
  <c r="G226" i="26"/>
  <c r="G445" i="26" s="1"/>
  <c r="B229" i="26"/>
  <c r="B448" i="26" s="1"/>
  <c r="F229" i="26"/>
  <c r="F448" i="26" s="1"/>
  <c r="D231" i="26"/>
  <c r="D450" i="26" s="1"/>
  <c r="B233" i="26"/>
  <c r="B452" i="26" s="1"/>
  <c r="F233" i="26"/>
  <c r="F452" i="26" s="1"/>
  <c r="C234" i="26"/>
  <c r="C453" i="26" s="1"/>
  <c r="C373" i="26"/>
  <c r="G373" i="26"/>
  <c r="D374" i="26"/>
  <c r="E375" i="26"/>
  <c r="B376" i="26"/>
  <c r="F376" i="26"/>
  <c r="C377" i="26"/>
  <c r="G377" i="26"/>
  <c r="D378" i="26"/>
  <c r="E379" i="26"/>
  <c r="B380" i="26"/>
  <c r="F380" i="26"/>
  <c r="C381" i="26"/>
  <c r="G381" i="26"/>
  <c r="D382" i="26"/>
  <c r="B417" i="26"/>
  <c r="E420" i="26"/>
  <c r="B422" i="26"/>
  <c r="G422" i="26"/>
  <c r="B425" i="26"/>
  <c r="D427" i="26"/>
  <c r="F429" i="26"/>
  <c r="D346" i="27"/>
  <c r="L346" i="27"/>
  <c r="E205" i="27"/>
  <c r="E299" i="27" s="1"/>
  <c r="E111" i="27"/>
  <c r="E207" i="27"/>
  <c r="E301" i="27" s="1"/>
  <c r="E113" i="27"/>
  <c r="E211" i="27"/>
  <c r="E305" i="27" s="1"/>
  <c r="E117" i="27"/>
  <c r="E349" i="27"/>
  <c r="E119" i="27"/>
  <c r="M349" i="27"/>
  <c r="C350" i="27"/>
  <c r="C124" i="27"/>
  <c r="L350" i="27"/>
  <c r="L124" i="27"/>
  <c r="N221" i="27"/>
  <c r="N315" i="27" s="1"/>
  <c r="N127" i="27"/>
  <c r="C352" i="27"/>
  <c r="C130" i="27"/>
  <c r="C399" i="27" s="1"/>
  <c r="E353" i="27"/>
  <c r="E131" i="27"/>
  <c r="E400" i="27" s="1"/>
  <c r="N353" i="27"/>
  <c r="N225" i="27"/>
  <c r="N447" i="27" s="1"/>
  <c r="N131" i="27"/>
  <c r="N400" i="27" s="1"/>
  <c r="C356" i="27"/>
  <c r="C134" i="27"/>
  <c r="C403" i="27" s="1"/>
  <c r="E357" i="27"/>
  <c r="E135" i="27"/>
  <c r="E404" i="27" s="1"/>
  <c r="N357" i="27"/>
  <c r="N229" i="27"/>
  <c r="N451" i="27" s="1"/>
  <c r="N135" i="27"/>
  <c r="N404" i="27" s="1"/>
  <c r="C360" i="27"/>
  <c r="C138" i="27"/>
  <c r="C407" i="27" s="1"/>
  <c r="E361" i="27"/>
  <c r="E139" i="27"/>
  <c r="E408" i="27" s="1"/>
  <c r="N361" i="27"/>
  <c r="N233" i="27"/>
  <c r="N455" i="27" s="1"/>
  <c r="N139" i="27"/>
  <c r="N408" i="27" s="1"/>
  <c r="L362" i="27"/>
  <c r="L140" i="27"/>
  <c r="L409" i="27" s="1"/>
  <c r="D100" i="27"/>
  <c r="L101" i="27"/>
  <c r="N102" i="27"/>
  <c r="E105" i="27"/>
  <c r="D106" i="27"/>
  <c r="K369" i="27"/>
  <c r="K109" i="27"/>
  <c r="K394" i="27" s="1"/>
  <c r="O109" i="27"/>
  <c r="O394" i="27" s="1"/>
  <c r="O369" i="27"/>
  <c r="D110" i="27"/>
  <c r="F113" i="27"/>
  <c r="L113" i="27"/>
  <c r="N116" i="27"/>
  <c r="D118" i="27"/>
  <c r="B121" i="27"/>
  <c r="F121" i="27"/>
  <c r="L121" i="27"/>
  <c r="D126" i="27"/>
  <c r="B373" i="27"/>
  <c r="B129" i="27"/>
  <c r="B398" i="27" s="1"/>
  <c r="F373" i="27"/>
  <c r="F129" i="27"/>
  <c r="F398" i="27" s="1"/>
  <c r="K375" i="27"/>
  <c r="K131" i="27"/>
  <c r="K400" i="27" s="1"/>
  <c r="O375" i="27"/>
  <c r="O131" i="27"/>
  <c r="O400" i="27" s="1"/>
  <c r="D378" i="27"/>
  <c r="D134" i="27"/>
  <c r="D403" i="27" s="1"/>
  <c r="M378" i="27"/>
  <c r="M134" i="27"/>
  <c r="M403" i="27" s="1"/>
  <c r="B381" i="27"/>
  <c r="B137" i="27"/>
  <c r="B406" i="27" s="1"/>
  <c r="F381" i="27"/>
  <c r="F137" i="27"/>
  <c r="F406" i="27" s="1"/>
  <c r="K383" i="27"/>
  <c r="K139" i="27"/>
  <c r="K408" i="27" s="1"/>
  <c r="O383" i="27"/>
  <c r="O139" i="27"/>
  <c r="O408" i="27" s="1"/>
  <c r="K395" i="27"/>
  <c r="D119" i="27"/>
  <c r="G397" i="27"/>
  <c r="M129" i="27"/>
  <c r="M398" i="27" s="1"/>
  <c r="F134" i="27"/>
  <c r="F403" i="27" s="1"/>
  <c r="D135" i="27"/>
  <c r="D404" i="27" s="1"/>
  <c r="B136" i="27"/>
  <c r="B405" i="27" s="1"/>
  <c r="M137" i="27"/>
  <c r="M406" i="27" s="1"/>
  <c r="F197" i="27"/>
  <c r="F291" i="27" s="1"/>
  <c r="C198" i="27"/>
  <c r="C292" i="27" s="1"/>
  <c r="E199" i="27"/>
  <c r="E293" i="27" s="1"/>
  <c r="L199" i="27"/>
  <c r="L293" i="27" s="1"/>
  <c r="N201" i="27"/>
  <c r="N295" i="27" s="1"/>
  <c r="D202" i="27"/>
  <c r="D296" i="27" s="1"/>
  <c r="L416" i="27"/>
  <c r="L203" i="27"/>
  <c r="N205" i="27"/>
  <c r="N299" i="27" s="1"/>
  <c r="D206" i="27"/>
  <c r="D300" i="27" s="1"/>
  <c r="L207" i="27"/>
  <c r="L301" i="27" s="1"/>
  <c r="N208" i="27"/>
  <c r="L210" i="27"/>
  <c r="L304" i="27" s="1"/>
  <c r="B211" i="27"/>
  <c r="B305" i="27" s="1"/>
  <c r="F211" i="27"/>
  <c r="F305" i="27" s="1"/>
  <c r="C212" i="27"/>
  <c r="C306" i="27" s="1"/>
  <c r="N212" i="27"/>
  <c r="N306" i="27" s="1"/>
  <c r="L214" i="27"/>
  <c r="L308" i="27" s="1"/>
  <c r="B215" i="27"/>
  <c r="B309" i="27" s="1"/>
  <c r="F215" i="27"/>
  <c r="F309" i="27" s="1"/>
  <c r="C216" i="27"/>
  <c r="C310" i="27" s="1"/>
  <c r="N216" i="27"/>
  <c r="N310" i="27" s="1"/>
  <c r="E419" i="27"/>
  <c r="E218" i="27"/>
  <c r="E312" i="27" s="1"/>
  <c r="B219" i="27"/>
  <c r="B313" i="27" s="1"/>
  <c r="F219" i="27"/>
  <c r="F313" i="27" s="1"/>
  <c r="C220" i="27"/>
  <c r="C314" i="27" s="1"/>
  <c r="N220" i="27"/>
  <c r="N314" i="27" s="1"/>
  <c r="E422" i="27"/>
  <c r="E225" i="27"/>
  <c r="E447" i="27" s="1"/>
  <c r="O424" i="27"/>
  <c r="O227" i="27"/>
  <c r="O449" i="27" s="1"/>
  <c r="E425" i="27"/>
  <c r="E228" i="27"/>
  <c r="E450" i="27" s="1"/>
  <c r="L228" i="27"/>
  <c r="L450" i="27" s="1"/>
  <c r="K428" i="27"/>
  <c r="K231" i="27"/>
  <c r="K453" i="27" s="1"/>
  <c r="O428" i="27"/>
  <c r="O231" i="27"/>
  <c r="O453" i="27" s="1"/>
  <c r="E429" i="27"/>
  <c r="E232" i="27"/>
  <c r="E454" i="27" s="1"/>
  <c r="F208" i="27"/>
  <c r="B210" i="27"/>
  <c r="B304" i="27" s="1"/>
  <c r="B218" i="27"/>
  <c r="O218" i="27"/>
  <c r="O444" i="27" s="1"/>
  <c r="F224" i="27"/>
  <c r="F446" i="27" s="1"/>
  <c r="D225" i="27"/>
  <c r="D447" i="27" s="1"/>
  <c r="B226" i="27"/>
  <c r="B448" i="27" s="1"/>
  <c r="O226" i="27"/>
  <c r="O448" i="27" s="1"/>
  <c r="M227" i="27"/>
  <c r="M449" i="27" s="1"/>
  <c r="K228" i="27"/>
  <c r="K450" i="27" s="1"/>
  <c r="F232" i="27"/>
  <c r="F454" i="27" s="1"/>
  <c r="D233" i="27"/>
  <c r="D455" i="27" s="1"/>
  <c r="C234" i="27"/>
  <c r="C456" i="27" s="1"/>
  <c r="H153" i="28"/>
  <c r="E139" i="26"/>
  <c r="E405" i="26" s="1"/>
  <c r="B140" i="26"/>
  <c r="B406" i="26" s="1"/>
  <c r="F140" i="26"/>
  <c r="F406" i="26" s="1"/>
  <c r="C143" i="26"/>
  <c r="C409" i="26" s="1"/>
  <c r="G143" i="26"/>
  <c r="G409" i="26" s="1"/>
  <c r="H182" i="26"/>
  <c r="E203" i="26"/>
  <c r="C213" i="26"/>
  <c r="C225" i="26"/>
  <c r="C444" i="26" s="1"/>
  <c r="E227" i="26"/>
  <c r="E446" i="26" s="1"/>
  <c r="G229" i="26"/>
  <c r="G448" i="26" s="1"/>
  <c r="B232" i="26"/>
  <c r="B451" i="26" s="1"/>
  <c r="D234" i="26"/>
  <c r="D453" i="26" s="1"/>
  <c r="D347" i="27"/>
  <c r="M347" i="27"/>
  <c r="B348" i="27"/>
  <c r="F348" i="27"/>
  <c r="N348" i="27"/>
  <c r="F349" i="27"/>
  <c r="N349" i="27"/>
  <c r="N213" i="27"/>
  <c r="N119" i="27"/>
  <c r="D350" i="27"/>
  <c r="N350" i="27"/>
  <c r="D224" i="27"/>
  <c r="D446" i="27" s="1"/>
  <c r="D352" i="27"/>
  <c r="L352" i="27"/>
  <c r="L130" i="27"/>
  <c r="L399" i="27" s="1"/>
  <c r="D356" i="27"/>
  <c r="D228" i="27"/>
  <c r="D450" i="27" s="1"/>
  <c r="L356" i="27"/>
  <c r="L134" i="27"/>
  <c r="L403" i="27" s="1"/>
  <c r="D232" i="27"/>
  <c r="D454" i="27" s="1"/>
  <c r="D360" i="27"/>
  <c r="L360" i="27"/>
  <c r="L138" i="27"/>
  <c r="L407" i="27" s="1"/>
  <c r="L99" i="27"/>
  <c r="E103" i="27"/>
  <c r="N103" i="27"/>
  <c r="B105" i="27"/>
  <c r="F105" i="27"/>
  <c r="L105" i="27"/>
  <c r="N106" i="27"/>
  <c r="N107" i="27"/>
  <c r="C108" i="27"/>
  <c r="L108" i="27"/>
  <c r="B369" i="27"/>
  <c r="F369" i="27"/>
  <c r="F109" i="27"/>
  <c r="L369" i="27"/>
  <c r="L109" i="27"/>
  <c r="N110" i="27"/>
  <c r="D112" i="27"/>
  <c r="M112" i="27"/>
  <c r="B115" i="27"/>
  <c r="F115" i="27"/>
  <c r="L115" i="27"/>
  <c r="N118" i="27"/>
  <c r="D120" i="27"/>
  <c r="B123" i="27"/>
  <c r="F123" i="27"/>
  <c r="L123" i="27"/>
  <c r="F372" i="27"/>
  <c r="N126" i="27"/>
  <c r="D128" i="27"/>
  <c r="B375" i="27"/>
  <c r="B131" i="27"/>
  <c r="B400" i="27" s="1"/>
  <c r="F375" i="27"/>
  <c r="F131" i="27"/>
  <c r="F400" i="27" s="1"/>
  <c r="K377" i="27"/>
  <c r="K133" i="27"/>
  <c r="K402" i="27" s="1"/>
  <c r="O377" i="27"/>
  <c r="O133" i="27"/>
  <c r="O402" i="27" s="1"/>
  <c r="D380" i="27"/>
  <c r="D136" i="27"/>
  <c r="D405" i="27" s="1"/>
  <c r="M380" i="27"/>
  <c r="M136" i="27"/>
  <c r="M405" i="27" s="1"/>
  <c r="B383" i="27"/>
  <c r="B139" i="27"/>
  <c r="B408" i="27" s="1"/>
  <c r="F383" i="27"/>
  <c r="F139" i="27"/>
  <c r="F408" i="27" s="1"/>
  <c r="K387" i="27"/>
  <c r="K143" i="27"/>
  <c r="K412" i="27" s="1"/>
  <c r="O387" i="27"/>
  <c r="O143" i="27"/>
  <c r="O412" i="27" s="1"/>
  <c r="K393" i="27"/>
  <c r="D109" i="27"/>
  <c r="B114" i="27"/>
  <c r="O395" i="27"/>
  <c r="K397" i="27"/>
  <c r="D129" i="27"/>
  <c r="D398" i="27" s="1"/>
  <c r="B130" i="27"/>
  <c r="B399" i="27" s="1"/>
  <c r="M131" i="27"/>
  <c r="M400" i="27" s="1"/>
  <c r="F136" i="27"/>
  <c r="F405" i="27" s="1"/>
  <c r="D137" i="27"/>
  <c r="D406" i="27" s="1"/>
  <c r="B138" i="27"/>
  <c r="B407" i="27" s="1"/>
  <c r="M139" i="27"/>
  <c r="M408" i="27" s="1"/>
  <c r="N197" i="27"/>
  <c r="N291" i="27" s="1"/>
  <c r="F199" i="27"/>
  <c r="F293" i="27" s="1"/>
  <c r="C200" i="27"/>
  <c r="C294" i="27" s="1"/>
  <c r="N200" i="27"/>
  <c r="N294" i="27" s="1"/>
  <c r="L202" i="27"/>
  <c r="L296" i="27" s="1"/>
  <c r="F416" i="27"/>
  <c r="F203" i="27"/>
  <c r="C204" i="27"/>
  <c r="C298" i="27" s="1"/>
  <c r="N204" i="27"/>
  <c r="N298" i="27" s="1"/>
  <c r="E206" i="27"/>
  <c r="E300" i="27" s="1"/>
  <c r="L206" i="27"/>
  <c r="L300" i="27" s="1"/>
  <c r="D208" i="27"/>
  <c r="L209" i="27"/>
  <c r="L303" i="27" s="1"/>
  <c r="N211" i="27"/>
  <c r="N305" i="27" s="1"/>
  <c r="D212" i="27"/>
  <c r="D306" i="27" s="1"/>
  <c r="L213" i="27"/>
  <c r="D216" i="27"/>
  <c r="D310" i="27" s="1"/>
  <c r="E217" i="27"/>
  <c r="E311" i="27" s="1"/>
  <c r="L217" i="27"/>
  <c r="L311" i="27" s="1"/>
  <c r="D220" i="27"/>
  <c r="D314" i="27" s="1"/>
  <c r="E221" i="27"/>
  <c r="E315" i="27" s="1"/>
  <c r="L221" i="27"/>
  <c r="L315" i="27" s="1"/>
  <c r="C222" i="27"/>
  <c r="C316" i="27" s="1"/>
  <c r="N222" i="27"/>
  <c r="N316" i="27" s="1"/>
  <c r="K420" i="27"/>
  <c r="K223" i="27"/>
  <c r="K445" i="27" s="1"/>
  <c r="O420" i="27"/>
  <c r="O223" i="27"/>
  <c r="O445" i="27" s="1"/>
  <c r="E421" i="27"/>
  <c r="E224" i="27"/>
  <c r="E446" i="27" s="1"/>
  <c r="K424" i="27"/>
  <c r="K227" i="27"/>
  <c r="K449" i="27" s="1"/>
  <c r="E428" i="27"/>
  <c r="E231" i="27"/>
  <c r="E453" i="27" s="1"/>
  <c r="D203" i="27"/>
  <c r="M213" i="27"/>
  <c r="B228" i="27"/>
  <c r="B450" i="27" s="1"/>
  <c r="M229" i="27"/>
  <c r="M451" i="27" s="1"/>
  <c r="K230" i="27"/>
  <c r="K452" i="27" s="1"/>
  <c r="E346" i="27"/>
  <c r="C347" i="27"/>
  <c r="E348" i="27"/>
  <c r="M348" i="27"/>
  <c r="C349" i="27"/>
  <c r="C368" i="27"/>
  <c r="G368" i="27"/>
  <c r="L368" i="27"/>
  <c r="E369" i="27"/>
  <c r="J369" i="27"/>
  <c r="N369" i="27"/>
  <c r="C370" i="27"/>
  <c r="G370" i="27"/>
  <c r="L370" i="27"/>
  <c r="E371" i="27"/>
  <c r="J371" i="27"/>
  <c r="N371" i="27"/>
  <c r="C372" i="27"/>
  <c r="G372" i="27"/>
  <c r="L372" i="27"/>
  <c r="E114" i="27"/>
  <c r="J114" i="27"/>
  <c r="J395" i="27" s="1"/>
  <c r="N114" i="27"/>
  <c r="C119" i="27"/>
  <c r="L119" i="27"/>
  <c r="E124" i="27"/>
  <c r="J124" i="27"/>
  <c r="J397" i="27" s="1"/>
  <c r="N124" i="27"/>
  <c r="G129" i="27"/>
  <c r="G398" i="27" s="1"/>
  <c r="L129" i="27"/>
  <c r="L398" i="27" s="1"/>
  <c r="E130" i="27"/>
  <c r="E399" i="27" s="1"/>
  <c r="J130" i="27"/>
  <c r="J399" i="27" s="1"/>
  <c r="N130" i="27"/>
  <c r="N399" i="27" s="1"/>
  <c r="C131" i="27"/>
  <c r="C400" i="27" s="1"/>
  <c r="G131" i="27"/>
  <c r="G400" i="27" s="1"/>
  <c r="L131" i="27"/>
  <c r="L400" i="27" s="1"/>
  <c r="E132" i="27"/>
  <c r="E401" i="27" s="1"/>
  <c r="J132" i="27"/>
  <c r="J401" i="27" s="1"/>
  <c r="N132" i="27"/>
  <c r="N401" i="27" s="1"/>
  <c r="C133" i="27"/>
  <c r="C402" i="27" s="1"/>
  <c r="G133" i="27"/>
  <c r="G402" i="27" s="1"/>
  <c r="E134" i="27"/>
  <c r="E403" i="27" s="1"/>
  <c r="J134" i="27"/>
  <c r="J403" i="27" s="1"/>
  <c r="N134" i="27"/>
  <c r="N403" i="27" s="1"/>
  <c r="C135" i="27"/>
  <c r="C404" i="27" s="1"/>
  <c r="G135" i="27"/>
  <c r="G404" i="27" s="1"/>
  <c r="L135" i="27"/>
  <c r="L404" i="27" s="1"/>
  <c r="E136" i="27"/>
  <c r="E405" i="27" s="1"/>
  <c r="J136" i="27"/>
  <c r="J405" i="27" s="1"/>
  <c r="N136" i="27"/>
  <c r="N405" i="27" s="1"/>
  <c r="C137" i="27"/>
  <c r="C406" i="27" s="1"/>
  <c r="G137" i="27"/>
  <c r="G406" i="27" s="1"/>
  <c r="L137" i="27"/>
  <c r="L406" i="27" s="1"/>
  <c r="J138" i="27"/>
  <c r="J407" i="27" s="1"/>
  <c r="N138" i="27"/>
  <c r="N407" i="27" s="1"/>
  <c r="C139" i="27"/>
  <c r="C408" i="27" s="1"/>
  <c r="G139" i="27"/>
  <c r="G408" i="27" s="1"/>
  <c r="L139" i="27"/>
  <c r="L408" i="27" s="1"/>
  <c r="E140" i="27"/>
  <c r="E409" i="27" s="1"/>
  <c r="J140" i="27"/>
  <c r="J409" i="27" s="1"/>
  <c r="N140" i="27"/>
  <c r="N409" i="27" s="1"/>
  <c r="C143" i="27"/>
  <c r="C412" i="27" s="1"/>
  <c r="G143" i="27"/>
  <c r="G412" i="27" s="1"/>
  <c r="L143" i="27"/>
  <c r="L412" i="27" s="1"/>
  <c r="E417" i="27"/>
  <c r="C418" i="27"/>
  <c r="H168" i="27"/>
  <c r="H170" i="27"/>
  <c r="H172" i="27"/>
  <c r="H174" i="27"/>
  <c r="H176" i="27"/>
  <c r="H177" i="27"/>
  <c r="H178" i="27"/>
  <c r="H179" i="27"/>
  <c r="H181" i="27"/>
  <c r="H182" i="27"/>
  <c r="H183" i="27"/>
  <c r="H184" i="27"/>
  <c r="H185" i="27"/>
  <c r="H186" i="27"/>
  <c r="M431" i="27"/>
  <c r="M234" i="27"/>
  <c r="M456" i="27" s="1"/>
  <c r="E198" i="27"/>
  <c r="N198" i="27"/>
  <c r="C203" i="27"/>
  <c r="G203" i="27"/>
  <c r="G441" i="27" s="1"/>
  <c r="E208" i="27"/>
  <c r="C213" i="27"/>
  <c r="N218" i="27"/>
  <c r="C223" i="27"/>
  <c r="C445" i="27" s="1"/>
  <c r="G223" i="27"/>
  <c r="G445" i="27" s="1"/>
  <c r="L223" i="27"/>
  <c r="L445" i="27" s="1"/>
  <c r="N224" i="27"/>
  <c r="N446" i="27" s="1"/>
  <c r="C225" i="27"/>
  <c r="C447" i="27" s="1"/>
  <c r="G225" i="27"/>
  <c r="G447" i="27" s="1"/>
  <c r="L225" i="27"/>
  <c r="L447" i="27" s="1"/>
  <c r="N226" i="27"/>
  <c r="N448" i="27" s="1"/>
  <c r="G227" i="27"/>
  <c r="G449" i="27" s="1"/>
  <c r="L227" i="27"/>
  <c r="L449" i="27" s="1"/>
  <c r="N228" i="27"/>
  <c r="N450" i="27" s="1"/>
  <c r="C229" i="27"/>
  <c r="C451" i="27" s="1"/>
  <c r="G229" i="27"/>
  <c r="G451" i="27" s="1"/>
  <c r="L229" i="27"/>
  <c r="L451" i="27" s="1"/>
  <c r="N230" i="27"/>
  <c r="N452" i="27" s="1"/>
  <c r="C231" i="27"/>
  <c r="C453" i="27" s="1"/>
  <c r="G231" i="27"/>
  <c r="G453" i="27" s="1"/>
  <c r="L231" i="27"/>
  <c r="L453" i="27" s="1"/>
  <c r="N232" i="27"/>
  <c r="N454" i="27" s="1"/>
  <c r="C233" i="27"/>
  <c r="C455" i="27" s="1"/>
  <c r="G233" i="27"/>
  <c r="G455" i="27" s="1"/>
  <c r="L233" i="27"/>
  <c r="L455" i="27" s="1"/>
  <c r="B234" i="27"/>
  <c r="B456" i="27" s="1"/>
  <c r="G234" i="27"/>
  <c r="G456" i="27" s="1"/>
  <c r="C415" i="27"/>
  <c r="D417" i="27"/>
  <c r="G421" i="27"/>
  <c r="L425" i="27"/>
  <c r="C104" i="27"/>
  <c r="G104" i="27"/>
  <c r="G393" i="27" s="1"/>
  <c r="L104" i="27"/>
  <c r="E109" i="27"/>
  <c r="J109" i="27"/>
  <c r="J394" i="27" s="1"/>
  <c r="N109" i="27"/>
  <c r="G395" i="27"/>
  <c r="J396" i="27"/>
  <c r="C417" i="27"/>
  <c r="M417" i="27"/>
  <c r="E418" i="27"/>
  <c r="B419" i="27"/>
  <c r="K434" i="27"/>
  <c r="K237" i="27"/>
  <c r="K459" i="27" s="1"/>
  <c r="O434" i="27"/>
  <c r="O237" i="27"/>
  <c r="O459" i="27" s="1"/>
  <c r="G198" i="27"/>
  <c r="G440" i="27" s="1"/>
  <c r="E203" i="27"/>
  <c r="C208" i="27"/>
  <c r="E213" i="27"/>
  <c r="C218" i="27"/>
  <c r="L218" i="27"/>
  <c r="C224" i="27"/>
  <c r="C446" i="27" s="1"/>
  <c r="L224" i="27"/>
  <c r="L446" i="27" s="1"/>
  <c r="C226" i="27"/>
  <c r="C448" i="27" s="1"/>
  <c r="G226" i="27"/>
  <c r="G448" i="27" s="1"/>
  <c r="L226" i="27"/>
  <c r="L448" i="27" s="1"/>
  <c r="C228" i="27"/>
  <c r="C450" i="27" s="1"/>
  <c r="G228" i="27"/>
  <c r="G450" i="27" s="1"/>
  <c r="C230" i="27"/>
  <c r="C452" i="27" s="1"/>
  <c r="G230" i="27"/>
  <c r="G452" i="27" s="1"/>
  <c r="L230" i="27"/>
  <c r="L452" i="27" s="1"/>
  <c r="C232" i="27"/>
  <c r="C454" i="27" s="1"/>
  <c r="L232" i="27"/>
  <c r="L454" i="27" s="1"/>
  <c r="E234" i="27"/>
  <c r="E456" i="27" s="1"/>
  <c r="K234" i="27"/>
  <c r="K456" i="27" s="1"/>
  <c r="B368" i="27"/>
  <c r="F368" i="27"/>
  <c r="K368" i="27"/>
  <c r="O368" i="27"/>
  <c r="D369" i="27"/>
  <c r="M369" i="27"/>
  <c r="B370" i="27"/>
  <c r="F370" i="27"/>
  <c r="K370" i="27"/>
  <c r="O370" i="27"/>
  <c r="D371" i="27"/>
  <c r="M371" i="27"/>
  <c r="B372" i="27"/>
  <c r="K372" i="27"/>
  <c r="O372" i="27"/>
  <c r="N416" i="27"/>
  <c r="N417" i="27"/>
  <c r="B418" i="27"/>
  <c r="F418" i="27"/>
  <c r="B434" i="27"/>
  <c r="B237" i="27"/>
  <c r="B459" i="27" s="1"/>
  <c r="F434" i="27"/>
  <c r="F237" i="27"/>
  <c r="F459" i="27" s="1"/>
  <c r="D198" i="27"/>
  <c r="O203" i="27"/>
  <c r="O441" i="27" s="1"/>
  <c r="M208" i="27"/>
  <c r="B213" i="27"/>
  <c r="F213" i="27"/>
  <c r="D218" i="27"/>
  <c r="B223" i="27"/>
  <c r="B445" i="27" s="1"/>
  <c r="F223" i="27"/>
  <c r="F445" i="27" s="1"/>
  <c r="M224" i="27"/>
  <c r="M446" i="27" s="1"/>
  <c r="B225" i="27"/>
  <c r="B447" i="27" s="1"/>
  <c r="F225" i="27"/>
  <c r="F447" i="27" s="1"/>
  <c r="M226" i="27"/>
  <c r="M448" i="27" s="1"/>
  <c r="F227" i="27"/>
  <c r="F449" i="27" s="1"/>
  <c r="M228" i="27"/>
  <c r="M450" i="27" s="1"/>
  <c r="B229" i="27"/>
  <c r="B451" i="27" s="1"/>
  <c r="F229" i="27"/>
  <c r="F451" i="27" s="1"/>
  <c r="M230" i="27"/>
  <c r="M452" i="27" s="1"/>
  <c r="B231" i="27"/>
  <c r="B453" i="27" s="1"/>
  <c r="F231" i="27"/>
  <c r="F453" i="27" s="1"/>
  <c r="M232" i="27"/>
  <c r="M454" i="27" s="1"/>
  <c r="B233" i="27"/>
  <c r="B455" i="27" s="1"/>
  <c r="F233" i="27"/>
  <c r="F455" i="27" s="1"/>
  <c r="P233" i="27"/>
  <c r="F234" i="27"/>
  <c r="F456" i="27" s="1"/>
  <c r="L234" i="27"/>
  <c r="L456" i="27" s="1"/>
  <c r="C237" i="27"/>
  <c r="C459" i="27" s="1"/>
  <c r="B208" i="28"/>
  <c r="B63" i="28"/>
  <c r="B223" i="28" s="1"/>
  <c r="F208" i="28"/>
  <c r="F63" i="28"/>
  <c r="F223" i="28" s="1"/>
  <c r="B212" i="28"/>
  <c r="B69" i="28"/>
  <c r="B227" i="28" s="1"/>
  <c r="F212" i="28"/>
  <c r="F69" i="28"/>
  <c r="F227" i="28" s="1"/>
  <c r="C206" i="28"/>
  <c r="E207" i="28"/>
  <c r="E60" i="28"/>
  <c r="E222" i="28" s="1"/>
  <c r="H160" i="28"/>
  <c r="E161" i="28"/>
  <c r="C167" i="28"/>
  <c r="C292" i="28" s="1"/>
  <c r="C262" i="28"/>
  <c r="G58" i="28"/>
  <c r="G221" i="28" s="1"/>
  <c r="G206" i="28"/>
  <c r="H150" i="28"/>
  <c r="H158" i="28"/>
  <c r="B253" i="28"/>
  <c r="B151" i="28"/>
  <c r="F253" i="28"/>
  <c r="F151" i="28"/>
  <c r="C202" i="28"/>
  <c r="C74" i="28"/>
  <c r="C232" i="28" s="1"/>
  <c r="H202" i="28"/>
  <c r="H74" i="28"/>
  <c r="H232" i="28" s="1"/>
  <c r="E205" i="28"/>
  <c r="C213" i="28"/>
  <c r="C70" i="28"/>
  <c r="C228" i="28" s="1"/>
  <c r="G213" i="28"/>
  <c r="G70" i="28"/>
  <c r="G228" i="28" s="1"/>
  <c r="B220" i="28"/>
  <c r="H155" i="28"/>
  <c r="C152" i="28"/>
  <c r="G152" i="28"/>
  <c r="D153" i="28"/>
  <c r="C155" i="28"/>
  <c r="G155" i="28"/>
  <c r="D206" i="28"/>
  <c r="D58" i="28"/>
  <c r="D221" i="28" s="1"/>
  <c r="B207" i="28"/>
  <c r="B60" i="28"/>
  <c r="B222" i="28" s="1"/>
  <c r="F207" i="28"/>
  <c r="F60" i="28"/>
  <c r="F222" i="28" s="1"/>
  <c r="G220" i="28"/>
  <c r="D222" i="28"/>
  <c r="H149" i="28"/>
  <c r="H109" i="28"/>
  <c r="H157" i="28" s="1"/>
  <c r="H237" i="28"/>
  <c r="H161" i="28"/>
  <c r="H242" i="28"/>
  <c r="H117" i="28"/>
  <c r="H98" i="28"/>
  <c r="H247" i="28" s="1"/>
  <c r="B247" i="28"/>
  <c r="C149" i="28"/>
  <c r="D256" i="28"/>
  <c r="H256" i="28"/>
  <c r="E160" i="28"/>
  <c r="D257" i="28"/>
  <c r="H257" i="28"/>
  <c r="E163" i="28"/>
  <c r="E288" i="28" s="1"/>
  <c r="B259" i="28"/>
  <c r="F259" i="28"/>
  <c r="F261" i="28"/>
  <c r="B261" i="28"/>
  <c r="D166" i="29"/>
  <c r="D108" i="29"/>
  <c r="H108" i="29"/>
  <c r="H166" i="29"/>
  <c r="D169" i="29"/>
  <c r="D123" i="29"/>
  <c r="H169" i="29"/>
  <c r="H123" i="29"/>
  <c r="H213" i="29" s="1"/>
  <c r="B98" i="29"/>
  <c r="D55" i="28"/>
  <c r="D220" i="28" s="1"/>
  <c r="D205" i="28"/>
  <c r="D214" i="28"/>
  <c r="D71" i="28"/>
  <c r="D229" i="28" s="1"/>
  <c r="E215" i="28"/>
  <c r="E72" i="28"/>
  <c r="E230" i="28" s="1"/>
  <c r="G217" i="28"/>
  <c r="G74" i="28"/>
  <c r="G232" i="28" s="1"/>
  <c r="B150" i="28"/>
  <c r="D255" i="28"/>
  <c r="D156" i="28"/>
  <c r="E157" i="28"/>
  <c r="C158" i="28"/>
  <c r="G158" i="28"/>
  <c r="E256" i="28"/>
  <c r="E206" i="28"/>
  <c r="C207" i="28"/>
  <c r="C208" i="28"/>
  <c r="C209" i="28"/>
  <c r="C66" i="28"/>
  <c r="C224" i="28" s="1"/>
  <c r="G209" i="28"/>
  <c r="G66" i="28"/>
  <c r="D210" i="28"/>
  <c r="D67" i="28"/>
  <c r="D225" i="28" s="1"/>
  <c r="E211" i="28"/>
  <c r="E68" i="28"/>
  <c r="E226" i="28" s="1"/>
  <c r="C220" i="28"/>
  <c r="B59" i="28"/>
  <c r="B221" i="28" s="1"/>
  <c r="E67" i="28"/>
  <c r="E225" i="28" s="1"/>
  <c r="C68" i="28"/>
  <c r="C226" i="28" s="1"/>
  <c r="G69" i="28"/>
  <c r="G227" i="28" s="1"/>
  <c r="E70" i="28"/>
  <c r="E228" i="28" s="1"/>
  <c r="B72" i="28"/>
  <c r="B230" i="28" s="1"/>
  <c r="G72" i="28"/>
  <c r="G230" i="28" s="1"/>
  <c r="E74" i="28"/>
  <c r="E232" i="28" s="1"/>
  <c r="H164" i="28"/>
  <c r="H289" i="28" s="1"/>
  <c r="H259" i="28"/>
  <c r="E150" i="28"/>
  <c r="C151" i="28"/>
  <c r="C253" i="28"/>
  <c r="H152" i="28"/>
  <c r="E153" i="28"/>
  <c r="D155" i="28"/>
  <c r="E255" i="28"/>
  <c r="B157" i="28"/>
  <c r="F157" i="28"/>
  <c r="D158" i="28"/>
  <c r="B256" i="28"/>
  <c r="F256" i="28"/>
  <c r="F160" i="28"/>
  <c r="C161" i="28"/>
  <c r="E122" i="28"/>
  <c r="D208" i="28"/>
  <c r="H236" i="28"/>
  <c r="H254" i="28"/>
  <c r="B202" i="28"/>
  <c r="B122" i="28"/>
  <c r="I26" i="28"/>
  <c r="F202" i="28"/>
  <c r="F122" i="28"/>
  <c r="F74" i="28"/>
  <c r="F232" i="28" s="1"/>
  <c r="B205" i="28"/>
  <c r="F205" i="28"/>
  <c r="D207" i="28"/>
  <c r="D223" i="28"/>
  <c r="E55" i="28"/>
  <c r="E220" i="28" s="1"/>
  <c r="E58" i="28"/>
  <c r="E221" i="28" s="1"/>
  <c r="C72" i="28"/>
  <c r="C230" i="28" s="1"/>
  <c r="H235" i="28"/>
  <c r="H238" i="28"/>
  <c r="H262" i="28"/>
  <c r="F150" i="28"/>
  <c r="H103" i="28"/>
  <c r="E152" i="28"/>
  <c r="B153" i="28"/>
  <c r="F153" i="28"/>
  <c r="F260" i="28"/>
  <c r="H118" i="28"/>
  <c r="E167" i="28"/>
  <c r="E292" i="28" s="1"/>
  <c r="B210" i="28"/>
  <c r="H244" i="28"/>
  <c r="D253" i="28"/>
  <c r="D254" i="28"/>
  <c r="B255" i="28"/>
  <c r="B263" i="28"/>
  <c r="E105" i="29"/>
  <c r="C128" i="29"/>
  <c r="C214" i="29" s="1"/>
  <c r="C192" i="29"/>
  <c r="C132" i="29"/>
  <c r="C218" i="29" s="1"/>
  <c r="C196" i="29"/>
  <c r="G196" i="29"/>
  <c r="G132" i="29"/>
  <c r="G218" i="29" s="1"/>
  <c r="C136" i="29"/>
  <c r="C222" i="29" s="1"/>
  <c r="C200" i="29"/>
  <c r="C142" i="29"/>
  <c r="C228" i="29" s="1"/>
  <c r="C206" i="29"/>
  <c r="G206" i="29"/>
  <c r="G142" i="29"/>
  <c r="G228" i="29" s="1"/>
  <c r="G103" i="29"/>
  <c r="G136" i="29"/>
  <c r="G222" i="29" s="1"/>
  <c r="F55" i="28"/>
  <c r="F220" i="28" s="1"/>
  <c r="G61" i="28"/>
  <c r="G223" i="28" s="1"/>
  <c r="C223" i="28"/>
  <c r="B149" i="28"/>
  <c r="F149" i="28"/>
  <c r="C150" i="28"/>
  <c r="G150" i="28"/>
  <c r="G153" i="28"/>
  <c r="C255" i="28"/>
  <c r="B158" i="28"/>
  <c r="G256" i="28"/>
  <c r="G159" i="28"/>
  <c r="D160" i="28"/>
  <c r="C162" i="28"/>
  <c r="C287" i="28" s="1"/>
  <c r="G162" i="28"/>
  <c r="G287" i="28" s="1"/>
  <c r="D258" i="28"/>
  <c r="E164" i="28"/>
  <c r="E289" i="28" s="1"/>
  <c r="C165" i="28"/>
  <c r="C290" i="28" s="1"/>
  <c r="G165" i="28"/>
  <c r="G290" i="28" s="1"/>
  <c r="E259" i="28"/>
  <c r="G260" i="28"/>
  <c r="D167" i="29"/>
  <c r="D113" i="29"/>
  <c r="H167" i="29"/>
  <c r="H113" i="29"/>
  <c r="B103" i="29"/>
  <c r="D122" i="28"/>
  <c r="C205" i="28"/>
  <c r="G205" i="28"/>
  <c r="E253" i="28"/>
  <c r="C166" i="28"/>
  <c r="C291" i="28" s="1"/>
  <c r="G166" i="28"/>
  <c r="G291" i="28" s="1"/>
  <c r="D202" i="28"/>
  <c r="E99" i="29"/>
  <c r="B100" i="29"/>
  <c r="H102" i="29"/>
  <c r="G188" i="29"/>
  <c r="G108" i="29"/>
  <c r="G129" i="29"/>
  <c r="G215" i="29" s="1"/>
  <c r="G193" i="29"/>
  <c r="G133" i="29"/>
  <c r="G219" i="29" s="1"/>
  <c r="G197" i="29"/>
  <c r="G137" i="29"/>
  <c r="G223" i="29" s="1"/>
  <c r="G201" i="29"/>
  <c r="G134" i="29"/>
  <c r="G220" i="29" s="1"/>
  <c r="C195" i="29"/>
  <c r="C203" i="29"/>
  <c r="C99" i="29"/>
  <c r="H100" i="29"/>
  <c r="G191" i="29"/>
  <c r="G123" i="29"/>
  <c r="G131" i="29"/>
  <c r="G217" i="29" s="1"/>
  <c r="G195" i="29"/>
  <c r="G135" i="29"/>
  <c r="G221" i="29" s="1"/>
  <c r="G199" i="29"/>
  <c r="G139" i="29"/>
  <c r="G225" i="29" s="1"/>
  <c r="G203" i="29"/>
  <c r="C191" i="29"/>
  <c r="C199" i="29"/>
  <c r="C106" i="30"/>
  <c r="G106" i="30"/>
  <c r="M106" i="30"/>
  <c r="Q106" i="30"/>
  <c r="G199" i="30"/>
  <c r="G114" i="30"/>
  <c r="G200" i="30"/>
  <c r="G119" i="30"/>
  <c r="C202" i="30"/>
  <c r="C129" i="30"/>
  <c r="C227" i="30" s="1"/>
  <c r="G202" i="30"/>
  <c r="G129" i="30"/>
  <c r="G227" i="30" s="1"/>
  <c r="C204" i="30"/>
  <c r="C131" i="30"/>
  <c r="C229" i="30" s="1"/>
  <c r="G204" i="30"/>
  <c r="G131" i="30"/>
  <c r="G229" i="30" s="1"/>
  <c r="C133" i="30"/>
  <c r="C231" i="30" s="1"/>
  <c r="C206" i="30"/>
  <c r="G206" i="30"/>
  <c r="G133" i="30"/>
  <c r="G231" i="30" s="1"/>
  <c r="C135" i="30"/>
  <c r="C233" i="30" s="1"/>
  <c r="C208" i="30"/>
  <c r="G208" i="30"/>
  <c r="G135" i="30"/>
  <c r="G233" i="30" s="1"/>
  <c r="C137" i="30"/>
  <c r="C235" i="30" s="1"/>
  <c r="C210" i="30"/>
  <c r="G210" i="30"/>
  <c r="G137" i="30"/>
  <c r="G235" i="30" s="1"/>
  <c r="C212" i="30"/>
  <c r="C139" i="30"/>
  <c r="C237" i="30" s="1"/>
  <c r="G212" i="30"/>
  <c r="G139" i="30"/>
  <c r="G237" i="30" s="1"/>
  <c r="C216" i="30"/>
  <c r="C143" i="30"/>
  <c r="C241" i="30" s="1"/>
  <c r="G143" i="30"/>
  <c r="G241" i="30" s="1"/>
  <c r="G216" i="30"/>
  <c r="C98" i="29"/>
  <c r="D187" i="29"/>
  <c r="D103" i="29"/>
  <c r="E104" i="29"/>
  <c r="G189" i="29"/>
  <c r="G113" i="29"/>
  <c r="G190" i="29"/>
  <c r="G118" i="29"/>
  <c r="C130" i="29"/>
  <c r="C216" i="29" s="1"/>
  <c r="C194" i="29"/>
  <c r="C134" i="29"/>
  <c r="C220" i="29" s="1"/>
  <c r="C198" i="29"/>
  <c r="C138" i="29"/>
  <c r="C224" i="29" s="1"/>
  <c r="C202" i="29"/>
  <c r="C188" i="29"/>
  <c r="C187" i="29"/>
  <c r="H187" i="29"/>
  <c r="D192" i="29"/>
  <c r="D128" i="29"/>
  <c r="D214" i="29" s="1"/>
  <c r="H192" i="29"/>
  <c r="H128" i="29"/>
  <c r="H214" i="29" s="1"/>
  <c r="D193" i="29"/>
  <c r="D129" i="29"/>
  <c r="D215" i="29" s="1"/>
  <c r="H193" i="29"/>
  <c r="H129" i="29"/>
  <c r="H215" i="29" s="1"/>
  <c r="D194" i="29"/>
  <c r="D130" i="29"/>
  <c r="D216" i="29" s="1"/>
  <c r="H194" i="29"/>
  <c r="H130" i="29"/>
  <c r="H216" i="29" s="1"/>
  <c r="D195" i="29"/>
  <c r="D131" i="29"/>
  <c r="D217" i="29" s="1"/>
  <c r="H195" i="29"/>
  <c r="H131" i="29"/>
  <c r="H217" i="29" s="1"/>
  <c r="D196" i="29"/>
  <c r="D132" i="29"/>
  <c r="D218" i="29" s="1"/>
  <c r="H196" i="29"/>
  <c r="H132" i="29"/>
  <c r="H218" i="29" s="1"/>
  <c r="D197" i="29"/>
  <c r="D133" i="29"/>
  <c r="D219" i="29" s="1"/>
  <c r="H197" i="29"/>
  <c r="H133" i="29"/>
  <c r="H219" i="29" s="1"/>
  <c r="D198" i="29"/>
  <c r="D134" i="29"/>
  <c r="D220" i="29" s="1"/>
  <c r="H198" i="29"/>
  <c r="H134" i="29"/>
  <c r="H220" i="29" s="1"/>
  <c r="D199" i="29"/>
  <c r="D135" i="29"/>
  <c r="D221" i="29" s="1"/>
  <c r="H199" i="29"/>
  <c r="H135" i="29"/>
  <c r="H221" i="29" s="1"/>
  <c r="D200" i="29"/>
  <c r="D136" i="29"/>
  <c r="D222" i="29" s="1"/>
  <c r="H200" i="29"/>
  <c r="H136" i="29"/>
  <c r="H222" i="29" s="1"/>
  <c r="D201" i="29"/>
  <c r="D137" i="29"/>
  <c r="D223" i="29" s="1"/>
  <c r="H201" i="29"/>
  <c r="H137" i="29"/>
  <c r="H223" i="29" s="1"/>
  <c r="D202" i="29"/>
  <c r="D138" i="29"/>
  <c r="D224" i="29" s="1"/>
  <c r="H202" i="29"/>
  <c r="H138" i="29"/>
  <c r="H224" i="29" s="1"/>
  <c r="D203" i="29"/>
  <c r="D139" i="29"/>
  <c r="D225" i="29" s="1"/>
  <c r="H203" i="29"/>
  <c r="H139" i="29"/>
  <c r="H225" i="29" s="1"/>
  <c r="D206" i="29"/>
  <c r="D142" i="29"/>
  <c r="D228" i="29" s="1"/>
  <c r="H206" i="29"/>
  <c r="H142" i="29"/>
  <c r="H228" i="29" s="1"/>
  <c r="C103" i="29"/>
  <c r="H103" i="29"/>
  <c r="G175" i="30"/>
  <c r="E188" i="29"/>
  <c r="E108" i="29"/>
  <c r="E113" i="29"/>
  <c r="E189" i="29"/>
  <c r="E118" i="29"/>
  <c r="E190" i="29"/>
  <c r="E191" i="29"/>
  <c r="E123" i="29"/>
  <c r="E192" i="29"/>
  <c r="E128" i="29"/>
  <c r="E214" i="29" s="1"/>
  <c r="E193" i="29"/>
  <c r="E129" i="29"/>
  <c r="E215" i="29" s="1"/>
  <c r="E194" i="29"/>
  <c r="E130" i="29"/>
  <c r="E216" i="29" s="1"/>
  <c r="E195" i="29"/>
  <c r="E131" i="29"/>
  <c r="E217" i="29" s="1"/>
  <c r="E196" i="29"/>
  <c r="E132" i="29"/>
  <c r="E218" i="29" s="1"/>
  <c r="E197" i="29"/>
  <c r="E133" i="29"/>
  <c r="E219" i="29" s="1"/>
  <c r="E198" i="29"/>
  <c r="E134" i="29"/>
  <c r="E220" i="29" s="1"/>
  <c r="E199" i="29"/>
  <c r="E135" i="29"/>
  <c r="E221" i="29" s="1"/>
  <c r="E200" i="29"/>
  <c r="E136" i="29"/>
  <c r="E222" i="29" s="1"/>
  <c r="E201" i="29"/>
  <c r="E137" i="29"/>
  <c r="E223" i="29" s="1"/>
  <c r="E202" i="29"/>
  <c r="E138" i="29"/>
  <c r="E224" i="29" s="1"/>
  <c r="E203" i="29"/>
  <c r="E139" i="29"/>
  <c r="E225" i="29" s="1"/>
  <c r="E206" i="29"/>
  <c r="E142" i="29"/>
  <c r="E228" i="29" s="1"/>
  <c r="C175" i="30"/>
  <c r="M179" i="30"/>
  <c r="M124" i="30"/>
  <c r="C99" i="30"/>
  <c r="M99" i="30"/>
  <c r="Q99" i="30"/>
  <c r="L197" i="30"/>
  <c r="L104" i="30"/>
  <c r="Q104" i="30"/>
  <c r="Q197" i="30"/>
  <c r="D165" i="29"/>
  <c r="H165" i="29"/>
  <c r="E187" i="29"/>
  <c r="B106" i="29"/>
  <c r="E103" i="29"/>
  <c r="D99" i="30"/>
  <c r="F108" i="29"/>
  <c r="B123" i="29"/>
  <c r="F123" i="29"/>
  <c r="B128" i="29"/>
  <c r="B214" i="29" s="1"/>
  <c r="F128" i="29"/>
  <c r="F214" i="29" s="1"/>
  <c r="B129" i="29"/>
  <c r="B215" i="29" s="1"/>
  <c r="F129" i="29"/>
  <c r="F215" i="29" s="1"/>
  <c r="B130" i="29"/>
  <c r="B216" i="29" s="1"/>
  <c r="F130" i="29"/>
  <c r="F216" i="29" s="1"/>
  <c r="B131" i="29"/>
  <c r="B217" i="29" s="1"/>
  <c r="F131" i="29"/>
  <c r="F217" i="29" s="1"/>
  <c r="B132" i="29"/>
  <c r="B218" i="29" s="1"/>
  <c r="F132" i="29"/>
  <c r="F218" i="29" s="1"/>
  <c r="B133" i="29"/>
  <c r="B219" i="29" s="1"/>
  <c r="F133" i="29"/>
  <c r="F219" i="29" s="1"/>
  <c r="B134" i="29"/>
  <c r="B220" i="29" s="1"/>
  <c r="F134" i="29"/>
  <c r="F220" i="29" s="1"/>
  <c r="B135" i="29"/>
  <c r="B221" i="29" s="1"/>
  <c r="F135" i="29"/>
  <c r="F221" i="29" s="1"/>
  <c r="B136" i="29"/>
  <c r="B222" i="29" s="1"/>
  <c r="F136" i="29"/>
  <c r="F222" i="29" s="1"/>
  <c r="B137" i="29"/>
  <c r="B223" i="29" s="1"/>
  <c r="F137" i="29"/>
  <c r="F223" i="29" s="1"/>
  <c r="B138" i="29"/>
  <c r="B224" i="29" s="1"/>
  <c r="F138" i="29"/>
  <c r="F224" i="29" s="1"/>
  <c r="B139" i="29"/>
  <c r="B225" i="29" s="1"/>
  <c r="F139" i="29"/>
  <c r="F225" i="29" s="1"/>
  <c r="B142" i="29"/>
  <c r="B228" i="29" s="1"/>
  <c r="F142" i="29"/>
  <c r="F228" i="29" s="1"/>
  <c r="L175" i="30"/>
  <c r="P175" i="30"/>
  <c r="D176" i="30"/>
  <c r="D177" i="30"/>
  <c r="H177" i="30"/>
  <c r="F179" i="30"/>
  <c r="P179" i="30"/>
  <c r="H100" i="30"/>
  <c r="L101" i="30"/>
  <c r="H102" i="30"/>
  <c r="L103" i="30"/>
  <c r="D197" i="30"/>
  <c r="P197" i="30"/>
  <c r="L106" i="30"/>
  <c r="H107" i="30"/>
  <c r="L108" i="30"/>
  <c r="D198" i="30"/>
  <c r="H109" i="30"/>
  <c r="L110" i="30"/>
  <c r="P110" i="30"/>
  <c r="H111" i="30"/>
  <c r="L112" i="30"/>
  <c r="P112" i="30"/>
  <c r="H113" i="30"/>
  <c r="L114" i="30"/>
  <c r="P199" i="30"/>
  <c r="P114" i="30"/>
  <c r="H115" i="30"/>
  <c r="L116" i="30"/>
  <c r="P116" i="30"/>
  <c r="H117" i="30"/>
  <c r="Q117" i="30"/>
  <c r="H118" i="30"/>
  <c r="L119" i="30"/>
  <c r="P200" i="30"/>
  <c r="P119" i="30"/>
  <c r="H120" i="30"/>
  <c r="L121" i="30"/>
  <c r="P121" i="30"/>
  <c r="H122" i="30"/>
  <c r="L123" i="30"/>
  <c r="P123" i="30"/>
  <c r="L125" i="30"/>
  <c r="P125" i="30"/>
  <c r="D126" i="30"/>
  <c r="H126" i="30"/>
  <c r="B127" i="30"/>
  <c r="L127" i="30"/>
  <c r="P127" i="30"/>
  <c r="D128" i="30"/>
  <c r="H128" i="30"/>
  <c r="L202" i="30"/>
  <c r="L129" i="30"/>
  <c r="L227" i="30" s="1"/>
  <c r="P202" i="30"/>
  <c r="P129" i="30"/>
  <c r="P227" i="30" s="1"/>
  <c r="L204" i="30"/>
  <c r="L131" i="30"/>
  <c r="L229" i="30" s="1"/>
  <c r="P204" i="30"/>
  <c r="P131" i="30"/>
  <c r="P229" i="30" s="1"/>
  <c r="L206" i="30"/>
  <c r="L133" i="30"/>
  <c r="L231" i="30" s="1"/>
  <c r="P133" i="30"/>
  <c r="P231" i="30" s="1"/>
  <c r="L208" i="30"/>
  <c r="L135" i="30"/>
  <c r="L233" i="30" s="1"/>
  <c r="P135" i="30"/>
  <c r="P233" i="30" s="1"/>
  <c r="P208" i="30"/>
  <c r="L210" i="30"/>
  <c r="L137" i="30"/>
  <c r="L235" i="30" s="1"/>
  <c r="P137" i="30"/>
  <c r="P235" i="30" s="1"/>
  <c r="P210" i="30"/>
  <c r="L212" i="30"/>
  <c r="L139" i="30"/>
  <c r="L237" i="30" s="1"/>
  <c r="P212" i="30"/>
  <c r="P139" i="30"/>
  <c r="P237" i="30" s="1"/>
  <c r="L216" i="30"/>
  <c r="L143" i="30"/>
  <c r="L241" i="30" s="1"/>
  <c r="P216" i="30"/>
  <c r="P143" i="30"/>
  <c r="P241" i="30" s="1"/>
  <c r="D109" i="30"/>
  <c r="D133" i="30"/>
  <c r="D231" i="30" s="1"/>
  <c r="D143" i="30"/>
  <c r="D241" i="30" s="1"/>
  <c r="F176" i="30"/>
  <c r="L176" i="30"/>
  <c r="L177" i="30"/>
  <c r="P177" i="30"/>
  <c r="H99" i="30"/>
  <c r="N99" i="30"/>
  <c r="L100" i="30"/>
  <c r="H101" i="30"/>
  <c r="L102" i="30"/>
  <c r="H103" i="30"/>
  <c r="G197" i="30"/>
  <c r="G104" i="30"/>
  <c r="M197" i="30"/>
  <c r="M104" i="30"/>
  <c r="L105" i="30"/>
  <c r="H106" i="30"/>
  <c r="L107" i="30"/>
  <c r="H108" i="30"/>
  <c r="L109" i="30"/>
  <c r="P198" i="30"/>
  <c r="P109" i="30"/>
  <c r="H110" i="30"/>
  <c r="L111" i="30"/>
  <c r="P111" i="30"/>
  <c r="H112" i="30"/>
  <c r="L113" i="30"/>
  <c r="P113" i="30"/>
  <c r="H114" i="30"/>
  <c r="L115" i="30"/>
  <c r="P115" i="30"/>
  <c r="H116" i="30"/>
  <c r="L118" i="30"/>
  <c r="P118" i="30"/>
  <c r="H119" i="30"/>
  <c r="L120" i="30"/>
  <c r="P120" i="30"/>
  <c r="H121" i="30"/>
  <c r="L122" i="30"/>
  <c r="P122" i="30"/>
  <c r="H123" i="30"/>
  <c r="L201" i="30"/>
  <c r="L124" i="30"/>
  <c r="P201" i="30"/>
  <c r="P124" i="30"/>
  <c r="H125" i="30"/>
  <c r="L126" i="30"/>
  <c r="P126" i="30"/>
  <c r="H127" i="30"/>
  <c r="L128" i="30"/>
  <c r="P128" i="30"/>
  <c r="L203" i="30"/>
  <c r="L130" i="30"/>
  <c r="L228" i="30" s="1"/>
  <c r="P203" i="30"/>
  <c r="P130" i="30"/>
  <c r="P228" i="30" s="1"/>
  <c r="L205" i="30"/>
  <c r="L132" i="30"/>
  <c r="L230" i="30" s="1"/>
  <c r="P205" i="30"/>
  <c r="P132" i="30"/>
  <c r="P230" i="30" s="1"/>
  <c r="L207" i="30"/>
  <c r="L134" i="30"/>
  <c r="L232" i="30" s="1"/>
  <c r="P207" i="30"/>
  <c r="P134" i="30"/>
  <c r="P232" i="30" s="1"/>
  <c r="L209" i="30"/>
  <c r="L136" i="30"/>
  <c r="L234" i="30" s="1"/>
  <c r="P209" i="30"/>
  <c r="P136" i="30"/>
  <c r="P234" i="30" s="1"/>
  <c r="L211" i="30"/>
  <c r="L138" i="30"/>
  <c r="L236" i="30" s="1"/>
  <c r="P211" i="30"/>
  <c r="P138" i="30"/>
  <c r="P236" i="30" s="1"/>
  <c r="L213" i="30"/>
  <c r="L140" i="30"/>
  <c r="L238" i="30" s="1"/>
  <c r="P213" i="30"/>
  <c r="P140" i="30"/>
  <c r="P238" i="30" s="1"/>
  <c r="D114" i="30"/>
  <c r="D224" i="30" s="1"/>
  <c r="D124" i="30"/>
  <c r="D129" i="30"/>
  <c r="D227" i="30" s="1"/>
  <c r="D137" i="30"/>
  <c r="D235" i="30" s="1"/>
  <c r="O175" i="30"/>
  <c r="C176" i="30"/>
  <c r="G176" i="30"/>
  <c r="M176" i="30"/>
  <c r="Q176" i="30"/>
  <c r="C177" i="30"/>
  <c r="G177" i="30"/>
  <c r="M177" i="30"/>
  <c r="Q177" i="30"/>
  <c r="G178" i="30"/>
  <c r="O179" i="30"/>
  <c r="E99" i="30"/>
  <c r="C100" i="30"/>
  <c r="G100" i="30"/>
  <c r="M100" i="30"/>
  <c r="Q100" i="30"/>
  <c r="C102" i="30"/>
  <c r="G102" i="30"/>
  <c r="M102" i="30"/>
  <c r="Q102" i="30"/>
  <c r="C197" i="30"/>
  <c r="C104" i="30"/>
  <c r="H197" i="30"/>
  <c r="H104" i="30"/>
  <c r="C105" i="30"/>
  <c r="G105" i="30"/>
  <c r="M105" i="30"/>
  <c r="C107" i="30"/>
  <c r="G107" i="30"/>
  <c r="M107" i="30"/>
  <c r="Q107" i="30"/>
  <c r="C198" i="30"/>
  <c r="C109" i="30"/>
  <c r="G198" i="30"/>
  <c r="G109" i="30"/>
  <c r="M198" i="30"/>
  <c r="Q109" i="30"/>
  <c r="C111" i="30"/>
  <c r="G111" i="30"/>
  <c r="Q111" i="30"/>
  <c r="C113" i="30"/>
  <c r="G113" i="30"/>
  <c r="Q113" i="30"/>
  <c r="C115" i="30"/>
  <c r="G115" i="30"/>
  <c r="Q115" i="30"/>
  <c r="C117" i="30"/>
  <c r="G117" i="30"/>
  <c r="L117" i="30"/>
  <c r="P117" i="30"/>
  <c r="C118" i="30"/>
  <c r="G118" i="30"/>
  <c r="Q118" i="30"/>
  <c r="C120" i="30"/>
  <c r="G120" i="30"/>
  <c r="Q120" i="30"/>
  <c r="C122" i="30"/>
  <c r="G122" i="30"/>
  <c r="Q122" i="30"/>
  <c r="C201" i="30"/>
  <c r="C124" i="30"/>
  <c r="G201" i="30"/>
  <c r="G124" i="30"/>
  <c r="C126" i="30"/>
  <c r="G126" i="30"/>
  <c r="C128" i="30"/>
  <c r="G128" i="30"/>
  <c r="C203" i="30"/>
  <c r="C130" i="30"/>
  <c r="C228" i="30" s="1"/>
  <c r="G203" i="30"/>
  <c r="G130" i="30"/>
  <c r="G228" i="30" s="1"/>
  <c r="C205" i="30"/>
  <c r="C132" i="30"/>
  <c r="C230" i="30" s="1"/>
  <c r="G205" i="30"/>
  <c r="G132" i="30"/>
  <c r="G230" i="30" s="1"/>
  <c r="C207" i="30"/>
  <c r="C134" i="30"/>
  <c r="C232" i="30" s="1"/>
  <c r="G207" i="30"/>
  <c r="G134" i="30"/>
  <c r="G232" i="30" s="1"/>
  <c r="C209" i="30"/>
  <c r="C136" i="30"/>
  <c r="C234" i="30" s="1"/>
  <c r="G209" i="30"/>
  <c r="G136" i="30"/>
  <c r="G234" i="30" s="1"/>
  <c r="C211" i="30"/>
  <c r="C138" i="30"/>
  <c r="C236" i="30" s="1"/>
  <c r="G211" i="30"/>
  <c r="G138" i="30"/>
  <c r="G236" i="30" s="1"/>
  <c r="C213" i="30"/>
  <c r="C140" i="30"/>
  <c r="C238" i="30" s="1"/>
  <c r="G140" i="30"/>
  <c r="G238" i="30" s="1"/>
  <c r="G213" i="30"/>
  <c r="P104" i="30"/>
  <c r="M114" i="30"/>
  <c r="D135" i="30"/>
  <c r="D233" i="30" s="1"/>
  <c r="K194" i="30"/>
  <c r="K143" i="30"/>
  <c r="K241" i="30" s="1"/>
  <c r="B99" i="30"/>
  <c r="F99" i="30"/>
  <c r="O99" i="30"/>
  <c r="B100" i="30"/>
  <c r="F100" i="30"/>
  <c r="K100" i="30"/>
  <c r="O100" i="30"/>
  <c r="F101" i="30"/>
  <c r="K101" i="30"/>
  <c r="O101" i="30"/>
  <c r="B102" i="30"/>
  <c r="F102" i="30"/>
  <c r="K102" i="30"/>
  <c r="O102" i="30"/>
  <c r="B103" i="30"/>
  <c r="K103" i="30"/>
  <c r="O103" i="30"/>
  <c r="B104" i="30"/>
  <c r="K104" i="30"/>
  <c r="B105" i="30"/>
  <c r="F105" i="30"/>
  <c r="K105" i="30"/>
  <c r="O105" i="30"/>
  <c r="B106" i="30"/>
  <c r="F106" i="30"/>
  <c r="K106" i="30"/>
  <c r="O106" i="30"/>
  <c r="F107" i="30"/>
  <c r="K107" i="30"/>
  <c r="O107" i="30"/>
  <c r="B108" i="30"/>
  <c r="F108" i="30"/>
  <c r="K108" i="30"/>
  <c r="O108" i="30"/>
  <c r="B109" i="30"/>
  <c r="F198" i="30"/>
  <c r="F109" i="30"/>
  <c r="K109" i="30"/>
  <c r="O109" i="30"/>
  <c r="B110" i="30"/>
  <c r="F110" i="30"/>
  <c r="K110" i="30"/>
  <c r="O110" i="30"/>
  <c r="B111" i="30"/>
  <c r="F111" i="30"/>
  <c r="K111" i="30"/>
  <c r="O111" i="30"/>
  <c r="B112" i="30"/>
  <c r="F112" i="30"/>
  <c r="K112" i="30"/>
  <c r="O112" i="30"/>
  <c r="B113" i="30"/>
  <c r="F113" i="30"/>
  <c r="K113" i="30"/>
  <c r="O113" i="30"/>
  <c r="B114" i="30"/>
  <c r="F199" i="30"/>
  <c r="F114" i="30"/>
  <c r="K114" i="30"/>
  <c r="O199" i="30"/>
  <c r="O114" i="30"/>
  <c r="B115" i="30"/>
  <c r="F115" i="30"/>
  <c r="K115" i="30"/>
  <c r="O115" i="30"/>
  <c r="B116" i="30"/>
  <c r="F116" i="30"/>
  <c r="K116" i="30"/>
  <c r="O116" i="30"/>
  <c r="B117" i="30"/>
  <c r="F117" i="30"/>
  <c r="K117" i="30"/>
  <c r="O117" i="30"/>
  <c r="B118" i="30"/>
  <c r="F118" i="30"/>
  <c r="K118" i="30"/>
  <c r="O118" i="30"/>
  <c r="B119" i="30"/>
  <c r="F200" i="30"/>
  <c r="F119" i="30"/>
  <c r="K119" i="30"/>
  <c r="O200" i="30"/>
  <c r="O119" i="30"/>
  <c r="B120" i="30"/>
  <c r="F120" i="30"/>
  <c r="K120" i="30"/>
  <c r="O120" i="30"/>
  <c r="B121" i="30"/>
  <c r="F121" i="30"/>
  <c r="K121" i="30"/>
  <c r="O121" i="30"/>
  <c r="B122" i="30"/>
  <c r="F122" i="30"/>
  <c r="K122" i="30"/>
  <c r="O122" i="30"/>
  <c r="B123" i="30"/>
  <c r="F123" i="30"/>
  <c r="K123" i="30"/>
  <c r="O123" i="30"/>
  <c r="B201" i="30"/>
  <c r="B124" i="30"/>
  <c r="B226" i="30" s="1"/>
  <c r="F201" i="30"/>
  <c r="F124" i="30"/>
  <c r="K124" i="30"/>
  <c r="K226" i="30" s="1"/>
  <c r="O201" i="30"/>
  <c r="O124" i="30"/>
  <c r="B125" i="30"/>
  <c r="F125" i="30"/>
  <c r="K125" i="30"/>
  <c r="F126" i="30"/>
  <c r="K126" i="30"/>
  <c r="F127" i="30"/>
  <c r="K127" i="30"/>
  <c r="F128" i="30"/>
  <c r="K128" i="30"/>
  <c r="F202" i="30"/>
  <c r="F129" i="30"/>
  <c r="F227" i="30" s="1"/>
  <c r="K129" i="30"/>
  <c r="K227" i="30" s="1"/>
  <c r="F203" i="30"/>
  <c r="F130" i="30"/>
  <c r="F228" i="30" s="1"/>
  <c r="K130" i="30"/>
  <c r="K228" i="30" s="1"/>
  <c r="F204" i="30"/>
  <c r="F131" i="30"/>
  <c r="F229" i="30" s="1"/>
  <c r="K131" i="30"/>
  <c r="K229" i="30" s="1"/>
  <c r="F205" i="30"/>
  <c r="F132" i="30"/>
  <c r="F230" i="30" s="1"/>
  <c r="K132" i="30"/>
  <c r="K230" i="30" s="1"/>
  <c r="F206" i="30"/>
  <c r="F133" i="30"/>
  <c r="F231" i="30" s="1"/>
  <c r="K206" i="30"/>
  <c r="K133" i="30"/>
  <c r="K231" i="30" s="1"/>
  <c r="F207" i="30"/>
  <c r="F134" i="30"/>
  <c r="F232" i="30" s="1"/>
  <c r="K134" i="30"/>
  <c r="K232" i="30" s="1"/>
  <c r="K207" i="30"/>
  <c r="F208" i="30"/>
  <c r="F135" i="30"/>
  <c r="F233" i="30" s="1"/>
  <c r="K208" i="30"/>
  <c r="K135" i="30"/>
  <c r="K233" i="30" s="1"/>
  <c r="F209" i="30"/>
  <c r="F136" i="30"/>
  <c r="F234" i="30" s="1"/>
  <c r="K136" i="30"/>
  <c r="K234" i="30" s="1"/>
  <c r="F210" i="30"/>
  <c r="F137" i="30"/>
  <c r="F235" i="30" s="1"/>
  <c r="K210" i="30"/>
  <c r="K137" i="30"/>
  <c r="K235" i="30" s="1"/>
  <c r="K139" i="30"/>
  <c r="K237" i="30" s="1"/>
  <c r="N104" i="30"/>
  <c r="B129" i="30"/>
  <c r="B227" i="30" s="1"/>
  <c r="N129" i="30"/>
  <c r="N227" i="30" s="1"/>
  <c r="H130" i="30"/>
  <c r="H228" i="30" s="1"/>
  <c r="B131" i="30"/>
  <c r="B229" i="30" s="1"/>
  <c r="N131" i="30"/>
  <c r="N229" i="30" s="1"/>
  <c r="H132" i="30"/>
  <c r="H230" i="30" s="1"/>
  <c r="B133" i="30"/>
  <c r="B231" i="30" s="1"/>
  <c r="N133" i="30"/>
  <c r="N231" i="30" s="1"/>
  <c r="H134" i="30"/>
  <c r="H232" i="30" s="1"/>
  <c r="B135" i="30"/>
  <c r="B233" i="30" s="1"/>
  <c r="N135" i="30"/>
  <c r="N233" i="30" s="1"/>
  <c r="H136" i="30"/>
  <c r="H234" i="30" s="1"/>
  <c r="B137" i="30"/>
  <c r="B235" i="30" s="1"/>
  <c r="N137" i="30"/>
  <c r="N235" i="30" s="1"/>
  <c r="H138" i="30"/>
  <c r="H236" i="30" s="1"/>
  <c r="B139" i="30"/>
  <c r="B237" i="30" s="1"/>
  <c r="N139" i="30"/>
  <c r="N237" i="30" s="1"/>
  <c r="H140" i="30"/>
  <c r="H238" i="30" s="1"/>
  <c r="B143" i="30"/>
  <c r="B241" i="30" s="1"/>
  <c r="N143" i="30"/>
  <c r="N241" i="30" s="1"/>
  <c r="N181" i="30"/>
  <c r="B183" i="30"/>
  <c r="N185" i="30"/>
  <c r="B187" i="30"/>
  <c r="N189" i="30"/>
  <c r="B191" i="30"/>
  <c r="M125" i="30"/>
  <c r="Q125" i="30"/>
  <c r="M126" i="30"/>
  <c r="Q126" i="30"/>
  <c r="M127" i="30"/>
  <c r="Q127" i="30"/>
  <c r="M128" i="30"/>
  <c r="Q128" i="30"/>
  <c r="M202" i="30"/>
  <c r="M129" i="30"/>
  <c r="M227" i="30" s="1"/>
  <c r="Q202" i="30"/>
  <c r="Q129" i="30"/>
  <c r="Q227" i="30" s="1"/>
  <c r="M203" i="30"/>
  <c r="M130" i="30"/>
  <c r="M228" i="30" s="1"/>
  <c r="Q203" i="30"/>
  <c r="Q130" i="30"/>
  <c r="Q228" i="30" s="1"/>
  <c r="M204" i="30"/>
  <c r="M131" i="30"/>
  <c r="M229" i="30" s="1"/>
  <c r="Q204" i="30"/>
  <c r="Q131" i="30"/>
  <c r="Q229" i="30" s="1"/>
  <c r="M205" i="30"/>
  <c r="M132" i="30"/>
  <c r="M230" i="30" s="1"/>
  <c r="Q205" i="30"/>
  <c r="Q132" i="30"/>
  <c r="Q230" i="30" s="1"/>
  <c r="M206" i="30"/>
  <c r="M133" i="30"/>
  <c r="M231" i="30" s="1"/>
  <c r="Q206" i="30"/>
  <c r="Q133" i="30"/>
  <c r="Q231" i="30" s="1"/>
  <c r="M207" i="30"/>
  <c r="M134" i="30"/>
  <c r="M232" i="30" s="1"/>
  <c r="Q207" i="30"/>
  <c r="Q134" i="30"/>
  <c r="Q232" i="30" s="1"/>
  <c r="M208" i="30"/>
  <c r="M135" i="30"/>
  <c r="M233" i="30" s="1"/>
  <c r="Q208" i="30"/>
  <c r="Q135" i="30"/>
  <c r="Q233" i="30" s="1"/>
  <c r="M209" i="30"/>
  <c r="M136" i="30"/>
  <c r="M234" i="30" s="1"/>
  <c r="Q209" i="30"/>
  <c r="Q136" i="30"/>
  <c r="Q234" i="30" s="1"/>
  <c r="M210" i="30"/>
  <c r="M137" i="30"/>
  <c r="M235" i="30" s="1"/>
  <c r="Q210" i="30"/>
  <c r="Q137" i="30"/>
  <c r="Q235" i="30" s="1"/>
  <c r="M211" i="30"/>
  <c r="M138" i="30"/>
  <c r="M236" i="30" s="1"/>
  <c r="Q211" i="30"/>
  <c r="Q138" i="30"/>
  <c r="Q236" i="30" s="1"/>
  <c r="M212" i="30"/>
  <c r="M139" i="30"/>
  <c r="M237" i="30" s="1"/>
  <c r="Q212" i="30"/>
  <c r="Q139" i="30"/>
  <c r="Q237" i="30" s="1"/>
  <c r="M213" i="30"/>
  <c r="M140" i="30"/>
  <c r="M238" i="30" s="1"/>
  <c r="Q213" i="30"/>
  <c r="Q140" i="30"/>
  <c r="Q238" i="30" s="1"/>
  <c r="M216" i="30"/>
  <c r="M143" i="30"/>
  <c r="M241" i="30" s="1"/>
  <c r="Q216" i="30"/>
  <c r="Q143" i="30"/>
  <c r="Q241" i="30" s="1"/>
  <c r="E104" i="30"/>
  <c r="H129" i="30"/>
  <c r="H227" i="30" s="1"/>
  <c r="B130" i="30"/>
  <c r="B228" i="30" s="1"/>
  <c r="H131" i="30"/>
  <c r="H229" i="30" s="1"/>
  <c r="N132" i="30"/>
  <c r="N230" i="30" s="1"/>
  <c r="H133" i="30"/>
  <c r="H231" i="30" s="1"/>
  <c r="B134" i="30"/>
  <c r="B232" i="30" s="1"/>
  <c r="H135" i="30"/>
  <c r="H233" i="30" s="1"/>
  <c r="N136" i="30"/>
  <c r="N234" i="30" s="1"/>
  <c r="H137" i="30"/>
  <c r="H235" i="30" s="1"/>
  <c r="B138" i="30"/>
  <c r="B236" i="30" s="1"/>
  <c r="H139" i="30"/>
  <c r="H237" i="30" s="1"/>
  <c r="N140" i="30"/>
  <c r="N238" i="30" s="1"/>
  <c r="H143" i="30"/>
  <c r="H241" i="30" s="1"/>
  <c r="O198" i="30"/>
  <c r="E198" i="30"/>
  <c r="E109" i="30"/>
  <c r="N198" i="30"/>
  <c r="N109" i="30"/>
  <c r="E110" i="30"/>
  <c r="N110" i="30"/>
  <c r="E111" i="30"/>
  <c r="N111" i="30"/>
  <c r="N112" i="30"/>
  <c r="E113" i="30"/>
  <c r="E199" i="30"/>
  <c r="E114" i="30"/>
  <c r="N199" i="30"/>
  <c r="N114" i="30"/>
  <c r="E115" i="30"/>
  <c r="N115" i="30"/>
  <c r="E116" i="30"/>
  <c r="N116" i="30"/>
  <c r="E117" i="30"/>
  <c r="I117" i="30"/>
  <c r="N117" i="30"/>
  <c r="R117" i="30"/>
  <c r="E118" i="30"/>
  <c r="N118" i="30"/>
  <c r="E119" i="30"/>
  <c r="N200" i="30"/>
  <c r="N119" i="30"/>
  <c r="E120" i="30"/>
  <c r="N120" i="30"/>
  <c r="E121" i="30"/>
  <c r="N121" i="30"/>
  <c r="E122" i="30"/>
  <c r="N122" i="30"/>
  <c r="E123" i="30"/>
  <c r="N123" i="30"/>
  <c r="E201" i="30"/>
  <c r="E124" i="30"/>
  <c r="N201" i="30"/>
  <c r="N124" i="30"/>
  <c r="E125" i="30"/>
  <c r="E126" i="30"/>
  <c r="E127" i="30"/>
  <c r="E128" i="30"/>
  <c r="E202" i="30"/>
  <c r="E129" i="30"/>
  <c r="E227" i="30" s="1"/>
  <c r="E203" i="30"/>
  <c r="E130" i="30"/>
  <c r="E228" i="30" s="1"/>
  <c r="E204" i="30"/>
  <c r="E131" i="30"/>
  <c r="E229" i="30" s="1"/>
  <c r="E205" i="30"/>
  <c r="E132" i="30"/>
  <c r="E230" i="30" s="1"/>
  <c r="E206" i="30"/>
  <c r="E133" i="30"/>
  <c r="E231" i="30" s="1"/>
  <c r="E207" i="30"/>
  <c r="E134" i="30"/>
  <c r="E232" i="30" s="1"/>
  <c r="E208" i="30"/>
  <c r="E135" i="30"/>
  <c r="E233" i="30" s="1"/>
  <c r="E209" i="30"/>
  <c r="E136" i="30"/>
  <c r="E234" i="30" s="1"/>
  <c r="E210" i="30"/>
  <c r="E137" i="30"/>
  <c r="E235" i="30" s="1"/>
  <c r="E211" i="30"/>
  <c r="E138" i="30"/>
  <c r="E236" i="30" s="1"/>
  <c r="E212" i="30"/>
  <c r="E139" i="30"/>
  <c r="E237" i="30" s="1"/>
  <c r="E213" i="30"/>
  <c r="E140" i="30"/>
  <c r="E238" i="30" s="1"/>
  <c r="E143" i="30"/>
  <c r="E241" i="30" s="1"/>
  <c r="H124" i="30"/>
  <c r="Q124" i="30"/>
  <c r="D130" i="30"/>
  <c r="D228" i="30" s="1"/>
  <c r="O130" i="30"/>
  <c r="O228" i="30" s="1"/>
  <c r="D132" i="30"/>
  <c r="D230" i="30" s="1"/>
  <c r="O132" i="30"/>
  <c r="O230" i="30" s="1"/>
  <c r="D134" i="30"/>
  <c r="D232" i="30" s="1"/>
  <c r="D136" i="30"/>
  <c r="D234" i="30" s="1"/>
  <c r="O136" i="30"/>
  <c r="O234" i="30" s="1"/>
  <c r="D138" i="30"/>
  <c r="D236" i="30" s="1"/>
  <c r="D140" i="30"/>
  <c r="D238" i="30" s="1"/>
  <c r="O140" i="30"/>
  <c r="O238" i="30" s="1"/>
  <c r="K201" i="30"/>
  <c r="K203" i="30"/>
  <c r="K205" i="30"/>
  <c r="F138" i="30"/>
  <c r="F236" i="30" s="1"/>
  <c r="F139" i="30"/>
  <c r="F237" i="30" s="1"/>
  <c r="F140" i="30"/>
  <c r="F238" i="30" s="1"/>
  <c r="F143" i="30"/>
  <c r="F241" i="30" s="1"/>
  <c r="K138" i="30"/>
  <c r="K236" i="30" s="1"/>
  <c r="K140" i="30"/>
  <c r="K238" i="30" s="1"/>
  <c r="P228" i="27" l="1"/>
  <c r="R199" i="20"/>
  <c r="I58" i="30"/>
  <c r="I105" i="30" s="1"/>
  <c r="I312" i="20"/>
  <c r="I362" i="19"/>
  <c r="I364" i="19"/>
  <c r="I356" i="19"/>
  <c r="I369" i="19"/>
  <c r="I357" i="19"/>
  <c r="I355" i="19"/>
  <c r="I366" i="19"/>
  <c r="I358" i="19"/>
  <c r="I361" i="19"/>
  <c r="I360" i="19"/>
  <c r="I359" i="19"/>
  <c r="I365" i="19"/>
  <c r="I363" i="19"/>
  <c r="N194" i="32"/>
  <c r="P418" i="27"/>
  <c r="E55" i="13"/>
  <c r="P220" i="27"/>
  <c r="P314" i="27" s="1"/>
  <c r="N358" i="32"/>
  <c r="F63" i="13" s="1"/>
  <c r="J63" i="13" s="1"/>
  <c r="N361" i="32"/>
  <c r="F66" i="13" s="1"/>
  <c r="J66" i="13" s="1"/>
  <c r="G355" i="32"/>
  <c r="F34" i="13" s="1"/>
  <c r="J34" i="13" s="1"/>
  <c r="N363" i="32"/>
  <c r="F68" i="13" s="1"/>
  <c r="J68" i="13" s="1"/>
  <c r="G357" i="32"/>
  <c r="F36" i="13" s="1"/>
  <c r="J36" i="13" s="1"/>
  <c r="F47" i="13"/>
  <c r="J47" i="13" s="1"/>
  <c r="N362" i="32"/>
  <c r="F67" i="13" s="1"/>
  <c r="J67" i="13" s="1"/>
  <c r="N359" i="32"/>
  <c r="F64" i="13" s="1"/>
  <c r="J64" i="13" s="1"/>
  <c r="G356" i="32"/>
  <c r="F35" i="13" s="1"/>
  <c r="J35" i="13" s="1"/>
  <c r="G359" i="32"/>
  <c r="F38" i="13" s="1"/>
  <c r="J38" i="13" s="1"/>
  <c r="N360" i="32"/>
  <c r="F65" i="13" s="1"/>
  <c r="J65" i="13" s="1"/>
  <c r="U365" i="32"/>
  <c r="F92" i="13" s="1"/>
  <c r="J92" i="13" s="1"/>
  <c r="N355" i="32"/>
  <c r="F60" i="13" s="1"/>
  <c r="J60" i="13" s="1"/>
  <c r="F73" i="13"/>
  <c r="J73" i="13" s="1"/>
  <c r="G358" i="32"/>
  <c r="F37" i="13" s="1"/>
  <c r="J37" i="13" s="1"/>
  <c r="G360" i="32"/>
  <c r="F39" i="13" s="1"/>
  <c r="J39" i="13" s="1"/>
  <c r="G361" i="32"/>
  <c r="F40" i="13" s="1"/>
  <c r="J40" i="13" s="1"/>
  <c r="N354" i="32"/>
  <c r="F59" i="13" s="1"/>
  <c r="J59" i="13" s="1"/>
  <c r="G363" i="32"/>
  <c r="F42" i="13" s="1"/>
  <c r="J42" i="13" s="1"/>
  <c r="N356" i="32"/>
  <c r="F61" i="13" s="1"/>
  <c r="J61" i="13" s="1"/>
  <c r="G362" i="32"/>
  <c r="F41" i="13" s="1"/>
  <c r="J41" i="13" s="1"/>
  <c r="G354" i="32"/>
  <c r="F33" i="13" s="1"/>
  <c r="J33" i="13" s="1"/>
  <c r="N357" i="32"/>
  <c r="F62" i="13" s="1"/>
  <c r="J62" i="13" s="1"/>
  <c r="H371" i="14"/>
  <c r="F25" i="13" s="1"/>
  <c r="J25" i="13" s="1"/>
  <c r="H366" i="14"/>
  <c r="F20" i="13" s="1"/>
  <c r="J20" i="13" s="1"/>
  <c r="H358" i="14"/>
  <c r="F12" i="13" s="1"/>
  <c r="J12" i="13" s="1"/>
  <c r="H367" i="14"/>
  <c r="F21" i="13" s="1"/>
  <c r="J21" i="13" s="1"/>
  <c r="H362" i="14"/>
  <c r="F16" i="13" s="1"/>
  <c r="J16" i="13" s="1"/>
  <c r="H365" i="14"/>
  <c r="F19" i="13" s="1"/>
  <c r="J19" i="13" s="1"/>
  <c r="H368" i="14"/>
  <c r="F22" i="13" s="1"/>
  <c r="J22" i="13" s="1"/>
  <c r="H364" i="14"/>
  <c r="F18" i="13" s="1"/>
  <c r="J18" i="13" s="1"/>
  <c r="H363" i="14"/>
  <c r="F17" i="13" s="1"/>
  <c r="J17" i="13" s="1"/>
  <c r="H361" i="14"/>
  <c r="F15" i="13" s="1"/>
  <c r="J15" i="13" s="1"/>
  <c r="H359" i="14"/>
  <c r="F13" i="13" s="1"/>
  <c r="J13" i="13" s="1"/>
  <c r="H357" i="14"/>
  <c r="F11" i="13" s="1"/>
  <c r="J11" i="13" s="1"/>
  <c r="H360" i="14"/>
  <c r="F14" i="13" s="1"/>
  <c r="J14" i="13" s="1"/>
  <c r="P419" i="27"/>
  <c r="X420" i="7"/>
  <c r="X418" i="7"/>
  <c r="X423" i="7"/>
  <c r="X417" i="7"/>
  <c r="X421" i="7"/>
  <c r="X419" i="7"/>
  <c r="X422" i="7"/>
  <c r="X416" i="7"/>
  <c r="L414" i="7"/>
  <c r="X427" i="7"/>
  <c r="L427" i="7"/>
  <c r="L419" i="7"/>
  <c r="L423" i="7"/>
  <c r="L421" i="7"/>
  <c r="X414" i="7"/>
  <c r="L418" i="7"/>
  <c r="L422" i="7"/>
  <c r="L424" i="7"/>
  <c r="L416" i="7"/>
  <c r="L417" i="7"/>
  <c r="L420" i="7"/>
  <c r="L413" i="7"/>
  <c r="X413" i="7"/>
  <c r="L415" i="7"/>
  <c r="L413" i="6"/>
  <c r="L421" i="6"/>
  <c r="L415" i="6"/>
  <c r="L412" i="6"/>
  <c r="L420" i="6"/>
  <c r="L417" i="6"/>
  <c r="L424" i="6"/>
  <c r="L419" i="6"/>
  <c r="L411" i="6"/>
  <c r="L416" i="6"/>
  <c r="L414" i="6"/>
  <c r="L418" i="6"/>
  <c r="I438" i="5"/>
  <c r="I431" i="5"/>
  <c r="I425" i="5"/>
  <c r="I430" i="5"/>
  <c r="I424" i="5"/>
  <c r="I434" i="5"/>
  <c r="I429" i="5"/>
  <c r="I432" i="5"/>
  <c r="I428" i="5"/>
  <c r="I433" i="5"/>
  <c r="I419" i="4"/>
  <c r="H15" i="3" s="1"/>
  <c r="I417" i="4"/>
  <c r="H13" i="3" s="1"/>
  <c r="I416" i="4"/>
  <c r="H12" i="3" s="1"/>
  <c r="I413" i="4"/>
  <c r="H9" i="3" s="1"/>
  <c r="I422" i="4"/>
  <c r="H18" i="3" s="1"/>
  <c r="I426" i="4"/>
  <c r="H22" i="3" s="1"/>
  <c r="I423" i="4"/>
  <c r="H19" i="3" s="1"/>
  <c r="I418" i="4"/>
  <c r="H14" i="3" s="1"/>
  <c r="I421" i="4"/>
  <c r="H17" i="3" s="1"/>
  <c r="I420" i="4"/>
  <c r="H16" i="3" s="1"/>
  <c r="I412" i="4"/>
  <c r="H8" i="3" s="1"/>
  <c r="G196" i="32"/>
  <c r="P455" i="27"/>
  <c r="X238" i="25"/>
  <c r="I116" i="30"/>
  <c r="R112" i="30"/>
  <c r="I124" i="29"/>
  <c r="N101" i="27"/>
  <c r="O324" i="27"/>
  <c r="O499" i="27" s="1"/>
  <c r="H202" i="27"/>
  <c r="H296" i="27" s="1"/>
  <c r="H204" i="26"/>
  <c r="H298" i="26" s="1"/>
  <c r="H195" i="26"/>
  <c r="H289" i="26" s="1"/>
  <c r="H127" i="26"/>
  <c r="L152" i="24"/>
  <c r="L164" i="24"/>
  <c r="L164" i="23"/>
  <c r="B107" i="30"/>
  <c r="B222" i="30" s="1"/>
  <c r="R122" i="30"/>
  <c r="I115" i="30"/>
  <c r="I108" i="30"/>
  <c r="I102" i="30"/>
  <c r="R113" i="30"/>
  <c r="M223" i="30"/>
  <c r="R111" i="30"/>
  <c r="I113" i="30"/>
  <c r="I100" i="30"/>
  <c r="E112" i="30"/>
  <c r="E223" i="30" s="1"/>
  <c r="R262" i="20"/>
  <c r="I110" i="30"/>
  <c r="R101" i="30"/>
  <c r="I128" i="30"/>
  <c r="R105" i="30"/>
  <c r="R99" i="30"/>
  <c r="I262" i="20"/>
  <c r="I206" i="20"/>
  <c r="I356" i="20" s="1"/>
  <c r="I121" i="30"/>
  <c r="I112" i="30"/>
  <c r="I99" i="30"/>
  <c r="R356" i="20"/>
  <c r="R193" i="20"/>
  <c r="I178" i="30"/>
  <c r="I120" i="30"/>
  <c r="I111" i="30"/>
  <c r="I176" i="30"/>
  <c r="I177" i="30"/>
  <c r="N113" i="30"/>
  <c r="N223" i="30" s="1"/>
  <c r="R128" i="30"/>
  <c r="R120" i="30"/>
  <c r="R103" i="30"/>
  <c r="I117" i="29"/>
  <c r="I126" i="29"/>
  <c r="I112" i="29"/>
  <c r="D213" i="29"/>
  <c r="I109" i="29"/>
  <c r="I99" i="29"/>
  <c r="I114" i="29"/>
  <c r="G115" i="29"/>
  <c r="G211" i="29" s="1"/>
  <c r="I209" i="19"/>
  <c r="I352" i="19" s="1"/>
  <c r="G121" i="29"/>
  <c r="G212" i="29" s="1"/>
  <c r="I21" i="29"/>
  <c r="I115" i="29" s="1"/>
  <c r="I263" i="19"/>
  <c r="I106" i="29"/>
  <c r="I194" i="19"/>
  <c r="I215" i="19"/>
  <c r="I353" i="19" s="1"/>
  <c r="I122" i="29"/>
  <c r="I105" i="29"/>
  <c r="I100" i="29"/>
  <c r="I121" i="29"/>
  <c r="I98" i="29"/>
  <c r="E151" i="28"/>
  <c r="E283" i="28" s="1"/>
  <c r="E156" i="28"/>
  <c r="E285" i="28" s="1"/>
  <c r="G154" i="28"/>
  <c r="G284" i="28" s="1"/>
  <c r="C283" i="28"/>
  <c r="G151" i="28"/>
  <c r="G283" i="28" s="1"/>
  <c r="D163" i="28"/>
  <c r="D288" i="28" s="1"/>
  <c r="C159" i="28"/>
  <c r="C286" i="28" s="1"/>
  <c r="D167" i="28"/>
  <c r="D292" i="28" s="1"/>
  <c r="B165" i="28"/>
  <c r="B290" i="28" s="1"/>
  <c r="F154" i="28"/>
  <c r="F284" i="28" s="1"/>
  <c r="C154" i="28"/>
  <c r="C284" i="28" s="1"/>
  <c r="F164" i="28"/>
  <c r="F289" i="28" s="1"/>
  <c r="H372" i="26"/>
  <c r="H370" i="26"/>
  <c r="H368" i="26"/>
  <c r="P103" i="27"/>
  <c r="H216" i="27"/>
  <c r="H310" i="27" s="1"/>
  <c r="P126" i="27"/>
  <c r="B222" i="27"/>
  <c r="B316" i="27" s="1"/>
  <c r="P356" i="27"/>
  <c r="L102" i="27"/>
  <c r="P105" i="27"/>
  <c r="H221" i="27"/>
  <c r="H315" i="27" s="1"/>
  <c r="H7" i="27"/>
  <c r="H101" i="27" s="1"/>
  <c r="H137" i="27"/>
  <c r="H406" i="27" s="1"/>
  <c r="N219" i="32"/>
  <c r="N353" i="32" s="1"/>
  <c r="F58" i="13" s="1"/>
  <c r="J58" i="13" s="1"/>
  <c r="F99" i="27"/>
  <c r="P137" i="27"/>
  <c r="P406" i="27" s="1"/>
  <c r="P30" i="27"/>
  <c r="P124" i="27" s="1"/>
  <c r="H18" i="27"/>
  <c r="H112" i="27" s="1"/>
  <c r="P116" i="27"/>
  <c r="P101" i="27"/>
  <c r="P136" i="27"/>
  <c r="P405" i="27" s="1"/>
  <c r="B350" i="27"/>
  <c r="H217" i="27"/>
  <c r="H311" i="27" s="1"/>
  <c r="L194" i="27"/>
  <c r="L288" i="27" s="1"/>
  <c r="H209" i="27"/>
  <c r="H303" i="27" s="1"/>
  <c r="F194" i="27"/>
  <c r="F288" i="27" s="1"/>
  <c r="H129" i="27"/>
  <c r="H398" i="27" s="1"/>
  <c r="G198" i="32"/>
  <c r="G205" i="32"/>
  <c r="H215" i="27"/>
  <c r="H309" i="27" s="1"/>
  <c r="P108" i="27"/>
  <c r="H196" i="27"/>
  <c r="H290" i="27" s="1"/>
  <c r="H196" i="26"/>
  <c r="H290" i="26" s="1"/>
  <c r="H200" i="26"/>
  <c r="H294" i="26" s="1"/>
  <c r="H216" i="26"/>
  <c r="H310" i="26" s="1"/>
  <c r="H101" i="26"/>
  <c r="H212" i="26"/>
  <c r="H306" i="26" s="1"/>
  <c r="H138" i="26"/>
  <c r="H404" i="26" s="1"/>
  <c r="B325" i="26"/>
  <c r="B497" i="26" s="1"/>
  <c r="H123" i="26"/>
  <c r="H217" i="26"/>
  <c r="H311" i="26" s="1"/>
  <c r="E392" i="26"/>
  <c r="H132" i="26"/>
  <c r="H398" i="26" s="1"/>
  <c r="H349" i="26"/>
  <c r="H215" i="26"/>
  <c r="H309" i="26" s="1"/>
  <c r="H201" i="26"/>
  <c r="H295" i="26" s="1"/>
  <c r="H220" i="26"/>
  <c r="H314" i="26" s="1"/>
  <c r="H199" i="26"/>
  <c r="H233" i="26"/>
  <c r="H193" i="26"/>
  <c r="H287" i="26" s="1"/>
  <c r="H219" i="26"/>
  <c r="H313" i="26" s="1"/>
  <c r="H202" i="26"/>
  <c r="H296" i="26" s="1"/>
  <c r="H125" i="26"/>
  <c r="K222" i="30"/>
  <c r="D222" i="30"/>
  <c r="E222" i="30"/>
  <c r="Q224" i="30"/>
  <c r="D226" i="30"/>
  <c r="H224" i="30"/>
  <c r="L201" i="25"/>
  <c r="Q226" i="30"/>
  <c r="D210" i="29"/>
  <c r="F209" i="29"/>
  <c r="G210" i="29"/>
  <c r="F212" i="29"/>
  <c r="D211" i="29"/>
  <c r="L148" i="24"/>
  <c r="E210" i="29"/>
  <c r="E212" i="29"/>
  <c r="H211" i="29"/>
  <c r="K272" i="24"/>
  <c r="F211" i="29"/>
  <c r="E213" i="29"/>
  <c r="L201" i="24"/>
  <c r="C211" i="29"/>
  <c r="C210" i="29"/>
  <c r="C213" i="29"/>
  <c r="M331" i="27"/>
  <c r="M506" i="27" s="1"/>
  <c r="X201" i="23"/>
  <c r="O322" i="27"/>
  <c r="O497" i="27" s="1"/>
  <c r="L155" i="23"/>
  <c r="D180" i="23"/>
  <c r="D279" i="23" s="1"/>
  <c r="S272" i="23"/>
  <c r="F180" i="23"/>
  <c r="F279" i="23" s="1"/>
  <c r="X202" i="23"/>
  <c r="O147" i="23"/>
  <c r="X161" i="23"/>
  <c r="E180" i="23"/>
  <c r="E279" i="23" s="1"/>
  <c r="L203" i="23"/>
  <c r="L202" i="23"/>
  <c r="L163" i="23"/>
  <c r="L149" i="22"/>
  <c r="D317" i="26"/>
  <c r="D489" i="26" s="1"/>
  <c r="E326" i="26"/>
  <c r="E498" i="26" s="1"/>
  <c r="D319" i="26"/>
  <c r="D491" i="26" s="1"/>
  <c r="H430" i="26"/>
  <c r="F321" i="26"/>
  <c r="F493" i="26" s="1"/>
  <c r="B317" i="26"/>
  <c r="B489" i="26" s="1"/>
  <c r="G322" i="26"/>
  <c r="G494" i="26" s="1"/>
  <c r="E325" i="26"/>
  <c r="E497" i="26" s="1"/>
  <c r="E320" i="26"/>
  <c r="E492" i="26" s="1"/>
  <c r="L205" i="22"/>
  <c r="C327" i="26"/>
  <c r="C499" i="26" s="1"/>
  <c r="F326" i="26"/>
  <c r="F498" i="26" s="1"/>
  <c r="X157" i="25"/>
  <c r="X149" i="25"/>
  <c r="L164" i="25"/>
  <c r="D271" i="25"/>
  <c r="X155" i="25"/>
  <c r="X147" i="25"/>
  <c r="X178" i="25"/>
  <c r="X277" i="25" s="1"/>
  <c r="O270" i="25"/>
  <c r="X150" i="25"/>
  <c r="X159" i="25"/>
  <c r="X163" i="25"/>
  <c r="Q271" i="25"/>
  <c r="L410" i="7"/>
  <c r="X225" i="25"/>
  <c r="X173" i="25"/>
  <c r="X165" i="25"/>
  <c r="L154" i="25"/>
  <c r="L146" i="25"/>
  <c r="T273" i="25"/>
  <c r="U271" i="25"/>
  <c r="L412" i="7"/>
  <c r="L227" i="25"/>
  <c r="D272" i="25"/>
  <c r="N270" i="25"/>
  <c r="X153" i="25"/>
  <c r="X409" i="7"/>
  <c r="Q270" i="25"/>
  <c r="S271" i="25"/>
  <c r="O271" i="25"/>
  <c r="O272" i="25"/>
  <c r="L158" i="25"/>
  <c r="L150" i="25"/>
  <c r="L409" i="7"/>
  <c r="R273" i="25"/>
  <c r="X223" i="25"/>
  <c r="X248" i="25"/>
  <c r="X252" i="25"/>
  <c r="L147" i="24"/>
  <c r="L166" i="24"/>
  <c r="B272" i="24"/>
  <c r="D273" i="24"/>
  <c r="C270" i="24"/>
  <c r="E271" i="24"/>
  <c r="L162" i="24"/>
  <c r="L146" i="24"/>
  <c r="G271" i="24"/>
  <c r="H270" i="24"/>
  <c r="B274" i="24"/>
  <c r="L167" i="24"/>
  <c r="L151" i="24"/>
  <c r="L168" i="24"/>
  <c r="L409" i="6"/>
  <c r="L250" i="24"/>
  <c r="L154" i="24"/>
  <c r="L406" i="6"/>
  <c r="B271" i="24"/>
  <c r="L407" i="6"/>
  <c r="K273" i="24"/>
  <c r="F271" i="24"/>
  <c r="J274" i="24"/>
  <c r="L173" i="23"/>
  <c r="R272" i="23"/>
  <c r="H39" i="3"/>
  <c r="H37" i="3"/>
  <c r="H30" i="3"/>
  <c r="P270" i="23"/>
  <c r="C248" i="23"/>
  <c r="L248" i="23" s="1"/>
  <c r="H29" i="3"/>
  <c r="H47" i="3"/>
  <c r="R420" i="5"/>
  <c r="X157" i="23"/>
  <c r="H35" i="3"/>
  <c r="J274" i="23"/>
  <c r="X148" i="23"/>
  <c r="L226" i="23"/>
  <c r="H273" i="23"/>
  <c r="X152" i="23"/>
  <c r="E272" i="23"/>
  <c r="L225" i="23"/>
  <c r="F271" i="23"/>
  <c r="X158" i="23"/>
  <c r="G270" i="23"/>
  <c r="L159" i="23"/>
  <c r="X250" i="23"/>
  <c r="L160" i="23"/>
  <c r="H43" i="3"/>
  <c r="I274" i="23"/>
  <c r="X223" i="23"/>
  <c r="I422" i="5"/>
  <c r="H27" i="3" s="1"/>
  <c r="I420" i="5"/>
  <c r="H25" i="3" s="1"/>
  <c r="R270" i="23"/>
  <c r="E270" i="23"/>
  <c r="L224" i="23"/>
  <c r="D274" i="23"/>
  <c r="E271" i="23"/>
  <c r="I421" i="5"/>
  <c r="H26" i="3" s="1"/>
  <c r="T271" i="23"/>
  <c r="L156" i="23"/>
  <c r="H36" i="3"/>
  <c r="L145" i="22"/>
  <c r="L140" i="22"/>
  <c r="L225" i="22"/>
  <c r="L160" i="22"/>
  <c r="L141" i="22"/>
  <c r="I409" i="4"/>
  <c r="H5" i="3" s="1"/>
  <c r="L155" i="22"/>
  <c r="I272" i="22"/>
  <c r="L151" i="22"/>
  <c r="L165" i="22"/>
  <c r="J273" i="22"/>
  <c r="F271" i="22"/>
  <c r="L153" i="22"/>
  <c r="L157" i="22"/>
  <c r="J274" i="22"/>
  <c r="C321" i="27"/>
  <c r="C496" i="27" s="1"/>
  <c r="G194" i="32"/>
  <c r="P223" i="27"/>
  <c r="P445" i="27" s="1"/>
  <c r="G209" i="32"/>
  <c r="G351" i="32" s="1"/>
  <c r="F30" i="13" s="1"/>
  <c r="J30" i="13" s="1"/>
  <c r="B205" i="27"/>
  <c r="B299" i="27" s="1"/>
  <c r="E30" i="13"/>
  <c r="M218" i="27"/>
  <c r="M312" i="27" s="1"/>
  <c r="M491" i="27" s="1"/>
  <c r="M442" i="27"/>
  <c r="E442" i="27"/>
  <c r="E440" i="27"/>
  <c r="G331" i="27"/>
  <c r="G506" i="27" s="1"/>
  <c r="P231" i="27"/>
  <c r="P351" i="27"/>
  <c r="B350" i="32"/>
  <c r="E396" i="27"/>
  <c r="B103" i="27"/>
  <c r="M396" i="27"/>
  <c r="K326" i="27"/>
  <c r="K501" i="27" s="1"/>
  <c r="H143" i="27"/>
  <c r="H412" i="27" s="1"/>
  <c r="H199" i="27"/>
  <c r="H293" i="27" s="1"/>
  <c r="G201" i="32"/>
  <c r="N278" i="32"/>
  <c r="D55" i="13" s="1"/>
  <c r="B164" i="28"/>
  <c r="B289" i="28" s="1"/>
  <c r="B166" i="28"/>
  <c r="B291" i="28" s="1"/>
  <c r="F161" i="28"/>
  <c r="F286" i="28" s="1"/>
  <c r="D286" i="28"/>
  <c r="G170" i="28"/>
  <c r="G295" i="28" s="1"/>
  <c r="F165" i="28"/>
  <c r="F290" i="28" s="1"/>
  <c r="B161" i="28"/>
  <c r="B286" i="28" s="1"/>
  <c r="H113" i="26"/>
  <c r="H207" i="26"/>
  <c r="H301" i="26" s="1"/>
  <c r="H134" i="26"/>
  <c r="H400" i="26" s="1"/>
  <c r="H121" i="26"/>
  <c r="C441" i="26"/>
  <c r="E331" i="26"/>
  <c r="E503" i="26" s="1"/>
  <c r="H197" i="26"/>
  <c r="H291" i="26" s="1"/>
  <c r="D270" i="28"/>
  <c r="H168" i="28"/>
  <c r="H293" i="28" s="1"/>
  <c r="D164" i="28"/>
  <c r="D289" i="28" s="1"/>
  <c r="D285" i="28"/>
  <c r="C170" i="28"/>
  <c r="C295" i="28" s="1"/>
  <c r="B162" i="28"/>
  <c r="B287" i="28" s="1"/>
  <c r="D151" i="28"/>
  <c r="D283" i="28" s="1"/>
  <c r="E168" i="28"/>
  <c r="E293" i="28" s="1"/>
  <c r="B156" i="28"/>
  <c r="B285" i="28" s="1"/>
  <c r="B168" i="28"/>
  <c r="B293" i="28" s="1"/>
  <c r="F166" i="28"/>
  <c r="F291" i="28" s="1"/>
  <c r="D162" i="28"/>
  <c r="D287" i="28" s="1"/>
  <c r="O489" i="27"/>
  <c r="O487" i="27"/>
  <c r="B391" i="26"/>
  <c r="C394" i="26"/>
  <c r="O226" i="30"/>
  <c r="F224" i="30"/>
  <c r="J272" i="25"/>
  <c r="L162" i="25"/>
  <c r="C224" i="30"/>
  <c r="D223" i="30"/>
  <c r="U273" i="25"/>
  <c r="U272" i="25"/>
  <c r="H270" i="25"/>
  <c r="V273" i="25"/>
  <c r="S270" i="25"/>
  <c r="X203" i="25"/>
  <c r="L169" i="25"/>
  <c r="D273" i="25"/>
  <c r="H273" i="25"/>
  <c r="X175" i="25"/>
  <c r="X167" i="25"/>
  <c r="X164" i="25"/>
  <c r="X148" i="25"/>
  <c r="L205" i="25"/>
  <c r="H271" i="25"/>
  <c r="J270" i="25"/>
  <c r="L175" i="25"/>
  <c r="L223" i="25"/>
  <c r="X154" i="25"/>
  <c r="D209" i="29"/>
  <c r="I272" i="24"/>
  <c r="H272" i="24"/>
  <c r="J271" i="24"/>
  <c r="J272" i="24"/>
  <c r="L158" i="24"/>
  <c r="F210" i="29"/>
  <c r="E272" i="24"/>
  <c r="E273" i="24"/>
  <c r="C272" i="24"/>
  <c r="C271" i="24"/>
  <c r="L156" i="24"/>
  <c r="L205" i="24"/>
  <c r="D272" i="24"/>
  <c r="L172" i="24"/>
  <c r="G274" i="23"/>
  <c r="B274" i="23"/>
  <c r="H271" i="23"/>
  <c r="G489" i="27"/>
  <c r="U271" i="23"/>
  <c r="J273" i="23"/>
  <c r="C270" i="23"/>
  <c r="L150" i="23"/>
  <c r="L205" i="23"/>
  <c r="I273" i="23"/>
  <c r="E273" i="23"/>
  <c r="L204" i="23"/>
  <c r="L201" i="23"/>
  <c r="O328" i="27"/>
  <c r="O503" i="27" s="1"/>
  <c r="K274" i="23"/>
  <c r="L148" i="23"/>
  <c r="I272" i="23"/>
  <c r="I270" i="23"/>
  <c r="J271" i="23"/>
  <c r="I180" i="23"/>
  <c r="I279" i="23" s="1"/>
  <c r="J272" i="23"/>
  <c r="X162" i="23"/>
  <c r="E274" i="23"/>
  <c r="H210" i="27"/>
  <c r="H304" i="27" s="1"/>
  <c r="D327" i="26"/>
  <c r="D499" i="26" s="1"/>
  <c r="H205" i="26"/>
  <c r="H299" i="26" s="1"/>
  <c r="L159" i="22"/>
  <c r="D274" i="22"/>
  <c r="I273" i="22"/>
  <c r="H271" i="22"/>
  <c r="B274" i="22"/>
  <c r="J270" i="22"/>
  <c r="J271" i="22"/>
  <c r="E273" i="22"/>
  <c r="L146" i="22"/>
  <c r="G327" i="26"/>
  <c r="G499" i="26" s="1"/>
  <c r="F331" i="26"/>
  <c r="F503" i="26" s="1"/>
  <c r="C318" i="26"/>
  <c r="C490" i="26" s="1"/>
  <c r="J272" i="22"/>
  <c r="H274" i="22"/>
  <c r="L167" i="22"/>
  <c r="K274" i="22"/>
  <c r="D437" i="26"/>
  <c r="I274" i="22"/>
  <c r="L154" i="22"/>
  <c r="E324" i="26"/>
  <c r="E496" i="26" s="1"/>
  <c r="D272" i="22"/>
  <c r="H273" i="22"/>
  <c r="E271" i="22"/>
  <c r="L150" i="22"/>
  <c r="B331" i="26"/>
  <c r="B503" i="26" s="1"/>
  <c r="D321" i="26"/>
  <c r="D493" i="26" s="1"/>
  <c r="F172" i="22"/>
  <c r="F279" i="22" s="1"/>
  <c r="G8" i="8"/>
  <c r="K8" i="8" s="1"/>
  <c r="D271" i="22"/>
  <c r="I270" i="22"/>
  <c r="G271" i="22"/>
  <c r="E270" i="22"/>
  <c r="L163" i="22"/>
  <c r="F270" i="22"/>
  <c r="L142" i="22"/>
  <c r="L161" i="22"/>
  <c r="E439" i="26"/>
  <c r="G437" i="26"/>
  <c r="L152" i="22"/>
  <c r="L162" i="22"/>
  <c r="H272" i="22"/>
  <c r="F272" i="22"/>
  <c r="B318" i="26"/>
  <c r="B490" i="26" s="1"/>
  <c r="L201" i="22"/>
  <c r="D270" i="22"/>
  <c r="G14" i="8"/>
  <c r="K14" i="8" s="1"/>
  <c r="G13" i="8"/>
  <c r="K13" i="8" s="1"/>
  <c r="M224" i="30"/>
  <c r="I118" i="30"/>
  <c r="I103" i="30"/>
  <c r="R359" i="20"/>
  <c r="R355" i="20"/>
  <c r="N222" i="30"/>
  <c r="F225" i="30"/>
  <c r="P222" i="30"/>
  <c r="H222" i="30"/>
  <c r="L222" i="30"/>
  <c r="R118" i="30"/>
  <c r="I107" i="30"/>
  <c r="I101" i="30"/>
  <c r="I195" i="20"/>
  <c r="R179" i="30"/>
  <c r="R127" i="30"/>
  <c r="H226" i="30"/>
  <c r="E224" i="30"/>
  <c r="N226" i="30"/>
  <c r="K99" i="30"/>
  <c r="R107" i="30"/>
  <c r="E211" i="29"/>
  <c r="H209" i="29"/>
  <c r="I169" i="29"/>
  <c r="F213" i="29"/>
  <c r="C209" i="29"/>
  <c r="G209" i="29"/>
  <c r="H210" i="29"/>
  <c r="I168" i="29"/>
  <c r="I119" i="29"/>
  <c r="G213" i="29"/>
  <c r="I354" i="19"/>
  <c r="I110" i="29"/>
  <c r="E397" i="27"/>
  <c r="B100" i="27"/>
  <c r="L331" i="27"/>
  <c r="L506" i="27" s="1"/>
  <c r="K487" i="27"/>
  <c r="H131" i="27"/>
  <c r="H400" i="27" s="1"/>
  <c r="H116" i="27"/>
  <c r="U353" i="32"/>
  <c r="F80" i="13" s="1"/>
  <c r="J80" i="13" s="1"/>
  <c r="M443" i="27"/>
  <c r="H214" i="27"/>
  <c r="H308" i="27" s="1"/>
  <c r="B99" i="27"/>
  <c r="M325" i="27"/>
  <c r="M500" i="27" s="1"/>
  <c r="P128" i="27"/>
  <c r="B347" i="27"/>
  <c r="D441" i="27"/>
  <c r="M106" i="27"/>
  <c r="M393" i="27" s="1"/>
  <c r="B397" i="27"/>
  <c r="L110" i="27"/>
  <c r="L394" i="27" s="1"/>
  <c r="K488" i="27"/>
  <c r="B204" i="27"/>
  <c r="B298" i="27" s="1"/>
  <c r="E29" i="13"/>
  <c r="H214" i="26"/>
  <c r="H308" i="26" s="1"/>
  <c r="B393" i="26"/>
  <c r="H348" i="26"/>
  <c r="H354" i="14"/>
  <c r="F8" i="13" s="1"/>
  <c r="J8" i="13" s="1"/>
  <c r="E438" i="26"/>
  <c r="D438" i="26"/>
  <c r="E440" i="26"/>
  <c r="H206" i="26"/>
  <c r="H300" i="26" s="1"/>
  <c r="C390" i="26"/>
  <c r="B438" i="26"/>
  <c r="E437" i="26"/>
  <c r="H210" i="26"/>
  <c r="H304" i="26" s="1"/>
  <c r="H194" i="26"/>
  <c r="H288" i="26" s="1"/>
  <c r="C322" i="26"/>
  <c r="C494" i="26" s="1"/>
  <c r="H353" i="14"/>
  <c r="F7" i="13" s="1"/>
  <c r="J7" i="13" s="1"/>
  <c r="H221" i="26"/>
  <c r="H315" i="26" s="1"/>
  <c r="C440" i="26"/>
  <c r="C437" i="26"/>
  <c r="D392" i="26"/>
  <c r="G390" i="26"/>
  <c r="G319" i="26"/>
  <c r="G491" i="26" s="1"/>
  <c r="H130" i="26"/>
  <c r="H396" i="26" s="1"/>
  <c r="F318" i="26"/>
  <c r="F490" i="26" s="1"/>
  <c r="H355" i="14"/>
  <c r="F9" i="13" s="1"/>
  <c r="J9" i="13" s="1"/>
  <c r="H209" i="26"/>
  <c r="H303" i="26" s="1"/>
  <c r="H140" i="26"/>
  <c r="H406" i="26" s="1"/>
  <c r="H136" i="26"/>
  <c r="H402" i="26" s="1"/>
  <c r="H120" i="26"/>
  <c r="H30" i="26"/>
  <c r="H218" i="26" s="1"/>
  <c r="F317" i="26"/>
  <c r="F489" i="26" s="1"/>
  <c r="H105" i="26"/>
  <c r="U351" i="32"/>
  <c r="F78" i="13" s="1"/>
  <c r="J78" i="13" s="1"/>
  <c r="P115" i="27"/>
  <c r="B324" i="27"/>
  <c r="B499" i="27" s="1"/>
  <c r="K489" i="27"/>
  <c r="P8" i="27"/>
  <c r="P196" i="27" s="1"/>
  <c r="P290" i="27" s="1"/>
  <c r="D440" i="27"/>
  <c r="E443" i="27"/>
  <c r="N444" i="27"/>
  <c r="H349" i="27"/>
  <c r="N100" i="27"/>
  <c r="N396" i="27"/>
  <c r="B113" i="27"/>
  <c r="L347" i="27"/>
  <c r="B102" i="27"/>
  <c r="M317" i="27"/>
  <c r="M492" i="27" s="1"/>
  <c r="P134" i="27"/>
  <c r="P403" i="27" s="1"/>
  <c r="C395" i="27"/>
  <c r="B321" i="27"/>
  <c r="B496" i="27" s="1"/>
  <c r="H118" i="27"/>
  <c r="N352" i="32"/>
  <c r="F57" i="13" s="1"/>
  <c r="J57" i="13" s="1"/>
  <c r="U349" i="32"/>
  <c r="F76" i="13" s="1"/>
  <c r="J76" i="13" s="1"/>
  <c r="D444" i="27"/>
  <c r="C444" i="27"/>
  <c r="L397" i="27"/>
  <c r="P122" i="27"/>
  <c r="P396" i="27" s="1"/>
  <c r="F320" i="27"/>
  <c r="F495" i="27" s="1"/>
  <c r="K318" i="27"/>
  <c r="K493" i="27" s="1"/>
  <c r="B443" i="27"/>
  <c r="C442" i="27"/>
  <c r="L393" i="27"/>
  <c r="C443" i="27"/>
  <c r="N440" i="27"/>
  <c r="N397" i="27"/>
  <c r="C396" i="27"/>
  <c r="M346" i="27"/>
  <c r="F441" i="27"/>
  <c r="F395" i="27"/>
  <c r="H201" i="27"/>
  <c r="H295" i="27" s="1"/>
  <c r="M124" i="27"/>
  <c r="M397" i="27" s="1"/>
  <c r="N347" i="27"/>
  <c r="P127" i="27"/>
  <c r="P111" i="27"/>
  <c r="H10" i="27"/>
  <c r="H346" i="27" s="1"/>
  <c r="H139" i="27"/>
  <c r="H408" i="27" s="1"/>
  <c r="N207" i="27"/>
  <c r="N301" i="27" s="1"/>
  <c r="H204" i="27"/>
  <c r="H298" i="27" s="1"/>
  <c r="U302" i="32"/>
  <c r="C76" i="13" s="1"/>
  <c r="N195" i="32"/>
  <c r="H122" i="28"/>
  <c r="L444" i="27"/>
  <c r="N394" i="27"/>
  <c r="D394" i="27"/>
  <c r="B109" i="27"/>
  <c r="N443" i="27"/>
  <c r="N442" i="27"/>
  <c r="L441" i="27"/>
  <c r="C397" i="27"/>
  <c r="H220" i="27"/>
  <c r="H314" i="27" s="1"/>
  <c r="M395" i="27"/>
  <c r="P110" i="27"/>
  <c r="H222" i="27"/>
  <c r="H316" i="27" s="1"/>
  <c r="H135" i="27"/>
  <c r="H404" i="27" s="1"/>
  <c r="G206" i="32"/>
  <c r="U352" i="32"/>
  <c r="F79" i="13" s="1"/>
  <c r="J79" i="13" s="1"/>
  <c r="C393" i="27"/>
  <c r="P118" i="27"/>
  <c r="P106" i="27"/>
  <c r="F322" i="27"/>
  <c r="F497" i="27" s="1"/>
  <c r="H132" i="27"/>
  <c r="H401" i="27" s="1"/>
  <c r="N205" i="32"/>
  <c r="N350" i="32" s="1"/>
  <c r="F55" i="13" s="1"/>
  <c r="J55" i="13" s="1"/>
  <c r="P230" i="27"/>
  <c r="H5" i="27"/>
  <c r="H99" i="27" s="1"/>
  <c r="F443" i="27"/>
  <c r="E394" i="27"/>
  <c r="H219" i="27"/>
  <c r="H313" i="27" s="1"/>
  <c r="E395" i="27"/>
  <c r="F394" i="27"/>
  <c r="F442" i="27"/>
  <c r="P112" i="27"/>
  <c r="G208" i="32"/>
  <c r="K490" i="27"/>
  <c r="H134" i="27"/>
  <c r="H403" i="27" s="1"/>
  <c r="H205" i="27"/>
  <c r="H299" i="27" s="1"/>
  <c r="G352" i="32"/>
  <c r="F31" i="13" s="1"/>
  <c r="J31" i="13" s="1"/>
  <c r="I272" i="25"/>
  <c r="G272" i="25"/>
  <c r="I274" i="25"/>
  <c r="L226" i="25"/>
  <c r="P273" i="25"/>
  <c r="J271" i="25"/>
  <c r="X226" i="25"/>
  <c r="X227" i="25"/>
  <c r="L152" i="25"/>
  <c r="L173" i="25"/>
  <c r="L165" i="25"/>
  <c r="X251" i="25"/>
  <c r="X168" i="25"/>
  <c r="X160" i="25"/>
  <c r="X152" i="25"/>
  <c r="X172" i="25"/>
  <c r="P272" i="25"/>
  <c r="P271" i="25"/>
  <c r="K273" i="25"/>
  <c r="L167" i="25"/>
  <c r="X250" i="25"/>
  <c r="X224" i="25"/>
  <c r="X170" i="25"/>
  <c r="X162" i="25"/>
  <c r="X146" i="25"/>
  <c r="Q272" i="25"/>
  <c r="W270" i="25"/>
  <c r="Q273" i="25"/>
  <c r="Q274" i="25"/>
  <c r="F270" i="25"/>
  <c r="X179" i="25"/>
  <c r="X278" i="25" s="1"/>
  <c r="H272" i="25"/>
  <c r="T272" i="25"/>
  <c r="K272" i="25"/>
  <c r="W271" i="25"/>
  <c r="D270" i="25"/>
  <c r="X411" i="7"/>
  <c r="U270" i="25"/>
  <c r="X174" i="25"/>
  <c r="X158" i="25"/>
  <c r="K271" i="24"/>
  <c r="G270" i="24"/>
  <c r="H273" i="24"/>
  <c r="L174" i="24"/>
  <c r="L163" i="24"/>
  <c r="L159" i="24"/>
  <c r="I273" i="24"/>
  <c r="K270" i="24"/>
  <c r="L225" i="24"/>
  <c r="G272" i="23"/>
  <c r="D271" i="23"/>
  <c r="U270" i="23"/>
  <c r="X146" i="23"/>
  <c r="D273" i="23"/>
  <c r="X160" i="23"/>
  <c r="L169" i="23"/>
  <c r="L154" i="23"/>
  <c r="I423" i="5"/>
  <c r="H28" i="3" s="1"/>
  <c r="R271" i="23"/>
  <c r="L178" i="23"/>
  <c r="L277" i="23" s="1"/>
  <c r="F270" i="23"/>
  <c r="H270" i="23"/>
  <c r="F272" i="23"/>
  <c r="O146" i="23"/>
  <c r="L223" i="23"/>
  <c r="L251" i="23"/>
  <c r="H274" i="23"/>
  <c r="L172" i="23"/>
  <c r="X153" i="23"/>
  <c r="H34" i="3"/>
  <c r="T270" i="23"/>
  <c r="F274" i="23"/>
  <c r="F273" i="23"/>
  <c r="D270" i="23"/>
  <c r="S271" i="23"/>
  <c r="G271" i="23"/>
  <c r="X154" i="23"/>
  <c r="I271" i="23"/>
  <c r="X248" i="23"/>
  <c r="G273" i="23"/>
  <c r="L168" i="23"/>
  <c r="L165" i="23"/>
  <c r="H46" i="3"/>
  <c r="R421" i="5"/>
  <c r="H40" i="3"/>
  <c r="C274" i="23"/>
  <c r="G272" i="22"/>
  <c r="F273" i="22"/>
  <c r="H270" i="22"/>
  <c r="I410" i="4"/>
  <c r="H6" i="3" s="1"/>
  <c r="F274" i="22"/>
  <c r="L156" i="22"/>
  <c r="E274" i="22"/>
  <c r="G274" i="22"/>
  <c r="G270" i="22"/>
  <c r="G273" i="22"/>
  <c r="D273" i="22"/>
  <c r="L144" i="22"/>
  <c r="I411" i="4"/>
  <c r="H7" i="3" s="1"/>
  <c r="E272" i="22"/>
  <c r="L166" i="22"/>
  <c r="L223" i="22"/>
  <c r="I271" i="22"/>
  <c r="C485" i="26"/>
  <c r="P287" i="27"/>
  <c r="P99" i="27"/>
  <c r="P207" i="27"/>
  <c r="P301" i="27" s="1"/>
  <c r="P113" i="27"/>
  <c r="C487" i="27"/>
  <c r="E491" i="27"/>
  <c r="L489" i="27"/>
  <c r="N225" i="30"/>
  <c r="F226" i="30"/>
  <c r="O225" i="30"/>
  <c r="O223" i="30"/>
  <c r="G226" i="30"/>
  <c r="G223" i="30"/>
  <c r="P223" i="30"/>
  <c r="E209" i="29"/>
  <c r="G224" i="30"/>
  <c r="E170" i="28"/>
  <c r="E295" i="28" s="1"/>
  <c r="E265" i="28"/>
  <c r="G235" i="28"/>
  <c r="G224" i="28"/>
  <c r="H255" i="28"/>
  <c r="B283" i="28"/>
  <c r="E441" i="27"/>
  <c r="H429" i="27"/>
  <c r="H232" i="27"/>
  <c r="H425" i="27"/>
  <c r="H228" i="27"/>
  <c r="H420" i="27"/>
  <c r="H223" i="27"/>
  <c r="H445" i="27" s="1"/>
  <c r="N395" i="27"/>
  <c r="L443" i="27"/>
  <c r="D396" i="27"/>
  <c r="B440" i="26"/>
  <c r="F440" i="27"/>
  <c r="M394" i="27"/>
  <c r="B396" i="27"/>
  <c r="M441" i="27"/>
  <c r="H234" i="26"/>
  <c r="H431" i="26"/>
  <c r="H421" i="26"/>
  <c r="H224" i="26"/>
  <c r="H443" i="26" s="1"/>
  <c r="F439" i="26"/>
  <c r="E394" i="26"/>
  <c r="D393" i="27"/>
  <c r="D440" i="26"/>
  <c r="D394" i="26"/>
  <c r="H434" i="27"/>
  <c r="H237" i="27"/>
  <c r="H429" i="26"/>
  <c r="H232" i="26"/>
  <c r="H223" i="26"/>
  <c r="H442" i="26" s="1"/>
  <c r="H420" i="26"/>
  <c r="F441" i="26"/>
  <c r="F440" i="26"/>
  <c r="F444" i="27"/>
  <c r="F437" i="26"/>
  <c r="H198" i="26"/>
  <c r="H415" i="26"/>
  <c r="S274" i="25"/>
  <c r="J274" i="25"/>
  <c r="H428" i="26"/>
  <c r="H231" i="26"/>
  <c r="G438" i="26"/>
  <c r="C392" i="26"/>
  <c r="G273" i="25"/>
  <c r="C439" i="26"/>
  <c r="D439" i="26"/>
  <c r="E274" i="25"/>
  <c r="C271" i="25"/>
  <c r="I270" i="25"/>
  <c r="I209" i="30"/>
  <c r="I136" i="30"/>
  <c r="R197" i="30"/>
  <c r="B390" i="26"/>
  <c r="T274" i="25"/>
  <c r="V270" i="25"/>
  <c r="I210" i="30"/>
  <c r="I137" i="30"/>
  <c r="I198" i="29"/>
  <c r="I134" i="29"/>
  <c r="I190" i="29"/>
  <c r="I118" i="29"/>
  <c r="D270" i="24"/>
  <c r="D271" i="24"/>
  <c r="F273" i="24"/>
  <c r="E270" i="24"/>
  <c r="C274" i="22"/>
  <c r="C270" i="22"/>
  <c r="I139" i="30"/>
  <c r="I212" i="30"/>
  <c r="I131" i="30"/>
  <c r="I229" i="30" s="1"/>
  <c r="I204" i="30"/>
  <c r="I199" i="30"/>
  <c r="I114" i="30"/>
  <c r="I200" i="29"/>
  <c r="I136" i="29"/>
  <c r="I120" i="29"/>
  <c r="I101" i="29"/>
  <c r="L231" i="24"/>
  <c r="L178" i="24"/>
  <c r="L278" i="24" s="1"/>
  <c r="D278" i="28"/>
  <c r="D168" i="28"/>
  <c r="D293" i="28" s="1"/>
  <c r="H138" i="28"/>
  <c r="H141" i="28"/>
  <c r="H275" i="28" s="1"/>
  <c r="H70" i="28"/>
  <c r="H228" i="28" s="1"/>
  <c r="H213" i="28"/>
  <c r="M328" i="27"/>
  <c r="M503" i="27" s="1"/>
  <c r="C328" i="27"/>
  <c r="C503" i="27" s="1"/>
  <c r="G327" i="27"/>
  <c r="G502" i="27" s="1"/>
  <c r="M326" i="27"/>
  <c r="M501" i="27" s="1"/>
  <c r="C326" i="27"/>
  <c r="C501" i="27" s="1"/>
  <c r="G325" i="27"/>
  <c r="G500" i="27" s="1"/>
  <c r="M324" i="27"/>
  <c r="M499" i="27" s="1"/>
  <c r="C324" i="27"/>
  <c r="C499" i="27" s="1"/>
  <c r="G323" i="27"/>
  <c r="G498" i="27" s="1"/>
  <c r="M322" i="27"/>
  <c r="M497" i="27" s="1"/>
  <c r="C322" i="27"/>
  <c r="C497" i="27" s="1"/>
  <c r="G321" i="27"/>
  <c r="G496" i="27" s="1"/>
  <c r="M320" i="27"/>
  <c r="M495" i="27" s="1"/>
  <c r="C320" i="27"/>
  <c r="C495" i="27" s="1"/>
  <c r="G319" i="27"/>
  <c r="G494" i="27" s="1"/>
  <c r="M318" i="27"/>
  <c r="M493" i="27" s="1"/>
  <c r="C318" i="27"/>
  <c r="C493" i="27" s="1"/>
  <c r="G317" i="27"/>
  <c r="G492" i="27" s="1"/>
  <c r="G297" i="27"/>
  <c r="G488" i="27" s="1"/>
  <c r="G323" i="26"/>
  <c r="G495" i="26" s="1"/>
  <c r="E322" i="26"/>
  <c r="E494" i="26" s="1"/>
  <c r="E318" i="26"/>
  <c r="E490" i="26" s="1"/>
  <c r="C317" i="26"/>
  <c r="C489" i="26" s="1"/>
  <c r="N324" i="32"/>
  <c r="B54" i="13" s="1"/>
  <c r="N199" i="32"/>
  <c r="P365" i="27"/>
  <c r="P237" i="27"/>
  <c r="P353" i="27"/>
  <c r="P225" i="27"/>
  <c r="P447" i="27" s="1"/>
  <c r="G274" i="24"/>
  <c r="X249" i="23"/>
  <c r="B273" i="28"/>
  <c r="B163" i="28"/>
  <c r="B288" i="28" s="1"/>
  <c r="B331" i="27"/>
  <c r="B506" i="27" s="1"/>
  <c r="F328" i="27"/>
  <c r="F503" i="27" s="1"/>
  <c r="L327" i="27"/>
  <c r="L502" i="27" s="1"/>
  <c r="B327" i="27"/>
  <c r="B502" i="27" s="1"/>
  <c r="L325" i="27"/>
  <c r="L500" i="27" s="1"/>
  <c r="B325" i="27"/>
  <c r="B500" i="27" s="1"/>
  <c r="F324" i="27"/>
  <c r="F499" i="27" s="1"/>
  <c r="L323" i="27"/>
  <c r="L498" i="27" s="1"/>
  <c r="B323" i="27"/>
  <c r="B498" i="27" s="1"/>
  <c r="L321" i="27"/>
  <c r="L496" i="27" s="1"/>
  <c r="L319" i="27"/>
  <c r="L494" i="27" s="1"/>
  <c r="B319" i="27"/>
  <c r="B494" i="27" s="1"/>
  <c r="L317" i="27"/>
  <c r="L492" i="27" s="1"/>
  <c r="B317" i="27"/>
  <c r="B492" i="27" s="1"/>
  <c r="F302" i="27"/>
  <c r="F489" i="27" s="1"/>
  <c r="F297" i="27"/>
  <c r="F488" i="27" s="1"/>
  <c r="D328" i="26"/>
  <c r="D500" i="26" s="1"/>
  <c r="B327" i="26"/>
  <c r="B499" i="26" s="1"/>
  <c r="F325" i="26"/>
  <c r="F497" i="26" s="1"/>
  <c r="D324" i="26"/>
  <c r="D496" i="26" s="1"/>
  <c r="B321" i="26"/>
  <c r="B493" i="26" s="1"/>
  <c r="D302" i="26"/>
  <c r="D486" i="26" s="1"/>
  <c r="D292" i="26"/>
  <c r="D484" i="26" s="1"/>
  <c r="E274" i="24"/>
  <c r="D272" i="23"/>
  <c r="I193" i="20"/>
  <c r="I201" i="29"/>
  <c r="I137" i="29"/>
  <c r="I193" i="29"/>
  <c r="I129" i="29"/>
  <c r="I215" i="29" s="1"/>
  <c r="I351" i="19"/>
  <c r="I104" i="29"/>
  <c r="I166" i="29"/>
  <c r="H142" i="28"/>
  <c r="H276" i="28" s="1"/>
  <c r="H127" i="28"/>
  <c r="H268" i="28" s="1"/>
  <c r="H205" i="28"/>
  <c r="E331" i="27"/>
  <c r="E506" i="27" s="1"/>
  <c r="E323" i="27"/>
  <c r="E498" i="27" s="1"/>
  <c r="K320" i="27"/>
  <c r="K495" i="27" s="1"/>
  <c r="E302" i="27"/>
  <c r="E489" i="27" s="1"/>
  <c r="H284" i="26"/>
  <c r="G328" i="26"/>
  <c r="G500" i="26" s="1"/>
  <c r="C326" i="26"/>
  <c r="C498" i="26" s="1"/>
  <c r="H274" i="26"/>
  <c r="E319" i="26"/>
  <c r="E491" i="26" s="1"/>
  <c r="H260" i="26"/>
  <c r="C486" i="26"/>
  <c r="G292" i="26"/>
  <c r="G484" i="26" s="1"/>
  <c r="H381" i="26"/>
  <c r="H137" i="26"/>
  <c r="H403" i="26" s="1"/>
  <c r="H373" i="26"/>
  <c r="H129" i="26"/>
  <c r="H395" i="26" s="1"/>
  <c r="P354" i="27"/>
  <c r="P226" i="27"/>
  <c r="P448" i="27" s="1"/>
  <c r="H30" i="27"/>
  <c r="P348" i="27"/>
  <c r="P208" i="27"/>
  <c r="P442" i="27" s="1"/>
  <c r="H347" i="26"/>
  <c r="S270" i="23"/>
  <c r="F277" i="28"/>
  <c r="F167" i="28"/>
  <c r="F292" i="28" s="1"/>
  <c r="P463" i="27"/>
  <c r="B326" i="26"/>
  <c r="B498" i="26" s="1"/>
  <c r="D297" i="26"/>
  <c r="D485" i="26" s="1"/>
  <c r="D460" i="26"/>
  <c r="H19" i="27"/>
  <c r="H113" i="27" s="1"/>
  <c r="X201" i="25"/>
  <c r="L86" i="23"/>
  <c r="L232" i="23" s="1"/>
  <c r="F38" i="8"/>
  <c r="B64" i="8"/>
  <c r="X258" i="25"/>
  <c r="X181" i="25"/>
  <c r="X280" i="25" s="1"/>
  <c r="L174" i="25"/>
  <c r="L251" i="25"/>
  <c r="L166" i="25"/>
  <c r="L171" i="24"/>
  <c r="L249" i="24"/>
  <c r="L155" i="24"/>
  <c r="L263" i="23"/>
  <c r="L186" i="23"/>
  <c r="L285" i="23" s="1"/>
  <c r="K274" i="25"/>
  <c r="C274" i="25"/>
  <c r="D481" i="27"/>
  <c r="D331" i="27"/>
  <c r="D506" i="27" s="1"/>
  <c r="J477" i="27"/>
  <c r="J327" i="27"/>
  <c r="J502" i="27" s="1"/>
  <c r="N473" i="27"/>
  <c r="N323" i="27"/>
  <c r="N498" i="27" s="1"/>
  <c r="D471" i="27"/>
  <c r="D321" i="27"/>
  <c r="D496" i="27" s="1"/>
  <c r="J469" i="27"/>
  <c r="J319" i="27"/>
  <c r="J494" i="27" s="1"/>
  <c r="F324" i="26"/>
  <c r="F496" i="26" s="1"/>
  <c r="B292" i="26"/>
  <c r="B484" i="26" s="1"/>
  <c r="B459" i="26"/>
  <c r="N193" i="27"/>
  <c r="N287" i="27" s="1"/>
  <c r="G65" i="8"/>
  <c r="K65" i="8" s="1"/>
  <c r="G10" i="8"/>
  <c r="K10" i="8" s="1"/>
  <c r="E293" i="26"/>
  <c r="E484" i="26" s="1"/>
  <c r="L267" i="22"/>
  <c r="L182" i="22"/>
  <c r="L289" i="22" s="1"/>
  <c r="L257" i="22"/>
  <c r="D462" i="27"/>
  <c r="D292" i="27"/>
  <c r="D487" i="27" s="1"/>
  <c r="B322" i="26"/>
  <c r="B494" i="26" s="1"/>
  <c r="B298" i="26"/>
  <c r="B485" i="26" s="1"/>
  <c r="H475" i="26"/>
  <c r="H471" i="26"/>
  <c r="H467" i="26"/>
  <c r="B415" i="27"/>
  <c r="H151" i="27"/>
  <c r="B198" i="27"/>
  <c r="G195" i="32"/>
  <c r="E350" i="26"/>
  <c r="E218" i="26"/>
  <c r="X202" i="25"/>
  <c r="L203" i="24"/>
  <c r="G74" i="8"/>
  <c r="K74" i="8" s="1"/>
  <c r="L227" i="22"/>
  <c r="D477" i="27"/>
  <c r="D327" i="27"/>
  <c r="D502" i="27" s="1"/>
  <c r="F312" i="26"/>
  <c r="F488" i="26" s="1"/>
  <c r="F463" i="26"/>
  <c r="G32" i="8"/>
  <c r="K32" i="8" s="1"/>
  <c r="G68" i="8"/>
  <c r="K68" i="8" s="1"/>
  <c r="E38" i="8"/>
  <c r="G21" i="8"/>
  <c r="K21" i="8" s="1"/>
  <c r="C424" i="26"/>
  <c r="C227" i="26"/>
  <c r="H180" i="26"/>
  <c r="X186" i="25"/>
  <c r="X285" i="25" s="1"/>
  <c r="L177" i="25"/>
  <c r="L276" i="25" s="1"/>
  <c r="L254" i="25"/>
  <c r="L250" i="25"/>
  <c r="L161" i="25"/>
  <c r="L153" i="25"/>
  <c r="L189" i="24"/>
  <c r="L289" i="24" s="1"/>
  <c r="L179" i="24"/>
  <c r="L279" i="24" s="1"/>
  <c r="L165" i="24"/>
  <c r="L251" i="24"/>
  <c r="L149" i="24"/>
  <c r="L262" i="23"/>
  <c r="L185" i="23"/>
  <c r="L284" i="23" s="1"/>
  <c r="L252" i="23"/>
  <c r="L171" i="23"/>
  <c r="L146" i="23"/>
  <c r="L267" i="23"/>
  <c r="L190" i="23"/>
  <c r="L289" i="23" s="1"/>
  <c r="L157" i="23"/>
  <c r="I408" i="4"/>
  <c r="H4" i="3" s="1"/>
  <c r="L177" i="23"/>
  <c r="L276" i="23" s="1"/>
  <c r="X169" i="25"/>
  <c r="R208" i="30"/>
  <c r="R135" i="30"/>
  <c r="R200" i="30"/>
  <c r="R119" i="30"/>
  <c r="R102" i="30"/>
  <c r="G71" i="8"/>
  <c r="K71" i="8" s="1"/>
  <c r="G18" i="8"/>
  <c r="K18" i="8" s="1"/>
  <c r="L267" i="25"/>
  <c r="L190" i="25"/>
  <c r="L289" i="25" s="1"/>
  <c r="L261" i="25"/>
  <c r="L184" i="25"/>
  <c r="L283" i="25" s="1"/>
  <c r="L257" i="25"/>
  <c r="L180" i="25"/>
  <c r="L279" i="25" s="1"/>
  <c r="X166" i="25"/>
  <c r="L166" i="23"/>
  <c r="X177" i="25"/>
  <c r="X276" i="25" s="1"/>
  <c r="J463" i="27"/>
  <c r="J297" i="27"/>
  <c r="J488" i="27" s="1"/>
  <c r="U205" i="32"/>
  <c r="U350" i="32" s="1"/>
  <c r="F77" i="13" s="1"/>
  <c r="J77" i="13" s="1"/>
  <c r="N201" i="32"/>
  <c r="H218" i="14"/>
  <c r="H356" i="14" s="1"/>
  <c r="F10" i="13" s="1"/>
  <c r="J10" i="13" s="1"/>
  <c r="G9" i="8"/>
  <c r="K9" i="8" s="1"/>
  <c r="L408" i="6"/>
  <c r="L105" i="23"/>
  <c r="L152" i="23" s="1"/>
  <c r="E424" i="27"/>
  <c r="E227" i="27"/>
  <c r="N224" i="30"/>
  <c r="C222" i="30"/>
  <c r="P226" i="30"/>
  <c r="G222" i="30"/>
  <c r="L224" i="30"/>
  <c r="M226" i="30"/>
  <c r="G225" i="30"/>
  <c r="F170" i="28"/>
  <c r="F295" i="28" s="1"/>
  <c r="F265" i="28"/>
  <c r="B170" i="28"/>
  <c r="B295" i="28" s="1"/>
  <c r="B265" i="28"/>
  <c r="H428" i="27"/>
  <c r="H231" i="27"/>
  <c r="H423" i="27"/>
  <c r="H226" i="27"/>
  <c r="H448" i="27" s="1"/>
  <c r="D442" i="27"/>
  <c r="B442" i="27"/>
  <c r="F396" i="27"/>
  <c r="L440" i="27"/>
  <c r="B439" i="26"/>
  <c r="F391" i="26"/>
  <c r="H230" i="26"/>
  <c r="H427" i="26"/>
  <c r="H418" i="26"/>
  <c r="H431" i="27"/>
  <c r="H234" i="27"/>
  <c r="H422" i="26"/>
  <c r="H225" i="26"/>
  <c r="H444" i="26" s="1"/>
  <c r="D391" i="26"/>
  <c r="B394" i="26"/>
  <c r="B392" i="26"/>
  <c r="C391" i="26"/>
  <c r="E390" i="26"/>
  <c r="V271" i="25"/>
  <c r="N271" i="25"/>
  <c r="E271" i="25"/>
  <c r="P270" i="25"/>
  <c r="G270" i="25"/>
  <c r="H274" i="25"/>
  <c r="J273" i="25"/>
  <c r="V272" i="25"/>
  <c r="G271" i="25"/>
  <c r="L228" i="24"/>
  <c r="L175" i="24"/>
  <c r="L275" i="24" s="1"/>
  <c r="X214" i="23"/>
  <c r="X184" i="23"/>
  <c r="X283" i="23" s="1"/>
  <c r="R216" i="30"/>
  <c r="R143" i="30"/>
  <c r="R207" i="30"/>
  <c r="R134" i="30"/>
  <c r="R198" i="30"/>
  <c r="R109" i="30"/>
  <c r="R270" i="25"/>
  <c r="J270" i="24"/>
  <c r="B270" i="24"/>
  <c r="D274" i="24"/>
  <c r="I207" i="30"/>
  <c r="I134" i="30"/>
  <c r="I198" i="30"/>
  <c r="I109" i="30"/>
  <c r="I10" i="30"/>
  <c r="I175" i="30" s="1"/>
  <c r="I261" i="20"/>
  <c r="I194" i="29"/>
  <c r="I130" i="29"/>
  <c r="I216" i="29" s="1"/>
  <c r="I189" i="29"/>
  <c r="I113" i="29"/>
  <c r="E393" i="26"/>
  <c r="F272" i="25"/>
  <c r="P274" i="25"/>
  <c r="G273" i="24"/>
  <c r="I358" i="20"/>
  <c r="R209" i="30"/>
  <c r="R136" i="30"/>
  <c r="I129" i="30"/>
  <c r="I227" i="30" s="1"/>
  <c r="I202" i="30"/>
  <c r="F222" i="30"/>
  <c r="R177" i="30"/>
  <c r="R10" i="30"/>
  <c r="R175" i="30" s="1"/>
  <c r="R261" i="20"/>
  <c r="I196" i="29"/>
  <c r="I132" i="29"/>
  <c r="I218" i="29" s="1"/>
  <c r="I203" i="29"/>
  <c r="I139" i="29"/>
  <c r="I195" i="29"/>
  <c r="I131" i="29"/>
  <c r="I217" i="29" s="1"/>
  <c r="I191" i="29"/>
  <c r="I123" i="29"/>
  <c r="I187" i="29"/>
  <c r="I103" i="29"/>
  <c r="G286" i="28"/>
  <c r="E269" i="28"/>
  <c r="E154" i="28"/>
  <c r="E284" i="28" s="1"/>
  <c r="H139" i="28"/>
  <c r="H211" i="28"/>
  <c r="H68" i="28"/>
  <c r="H226" i="28" s="1"/>
  <c r="H207" i="28"/>
  <c r="H60" i="28"/>
  <c r="H222" i="28" s="1"/>
  <c r="C307" i="27"/>
  <c r="C490" i="27" s="1"/>
  <c r="M302" i="27"/>
  <c r="M489" i="27" s="1"/>
  <c r="C302" i="27"/>
  <c r="C489" i="27" s="1"/>
  <c r="M487" i="27"/>
  <c r="C331" i="26"/>
  <c r="C503" i="26" s="1"/>
  <c r="C325" i="26"/>
  <c r="C497" i="26" s="1"/>
  <c r="G297" i="26"/>
  <c r="G485" i="26" s="1"/>
  <c r="F274" i="24"/>
  <c r="X150" i="23"/>
  <c r="D284" i="28"/>
  <c r="F326" i="27"/>
  <c r="F501" i="27" s="1"/>
  <c r="F318" i="27"/>
  <c r="F493" i="27" s="1"/>
  <c r="L312" i="27"/>
  <c r="L491" i="27" s="1"/>
  <c r="F307" i="27"/>
  <c r="F490" i="27" s="1"/>
  <c r="B302" i="27"/>
  <c r="B489" i="27" s="1"/>
  <c r="L297" i="27"/>
  <c r="L488" i="27" s="1"/>
  <c r="L292" i="27"/>
  <c r="L487" i="27" s="1"/>
  <c r="D322" i="26"/>
  <c r="D494" i="26" s="1"/>
  <c r="F319" i="26"/>
  <c r="F491" i="26" s="1"/>
  <c r="D318" i="26"/>
  <c r="D490" i="26" s="1"/>
  <c r="B307" i="26"/>
  <c r="B487" i="26" s="1"/>
  <c r="F485" i="26"/>
  <c r="B202" i="27"/>
  <c r="B296" i="27" s="1"/>
  <c r="H222" i="26"/>
  <c r="H316" i="26" s="1"/>
  <c r="L250" i="23"/>
  <c r="J270" i="23"/>
  <c r="I201" i="20"/>
  <c r="I355" i="20" s="1"/>
  <c r="H135" i="28"/>
  <c r="G270" i="28"/>
  <c r="G156" i="28"/>
  <c r="G285" i="28" s="1"/>
  <c r="H223" i="28"/>
  <c r="K331" i="27"/>
  <c r="K506" i="27" s="1"/>
  <c r="E328" i="27"/>
  <c r="E503" i="27" s="1"/>
  <c r="K327" i="27"/>
  <c r="K502" i="27" s="1"/>
  <c r="O326" i="27"/>
  <c r="O501" i="27" s="1"/>
  <c r="E326" i="27"/>
  <c r="E501" i="27" s="1"/>
  <c r="K325" i="27"/>
  <c r="K500" i="27" s="1"/>
  <c r="E324" i="27"/>
  <c r="E499" i="27" s="1"/>
  <c r="K323" i="27"/>
  <c r="K498" i="27" s="1"/>
  <c r="E322" i="27"/>
  <c r="E497" i="27" s="1"/>
  <c r="K321" i="27"/>
  <c r="K496" i="27" s="1"/>
  <c r="O320" i="27"/>
  <c r="O495" i="27" s="1"/>
  <c r="E320" i="27"/>
  <c r="E495" i="27" s="1"/>
  <c r="K319" i="27"/>
  <c r="K494" i="27" s="1"/>
  <c r="O318" i="27"/>
  <c r="O493" i="27" s="1"/>
  <c r="E318" i="27"/>
  <c r="E493" i="27" s="1"/>
  <c r="K317" i="27"/>
  <c r="K492" i="27" s="1"/>
  <c r="K312" i="27"/>
  <c r="K491" i="27" s="1"/>
  <c r="O297" i="27"/>
  <c r="O488" i="27" s="1"/>
  <c r="H250" i="27"/>
  <c r="H245" i="27"/>
  <c r="H133" i="27"/>
  <c r="H402" i="27" s="1"/>
  <c r="H396" i="27"/>
  <c r="C328" i="26"/>
  <c r="C500" i="26" s="1"/>
  <c r="E327" i="26"/>
  <c r="E499" i="26" s="1"/>
  <c r="G324" i="26"/>
  <c r="G496" i="26" s="1"/>
  <c r="H276" i="26"/>
  <c r="E321" i="26"/>
  <c r="E493" i="26" s="1"/>
  <c r="C320" i="26"/>
  <c r="C492" i="26" s="1"/>
  <c r="G312" i="26"/>
  <c r="G488" i="26" s="1"/>
  <c r="E307" i="26"/>
  <c r="E487" i="26" s="1"/>
  <c r="G486" i="26"/>
  <c r="H250" i="26"/>
  <c r="H135" i="26"/>
  <c r="H401" i="26" s="1"/>
  <c r="H379" i="26"/>
  <c r="H119" i="26"/>
  <c r="H371" i="26"/>
  <c r="H111" i="26"/>
  <c r="H103" i="26"/>
  <c r="P347" i="27"/>
  <c r="P203" i="27"/>
  <c r="L224" i="24"/>
  <c r="X149" i="23"/>
  <c r="X147" i="23"/>
  <c r="J478" i="27"/>
  <c r="J328" i="27"/>
  <c r="J503" i="27" s="1"/>
  <c r="N474" i="27"/>
  <c r="N324" i="27"/>
  <c r="N499" i="27" s="1"/>
  <c r="D472" i="27"/>
  <c r="D322" i="27"/>
  <c r="D497" i="27" s="1"/>
  <c r="J470" i="27"/>
  <c r="J320" i="27"/>
  <c r="J495" i="27" s="1"/>
  <c r="J466" i="27"/>
  <c r="J312" i="27"/>
  <c r="J491" i="27" s="1"/>
  <c r="J462" i="27"/>
  <c r="J292" i="27"/>
  <c r="J487" i="27" s="1"/>
  <c r="P481" i="27"/>
  <c r="P477" i="27"/>
  <c r="P327" i="27"/>
  <c r="P502" i="27" s="1"/>
  <c r="P475" i="27"/>
  <c r="P473" i="27"/>
  <c r="P471" i="27"/>
  <c r="P469" i="27"/>
  <c r="P467" i="27"/>
  <c r="B461" i="26"/>
  <c r="B302" i="26"/>
  <c r="B486" i="26" s="1"/>
  <c r="H153" i="27"/>
  <c r="H200" i="27" s="1"/>
  <c r="H294" i="27" s="1"/>
  <c r="B200" i="27"/>
  <c r="B294" i="27" s="1"/>
  <c r="H15" i="27"/>
  <c r="H203" i="27" s="1"/>
  <c r="H346" i="26"/>
  <c r="L204" i="25"/>
  <c r="G48" i="8"/>
  <c r="K48" i="8" s="1"/>
  <c r="X264" i="25"/>
  <c r="X187" i="25"/>
  <c r="X286" i="25" s="1"/>
  <c r="L172" i="25"/>
  <c r="L249" i="25"/>
  <c r="L156" i="25"/>
  <c r="L148" i="25"/>
  <c r="L181" i="24"/>
  <c r="L281" i="24" s="1"/>
  <c r="L259" i="23"/>
  <c r="L182" i="23"/>
  <c r="L281" i="23" s="1"/>
  <c r="X224" i="23"/>
  <c r="J307" i="27"/>
  <c r="J490" i="27" s="1"/>
  <c r="J465" i="27"/>
  <c r="B324" i="26"/>
  <c r="B496" i="26" s="1"/>
  <c r="G278" i="32"/>
  <c r="D29" i="13" s="1"/>
  <c r="L204" i="24"/>
  <c r="L262" i="22"/>
  <c r="L177" i="22"/>
  <c r="L284" i="22" s="1"/>
  <c r="L259" i="22"/>
  <c r="L174" i="22"/>
  <c r="L281" i="22" s="1"/>
  <c r="D271" i="28"/>
  <c r="D328" i="27"/>
  <c r="D503" i="27" s="1"/>
  <c r="D478" i="27"/>
  <c r="J476" i="27"/>
  <c r="J326" i="27"/>
  <c r="J501" i="27" s="1"/>
  <c r="N472" i="27"/>
  <c r="N322" i="27"/>
  <c r="N497" i="27" s="1"/>
  <c r="D320" i="27"/>
  <c r="D495" i="27" s="1"/>
  <c r="D470" i="27"/>
  <c r="J468" i="27"/>
  <c r="J318" i="27"/>
  <c r="J493" i="27" s="1"/>
  <c r="D466" i="27"/>
  <c r="D312" i="27"/>
  <c r="D491" i="27" s="1"/>
  <c r="J464" i="27"/>
  <c r="J302" i="27"/>
  <c r="J489" i="27" s="1"/>
  <c r="H478" i="27"/>
  <c r="H476" i="27"/>
  <c r="H474" i="27"/>
  <c r="H472" i="27"/>
  <c r="H470" i="27"/>
  <c r="H468" i="27"/>
  <c r="G219" i="32"/>
  <c r="G353" i="32" s="1"/>
  <c r="F32" i="13" s="1"/>
  <c r="J32" i="13" s="1"/>
  <c r="E54" i="13"/>
  <c r="B38" i="8"/>
  <c r="L223" i="24"/>
  <c r="J471" i="27"/>
  <c r="J321" i="27"/>
  <c r="J496" i="27" s="1"/>
  <c r="G33" i="8"/>
  <c r="K33" i="8" s="1"/>
  <c r="L37" i="22"/>
  <c r="L210" i="22" s="1"/>
  <c r="C15" i="8"/>
  <c r="G17" i="8"/>
  <c r="K17" i="8" s="1"/>
  <c r="G11" i="8"/>
  <c r="K11" i="8" s="1"/>
  <c r="X184" i="25"/>
  <c r="X283" i="25" s="1"/>
  <c r="X261" i="25"/>
  <c r="L159" i="25"/>
  <c r="L248" i="25"/>
  <c r="L151" i="25"/>
  <c r="L161" i="24"/>
  <c r="L145" i="24"/>
  <c r="L167" i="23"/>
  <c r="L153" i="23"/>
  <c r="L177" i="24"/>
  <c r="L277" i="24" s="1"/>
  <c r="L257" i="23"/>
  <c r="L185" i="25"/>
  <c r="L284" i="25" s="1"/>
  <c r="I211" i="30"/>
  <c r="I138" i="30"/>
  <c r="R202" i="30"/>
  <c r="R129" i="30"/>
  <c r="R227" i="30" s="1"/>
  <c r="R121" i="30"/>
  <c r="R114" i="30"/>
  <c r="R199" i="30"/>
  <c r="R110" i="30"/>
  <c r="R106" i="30"/>
  <c r="N467" i="27"/>
  <c r="N317" i="27"/>
  <c r="N492" i="27" s="1"/>
  <c r="D465" i="27"/>
  <c r="D307" i="27"/>
  <c r="D490" i="27" s="1"/>
  <c r="L39" i="23"/>
  <c r="L210" i="23" s="1"/>
  <c r="C38" i="8"/>
  <c r="L260" i="23"/>
  <c r="L183" i="23"/>
  <c r="L282" i="23" s="1"/>
  <c r="N475" i="27"/>
  <c r="N325" i="27"/>
  <c r="N500" i="27" s="1"/>
  <c r="N481" i="27"/>
  <c r="N331" i="27"/>
  <c r="N506" i="27" s="1"/>
  <c r="D469" i="27"/>
  <c r="D319" i="27"/>
  <c r="D494" i="27" s="1"/>
  <c r="F475" i="26"/>
  <c r="F328" i="26"/>
  <c r="F500" i="26" s="1"/>
  <c r="D462" i="26"/>
  <c r="D307" i="26"/>
  <c r="D487" i="26" s="1"/>
  <c r="N351" i="32"/>
  <c r="F56" i="13" s="1"/>
  <c r="J56" i="13" s="1"/>
  <c r="P232" i="27"/>
  <c r="P360" i="27"/>
  <c r="P355" i="27"/>
  <c r="P227" i="27"/>
  <c r="P352" i="27"/>
  <c r="P224" i="27"/>
  <c r="P446" i="27" s="1"/>
  <c r="E78" i="13"/>
  <c r="P6" i="27"/>
  <c r="G34" i="8"/>
  <c r="K34" i="8" s="1"/>
  <c r="G29" i="8"/>
  <c r="K29" i="8" s="1"/>
  <c r="L226" i="22"/>
  <c r="G19" i="8"/>
  <c r="K19" i="8" s="1"/>
  <c r="L264" i="23"/>
  <c r="L187" i="23"/>
  <c r="L286" i="23" s="1"/>
  <c r="L183" i="25"/>
  <c r="L282" i="25" s="1"/>
  <c r="E226" i="30"/>
  <c r="E225" i="30"/>
  <c r="O224" i="30"/>
  <c r="F223" i="30"/>
  <c r="C226" i="30"/>
  <c r="Q223" i="30"/>
  <c r="C223" i="30"/>
  <c r="L223" i="30"/>
  <c r="P225" i="30"/>
  <c r="Q222" i="30"/>
  <c r="D265" i="28"/>
  <c r="D170" i="28"/>
  <c r="D295" i="28" s="1"/>
  <c r="H261" i="28"/>
  <c r="H253" i="28"/>
  <c r="F283" i="28"/>
  <c r="C441" i="27"/>
  <c r="H427" i="27"/>
  <c r="H230" i="27"/>
  <c r="H422" i="27"/>
  <c r="H225" i="27"/>
  <c r="H447" i="27" s="1"/>
  <c r="L396" i="27"/>
  <c r="H419" i="27"/>
  <c r="H418" i="27"/>
  <c r="B395" i="27"/>
  <c r="H426" i="26"/>
  <c r="H229" i="26"/>
  <c r="C440" i="27"/>
  <c r="D397" i="27"/>
  <c r="N393" i="27"/>
  <c r="E393" i="27"/>
  <c r="L395" i="27"/>
  <c r="C394" i="27"/>
  <c r="H425" i="26"/>
  <c r="H228" i="26"/>
  <c r="D390" i="26"/>
  <c r="D443" i="27"/>
  <c r="H226" i="26"/>
  <c r="H445" i="26" s="1"/>
  <c r="H423" i="26"/>
  <c r="D441" i="26"/>
  <c r="F393" i="26"/>
  <c r="E391" i="26"/>
  <c r="D395" i="27"/>
  <c r="F393" i="27"/>
  <c r="B441" i="26"/>
  <c r="C273" i="25"/>
  <c r="F274" i="25"/>
  <c r="H416" i="26"/>
  <c r="H203" i="26"/>
  <c r="G392" i="26"/>
  <c r="V274" i="25"/>
  <c r="H417" i="26"/>
  <c r="H208" i="26"/>
  <c r="L231" i="25"/>
  <c r="L179" i="25"/>
  <c r="L278" i="25" s="1"/>
  <c r="F438" i="26"/>
  <c r="E270" i="25"/>
  <c r="G272" i="24"/>
  <c r="L253" i="22"/>
  <c r="L168" i="22"/>
  <c r="L275" i="22" s="1"/>
  <c r="I213" i="30"/>
  <c r="I140" i="30"/>
  <c r="R205" i="30"/>
  <c r="R132" i="30"/>
  <c r="R230" i="30" s="1"/>
  <c r="R201" i="30"/>
  <c r="R124" i="30"/>
  <c r="F390" i="26"/>
  <c r="R272" i="25"/>
  <c r="T271" i="25"/>
  <c r="L249" i="23"/>
  <c r="I216" i="30"/>
  <c r="I143" i="30"/>
  <c r="I205" i="30"/>
  <c r="I132" i="30"/>
  <c r="I230" i="30" s="1"/>
  <c r="I124" i="30"/>
  <c r="I201" i="30"/>
  <c r="E272" i="25"/>
  <c r="C273" i="24"/>
  <c r="H271" i="24"/>
  <c r="J273" i="24"/>
  <c r="L226" i="24"/>
  <c r="I270" i="24"/>
  <c r="Q272" i="23"/>
  <c r="I359" i="20"/>
  <c r="I208" i="30"/>
  <c r="I135" i="30"/>
  <c r="I200" i="30"/>
  <c r="I119" i="30"/>
  <c r="I192" i="29"/>
  <c r="I128" i="29"/>
  <c r="I214" i="29" s="1"/>
  <c r="I111" i="29"/>
  <c r="L251" i="22"/>
  <c r="L158" i="22"/>
  <c r="L248" i="22"/>
  <c r="L143" i="22"/>
  <c r="D275" i="28"/>
  <c r="D165" i="28"/>
  <c r="D290" i="28" s="1"/>
  <c r="H146" i="28"/>
  <c r="H280" i="28" s="1"/>
  <c r="H66" i="28"/>
  <c r="H224" i="28" s="1"/>
  <c r="H209" i="28"/>
  <c r="C331" i="27"/>
  <c r="C506" i="27" s="1"/>
  <c r="G328" i="27"/>
  <c r="G503" i="27" s="1"/>
  <c r="C327" i="27"/>
  <c r="C502" i="27" s="1"/>
  <c r="C325" i="27"/>
  <c r="C500" i="27" s="1"/>
  <c r="G324" i="27"/>
  <c r="G499" i="27" s="1"/>
  <c r="M323" i="27"/>
  <c r="M498" i="27" s="1"/>
  <c r="C323" i="27"/>
  <c r="C498" i="27" s="1"/>
  <c r="G322" i="27"/>
  <c r="G497" i="27" s="1"/>
  <c r="G320" i="27"/>
  <c r="G495" i="27" s="1"/>
  <c r="M319" i="27"/>
  <c r="M494" i="27" s="1"/>
  <c r="C319" i="27"/>
  <c r="C494" i="27" s="1"/>
  <c r="C317" i="27"/>
  <c r="C492" i="27" s="1"/>
  <c r="C312" i="27"/>
  <c r="C491" i="27" s="1"/>
  <c r="M488" i="27"/>
  <c r="C297" i="27"/>
  <c r="C488" i="27" s="1"/>
  <c r="E328" i="26"/>
  <c r="E500" i="26" s="1"/>
  <c r="C323" i="26"/>
  <c r="C495" i="26" s="1"/>
  <c r="G321" i="26"/>
  <c r="G493" i="26" s="1"/>
  <c r="C319" i="26"/>
  <c r="C491" i="26" s="1"/>
  <c r="E302" i="26"/>
  <c r="E486" i="26" s="1"/>
  <c r="G325" i="32"/>
  <c r="B29" i="13" s="1"/>
  <c r="G204" i="32"/>
  <c r="F323" i="26"/>
  <c r="F495" i="26" s="1"/>
  <c r="E273" i="25"/>
  <c r="L225" i="25"/>
  <c r="K274" i="24"/>
  <c r="L227" i="24"/>
  <c r="X156" i="23"/>
  <c r="R195" i="20"/>
  <c r="F273" i="28"/>
  <c r="F163" i="28"/>
  <c r="F288" i="28" s="1"/>
  <c r="F331" i="27"/>
  <c r="F506" i="27" s="1"/>
  <c r="L328" i="27"/>
  <c r="L503" i="27" s="1"/>
  <c r="B328" i="27"/>
  <c r="B503" i="27" s="1"/>
  <c r="F327" i="27"/>
  <c r="F502" i="27" s="1"/>
  <c r="L326" i="27"/>
  <c r="L501" i="27" s="1"/>
  <c r="B326" i="27"/>
  <c r="B501" i="27" s="1"/>
  <c r="F325" i="27"/>
  <c r="F500" i="27" s="1"/>
  <c r="L324" i="27"/>
  <c r="L499" i="27" s="1"/>
  <c r="F323" i="27"/>
  <c r="F498" i="27" s="1"/>
  <c r="L322" i="27"/>
  <c r="L497" i="27" s="1"/>
  <c r="B322" i="27"/>
  <c r="B497" i="27" s="1"/>
  <c r="F321" i="27"/>
  <c r="F496" i="27" s="1"/>
  <c r="L320" i="27"/>
  <c r="L495" i="27" s="1"/>
  <c r="B320" i="27"/>
  <c r="B495" i="27" s="1"/>
  <c r="F319" i="27"/>
  <c r="F494" i="27" s="1"/>
  <c r="L318" i="27"/>
  <c r="L493" i="27" s="1"/>
  <c r="B318" i="27"/>
  <c r="B493" i="27" s="1"/>
  <c r="F317" i="27"/>
  <c r="F492" i="27" s="1"/>
  <c r="B312" i="27"/>
  <c r="L307" i="27"/>
  <c r="L490" i="27" s="1"/>
  <c r="F327" i="26"/>
  <c r="F499" i="26" s="1"/>
  <c r="D326" i="26"/>
  <c r="D498" i="26" s="1"/>
  <c r="B323" i="26"/>
  <c r="B495" i="26" s="1"/>
  <c r="B319" i="26"/>
  <c r="B491" i="26" s="1"/>
  <c r="D312" i="26"/>
  <c r="D488" i="26" s="1"/>
  <c r="H416" i="27"/>
  <c r="H194" i="27"/>
  <c r="H288" i="27" s="1"/>
  <c r="I274" i="24"/>
  <c r="H272" i="23"/>
  <c r="I197" i="20"/>
  <c r="T5" i="30"/>
  <c r="I197" i="29"/>
  <c r="I133" i="29"/>
  <c r="I125" i="29"/>
  <c r="I108" i="29"/>
  <c r="I188" i="29"/>
  <c r="H208" i="28"/>
  <c r="H260" i="27"/>
  <c r="E297" i="27"/>
  <c r="E488" i="27" s="1"/>
  <c r="E292" i="27"/>
  <c r="E487" i="27" s="1"/>
  <c r="G326" i="26"/>
  <c r="G498" i="26" s="1"/>
  <c r="H278" i="26"/>
  <c r="G318" i="26"/>
  <c r="G490" i="26" s="1"/>
  <c r="H270" i="26"/>
  <c r="E297" i="26"/>
  <c r="E485" i="26" s="1"/>
  <c r="C292" i="26"/>
  <c r="C484" i="26" s="1"/>
  <c r="H387" i="26"/>
  <c r="H143" i="26"/>
  <c r="H409" i="26" s="1"/>
  <c r="H377" i="26"/>
  <c r="H133" i="26"/>
  <c r="H399" i="26" s="1"/>
  <c r="H369" i="26"/>
  <c r="H109" i="26"/>
  <c r="P357" i="27"/>
  <c r="P229" i="27"/>
  <c r="P349" i="27"/>
  <c r="P213" i="27"/>
  <c r="X151" i="23"/>
  <c r="B277" i="28"/>
  <c r="B167" i="28"/>
  <c r="B292" i="28" s="1"/>
  <c r="P466" i="27"/>
  <c r="P464" i="27"/>
  <c r="P462" i="27"/>
  <c r="G42" i="8"/>
  <c r="K42" i="8" s="1"/>
  <c r="G62" i="8"/>
  <c r="K62" i="8" s="1"/>
  <c r="X262" i="25"/>
  <c r="X185" i="25"/>
  <c r="X284" i="25" s="1"/>
  <c r="L178" i="25"/>
  <c r="L277" i="25" s="1"/>
  <c r="L170" i="25"/>
  <c r="L253" i="23"/>
  <c r="L176" i="23"/>
  <c r="L275" i="23" s="1"/>
  <c r="G274" i="25"/>
  <c r="N477" i="27"/>
  <c r="N327" i="27"/>
  <c r="N502" i="27" s="1"/>
  <c r="D325" i="27"/>
  <c r="D500" i="27" s="1"/>
  <c r="D475" i="27"/>
  <c r="J473" i="27"/>
  <c r="J323" i="27"/>
  <c r="J498" i="27" s="1"/>
  <c r="N469" i="27"/>
  <c r="N319" i="27"/>
  <c r="N494" i="27" s="1"/>
  <c r="D317" i="27"/>
  <c r="D492" i="27" s="1"/>
  <c r="D467" i="27"/>
  <c r="F292" i="26"/>
  <c r="F484" i="26" s="1"/>
  <c r="F459" i="26"/>
  <c r="H348" i="27"/>
  <c r="G56" i="8"/>
  <c r="K56" i="8" s="1"/>
  <c r="L263" i="22"/>
  <c r="L178" i="22"/>
  <c r="L285" i="22" s="1"/>
  <c r="L175" i="22"/>
  <c r="L282" i="22" s="1"/>
  <c r="L260" i="22"/>
  <c r="H473" i="26"/>
  <c r="H469" i="26"/>
  <c r="H465" i="26"/>
  <c r="H463" i="26"/>
  <c r="G199" i="32"/>
  <c r="G324" i="32"/>
  <c r="B28" i="13" s="1"/>
  <c r="P346" i="27"/>
  <c r="P198" i="27"/>
  <c r="P440" i="27" s="1"/>
  <c r="G31" i="8"/>
  <c r="K31" i="8" s="1"/>
  <c r="L227" i="23"/>
  <c r="H424" i="27"/>
  <c r="H227" i="27"/>
  <c r="B269" i="28"/>
  <c r="B154" i="28"/>
  <c r="B284" i="28" s="1"/>
  <c r="D470" i="26"/>
  <c r="D323" i="26"/>
  <c r="D495" i="26" s="1"/>
  <c r="B312" i="26"/>
  <c r="B488" i="26" s="1"/>
  <c r="L202" i="24"/>
  <c r="D38" i="8"/>
  <c r="I232" i="22"/>
  <c r="I172" i="22"/>
  <c r="I279" i="22" s="1"/>
  <c r="X190" i="25"/>
  <c r="X289" i="25" s="1"/>
  <c r="X267" i="25"/>
  <c r="X182" i="25"/>
  <c r="X281" i="25" s="1"/>
  <c r="X259" i="25"/>
  <c r="L157" i="25"/>
  <c r="L149" i="25"/>
  <c r="L183" i="24"/>
  <c r="L283" i="24" s="1"/>
  <c r="L173" i="24"/>
  <c r="L157" i="24"/>
  <c r="L258" i="23"/>
  <c r="L181" i="23"/>
  <c r="L280" i="23" s="1"/>
  <c r="L151" i="23"/>
  <c r="H38" i="3"/>
  <c r="L170" i="23"/>
  <c r="L173" i="22"/>
  <c r="L280" i="22" s="1"/>
  <c r="X161" i="25"/>
  <c r="L170" i="24"/>
  <c r="L252" i="24"/>
  <c r="R212" i="30"/>
  <c r="R139" i="30"/>
  <c r="R204" i="30"/>
  <c r="R131" i="30"/>
  <c r="R229" i="30" s="1"/>
  <c r="R358" i="20"/>
  <c r="R116" i="30"/>
  <c r="I197" i="30"/>
  <c r="R100" i="30"/>
  <c r="D473" i="27"/>
  <c r="D323" i="27"/>
  <c r="D498" i="27" s="1"/>
  <c r="G22" i="8"/>
  <c r="K22" i="8" s="1"/>
  <c r="G20" i="8"/>
  <c r="K20" i="8" s="1"/>
  <c r="L263" i="25"/>
  <c r="L186" i="25"/>
  <c r="L285" i="25" s="1"/>
  <c r="L259" i="25"/>
  <c r="L182" i="25"/>
  <c r="L281" i="25" s="1"/>
  <c r="X176" i="25"/>
  <c r="X275" i="25" s="1"/>
  <c r="X249" i="25"/>
  <c r="X156" i="25"/>
  <c r="L182" i="24"/>
  <c r="L282" i="24" s="1"/>
  <c r="L260" i="24"/>
  <c r="L261" i="23"/>
  <c r="L184" i="23"/>
  <c r="L283" i="23" s="1"/>
  <c r="X171" i="25"/>
  <c r="N463" i="27"/>
  <c r="N297" i="27"/>
  <c r="S351" i="32"/>
  <c r="H352" i="14"/>
  <c r="F6" i="13" s="1"/>
  <c r="J6" i="13" s="1"/>
  <c r="G57" i="8"/>
  <c r="K57" i="8" s="1"/>
  <c r="L224" i="22"/>
  <c r="L411" i="7"/>
  <c r="X410" i="7"/>
  <c r="L226" i="30"/>
  <c r="M222" i="30"/>
  <c r="P224" i="30"/>
  <c r="B209" i="29"/>
  <c r="G222" i="28"/>
  <c r="H260" i="28"/>
  <c r="H430" i="27"/>
  <c r="H233" i="27"/>
  <c r="H426" i="27"/>
  <c r="H229" i="27"/>
  <c r="H421" i="27"/>
  <c r="H224" i="27"/>
  <c r="H446" i="27" s="1"/>
  <c r="E444" i="27"/>
  <c r="H417" i="27"/>
  <c r="H208" i="27"/>
  <c r="C393" i="26"/>
  <c r="H434" i="26"/>
  <c r="H237" i="26"/>
  <c r="L442" i="27"/>
  <c r="H419" i="26"/>
  <c r="F394" i="26"/>
  <c r="D393" i="26"/>
  <c r="F392" i="26"/>
  <c r="G391" i="26"/>
  <c r="F397" i="27"/>
  <c r="B437" i="26"/>
  <c r="C438" i="26"/>
  <c r="D274" i="25"/>
  <c r="R274" i="25"/>
  <c r="C272" i="25"/>
  <c r="R271" i="25"/>
  <c r="I271" i="25"/>
  <c r="T270" i="25"/>
  <c r="K270" i="25"/>
  <c r="C270" i="25"/>
  <c r="U274" i="25"/>
  <c r="S272" i="25"/>
  <c r="F273" i="25"/>
  <c r="N272" i="25"/>
  <c r="K271" i="25"/>
  <c r="L164" i="22"/>
  <c r="L252" i="22"/>
  <c r="L249" i="22"/>
  <c r="L148" i="22"/>
  <c r="R210" i="30"/>
  <c r="R137" i="30"/>
  <c r="R203" i="30"/>
  <c r="R130" i="30"/>
  <c r="R228" i="30" s="1"/>
  <c r="F271" i="25"/>
  <c r="I271" i="24"/>
  <c r="F270" i="24"/>
  <c r="H274" i="24"/>
  <c r="R211" i="30"/>
  <c r="R138" i="30"/>
  <c r="I203" i="30"/>
  <c r="I130" i="30"/>
  <c r="I228" i="30" s="1"/>
  <c r="O222" i="30"/>
  <c r="I202" i="29"/>
  <c r="I138" i="29"/>
  <c r="S273" i="25"/>
  <c r="L224" i="25"/>
  <c r="F272" i="24"/>
  <c r="B273" i="24"/>
  <c r="I357" i="20"/>
  <c r="R213" i="30"/>
  <c r="R140" i="30"/>
  <c r="I206" i="30"/>
  <c r="I133" i="30"/>
  <c r="I231" i="30" s="1"/>
  <c r="R178" i="30"/>
  <c r="R176" i="30"/>
  <c r="I206" i="29"/>
  <c r="I142" i="29"/>
  <c r="I107" i="29"/>
  <c r="X209" i="23"/>
  <c r="X179" i="23"/>
  <c r="X278" i="23" s="1"/>
  <c r="I199" i="29"/>
  <c r="I135" i="29"/>
  <c r="I127" i="29"/>
  <c r="I350" i="19"/>
  <c r="I165" i="29"/>
  <c r="H132" i="28"/>
  <c r="H130" i="28"/>
  <c r="H143" i="28"/>
  <c r="H72" i="28"/>
  <c r="H230" i="28" s="1"/>
  <c r="H215" i="28"/>
  <c r="H206" i="28"/>
  <c r="H58" i="28"/>
  <c r="H221" i="28" s="1"/>
  <c r="M327" i="27"/>
  <c r="M502" i="27" s="1"/>
  <c r="M321" i="27"/>
  <c r="M496" i="27" s="1"/>
  <c r="M307" i="27"/>
  <c r="M490" i="27" s="1"/>
  <c r="G292" i="27"/>
  <c r="G487" i="27" s="1"/>
  <c r="G331" i="26"/>
  <c r="G503" i="26" s="1"/>
  <c r="G325" i="26"/>
  <c r="G497" i="26" s="1"/>
  <c r="G317" i="26"/>
  <c r="G489" i="26" s="1"/>
  <c r="C307" i="26"/>
  <c r="C487" i="26" s="1"/>
  <c r="B346" i="27"/>
  <c r="B104" i="27"/>
  <c r="B393" i="27" s="1"/>
  <c r="C274" i="24"/>
  <c r="X159" i="23"/>
  <c r="Q271" i="23"/>
  <c r="Q270" i="23"/>
  <c r="X207" i="23"/>
  <c r="X177" i="23"/>
  <c r="X276" i="23" s="1"/>
  <c r="F312" i="27"/>
  <c r="F491" i="27" s="1"/>
  <c r="B307" i="27"/>
  <c r="B490" i="27" s="1"/>
  <c r="F292" i="27"/>
  <c r="F487" i="27" s="1"/>
  <c r="D320" i="26"/>
  <c r="D492" i="26" s="1"/>
  <c r="F307" i="26"/>
  <c r="F487" i="26" s="1"/>
  <c r="B203" i="27"/>
  <c r="M440" i="27"/>
  <c r="I273" i="25"/>
  <c r="F278" i="28"/>
  <c r="F168" i="28"/>
  <c r="F293" i="28" s="1"/>
  <c r="E159" i="28"/>
  <c r="E286" i="28" s="1"/>
  <c r="E271" i="28"/>
  <c r="C270" i="28"/>
  <c r="C156" i="28"/>
  <c r="C285" i="28" s="1"/>
  <c r="H220" i="28"/>
  <c r="O331" i="27"/>
  <c r="O506" i="27" s="1"/>
  <c r="K328" i="27"/>
  <c r="K503" i="27" s="1"/>
  <c r="O327" i="27"/>
  <c r="O502" i="27" s="1"/>
  <c r="E327" i="27"/>
  <c r="E502" i="27" s="1"/>
  <c r="O325" i="27"/>
  <c r="O500" i="27" s="1"/>
  <c r="E325" i="27"/>
  <c r="E500" i="27" s="1"/>
  <c r="K324" i="27"/>
  <c r="K499" i="27" s="1"/>
  <c r="O323" i="27"/>
  <c r="O498" i="27" s="1"/>
  <c r="K322" i="27"/>
  <c r="K497" i="27" s="1"/>
  <c r="O321" i="27"/>
  <c r="O496" i="27" s="1"/>
  <c r="O319" i="27"/>
  <c r="O494" i="27" s="1"/>
  <c r="E319" i="27"/>
  <c r="E494" i="27" s="1"/>
  <c r="O317" i="27"/>
  <c r="O492" i="27" s="1"/>
  <c r="E317" i="27"/>
  <c r="E492" i="27" s="1"/>
  <c r="O312" i="27"/>
  <c r="O491" i="27" s="1"/>
  <c r="H265" i="27"/>
  <c r="E307" i="27"/>
  <c r="E490" i="27" s="1"/>
  <c r="H255" i="27"/>
  <c r="H140" i="27"/>
  <c r="H409" i="27" s="1"/>
  <c r="H138" i="27"/>
  <c r="H407" i="27" s="1"/>
  <c r="H136" i="27"/>
  <c r="H405" i="27" s="1"/>
  <c r="H130" i="27"/>
  <c r="H399" i="27" s="1"/>
  <c r="H280" i="26"/>
  <c r="C324" i="26"/>
  <c r="C496" i="26" s="1"/>
  <c r="E323" i="26"/>
  <c r="E495" i="26" s="1"/>
  <c r="G320" i="26"/>
  <c r="G492" i="26" s="1"/>
  <c r="H272" i="26"/>
  <c r="E317" i="26"/>
  <c r="E489" i="26" s="1"/>
  <c r="C312" i="26"/>
  <c r="C488" i="26" s="1"/>
  <c r="H246" i="26"/>
  <c r="H383" i="26"/>
  <c r="H139" i="26"/>
  <c r="H405" i="26" s="1"/>
  <c r="H131" i="26"/>
  <c r="H397" i="26" s="1"/>
  <c r="H375" i="26"/>
  <c r="H115" i="26"/>
  <c r="H392" i="26" s="1"/>
  <c r="H107" i="26"/>
  <c r="H99" i="26"/>
  <c r="O270" i="23"/>
  <c r="N478" i="27"/>
  <c r="N328" i="27"/>
  <c r="N503" i="27" s="1"/>
  <c r="D476" i="27"/>
  <c r="D326" i="27"/>
  <c r="D501" i="27" s="1"/>
  <c r="J474" i="27"/>
  <c r="J324" i="27"/>
  <c r="J499" i="27" s="1"/>
  <c r="N470" i="27"/>
  <c r="N320" i="27"/>
  <c r="N495" i="27" s="1"/>
  <c r="D468" i="27"/>
  <c r="D318" i="27"/>
  <c r="D493" i="27" s="1"/>
  <c r="N466" i="27"/>
  <c r="N312" i="27"/>
  <c r="N491" i="27" s="1"/>
  <c r="D464" i="27"/>
  <c r="D302" i="27"/>
  <c r="D489" i="27" s="1"/>
  <c r="N462" i="27"/>
  <c r="N292" i="27"/>
  <c r="N487" i="27" s="1"/>
  <c r="P478" i="27"/>
  <c r="P476" i="27"/>
  <c r="P474" i="27"/>
  <c r="P472" i="27"/>
  <c r="P322" i="27"/>
  <c r="P497" i="27" s="1"/>
  <c r="P470" i="27"/>
  <c r="P468" i="27"/>
  <c r="D331" i="26"/>
  <c r="D503" i="26" s="1"/>
  <c r="F461" i="26"/>
  <c r="F302" i="26"/>
  <c r="F486" i="26" s="1"/>
  <c r="G66" i="8"/>
  <c r="K66" i="8" s="1"/>
  <c r="G30" i="8"/>
  <c r="K30" i="8" s="1"/>
  <c r="G180" i="23"/>
  <c r="G279" i="23" s="1"/>
  <c r="G210" i="23"/>
  <c r="B37" i="8"/>
  <c r="L82" i="22"/>
  <c r="L232" i="22" s="1"/>
  <c r="F15" i="8"/>
  <c r="L209" i="22"/>
  <c r="L171" i="22"/>
  <c r="L278" i="22" s="1"/>
  <c r="X260" i="25"/>
  <c r="X183" i="25"/>
  <c r="X282" i="25" s="1"/>
  <c r="L253" i="25"/>
  <c r="L176" i="25"/>
  <c r="L275" i="25" s="1"/>
  <c r="L168" i="25"/>
  <c r="L160" i="25"/>
  <c r="L185" i="24"/>
  <c r="L285" i="24" s="1"/>
  <c r="L254" i="24"/>
  <c r="L176" i="24"/>
  <c r="L276" i="24" s="1"/>
  <c r="L147" i="23"/>
  <c r="X155" i="23"/>
  <c r="N465" i="27"/>
  <c r="N307" i="27"/>
  <c r="N490" i="27" s="1"/>
  <c r="D297" i="27"/>
  <c r="D488" i="27" s="1"/>
  <c r="D463" i="27"/>
  <c r="H9" i="27"/>
  <c r="H103" i="27" s="1"/>
  <c r="L203" i="25"/>
  <c r="G69" i="8"/>
  <c r="K69" i="8" s="1"/>
  <c r="X203" i="23"/>
  <c r="L179" i="22"/>
  <c r="L286" i="22" s="1"/>
  <c r="L264" i="22"/>
  <c r="L261" i="22"/>
  <c r="L176" i="22"/>
  <c r="L283" i="22" s="1"/>
  <c r="L169" i="22"/>
  <c r="L276" i="22" s="1"/>
  <c r="L250" i="22"/>
  <c r="D276" i="28"/>
  <c r="D166" i="28"/>
  <c r="D291" i="28" s="1"/>
  <c r="F156" i="28"/>
  <c r="F285" i="28" s="1"/>
  <c r="F270" i="28"/>
  <c r="N476" i="27"/>
  <c r="N326" i="27"/>
  <c r="N501" i="27" s="1"/>
  <c r="D474" i="27"/>
  <c r="D324" i="27"/>
  <c r="D499" i="27" s="1"/>
  <c r="J472" i="27"/>
  <c r="J322" i="27"/>
  <c r="J497" i="27" s="1"/>
  <c r="N468" i="27"/>
  <c r="N318" i="27"/>
  <c r="N493" i="27" s="1"/>
  <c r="N464" i="27"/>
  <c r="N302" i="27"/>
  <c r="N489" i="27" s="1"/>
  <c r="H481" i="27"/>
  <c r="H477" i="27"/>
  <c r="H475" i="27"/>
  <c r="H473" i="27"/>
  <c r="H471" i="27"/>
  <c r="H469" i="27"/>
  <c r="H467" i="27"/>
  <c r="D325" i="26"/>
  <c r="D497" i="26" s="1"/>
  <c r="F322" i="26"/>
  <c r="F494" i="26" s="1"/>
  <c r="H461" i="26"/>
  <c r="B349" i="32"/>
  <c r="G60" i="8"/>
  <c r="K60" i="8" s="1"/>
  <c r="G7" i="8"/>
  <c r="K7" i="8" s="1"/>
  <c r="L203" i="22"/>
  <c r="N471" i="27"/>
  <c r="N321" i="27"/>
  <c r="N496" i="27" s="1"/>
  <c r="L202" i="25"/>
  <c r="L204" i="22"/>
  <c r="X180" i="25"/>
  <c r="X279" i="25" s="1"/>
  <c r="X257" i="25"/>
  <c r="L252" i="25"/>
  <c r="L171" i="25"/>
  <c r="L163" i="25"/>
  <c r="L155" i="25"/>
  <c r="L147" i="25"/>
  <c r="L169" i="24"/>
  <c r="L153" i="24"/>
  <c r="L175" i="23"/>
  <c r="L158" i="23"/>
  <c r="L149" i="23"/>
  <c r="L186" i="24"/>
  <c r="L286" i="24" s="1"/>
  <c r="L264" i="24"/>
  <c r="L160" i="24"/>
  <c r="L161" i="23"/>
  <c r="B320" i="26"/>
  <c r="B492" i="26" s="1"/>
  <c r="B467" i="26"/>
  <c r="L181" i="25"/>
  <c r="L280" i="25" s="1"/>
  <c r="L184" i="24"/>
  <c r="L284" i="24" s="1"/>
  <c r="R206" i="30"/>
  <c r="R133" i="30"/>
  <c r="R231" i="30" s="1"/>
  <c r="R357" i="20"/>
  <c r="R108" i="30"/>
  <c r="J467" i="27"/>
  <c r="J317" i="27"/>
  <c r="J492" i="27" s="1"/>
  <c r="L174" i="23"/>
  <c r="F272" i="28"/>
  <c r="F162" i="28"/>
  <c r="F287" i="28" s="1"/>
  <c r="F320" i="26"/>
  <c r="F492" i="26" s="1"/>
  <c r="F467" i="26"/>
  <c r="L187" i="25"/>
  <c r="L286" i="25" s="1"/>
  <c r="L180" i="24"/>
  <c r="L280" i="24" s="1"/>
  <c r="L150" i="24"/>
  <c r="L248" i="24"/>
  <c r="J481" i="27"/>
  <c r="J331" i="27"/>
  <c r="J506" i="27" s="1"/>
  <c r="B328" i="26"/>
  <c r="B500" i="26" s="1"/>
  <c r="B475" i="26"/>
  <c r="P362" i="27"/>
  <c r="P234" i="27"/>
  <c r="E28" i="13"/>
  <c r="L230" i="22"/>
  <c r="L170" i="22"/>
  <c r="L277" i="22" s="1"/>
  <c r="L202" i="22"/>
  <c r="G25" i="8"/>
  <c r="K25" i="8" s="1"/>
  <c r="G6" i="8"/>
  <c r="K6" i="8" s="1"/>
  <c r="X412" i="7"/>
  <c r="J475" i="27"/>
  <c r="J325" i="27"/>
  <c r="J500" i="27" s="1"/>
  <c r="X151" i="25"/>
  <c r="P450" i="27" l="1"/>
  <c r="I241" i="30"/>
  <c r="I236" i="30"/>
  <c r="R241" i="30"/>
  <c r="R233" i="30"/>
  <c r="I237" i="30"/>
  <c r="I234" i="30"/>
  <c r="I233" i="30"/>
  <c r="I238" i="30"/>
  <c r="I232" i="30"/>
  <c r="R232" i="30"/>
  <c r="R238" i="30"/>
  <c r="R236" i="30"/>
  <c r="R235" i="30"/>
  <c r="R237" i="30"/>
  <c r="R234" i="30"/>
  <c r="I235" i="30"/>
  <c r="I228" i="29"/>
  <c r="I224" i="29"/>
  <c r="I223" i="29"/>
  <c r="I221" i="29"/>
  <c r="I219" i="29"/>
  <c r="I225" i="29"/>
  <c r="I222" i="29"/>
  <c r="I220" i="29"/>
  <c r="H453" i="27"/>
  <c r="H450" i="27"/>
  <c r="P456" i="27"/>
  <c r="H456" i="26"/>
  <c r="H451" i="27"/>
  <c r="P451" i="27"/>
  <c r="P454" i="27"/>
  <c r="H450" i="26"/>
  <c r="H451" i="26"/>
  <c r="H453" i="26"/>
  <c r="H449" i="27"/>
  <c r="P449" i="27"/>
  <c r="P459" i="27"/>
  <c r="H454" i="27"/>
  <c r="P452" i="27"/>
  <c r="H452" i="26"/>
  <c r="H455" i="27"/>
  <c r="H447" i="26"/>
  <c r="H448" i="26"/>
  <c r="H452" i="27"/>
  <c r="H456" i="27"/>
  <c r="H449" i="26"/>
  <c r="H459" i="27"/>
  <c r="P453" i="27"/>
  <c r="I104" i="30"/>
  <c r="I222" i="30" s="1"/>
  <c r="P331" i="27"/>
  <c r="P506" i="27" s="1"/>
  <c r="H195" i="27"/>
  <c r="H289" i="27" s="1"/>
  <c r="I226" i="30"/>
  <c r="I225" i="30"/>
  <c r="I223" i="30"/>
  <c r="I167" i="29"/>
  <c r="H151" i="28"/>
  <c r="H283" i="28" s="1"/>
  <c r="B491" i="27"/>
  <c r="B444" i="27"/>
  <c r="P393" i="27"/>
  <c r="P218" i="27"/>
  <c r="P444" i="27" s="1"/>
  <c r="P350" i="27"/>
  <c r="P325" i="27"/>
  <c r="P500" i="27" s="1"/>
  <c r="P320" i="27"/>
  <c r="P495" i="27" s="1"/>
  <c r="P102" i="27"/>
  <c r="H206" i="27"/>
  <c r="H300" i="27" s="1"/>
  <c r="G349" i="32"/>
  <c r="F28" i="13" s="1"/>
  <c r="J28" i="13" s="1"/>
  <c r="P318" i="27"/>
  <c r="P493" i="27" s="1"/>
  <c r="P397" i="27"/>
  <c r="I224" i="30"/>
  <c r="M444" i="27"/>
  <c r="X272" i="23"/>
  <c r="H327" i="27"/>
  <c r="H502" i="27" s="1"/>
  <c r="H326" i="27"/>
  <c r="H501" i="27" s="1"/>
  <c r="H442" i="27"/>
  <c r="H323" i="27"/>
  <c r="H498" i="27" s="1"/>
  <c r="H440" i="26"/>
  <c r="H318" i="26"/>
  <c r="H490" i="26" s="1"/>
  <c r="X272" i="25"/>
  <c r="X270" i="25"/>
  <c r="X274" i="25"/>
  <c r="X270" i="23"/>
  <c r="L271" i="23"/>
  <c r="L273" i="23"/>
  <c r="L273" i="22"/>
  <c r="H319" i="27"/>
  <c r="H494" i="27" s="1"/>
  <c r="P324" i="27"/>
  <c r="P499" i="27" s="1"/>
  <c r="H443" i="27"/>
  <c r="H317" i="27"/>
  <c r="H492" i="27" s="1"/>
  <c r="H321" i="27"/>
  <c r="H496" i="27" s="1"/>
  <c r="N488" i="27"/>
  <c r="P317" i="27"/>
  <c r="P492" i="27" s="1"/>
  <c r="H165" i="28"/>
  <c r="H290" i="28" s="1"/>
  <c r="H170" i="28"/>
  <c r="H295" i="28" s="1"/>
  <c r="H166" i="28"/>
  <c r="H291" i="28" s="1"/>
  <c r="H395" i="27"/>
  <c r="L274" i="25"/>
  <c r="X271" i="25"/>
  <c r="R226" i="30"/>
  <c r="I210" i="29"/>
  <c r="L274" i="24"/>
  <c r="L272" i="24"/>
  <c r="H322" i="27"/>
  <c r="H497" i="27" s="1"/>
  <c r="H328" i="27"/>
  <c r="H503" i="27" s="1"/>
  <c r="H326" i="26"/>
  <c r="H498" i="26" s="1"/>
  <c r="L272" i="22"/>
  <c r="L271" i="22"/>
  <c r="H265" i="28"/>
  <c r="N441" i="27"/>
  <c r="P394" i="27"/>
  <c r="H331" i="27"/>
  <c r="H506" i="27" s="1"/>
  <c r="P302" i="27"/>
  <c r="P489" i="27" s="1"/>
  <c r="P395" i="27"/>
  <c r="H441" i="26"/>
  <c r="H390" i="26"/>
  <c r="H322" i="26"/>
  <c r="H494" i="26" s="1"/>
  <c r="H391" i="26"/>
  <c r="H438" i="26"/>
  <c r="H328" i="26"/>
  <c r="H500" i="26" s="1"/>
  <c r="H393" i="26"/>
  <c r="H350" i="26"/>
  <c r="H124" i="26"/>
  <c r="H394" i="26" s="1"/>
  <c r="P326" i="27"/>
  <c r="P501" i="27" s="1"/>
  <c r="P319" i="27"/>
  <c r="P494" i="27" s="1"/>
  <c r="H104" i="27"/>
  <c r="H393" i="27" s="1"/>
  <c r="G350" i="32"/>
  <c r="F29" i="13" s="1"/>
  <c r="J29" i="13" s="1"/>
  <c r="B394" i="27"/>
  <c r="H325" i="27"/>
  <c r="H500" i="27" s="1"/>
  <c r="H320" i="27"/>
  <c r="H495" i="27" s="1"/>
  <c r="P441" i="27"/>
  <c r="H193" i="27"/>
  <c r="H287" i="27" s="1"/>
  <c r="X273" i="25"/>
  <c r="L270" i="24"/>
  <c r="X271" i="23"/>
  <c r="L270" i="23"/>
  <c r="L274" i="22"/>
  <c r="L270" i="22"/>
  <c r="G43" i="8"/>
  <c r="K43" i="8" s="1"/>
  <c r="G15" i="8"/>
  <c r="K15" i="8" s="1"/>
  <c r="G37" i="8"/>
  <c r="K37" i="8" s="1"/>
  <c r="P292" i="27"/>
  <c r="P487" i="27" s="1"/>
  <c r="H439" i="26"/>
  <c r="H302" i="26"/>
  <c r="H486" i="26" s="1"/>
  <c r="P194" i="27"/>
  <c r="P288" i="27" s="1"/>
  <c r="P100" i="27"/>
  <c r="G38" i="8"/>
  <c r="K38" i="8" s="1"/>
  <c r="H324" i="27"/>
  <c r="H499" i="27" s="1"/>
  <c r="P323" i="27"/>
  <c r="P498" i="27" s="1"/>
  <c r="H470" i="26"/>
  <c r="H323" i="26"/>
  <c r="H495" i="26" s="1"/>
  <c r="H271" i="28"/>
  <c r="H159" i="28"/>
  <c r="H286" i="28" s="1"/>
  <c r="H273" i="28"/>
  <c r="H163" i="28"/>
  <c r="H288" i="28" s="1"/>
  <c r="I209" i="29"/>
  <c r="I211" i="29"/>
  <c r="H227" i="26"/>
  <c r="H424" i="26"/>
  <c r="B440" i="27"/>
  <c r="B292" i="27"/>
  <c r="B487" i="27" s="1"/>
  <c r="P297" i="27"/>
  <c r="P488" i="27" s="1"/>
  <c r="H350" i="27"/>
  <c r="H124" i="27"/>
  <c r="H397" i="27" s="1"/>
  <c r="H218" i="27"/>
  <c r="H444" i="27" s="1"/>
  <c r="N349" i="32"/>
  <c r="F54" i="13" s="1"/>
  <c r="J54" i="13" s="1"/>
  <c r="H272" i="28"/>
  <c r="H162" i="28"/>
  <c r="H287" i="28" s="1"/>
  <c r="H197" i="27"/>
  <c r="H291" i="27" s="1"/>
  <c r="H466" i="27"/>
  <c r="H277" i="28"/>
  <c r="H167" i="28"/>
  <c r="H292" i="28" s="1"/>
  <c r="H270" i="28"/>
  <c r="H156" i="28"/>
  <c r="H285" i="28" s="1"/>
  <c r="G63" i="8"/>
  <c r="K63" i="8" s="1"/>
  <c r="P443" i="27"/>
  <c r="P307" i="27"/>
  <c r="P490" i="27" s="1"/>
  <c r="H472" i="26"/>
  <c r="H325" i="26"/>
  <c r="H497" i="26" s="1"/>
  <c r="R224" i="30"/>
  <c r="L271" i="25"/>
  <c r="H347" i="27"/>
  <c r="H109" i="27"/>
  <c r="H394" i="27" s="1"/>
  <c r="H460" i="26"/>
  <c r="H297" i="26"/>
  <c r="H485" i="26" s="1"/>
  <c r="H463" i="27"/>
  <c r="H297" i="27"/>
  <c r="L274" i="23"/>
  <c r="C446" i="26"/>
  <c r="C321" i="26"/>
  <c r="C493" i="26" s="1"/>
  <c r="E441" i="26"/>
  <c r="E312" i="26"/>
  <c r="E488" i="26" s="1"/>
  <c r="H415" i="27"/>
  <c r="H198" i="27"/>
  <c r="H440" i="27" s="1"/>
  <c r="L273" i="25"/>
  <c r="G45" i="8"/>
  <c r="K45" i="8" s="1"/>
  <c r="L272" i="23"/>
  <c r="I212" i="29"/>
  <c r="P328" i="27"/>
  <c r="P503" i="27" s="1"/>
  <c r="H293" i="26"/>
  <c r="H459" i="26"/>
  <c r="H466" i="26"/>
  <c r="H319" i="26"/>
  <c r="H491" i="26" s="1"/>
  <c r="H464" i="27"/>
  <c r="H302" i="27"/>
  <c r="H489" i="27" s="1"/>
  <c r="B441" i="27"/>
  <c r="B297" i="27"/>
  <c r="B488" i="27" s="1"/>
  <c r="G40" i="8"/>
  <c r="K40" i="8" s="1"/>
  <c r="H312" i="26"/>
  <c r="H488" i="26" s="1"/>
  <c r="H464" i="26"/>
  <c r="H317" i="26"/>
  <c r="H489" i="26" s="1"/>
  <c r="G36" i="8"/>
  <c r="K36" i="8" s="1"/>
  <c r="L270" i="25"/>
  <c r="G61" i="8"/>
  <c r="K61" i="8" s="1"/>
  <c r="G35" i="8"/>
  <c r="K35" i="8" s="1"/>
  <c r="H318" i="27"/>
  <c r="H493" i="27" s="1"/>
  <c r="P321" i="27"/>
  <c r="P496" i="27" s="1"/>
  <c r="I213" i="29"/>
  <c r="R223" i="30"/>
  <c r="G41" i="8"/>
  <c r="K41" i="8" s="1"/>
  <c r="R225" i="30"/>
  <c r="H324" i="26"/>
  <c r="H496" i="26" s="1"/>
  <c r="L172" i="22"/>
  <c r="L279" i="22" s="1"/>
  <c r="L271" i="24"/>
  <c r="G64" i="8"/>
  <c r="K64" i="8" s="1"/>
  <c r="H468" i="26"/>
  <c r="H478" i="26"/>
  <c r="H331" i="26"/>
  <c r="H503" i="26" s="1"/>
  <c r="R104" i="30"/>
  <c r="R222" i="30" s="1"/>
  <c r="H474" i="26"/>
  <c r="H327" i="26"/>
  <c r="H499" i="26" s="1"/>
  <c r="H269" i="28"/>
  <c r="H154" i="28"/>
  <c r="H284" i="28" s="1"/>
  <c r="G39" i="8"/>
  <c r="K39" i="8" s="1"/>
  <c r="G44" i="8"/>
  <c r="K44" i="8" s="1"/>
  <c r="H465" i="27"/>
  <c r="H307" i="27"/>
  <c r="H490" i="27" s="1"/>
  <c r="L180" i="23"/>
  <c r="L279" i="23" s="1"/>
  <c r="H462" i="27"/>
  <c r="E449" i="27"/>
  <c r="E321" i="27"/>
  <c r="E496" i="27" s="1"/>
  <c r="L273" i="24"/>
  <c r="L272" i="25"/>
  <c r="H320" i="26"/>
  <c r="H492" i="26" s="1"/>
  <c r="H462" i="26"/>
  <c r="H307" i="26"/>
  <c r="H487" i="26" s="1"/>
  <c r="H207" i="27"/>
  <c r="H301" i="27" s="1"/>
  <c r="H437" i="26"/>
  <c r="H292" i="26"/>
  <c r="P312" i="27" l="1"/>
  <c r="P491" i="27" s="1"/>
  <c r="H446" i="26"/>
  <c r="H484" i="26"/>
  <c r="H321" i="26"/>
  <c r="H493" i="26" s="1"/>
  <c r="H292" i="27"/>
  <c r="H487" i="27" s="1"/>
  <c r="H488" i="27"/>
  <c r="H441" i="27"/>
  <c r="H312" i="27"/>
  <c r="H491"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dfguser</author>
    <author>Chuck Tracy</author>
  </authors>
  <commentList>
    <comment ref="C15" authorId="0" shapeId="0" xr:uid="{00000000-0006-0000-0400-000001000000}">
      <text>
        <r>
          <rPr>
            <b/>
            <sz val="8"/>
            <color indexed="81"/>
            <rFont val="Tahoma"/>
            <family val="2"/>
          </rPr>
          <t>J Simon</t>
        </r>
        <r>
          <rPr>
            <sz val="8"/>
            <color indexed="81"/>
            <rFont val="Tahoma"/>
            <family val="2"/>
          </rPr>
          <t xml:space="preserve">
Fish caught in OR
</t>
        </r>
      </text>
    </comment>
    <comment ref="C16" authorId="0" shapeId="0" xr:uid="{00000000-0006-0000-0400-000002000000}">
      <text>
        <r>
          <rPr>
            <b/>
            <sz val="8"/>
            <color indexed="81"/>
            <rFont val="Tahoma"/>
            <family val="2"/>
          </rPr>
          <t>J Simon
Fish caught in OR</t>
        </r>
        <r>
          <rPr>
            <sz val="8"/>
            <color indexed="81"/>
            <rFont val="Tahoma"/>
            <family val="2"/>
          </rPr>
          <t xml:space="preserve">
</t>
        </r>
      </text>
    </comment>
    <comment ref="E16" authorId="0" shapeId="0" xr:uid="{00000000-0006-0000-0400-000003000000}">
      <text>
        <r>
          <rPr>
            <b/>
            <sz val="8"/>
            <color indexed="81"/>
            <rFont val="Tahoma"/>
            <family val="2"/>
          </rPr>
          <t>J Simon</t>
        </r>
        <r>
          <rPr>
            <sz val="8"/>
            <color indexed="81"/>
            <rFont val="Tahoma"/>
            <family val="2"/>
          </rPr>
          <t xml:space="preserve">
Fish caught in OR</t>
        </r>
      </text>
    </comment>
    <comment ref="C17" authorId="0" shapeId="0" xr:uid="{00000000-0006-0000-0400-000004000000}">
      <text>
        <r>
          <rPr>
            <b/>
            <sz val="8"/>
            <color indexed="81"/>
            <rFont val="Tahoma"/>
            <family val="2"/>
          </rPr>
          <t>J Simon</t>
        </r>
        <r>
          <rPr>
            <sz val="8"/>
            <color indexed="81"/>
            <rFont val="Tahoma"/>
            <family val="2"/>
          </rPr>
          <t xml:space="preserve">
Fish caught in OR</t>
        </r>
      </text>
    </comment>
    <comment ref="C18" authorId="0" shapeId="0" xr:uid="{00000000-0006-0000-0400-000005000000}">
      <text>
        <r>
          <rPr>
            <b/>
            <sz val="8"/>
            <color indexed="81"/>
            <rFont val="Tahoma"/>
            <family val="2"/>
          </rPr>
          <t>J Simon</t>
        </r>
        <r>
          <rPr>
            <sz val="8"/>
            <color indexed="81"/>
            <rFont val="Tahoma"/>
            <family val="2"/>
          </rPr>
          <t xml:space="preserve">
Fish caught in OR</t>
        </r>
      </text>
    </comment>
    <comment ref="G31" authorId="1" shapeId="0" xr:uid="{00000000-0006-0000-0400-000006000000}">
      <text>
        <r>
          <rPr>
            <b/>
            <sz val="8"/>
            <color indexed="81"/>
            <rFont val="Tahoma"/>
            <family val="2"/>
          </rPr>
          <t>Chuck Tracy:</t>
        </r>
        <r>
          <rPr>
            <sz val="8"/>
            <color indexed="81"/>
            <rFont val="Tahoma"/>
            <family val="2"/>
          </rPr>
          <t xml:space="preserve">
Includes 372 chinook caught in OR.</t>
        </r>
      </text>
    </comment>
    <comment ref="H31" authorId="1" shapeId="0" xr:uid="{00000000-0006-0000-0400-000007000000}">
      <text>
        <r>
          <rPr>
            <b/>
            <sz val="8"/>
            <color indexed="81"/>
            <rFont val="Tahoma"/>
            <family val="2"/>
          </rPr>
          <t>Chuck Tracy:</t>
        </r>
        <r>
          <rPr>
            <sz val="8"/>
            <color indexed="81"/>
            <rFont val="Tahoma"/>
            <family val="2"/>
          </rPr>
          <t xml:space="preserve">
331 from Oct and 93 form Nov caught in OR
</t>
        </r>
      </text>
    </comment>
    <comment ref="B32" authorId="0" shapeId="0" xr:uid="{00000000-0006-0000-0400-000008000000}">
      <text>
        <r>
          <rPr>
            <b/>
            <sz val="8"/>
            <color indexed="81"/>
            <rFont val="Tahoma"/>
            <family val="2"/>
          </rPr>
          <t>J Simon
Fish caught in OR</t>
        </r>
        <r>
          <rPr>
            <sz val="8"/>
            <color indexed="81"/>
            <rFont val="Tahoma"/>
            <family val="2"/>
          </rPr>
          <t xml:space="preserve">
</t>
        </r>
      </text>
    </comment>
    <comment ref="C32" authorId="0" shapeId="0" xr:uid="{00000000-0006-0000-0400-000009000000}">
      <text>
        <r>
          <rPr>
            <b/>
            <sz val="8"/>
            <color indexed="81"/>
            <rFont val="Tahoma"/>
            <family val="2"/>
          </rPr>
          <t>J Simon
Fish caught in OR</t>
        </r>
        <r>
          <rPr>
            <sz val="8"/>
            <color indexed="81"/>
            <rFont val="Tahoma"/>
            <family val="2"/>
          </rPr>
          <t xml:space="preserve">
</t>
        </r>
      </text>
    </comment>
    <comment ref="D32" authorId="0" shapeId="0" xr:uid="{00000000-0006-0000-0400-00000A000000}">
      <text>
        <r>
          <rPr>
            <b/>
            <sz val="8"/>
            <color indexed="81"/>
            <rFont val="Tahoma"/>
            <family val="2"/>
          </rPr>
          <t>J Simon
Fish caught in OR</t>
        </r>
        <r>
          <rPr>
            <sz val="8"/>
            <color indexed="81"/>
            <rFont val="Tahoma"/>
            <family val="2"/>
          </rPr>
          <t xml:space="preserve">
</t>
        </r>
      </text>
    </comment>
    <comment ref="H32" authorId="0" shapeId="0" xr:uid="{00000000-0006-0000-0400-00000B000000}">
      <text>
        <r>
          <rPr>
            <b/>
            <sz val="8"/>
            <color indexed="81"/>
            <rFont val="Tahoma"/>
            <family val="2"/>
          </rPr>
          <t>JSimon:
153(Oct.)+9(Nov.)</t>
        </r>
        <r>
          <rPr>
            <sz val="8"/>
            <color indexed="81"/>
            <rFont val="Tahoma"/>
            <family val="2"/>
          </rPr>
          <t xml:space="preserve">
</t>
        </r>
      </text>
    </comment>
    <comment ref="B33" authorId="0" shapeId="0" xr:uid="{00000000-0006-0000-0400-00000C000000}">
      <text>
        <r>
          <rPr>
            <b/>
            <sz val="8"/>
            <color indexed="81"/>
            <rFont val="Tahoma"/>
            <family val="2"/>
          </rPr>
          <t>J Simon
Fish caught in OR</t>
        </r>
        <r>
          <rPr>
            <sz val="8"/>
            <color indexed="81"/>
            <rFont val="Tahoma"/>
            <family val="2"/>
          </rPr>
          <t xml:space="preserve">
</t>
        </r>
      </text>
    </comment>
    <comment ref="D33" authorId="0" shapeId="0" xr:uid="{00000000-0006-0000-0400-00000D000000}">
      <text>
        <r>
          <rPr>
            <b/>
            <sz val="8"/>
            <color indexed="81"/>
            <rFont val="Tahoma"/>
            <family val="2"/>
          </rPr>
          <t>J Simon
Fish caught in OR</t>
        </r>
        <r>
          <rPr>
            <sz val="8"/>
            <color indexed="81"/>
            <rFont val="Tahoma"/>
            <family val="2"/>
          </rPr>
          <t xml:space="preserve">
</t>
        </r>
      </text>
    </comment>
    <comment ref="E33" authorId="0" shapeId="0" xr:uid="{00000000-0006-0000-0400-00000E000000}">
      <text>
        <r>
          <rPr>
            <b/>
            <sz val="8"/>
            <color indexed="81"/>
            <rFont val="Tahoma"/>
            <family val="2"/>
          </rPr>
          <t>JSimon:</t>
        </r>
        <r>
          <rPr>
            <sz val="8"/>
            <color indexed="81"/>
            <rFont val="Tahoma"/>
            <family val="2"/>
          </rPr>
          <t xml:space="preserve">
Includes 5245chinook caught in OR
</t>
        </r>
      </text>
    </comment>
    <comment ref="F33" authorId="0" shapeId="0" xr:uid="{00000000-0006-0000-0400-00000F000000}">
      <text>
        <r>
          <rPr>
            <b/>
            <sz val="8"/>
            <color indexed="81"/>
            <rFont val="Tahoma"/>
            <family val="2"/>
          </rPr>
          <t>JSimon:</t>
        </r>
        <r>
          <rPr>
            <sz val="8"/>
            <color indexed="81"/>
            <rFont val="Tahoma"/>
            <family val="2"/>
          </rPr>
          <t xml:space="preserve">
Includes 19686 chinook caught in OR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Beeghwlb</author>
    <author>reedcjr</author>
  </authors>
  <commentList>
    <comment ref="M12" authorId="0" shapeId="0" xr:uid="{00000000-0006-0000-0E00-000001000000}">
      <text>
        <r>
          <rPr>
            <b/>
            <sz val="8"/>
            <color indexed="81"/>
            <rFont val="Tahoma"/>
            <family val="2"/>
          </rPr>
          <t>Beeghwlb:</t>
        </r>
        <r>
          <rPr>
            <sz val="8"/>
            <color indexed="81"/>
            <rFont val="Tahoma"/>
            <family val="2"/>
          </rPr>
          <t xml:space="preserve">
Fishery closed, but catch
documented</t>
        </r>
      </text>
    </comment>
    <comment ref="T13" authorId="1" shapeId="0" xr:uid="{00000000-0006-0000-0E00-000002000000}">
      <text>
        <r>
          <rPr>
            <b/>
            <sz val="8"/>
            <color indexed="81"/>
            <rFont val="Tahoma"/>
            <family val="2"/>
          </rPr>
          <t>reedcjr:</t>
        </r>
        <r>
          <rPr>
            <sz val="8"/>
            <color indexed="81"/>
            <rFont val="Tahoma"/>
            <family val="2"/>
          </rPr>
          <t xml:space="preserve">
all fisheries closed 7/31, statewide</t>
        </r>
      </text>
    </comment>
    <comment ref="L15" authorId="0" shapeId="0" xr:uid="{00000000-0006-0000-0E00-000003000000}">
      <text>
        <r>
          <rPr>
            <b/>
            <sz val="8"/>
            <color indexed="81"/>
            <rFont val="Tahoma"/>
            <family val="2"/>
          </rPr>
          <t>Beeghwlb:</t>
        </r>
        <r>
          <rPr>
            <sz val="8"/>
            <color indexed="81"/>
            <rFont val="Tahoma"/>
            <family val="2"/>
          </rPr>
          <t xml:space="preserve">
Fishery closed, but catch documented</t>
        </r>
      </text>
    </comment>
    <comment ref="M15" authorId="0" shapeId="0" xr:uid="{00000000-0006-0000-0E00-000004000000}">
      <text>
        <r>
          <rPr>
            <b/>
            <sz val="8"/>
            <color indexed="81"/>
            <rFont val="Tahoma"/>
            <family val="2"/>
          </rPr>
          <t>Beeghwlb:</t>
        </r>
        <r>
          <rPr>
            <sz val="8"/>
            <color indexed="81"/>
            <rFont val="Tahoma"/>
            <family val="2"/>
          </rPr>
          <t xml:space="preserve">
Fishery closed, but catch documented</t>
        </r>
      </text>
    </comment>
    <comment ref="D18" authorId="0" shapeId="0" xr:uid="{00000000-0006-0000-0E00-000005000000}">
      <text>
        <r>
          <rPr>
            <b/>
            <sz val="8"/>
            <color indexed="81"/>
            <rFont val="Tahoma"/>
            <family val="2"/>
          </rPr>
          <t>Beeghwlb:</t>
        </r>
        <r>
          <rPr>
            <sz val="8"/>
            <color indexed="81"/>
            <rFont val="Tahoma"/>
            <family val="2"/>
          </rPr>
          <t xml:space="preserve">
Fishery closed, but illegal catch documented</t>
        </r>
      </text>
    </comment>
    <comment ref="E18" authorId="0" shapeId="0" xr:uid="{00000000-0006-0000-0E00-000006000000}">
      <text>
        <r>
          <rPr>
            <b/>
            <sz val="8"/>
            <color indexed="81"/>
            <rFont val="Tahoma"/>
            <family val="2"/>
          </rPr>
          <t>Beeghwlb:</t>
        </r>
        <r>
          <rPr>
            <sz val="8"/>
            <color indexed="81"/>
            <rFont val="Tahoma"/>
            <family val="2"/>
          </rPr>
          <t xml:space="preserve">
Fishery closed, but illegal catch documented</t>
        </r>
      </text>
    </comment>
    <comment ref="K18" authorId="0" shapeId="0" xr:uid="{00000000-0006-0000-0E00-000007000000}">
      <text>
        <r>
          <rPr>
            <b/>
            <sz val="8"/>
            <color indexed="81"/>
            <rFont val="Tahoma"/>
            <family val="2"/>
          </rPr>
          <t>Beeghwlb:</t>
        </r>
        <r>
          <rPr>
            <sz val="8"/>
            <color indexed="81"/>
            <rFont val="Tahoma"/>
            <family val="2"/>
          </rPr>
          <t xml:space="preserve">
Fishery closed, but illegal catch documented</t>
        </r>
      </text>
    </comment>
    <comment ref="L18" authorId="0" shapeId="0" xr:uid="{00000000-0006-0000-0E00-000008000000}">
      <text>
        <r>
          <rPr>
            <b/>
            <sz val="8"/>
            <color indexed="81"/>
            <rFont val="Tahoma"/>
            <family val="2"/>
          </rPr>
          <t>Beeghwlb:</t>
        </r>
        <r>
          <rPr>
            <sz val="8"/>
            <color indexed="81"/>
            <rFont val="Tahoma"/>
            <family val="2"/>
          </rPr>
          <t xml:space="preserve">
Fishery closed, but illegal catch documented</t>
        </r>
      </text>
    </comment>
    <comment ref="E25" authorId="0" shapeId="0" xr:uid="{00000000-0006-0000-0E00-000009000000}">
      <text>
        <r>
          <rPr>
            <b/>
            <sz val="8"/>
            <color indexed="81"/>
            <rFont val="Tahoma"/>
            <family val="2"/>
          </rPr>
          <t>Beeghwlb:</t>
        </r>
        <r>
          <rPr>
            <sz val="8"/>
            <color indexed="81"/>
            <rFont val="Tahoma"/>
            <family val="2"/>
          </rPr>
          <t xml:space="preserve">
Fishery closed, but catch documented</t>
        </r>
      </text>
    </comment>
    <comment ref="I104" authorId="0" shapeId="0" xr:uid="{00000000-0006-0000-0E00-00000A000000}">
      <text>
        <r>
          <rPr>
            <b/>
            <sz val="8"/>
            <color indexed="81"/>
            <rFont val="Tahoma"/>
            <family val="2"/>
          </rPr>
          <t>Beeghwlb:</t>
        </r>
        <r>
          <rPr>
            <sz val="8"/>
            <color indexed="81"/>
            <rFont val="Tahoma"/>
            <family val="2"/>
          </rPr>
          <t xml:space="preserve">
Fishery closed, but catch documented</t>
        </r>
      </text>
    </comment>
    <comment ref="I148" authorId="0" shapeId="0" xr:uid="{00000000-0006-0000-0E00-00000B000000}">
      <text>
        <r>
          <rPr>
            <b/>
            <sz val="8"/>
            <color indexed="81"/>
            <rFont val="Tahoma"/>
            <family val="2"/>
          </rPr>
          <t>Beeghwlb:</t>
        </r>
        <r>
          <rPr>
            <sz val="8"/>
            <color indexed="81"/>
            <rFont val="Tahoma"/>
            <family val="2"/>
          </rPr>
          <t xml:space="preserve">
Fishery closed, but catch documented</t>
        </r>
      </text>
    </comment>
    <comment ref="I150" authorId="0" shapeId="0" xr:uid="{00000000-0006-0000-0E00-00000C000000}">
      <text>
        <r>
          <rPr>
            <b/>
            <sz val="8"/>
            <color indexed="81"/>
            <rFont val="Tahoma"/>
            <family val="2"/>
          </rPr>
          <t>Beeghwlb:</t>
        </r>
        <r>
          <rPr>
            <sz val="8"/>
            <color indexed="81"/>
            <rFont val="Tahoma"/>
            <family val="2"/>
          </rPr>
          <t xml:space="preserve">
Fishery closed, but catch documented</t>
        </r>
      </text>
    </comment>
    <comment ref="F154" authorId="0" shapeId="0" xr:uid="{00000000-0006-0000-0E00-00000D000000}">
      <text>
        <r>
          <rPr>
            <b/>
            <sz val="8"/>
            <color indexed="81"/>
            <rFont val="Tahoma"/>
            <family val="2"/>
          </rPr>
          <t>Beeghwlb:</t>
        </r>
        <r>
          <rPr>
            <sz val="8"/>
            <color indexed="81"/>
            <rFont val="Tahoma"/>
            <family val="2"/>
          </rPr>
          <t xml:space="preserve">
Fishery closed, but catch documented</t>
        </r>
      </text>
    </comment>
    <comment ref="M154" authorId="1" shapeId="0" xr:uid="{00000000-0006-0000-0E00-00000E000000}">
      <text>
        <r>
          <rPr>
            <b/>
            <sz val="8"/>
            <color indexed="81"/>
            <rFont val="Tahoma"/>
            <family val="2"/>
          </rPr>
          <t>reedcjr:</t>
        </r>
        <r>
          <rPr>
            <sz val="8"/>
            <color indexed="81"/>
            <rFont val="Tahoma"/>
            <family val="2"/>
          </rPr>
          <t xml:space="preserve">
closed 7/31-statewide</t>
        </r>
      </text>
    </comment>
    <comment ref="E155" authorId="0" shapeId="0" xr:uid="{00000000-0006-0000-0E00-00000F000000}">
      <text>
        <r>
          <rPr>
            <b/>
            <sz val="8"/>
            <color indexed="81"/>
            <rFont val="Tahoma"/>
            <family val="2"/>
          </rPr>
          <t>Beeghwlb:</t>
        </r>
        <r>
          <rPr>
            <sz val="8"/>
            <color indexed="81"/>
            <rFont val="Tahoma"/>
            <family val="2"/>
          </rPr>
          <t xml:space="preserve">
Fishery closed, but catch documented</t>
        </r>
      </text>
    </comment>
    <comment ref="L155" authorId="1" shapeId="0" xr:uid="{00000000-0006-0000-0E00-000010000000}">
      <text>
        <r>
          <rPr>
            <b/>
            <sz val="8"/>
            <color indexed="81"/>
            <rFont val="Tahoma"/>
            <family val="2"/>
          </rPr>
          <t>reedcjr:</t>
        </r>
        <r>
          <rPr>
            <sz val="8"/>
            <color indexed="81"/>
            <rFont val="Tahoma"/>
            <family val="2"/>
          </rPr>
          <t xml:space="preserve">
closed 5/7 for chinook-open area 4--8/4-8/6</t>
        </r>
      </text>
    </comment>
    <comment ref="E156" authorId="0" shapeId="0" xr:uid="{00000000-0006-0000-0E00-000011000000}">
      <text>
        <r>
          <rPr>
            <b/>
            <sz val="8"/>
            <color indexed="81"/>
            <rFont val="Tahoma"/>
            <family val="2"/>
          </rPr>
          <t>Beeghwlb:</t>
        </r>
        <r>
          <rPr>
            <sz val="8"/>
            <color indexed="81"/>
            <rFont val="Tahoma"/>
            <family val="2"/>
          </rPr>
          <t xml:space="preserve">
Fishery closed, but catch documented</t>
        </r>
      </text>
    </comment>
    <comment ref="L156" authorId="1" shapeId="0" xr:uid="{00000000-0006-0000-0E00-000012000000}">
      <text>
        <r>
          <rPr>
            <b/>
            <sz val="8"/>
            <color indexed="81"/>
            <rFont val="Tahoma"/>
            <family val="2"/>
          </rPr>
          <t>reedcjr:</t>
        </r>
        <r>
          <rPr>
            <sz val="8"/>
            <color indexed="81"/>
            <rFont val="Tahoma"/>
            <family val="2"/>
          </rPr>
          <t xml:space="preserve">
open in area 2 and 3--7/15-7/18, area 4 open for chinook--8/3-8/31</t>
        </r>
      </text>
    </comment>
    <comment ref="S156" authorId="1" shapeId="0" xr:uid="{00000000-0006-0000-0E00-000013000000}">
      <text>
        <r>
          <rPr>
            <b/>
            <sz val="8"/>
            <color indexed="81"/>
            <rFont val="Tahoma"/>
            <family val="2"/>
          </rPr>
          <t>reedcjr:</t>
        </r>
        <r>
          <rPr>
            <sz val="8"/>
            <color indexed="81"/>
            <rFont val="Tahoma"/>
            <family val="2"/>
          </rPr>
          <t xml:space="preserve">
open in area 2and 3--7/15-7/18, open in area 4--8/3-8/31</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reedcjr</author>
    <author>WLB</author>
  </authors>
  <commentList>
    <comment ref="B4" authorId="0" shapeId="0" xr:uid="{00000000-0006-0000-1200-000001000000}">
      <text>
        <r>
          <rPr>
            <b/>
            <sz val="8"/>
            <color indexed="81"/>
            <rFont val="Tahoma"/>
            <family val="2"/>
          </rPr>
          <t>reedcjr:</t>
        </r>
        <r>
          <rPr>
            <sz val="8"/>
            <color indexed="81"/>
            <rFont val="Tahoma"/>
            <family val="2"/>
          </rPr>
          <t xml:space="preserve">
closed-334 in March and 246 in April and 445 in January
</t>
        </r>
      </text>
    </comment>
    <comment ref="B7" authorId="0" shapeId="0" xr:uid="{00000000-0006-0000-1200-000002000000}">
      <text>
        <r>
          <rPr>
            <b/>
            <sz val="8"/>
            <color indexed="81"/>
            <rFont val="Tahoma"/>
            <family val="2"/>
          </rPr>
          <t>reedcjr:</t>
        </r>
        <r>
          <rPr>
            <sz val="8"/>
            <color indexed="81"/>
            <rFont val="Tahoma"/>
            <family val="2"/>
          </rPr>
          <t xml:space="preserve">
closed-open 5/12 statewide
</t>
        </r>
      </text>
    </comment>
    <comment ref="H7" authorId="0" shapeId="0" xr:uid="{00000000-0006-0000-1200-000003000000}">
      <text>
        <r>
          <rPr>
            <b/>
            <sz val="8"/>
            <color indexed="81"/>
            <rFont val="Tahoma"/>
            <family val="2"/>
          </rPr>
          <t>reedcjr:</t>
        </r>
        <r>
          <rPr>
            <sz val="8"/>
            <color indexed="81"/>
            <rFont val="Tahoma"/>
            <family val="2"/>
          </rPr>
          <t xml:space="preserve">
closed statwide on 9/3
</t>
        </r>
      </text>
    </comment>
    <comment ref="G8" authorId="0" shapeId="0" xr:uid="{00000000-0006-0000-1200-000004000000}">
      <text>
        <r>
          <rPr>
            <b/>
            <sz val="8"/>
            <color indexed="81"/>
            <rFont val="Tahoma"/>
            <family val="2"/>
          </rPr>
          <t>reedcjr:</t>
        </r>
        <r>
          <rPr>
            <sz val="8"/>
            <color indexed="81"/>
            <rFont val="Tahoma"/>
            <family val="2"/>
          </rPr>
          <t xml:space="preserve">
closed 8/25, area 1 open  until 9/1
</t>
        </r>
      </text>
    </comment>
    <comment ref="H8" authorId="0" shapeId="0" xr:uid="{00000000-0006-0000-1200-000005000000}">
      <text>
        <r>
          <rPr>
            <b/>
            <sz val="8"/>
            <color indexed="81"/>
            <rFont val="Tahoma"/>
            <family val="2"/>
          </rPr>
          <t>reedcjr:</t>
        </r>
        <r>
          <rPr>
            <sz val="8"/>
            <color indexed="81"/>
            <rFont val="Tahoma"/>
            <family val="2"/>
          </rPr>
          <t xml:space="preserve">
closed statewide
</t>
        </r>
      </text>
    </comment>
    <comment ref="B9" authorId="0" shapeId="0" xr:uid="{00000000-0006-0000-1200-000006000000}">
      <text>
        <r>
          <rPr>
            <b/>
            <sz val="8"/>
            <color indexed="81"/>
            <rFont val="Tahoma"/>
            <family val="2"/>
          </rPr>
          <t>reedcjr:</t>
        </r>
        <r>
          <rPr>
            <sz val="8"/>
            <color indexed="81"/>
            <rFont val="Tahoma"/>
            <family val="2"/>
          </rPr>
          <t xml:space="preserve">
closed-open 5/23 statewide
</t>
        </r>
      </text>
    </comment>
    <comment ref="G9" authorId="0" shapeId="0" xr:uid="{00000000-0006-0000-1200-000007000000}">
      <text>
        <r>
          <rPr>
            <b/>
            <sz val="8"/>
            <color indexed="81"/>
            <rFont val="Tahoma"/>
            <family val="2"/>
          </rPr>
          <t>reedcjr:</t>
        </r>
        <r>
          <rPr>
            <sz val="8"/>
            <color indexed="81"/>
            <rFont val="Tahoma"/>
            <family val="2"/>
          </rPr>
          <t xml:space="preserve">
closed 8/26-statewide
</t>
        </r>
      </text>
    </comment>
    <comment ref="H9" authorId="0" shapeId="0" xr:uid="{00000000-0006-0000-1200-000008000000}">
      <text>
        <r>
          <rPr>
            <b/>
            <sz val="8"/>
            <color indexed="81"/>
            <rFont val="Tahoma"/>
            <family val="2"/>
          </rPr>
          <t>reedcjr:</t>
        </r>
        <r>
          <rPr>
            <sz val="8"/>
            <color indexed="81"/>
            <rFont val="Tahoma"/>
            <family val="2"/>
          </rPr>
          <t xml:space="preserve">
closed
</t>
        </r>
      </text>
    </comment>
    <comment ref="B10" authorId="0" shapeId="0" xr:uid="{00000000-0006-0000-1200-000009000000}">
      <text>
        <r>
          <rPr>
            <b/>
            <sz val="8"/>
            <color indexed="81"/>
            <rFont val="Tahoma"/>
            <family val="2"/>
          </rPr>
          <t>reedcjr:</t>
        </r>
        <r>
          <rPr>
            <sz val="8"/>
            <color indexed="81"/>
            <rFont val="Tahoma"/>
            <family val="2"/>
          </rPr>
          <t xml:space="preserve">
closed-open 5/29 statewide
</t>
        </r>
      </text>
    </comment>
    <comment ref="G10" authorId="0" shapeId="0" xr:uid="{00000000-0006-0000-1200-00000A000000}">
      <text>
        <r>
          <rPr>
            <b/>
            <sz val="8"/>
            <color indexed="81"/>
            <rFont val="Tahoma"/>
            <family val="2"/>
          </rPr>
          <t>reedcjr:</t>
        </r>
        <r>
          <rPr>
            <sz val="8"/>
            <color indexed="81"/>
            <rFont val="Tahoma"/>
            <family val="2"/>
          </rPr>
          <t xml:space="preserve">
closed 8/19-statewide
</t>
        </r>
      </text>
    </comment>
    <comment ref="H10" authorId="0" shapeId="0" xr:uid="{00000000-0006-0000-1200-00000B000000}">
      <text>
        <r>
          <rPr>
            <b/>
            <sz val="8"/>
            <color indexed="81"/>
            <rFont val="Tahoma"/>
            <family val="2"/>
          </rPr>
          <t>reedcjr:</t>
        </r>
        <r>
          <rPr>
            <sz val="8"/>
            <color indexed="81"/>
            <rFont val="Tahoma"/>
            <family val="2"/>
          </rPr>
          <t xml:space="preserve">
closed
</t>
        </r>
      </text>
    </comment>
    <comment ref="B11" authorId="0" shapeId="0" xr:uid="{00000000-0006-0000-1200-00000C000000}">
      <text>
        <r>
          <rPr>
            <b/>
            <sz val="8"/>
            <color indexed="81"/>
            <rFont val="Tahoma"/>
            <family val="2"/>
          </rPr>
          <t>reedcjr:</t>
        </r>
        <r>
          <rPr>
            <sz val="8"/>
            <color indexed="81"/>
            <rFont val="Tahoma"/>
            <family val="2"/>
          </rPr>
          <t xml:space="preserve">
closed-open 7/1
</t>
        </r>
      </text>
    </comment>
    <comment ref="C11" authorId="0" shapeId="0" xr:uid="{00000000-0006-0000-1200-00000D000000}">
      <text>
        <r>
          <rPr>
            <b/>
            <sz val="8"/>
            <color indexed="81"/>
            <rFont val="Tahoma"/>
            <family val="2"/>
          </rPr>
          <t>reedcjr:</t>
        </r>
        <r>
          <rPr>
            <sz val="8"/>
            <color indexed="81"/>
            <rFont val="Tahoma"/>
            <family val="2"/>
          </rPr>
          <t xml:space="preserve">
closed-area 2 and 1 open 5/8-6/17-AREA 4 open 7/1
</t>
        </r>
      </text>
    </comment>
    <comment ref="H11" authorId="0" shapeId="0" xr:uid="{00000000-0006-0000-1200-00000E000000}">
      <text>
        <r>
          <rPr>
            <b/>
            <sz val="8"/>
            <color indexed="81"/>
            <rFont val="Tahoma"/>
            <family val="2"/>
          </rPr>
          <t>reedcjr:</t>
        </r>
        <r>
          <rPr>
            <sz val="8"/>
            <color indexed="81"/>
            <rFont val="Tahoma"/>
            <family val="2"/>
          </rPr>
          <t xml:space="preserve">
closed 9/11-statewide
</t>
        </r>
      </text>
    </comment>
    <comment ref="B12" authorId="0" shapeId="0" xr:uid="{00000000-0006-0000-1200-00000F000000}">
      <text>
        <r>
          <rPr>
            <b/>
            <sz val="8"/>
            <color indexed="81"/>
            <rFont val="Tahoma"/>
            <family val="2"/>
          </rPr>
          <t>reedcjr:</t>
        </r>
        <r>
          <rPr>
            <sz val="8"/>
            <color indexed="81"/>
            <rFont val="Tahoma"/>
            <family val="2"/>
          </rPr>
          <t xml:space="preserve">
effort was from march and it should be closed
</t>
        </r>
      </text>
    </comment>
    <comment ref="G12" authorId="0" shapeId="0" xr:uid="{00000000-0006-0000-1200-000010000000}">
      <text>
        <r>
          <rPr>
            <b/>
            <sz val="8"/>
            <color indexed="81"/>
            <rFont val="Tahoma"/>
            <family val="2"/>
          </rPr>
          <t>reedcjr:</t>
        </r>
        <r>
          <rPr>
            <sz val="8"/>
            <color indexed="81"/>
            <rFont val="Tahoma"/>
            <family val="2"/>
          </rPr>
          <t xml:space="preserve">
closed 8/15-closed statewide
</t>
        </r>
      </text>
    </comment>
    <comment ref="B13" authorId="0" shapeId="0" xr:uid="{00000000-0006-0000-1200-000011000000}">
      <text>
        <r>
          <rPr>
            <b/>
            <sz val="8"/>
            <color indexed="81"/>
            <rFont val="Tahoma"/>
            <family val="2"/>
          </rPr>
          <t>reedcjr:</t>
        </r>
        <r>
          <rPr>
            <sz val="8"/>
            <color indexed="81"/>
            <rFont val="Tahoma"/>
            <family val="2"/>
          </rPr>
          <t xml:space="preserve">
illegal effort
</t>
        </r>
      </text>
    </comment>
    <comment ref="C13" authorId="0" shapeId="0" xr:uid="{00000000-0006-0000-1200-000012000000}">
      <text>
        <r>
          <rPr>
            <b/>
            <sz val="8"/>
            <color indexed="81"/>
            <rFont val="Tahoma"/>
            <family val="2"/>
          </rPr>
          <t>reedcjr:</t>
        </r>
        <r>
          <rPr>
            <sz val="8"/>
            <color indexed="81"/>
            <rFont val="Tahoma"/>
            <family val="2"/>
          </rPr>
          <t xml:space="preserve">
Illegal effort
</t>
        </r>
      </text>
    </comment>
    <comment ref="C16" authorId="0" shapeId="0" xr:uid="{00000000-0006-0000-1200-000013000000}">
      <text>
        <r>
          <rPr>
            <b/>
            <sz val="8"/>
            <color indexed="81"/>
            <rFont val="Tahoma"/>
            <family val="2"/>
          </rPr>
          <t>reedcjr:</t>
        </r>
        <r>
          <rPr>
            <sz val="8"/>
            <color indexed="81"/>
            <rFont val="Tahoma"/>
            <family val="2"/>
          </rPr>
          <t xml:space="preserve">
closed-statewide-open 7/3
</t>
        </r>
      </text>
    </comment>
    <comment ref="D18" authorId="0" shapeId="0" xr:uid="{00000000-0006-0000-1200-000014000000}">
      <text>
        <r>
          <rPr>
            <b/>
            <sz val="8"/>
            <color indexed="81"/>
            <rFont val="Tahoma"/>
            <family val="2"/>
          </rPr>
          <t>reedcjr:</t>
        </r>
        <r>
          <rPr>
            <sz val="8"/>
            <color indexed="81"/>
            <rFont val="Tahoma"/>
            <family val="2"/>
          </rPr>
          <t xml:space="preserve">
illegal effort
</t>
        </r>
      </text>
    </comment>
    <comment ref="D19" authorId="0" shapeId="0" xr:uid="{00000000-0006-0000-1200-000015000000}">
      <text>
        <r>
          <rPr>
            <b/>
            <sz val="8"/>
            <color indexed="81"/>
            <rFont val="Tahoma"/>
            <family val="2"/>
          </rPr>
          <t>reedcjr:</t>
        </r>
        <r>
          <rPr>
            <sz val="8"/>
            <color indexed="81"/>
            <rFont val="Tahoma"/>
            <family val="2"/>
          </rPr>
          <t xml:space="preserve">
Illegal effort
</t>
        </r>
      </text>
    </comment>
    <comment ref="G45" authorId="1" shapeId="0" xr:uid="{00000000-0006-0000-1200-000016000000}">
      <text>
        <r>
          <rPr>
            <b/>
            <sz val="9"/>
            <color indexed="81"/>
            <rFont val="Tahoma"/>
            <family val="2"/>
          </rPr>
          <t>WLB:</t>
        </r>
        <r>
          <rPr>
            <sz val="9"/>
            <color indexed="81"/>
            <rFont val="Tahoma"/>
            <family val="2"/>
          </rPr>
          <t xml:space="preserve">
Includes 60 angler trips from Sekiu fishing Area 4</t>
        </r>
      </text>
    </comment>
    <comment ref="H101" authorId="0" shapeId="0" xr:uid="{00000000-0006-0000-1200-000017000000}">
      <text>
        <r>
          <rPr>
            <b/>
            <sz val="8"/>
            <color indexed="81"/>
            <rFont val="Tahoma"/>
            <family val="2"/>
          </rPr>
          <t>reedcjr:</t>
        </r>
        <r>
          <rPr>
            <sz val="8"/>
            <color indexed="81"/>
            <rFont val="Tahoma"/>
            <family val="2"/>
          </rPr>
          <t xml:space="preserve">
closed 9/3 statewide
</t>
        </r>
      </text>
    </comment>
    <comment ref="G103" authorId="0" shapeId="0" xr:uid="{00000000-0006-0000-1200-000018000000}">
      <text>
        <r>
          <rPr>
            <b/>
            <sz val="8"/>
            <color indexed="81"/>
            <rFont val="Tahoma"/>
            <family val="2"/>
          </rPr>
          <t>reedcjr:</t>
        </r>
        <r>
          <rPr>
            <sz val="8"/>
            <color indexed="81"/>
            <rFont val="Tahoma"/>
            <family val="2"/>
          </rPr>
          <t xml:space="preserve">
closed 8/26-statewide
</t>
        </r>
      </text>
    </comment>
    <comment ref="H103" authorId="0" shapeId="0" xr:uid="{00000000-0006-0000-1200-000019000000}">
      <text>
        <r>
          <rPr>
            <b/>
            <sz val="8"/>
            <color indexed="81"/>
            <rFont val="Tahoma"/>
            <family val="2"/>
          </rPr>
          <t>reedcjr:</t>
        </r>
        <r>
          <rPr>
            <sz val="8"/>
            <color indexed="81"/>
            <rFont val="Tahoma"/>
            <family val="2"/>
          </rPr>
          <t xml:space="preserve">
closed
</t>
        </r>
      </text>
    </comment>
    <comment ref="G104" authorId="0" shapeId="0" xr:uid="{00000000-0006-0000-1200-00001A000000}">
      <text>
        <r>
          <rPr>
            <b/>
            <sz val="8"/>
            <color indexed="81"/>
            <rFont val="Tahoma"/>
            <family val="2"/>
          </rPr>
          <t>reedcjr:</t>
        </r>
        <r>
          <rPr>
            <sz val="8"/>
            <color indexed="81"/>
            <rFont val="Tahoma"/>
            <family val="2"/>
          </rPr>
          <t xml:space="preserve">
closed 8/19-statewide
</t>
        </r>
      </text>
    </comment>
    <comment ref="G108" authorId="0" shapeId="0" xr:uid="{00000000-0006-0000-1200-00001B000000}">
      <text>
        <r>
          <rPr>
            <b/>
            <sz val="8"/>
            <color indexed="81"/>
            <rFont val="Tahoma"/>
            <family val="2"/>
          </rPr>
          <t>reedcjr:</t>
        </r>
        <r>
          <rPr>
            <sz val="8"/>
            <color indexed="81"/>
            <rFont val="Tahoma"/>
            <family val="2"/>
          </rPr>
          <t xml:space="preserve">
closed 8/18-statewide
</t>
        </r>
      </text>
    </comment>
    <comment ref="H108" authorId="0" shapeId="0" xr:uid="{00000000-0006-0000-1200-00001C000000}">
      <text>
        <r>
          <rPr>
            <b/>
            <sz val="8"/>
            <color indexed="81"/>
            <rFont val="Tahoma"/>
            <family val="2"/>
          </rPr>
          <t>reedcjr:</t>
        </r>
        <r>
          <rPr>
            <sz val="8"/>
            <color indexed="81"/>
            <rFont val="Tahoma"/>
            <family val="2"/>
          </rPr>
          <t xml:space="preserve">
closed-statewide
</t>
        </r>
      </text>
    </comment>
    <comment ref="G109" authorId="0" shapeId="0" xr:uid="{00000000-0006-0000-1200-00001D000000}">
      <text>
        <r>
          <rPr>
            <b/>
            <sz val="8"/>
            <color indexed="81"/>
            <rFont val="Tahoma"/>
            <family val="2"/>
          </rPr>
          <t>reedcjr:</t>
        </r>
        <r>
          <rPr>
            <sz val="8"/>
            <color indexed="81"/>
            <rFont val="Tahoma"/>
            <family val="2"/>
          </rPr>
          <t xml:space="preserve">
closed 8/06 and in area 3 and 1 closed on 8/20
</t>
        </r>
      </text>
    </comment>
    <comment ref="H109" authorId="0" shapeId="0" xr:uid="{00000000-0006-0000-1200-00001E000000}">
      <text>
        <r>
          <rPr>
            <b/>
            <sz val="8"/>
            <color indexed="81"/>
            <rFont val="Tahoma"/>
            <family val="2"/>
          </rPr>
          <t>reedcjr:</t>
        </r>
        <r>
          <rPr>
            <sz val="8"/>
            <color indexed="81"/>
            <rFont val="Tahoma"/>
            <family val="2"/>
          </rPr>
          <t xml:space="preserve">
closed
</t>
        </r>
      </text>
    </comment>
    <comment ref="H110" authorId="0" shapeId="0" xr:uid="{00000000-0006-0000-1200-00001F000000}">
      <text>
        <r>
          <rPr>
            <b/>
            <sz val="8"/>
            <color indexed="81"/>
            <rFont val="Tahoma"/>
            <family val="2"/>
          </rPr>
          <t>reedcjr:</t>
        </r>
        <r>
          <rPr>
            <sz val="8"/>
            <color indexed="81"/>
            <rFont val="Tahoma"/>
            <family val="2"/>
          </rPr>
          <t xml:space="preserve">
closed-statewide
</t>
        </r>
      </text>
    </comment>
    <comment ref="H148" authorId="0" shapeId="0" xr:uid="{00000000-0006-0000-1200-000020000000}">
      <text>
        <r>
          <rPr>
            <b/>
            <sz val="8"/>
            <color indexed="81"/>
            <rFont val="Tahoma"/>
            <family val="2"/>
          </rPr>
          <t>reedcjr:</t>
        </r>
        <r>
          <rPr>
            <sz val="8"/>
            <color indexed="81"/>
            <rFont val="Tahoma"/>
            <family val="2"/>
          </rPr>
          <t xml:space="preserve">
closed 9/3 statewide
</t>
        </r>
      </text>
    </comment>
    <comment ref="G151" authorId="0" shapeId="0" xr:uid="{00000000-0006-0000-1200-000021000000}">
      <text>
        <r>
          <rPr>
            <b/>
            <sz val="8"/>
            <color indexed="81"/>
            <rFont val="Tahoma"/>
            <family val="2"/>
          </rPr>
          <t>reedcjr:</t>
        </r>
        <r>
          <rPr>
            <sz val="8"/>
            <color indexed="81"/>
            <rFont val="Tahoma"/>
            <family val="2"/>
          </rPr>
          <t xml:space="preserve">
area 1 closed 7/25, area 2 closed 8/19
</t>
        </r>
      </text>
    </comment>
    <comment ref="H151" authorId="0" shapeId="0" xr:uid="{00000000-0006-0000-1200-000022000000}">
      <text>
        <r>
          <rPr>
            <b/>
            <sz val="8"/>
            <color indexed="81"/>
            <rFont val="Tahoma"/>
            <family val="2"/>
          </rPr>
          <t>reedcjr:</t>
        </r>
        <r>
          <rPr>
            <sz val="8"/>
            <color indexed="81"/>
            <rFont val="Tahoma"/>
            <family val="2"/>
          </rPr>
          <t xml:space="preserve">
closed
</t>
        </r>
      </text>
    </comment>
    <comment ref="G157" authorId="0" shapeId="0" xr:uid="{00000000-0006-0000-1200-000023000000}">
      <text>
        <r>
          <rPr>
            <b/>
            <sz val="8"/>
            <color indexed="81"/>
            <rFont val="Tahoma"/>
            <family val="2"/>
          </rPr>
          <t>reedcjr:</t>
        </r>
        <r>
          <rPr>
            <sz val="8"/>
            <color indexed="81"/>
            <rFont val="Tahoma"/>
            <family val="2"/>
          </rPr>
          <t xml:space="preserve">
area 1 closed 7/24, area 2 closed 8/18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reedcjr</author>
    <author>Wendy Beeghley</author>
    <author>beeghwlb</author>
    <author>Justin Case</author>
    <author>WLB</author>
    <author>Beeghwlb</author>
  </authors>
  <commentList>
    <comment ref="C5" authorId="0" shapeId="0" xr:uid="{00000000-0006-0000-1300-000001000000}">
      <text>
        <r>
          <rPr>
            <b/>
            <sz val="8"/>
            <color indexed="81"/>
            <rFont val="Tahoma"/>
            <family val="2"/>
          </rPr>
          <t>reedcjr:</t>
        </r>
        <r>
          <rPr>
            <sz val="8"/>
            <color indexed="81"/>
            <rFont val="Tahoma"/>
            <family val="2"/>
          </rPr>
          <t xml:space="preserve">
wasn't sure what to do. Fish caught since january.  Jan=399, march=268, april=262, may=616
</t>
        </r>
      </text>
    </comment>
    <comment ref="K5" authorId="0" shapeId="0" xr:uid="{00000000-0006-0000-1300-000002000000}">
      <text>
        <r>
          <rPr>
            <b/>
            <sz val="8"/>
            <color indexed="81"/>
            <rFont val="Tahoma"/>
            <family val="2"/>
          </rPr>
          <t>reedcjr:</t>
        </r>
        <r>
          <rPr>
            <sz val="8"/>
            <color indexed="81"/>
            <rFont val="Tahoma"/>
            <family val="2"/>
          </rPr>
          <t xml:space="preserve">
closed but fish caught in January (19 fish) and March (46 fish)
</t>
        </r>
      </text>
    </comment>
    <comment ref="B8" authorId="0" shapeId="0" xr:uid="{00000000-0006-0000-1300-000003000000}">
      <text>
        <r>
          <rPr>
            <b/>
            <sz val="8"/>
            <color indexed="81"/>
            <rFont val="Tahoma"/>
            <family val="2"/>
          </rPr>
          <t>reedcjr:</t>
        </r>
        <r>
          <rPr>
            <sz val="8"/>
            <color indexed="81"/>
            <rFont val="Tahoma"/>
            <family val="2"/>
          </rPr>
          <t xml:space="preserve">
closed-statewide-open 5/12
</t>
        </r>
      </text>
    </comment>
    <comment ref="K8" authorId="0" shapeId="0" xr:uid="{00000000-0006-0000-1300-000004000000}">
      <text>
        <r>
          <rPr>
            <b/>
            <sz val="8"/>
            <color indexed="81"/>
            <rFont val="Tahoma"/>
            <family val="2"/>
          </rPr>
          <t>reedcjr:</t>
        </r>
        <r>
          <rPr>
            <sz val="8"/>
            <color indexed="81"/>
            <rFont val="Tahoma"/>
            <family val="2"/>
          </rPr>
          <t xml:space="preserve">
closed-statewide- open 5/12
</t>
        </r>
      </text>
    </comment>
    <comment ref="Q8" authorId="0" shapeId="0" xr:uid="{00000000-0006-0000-1300-000005000000}">
      <text>
        <r>
          <rPr>
            <b/>
            <sz val="8"/>
            <color indexed="81"/>
            <rFont val="Tahoma"/>
            <family val="2"/>
          </rPr>
          <t>reedcjr:</t>
        </r>
        <r>
          <rPr>
            <sz val="8"/>
            <color indexed="81"/>
            <rFont val="Tahoma"/>
            <family val="2"/>
          </rPr>
          <t xml:space="preserve">
closed 9/3-statewide
</t>
        </r>
      </text>
    </comment>
    <comment ref="P9" authorId="0" shapeId="0" xr:uid="{00000000-0006-0000-1300-000006000000}">
      <text>
        <r>
          <rPr>
            <b/>
            <sz val="8"/>
            <color indexed="81"/>
            <rFont val="Tahoma"/>
            <family val="2"/>
          </rPr>
          <t>reedcjr:</t>
        </r>
        <r>
          <rPr>
            <sz val="8"/>
            <color indexed="81"/>
            <rFont val="Tahoma"/>
            <family val="2"/>
          </rPr>
          <t xml:space="preserve">
closed 8/25-area 1 open until 9/3
</t>
        </r>
      </text>
    </comment>
    <comment ref="Q9" authorId="0" shapeId="0" xr:uid="{00000000-0006-0000-1300-000007000000}">
      <text>
        <r>
          <rPr>
            <b/>
            <sz val="8"/>
            <color indexed="81"/>
            <rFont val="Tahoma"/>
            <family val="2"/>
          </rPr>
          <t>reedcjr:</t>
        </r>
        <r>
          <rPr>
            <sz val="8"/>
            <color indexed="81"/>
            <rFont val="Tahoma"/>
            <family val="2"/>
          </rPr>
          <t xml:space="preserve">
closed
</t>
        </r>
      </text>
    </comment>
    <comment ref="B10" authorId="0" shapeId="0" xr:uid="{00000000-0006-0000-1300-000008000000}">
      <text>
        <r>
          <rPr>
            <b/>
            <sz val="8"/>
            <color indexed="81"/>
            <rFont val="Tahoma"/>
            <family val="2"/>
          </rPr>
          <t>reedcjr:</t>
        </r>
        <r>
          <rPr>
            <sz val="8"/>
            <color indexed="81"/>
            <rFont val="Tahoma"/>
            <family val="2"/>
          </rPr>
          <t xml:space="preserve">
closed-statewide-open 5/23
</t>
        </r>
      </text>
    </comment>
    <comment ref="K10" authorId="0" shapeId="0" xr:uid="{00000000-0006-0000-1300-000009000000}">
      <text>
        <r>
          <rPr>
            <b/>
            <sz val="8"/>
            <color indexed="81"/>
            <rFont val="Tahoma"/>
            <family val="2"/>
          </rPr>
          <t>reedcjr:</t>
        </r>
        <r>
          <rPr>
            <sz val="8"/>
            <color indexed="81"/>
            <rFont val="Tahoma"/>
            <family val="2"/>
          </rPr>
          <t xml:space="preserve">
closed-statewide-open 5/23
</t>
        </r>
      </text>
    </comment>
    <comment ref="P10" authorId="0" shapeId="0" xr:uid="{00000000-0006-0000-1300-00000A000000}">
      <text>
        <r>
          <rPr>
            <b/>
            <sz val="8"/>
            <color indexed="81"/>
            <rFont val="Tahoma"/>
            <family val="2"/>
          </rPr>
          <t>reedcjr:</t>
        </r>
        <r>
          <rPr>
            <sz val="8"/>
            <color indexed="81"/>
            <rFont val="Tahoma"/>
            <family val="2"/>
          </rPr>
          <t xml:space="preserve">
closed 8/26-statewide
</t>
        </r>
      </text>
    </comment>
    <comment ref="Q10" authorId="0" shapeId="0" xr:uid="{00000000-0006-0000-1300-00000B000000}">
      <text>
        <r>
          <rPr>
            <b/>
            <sz val="8"/>
            <color indexed="81"/>
            <rFont val="Tahoma"/>
            <family val="2"/>
          </rPr>
          <t>reedcjr:</t>
        </r>
        <r>
          <rPr>
            <sz val="8"/>
            <color indexed="81"/>
            <rFont val="Tahoma"/>
            <family val="2"/>
          </rPr>
          <t xml:space="preserve">
closed
</t>
        </r>
      </text>
    </comment>
    <comment ref="B11" authorId="0" shapeId="0" xr:uid="{00000000-0006-0000-1300-00000C000000}">
      <text>
        <r>
          <rPr>
            <b/>
            <sz val="8"/>
            <color indexed="81"/>
            <rFont val="Tahoma"/>
            <family val="2"/>
          </rPr>
          <t>reedcjr:</t>
        </r>
        <r>
          <rPr>
            <sz val="8"/>
            <color indexed="81"/>
            <rFont val="Tahoma"/>
            <family val="2"/>
          </rPr>
          <t xml:space="preserve">
closed-statewide
</t>
        </r>
      </text>
    </comment>
    <comment ref="G11" authorId="0" shapeId="0" xr:uid="{00000000-0006-0000-1300-00000D000000}">
      <text>
        <r>
          <rPr>
            <b/>
            <sz val="8"/>
            <color indexed="81"/>
            <rFont val="Tahoma"/>
            <family val="2"/>
          </rPr>
          <t>reedcjr:</t>
        </r>
        <r>
          <rPr>
            <sz val="8"/>
            <color indexed="81"/>
            <rFont val="Tahoma"/>
            <family val="2"/>
          </rPr>
          <t xml:space="preserve">
closed 8/19-statewide
</t>
        </r>
      </text>
    </comment>
    <comment ref="H11" authorId="0" shapeId="0" xr:uid="{00000000-0006-0000-1300-00000E000000}">
      <text>
        <r>
          <rPr>
            <b/>
            <sz val="8"/>
            <color indexed="81"/>
            <rFont val="Tahoma"/>
            <family val="2"/>
          </rPr>
          <t>reedcjr:</t>
        </r>
        <r>
          <rPr>
            <sz val="8"/>
            <color indexed="81"/>
            <rFont val="Tahoma"/>
            <family val="2"/>
          </rPr>
          <t xml:space="preserve">
closed
</t>
        </r>
      </text>
    </comment>
    <comment ref="L11" authorId="0" shapeId="0" xr:uid="{00000000-0006-0000-1300-00000F000000}">
      <text>
        <r>
          <rPr>
            <b/>
            <sz val="8"/>
            <color indexed="81"/>
            <rFont val="Tahoma"/>
            <family val="2"/>
          </rPr>
          <t>reedcjr:</t>
        </r>
        <r>
          <rPr>
            <sz val="8"/>
            <color indexed="81"/>
            <rFont val="Tahoma"/>
            <family val="2"/>
          </rPr>
          <t xml:space="preserve">
closed for coho-statewide
</t>
        </r>
      </text>
    </comment>
    <comment ref="P11" authorId="0" shapeId="0" xr:uid="{00000000-0006-0000-1300-000010000000}">
      <text>
        <r>
          <rPr>
            <b/>
            <sz val="8"/>
            <color indexed="81"/>
            <rFont val="Tahoma"/>
            <family val="2"/>
          </rPr>
          <t>reedcjr:</t>
        </r>
        <r>
          <rPr>
            <sz val="8"/>
            <color indexed="81"/>
            <rFont val="Tahoma"/>
            <family val="2"/>
          </rPr>
          <t xml:space="preserve">
closed 8/19-statewide
</t>
        </r>
      </text>
    </comment>
    <comment ref="Q11" authorId="0" shapeId="0" xr:uid="{00000000-0006-0000-1300-000011000000}">
      <text>
        <r>
          <rPr>
            <b/>
            <sz val="8"/>
            <color indexed="81"/>
            <rFont val="Tahoma"/>
            <family val="2"/>
          </rPr>
          <t>reedcjr:</t>
        </r>
        <r>
          <rPr>
            <sz val="8"/>
            <color indexed="81"/>
            <rFont val="Tahoma"/>
            <family val="2"/>
          </rPr>
          <t xml:space="preserve">
closed
</t>
        </r>
      </text>
    </comment>
    <comment ref="C12" authorId="0" shapeId="0" xr:uid="{00000000-0006-0000-1300-000012000000}">
      <text>
        <r>
          <rPr>
            <b/>
            <sz val="8"/>
            <color indexed="81"/>
            <rFont val="Tahoma"/>
            <family val="2"/>
          </rPr>
          <t>reedcjr:</t>
        </r>
        <r>
          <rPr>
            <sz val="8"/>
            <color indexed="81"/>
            <rFont val="Tahoma"/>
            <family val="2"/>
          </rPr>
          <t xml:space="preserve">
closed-open in area 1 and 2 for may and june-april closed statewide
</t>
        </r>
      </text>
    </comment>
    <comment ref="L12" authorId="0" shapeId="0" xr:uid="{00000000-0006-0000-1300-000013000000}">
      <text>
        <r>
          <rPr>
            <b/>
            <sz val="8"/>
            <color indexed="81"/>
            <rFont val="Tahoma"/>
            <family val="2"/>
          </rPr>
          <t>reedcjr:</t>
        </r>
        <r>
          <rPr>
            <sz val="8"/>
            <color indexed="81"/>
            <rFont val="Tahoma"/>
            <family val="2"/>
          </rPr>
          <t xml:space="preserve">
closed-open in area 1 and 2 in june-closed in may statewide for the coho fishery
</t>
        </r>
      </text>
    </comment>
    <comment ref="Q12" authorId="0" shapeId="0" xr:uid="{00000000-0006-0000-1300-000014000000}">
      <text>
        <r>
          <rPr>
            <b/>
            <sz val="8"/>
            <color indexed="81"/>
            <rFont val="Tahoma"/>
            <family val="2"/>
          </rPr>
          <t>reedcjr:</t>
        </r>
        <r>
          <rPr>
            <sz val="8"/>
            <color indexed="81"/>
            <rFont val="Tahoma"/>
            <family val="2"/>
          </rPr>
          <t xml:space="preserve">
closed 9/11-statewide
</t>
        </r>
      </text>
    </comment>
    <comment ref="B13" authorId="0" shapeId="0" xr:uid="{00000000-0006-0000-1300-000015000000}">
      <text>
        <r>
          <rPr>
            <b/>
            <sz val="8"/>
            <color indexed="81"/>
            <rFont val="Tahoma"/>
            <family val="2"/>
          </rPr>
          <t xml:space="preserve">reedcjr
</t>
        </r>
        <r>
          <rPr>
            <sz val="8"/>
            <color indexed="81"/>
            <rFont val="Tahoma"/>
            <family val="2"/>
          </rPr>
          <t xml:space="preserve">should be closed, numbers came from Jan-16 fish and March-8 fish
</t>
        </r>
      </text>
    </comment>
    <comment ref="P13" authorId="0" shapeId="0" xr:uid="{00000000-0006-0000-1300-000016000000}">
      <text>
        <r>
          <rPr>
            <b/>
            <sz val="8"/>
            <color indexed="81"/>
            <rFont val="Tahoma"/>
            <family val="2"/>
          </rPr>
          <t>reedcjr:</t>
        </r>
        <r>
          <rPr>
            <sz val="8"/>
            <color indexed="81"/>
            <rFont val="Tahoma"/>
            <family val="2"/>
          </rPr>
          <t xml:space="preserve">
closed 8/15-statewide
</t>
        </r>
      </text>
    </comment>
    <comment ref="C14" authorId="0" shapeId="0" xr:uid="{00000000-0006-0000-1300-000017000000}">
      <text>
        <r>
          <rPr>
            <b/>
            <sz val="8"/>
            <color indexed="81"/>
            <rFont val="Tahoma"/>
            <family val="2"/>
          </rPr>
          <t>reedcjr:</t>
        </r>
        <r>
          <rPr>
            <sz val="8"/>
            <color indexed="81"/>
            <rFont val="Tahoma"/>
            <family val="2"/>
          </rPr>
          <t xml:space="preserve">
Illegal catch
</t>
        </r>
      </text>
    </comment>
    <comment ref="F16" authorId="0" shapeId="0" xr:uid="{00000000-0006-0000-1300-000018000000}">
      <text>
        <r>
          <rPr>
            <b/>
            <sz val="8"/>
            <color indexed="81"/>
            <rFont val="Tahoma"/>
            <family val="2"/>
          </rPr>
          <t>reedcjr:</t>
        </r>
        <r>
          <rPr>
            <sz val="8"/>
            <color indexed="81"/>
            <rFont val="Tahoma"/>
            <family val="2"/>
          </rPr>
          <t xml:space="preserve">
Illegal catch
</t>
        </r>
      </text>
    </comment>
    <comment ref="L21" authorId="0" shapeId="0" xr:uid="{00000000-0006-0000-1300-000019000000}">
      <text>
        <r>
          <rPr>
            <b/>
            <sz val="8"/>
            <color indexed="81"/>
            <rFont val="Tahoma"/>
            <family val="2"/>
          </rPr>
          <t>reedcjr:</t>
        </r>
        <r>
          <rPr>
            <sz val="8"/>
            <color indexed="81"/>
            <rFont val="Tahoma"/>
            <family val="2"/>
          </rPr>
          <t xml:space="preserve">
Illegal catch
</t>
        </r>
      </text>
    </comment>
    <comment ref="L22" authorId="0" shapeId="0" xr:uid="{00000000-0006-0000-1300-00001A000000}">
      <text>
        <r>
          <rPr>
            <b/>
            <sz val="8"/>
            <color indexed="81"/>
            <rFont val="Tahoma"/>
            <family val="2"/>
          </rPr>
          <t>reedcjr:</t>
        </r>
        <r>
          <rPr>
            <sz val="8"/>
            <color indexed="81"/>
            <rFont val="Tahoma"/>
            <family val="2"/>
          </rPr>
          <t xml:space="preserve">
Illegal catch
</t>
        </r>
      </text>
    </comment>
    <comment ref="F24" authorId="0" shapeId="0" xr:uid="{00000000-0006-0000-1300-00001B000000}">
      <text>
        <r>
          <rPr>
            <b/>
            <sz val="8"/>
            <color indexed="81"/>
            <rFont val="Tahoma"/>
            <family val="2"/>
          </rPr>
          <t xml:space="preserve">reedcjr:  illegal catch
</t>
        </r>
      </text>
    </comment>
    <comment ref="F25" authorId="0" shapeId="0" xr:uid="{00000000-0006-0000-1300-00001C000000}">
      <text>
        <r>
          <rPr>
            <b/>
            <sz val="8"/>
            <color indexed="81"/>
            <rFont val="Tahoma"/>
            <family val="2"/>
          </rPr>
          <t>reedcjr:</t>
        </r>
        <r>
          <rPr>
            <sz val="8"/>
            <color indexed="81"/>
            <rFont val="Tahoma"/>
            <family val="2"/>
          </rPr>
          <t xml:space="preserve">
illegal catch
</t>
        </r>
      </text>
    </comment>
    <comment ref="M39" authorId="1" shapeId="0" xr:uid="{00000000-0006-0000-1300-00001D000000}">
      <text>
        <r>
          <rPr>
            <b/>
            <sz val="9"/>
            <color indexed="81"/>
            <rFont val="Tahoma"/>
            <family val="2"/>
          </rPr>
          <t>Wendy Beeghley:</t>
        </r>
        <r>
          <rPr>
            <sz val="9"/>
            <color indexed="81"/>
            <rFont val="Tahoma"/>
            <family val="2"/>
          </rPr>
          <t xml:space="preserve">
Illegal catch</t>
        </r>
      </text>
    </comment>
    <comment ref="M41" authorId="2" shapeId="0" xr:uid="{00000000-0006-0000-1300-00001E000000}">
      <text>
        <r>
          <rPr>
            <b/>
            <sz val="9"/>
            <color indexed="81"/>
            <rFont val="Tahoma"/>
            <family val="2"/>
          </rPr>
          <t>beeghwlb:</t>
        </r>
        <r>
          <rPr>
            <sz val="9"/>
            <color indexed="81"/>
            <rFont val="Tahoma"/>
            <family val="2"/>
          </rPr>
          <t xml:space="preserve">
Illegal Catch
</t>
        </r>
      </text>
    </comment>
    <comment ref="P44" authorId="3" shapeId="0" xr:uid="{00000000-0006-0000-1300-00001F000000}">
      <text>
        <r>
          <rPr>
            <b/>
            <sz val="9"/>
            <color indexed="81"/>
            <rFont val="Tahoma"/>
            <family val="2"/>
          </rPr>
          <t xml:space="preserve">Wendy Beeghley: Includes 3,494 coho caught in Area 4 and landed in Sekiu during non-selective fishery
</t>
        </r>
        <r>
          <rPr>
            <sz val="9"/>
            <color indexed="81"/>
            <rFont val="Tahoma"/>
            <family val="2"/>
          </rPr>
          <t xml:space="preserve">
</t>
        </r>
      </text>
    </comment>
    <comment ref="N45" authorId="4" shapeId="0" xr:uid="{00000000-0006-0000-1300-000020000000}">
      <text>
        <r>
          <rPr>
            <b/>
            <sz val="9"/>
            <color indexed="81"/>
            <rFont val="Tahoma"/>
            <family val="2"/>
          </rPr>
          <t>WLB:</t>
        </r>
        <r>
          <rPr>
            <sz val="9"/>
            <color indexed="81"/>
            <rFont val="Tahoma"/>
            <family val="2"/>
          </rPr>
          <t xml:space="preserve">
Illegal catch in coho non-retention fishery
</t>
        </r>
      </text>
    </comment>
    <comment ref="O45" authorId="4" shapeId="0" xr:uid="{00000000-0006-0000-1300-000021000000}">
      <text>
        <r>
          <rPr>
            <b/>
            <sz val="9"/>
            <color indexed="81"/>
            <rFont val="Tahoma"/>
            <family val="2"/>
          </rPr>
          <t>WLB:</t>
        </r>
        <r>
          <rPr>
            <sz val="9"/>
            <color indexed="81"/>
            <rFont val="Tahoma"/>
            <family val="2"/>
          </rPr>
          <t xml:space="preserve">
Illegal catch in coho non-retention fishery
</t>
        </r>
      </text>
    </comment>
    <comment ref="G46" authorId="4" shapeId="0" xr:uid="{00000000-0006-0000-1300-000022000000}">
      <text>
        <r>
          <rPr>
            <b/>
            <sz val="9"/>
            <color indexed="81"/>
            <rFont val="Tahoma"/>
            <family val="2"/>
          </rPr>
          <t>WLB:</t>
        </r>
        <r>
          <rPr>
            <sz val="9"/>
            <color indexed="81"/>
            <rFont val="Tahoma"/>
            <family val="2"/>
          </rPr>
          <t xml:space="preserve">
Includes 20 chinook landed in Sekiu from Area 4</t>
        </r>
      </text>
    </comment>
    <comment ref="P46" authorId="4" shapeId="0" xr:uid="{00000000-0006-0000-1300-000023000000}">
      <text>
        <r>
          <rPr>
            <b/>
            <sz val="9"/>
            <color indexed="81"/>
            <rFont val="Tahoma"/>
            <family val="2"/>
          </rPr>
          <t>WLB:</t>
        </r>
        <r>
          <rPr>
            <sz val="9"/>
            <color indexed="81"/>
            <rFont val="Tahoma"/>
            <family val="2"/>
          </rPr>
          <t xml:space="preserve">
Includes 20 coho landed in Sekiu from Area 4</t>
        </r>
      </text>
    </comment>
    <comment ref="F71" authorId="0" shapeId="0" xr:uid="{00000000-0006-0000-1300-000024000000}">
      <text>
        <r>
          <rPr>
            <b/>
            <sz val="8"/>
            <color indexed="81"/>
            <rFont val="Tahoma"/>
            <family val="2"/>
          </rPr>
          <t>reedcjr:</t>
        </r>
        <r>
          <rPr>
            <sz val="8"/>
            <color indexed="81"/>
            <rFont val="Tahoma"/>
            <family val="2"/>
          </rPr>
          <t xml:space="preserve">
illegal catch
</t>
        </r>
      </text>
    </comment>
    <comment ref="F72" authorId="0" shapeId="0" xr:uid="{00000000-0006-0000-1300-000025000000}">
      <text>
        <r>
          <rPr>
            <b/>
            <sz val="8"/>
            <color indexed="81"/>
            <rFont val="Tahoma"/>
            <family val="2"/>
          </rPr>
          <t>reedcjr:</t>
        </r>
        <r>
          <rPr>
            <sz val="8"/>
            <color indexed="81"/>
            <rFont val="Tahoma"/>
            <family val="2"/>
          </rPr>
          <t xml:space="preserve">
illegal catch
</t>
        </r>
      </text>
    </comment>
    <comment ref="N92" authorId="4" shapeId="0" xr:uid="{00000000-0006-0000-1300-000026000000}">
      <text>
        <r>
          <rPr>
            <b/>
            <sz val="9"/>
            <color indexed="81"/>
            <rFont val="Tahoma"/>
            <family val="2"/>
          </rPr>
          <t>WLB:</t>
        </r>
        <r>
          <rPr>
            <sz val="9"/>
            <color indexed="81"/>
            <rFont val="Tahoma"/>
            <family val="2"/>
          </rPr>
          <t xml:space="preserve">
Illegal catch in coho non-retention fishery
</t>
        </r>
      </text>
    </comment>
    <comment ref="O92" authorId="4" shapeId="0" xr:uid="{00000000-0006-0000-1300-000027000000}">
      <text>
        <r>
          <rPr>
            <b/>
            <sz val="9"/>
            <color indexed="81"/>
            <rFont val="Tahoma"/>
            <family val="2"/>
          </rPr>
          <t>WLB:</t>
        </r>
        <r>
          <rPr>
            <sz val="9"/>
            <color indexed="81"/>
            <rFont val="Tahoma"/>
            <family val="2"/>
          </rPr>
          <t xml:space="preserve">
Illegal catch in coho non-retention fishery
</t>
        </r>
      </text>
    </comment>
    <comment ref="H102" authorId="0" shapeId="0" xr:uid="{00000000-0006-0000-1300-000028000000}">
      <text>
        <r>
          <rPr>
            <b/>
            <sz val="8"/>
            <color indexed="81"/>
            <rFont val="Tahoma"/>
            <family val="2"/>
          </rPr>
          <t>reedcjr:</t>
        </r>
        <r>
          <rPr>
            <sz val="8"/>
            <color indexed="81"/>
            <rFont val="Tahoma"/>
            <family val="2"/>
          </rPr>
          <t xml:space="preserve">
closed 9/3-statewide
</t>
        </r>
      </text>
    </comment>
    <comment ref="Q102" authorId="0" shapeId="0" xr:uid="{00000000-0006-0000-1300-000029000000}">
      <text>
        <r>
          <rPr>
            <b/>
            <sz val="8"/>
            <color indexed="81"/>
            <rFont val="Tahoma"/>
            <family val="2"/>
          </rPr>
          <t>reedcjr:</t>
        </r>
        <r>
          <rPr>
            <sz val="8"/>
            <color indexed="81"/>
            <rFont val="Tahoma"/>
            <family val="2"/>
          </rPr>
          <t xml:space="preserve">
closed 9/3-statewide
</t>
        </r>
      </text>
    </comment>
    <comment ref="G104" authorId="0" shapeId="0" xr:uid="{00000000-0006-0000-1300-00002A000000}">
      <text>
        <r>
          <rPr>
            <b/>
            <sz val="8"/>
            <color indexed="81"/>
            <rFont val="Tahoma"/>
            <family val="2"/>
          </rPr>
          <t>reedcjr:</t>
        </r>
        <r>
          <rPr>
            <sz val="8"/>
            <color indexed="81"/>
            <rFont val="Tahoma"/>
            <family val="2"/>
          </rPr>
          <t xml:space="preserve">
closed 8/26-statewide
</t>
        </r>
      </text>
    </comment>
    <comment ref="H104" authorId="0" shapeId="0" xr:uid="{00000000-0006-0000-1300-00002B000000}">
      <text>
        <r>
          <rPr>
            <b/>
            <sz val="8"/>
            <color indexed="81"/>
            <rFont val="Tahoma"/>
            <family val="2"/>
          </rPr>
          <t>reedcjr:</t>
        </r>
        <r>
          <rPr>
            <sz val="8"/>
            <color indexed="81"/>
            <rFont val="Tahoma"/>
            <family val="2"/>
          </rPr>
          <t xml:space="preserve">
closed
</t>
        </r>
      </text>
    </comment>
    <comment ref="P104" authorId="0" shapeId="0" xr:uid="{00000000-0006-0000-1300-00002C000000}">
      <text>
        <r>
          <rPr>
            <b/>
            <sz val="8"/>
            <color indexed="81"/>
            <rFont val="Tahoma"/>
            <family val="2"/>
          </rPr>
          <t>reedcjr:</t>
        </r>
        <r>
          <rPr>
            <sz val="8"/>
            <color indexed="81"/>
            <rFont val="Tahoma"/>
            <family val="2"/>
          </rPr>
          <t xml:space="preserve">
closed 8/26-statewide
</t>
        </r>
      </text>
    </comment>
    <comment ref="Q104" authorId="0" shapeId="0" xr:uid="{00000000-0006-0000-1300-00002D000000}">
      <text>
        <r>
          <rPr>
            <b/>
            <sz val="8"/>
            <color indexed="81"/>
            <rFont val="Tahoma"/>
            <family val="2"/>
          </rPr>
          <t>reedcjr:</t>
        </r>
        <r>
          <rPr>
            <sz val="8"/>
            <color indexed="81"/>
            <rFont val="Tahoma"/>
            <family val="2"/>
          </rPr>
          <t xml:space="preserve">
closed
</t>
        </r>
      </text>
    </comment>
    <comment ref="G105" authorId="0" shapeId="0" xr:uid="{00000000-0006-0000-1300-00002E000000}">
      <text>
        <r>
          <rPr>
            <b/>
            <sz val="8"/>
            <color indexed="81"/>
            <rFont val="Tahoma"/>
            <family val="2"/>
          </rPr>
          <t>reedcjr:</t>
        </r>
        <r>
          <rPr>
            <sz val="8"/>
            <color indexed="81"/>
            <rFont val="Tahoma"/>
            <family val="2"/>
          </rPr>
          <t xml:space="preserve">
closed 8/19-statewide
</t>
        </r>
      </text>
    </comment>
    <comment ref="P105" authorId="0" shapeId="0" xr:uid="{00000000-0006-0000-1300-00002F000000}">
      <text>
        <r>
          <rPr>
            <b/>
            <sz val="8"/>
            <color indexed="81"/>
            <rFont val="Tahoma"/>
            <family val="2"/>
          </rPr>
          <t>reedcjr:</t>
        </r>
        <r>
          <rPr>
            <sz val="8"/>
            <color indexed="81"/>
            <rFont val="Tahoma"/>
            <family val="2"/>
          </rPr>
          <t xml:space="preserve">
closed 8/19-statewide
</t>
        </r>
      </text>
    </comment>
    <comment ref="P109" authorId="0" shapeId="0" xr:uid="{00000000-0006-0000-1300-000030000000}">
      <text>
        <r>
          <rPr>
            <b/>
            <sz val="8"/>
            <color indexed="81"/>
            <rFont val="Tahoma"/>
            <family val="2"/>
          </rPr>
          <t>reedcjr:</t>
        </r>
        <r>
          <rPr>
            <sz val="8"/>
            <color indexed="81"/>
            <rFont val="Tahoma"/>
            <family val="2"/>
          </rPr>
          <t xml:space="preserve">
closed 8/18, notebook only shows 20 coho retained for this month
</t>
        </r>
      </text>
    </comment>
    <comment ref="Q109" authorId="0" shapeId="0" xr:uid="{00000000-0006-0000-1300-000031000000}">
      <text>
        <r>
          <rPr>
            <b/>
            <sz val="8"/>
            <color indexed="81"/>
            <rFont val="Tahoma"/>
            <family val="2"/>
          </rPr>
          <t>reedcjr:</t>
        </r>
        <r>
          <rPr>
            <sz val="8"/>
            <color indexed="81"/>
            <rFont val="Tahoma"/>
            <family val="2"/>
          </rPr>
          <t xml:space="preserve">
closed, notebook shows 0 coho retained for this month
</t>
        </r>
      </text>
    </comment>
    <comment ref="G110" authorId="0" shapeId="0" xr:uid="{00000000-0006-0000-1300-000032000000}">
      <text>
        <r>
          <rPr>
            <b/>
            <sz val="8"/>
            <color indexed="81"/>
            <rFont val="Tahoma"/>
            <family val="2"/>
          </rPr>
          <t>reedcjr:</t>
        </r>
        <r>
          <rPr>
            <sz val="8"/>
            <color indexed="81"/>
            <rFont val="Tahoma"/>
            <family val="2"/>
          </rPr>
          <t xml:space="preserve">
Illegal catch
</t>
        </r>
      </text>
    </comment>
    <comment ref="P110" authorId="0" shapeId="0" xr:uid="{00000000-0006-0000-1300-000033000000}">
      <text>
        <r>
          <rPr>
            <b/>
            <sz val="8"/>
            <color indexed="81"/>
            <rFont val="Tahoma"/>
            <family val="2"/>
          </rPr>
          <t>reedcjr:</t>
        </r>
        <r>
          <rPr>
            <sz val="8"/>
            <color indexed="81"/>
            <rFont val="Tahoma"/>
            <family val="2"/>
          </rPr>
          <t xml:space="preserve">
Illegal catch
</t>
        </r>
      </text>
    </comment>
    <comment ref="Q110" authorId="0" shapeId="0" xr:uid="{00000000-0006-0000-1300-000034000000}">
      <text>
        <r>
          <rPr>
            <b/>
            <sz val="8"/>
            <color indexed="81"/>
            <rFont val="Tahoma"/>
            <family val="2"/>
          </rPr>
          <t>reedcjr:</t>
        </r>
        <r>
          <rPr>
            <sz val="8"/>
            <color indexed="81"/>
            <rFont val="Tahoma"/>
            <family val="2"/>
          </rPr>
          <t xml:space="preserve">
Illegal catch
</t>
        </r>
      </text>
    </comment>
    <comment ref="L112" authorId="0" shapeId="0" xr:uid="{00000000-0006-0000-1300-000035000000}">
      <text>
        <r>
          <rPr>
            <b/>
            <sz val="8"/>
            <color indexed="81"/>
            <rFont val="Tahoma"/>
            <family val="2"/>
          </rPr>
          <t>reedcjr:</t>
        </r>
        <r>
          <rPr>
            <sz val="8"/>
            <color indexed="81"/>
            <rFont val="Tahoma"/>
            <family val="2"/>
          </rPr>
          <t xml:space="preserve">
Illegal catch
</t>
        </r>
      </text>
    </comment>
    <comment ref="E118" authorId="5" shapeId="0" xr:uid="{00000000-0006-0000-1300-000036000000}">
      <text>
        <r>
          <rPr>
            <b/>
            <sz val="8"/>
            <color indexed="81"/>
            <rFont val="Tahoma"/>
            <family val="2"/>
          </rPr>
          <t>Beeghwlb:</t>
        </r>
        <r>
          <rPr>
            <sz val="8"/>
            <color indexed="81"/>
            <rFont val="Tahoma"/>
            <family val="2"/>
          </rPr>
          <t xml:space="preserve">
illegal
</t>
        </r>
      </text>
    </comment>
    <comment ref="F118" authorId="0" shapeId="0" xr:uid="{00000000-0006-0000-1300-000037000000}">
      <text>
        <r>
          <rPr>
            <b/>
            <sz val="8"/>
            <color indexed="81"/>
            <rFont val="Tahoma"/>
            <family val="2"/>
          </rPr>
          <t>reedcjr:</t>
        </r>
        <r>
          <rPr>
            <sz val="8"/>
            <color indexed="81"/>
            <rFont val="Tahoma"/>
            <family val="2"/>
          </rPr>
          <t xml:space="preserve">
illegal catch
</t>
        </r>
      </text>
    </comment>
    <comment ref="G118" authorId="5" shapeId="0" xr:uid="{00000000-0006-0000-1300-000038000000}">
      <text>
        <r>
          <rPr>
            <b/>
            <sz val="8"/>
            <color indexed="81"/>
            <rFont val="Tahoma"/>
            <family val="2"/>
          </rPr>
          <t>Beeghwlb:</t>
        </r>
        <r>
          <rPr>
            <sz val="8"/>
            <color indexed="81"/>
            <rFont val="Tahoma"/>
            <family val="2"/>
          </rPr>
          <t xml:space="preserve">
illegal
</t>
        </r>
      </text>
    </comment>
    <comment ref="E119" authorId="0" shapeId="0" xr:uid="{00000000-0006-0000-1300-000039000000}">
      <text>
        <r>
          <rPr>
            <b/>
            <sz val="8"/>
            <color indexed="81"/>
            <rFont val="Tahoma"/>
            <family val="2"/>
          </rPr>
          <t>reedcjr:</t>
        </r>
        <r>
          <rPr>
            <sz val="8"/>
            <color indexed="81"/>
            <rFont val="Tahoma"/>
            <family val="2"/>
          </rPr>
          <t xml:space="preserve">
illegal catch
</t>
        </r>
      </text>
    </comment>
    <comment ref="F119" authorId="5" shapeId="0" xr:uid="{00000000-0006-0000-1300-00003A000000}">
      <text>
        <r>
          <rPr>
            <b/>
            <sz val="8"/>
            <color indexed="81"/>
            <rFont val="Tahoma"/>
            <family val="2"/>
          </rPr>
          <t>Beeghwlb:</t>
        </r>
        <r>
          <rPr>
            <sz val="8"/>
            <color indexed="81"/>
            <rFont val="Tahoma"/>
            <family val="2"/>
          </rPr>
          <t xml:space="preserve">
illegal
</t>
        </r>
      </text>
    </comment>
    <comment ref="L125" authorId="0" shapeId="0" xr:uid="{00000000-0006-0000-1300-00003B000000}">
      <text>
        <r>
          <rPr>
            <b/>
            <sz val="8"/>
            <color indexed="81"/>
            <rFont val="Tahoma"/>
            <family val="2"/>
          </rPr>
          <t>reedcjr:</t>
        </r>
        <r>
          <rPr>
            <sz val="8"/>
            <color indexed="81"/>
            <rFont val="Tahoma"/>
            <family val="2"/>
          </rPr>
          <t xml:space="preserve">
Illegal catch
</t>
        </r>
      </text>
    </comment>
    <comment ref="M133" authorId="1" shapeId="0" xr:uid="{00000000-0006-0000-1300-00003C000000}">
      <text>
        <r>
          <rPr>
            <b/>
            <sz val="9"/>
            <color indexed="81"/>
            <rFont val="Tahoma"/>
            <family val="2"/>
          </rPr>
          <t>Wendy Beeghley:</t>
        </r>
        <r>
          <rPr>
            <sz val="9"/>
            <color indexed="81"/>
            <rFont val="Tahoma"/>
            <family val="2"/>
          </rPr>
          <t xml:space="preserve">
Illegal catch
</t>
        </r>
      </text>
    </comment>
    <comment ref="N139" authorId="4" shapeId="0" xr:uid="{00000000-0006-0000-1300-00003D000000}">
      <text>
        <r>
          <rPr>
            <b/>
            <sz val="9"/>
            <color indexed="81"/>
            <rFont val="Tahoma"/>
            <family val="2"/>
          </rPr>
          <t>WLB:</t>
        </r>
        <r>
          <rPr>
            <sz val="9"/>
            <color indexed="81"/>
            <rFont val="Tahoma"/>
            <family val="2"/>
          </rPr>
          <t xml:space="preserve">
Illegal catch in coho non-retention fishery
</t>
        </r>
      </text>
    </comment>
    <comment ref="O139" authorId="4" shapeId="0" xr:uid="{00000000-0006-0000-1300-00003E000000}">
      <text>
        <r>
          <rPr>
            <b/>
            <sz val="9"/>
            <color indexed="81"/>
            <rFont val="Tahoma"/>
            <family val="2"/>
          </rPr>
          <t>WLB:</t>
        </r>
        <r>
          <rPr>
            <sz val="9"/>
            <color indexed="81"/>
            <rFont val="Tahoma"/>
            <family val="2"/>
          </rPr>
          <t xml:space="preserve">
Illegal catch in coho non-retention fishery
</t>
        </r>
      </text>
    </comment>
    <comment ref="H149" authorId="0" shapeId="0" xr:uid="{00000000-0006-0000-1300-00003F000000}">
      <text>
        <r>
          <rPr>
            <b/>
            <sz val="8"/>
            <color indexed="81"/>
            <rFont val="Tahoma"/>
            <family val="2"/>
          </rPr>
          <t>reedcjr:</t>
        </r>
        <r>
          <rPr>
            <sz val="8"/>
            <color indexed="81"/>
            <rFont val="Tahoma"/>
            <family val="2"/>
          </rPr>
          <t xml:space="preserve">
closed 9/3-statewide
</t>
        </r>
      </text>
    </comment>
    <comment ref="Q149" authorId="0" shapeId="0" xr:uid="{00000000-0006-0000-1300-000040000000}">
      <text>
        <r>
          <rPr>
            <b/>
            <sz val="8"/>
            <color indexed="81"/>
            <rFont val="Tahoma"/>
            <family val="2"/>
          </rPr>
          <t>reedcjr:</t>
        </r>
        <r>
          <rPr>
            <sz val="8"/>
            <color indexed="81"/>
            <rFont val="Tahoma"/>
            <family val="2"/>
          </rPr>
          <t xml:space="preserve">
closed 9/3-statewide
</t>
        </r>
      </text>
    </comment>
    <comment ref="H152" authorId="0" shapeId="0" xr:uid="{00000000-0006-0000-1300-000041000000}">
      <text>
        <r>
          <rPr>
            <b/>
            <sz val="8"/>
            <color indexed="81"/>
            <rFont val="Tahoma"/>
            <family val="2"/>
          </rPr>
          <t>reedcjr:</t>
        </r>
        <r>
          <rPr>
            <sz val="8"/>
            <color indexed="81"/>
            <rFont val="Tahoma"/>
            <family val="2"/>
          </rPr>
          <t xml:space="preserve">
closed-statewide
</t>
        </r>
      </text>
    </comment>
    <comment ref="P152" authorId="0" shapeId="0" xr:uid="{00000000-0006-0000-1300-000042000000}">
      <text>
        <r>
          <rPr>
            <b/>
            <sz val="8"/>
            <color indexed="81"/>
            <rFont val="Tahoma"/>
            <family val="2"/>
          </rPr>
          <t>reedcjr:</t>
        </r>
        <r>
          <rPr>
            <sz val="8"/>
            <color indexed="81"/>
            <rFont val="Tahoma"/>
            <family val="2"/>
          </rPr>
          <t xml:space="preserve">
area 1 closed 7/25, area 2 closed 8/19
</t>
        </r>
      </text>
    </comment>
    <comment ref="Q152" authorId="0" shapeId="0" xr:uid="{00000000-0006-0000-1300-000043000000}">
      <text>
        <r>
          <rPr>
            <b/>
            <sz val="8"/>
            <color indexed="81"/>
            <rFont val="Tahoma"/>
            <family val="2"/>
          </rPr>
          <t>reedcjr:</t>
        </r>
        <r>
          <rPr>
            <sz val="8"/>
            <color indexed="81"/>
            <rFont val="Tahoma"/>
            <family val="2"/>
          </rPr>
          <t xml:space="preserve">
closed-statewide
</t>
        </r>
      </text>
    </comment>
    <comment ref="G158" authorId="0" shapeId="0" xr:uid="{00000000-0006-0000-1300-000044000000}">
      <text>
        <r>
          <rPr>
            <b/>
            <sz val="8"/>
            <color indexed="81"/>
            <rFont val="Tahoma"/>
            <family val="2"/>
          </rPr>
          <t>reedcjr:</t>
        </r>
        <r>
          <rPr>
            <sz val="8"/>
            <color indexed="81"/>
            <rFont val="Tahoma"/>
            <family val="2"/>
          </rPr>
          <t xml:space="preserve">
Illegal catch
</t>
        </r>
      </text>
    </comment>
    <comment ref="P158" authorId="0" shapeId="0" xr:uid="{00000000-0006-0000-1300-000045000000}">
      <text>
        <r>
          <rPr>
            <b/>
            <sz val="8"/>
            <color indexed="81"/>
            <rFont val="Tahoma"/>
            <family val="2"/>
          </rPr>
          <t>reedcjr:</t>
        </r>
        <r>
          <rPr>
            <sz val="8"/>
            <color indexed="81"/>
            <rFont val="Tahoma"/>
            <family val="2"/>
          </rPr>
          <t xml:space="preserve">
Illegal catch
</t>
        </r>
      </text>
    </comment>
    <comment ref="E165" authorId="0" shapeId="0" xr:uid="{00000000-0006-0000-1300-000046000000}">
      <text>
        <r>
          <rPr>
            <b/>
            <sz val="8"/>
            <color indexed="81"/>
            <rFont val="Tahoma"/>
            <family val="2"/>
          </rPr>
          <t>reedcjr:</t>
        </r>
        <r>
          <rPr>
            <sz val="8"/>
            <color indexed="81"/>
            <rFont val="Tahoma"/>
            <family val="2"/>
          </rPr>
          <t xml:space="preserve">
illegal catch
</t>
        </r>
      </text>
    </comment>
    <comment ref="F165" authorId="5" shapeId="0" xr:uid="{00000000-0006-0000-1300-000047000000}">
      <text>
        <r>
          <rPr>
            <b/>
            <sz val="8"/>
            <color indexed="81"/>
            <rFont val="Tahoma"/>
            <family val="2"/>
          </rPr>
          <t>Beeghwlb:</t>
        </r>
        <r>
          <rPr>
            <sz val="8"/>
            <color indexed="81"/>
            <rFont val="Tahoma"/>
            <family val="2"/>
          </rPr>
          <t xml:space="preserve">
illegal
</t>
        </r>
      </text>
    </comment>
    <comment ref="G165" authorId="5" shapeId="0" xr:uid="{00000000-0006-0000-1300-000048000000}">
      <text>
        <r>
          <rPr>
            <b/>
            <sz val="8"/>
            <color indexed="81"/>
            <rFont val="Tahoma"/>
            <family val="2"/>
          </rPr>
          <t>Beeghwlb:</t>
        </r>
        <r>
          <rPr>
            <sz val="8"/>
            <color indexed="81"/>
            <rFont val="Tahoma"/>
            <family val="2"/>
          </rPr>
          <t xml:space="preserve">
illegal
</t>
        </r>
      </text>
    </comment>
    <comment ref="E166" authorId="0" shapeId="0" xr:uid="{00000000-0006-0000-1300-000049000000}">
      <text>
        <r>
          <rPr>
            <b/>
            <sz val="8"/>
            <color indexed="81"/>
            <rFont val="Tahoma"/>
            <family val="2"/>
          </rPr>
          <t>reedcjr:</t>
        </r>
        <r>
          <rPr>
            <sz val="8"/>
            <color indexed="81"/>
            <rFont val="Tahoma"/>
            <family val="2"/>
          </rPr>
          <t xml:space="preserve">
Illegal catch
</t>
        </r>
      </text>
    </comment>
    <comment ref="F166" authorId="5" shapeId="0" xr:uid="{00000000-0006-0000-1300-00004A000000}">
      <text>
        <r>
          <rPr>
            <b/>
            <sz val="8"/>
            <color indexed="81"/>
            <rFont val="Tahoma"/>
            <family val="2"/>
          </rPr>
          <t>Beeghwlb:</t>
        </r>
        <r>
          <rPr>
            <sz val="8"/>
            <color indexed="81"/>
            <rFont val="Tahoma"/>
            <family val="2"/>
          </rPr>
          <t xml:space="preserve">
illegal
</t>
        </r>
      </text>
    </comment>
    <comment ref="G166" authorId="5" shapeId="0" xr:uid="{00000000-0006-0000-1300-00004B000000}">
      <text>
        <r>
          <rPr>
            <b/>
            <sz val="8"/>
            <color indexed="81"/>
            <rFont val="Tahoma"/>
            <family val="2"/>
          </rPr>
          <t>Beeghwlb:</t>
        </r>
        <r>
          <rPr>
            <sz val="8"/>
            <color indexed="81"/>
            <rFont val="Tahoma"/>
            <family val="2"/>
          </rPr>
          <t xml:space="preserve">
illegal
</t>
        </r>
      </text>
    </comment>
    <comment ref="M172" authorId="0" shapeId="0" xr:uid="{00000000-0006-0000-1300-00004C000000}">
      <text>
        <r>
          <rPr>
            <b/>
            <sz val="8"/>
            <color indexed="81"/>
            <rFont val="Tahoma"/>
            <family val="2"/>
          </rPr>
          <t>reedcjr:</t>
        </r>
        <r>
          <rPr>
            <sz val="8"/>
            <color indexed="81"/>
            <rFont val="Tahoma"/>
            <family val="2"/>
          </rPr>
          <t xml:space="preserve">
Illegal catch
</t>
        </r>
      </text>
    </comment>
    <comment ref="M180" authorId="1" shapeId="0" xr:uid="{00000000-0006-0000-1300-00004D000000}">
      <text>
        <r>
          <rPr>
            <b/>
            <sz val="9"/>
            <color indexed="81"/>
            <rFont val="Tahoma"/>
            <family val="2"/>
          </rPr>
          <t>Wendy Beeghley:</t>
        </r>
        <r>
          <rPr>
            <sz val="9"/>
            <color indexed="81"/>
            <rFont val="Tahoma"/>
            <family val="2"/>
          </rPr>
          <t xml:space="preserve">
Illegal catch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Letvin, Alexander@Wildlife</author>
  </authors>
  <commentList>
    <comment ref="A193" authorId="0" shapeId="0" xr:uid="{C619E166-F996-490A-8D8B-FC8BA4C5AEC2}">
      <text>
        <r>
          <rPr>
            <b/>
            <sz val="9"/>
            <color indexed="81"/>
            <rFont val="Tahoma"/>
            <family val="2"/>
          </rPr>
          <t xml:space="preserve">Letvin, Alexander@Wildlife:
</t>
        </r>
        <r>
          <rPr>
            <sz val="9"/>
            <color indexed="81"/>
            <rFont val="Tahoma"/>
            <family val="2"/>
          </rPr>
          <t xml:space="preserve">
New footnote</t>
        </r>
      </text>
    </comment>
  </commentList>
</comments>
</file>

<file path=xl/sharedStrings.xml><?xml version="1.0" encoding="utf-8"?>
<sst xmlns="http://schemas.openxmlformats.org/spreadsheetml/2006/main" count="22276" uniqueCount="408">
  <si>
    <t>If possible, print to 100% scaling, otherwise, select print to one page wide by however many pages long it needs to be.</t>
  </si>
  <si>
    <t>Adjust page breaks as necessary.</t>
  </si>
  <si>
    <t>Tips</t>
  </si>
  <si>
    <t>Format Painter is handy for merging cells and copying the alignment and text wrap properties.  You can then merge, insert or delete additional rows/columns as necessary.</t>
  </si>
  <si>
    <t>b/  Includes minor effort from November in some years.</t>
  </si>
  <si>
    <t>TABLE A-17.  Washington ocean recreational salmon fishing effort in angler trips by port and statistical month.</t>
  </si>
  <si>
    <t>TABLE A-18.  Washington ocean recreational Chinook and coho salmon landings in numbers of fish by port of landing and statistical month.  (Page 1 of 3)</t>
  </si>
  <si>
    <t>TABLE A-18.  Washington ocean recreational Chinook and coho salmon landings in numbers of fish by port of landing and statistical month.</t>
  </si>
  <si>
    <t>TABLE A-18.  Washington ocean recreational Chinook and coho salmon landings in numbers of fish by port of landing and statistical month.  (Page 2 of 3)</t>
  </si>
  <si>
    <t>TABLE A-18.  Washington ocean recreational Chinook and coho salmon landings in numbers of fish by port of landing and statistical month.  (Page 3 of 3)</t>
  </si>
  <si>
    <t>TABLE A-23.  Cape Falcon to U.S./Mexico border ocean recreational salmon landings in numbers of fish by region and month.</t>
  </si>
  <si>
    <t>TABLE A-11.  Summary of Washington non-Indian commercial troll salmon fishing effort in days fished and landings in numbers of fish by catch area.  (Page 1 of 2)</t>
  </si>
  <si>
    <t>TABLE A-11.  Summary of Washington non-Indian commercial troll salmon fishing effort in days fished and landings in numbers of fish by catch area.  (Page 2 of 2)</t>
  </si>
  <si>
    <t>a/  Includes minor catches made off Oregon and landed in California prior to 2005.</t>
  </si>
  <si>
    <t>1991-1995</t>
  </si>
  <si>
    <t>1990-1995</t>
  </si>
  <si>
    <t>b/ October landings beginning in 2002 occurred during Quileute ceremonial and subsistence fishery.</t>
  </si>
  <si>
    <t>c/  Season totals do not include January-April, October, or November-December treaty troll catches.</t>
  </si>
  <si>
    <t>U.S./Canada Border to Cape Falcon - Non-Indian Total</t>
  </si>
  <si>
    <t>TABLE A-16.  Treaty Indian ocean troll pink salmon landings (odd years only) in numbers of fish by catch area and month.                         (Page 1 of 2)</t>
  </si>
  <si>
    <t>The Appendix A, B, and D workbooks provide raw data for the Table Ch I, II, III, and IV workbooks, so any linked workbooks should be open simultaneously so Excel knows when you insert rows, etc.  There are also other workbooks that use data from the Appendix D and ChIV workbooks, so before adding rows to those two, talk to Jim or Chuck.</t>
  </si>
  <si>
    <t>If an error message about the number of characters in a cell pops up, say OK, then go back to the original worksheet in the master workbook, click in the upper left row/column indicator box to highlight the entire worksheet, and copy; then go to the new worksheet, put the cursor in cell A1 and paste.</t>
  </si>
  <si>
    <t>Crescent City</t>
  </si>
  <si>
    <t>Eureka</t>
  </si>
  <si>
    <t>Fort Bragg</t>
  </si>
  <si>
    <t>San Francisco</t>
  </si>
  <si>
    <t>Monterey</t>
  </si>
  <si>
    <t>Oregon</t>
  </si>
  <si>
    <t>Season</t>
  </si>
  <si>
    <t>-</t>
  </si>
  <si>
    <t>1981-1985</t>
  </si>
  <si>
    <t>b/</t>
  </si>
  <si>
    <t>1976-1980</t>
  </si>
  <si>
    <t>Year or Avg.</t>
  </si>
  <si>
    <t>Apr.</t>
  </si>
  <si>
    <t>May</t>
  </si>
  <si>
    <t>June</t>
  </si>
  <si>
    <t>July</t>
  </si>
  <si>
    <t>Aug.</t>
  </si>
  <si>
    <t>Sept.</t>
  </si>
  <si>
    <t>Oct.</t>
  </si>
  <si>
    <t>Total Statewide</t>
  </si>
  <si>
    <t>Feb.</t>
  </si>
  <si>
    <t>Mar.</t>
  </si>
  <si>
    <t>Nov.</t>
  </si>
  <si>
    <t xml:space="preserve">  </t>
  </si>
  <si>
    <t>d/  Preliminary.</t>
  </si>
  <si>
    <t>c/  Preliminary.</t>
  </si>
  <si>
    <t>b/  Preliminary.</t>
  </si>
  <si>
    <t>Year or Average</t>
  </si>
  <si>
    <t>South of Cape Falcon</t>
  </si>
  <si>
    <t>Total All Areas</t>
  </si>
  <si>
    <t>Year</t>
  </si>
  <si>
    <t>Tillamook</t>
  </si>
  <si>
    <t>Newport</t>
  </si>
  <si>
    <t>Coos Bay</t>
  </si>
  <si>
    <t>Brookings</t>
  </si>
  <si>
    <t>Subtotal</t>
  </si>
  <si>
    <t>Alaska</t>
  </si>
  <si>
    <t>Washington</t>
  </si>
  <si>
    <t>California</t>
  </si>
  <si>
    <t>Total</t>
  </si>
  <si>
    <t xml:space="preserve">1981-1985  </t>
  </si>
  <si>
    <t>Ilwaco</t>
  </si>
  <si>
    <t>Westport</t>
  </si>
  <si>
    <t>Neah Bay</t>
  </si>
  <si>
    <t>La Push</t>
  </si>
  <si>
    <t>CHINOOK</t>
  </si>
  <si>
    <t>COHO</t>
  </si>
  <si>
    <t>a/  Summary of Washington Department of Fish and Wildlife fish receiving ticket information by statistical month excluding Washington landings from Oregon, California, and Alaska.</t>
  </si>
  <si>
    <t>b/  Data for September include any catch after September.</t>
  </si>
  <si>
    <t>Jan.-Apr.</t>
  </si>
  <si>
    <t>Area 4B</t>
  </si>
  <si>
    <t>Nov.-Dec.</t>
  </si>
  <si>
    <t>May-Sept.</t>
  </si>
  <si>
    <t>a/  Preliminary.</t>
  </si>
  <si>
    <t>a/  Summary of Washington Department of Fish and Wildlife fish receiving ticket information by statistical month, excluding Washington landings from Oregon, California, and Alaska.</t>
  </si>
  <si>
    <t>c/  Neah Bay area includes effort and catches from Strait of Juan de Fuca Area 4B.</t>
  </si>
  <si>
    <t>c/  Includes effort from the North Jetty when the ocean fishery was open; does not include effort reported as occurring inside the Columbia River mouth (North Jetty effort when the ocean fishery was closed and Buoy 10 was open).</t>
  </si>
  <si>
    <t>d/  Includes catch from the North Jetty when the ocean fishery was open; does not include catch reported as occurring inside the Columbia River mouth (North Jetty catch when the ocean fishery was closed, and Buoy 10 was open).</t>
  </si>
  <si>
    <t>a/  Includes catch from the Washington State waters Area 4B fishery.</t>
  </si>
  <si>
    <t xml:space="preserve">    June</t>
  </si>
  <si>
    <t xml:space="preserve">    July</t>
  </si>
  <si>
    <t>Dec.</t>
  </si>
  <si>
    <t xml:space="preserve">     Season</t>
  </si>
  <si>
    <t>Horse Mt. to U.S.-Mexico Border</t>
  </si>
  <si>
    <t>Total South of Cape Falcon</t>
  </si>
  <si>
    <t>1986-1990</t>
  </si>
  <si>
    <t>Horse Mt. to U.S./Mexico Border</t>
  </si>
  <si>
    <t xml:space="preserve">     May</t>
  </si>
  <si>
    <t xml:space="preserve">     June</t>
  </si>
  <si>
    <t xml:space="preserve">       July</t>
  </si>
  <si>
    <t xml:space="preserve">          Aug.</t>
  </si>
  <si>
    <t xml:space="preserve">           Sept.</t>
  </si>
  <si>
    <t xml:space="preserve">         Oct.</t>
  </si>
  <si>
    <t>U.S./Canada Border to Leadbetter Pt. - Non-Indian</t>
  </si>
  <si>
    <t>Leadbetter Pt. to Cape Falcon - Non-Indian</t>
  </si>
  <si>
    <t>U.S./Canada Border  to Cape Falcon - Non-Indian</t>
  </si>
  <si>
    <t>a/  Monthly totals for Oregon data are the sum of statistical weeks with closest fit to the calendar month.  Washington data are summarized by statistical month.</t>
  </si>
  <si>
    <t xml:space="preserve">July  </t>
  </si>
  <si>
    <t xml:space="preserve">Aug.  </t>
  </si>
  <si>
    <t xml:space="preserve">July    </t>
  </si>
  <si>
    <t xml:space="preserve">Aug.    </t>
  </si>
  <si>
    <t>U.S./Canada Border to Cape Falcon - Non-Indian</t>
  </si>
  <si>
    <t xml:space="preserve">    May</t>
  </si>
  <si>
    <t xml:space="preserve">   July</t>
  </si>
  <si>
    <t xml:space="preserve">   Aug.</t>
  </si>
  <si>
    <t xml:space="preserve">    Sept.</t>
  </si>
  <si>
    <t xml:space="preserve">  Oct.</t>
  </si>
  <si>
    <t>Leadbetter Pt. to Cape Falcon</t>
  </si>
  <si>
    <t>a/  Includes minor effort off Oregon for fish landed in California.</t>
  </si>
  <si>
    <t>Statewide Total</t>
  </si>
  <si>
    <t>Astoria</t>
  </si>
  <si>
    <t>DAYS FISHED</t>
  </si>
  <si>
    <t>CHINOOK LANDINGS</t>
  </si>
  <si>
    <t>COHO LANDINGS</t>
  </si>
  <si>
    <t>--</t>
  </si>
  <si>
    <t>c/  Season totals do not include October treaty troll catches.</t>
  </si>
  <si>
    <t>April</t>
  </si>
  <si>
    <t>1987-1989</t>
  </si>
  <si>
    <t>a/  Odd year averages only.</t>
  </si>
  <si>
    <t>or Avg.</t>
  </si>
  <si>
    <t>PINKS</t>
  </si>
  <si>
    <t xml:space="preserve">                               OREGON AREA EFFORT</t>
  </si>
  <si>
    <t>_</t>
  </si>
  <si>
    <t>YEAR</t>
  </si>
  <si>
    <t>APR</t>
  </si>
  <si>
    <t>MAY</t>
  </si>
  <si>
    <t>JUN</t>
  </si>
  <si>
    <t>JUL</t>
  </si>
  <si>
    <t>AUG</t>
  </si>
  <si>
    <t>SEP</t>
  </si>
  <si>
    <t>OCT</t>
  </si>
  <si>
    <t>TOTAL</t>
  </si>
  <si>
    <t xml:space="preserve">                               OREGON AREA CHINOOK</t>
  </si>
  <si>
    <t xml:space="preserve">                               OREGON AREA COHO</t>
  </si>
  <si>
    <t>c/  Includes catch from the Washington State waters Area 4B fishery in 1991, 1992, 1993, 1996, 1997, 1998, 2000, and 2008.</t>
  </si>
  <si>
    <t>a/  Neah Bay and La Push statistics do not include estimates of 707 Chinook killed during Chinook nonretention fishery (July 19-August 20, 1987).</t>
  </si>
  <si>
    <t>TABLE A-14.  Treaty Indian ocean troll salmon fishing effort in deliveries by catch area and month.</t>
  </si>
  <si>
    <t>TABLE A-15.  Treaty Indian ocean troll Chinook and coho salmon landings in numbers of fish by catch area and month.</t>
  </si>
  <si>
    <t>TABLE A-15.  Treaty Indian ocean troll Chinook and coho salmon landings in numbers of fish by catch area and month.  (Page 1 of 3)</t>
  </si>
  <si>
    <t>TABLE A-15.  Treaty Indian ocean troll Chinook and coho salmon landings in numbers of fish by catch area and month.  (Page 2 of 3)</t>
  </si>
  <si>
    <t>b/  October, season, and total catch for the following port areas and years includes the following catch in November:  Astoria 1976 - 29 coho; Tillamook 1976 - 38 coho; Newport 1976 - 22 coho; Coos Bay 1976 - 66 coho; Brookings 1976 - 367 coho.</t>
  </si>
  <si>
    <t>TABLE A-15.  Treaty Indian ocean troll Chinook and coho salmon landings in numbers of fish by catch area and month.  (Page 3 of 3)</t>
  </si>
  <si>
    <t>TABLE A-16.  Treaty Indian ocean troll pink salmon landings (odd years only) in numbers of fish by catch area and month.</t>
  </si>
  <si>
    <t>Instruction for updating tables for annual Review process</t>
  </si>
  <si>
    <t>Tables Ch II and Appendix B are linked</t>
  </si>
  <si>
    <t>Tables Ch III and Appendix B are linked</t>
  </si>
  <si>
    <t>Open linked workbooks</t>
  </si>
  <si>
    <t>Update Appendix workbook first - follow tab color order (see below)</t>
  </si>
  <si>
    <t>Update Tables Ch X next - follow tab color order (see below)</t>
  </si>
  <si>
    <t>Save Often!</t>
  </si>
  <si>
    <t>Tab Colors</t>
  </si>
  <si>
    <t>Cyan - Leave for Chuck or Jim</t>
  </si>
  <si>
    <t>Green - Do these first</t>
  </si>
  <si>
    <t>Orange - Do these after all Yellow tabs in workbook are done</t>
  </si>
  <si>
    <t>Red - Do these last, they have links to external workbooks, which must also be open in order to update;  The workbook with the raw numbers should be updated first (usually Appendix A, B, or D)</t>
  </si>
  <si>
    <t>Insert New Rows</t>
  </si>
  <si>
    <t>Press &lt;Ctrl-Home&gt; simultaneously to position cursor at the top left of the worksheet</t>
  </si>
  <si>
    <t>Working from the top of the worksheet down:</t>
  </si>
  <si>
    <t>Highlight last row in the Year series and copy</t>
  </si>
  <si>
    <t>Make sure to update both the Display (upper) and Formatted (lower) sections of the worksheet, if necessary</t>
  </si>
  <si>
    <t>Update titles with correct year if appropriate, again look for repeated titles, e.g.,  (page 2 of 3) in the Formatted section</t>
  </si>
  <si>
    <t>Check Print Preview for page breaks</t>
  </si>
  <si>
    <t>If the addition of new rows (or columns) results in an orphaned row:</t>
  </si>
  <si>
    <t>Try to fix without changing margins</t>
  </si>
  <si>
    <t>Break-up table into more pages (with titles and column headings), keeping series of years together if possible</t>
  </si>
  <si>
    <t>Ask Chuck what to do.</t>
  </si>
  <si>
    <t>Make files of individual worksheets - Only green or cyan colored tabs</t>
  </si>
  <si>
    <t>Check the Make copy box</t>
  </si>
  <si>
    <t>From the To book box, select (new book)</t>
  </si>
  <si>
    <t>Click OK</t>
  </si>
  <si>
    <t>Save file in the Team Draft directory with the same name as the tab.</t>
  </si>
  <si>
    <t>Excel worksheet should be set to Ariel 8</t>
  </si>
  <si>
    <t>Format title</t>
  </si>
  <si>
    <t xml:space="preserve">Merge across all columns, select Wrap Text from allignment menu, allign Justify for horizontal, and Top for vertical; </t>
  </si>
  <si>
    <t>Plan layout</t>
  </si>
  <si>
    <t>Insert blank columns to put space between column groups or to provide footnote locations within data columns.</t>
  </si>
  <si>
    <t>Set column widths:  1 for blank columns; 5 to 8 for year column; a total of about 80 for portrait, about 108 for landscape if possible.</t>
  </si>
  <si>
    <t>Row Hight should be set to 11.25 for standard applications, but can be less if necessary to fit print layout needs.</t>
  </si>
  <si>
    <t>Move column headers to corresponding data column, with upper left location for cells to be merged.</t>
  </si>
  <si>
    <t>Format column headers</t>
  </si>
  <si>
    <t>Merge and Center necessary cells; Select Wrap Text from allignment menu, and allign Center for horizontal and Bottom for vertical</t>
  </si>
  <si>
    <t>Format data columns: Numerical format should be Number with comma separator checked and appropriate number of decimal places</t>
  </si>
  <si>
    <t>Allign data columns.</t>
  </si>
  <si>
    <t>Year column should be left justified</t>
  </si>
  <si>
    <t>Long text descriptions should be left justified or fully justified</t>
  </si>
  <si>
    <t>Short text descriptions should be centered</t>
  </si>
  <si>
    <t>Numerical data should be Right (indent) justified with the appropriate indent value to place the data in the center of the column</t>
  </si>
  <si>
    <t xml:space="preserve">Computation and Referencing </t>
  </si>
  <si>
    <t>Where possible, set up columns to quantify totals, averages etc. and reference other worksheets to minimize data entry errors.  When calculating totals, you may want to use the =sum() function rather than just adding cells (=a1+d1+g1) as the former handles non-numerical entries well (e.g., -, NA) and the latter returns an error message.</t>
  </si>
  <si>
    <t>Footnotes</t>
  </si>
  <si>
    <t xml:space="preserve">Copy the footnote text from the wordperfect table and paste it at the bottom of the Excel table.  You will have to enter the footnote number and two spaces first. </t>
  </si>
  <si>
    <t>b/  Includes catch from the Washington State waters Area 4B fishery in 1991, 1992, 1993, 1996, 1997, 1998, 2000, and 2008.</t>
  </si>
  <si>
    <t>a/  Days fished and landings are reported by port of landing through 1978 and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1986 includes Florence through Bandon and after 1987 includes Florence through Port Orford; Brookings area prior to 1986 includes Port Orford through Brookings and after 1987 includes Gold Beach through Brookings.  Values include state-waters only terminal area fisheries.</t>
  </si>
  <si>
    <t xml:space="preserve">Merge the footnote cell with all cells across the width of the table, even if it is just a one word footnote.  You may need to merge it with additional lines and wrap text for long footnotes.  Justification should be full for horizontal and Center for vertical. </t>
  </si>
  <si>
    <t>Print Setup</t>
  </si>
  <si>
    <t xml:space="preserve">For multiple page tables, copy the Table Title to the top of the second page and include (Page x of y).  </t>
  </si>
  <si>
    <t>Pink</t>
  </si>
  <si>
    <t xml:space="preserve">Insert a page break in the Table Title cell on the second, third, etc. pages.  Leave only one blank Row between pages.  </t>
  </si>
  <si>
    <t>Go to Print Preview and set margins for 1 inch all the way around and check the center horizontally on page box.</t>
  </si>
  <si>
    <t>TABLE A-19.  Washington ocean recreational pink salmon landings in numbers of fish by port of landing and statistical month.  (Page 1 of 2)</t>
  </si>
  <si>
    <t>TABLE A-20.  Cape Falcon to U.S./Mexico border commercial troll salmon fishing effort in days fished by region and month.  (Page 1 of 2)</t>
  </si>
  <si>
    <t>TABLE A-21.  Cape Falcon to U.S./Mexico border commercial troll Chinook and coho salmon landings in numbers of fish by region and month.  (Page 1 of 2)</t>
  </si>
  <si>
    <t>TABLE A-21.  Cape Falcon to U.S./Mexico border commercial troll Chinook and coho salmon landings in numbers of fish by region and month.  (Page 2 of 2)</t>
  </si>
  <si>
    <t>TABLE A-23.  Cape Falcon to U.S./Mexico border ocean recreational salmon landings in numbers of fish by region and month.  (Page 1 of 2)</t>
  </si>
  <si>
    <t>TABLE A-23.  Cape Falcon to U.S./Mexico border ocean recreational salmon landings in numbers of fish by region and month.  (Page 2 of 2)</t>
  </si>
  <si>
    <t>1996-2000</t>
  </si>
  <si>
    <t>a/  Includes effort from the Washington State waters Area 4B fishery (none in 1994 or 1999).</t>
  </si>
  <si>
    <t>TABLE A-17.  Washington ocean recreational salmon fishing effort in angler trips by port and statistical month.  (Page 2 of 2)</t>
  </si>
  <si>
    <t>TABLE A-17.  Washington ocean recreational salmon fishing effort in angler trips by port and statistical month.  (Page 1 of 2)</t>
  </si>
  <si>
    <t>TABLE A-14.  Treaty Indian ocean troll salmon fishing effort in deliveries by catch area and month.  (Page 1 of 2)</t>
  </si>
  <si>
    <t>1997-1999</t>
  </si>
  <si>
    <t>Appendix A is part of an extensive web that includes Tables Ch I, IV, and IV Eocn_ Sup, Master App D and B, and three "!" tables</t>
  </si>
  <si>
    <t xml:space="preserve">In general, when you are done the most recent two years should have identical values.  If they don't, check that the formulas have properly sequential references.  Some  the Ch IV and "!" tables will not incremented properly, so go back and check the formulas. Other sheets may also not increment properly if you do things out of order. </t>
  </si>
  <si>
    <t>Right click the tab, selec Move or Copy Sheet</t>
  </si>
  <si>
    <t>Turn on track changes mode by selecting:
 Review&gt;Track Changes&gt;Highlight Changes&gt;Track Changes While Editing&gt;OK</t>
  </si>
  <si>
    <t>Instructions for formatting tables</t>
  </si>
  <si>
    <t>a/  Monthly totals for Oregon data are the sum of statistical weeks with closest fit to the calendar month.</t>
  </si>
  <si>
    <t>TABLE A-19.  Washington ocean recreational pink salmon landings in numbers of fish by port of landing and statistical month.  
(Page 2 of 2)</t>
  </si>
  <si>
    <t>b/  October effort beginning in 2002 occurred during Quileute ceremonial and subsistence fishery.</t>
  </si>
  <si>
    <t>c/  Landings primarily in odd-years only; averages are odd-year average.</t>
  </si>
  <si>
    <t>TABLE A-16.  Treaty Indian ocean troll pink salmon landings (odd years only) in numbers of fish by catch area and month.       
(Page 2 of 2)</t>
  </si>
  <si>
    <t xml:space="preserve"> (Page 2 of 2)</t>
  </si>
  <si>
    <t xml:space="preserve"> May-Sept.</t>
  </si>
  <si>
    <t>TABLE A-2.  California commercial troll salmon fishing effort in days fished by catch area and month.  (Page 2 of 2)</t>
  </si>
  <si>
    <t>TABLE A-2.  California commercial troll salmon fishing effort in days fished by catch area and month.</t>
  </si>
  <si>
    <t>TABLE A-2.  California commercial troll salmon fishing effort in days fished by catch area and month.  (Page 1 of 2)</t>
  </si>
  <si>
    <t>TABLE A-3.  California commercial troll Chinook and coho salmon landings in numbers of fish by catch area and month.  (Page 3 of 3)</t>
  </si>
  <si>
    <t>TABLE A-3.  California commercial troll Chinook and coho salmon landings in numbers of fish by catch area and month.</t>
  </si>
  <si>
    <t>TABLE A-3.  California commercial troll Chinook and coho salmon landings in numbers of fish by catch area and month.  (Page 1 of 3)</t>
  </si>
  <si>
    <t>TABLE A-3.  California commercial troll Chinook and coho salmon landings in numbers of fish by catch area and month.  (Page 2 of 3)</t>
  </si>
  <si>
    <t>TABLE A-5.  California ocean recreational salmon landings in numbers of fish by catch area and month.</t>
  </si>
  <si>
    <t xml:space="preserve">c/  The current commercial KMZ boundaries are Humbug Mt. to Humboldt south jetty. </t>
  </si>
  <si>
    <t>TABLE A-4.  California ocean recreational salmon fishing effort in angler trips by catch area and month.  (Page 1 of 3)</t>
  </si>
  <si>
    <t>TABLE A-4.  California ocean recreational salmon fishing effort in angler trips by catch area and month.  (Page 2 of 3)</t>
  </si>
  <si>
    <t>TABLE A-4.  California ocean recreational salmon fishing effort in angler trips by catch area and month.  (Page 3 of 3)</t>
  </si>
  <si>
    <t>TABLE A-4.  California ocean recreational salmon fishing effort in angler trips by catch area and month.</t>
  </si>
  <si>
    <t>2001-2005</t>
  </si>
  <si>
    <t>a/  Monthly totals are the sum of statistical weeks with closest fit to the calendar month and may include illegal catch.  The 1976-1980 catch is from combined salmon/steelhead punch card and sampled port data.  Since 1981, data is from sampled ports only.  Astoria area includes Astoria, Warrenton, and Hammond; Tillamook area includes Garibaldi and Pacific City; Newport area includes Depoe Bay and Newport; Coos Bay area includes Florence, Winchester Bay, and Coos Bay; Brookings area includes Gold Beach and Brookings.  Values include state-waters only, terminal area fisheries.</t>
  </si>
  <si>
    <t>b/  Includes catch from the North Jetty when the ocean fishery was open; does not include catch reported as occurring inside the Columbia River mouth (North Jetty catch when the ocean fishery was closed and Buoy 10 was open).</t>
  </si>
  <si>
    <t>- -</t>
  </si>
  <si>
    <t>a/  Summary of ODFW fish receiving ticket information. Beginning in 1979, monthly totals are the sum of statistical weeks with closest fit to the calendar month. Excludes effort occurring off Alaska, Washington, and California.  Days fished data are reported by port of landing through 1978 and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1986 includes Florence through Bandon and after 1987 includes Florence through Port Orford; Brookings area prior to 1986 includes Port Orford through Brookings and after 1987 includes Gold Beach through Brookings.  Values include state-waters only terminal area fisheries.</t>
  </si>
  <si>
    <t>1997-2001</t>
  </si>
  <si>
    <t>b/  Data for September include any effort after September.</t>
  </si>
  <si>
    <t>TABLE A-22.  Cape Falcon to U.S./Mexico border ocean recreational fishing effort in salmon angler trips by region and month.</t>
  </si>
  <si>
    <t>linked to A-12 and A-13</t>
  </si>
  <si>
    <t>c/  Treaty troll effort in number of landings, which closely approximates days fished because treaty Indian fishers do not usually make multi-day trips.  Season totals do not include January-April, October, or November-December treaty troll effort.</t>
  </si>
  <si>
    <t>b/  Includes minor effort in November in some years.</t>
  </si>
  <si>
    <t>a/  Monthly totals are the sum of statistical weeks with closest fit to the calendar month.  Since 1981, data from sampled ports only.  Effort consists of salmon angler trips only.   Astoria area includes Astoria, Warrenton, and Hammond; Tillamook area includes Garibaldi and Pacific City; Newport area includes Depoe Bay and Newport; Coos Bay area includes Florence, Winchester Bay, and Coos Bay; Brookings area includes Gold Beach and Brookings.  Values include state-waters only terminal area fisheries.</t>
  </si>
  <si>
    <t>a/  Monthly totals are the sum of statistical weeks with closest fit to the calendar month and may include illegal catch.  Data is from sampled ports only.  Astoria area includes Astoria, Warrenton, and Hammond; Tillamook area includes Garibaldi and Pacific City; Newport area includes Depoe Bay and Newport; Coos Bay area includes Florence, Winchester Bay, and Coos Bay; Brookings area includes Gold Beach and Brookings.  Values include state-waters only, terminal area fisheries.</t>
  </si>
  <si>
    <t>a/ Odd year averages only.</t>
  </si>
  <si>
    <t>TABLE A-5.  California ocean recreational salmon landings in numbers of fish by catch area and month.  (Page 1 of 3)</t>
  </si>
  <si>
    <t>TABLE A-5.  California ocean recreational salmon landings in numbers of fish by catch area and month.  (Page 2 of 3)</t>
  </si>
  <si>
    <t>TABLE A-5.  California ocean recreational salmon landings in numbers of fish by catch area and month.  (Page 3 of 3)</t>
  </si>
  <si>
    <t>linked to A-7 and A-8</t>
  </si>
  <si>
    <t>Pulls from A-18</t>
  </si>
  <si>
    <t>b/  Commercial fishery closed in all months except August 2002 (27 days fished) and September 2001-2005 (quota fisheries);  all other harvest occurred in Oregon waters but was landed in Crescent City.</t>
  </si>
  <si>
    <t>b/  Commercial fishery closed all months except Aug. 2002 (681 Chinook) and Sept. 2001-2005;  all other harvest occurred in Oregon waters but was landed in Crescent City.</t>
  </si>
  <si>
    <t>Oregon Only (NOF) troll Pink Landings</t>
  </si>
  <si>
    <t>a/  Neah Bay data include landings from Strait of Juan de Fuca Area 4B.</t>
  </si>
  <si>
    <t xml:space="preserve">- </t>
  </si>
  <si>
    <t>b/  Includes catch from the Washington State waters Area 4B fishery.</t>
  </si>
  <si>
    <t>TABLE A-22.  Cape Falcon to U.S./Mexico Border ocean recreational fishing effort in salmon angler trips by region and month.  
(Page 2 of 2)</t>
  </si>
  <si>
    <t>or Ave.</t>
  </si>
  <si>
    <t xml:space="preserve">TABLE A-1.  Summary of California commercial troll salmon fishing effort in days fished and landings in numbers of fish by catch area.  </t>
  </si>
  <si>
    <r>
      <t>TABLE A-12.  Washington non-Indian commercial troll salmon fishing effort in days fished by catch area and month.</t>
    </r>
    <r>
      <rPr>
        <vertAlign val="superscript"/>
        <sz val="8"/>
        <rFont val="Arial"/>
        <family val="2"/>
      </rPr>
      <t>a/</t>
    </r>
  </si>
  <si>
    <r>
      <t>Neah Bay</t>
    </r>
    <r>
      <rPr>
        <u/>
        <vertAlign val="superscript"/>
        <sz val="8"/>
        <rFont val="Arial"/>
        <family val="2"/>
      </rPr>
      <t>c/</t>
    </r>
  </si>
  <si>
    <r>
      <t>1989</t>
    </r>
    <r>
      <rPr>
        <vertAlign val="superscript"/>
        <sz val="8"/>
        <rFont val="Arial"/>
        <family val="2"/>
      </rPr>
      <t>a/</t>
    </r>
  </si>
  <si>
    <r>
      <t>1990</t>
    </r>
    <r>
      <rPr>
        <vertAlign val="superscript"/>
        <sz val="8"/>
        <rFont val="Arial"/>
        <family val="2"/>
      </rPr>
      <t>a/</t>
    </r>
  </si>
  <si>
    <r>
      <t>1991</t>
    </r>
    <r>
      <rPr>
        <vertAlign val="superscript"/>
        <sz val="8"/>
        <rFont val="Arial"/>
        <family val="2"/>
      </rPr>
      <t>a/</t>
    </r>
  </si>
  <si>
    <r>
      <t>1992</t>
    </r>
    <r>
      <rPr>
        <vertAlign val="superscript"/>
        <sz val="8"/>
        <rFont val="Arial"/>
        <family val="2"/>
      </rPr>
      <t>a/</t>
    </r>
  </si>
  <si>
    <r>
      <t>1993</t>
    </r>
    <r>
      <rPr>
        <vertAlign val="superscript"/>
        <sz val="8"/>
        <rFont val="Arial"/>
        <family val="2"/>
      </rPr>
      <t>a/</t>
    </r>
  </si>
  <si>
    <r>
      <t>1995</t>
    </r>
    <r>
      <rPr>
        <vertAlign val="superscript"/>
        <sz val="8"/>
        <rFont val="Arial"/>
        <family val="2"/>
      </rPr>
      <t>a/</t>
    </r>
  </si>
  <si>
    <r>
      <t>1996</t>
    </r>
    <r>
      <rPr>
        <vertAlign val="superscript"/>
        <sz val="8"/>
        <rFont val="Arial"/>
        <family val="2"/>
      </rPr>
      <t>a/</t>
    </r>
  </si>
  <si>
    <r>
      <t>1997</t>
    </r>
    <r>
      <rPr>
        <vertAlign val="superscript"/>
        <sz val="8"/>
        <rFont val="Arial"/>
        <family val="2"/>
      </rPr>
      <t>a/</t>
    </r>
  </si>
  <si>
    <r>
      <t>1998</t>
    </r>
    <r>
      <rPr>
        <vertAlign val="superscript"/>
        <sz val="8"/>
        <rFont val="Arial"/>
        <family val="2"/>
      </rPr>
      <t>a/</t>
    </r>
  </si>
  <si>
    <r>
      <t>2000</t>
    </r>
    <r>
      <rPr>
        <vertAlign val="superscript"/>
        <sz val="8"/>
        <rFont val="Arial"/>
        <family val="2"/>
      </rPr>
      <t>a/</t>
    </r>
  </si>
  <si>
    <r>
      <t>1991</t>
    </r>
    <r>
      <rPr>
        <vertAlign val="superscript"/>
        <sz val="8"/>
        <rFont val="Arial"/>
        <family val="2"/>
      </rPr>
      <t>b/</t>
    </r>
  </si>
  <si>
    <r>
      <t>1992</t>
    </r>
    <r>
      <rPr>
        <vertAlign val="superscript"/>
        <sz val="8"/>
        <rFont val="Arial"/>
        <family val="2"/>
      </rPr>
      <t>b/</t>
    </r>
  </si>
  <si>
    <r>
      <t>1993</t>
    </r>
    <r>
      <rPr>
        <vertAlign val="superscript"/>
        <sz val="8"/>
        <rFont val="Arial"/>
        <family val="2"/>
      </rPr>
      <t>b/</t>
    </r>
  </si>
  <si>
    <r>
      <t>1996</t>
    </r>
    <r>
      <rPr>
        <vertAlign val="superscript"/>
        <sz val="8"/>
        <rFont val="Arial"/>
        <family val="2"/>
      </rPr>
      <t>b/</t>
    </r>
  </si>
  <si>
    <r>
      <t>1997</t>
    </r>
    <r>
      <rPr>
        <vertAlign val="superscript"/>
        <sz val="8"/>
        <rFont val="Arial"/>
        <family val="2"/>
      </rPr>
      <t>b/</t>
    </r>
  </si>
  <si>
    <r>
      <t>1998</t>
    </r>
    <r>
      <rPr>
        <vertAlign val="superscript"/>
        <sz val="8"/>
        <rFont val="Arial"/>
        <family val="2"/>
      </rPr>
      <t>b/</t>
    </r>
  </si>
  <si>
    <r>
      <t>2000</t>
    </r>
    <r>
      <rPr>
        <vertAlign val="superscript"/>
        <sz val="8"/>
        <rFont val="Arial"/>
        <family val="2"/>
      </rPr>
      <t>b/</t>
    </r>
  </si>
  <si>
    <r>
      <t>2008</t>
    </r>
    <r>
      <rPr>
        <vertAlign val="superscript"/>
        <sz val="8"/>
        <rFont val="Arial"/>
        <family val="2"/>
      </rPr>
      <t>b/</t>
    </r>
  </si>
  <si>
    <r>
      <t>Ilwaco</t>
    </r>
    <r>
      <rPr>
        <u/>
        <vertAlign val="superscript"/>
        <sz val="8"/>
        <rFont val="Arial"/>
        <family val="2"/>
      </rPr>
      <t>d/</t>
    </r>
  </si>
  <si>
    <r>
      <t>Total Statewide</t>
    </r>
    <r>
      <rPr>
        <b/>
        <u/>
        <vertAlign val="superscript"/>
        <sz val="8"/>
        <rFont val="Arial"/>
        <family val="2"/>
      </rPr>
      <t>d/</t>
    </r>
  </si>
  <si>
    <r>
      <t>Year or Avg.</t>
    </r>
    <r>
      <rPr>
        <vertAlign val="superscript"/>
        <sz val="8"/>
        <rFont val="Arial"/>
        <family val="2"/>
      </rPr>
      <t>a/</t>
    </r>
  </si>
  <si>
    <r>
      <t xml:space="preserve">TABLE A-7.  </t>
    </r>
    <r>
      <rPr>
        <b/>
        <sz val="8"/>
        <rFont val="Arial"/>
        <family val="2"/>
      </rPr>
      <t>Oregon commercial</t>
    </r>
    <r>
      <rPr>
        <sz val="8"/>
        <rFont val="Arial"/>
        <family val="2"/>
      </rPr>
      <t xml:space="preserve"> troll salmon fishing </t>
    </r>
    <r>
      <rPr>
        <b/>
        <sz val="8"/>
        <rFont val="Arial"/>
        <family val="2"/>
      </rPr>
      <t>effort</t>
    </r>
    <r>
      <rPr>
        <sz val="8"/>
        <rFont val="Arial"/>
        <family val="2"/>
      </rPr>
      <t xml:space="preserve"> in days fished by area and month.</t>
    </r>
    <r>
      <rPr>
        <vertAlign val="superscript"/>
        <sz val="8"/>
        <rFont val="Arial"/>
        <family val="2"/>
      </rPr>
      <t>a/</t>
    </r>
  </si>
  <si>
    <r>
      <t>a/ Monthly totals are the sum of statistical weeks with closest fit to the calendar month.  Excludes harvests off Alaska</t>
    </r>
    <r>
      <rPr>
        <strike/>
        <sz val="8"/>
        <rFont val="Arial"/>
        <family val="2"/>
      </rPr>
      <t>,</t>
    </r>
    <r>
      <rPr>
        <sz val="8"/>
        <rFont val="Arial"/>
        <family val="2"/>
      </rPr>
      <t xml:space="preserve"> Washington (north of Leadbetter Point)</t>
    </r>
    <r>
      <rPr>
        <strike/>
        <sz val="8"/>
        <rFont val="Arial"/>
        <family val="2"/>
      </rPr>
      <t>,</t>
    </r>
    <r>
      <rPr>
        <sz val="8"/>
        <rFont val="Arial"/>
        <family val="2"/>
      </rPr>
      <t xml:space="preserve"> and California that were landed in Oregon.  Landings are reported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1988 includes Florence through Bandon and after 1987 includes Florence through Port Orford; Brookings area prior to 1988 includes Port Orford through Brookings and after 1987 includes Gold Beach through Brookings.   Values include state-waters only terminal area fisheries.</t>
    </r>
  </si>
  <si>
    <r>
      <t>TABLE A-8.  Oregon commercial troll Chinook and coho salmon landings in numbers of fish by catch area and month.</t>
    </r>
    <r>
      <rPr>
        <vertAlign val="superscript"/>
        <sz val="8"/>
        <rFont val="Arial"/>
        <family val="2"/>
      </rPr>
      <t>a/</t>
    </r>
  </si>
  <si>
    <r>
      <t>TABLE A-9.  Oregon ocean recreational effort in salmon angler trips by catch area and month.</t>
    </r>
    <r>
      <rPr>
        <vertAlign val="superscript"/>
        <sz val="8"/>
        <rFont val="Arial"/>
        <family val="2"/>
      </rPr>
      <t>a/</t>
    </r>
  </si>
  <si>
    <r>
      <t>TABLE A-10.  Oregon ocean recreational salmon landings in numbers of fish by catch area and month.</t>
    </r>
    <r>
      <rPr>
        <vertAlign val="superscript"/>
        <sz val="8"/>
        <rFont val="Arial"/>
        <family val="2"/>
      </rPr>
      <t>a/</t>
    </r>
  </si>
  <si>
    <r>
      <t>Oct.</t>
    </r>
    <r>
      <rPr>
        <vertAlign val="superscript"/>
        <sz val="8"/>
        <rFont val="Arial"/>
        <family val="2"/>
      </rPr>
      <t>b/</t>
    </r>
  </si>
  <si>
    <r>
      <t>Season</t>
    </r>
    <r>
      <rPr>
        <vertAlign val="superscript"/>
        <sz val="8"/>
        <rFont val="Arial"/>
        <family val="2"/>
      </rPr>
      <t>b/</t>
    </r>
  </si>
  <si>
    <r>
      <t>La Push</t>
    </r>
    <r>
      <rPr>
        <vertAlign val="superscript"/>
        <sz val="8"/>
        <rFont val="Arial"/>
        <family val="2"/>
      </rPr>
      <t>b/</t>
    </r>
  </si>
  <si>
    <r>
      <t>La Push</t>
    </r>
    <r>
      <rPr>
        <u/>
        <vertAlign val="superscript"/>
        <sz val="8"/>
        <rFont val="Arial"/>
        <family val="2"/>
      </rPr>
      <t>b/</t>
    </r>
  </si>
  <si>
    <r>
      <t>TABLE A-6.  Summary of Oregon commercial troll salmon fishing effort in days fished and landings in numbers of fish by catch area.</t>
    </r>
    <r>
      <rPr>
        <vertAlign val="superscript"/>
        <sz val="8"/>
        <rFont val="Arial"/>
        <family val="2"/>
      </rPr>
      <t>a/</t>
    </r>
    <r>
      <rPr>
        <sz val="8"/>
        <rFont val="Arial"/>
        <family val="2"/>
      </rPr>
      <t xml:space="preserve">  (Page 1 of 2)</t>
    </r>
  </si>
  <si>
    <r>
      <t>PINK LANDINGS</t>
    </r>
    <r>
      <rPr>
        <vertAlign val="superscript"/>
        <sz val="8"/>
        <rFont val="Arial"/>
        <family val="2"/>
      </rPr>
      <t>c/</t>
    </r>
  </si>
  <si>
    <r>
      <t xml:space="preserve">TABLE A-20.  Cape Falcon to U.S./Mexico border </t>
    </r>
    <r>
      <rPr>
        <b/>
        <sz val="8"/>
        <rFont val="Arial"/>
        <family val="2"/>
      </rPr>
      <t>commercial</t>
    </r>
    <r>
      <rPr>
        <sz val="8"/>
        <rFont val="Arial"/>
        <family val="2"/>
      </rPr>
      <t xml:space="preserve"> troll salmon fishing </t>
    </r>
    <r>
      <rPr>
        <b/>
        <sz val="8"/>
        <rFont val="Arial"/>
        <family val="2"/>
      </rPr>
      <t>effort in days</t>
    </r>
    <r>
      <rPr>
        <sz val="8"/>
        <rFont val="Arial"/>
        <family val="2"/>
      </rPr>
      <t xml:space="preserve"> fished by region and month.</t>
    </r>
  </si>
  <si>
    <r>
      <t>Cape Falcon to Humbug Mt.</t>
    </r>
    <r>
      <rPr>
        <u/>
        <vertAlign val="superscript"/>
        <sz val="8"/>
        <rFont val="Arial"/>
        <family val="2"/>
      </rPr>
      <t>a/</t>
    </r>
  </si>
  <si>
    <r>
      <t>Humbug Mt. to Horse Mt. (KMZ)</t>
    </r>
    <r>
      <rPr>
        <u/>
        <vertAlign val="superscript"/>
        <sz val="8"/>
        <rFont val="Arial"/>
        <family val="2"/>
      </rPr>
      <t>a/c/</t>
    </r>
  </si>
  <si>
    <r>
      <t>Total South of Cape Falcon</t>
    </r>
    <r>
      <rPr>
        <b/>
        <u/>
        <vertAlign val="superscript"/>
        <sz val="8"/>
        <rFont val="Arial"/>
        <family val="2"/>
      </rPr>
      <t xml:space="preserve"> a/</t>
    </r>
  </si>
  <si>
    <r>
      <t>Humbug Mt. to Horse Mt. (KMZ)</t>
    </r>
    <r>
      <rPr>
        <u/>
        <vertAlign val="superscript"/>
        <sz val="8"/>
        <rFont val="Arial"/>
        <family val="2"/>
      </rPr>
      <t>a/</t>
    </r>
  </si>
  <si>
    <r>
      <t>2015</t>
    </r>
    <r>
      <rPr>
        <vertAlign val="superscript"/>
        <sz val="8"/>
        <rFont val="Arial"/>
        <family val="2"/>
      </rPr>
      <t>a/</t>
    </r>
  </si>
  <si>
    <r>
      <t>TABLE A-24.  U.S./Canada border to Cape Falcon commercial troll salmon fishing effort in days fished by area and month.</t>
    </r>
    <r>
      <rPr>
        <vertAlign val="superscript"/>
        <sz val="8"/>
        <rFont val="Arial"/>
        <family val="2"/>
      </rPr>
      <t>a/</t>
    </r>
    <r>
      <rPr>
        <sz val="8"/>
        <rFont val="Arial"/>
        <family val="2"/>
      </rPr>
      <t xml:space="preserve"> </t>
    </r>
  </si>
  <si>
    <r>
      <t>U.S./Canada Border to Leadbetter Pt. - Treaty Indian</t>
    </r>
    <r>
      <rPr>
        <u/>
        <vertAlign val="superscript"/>
        <sz val="8"/>
        <rFont val="Arial"/>
        <family val="2"/>
      </rPr>
      <t>c/</t>
    </r>
  </si>
  <si>
    <r>
      <t>U.S./Canada Border to Leadbetter Pt. - Total</t>
    </r>
    <r>
      <rPr>
        <b/>
        <u/>
        <vertAlign val="superscript"/>
        <sz val="8"/>
        <rFont val="Arial"/>
        <family val="2"/>
      </rPr>
      <t>c/</t>
    </r>
  </si>
  <si>
    <r>
      <t>U.S./Canada Border  to Cape Falcon - Treaty Indian Total</t>
    </r>
    <r>
      <rPr>
        <b/>
        <u/>
        <vertAlign val="superscript"/>
        <sz val="8"/>
        <rFont val="Arial"/>
        <family val="2"/>
      </rPr>
      <t>c/</t>
    </r>
  </si>
  <si>
    <r>
      <t>U.S./Canada Border  to Cape Falcon - Total</t>
    </r>
    <r>
      <rPr>
        <b/>
        <u/>
        <vertAlign val="superscript"/>
        <sz val="8"/>
        <rFont val="Arial"/>
        <family val="2"/>
      </rPr>
      <t>c/</t>
    </r>
  </si>
  <si>
    <r>
      <t>TABLE A-25.  U.S./Canada border to Cape Falcon ocean troll Chinook and coho landings in number of fish by catch area and month.</t>
    </r>
    <r>
      <rPr>
        <vertAlign val="superscript"/>
        <sz val="8"/>
        <rFont val="Arial"/>
        <family val="2"/>
      </rPr>
      <t>a/</t>
    </r>
  </si>
  <si>
    <r>
      <t>U.S./Canada Border  to Cape Falcon - Treaty Indian</t>
    </r>
    <r>
      <rPr>
        <u/>
        <vertAlign val="superscript"/>
        <sz val="8"/>
        <rFont val="Arial"/>
        <family val="2"/>
      </rPr>
      <t>c/</t>
    </r>
  </si>
  <si>
    <r>
      <t>TABLE A-26.  U.S./Canada border to Cape Falcon ocean troll pink salmon landings in numbers of fish by catch area and month (odd-year averages).</t>
    </r>
    <r>
      <rPr>
        <vertAlign val="superscript"/>
        <sz val="8"/>
        <rFont val="Arial"/>
        <family val="2"/>
      </rPr>
      <t>a/</t>
    </r>
  </si>
  <si>
    <r>
      <t>TABLE A-27.  U.S./Canada border to Cape Falcon ocean recreational fishing effort in salmon angler trips by area and month.</t>
    </r>
    <r>
      <rPr>
        <vertAlign val="superscript"/>
        <sz val="8"/>
        <rFont val="Arial"/>
        <family val="2"/>
      </rPr>
      <t>a/</t>
    </r>
  </si>
  <si>
    <r>
      <t>U.S./Canada Border to Leadbetter Pt.</t>
    </r>
    <r>
      <rPr>
        <u/>
        <vertAlign val="superscript"/>
        <sz val="8"/>
        <rFont val="Arial"/>
        <family val="2"/>
      </rPr>
      <t>c/</t>
    </r>
  </si>
  <si>
    <r>
      <t>U.S./Canada Border to Cape Falcon</t>
    </r>
    <r>
      <rPr>
        <u/>
        <vertAlign val="superscript"/>
        <sz val="8"/>
        <rFont val="Arial"/>
        <family val="2"/>
      </rPr>
      <t>c/</t>
    </r>
  </si>
  <si>
    <r>
      <t>TABLE A-28.  U.S./Canada border to Cape Falcon ocean recreational Chinook and coho salmon landings in numbers of fish by area and month.</t>
    </r>
    <r>
      <rPr>
        <vertAlign val="superscript"/>
        <sz val="8"/>
        <rFont val="Arial"/>
        <family val="2"/>
      </rPr>
      <t>a/</t>
    </r>
    <r>
      <rPr>
        <sz val="8"/>
        <rFont val="Arial"/>
        <family val="2"/>
      </rPr>
      <t xml:space="preserve">  (Page 1 of 2)</t>
    </r>
  </si>
  <si>
    <r>
      <t>U.S./Canada Border to Leadbetter Pt.</t>
    </r>
    <r>
      <rPr>
        <u/>
        <vertAlign val="superscript"/>
        <sz val="8"/>
        <rFont val="Arial"/>
        <family val="2"/>
      </rPr>
      <t>b/</t>
    </r>
  </si>
  <si>
    <r>
      <t xml:space="preserve">U.S./Canada Border to Cape Falcon </t>
    </r>
    <r>
      <rPr>
        <u/>
        <sz val="8"/>
        <rFont val="Arial"/>
        <family val="2"/>
      </rPr>
      <t>c/</t>
    </r>
  </si>
  <si>
    <r>
      <t>Total Statewide</t>
    </r>
    <r>
      <rPr>
        <b/>
        <vertAlign val="superscript"/>
        <sz val="8"/>
        <rFont val="Arial"/>
        <family val="2"/>
      </rPr>
      <t>a/</t>
    </r>
  </si>
  <si>
    <r>
      <t>Crescent City</t>
    </r>
    <r>
      <rPr>
        <vertAlign val="superscript"/>
        <sz val="8"/>
        <rFont val="Arial"/>
        <family val="2"/>
      </rPr>
      <t>a/</t>
    </r>
  </si>
  <si>
    <r>
      <t>Total Statewide</t>
    </r>
    <r>
      <rPr>
        <vertAlign val="superscript"/>
        <sz val="8"/>
        <rFont val="Arial"/>
        <family val="2"/>
      </rPr>
      <t>a/</t>
    </r>
  </si>
  <si>
    <r>
      <t>TABLE A-6.  Summary of Oregon commercial troll salmon fishing effort in days fished and landings in numbers of fish by catch area.</t>
    </r>
    <r>
      <rPr>
        <vertAlign val="superscript"/>
        <sz val="8"/>
        <rFont val="Arial"/>
        <family val="2"/>
      </rPr>
      <t>a/</t>
    </r>
    <r>
      <rPr>
        <sz val="8"/>
        <rFont val="Arial"/>
        <family val="2"/>
      </rPr>
      <t xml:space="preserve">  (Page 2 of 2)</t>
    </r>
  </si>
  <si>
    <r>
      <t>U.S./Canada Border  to Cape Falcon - Treaty Indian</t>
    </r>
    <r>
      <rPr>
        <u/>
        <vertAlign val="superscript"/>
        <sz val="8"/>
        <rFont val="Arial"/>
        <family val="2"/>
      </rPr>
      <t>b/</t>
    </r>
  </si>
  <si>
    <r>
      <t>U.S./Canada Border to Leadbetter Pt. - Treaty Indian</t>
    </r>
    <r>
      <rPr>
        <u/>
        <vertAlign val="superscript"/>
        <sz val="8"/>
        <rFont val="Arial"/>
        <family val="2"/>
      </rPr>
      <t>b/</t>
    </r>
  </si>
  <si>
    <r>
      <t>U.S./Canada Border to Leadbetter Pt. - Total</t>
    </r>
    <r>
      <rPr>
        <b/>
        <u/>
        <vertAlign val="superscript"/>
        <sz val="8"/>
        <rFont val="Arial"/>
        <family val="2"/>
      </rPr>
      <t>b/</t>
    </r>
  </si>
  <si>
    <r>
      <t>U.S./Canada Border  to Cape Falcon - Total</t>
    </r>
    <r>
      <rPr>
        <u/>
        <vertAlign val="superscript"/>
        <sz val="8"/>
        <rFont val="Arial"/>
        <family val="2"/>
      </rPr>
      <t>b/</t>
    </r>
  </si>
  <si>
    <t>b/  Season totals do not include October treaty troll catches.</t>
  </si>
  <si>
    <r>
      <t>Sept.</t>
    </r>
    <r>
      <rPr>
        <vertAlign val="superscript"/>
        <sz val="8"/>
        <rFont val="Arial"/>
        <family val="2"/>
      </rPr>
      <t>b/</t>
    </r>
  </si>
  <si>
    <r>
      <t>Neah Bay</t>
    </r>
    <r>
      <rPr>
        <vertAlign val="superscript"/>
        <sz val="8"/>
        <rFont val="Arial"/>
        <family val="2"/>
      </rPr>
      <t>a/</t>
    </r>
  </si>
  <si>
    <t>TABLE A-22.  Cape Falcon to U.S./Mexico Border ocean recreational fishing effort in salmon angler trips by region and month.           (Page 1 of 2)</t>
  </si>
  <si>
    <r>
      <t>TABLE A-13.  Washington non-Indian commercial troll Chinook, coho, and pink salmon landings in numbers of fish by catch area and month (odd year averages).</t>
    </r>
    <r>
      <rPr>
        <vertAlign val="superscript"/>
        <sz val="8"/>
        <rFont val="Arial"/>
        <family val="2"/>
      </rPr>
      <t>a/</t>
    </r>
  </si>
  <si>
    <t>Leave cursor where it is and insert row (or press &lt;Ctrl-g&gt;)</t>
  </si>
  <si>
    <t>Arrow down and increment year being careful not to delete any footnotes (or press &lt;Ctrl-r&gt;)</t>
  </si>
  <si>
    <r>
      <t>If a footnote is required and the datum is needed for computation, allign the data column with no indent and put footnote in the adjacent column with left justification.  If the datum to be footnoted is not needed for computation, consider simply adding the footnote to the value and superscripting only the footnote mark (e.g.123</t>
    </r>
    <r>
      <rPr>
        <vertAlign val="superscript"/>
        <sz val="10"/>
        <rFont val="Arial"/>
        <family val="2"/>
      </rPr>
      <t>a/</t>
    </r>
    <r>
      <rPr>
        <sz val="10"/>
        <rFont val="Arial"/>
        <family val="2"/>
      </rPr>
      <t>)</t>
    </r>
  </si>
  <si>
    <r>
      <t>2019</t>
    </r>
    <r>
      <rPr>
        <vertAlign val="superscript"/>
        <sz val="8"/>
        <rFont val="Arial"/>
        <family val="2"/>
      </rPr>
      <t>c/</t>
    </r>
  </si>
  <si>
    <r>
      <t>2018</t>
    </r>
    <r>
      <rPr>
        <vertAlign val="superscript"/>
        <sz val="8"/>
        <rFont val="Arial"/>
        <family val="2"/>
      </rPr>
      <t>/</t>
    </r>
  </si>
  <si>
    <r>
      <t>1989</t>
    </r>
    <r>
      <rPr>
        <vertAlign val="superscript"/>
        <sz val="8"/>
        <rFont val="Arial"/>
        <family val="2"/>
      </rPr>
      <t>b/</t>
    </r>
  </si>
  <si>
    <r>
      <t>Ilwaco</t>
    </r>
    <r>
      <rPr>
        <u/>
        <vertAlign val="superscript"/>
        <sz val="8"/>
        <rFont val="Arial"/>
        <family val="2"/>
      </rPr>
      <t>c/</t>
    </r>
  </si>
  <si>
    <r>
      <t>TABLE A-12.  Washington non-Indian commercial troll salmon fishing effort in days fished by catch area and month.</t>
    </r>
    <r>
      <rPr>
        <vertAlign val="superscript"/>
        <sz val="8"/>
        <rFont val="Arial"/>
        <family val="2"/>
      </rPr>
      <t xml:space="preserve">a/ </t>
    </r>
    <r>
      <rPr>
        <sz val="8"/>
        <rFont val="Arial"/>
        <family val="2"/>
      </rPr>
      <t xml:space="preserve">      (Page 1 of 2)</t>
    </r>
  </si>
  <si>
    <r>
      <t>TABLE A-12.  Washington non-Indian commercial troll salmon fishing effort in days fished by catch area and month.</t>
    </r>
    <r>
      <rPr>
        <vertAlign val="superscript"/>
        <sz val="8"/>
        <rFont val="Arial"/>
        <family val="2"/>
      </rPr>
      <t xml:space="preserve">a/ </t>
    </r>
    <r>
      <rPr>
        <sz val="8"/>
        <rFont val="Arial"/>
        <family val="2"/>
      </rPr>
      <t xml:space="preserve">      (Page 2 of 2)</t>
    </r>
  </si>
  <si>
    <r>
      <t>TABLE A-13.  Washington non-Indian commercial troll Chinook, coho, and pink salmon landings in numbers of fish by catch area and month (odd year averages).</t>
    </r>
    <r>
      <rPr>
        <vertAlign val="superscript"/>
        <sz val="8"/>
        <rFont val="Arial"/>
        <family val="2"/>
      </rPr>
      <t xml:space="preserve">a/ </t>
    </r>
    <r>
      <rPr>
        <sz val="8"/>
        <rFont val="Arial"/>
        <family val="2"/>
      </rPr>
      <t xml:space="preserve"> (Page 1 of 3)</t>
    </r>
  </si>
  <si>
    <r>
      <t>TABLE A-13.  Washington non-Indian commercial troll Chinook, coho, and pink salmon landings in numbers of fish by catch area and month (odd year averages).</t>
    </r>
    <r>
      <rPr>
        <vertAlign val="superscript"/>
        <sz val="8"/>
        <rFont val="Arial"/>
        <family val="2"/>
      </rPr>
      <t xml:space="preserve">a/ </t>
    </r>
    <r>
      <rPr>
        <sz val="8"/>
        <rFont val="Arial"/>
        <family val="2"/>
      </rPr>
      <t xml:space="preserve"> (Page 2 of 3)</t>
    </r>
  </si>
  <si>
    <r>
      <t>TABLE A-13.  Washington non-Indian commercial troll Chinook, coho, and pink salmon landings in numbers of fish by catch area and month (odd year averages).</t>
    </r>
    <r>
      <rPr>
        <vertAlign val="superscript"/>
        <sz val="8"/>
        <rFont val="Arial"/>
        <family val="2"/>
      </rPr>
      <t xml:space="preserve">a/ </t>
    </r>
    <r>
      <rPr>
        <sz val="8"/>
        <rFont val="Arial"/>
        <family val="2"/>
      </rPr>
      <t xml:space="preserve"> (Page 3 of 3)</t>
    </r>
  </si>
  <si>
    <r>
      <t>Statewide Total</t>
    </r>
    <r>
      <rPr>
        <b/>
        <u/>
        <vertAlign val="superscript"/>
        <sz val="8"/>
        <rFont val="Arial"/>
        <family val="2"/>
      </rPr>
      <t>c/</t>
    </r>
  </si>
  <si>
    <r>
      <t>1991-1995</t>
    </r>
    <r>
      <rPr>
        <vertAlign val="superscript"/>
        <sz val="8"/>
        <rFont val="Arial"/>
        <family val="2"/>
      </rPr>
      <t>a/</t>
    </r>
  </si>
  <si>
    <r>
      <t>1986-1990</t>
    </r>
    <r>
      <rPr>
        <vertAlign val="superscript"/>
        <sz val="8"/>
        <rFont val="Arial"/>
        <family val="2"/>
      </rPr>
      <t>a/</t>
    </r>
  </si>
  <si>
    <r>
      <t>1991-1995</t>
    </r>
    <r>
      <rPr>
        <vertAlign val="superscript"/>
        <sz val="8"/>
        <rFont val="Arial"/>
        <family val="2"/>
      </rPr>
      <t>b/</t>
    </r>
  </si>
  <si>
    <r>
      <t>1996-2000</t>
    </r>
    <r>
      <rPr>
        <vertAlign val="superscript"/>
        <sz val="8"/>
        <rFont val="Arial"/>
        <family val="2"/>
      </rPr>
      <t>b/</t>
    </r>
  </si>
  <si>
    <r>
      <t>TABLE A-27.  U.S./Canada border to Cape Falcon ocean recreational fishing effort in salmon angler trips by area and month.</t>
    </r>
    <r>
      <rPr>
        <vertAlign val="superscript"/>
        <sz val="8"/>
        <rFont val="Arial"/>
        <family val="2"/>
      </rPr>
      <t xml:space="preserve">a/ </t>
    </r>
  </si>
  <si>
    <r>
      <t>TABLE A-28.  U.S./Canada border to Cape Falcon ocean recreational Chinook and coho salmon landings in numbers of fish by area and month.</t>
    </r>
    <r>
      <rPr>
        <vertAlign val="superscript"/>
        <sz val="8"/>
        <rFont val="Arial"/>
        <family val="2"/>
      </rPr>
      <t>a/</t>
    </r>
    <r>
      <rPr>
        <sz val="8"/>
        <rFont val="Arial"/>
        <family val="2"/>
      </rPr>
      <t xml:space="preserve">  (Page 2 of 2)</t>
    </r>
  </si>
  <si>
    <r>
      <t>TABLE A-7.  Oregon commercial troll salmon fishing effort in days fished by area and month.</t>
    </r>
    <r>
      <rPr>
        <vertAlign val="superscript"/>
        <sz val="8"/>
        <rFont val="Arial"/>
        <family val="2"/>
      </rPr>
      <t>a/</t>
    </r>
    <r>
      <rPr>
        <sz val="8"/>
        <rFont val="Arial"/>
        <family val="2"/>
      </rPr>
      <t xml:space="preserve">  (Page 1 of 4)</t>
    </r>
  </si>
  <si>
    <r>
      <t>TABLE A-7.  Oregon commercial troll salmon fishing effort in days fished by area and month.</t>
    </r>
    <r>
      <rPr>
        <vertAlign val="superscript"/>
        <sz val="8"/>
        <rFont val="Arial"/>
        <family val="2"/>
      </rPr>
      <t>a/</t>
    </r>
    <r>
      <rPr>
        <sz val="8"/>
        <rFont val="Arial"/>
        <family val="2"/>
      </rPr>
      <t xml:space="preserve">  (Page 2 of 4)</t>
    </r>
  </si>
  <si>
    <r>
      <t>TABLE A-7.  Oregon commercial troll salmon fishing effort in days fished by area and month.</t>
    </r>
    <r>
      <rPr>
        <vertAlign val="superscript"/>
        <sz val="8"/>
        <rFont val="Arial"/>
        <family val="2"/>
      </rPr>
      <t>a/</t>
    </r>
    <r>
      <rPr>
        <sz val="8"/>
        <rFont val="Arial"/>
        <family val="2"/>
      </rPr>
      <t xml:space="preserve">  (Page 3 of 4)</t>
    </r>
  </si>
  <si>
    <r>
      <t>TABLE A-7.  Oregon commercial troll salmon fishing effort in days fished by area and month.</t>
    </r>
    <r>
      <rPr>
        <vertAlign val="superscript"/>
        <sz val="8"/>
        <rFont val="Arial"/>
        <family val="2"/>
      </rPr>
      <t>a/</t>
    </r>
    <r>
      <rPr>
        <sz val="8"/>
        <rFont val="Arial"/>
        <family val="2"/>
      </rPr>
      <t xml:space="preserve">  (Page 4 of 4)</t>
    </r>
  </si>
  <si>
    <r>
      <t>TABLE A-8.  Oregon commercial troll Chinook and coho salmon landings in numbers of fish by catch area and month.</t>
    </r>
    <r>
      <rPr>
        <vertAlign val="superscript"/>
        <sz val="8"/>
        <rFont val="Arial"/>
        <family val="2"/>
      </rPr>
      <t>a/</t>
    </r>
    <r>
      <rPr>
        <sz val="8"/>
        <rFont val="Arial"/>
        <family val="2"/>
      </rPr>
      <t xml:space="preserve">  (Page 1 of 4)</t>
    </r>
  </si>
  <si>
    <r>
      <t>TABLE A-8.  Oregon commercial troll Chinook and coho salmon landings in numbers of fish by catch area and month.</t>
    </r>
    <r>
      <rPr>
        <vertAlign val="superscript"/>
        <sz val="8"/>
        <rFont val="Arial"/>
        <family val="2"/>
      </rPr>
      <t xml:space="preserve">a/  </t>
    </r>
    <r>
      <rPr>
        <sz val="8"/>
        <rFont val="Arial"/>
        <family val="2"/>
      </rPr>
      <t>(Page 2 of 4)</t>
    </r>
  </si>
  <si>
    <r>
      <t>TABLE A-8.  Oregon commercial troll Chinook and coho salmon landings in numbers of fish by catch area and month.</t>
    </r>
    <r>
      <rPr>
        <vertAlign val="superscript"/>
        <sz val="8"/>
        <rFont val="Arial"/>
        <family val="2"/>
      </rPr>
      <t xml:space="preserve">a/ </t>
    </r>
    <r>
      <rPr>
        <sz val="8"/>
        <rFont val="Arial"/>
        <family val="2"/>
      </rPr>
      <t xml:space="preserve"> (Page 3 of 4)</t>
    </r>
  </si>
  <si>
    <r>
      <t>TABLE A-8.  Oregon commercial troll Chinook and coho salmon landings in numbers of fish by catch area and month.</t>
    </r>
    <r>
      <rPr>
        <vertAlign val="superscript"/>
        <sz val="8"/>
        <rFont val="Arial"/>
        <family val="2"/>
      </rPr>
      <t>a/</t>
    </r>
    <r>
      <rPr>
        <sz val="8"/>
        <rFont val="Arial"/>
        <family val="2"/>
      </rPr>
      <t xml:space="preserve">  (Page 4 of 4)</t>
    </r>
  </si>
  <si>
    <r>
      <t>TABLE A-9.  Oregon ocean recreational effort in salmon angler trips by catch area and month.</t>
    </r>
    <r>
      <rPr>
        <vertAlign val="superscript"/>
        <sz val="8"/>
        <rFont val="Arial"/>
        <family val="2"/>
      </rPr>
      <t xml:space="preserve">a/ </t>
    </r>
    <r>
      <rPr>
        <sz val="8"/>
        <rFont val="Arial"/>
        <family val="2"/>
      </rPr>
      <t xml:space="preserve"> (Page 1 of 4)</t>
    </r>
  </si>
  <si>
    <r>
      <t>TABLE A-9.  Oregon ocean recreational effort in salmon angler trips by catch area and month.</t>
    </r>
    <r>
      <rPr>
        <vertAlign val="superscript"/>
        <sz val="8"/>
        <rFont val="Arial"/>
        <family val="2"/>
      </rPr>
      <t xml:space="preserve">a/ </t>
    </r>
    <r>
      <rPr>
        <sz val="8"/>
        <rFont val="Arial"/>
        <family val="2"/>
      </rPr>
      <t xml:space="preserve"> (Page 2 of 4)</t>
    </r>
  </si>
  <si>
    <r>
      <t>TABLE A-9.  Oregon ocean recreational effort in salmon angler trips by catch area and month.</t>
    </r>
    <r>
      <rPr>
        <vertAlign val="superscript"/>
        <sz val="8"/>
        <rFont val="Arial"/>
        <family val="2"/>
      </rPr>
      <t xml:space="preserve">a/ </t>
    </r>
    <r>
      <rPr>
        <sz val="8"/>
        <rFont val="Arial"/>
        <family val="2"/>
      </rPr>
      <t xml:space="preserve"> (Page 3 of 4)</t>
    </r>
  </si>
  <si>
    <r>
      <t>TABLE A-9.  Oregon ocean recreational effort in salmon angler trips by catch area and month.</t>
    </r>
    <r>
      <rPr>
        <vertAlign val="superscript"/>
        <sz val="8"/>
        <rFont val="Arial"/>
        <family val="2"/>
      </rPr>
      <t xml:space="preserve">a/ </t>
    </r>
    <r>
      <rPr>
        <sz val="8"/>
        <rFont val="Arial"/>
        <family val="2"/>
      </rPr>
      <t xml:space="preserve"> (Page 4 of 4)</t>
    </r>
  </si>
  <si>
    <r>
      <t>TABLE A-10.  Oregon ocean recreational salmon landings in numbers of fish by catch area and month.</t>
    </r>
    <r>
      <rPr>
        <vertAlign val="superscript"/>
        <sz val="8"/>
        <rFont val="Albertus Medium"/>
        <family val="2"/>
      </rPr>
      <t>a/</t>
    </r>
    <r>
      <rPr>
        <sz val="8"/>
        <rFont val="Arial"/>
        <family val="2"/>
      </rPr>
      <t xml:space="preserve">  (Page 1 of 4)</t>
    </r>
  </si>
  <si>
    <r>
      <t>TABLE A-10.  Oregon ocean recreational salmon landings in numbers of fish by catch area and month.</t>
    </r>
    <r>
      <rPr>
        <vertAlign val="superscript"/>
        <sz val="8"/>
        <rFont val="Arial"/>
        <family val="2"/>
      </rPr>
      <t>a/</t>
    </r>
    <r>
      <rPr>
        <sz val="8"/>
        <rFont val="Arial"/>
        <family val="2"/>
      </rPr>
      <t xml:space="preserve">  (Page 2 of 4)</t>
    </r>
  </si>
  <si>
    <r>
      <t>TABLE A-10.  Oregon ocean recreational salmon landings in numbers of fish by catch area and month.</t>
    </r>
    <r>
      <rPr>
        <vertAlign val="superscript"/>
        <sz val="8"/>
        <rFont val="Arial"/>
        <family val="2"/>
      </rPr>
      <t>a/</t>
    </r>
    <r>
      <rPr>
        <sz val="8"/>
        <rFont val="Arial"/>
        <family val="2"/>
      </rPr>
      <t xml:space="preserve">  (Page 3 of 4)</t>
    </r>
  </si>
  <si>
    <r>
      <t>TABLE A-10.  Oregon ocean recreational salmon landings in numbers of fish by catch area and month.</t>
    </r>
    <r>
      <rPr>
        <vertAlign val="superscript"/>
        <sz val="8"/>
        <rFont val="Arial"/>
        <family val="2"/>
      </rPr>
      <t>a/</t>
    </r>
    <r>
      <rPr>
        <sz val="8"/>
        <rFont val="Arial"/>
        <family val="2"/>
      </rPr>
      <t xml:space="preserve">  (Page 4 of 4)</t>
    </r>
  </si>
  <si>
    <t xml:space="preserve"> Cape Falcon to U.S./Mexico border commercial troll Chinook and coho salmon landings in numbers of fish by region and month</t>
  </si>
  <si>
    <r>
      <t>2001-2005</t>
    </r>
    <r>
      <rPr>
        <vertAlign val="superscript"/>
        <sz val="8"/>
        <rFont val="Arial"/>
        <family val="2"/>
      </rPr>
      <t>b/</t>
    </r>
  </si>
  <si>
    <r>
      <t>Total Statewide</t>
    </r>
    <r>
      <rPr>
        <b/>
        <u/>
        <vertAlign val="superscript"/>
        <sz val="8"/>
        <rFont val="Arial"/>
        <family val="2"/>
      </rPr>
      <t>a/</t>
    </r>
  </si>
  <si>
    <r>
      <t>TABLE A-20.  Cape Falcon to U.S./Mexico border commercial troll salmon fishing effort in days fished by region and month.</t>
    </r>
    <r>
      <rPr>
        <vertAlign val="superscript"/>
        <sz val="8"/>
        <rFont val="Arial"/>
        <family val="2"/>
      </rPr>
      <t xml:space="preserve"> </t>
    </r>
  </si>
  <si>
    <r>
      <t>Total South of Cape Falcon</t>
    </r>
    <r>
      <rPr>
        <u/>
        <vertAlign val="superscript"/>
        <sz val="8"/>
        <rFont val="Arial"/>
        <family val="2"/>
      </rPr>
      <t>a/</t>
    </r>
  </si>
  <si>
    <r>
      <t>Total South of Cape Falcon</t>
    </r>
    <r>
      <rPr>
        <u/>
        <vertAlign val="superscript"/>
        <sz val="8"/>
        <rFont val="Arial"/>
        <family val="2"/>
      </rPr>
      <t xml:space="preserve"> a/</t>
    </r>
  </si>
  <si>
    <r>
      <t xml:space="preserve">Total South of Cape Falcon </t>
    </r>
    <r>
      <rPr>
        <u/>
        <vertAlign val="superscript"/>
        <sz val="8"/>
        <rFont val="Arial"/>
        <family val="2"/>
      </rPr>
      <t>a/</t>
    </r>
  </si>
  <si>
    <r>
      <t>TABLE A-24.  U.S./Canada border to Cape Falcon commercial troll salmon fishing effort in days fished by area and month.</t>
    </r>
    <r>
      <rPr>
        <vertAlign val="superscript"/>
        <sz val="8"/>
        <rFont val="Arial"/>
        <family val="2"/>
      </rPr>
      <t>a/</t>
    </r>
    <r>
      <rPr>
        <sz val="8"/>
        <rFont val="Arial"/>
        <family val="2"/>
      </rPr>
      <t xml:space="preserve">  (Page 1 of 3)</t>
    </r>
  </si>
  <si>
    <r>
      <t>TABLE A-24.  U.S./Canada border to Cape Falcon commercial troll salmon fishing effort in days fished by area and month.</t>
    </r>
    <r>
      <rPr>
        <vertAlign val="superscript"/>
        <sz val="8"/>
        <rFont val="Arial"/>
        <family val="2"/>
      </rPr>
      <t>a/</t>
    </r>
    <r>
      <rPr>
        <sz val="8"/>
        <rFont val="Arial"/>
        <family val="2"/>
      </rPr>
      <t xml:space="preserve"> 
(Page 2 of 3)</t>
    </r>
  </si>
  <si>
    <r>
      <t>U.S./Canada Border to Cape Falcon - Treaty Indian Total</t>
    </r>
    <r>
      <rPr>
        <u/>
        <vertAlign val="superscript"/>
        <sz val="8"/>
        <rFont val="Arial"/>
        <family val="2"/>
      </rPr>
      <t>c/</t>
    </r>
  </si>
  <si>
    <r>
      <t>TABLE A-24.  U.S./Canada border to Cape Falcon commercial troll salmon fishing effort in days fished by area and month.</t>
    </r>
    <r>
      <rPr>
        <vertAlign val="superscript"/>
        <sz val="8"/>
        <rFont val="Arial"/>
        <family val="2"/>
      </rPr>
      <t>a/</t>
    </r>
    <r>
      <rPr>
        <sz val="8"/>
        <rFont val="Arial"/>
        <family val="2"/>
      </rPr>
      <t xml:space="preserve">  
(Page 3 of 3)</t>
    </r>
  </si>
  <si>
    <r>
      <t>U.S./Canada Border to Cape Falcon - Total Treaty Indian and Non-Indian</t>
    </r>
    <r>
      <rPr>
        <b/>
        <u/>
        <vertAlign val="superscript"/>
        <sz val="8"/>
        <rFont val="Arial"/>
        <family val="2"/>
      </rPr>
      <t>c/</t>
    </r>
  </si>
  <si>
    <r>
      <t>TABLE A-25.  U.S./Canada border to Cape Falcon ocean troll Chinook and coho landings in number of fish by catch area and month.</t>
    </r>
    <r>
      <rPr>
        <vertAlign val="superscript"/>
        <sz val="8"/>
        <rFont val="Arial"/>
        <family val="2"/>
      </rPr>
      <t>a/</t>
    </r>
    <r>
      <rPr>
        <sz val="8"/>
        <rFont val="Arial"/>
        <family val="2"/>
      </rPr>
      <t xml:space="preserve">  (Page 1 of 4)</t>
    </r>
  </si>
  <si>
    <r>
      <t>TABLE A-25.  U.S./Canada border to Cape Falcon ocean troll Chinook and coho landings in number of fish by catch area and month.</t>
    </r>
    <r>
      <rPr>
        <vertAlign val="superscript"/>
        <sz val="8"/>
        <rFont val="Arial"/>
        <family val="2"/>
      </rPr>
      <t>a/</t>
    </r>
    <r>
      <rPr>
        <sz val="8"/>
        <rFont val="Arial"/>
        <family val="2"/>
      </rPr>
      <t xml:space="preserve">  (Page 2 of 4)</t>
    </r>
  </si>
  <si>
    <r>
      <t>TABLE A-25.  U.S./Canada border to Cape Falcon ocean troll Chinook and coho landings in number of fish by catch area and month.</t>
    </r>
    <r>
      <rPr>
        <vertAlign val="superscript"/>
        <sz val="8"/>
        <rFont val="Arial"/>
        <family val="2"/>
      </rPr>
      <t xml:space="preserve">a/ </t>
    </r>
    <r>
      <rPr>
        <sz val="8"/>
        <rFont val="Arial"/>
        <family val="2"/>
      </rPr>
      <t xml:space="preserve"> (Page 3 of 4)</t>
    </r>
  </si>
  <si>
    <r>
      <t>U.S./Canada Border to Cape Falcon - Treaty Indian</t>
    </r>
    <r>
      <rPr>
        <u/>
        <vertAlign val="superscript"/>
        <sz val="8"/>
        <rFont val="Arial"/>
        <family val="2"/>
      </rPr>
      <t>c/</t>
    </r>
  </si>
  <si>
    <r>
      <t>TABLE A-25.  U.S./Canada border to Cape Falcon ocean troll Chinook and coho landings in number of fish by catch area and month.</t>
    </r>
    <r>
      <rPr>
        <vertAlign val="superscript"/>
        <sz val="8"/>
        <rFont val="Arial"/>
        <family val="2"/>
      </rPr>
      <t>a/</t>
    </r>
    <r>
      <rPr>
        <sz val="8"/>
        <rFont val="Arial"/>
        <family val="2"/>
      </rPr>
      <t xml:space="preserve">  (Page 4 of 4)</t>
    </r>
  </si>
  <si>
    <r>
      <t>TABLE A-26.  U.S./Canada border to Cape Falcon ocean troll pink salmon landings in numbers of fish by catch area and month (odd-year averages).</t>
    </r>
    <r>
      <rPr>
        <vertAlign val="superscript"/>
        <sz val="8"/>
        <rFont val="Arial"/>
        <family val="2"/>
      </rPr>
      <t>a/</t>
    </r>
    <r>
      <rPr>
        <sz val="8"/>
        <rFont val="Arial"/>
        <family val="2"/>
      </rPr>
      <t xml:space="preserve">  (Page 1 of 2)</t>
    </r>
  </si>
  <si>
    <r>
      <t>TABLE A-26.  U.S./Canada border to Cape Falcon ocean troll pink salmon landings in numbers of fish by catch area and month (odd-year averages).</t>
    </r>
    <r>
      <rPr>
        <vertAlign val="superscript"/>
        <sz val="8"/>
        <rFont val="Arial"/>
        <family val="2"/>
      </rPr>
      <t>a/</t>
    </r>
    <r>
      <rPr>
        <sz val="8"/>
        <rFont val="Arial"/>
        <family val="2"/>
      </rPr>
      <t xml:space="preserve">  (Page 2 of 2)</t>
    </r>
  </si>
  <si>
    <t>c/ Preliminary.</t>
  </si>
  <si>
    <t>d/  Includes catch from the North Jetty when the ocean fishery was open; does not include catch reported as occurring inside the Columbia River mouth (North Jetty catch when the ocean fishery was closed and Buoy 10 was open).</t>
  </si>
  <si>
    <r>
      <t>Crescent City</t>
    </r>
    <r>
      <rPr>
        <u/>
        <vertAlign val="superscript"/>
        <sz val="8"/>
        <rFont val="Arial"/>
        <family val="2"/>
      </rPr>
      <t>a/</t>
    </r>
  </si>
  <si>
    <t>TABLE A-14.  Treaty Indian ocean troll salmon fishing effort in deliveries by catch area and month.       (Page 2 of 2)</t>
  </si>
  <si>
    <r>
      <t>2020</t>
    </r>
    <r>
      <rPr>
        <vertAlign val="superscript"/>
        <sz val="8"/>
        <rFont val="Arial"/>
        <family val="2"/>
      </rPr>
      <t>c/</t>
    </r>
  </si>
  <si>
    <r>
      <t>2020</t>
    </r>
    <r>
      <rPr>
        <vertAlign val="superscript"/>
        <sz val="8"/>
        <rFont val="Arial"/>
        <family val="2"/>
      </rPr>
      <t>a/</t>
    </r>
  </si>
  <si>
    <r>
      <t>2020</t>
    </r>
    <r>
      <rPr>
        <vertAlign val="superscript"/>
        <sz val="8"/>
        <rFont val="Arial"/>
        <family val="2"/>
      </rPr>
      <t>b/</t>
    </r>
  </si>
  <si>
    <r>
      <t>2020</t>
    </r>
    <r>
      <rPr>
        <vertAlign val="superscript"/>
        <sz val="8"/>
        <rFont val="Arial"/>
        <family val="2"/>
      </rPr>
      <t>d/</t>
    </r>
  </si>
  <si>
    <r>
      <t>2020</t>
    </r>
    <r>
      <rPr>
        <vertAlign val="superscript"/>
        <sz val="8"/>
        <rFont val="Arial"/>
        <family val="2"/>
      </rPr>
      <t>b/d/</t>
    </r>
  </si>
  <si>
    <r>
      <t>2020</t>
    </r>
    <r>
      <rPr>
        <vertAlign val="superscript"/>
        <sz val="8"/>
        <rFont val="Arial"/>
        <family val="2"/>
      </rPr>
      <t>c/e/</t>
    </r>
  </si>
  <si>
    <t>2019c/</t>
  </si>
  <si>
    <r>
      <t>2019</t>
    </r>
    <r>
      <rPr>
        <vertAlign val="superscript"/>
        <sz val="8"/>
        <rFont val="Arial"/>
        <family val="2"/>
      </rPr>
      <t>a/</t>
    </r>
  </si>
  <si>
    <r>
      <t>2020</t>
    </r>
    <r>
      <rPr>
        <vertAlign val="superscript"/>
        <sz val="8"/>
        <rFont val="Arial"/>
        <family val="2"/>
      </rPr>
      <t>a/b/</t>
    </r>
  </si>
  <si>
    <t>b/  Recreational estimates are not available for May and June due to restrictions on sampling caused by the COVID-19 pandemic.</t>
  </si>
  <si>
    <t xml:space="preserve">d/  The ports of Neah Bay and La Push were closed to public access in 2020 due to the COVID-19 pandemic. Effort shown in this table occurred in the adjacent catch areas and originated from Sekiu. </t>
  </si>
  <si>
    <t xml:space="preserve">e/  The ports of Neah Bay and La Push were closed to public access in 2020 due to the COVID-19 pandemic. Catch shown in this table occurred in the adjacent catch areas and was landed into Sekiu. </t>
  </si>
  <si>
    <r>
      <t>2019</t>
    </r>
    <r>
      <rPr>
        <vertAlign val="superscript"/>
        <sz val="8"/>
        <rFont val="Arial"/>
        <family val="2"/>
      </rPr>
      <t>b/</t>
    </r>
  </si>
  <si>
    <r>
      <t>2020</t>
    </r>
    <r>
      <rPr>
        <vertAlign val="superscript"/>
        <sz val="8"/>
        <rFont val="Arial"/>
        <family val="2"/>
      </rPr>
      <t>b/c/</t>
    </r>
  </si>
  <si>
    <t>c/  Recreational estimates for California do not include May and June due to restrictions on sampling caused by the COVID-19 pandemic.</t>
  </si>
  <si>
    <r>
      <t>U.S./Canada Border  to Leadbetter Pt - Treaty Indian</t>
    </r>
    <r>
      <rPr>
        <u/>
        <vertAlign val="superscript"/>
        <sz val="8"/>
        <rFont val="Arial"/>
        <family val="2"/>
      </rPr>
      <t>b/</t>
    </r>
  </si>
  <si>
    <r>
      <t>U.S./Canada Border  to  Leadbetter Pt - Total</t>
    </r>
    <r>
      <rPr>
        <u/>
        <vertAlign val="superscript"/>
        <sz val="8"/>
        <rFont val="Arial"/>
        <family val="2"/>
      </rPr>
      <t>b/</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</si>
</sst>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_(* #,##0.0_);_(* \(#,##0.0\);_(* &quot;-&quot;??_);_(@_)"/>
    <numFmt numFmtId="166" formatCode="_(* #,##0.000_);_(* \(#,##0.000\);_(* &quot;-&quot;??_);_(@_)"/>
    <numFmt numFmtId="167" formatCode="#,##0.000"/>
    <numFmt numFmtId="168" formatCode="0_)"/>
  </numFmts>
  <fonts count="26" x14ac:knownFonts="1">
    <font>
      <sz val="12"/>
      <name val="Times New Roman"/>
    </font>
    <font>
      <sz val="12"/>
      <name val="Times New Roman"/>
      <family val="1"/>
    </font>
    <font>
      <vertAlign val="superscript"/>
      <sz val="10"/>
      <name val="Arial"/>
      <family val="2"/>
    </font>
    <font>
      <sz val="10"/>
      <name val="Arial"/>
      <family val="2"/>
    </font>
    <font>
      <sz val="8"/>
      <name val="Arial"/>
      <family val="2"/>
    </font>
    <font>
      <b/>
      <sz val="8"/>
      <name val="Arial"/>
      <family val="2"/>
    </font>
    <font>
      <u/>
      <sz val="8"/>
      <name val="Arial"/>
      <family val="2"/>
    </font>
    <font>
      <vertAlign val="superscript"/>
      <sz val="8"/>
      <name val="Arial"/>
      <family val="2"/>
    </font>
    <font>
      <b/>
      <u/>
      <sz val="8"/>
      <name val="Arial"/>
      <family val="2"/>
    </font>
    <font>
      <sz val="8"/>
      <name val="Arial"/>
      <family val="2"/>
    </font>
    <font>
      <sz val="8"/>
      <name val="Times New Roman"/>
      <family val="1"/>
    </font>
    <font>
      <b/>
      <sz val="8"/>
      <name val="Arial"/>
      <family val="2"/>
    </font>
    <font>
      <sz val="8"/>
      <color indexed="10"/>
      <name val="Arial"/>
      <family val="2"/>
    </font>
    <font>
      <b/>
      <sz val="10"/>
      <name val="Arial"/>
      <family val="2"/>
    </font>
    <font>
      <u/>
      <sz val="10"/>
      <name val="Arial"/>
      <family val="2"/>
    </font>
    <font>
      <b/>
      <sz val="8"/>
      <color indexed="81"/>
      <name val="Tahoma"/>
      <family val="2"/>
    </font>
    <font>
      <sz val="8"/>
      <color indexed="81"/>
      <name val="Tahoma"/>
      <family val="2"/>
    </font>
    <font>
      <u/>
      <vertAlign val="superscript"/>
      <sz val="8"/>
      <name val="Arial"/>
      <family val="2"/>
    </font>
    <font>
      <b/>
      <sz val="9"/>
      <color indexed="81"/>
      <name val="Tahoma"/>
      <family val="2"/>
    </font>
    <font>
      <sz val="9"/>
      <color indexed="81"/>
      <name val="Tahoma"/>
      <family val="2"/>
    </font>
    <font>
      <b/>
      <u/>
      <vertAlign val="superscript"/>
      <sz val="8"/>
      <name val="Arial"/>
      <family val="2"/>
    </font>
    <font>
      <strike/>
      <sz val="8"/>
      <name val="Arial"/>
      <family val="2"/>
    </font>
    <font>
      <b/>
      <vertAlign val="superscript"/>
      <sz val="8"/>
      <name val="Arial"/>
      <family val="2"/>
    </font>
    <font>
      <sz val="8"/>
      <color theme="0" tint="-0.34998626667073579"/>
      <name val="Arial"/>
      <family val="2"/>
    </font>
    <font>
      <vertAlign val="superscript"/>
      <sz val="8"/>
      <name val="Albertus Medium"/>
      <family val="2"/>
    </font>
    <font>
      <sz val="10"/>
      <color indexed="0"/>
      <name val="MS Sans Serif"/>
    </font>
  </fonts>
  <fills count="15">
    <fill>
      <patternFill patternType="none"/>
    </fill>
    <fill>
      <patternFill patternType="gray125"/>
    </fill>
    <fill>
      <patternFill patternType="solid">
        <fgColor indexed="52"/>
        <bgColor indexed="64"/>
      </patternFill>
    </fill>
    <fill>
      <patternFill patternType="solid">
        <fgColor theme="0"/>
        <bgColor indexed="64"/>
      </patternFill>
    </fill>
    <fill>
      <patternFill patternType="solid">
        <fgColor theme="1"/>
        <bgColor indexed="64"/>
      </patternFill>
    </fill>
    <fill>
      <patternFill patternType="solid">
        <fgColor rgb="FF00FF00"/>
        <bgColor indexed="64"/>
      </patternFill>
    </fill>
    <fill>
      <patternFill patternType="solid">
        <fgColor rgb="FFFFFF00"/>
        <bgColor indexed="64"/>
      </patternFill>
    </fill>
    <fill>
      <patternFill patternType="solid">
        <fgColor rgb="FFFF66FF"/>
        <bgColor indexed="64"/>
      </patternFill>
    </fill>
    <fill>
      <patternFill patternType="solid">
        <fgColor theme="6" tint="0.79998168889431442"/>
        <bgColor indexed="64"/>
      </patternFill>
    </fill>
    <fill>
      <patternFill patternType="solid">
        <fgColor theme="9"/>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92D050"/>
        <bgColor indexed="64"/>
      </patternFill>
    </fill>
    <fill>
      <patternFill patternType="solid">
        <fgColor theme="4"/>
        <bgColor indexed="64"/>
      </patternFill>
    </fill>
    <fill>
      <patternFill patternType="solid">
        <fgColor theme="7"/>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6">
    <xf numFmtId="0" fontId="0" fillId="0" borderId="0"/>
    <xf numFmtId="43" fontId="1" fillId="0" borderId="0" applyFont="0" applyFill="0" applyBorder="0" applyAlignment="0" applyProtection="0"/>
    <xf numFmtId="0" fontId="3" fillId="0" borderId="0"/>
    <xf numFmtId="0" fontId="1" fillId="0" borderId="0"/>
    <xf numFmtId="43" fontId="1" fillId="0" borderId="0" applyFont="0" applyFill="0" applyBorder="0" applyAlignment="0" applyProtection="0"/>
    <xf numFmtId="0" fontId="25" fillId="0" borderId="0"/>
  </cellStyleXfs>
  <cellXfs count="623">
    <xf numFmtId="0" fontId="0" fillId="0" borderId="0" xfId="0"/>
    <xf numFmtId="0" fontId="4" fillId="0" borderId="0" xfId="0" applyFont="1"/>
    <xf numFmtId="0" fontId="4" fillId="0" borderId="1" xfId="0" applyFont="1" applyBorder="1" applyAlignment="1">
      <alignment horizontal="left"/>
    </xf>
    <xf numFmtId="164" fontId="4" fillId="0" borderId="0" xfId="0" applyNumberFormat="1" applyFont="1" applyAlignment="1">
      <alignment horizontal="right"/>
    </xf>
    <xf numFmtId="165" fontId="4" fillId="0" borderId="0" xfId="0" applyNumberFormat="1" applyFont="1"/>
    <xf numFmtId="0" fontId="4" fillId="0" borderId="2" xfId="0" applyFont="1" applyBorder="1" applyAlignment="1">
      <alignment horizontal="left"/>
    </xf>
    <xf numFmtId="164" fontId="4" fillId="0" borderId="0" xfId="0" applyNumberFormat="1" applyFont="1" applyBorder="1" applyAlignment="1">
      <alignment horizontal="right"/>
    </xf>
    <xf numFmtId="0" fontId="4" fillId="0" borderId="0" xfId="0" applyFont="1" applyAlignment="1">
      <alignment horizontal="center"/>
    </xf>
    <xf numFmtId="167" fontId="4" fillId="0" borderId="0" xfId="0" applyNumberFormat="1" applyFont="1" applyAlignment="1">
      <alignment horizontal="right"/>
    </xf>
    <xf numFmtId="167" fontId="4" fillId="0" borderId="0" xfId="0" applyNumberFormat="1" applyFont="1" applyBorder="1" applyAlignment="1">
      <alignment horizontal="right"/>
    </xf>
    <xf numFmtId="0" fontId="9" fillId="0" borderId="2" xfId="2" applyFont="1" applyBorder="1" applyAlignment="1">
      <alignment horizontal="left"/>
    </xf>
    <xf numFmtId="0" fontId="9" fillId="0" borderId="0" xfId="2" applyFont="1" applyAlignment="1">
      <alignment horizontal="left"/>
    </xf>
    <xf numFmtId="0" fontId="9" fillId="0" borderId="0" xfId="2" applyFont="1" applyBorder="1" applyAlignment="1">
      <alignment horizontal="left"/>
    </xf>
    <xf numFmtId="0" fontId="9" fillId="0" borderId="0" xfId="2" applyFont="1" applyAlignment="1">
      <alignment horizontal="center"/>
    </xf>
    <xf numFmtId="0" fontId="4" fillId="0" borderId="0" xfId="2" applyFont="1" applyAlignment="1">
      <alignment horizontal="left"/>
    </xf>
    <xf numFmtId="0" fontId="4" fillId="0" borderId="0" xfId="0" applyFont="1" applyFill="1" applyAlignment="1">
      <alignment wrapText="1"/>
    </xf>
    <xf numFmtId="0" fontId="4" fillId="0" borderId="0" xfId="0" applyFont="1" applyFill="1" applyBorder="1" applyAlignment="1">
      <alignment wrapText="1"/>
    </xf>
    <xf numFmtId="164" fontId="4" fillId="0" borderId="0" xfId="2" applyNumberFormat="1" applyFont="1" applyAlignment="1">
      <alignment horizontal="right"/>
    </xf>
    <xf numFmtId="164" fontId="4" fillId="0" borderId="0" xfId="2" applyNumberFormat="1" applyFont="1" applyBorder="1" applyAlignment="1">
      <alignment horizontal="right"/>
    </xf>
    <xf numFmtId="3" fontId="4" fillId="0" borderId="0" xfId="0" applyNumberFormat="1" applyFont="1" applyAlignment="1">
      <alignment horizontal="center"/>
    </xf>
    <xf numFmtId="3" fontId="4" fillId="0" borderId="2" xfId="0" applyNumberFormat="1" applyFont="1" applyBorder="1" applyAlignment="1">
      <alignment horizontal="right"/>
    </xf>
    <xf numFmtId="3" fontId="4" fillId="0" borderId="0" xfId="1" applyNumberFormat="1" applyFont="1" applyAlignment="1">
      <alignment horizontal="right"/>
    </xf>
    <xf numFmtId="3" fontId="4" fillId="0" borderId="0" xfId="0" applyNumberFormat="1" applyFont="1"/>
    <xf numFmtId="3" fontId="4" fillId="0" borderId="0" xfId="0" applyNumberFormat="1" applyFont="1" applyBorder="1" applyAlignment="1">
      <alignment horizontal="center"/>
    </xf>
    <xf numFmtId="3" fontId="4" fillId="0" borderId="0" xfId="0" applyNumberFormat="1" applyFont="1" applyAlignment="1">
      <alignment horizontal="right" indent="2"/>
    </xf>
    <xf numFmtId="3" fontId="4" fillId="0" borderId="0" xfId="1" applyNumberFormat="1" applyFont="1" applyAlignment="1">
      <alignment horizontal="right" indent="2"/>
    </xf>
    <xf numFmtId="3" fontId="6" fillId="0" borderId="0" xfId="0" applyNumberFormat="1" applyFont="1" applyAlignment="1">
      <alignment horizontal="right" indent="2"/>
    </xf>
    <xf numFmtId="0" fontId="4" fillId="0" borderId="0" xfId="0" applyFont="1" applyBorder="1"/>
    <xf numFmtId="3" fontId="6" fillId="0" borderId="0" xfId="0" applyNumberFormat="1" applyFont="1" applyAlignment="1">
      <alignment horizontal="right" indent="1"/>
    </xf>
    <xf numFmtId="3" fontId="4" fillId="0" borderId="0" xfId="1" applyNumberFormat="1" applyFont="1" applyAlignment="1">
      <alignment horizontal="right" indent="1"/>
    </xf>
    <xf numFmtId="1" fontId="4" fillId="0" borderId="0" xfId="0" applyNumberFormat="1" applyFont="1"/>
    <xf numFmtId="3" fontId="4" fillId="0" borderId="0" xfId="0" applyNumberFormat="1" applyFont="1" applyFill="1" applyAlignment="1">
      <alignment horizontal="right" indent="1"/>
    </xf>
    <xf numFmtId="3" fontId="4" fillId="0" borderId="2" xfId="0" applyNumberFormat="1" applyFont="1" applyBorder="1" applyAlignment="1">
      <alignment horizontal="right" indent="1"/>
    </xf>
    <xf numFmtId="3" fontId="4" fillId="0" borderId="0" xfId="1" applyNumberFormat="1" applyFont="1" applyFill="1" applyAlignment="1">
      <alignment horizontal="right" indent="1"/>
    </xf>
    <xf numFmtId="167" fontId="4" fillId="0" borderId="0" xfId="0" applyNumberFormat="1" applyFont="1" applyAlignment="1">
      <alignment horizontal="center"/>
    </xf>
    <xf numFmtId="0" fontId="12" fillId="0" borderId="0" xfId="0" applyFont="1" applyAlignment="1">
      <alignment wrapText="1"/>
    </xf>
    <xf numFmtId="167" fontId="4" fillId="0" borderId="0" xfId="0" applyNumberFormat="1" applyFont="1" applyAlignment="1">
      <alignment horizontal="right" indent="3"/>
    </xf>
    <xf numFmtId="3" fontId="4" fillId="0" borderId="0" xfId="0" applyNumberFormat="1" applyFont="1" applyBorder="1" applyAlignment="1">
      <alignment horizontal="right" indent="2"/>
    </xf>
    <xf numFmtId="3" fontId="4" fillId="0" borderId="2" xfId="0" applyNumberFormat="1" applyFont="1" applyBorder="1" applyAlignment="1">
      <alignment horizontal="right" indent="2"/>
    </xf>
    <xf numFmtId="0" fontId="4" fillId="0" borderId="0" xfId="0" applyFont="1" applyAlignment="1">
      <alignment horizontal="right"/>
    </xf>
    <xf numFmtId="3" fontId="4" fillId="0" borderId="0" xfId="1" applyNumberFormat="1" applyFont="1" applyFill="1" applyAlignment="1">
      <alignment horizontal="right" indent="3"/>
    </xf>
    <xf numFmtId="3" fontId="9" fillId="0" borderId="2" xfId="2" applyNumberFormat="1" applyFont="1" applyBorder="1" applyAlignment="1">
      <alignment horizontal="right" indent="1"/>
    </xf>
    <xf numFmtId="3" fontId="9" fillId="0" borderId="0" xfId="2" applyNumberFormat="1" applyFont="1" applyAlignment="1">
      <alignment horizontal="right" indent="1"/>
    </xf>
    <xf numFmtId="3" fontId="9" fillId="0" borderId="0" xfId="2" applyNumberFormat="1" applyFont="1" applyBorder="1" applyAlignment="1">
      <alignment horizontal="right" indent="1"/>
    </xf>
    <xf numFmtId="3" fontId="9" fillId="0" borderId="2" xfId="2" applyNumberFormat="1" applyFont="1" applyBorder="1" applyAlignment="1">
      <alignment horizontal="center"/>
    </xf>
    <xf numFmtId="3" fontId="9" fillId="0" borderId="0" xfId="2" applyNumberFormat="1" applyFont="1" applyAlignment="1">
      <alignment horizontal="center"/>
    </xf>
    <xf numFmtId="3" fontId="4" fillId="0" borderId="0" xfId="0" applyNumberFormat="1" applyFont="1" applyBorder="1" applyAlignment="1"/>
    <xf numFmtId="3" fontId="4" fillId="0" borderId="2" xfId="0" applyNumberFormat="1" applyFont="1" applyBorder="1" applyAlignment="1"/>
    <xf numFmtId="3" fontId="4" fillId="0" borderId="0" xfId="2" applyNumberFormat="1" applyFont="1" applyAlignment="1">
      <alignment horizontal="right" indent="1"/>
    </xf>
    <xf numFmtId="3" fontId="5" fillId="0" borderId="0" xfId="2" applyNumberFormat="1" applyFont="1" applyBorder="1" applyAlignment="1">
      <alignment horizontal="right" indent="1"/>
    </xf>
    <xf numFmtId="3" fontId="9" fillId="0" borderId="0" xfId="2" applyNumberFormat="1" applyFont="1" applyAlignment="1">
      <alignment horizontal="right" indent="2"/>
    </xf>
    <xf numFmtId="0" fontId="4" fillId="0" borderId="2" xfId="0" applyFont="1" applyBorder="1" applyAlignment="1">
      <alignment horizontal="right" indent="2"/>
    </xf>
    <xf numFmtId="3" fontId="4" fillId="0" borderId="0" xfId="0" applyNumberFormat="1" applyFont="1" applyFill="1" applyBorder="1" applyAlignment="1">
      <alignment horizontal="right" indent="1"/>
    </xf>
    <xf numFmtId="3" fontId="4" fillId="0" borderId="2" xfId="0" applyNumberFormat="1" applyFont="1" applyFill="1" applyBorder="1" applyAlignment="1">
      <alignment horizontal="right" indent="1"/>
    </xf>
    <xf numFmtId="3" fontId="4" fillId="0" borderId="0" xfId="1" applyNumberFormat="1" applyFont="1" applyBorder="1" applyAlignment="1">
      <alignment horizontal="right" indent="2"/>
    </xf>
    <xf numFmtId="3" fontId="4" fillId="0" borderId="2" xfId="1" applyNumberFormat="1" applyFont="1" applyBorder="1" applyAlignment="1">
      <alignment horizontal="right" indent="2"/>
    </xf>
    <xf numFmtId="0" fontId="9" fillId="0" borderId="0" xfId="2" applyFont="1" applyBorder="1" applyAlignment="1">
      <alignment horizontal="left" wrapText="1"/>
    </xf>
    <xf numFmtId="3" fontId="4" fillId="0" borderId="0" xfId="0" applyNumberFormat="1" applyFont="1" applyAlignment="1">
      <alignment horizontal="right" vertical="center" indent="1"/>
    </xf>
    <xf numFmtId="3" fontId="4" fillId="0" borderId="1" xfId="0" applyNumberFormat="1" applyFont="1" applyBorder="1" applyAlignment="1">
      <alignment horizontal="right"/>
    </xf>
    <xf numFmtId="0" fontId="4" fillId="0" borderId="1" xfId="0" applyFont="1" applyBorder="1" applyAlignment="1">
      <alignment horizontal="center"/>
    </xf>
    <xf numFmtId="3" fontId="4" fillId="0" borderId="0" xfId="0" quotePrefix="1" applyNumberFormat="1" applyFont="1" applyAlignment="1">
      <alignment horizontal="right"/>
    </xf>
    <xf numFmtId="3" fontId="4" fillId="0" borderId="0" xfId="0" applyNumberFormat="1" applyFont="1" applyAlignment="1">
      <alignment horizontal="right" wrapText="1" indent="2"/>
    </xf>
    <xf numFmtId="0" fontId="4" fillId="0" borderId="0" xfId="0" applyFont="1" applyAlignment="1">
      <alignment horizontal="right" wrapText="1" indent="1"/>
    </xf>
    <xf numFmtId="0" fontId="4" fillId="0" borderId="0" xfId="0" applyFont="1" applyAlignment="1">
      <alignment horizontal="right" wrapText="1"/>
    </xf>
    <xf numFmtId="0" fontId="4" fillId="0" borderId="0" xfId="0" applyFont="1" applyBorder="1" applyAlignment="1">
      <alignment horizontal="right" indent="2"/>
    </xf>
    <xf numFmtId="164" fontId="4" fillId="0" borderId="0" xfId="0" applyNumberFormat="1" applyFont="1" applyBorder="1" applyAlignment="1">
      <alignment horizontal="right" indent="2"/>
    </xf>
    <xf numFmtId="3" fontId="4" fillId="0" borderId="0" xfId="1" applyNumberFormat="1" applyFont="1" applyFill="1" applyAlignment="1">
      <alignment horizontal="right" indent="2"/>
    </xf>
    <xf numFmtId="3" fontId="4" fillId="0" borderId="0" xfId="1" applyNumberFormat="1" applyFont="1" applyFill="1" applyBorder="1" applyAlignment="1">
      <alignment horizontal="right" indent="2"/>
    </xf>
    <xf numFmtId="0" fontId="4" fillId="0" borderId="0" xfId="0" applyFont="1" applyBorder="1" applyAlignment="1">
      <alignment horizontal="center"/>
    </xf>
    <xf numFmtId="167" fontId="4" fillId="0" borderId="0" xfId="1" applyNumberFormat="1" applyFont="1" applyAlignment="1">
      <alignment horizontal="right"/>
    </xf>
    <xf numFmtId="3" fontId="4" fillId="0" borderId="0" xfId="1" applyNumberFormat="1" applyFont="1" applyFill="1" applyAlignment="1">
      <alignment horizontal="right"/>
    </xf>
    <xf numFmtId="167" fontId="4" fillId="0" borderId="0" xfId="1" applyNumberFormat="1" applyFont="1" applyBorder="1" applyAlignment="1">
      <alignment horizontal="right"/>
    </xf>
    <xf numFmtId="3" fontId="4" fillId="0" borderId="0" xfId="1" applyNumberFormat="1" applyFont="1" applyBorder="1" applyAlignment="1">
      <alignment horizontal="right"/>
    </xf>
    <xf numFmtId="3" fontId="4" fillId="0" borderId="0" xfId="2" applyNumberFormat="1" applyFont="1" applyBorder="1" applyAlignment="1">
      <alignment horizontal="right" indent="2"/>
    </xf>
    <xf numFmtId="3" fontId="4" fillId="0" borderId="0" xfId="2" applyNumberFormat="1" applyFont="1" applyAlignment="1">
      <alignment horizontal="right" indent="2"/>
    </xf>
    <xf numFmtId="3" fontId="9" fillId="0" borderId="2" xfId="2" applyNumberFormat="1" applyFont="1" applyBorder="1" applyAlignment="1">
      <alignment horizontal="right" indent="2"/>
    </xf>
    <xf numFmtId="0" fontId="9" fillId="0" borderId="0" xfId="2" applyFont="1" applyAlignment="1">
      <alignment horizontal="right" indent="2"/>
    </xf>
    <xf numFmtId="0" fontId="12" fillId="0" borderId="0" xfId="0" applyFont="1" applyAlignment="1">
      <alignment horizontal="center" wrapText="1"/>
    </xf>
    <xf numFmtId="3" fontId="9" fillId="0" borderId="0" xfId="2" applyNumberFormat="1" applyFont="1" applyBorder="1" applyAlignment="1">
      <alignment horizontal="right" indent="2"/>
    </xf>
    <xf numFmtId="0" fontId="9" fillId="0" borderId="0" xfId="2" applyFont="1" applyAlignment="1">
      <alignment horizontal="right" indent="1"/>
    </xf>
    <xf numFmtId="3" fontId="9" fillId="0" borderId="2" xfId="2" applyNumberFormat="1" applyFont="1" applyBorder="1" applyAlignment="1">
      <alignment horizontal="left" indent="1"/>
    </xf>
    <xf numFmtId="3" fontId="9" fillId="0" borderId="0" xfId="2" applyNumberFormat="1" applyFont="1" applyAlignment="1">
      <alignment horizontal="left" indent="1"/>
    </xf>
    <xf numFmtId="0" fontId="9" fillId="0" borderId="0" xfId="2" applyFont="1" applyAlignment="1">
      <alignment horizontal="left" indent="1"/>
    </xf>
    <xf numFmtId="3" fontId="4" fillId="2" borderId="0" xfId="0" applyNumberFormat="1" applyFont="1" applyFill="1" applyAlignment="1">
      <alignment horizontal="right"/>
    </xf>
    <xf numFmtId="167" fontId="4" fillId="0" borderId="0" xfId="1" applyNumberFormat="1" applyFont="1" applyFill="1" applyAlignment="1">
      <alignment horizontal="right"/>
    </xf>
    <xf numFmtId="3" fontId="4" fillId="2" borderId="0" xfId="1" applyNumberFormat="1" applyFont="1" applyFill="1" applyAlignment="1">
      <alignment horizontal="right"/>
    </xf>
    <xf numFmtId="3" fontId="4" fillId="2" borderId="0" xfId="0" applyNumberFormat="1" applyFont="1" applyFill="1" applyAlignment="1">
      <alignment horizontal="right" indent="1"/>
    </xf>
    <xf numFmtId="0" fontId="4" fillId="0" borderId="0" xfId="0" applyFont="1" applyAlignment="1" applyProtection="1">
      <alignment horizontal="left"/>
    </xf>
    <xf numFmtId="0" fontId="4" fillId="0" borderId="0" xfId="0" applyFont="1" applyAlignment="1" applyProtection="1">
      <alignment horizontal="fill"/>
    </xf>
    <xf numFmtId="0" fontId="4" fillId="0" borderId="0" xfId="0" applyFont="1" applyAlignment="1" applyProtection="1">
      <alignment horizontal="center"/>
    </xf>
    <xf numFmtId="168" fontId="4" fillId="0" borderId="0" xfId="0" applyNumberFormat="1" applyFont="1" applyAlignment="1" applyProtection="1">
      <alignment horizontal="center"/>
    </xf>
    <xf numFmtId="0" fontId="4" fillId="0" borderId="0" xfId="0" applyFont="1" applyProtection="1"/>
    <xf numFmtId="168" fontId="4" fillId="0" borderId="0" xfId="0" applyNumberFormat="1" applyFont="1" applyProtection="1"/>
    <xf numFmtId="168" fontId="4" fillId="0" borderId="0" xfId="0" applyNumberFormat="1" applyFont="1" applyFill="1" applyProtection="1"/>
    <xf numFmtId="0" fontId="4" fillId="0" borderId="0" xfId="0" applyFont="1" applyFill="1" applyProtection="1"/>
    <xf numFmtId="3" fontId="4" fillId="0" borderId="0" xfId="0" applyNumberFormat="1" applyFont="1" applyFill="1" applyAlignment="1">
      <alignment horizontal="center"/>
    </xf>
    <xf numFmtId="3" fontId="7" fillId="0" borderId="0" xfId="1" applyNumberFormat="1" applyFont="1" applyFill="1" applyAlignment="1">
      <alignment horizontal="left"/>
    </xf>
    <xf numFmtId="3" fontId="4" fillId="0" borderId="0" xfId="1" applyNumberFormat="1" applyFont="1" applyFill="1" applyBorder="1" applyAlignment="1">
      <alignment horizontal="right"/>
    </xf>
    <xf numFmtId="3" fontId="4" fillId="0" borderId="2" xfId="1" applyNumberFormat="1" applyFont="1" applyFill="1" applyBorder="1" applyAlignment="1">
      <alignment horizontal="right"/>
    </xf>
    <xf numFmtId="3" fontId="4" fillId="0" borderId="1" xfId="0" applyNumberFormat="1" applyFont="1" applyFill="1" applyBorder="1" applyAlignment="1">
      <alignment horizontal="right"/>
    </xf>
    <xf numFmtId="3" fontId="4" fillId="0" borderId="0" xfId="1" applyNumberFormat="1" applyFont="1" applyFill="1" applyBorder="1" applyAlignment="1">
      <alignment horizontal="right" indent="1"/>
    </xf>
    <xf numFmtId="3" fontId="4" fillId="0" borderId="0" xfId="0" quotePrefix="1" applyNumberFormat="1" applyFont="1" applyBorder="1" applyAlignment="1">
      <alignment horizontal="right"/>
    </xf>
    <xf numFmtId="3" fontId="4" fillId="0" borderId="0" xfId="0" applyNumberFormat="1" applyFont="1" applyFill="1" applyBorder="1" applyAlignment="1">
      <alignment horizontal="right" indent="2"/>
    </xf>
    <xf numFmtId="164" fontId="4" fillId="0" borderId="0" xfId="0" applyNumberFormat="1" applyFont="1" applyFill="1" applyBorder="1" applyAlignment="1">
      <alignment horizontal="right" indent="2"/>
    </xf>
    <xf numFmtId="164" fontId="4" fillId="0" borderId="0" xfId="0" applyNumberFormat="1" applyFont="1" applyBorder="1" applyAlignment="1">
      <alignment horizontal="right" indent="1"/>
    </xf>
    <xf numFmtId="164" fontId="4" fillId="0" borderId="0" xfId="0" applyNumberFormat="1" applyFont="1" applyFill="1" applyBorder="1" applyAlignment="1">
      <alignment horizontal="right" indent="1"/>
    </xf>
    <xf numFmtId="164" fontId="4" fillId="0" borderId="0" xfId="1" applyNumberFormat="1" applyFont="1" applyFill="1" applyAlignment="1">
      <alignment horizontal="right" indent="1"/>
    </xf>
    <xf numFmtId="164" fontId="4" fillId="0" borderId="0" xfId="1" applyNumberFormat="1" applyFont="1" applyAlignment="1">
      <alignment horizontal="right" indent="1"/>
    </xf>
    <xf numFmtId="0" fontId="2" fillId="0" borderId="0" xfId="0" applyFont="1" applyAlignment="1">
      <alignment vertical="top"/>
    </xf>
    <xf numFmtId="0" fontId="6" fillId="0" borderId="0" xfId="2" applyFont="1" applyAlignment="1">
      <alignment horizontal="left" vertical="top"/>
    </xf>
    <xf numFmtId="3" fontId="4" fillId="0" borderId="0" xfId="0" applyNumberFormat="1" applyFont="1" applyAlignment="1">
      <alignment horizontal="right" vertical="top"/>
    </xf>
    <xf numFmtId="3" fontId="9" fillId="0" borderId="2" xfId="2" applyNumberFormat="1" applyFont="1" applyBorder="1" applyAlignment="1">
      <alignment horizontal="center" vertical="top"/>
    </xf>
    <xf numFmtId="0" fontId="9" fillId="0" borderId="0" xfId="2" applyFont="1" applyAlignment="1">
      <alignment horizontal="left" vertical="top"/>
    </xf>
    <xf numFmtId="0" fontId="5" fillId="0" borderId="0" xfId="2" applyFont="1" applyAlignment="1">
      <alignment horizontal="left" vertical="top"/>
    </xf>
    <xf numFmtId="0" fontId="8" fillId="0" borderId="0" xfId="2" applyFont="1" applyAlignment="1">
      <alignment horizontal="left" vertical="top"/>
    </xf>
    <xf numFmtId="0" fontId="9" fillId="0" borderId="0" xfId="2" applyFont="1" applyBorder="1" applyAlignment="1">
      <alignment horizontal="left" vertical="top"/>
    </xf>
    <xf numFmtId="0" fontId="6" fillId="0" borderId="0" xfId="0" applyFont="1" applyAlignment="1">
      <alignment horizontal="left" vertical="top"/>
    </xf>
    <xf numFmtId="0" fontId="4" fillId="0" borderId="0" xfId="2" applyFont="1" applyAlignment="1">
      <alignment horizontal="left" vertical="top"/>
    </xf>
    <xf numFmtId="0" fontId="4" fillId="0" borderId="0" xfId="2" applyFont="1" applyBorder="1" applyAlignment="1">
      <alignment horizontal="left" vertical="top"/>
    </xf>
    <xf numFmtId="0" fontId="4" fillId="0" borderId="2" xfId="0" applyFont="1" applyBorder="1" applyAlignment="1">
      <alignment horizontal="left" vertical="top"/>
    </xf>
    <xf numFmtId="0" fontId="8" fillId="0" borderId="0" xfId="0" applyFont="1" applyAlignment="1">
      <alignment horizontal="left" vertical="top"/>
    </xf>
    <xf numFmtId="0" fontId="4" fillId="0" borderId="1" xfId="0" applyFont="1" applyBorder="1" applyAlignment="1">
      <alignment horizontal="left" vertical="top"/>
    </xf>
    <xf numFmtId="0" fontId="4" fillId="0" borderId="0" xfId="0" applyFont="1" applyFill="1" applyBorder="1" applyAlignment="1">
      <alignment horizontal="left" vertical="top"/>
    </xf>
    <xf numFmtId="0" fontId="4" fillId="0" borderId="0" xfId="0" applyFont="1" applyFill="1" applyAlignment="1">
      <alignment horizontal="left" vertical="top"/>
    </xf>
    <xf numFmtId="0" fontId="4" fillId="0" borderId="2" xfId="2" applyFont="1" applyBorder="1" applyAlignment="1">
      <alignment horizontal="left" vertical="top"/>
    </xf>
    <xf numFmtId="3" fontId="4" fillId="0" borderId="1" xfId="0" applyNumberFormat="1" applyFont="1" applyBorder="1" applyAlignment="1">
      <alignment horizontal="center" vertical="top"/>
    </xf>
    <xf numFmtId="0" fontId="6" fillId="0" borderId="0" xfId="0" applyFont="1" applyAlignment="1">
      <alignment horizontal="left"/>
    </xf>
    <xf numFmtId="0" fontId="8" fillId="0" borderId="0" xfId="0" applyFont="1" applyAlignment="1">
      <alignment horizontal="left"/>
    </xf>
    <xf numFmtId="3" fontId="6" fillId="0" borderId="0" xfId="0" applyNumberFormat="1" applyFont="1" applyAlignment="1">
      <alignment horizontal="right"/>
    </xf>
    <xf numFmtId="166" fontId="4" fillId="0" borderId="0" xfId="1" applyNumberFormat="1" applyFont="1" applyAlignment="1">
      <alignment horizontal="right"/>
    </xf>
    <xf numFmtId="1" fontId="4" fillId="0" borderId="0" xfId="1" applyNumberFormat="1" applyFont="1" applyAlignment="1">
      <alignment horizontal="right"/>
    </xf>
    <xf numFmtId="3" fontId="4" fillId="0" borderId="2" xfId="1" applyNumberFormat="1" applyFont="1" applyBorder="1" applyAlignment="1">
      <alignment horizontal="right"/>
    </xf>
    <xf numFmtId="0" fontId="9" fillId="0" borderId="3" xfId="2" applyFont="1" applyBorder="1" applyAlignment="1">
      <alignment horizontal="left"/>
    </xf>
    <xf numFmtId="3" fontId="9" fillId="0" borderId="0" xfId="2" applyNumberFormat="1" applyFont="1" applyBorder="1" applyAlignment="1">
      <alignment horizontal="left" indent="1"/>
    </xf>
    <xf numFmtId="0" fontId="12" fillId="0" borderId="0" xfId="0" applyFont="1" applyBorder="1" applyAlignment="1">
      <alignment wrapText="1"/>
    </xf>
    <xf numFmtId="0" fontId="4" fillId="0" borderId="1" xfId="2" applyFont="1" applyBorder="1" applyAlignment="1">
      <alignment horizontal="left" vertical="top"/>
    </xf>
    <xf numFmtId="3" fontId="4" fillId="0" borderId="1" xfId="2" applyNumberFormat="1" applyFont="1" applyBorder="1" applyAlignment="1">
      <alignment horizontal="right"/>
    </xf>
    <xf numFmtId="3" fontId="4" fillId="0" borderId="1" xfId="2" applyNumberFormat="1" applyFont="1" applyBorder="1" applyAlignment="1">
      <alignment horizontal="right" indent="2"/>
    </xf>
    <xf numFmtId="3" fontId="9" fillId="0" borderId="3" xfId="2" applyNumberFormat="1" applyFont="1" applyBorder="1" applyAlignment="1">
      <alignment horizontal="center"/>
    </xf>
    <xf numFmtId="3" fontId="9" fillId="0" borderId="3" xfId="2" applyNumberFormat="1" applyFont="1" applyBorder="1" applyAlignment="1">
      <alignment horizontal="left"/>
    </xf>
    <xf numFmtId="0" fontId="12" fillId="0" borderId="3" xfId="0" applyFont="1" applyBorder="1" applyAlignment="1">
      <alignment wrapText="1"/>
    </xf>
    <xf numFmtId="0" fontId="4" fillId="0" borderId="1" xfId="0" applyFont="1" applyBorder="1" applyAlignment="1" applyProtection="1">
      <alignment horizontal="fill"/>
    </xf>
    <xf numFmtId="164" fontId="4" fillId="0" borderId="1" xfId="0" applyNumberFormat="1" applyFont="1" applyBorder="1" applyAlignment="1">
      <alignment horizontal="right"/>
    </xf>
    <xf numFmtId="164" fontId="4" fillId="0" borderId="1" xfId="0" applyNumberFormat="1" applyFont="1" applyBorder="1" applyAlignment="1">
      <alignment horizontal="center"/>
    </xf>
    <xf numFmtId="3" fontId="4" fillId="0" borderId="1" xfId="0" applyNumberFormat="1" applyFont="1" applyBorder="1"/>
    <xf numFmtId="0" fontId="4" fillId="0" borderId="1" xfId="0" applyFont="1" applyBorder="1" applyAlignment="1"/>
    <xf numFmtId="0" fontId="13" fillId="0" borderId="0" xfId="0" applyFont="1"/>
    <xf numFmtId="0" fontId="14" fillId="0" borderId="0" xfId="0" applyFont="1" applyAlignment="1">
      <alignment wrapText="1"/>
    </xf>
    <xf numFmtId="3" fontId="4" fillId="0" borderId="0" xfId="0" applyNumberFormat="1" applyFont="1" applyBorder="1"/>
    <xf numFmtId="1" fontId="4" fillId="0" borderId="0" xfId="0" applyNumberFormat="1" applyFont="1" applyBorder="1"/>
    <xf numFmtId="0" fontId="4" fillId="0" borderId="0" xfId="0" applyFont="1" applyBorder="1" applyAlignment="1">
      <alignment horizontal="right"/>
    </xf>
    <xf numFmtId="3" fontId="9" fillId="0" borderId="3" xfId="2" applyNumberFormat="1" applyFont="1" applyFill="1" applyBorder="1" applyAlignment="1">
      <alignment horizontal="center"/>
    </xf>
    <xf numFmtId="3" fontId="9" fillId="0" borderId="2" xfId="2" applyNumberFormat="1" applyFont="1" applyFill="1" applyBorder="1" applyAlignment="1">
      <alignment horizontal="center"/>
    </xf>
    <xf numFmtId="3" fontId="9" fillId="0" borderId="0" xfId="2" applyNumberFormat="1" applyFont="1" applyFill="1" applyAlignment="1">
      <alignment horizontal="right" indent="1"/>
    </xf>
    <xf numFmtId="3" fontId="9" fillId="0" borderId="0" xfId="2" applyNumberFormat="1" applyFont="1" applyFill="1" applyBorder="1" applyAlignment="1">
      <alignment horizontal="right" indent="1"/>
    </xf>
    <xf numFmtId="3" fontId="6" fillId="0" borderId="0" xfId="0" applyNumberFormat="1" applyFont="1" applyAlignment="1">
      <alignment horizontal="right" vertical="top"/>
    </xf>
    <xf numFmtId="168" fontId="4" fillId="0" borderId="0" xfId="0" applyNumberFormat="1" applyFont="1" applyAlignment="1" applyProtection="1">
      <alignment horizontal="right"/>
    </xf>
    <xf numFmtId="0" fontId="4" fillId="0" borderId="0" xfId="0" applyFont="1" applyBorder="1" applyAlignment="1">
      <alignment horizontal="left" vertical="center"/>
    </xf>
    <xf numFmtId="0" fontId="6" fillId="0" borderId="0" xfId="0" applyFont="1" applyAlignment="1">
      <alignment horizontal="left" vertical="center"/>
    </xf>
    <xf numFmtId="0" fontId="6" fillId="0" borderId="0" xfId="0" applyFont="1" applyBorder="1" applyAlignment="1">
      <alignment horizontal="left" vertical="top"/>
    </xf>
    <xf numFmtId="0" fontId="5" fillId="0" borderId="0" xfId="0" applyFont="1" applyAlignment="1">
      <alignment horizontal="center"/>
    </xf>
    <xf numFmtId="3" fontId="9" fillId="0" borderId="0" xfId="2" applyNumberFormat="1" applyFont="1"/>
    <xf numFmtId="0" fontId="4" fillId="0" borderId="3" xfId="0" applyFont="1" applyBorder="1" applyAlignment="1">
      <alignment horizontal="left" vertical="top"/>
    </xf>
    <xf numFmtId="3" fontId="7" fillId="0" borderId="0" xfId="1" applyNumberFormat="1" applyFont="1" applyFill="1" applyBorder="1" applyAlignment="1">
      <alignment horizontal="left"/>
    </xf>
    <xf numFmtId="0" fontId="4" fillId="0" borderId="0" xfId="0" applyFont="1" applyBorder="1" applyProtection="1"/>
    <xf numFmtId="168" fontId="4" fillId="0" borderId="0" xfId="0" applyNumberFormat="1" applyFont="1" applyBorder="1" applyProtection="1"/>
    <xf numFmtId="168" fontId="4" fillId="0" borderId="0" xfId="0" applyNumberFormat="1" applyFont="1" applyBorder="1" applyAlignment="1" applyProtection="1">
      <alignment horizontal="right"/>
    </xf>
    <xf numFmtId="3" fontId="4" fillId="0" borderId="0" xfId="2" quotePrefix="1" applyNumberFormat="1" applyFont="1" applyBorder="1" applyAlignment="1">
      <alignment horizontal="right" indent="2"/>
    </xf>
    <xf numFmtId="3" fontId="9" fillId="0" borderId="0" xfId="2" applyNumberFormat="1" applyFont="1" applyBorder="1"/>
    <xf numFmtId="167" fontId="4" fillId="0" borderId="2" xfId="0" applyNumberFormat="1" applyFont="1" applyBorder="1" applyAlignment="1">
      <alignment horizontal="center" vertical="center"/>
    </xf>
    <xf numFmtId="3" fontId="4" fillId="0" borderId="2" xfId="0" applyNumberFormat="1" applyFont="1" applyBorder="1" applyAlignment="1">
      <alignment horizontal="center" vertical="center"/>
    </xf>
    <xf numFmtId="0" fontId="4" fillId="0" borderId="0" xfId="0" applyFont="1" applyAlignment="1">
      <alignment horizontal="left" vertical="center"/>
    </xf>
    <xf numFmtId="2" fontId="4" fillId="0" borderId="0" xfId="0" applyNumberFormat="1" applyFont="1"/>
    <xf numFmtId="2" fontId="4" fillId="0" borderId="0" xfId="0" quotePrefix="1" applyNumberFormat="1" applyFont="1"/>
    <xf numFmtId="3" fontId="4" fillId="0" borderId="1" xfId="0" applyNumberFormat="1" applyFont="1" applyBorder="1" applyAlignment="1">
      <alignment horizontal="center" vertical="center"/>
    </xf>
    <xf numFmtId="3" fontId="4" fillId="0" borderId="0" xfId="0" quotePrefix="1" applyNumberFormat="1" applyFont="1" applyAlignment="1">
      <alignment horizontal="right" indent="2"/>
    </xf>
    <xf numFmtId="3" fontId="4" fillId="0" borderId="1" xfId="0" applyNumberFormat="1" applyFont="1" applyFill="1" applyBorder="1" applyAlignment="1">
      <alignment horizontal="center" vertical="center"/>
    </xf>
    <xf numFmtId="0" fontId="2" fillId="0" borderId="0" xfId="0" applyFont="1" applyBorder="1" applyAlignment="1">
      <alignment vertical="top"/>
    </xf>
    <xf numFmtId="2" fontId="4" fillId="0" borderId="0" xfId="0" quotePrefix="1" applyNumberFormat="1" applyFont="1" applyBorder="1"/>
    <xf numFmtId="2" fontId="4" fillId="0" borderId="0" xfId="0" applyNumberFormat="1" applyFont="1" applyBorder="1"/>
    <xf numFmtId="3" fontId="4" fillId="0" borderId="0" xfId="2" applyNumberFormat="1" applyFont="1" applyBorder="1" applyAlignment="1" applyProtection="1">
      <alignment horizontal="right"/>
      <protection locked="0"/>
    </xf>
    <xf numFmtId="3" fontId="4" fillId="0" borderId="0" xfId="2" quotePrefix="1" applyNumberFormat="1" applyFont="1" applyBorder="1" applyAlignment="1" applyProtection="1">
      <alignment horizontal="right"/>
      <protection locked="0"/>
    </xf>
    <xf numFmtId="3" fontId="4" fillId="0" borderId="0" xfId="2" applyNumberFormat="1" applyFont="1" applyBorder="1" applyAlignment="1">
      <alignment horizontal="right" indent="1"/>
    </xf>
    <xf numFmtId="3" fontId="4" fillId="0" borderId="0" xfId="2" quotePrefix="1" applyNumberFormat="1" applyFont="1" applyBorder="1" applyAlignment="1">
      <alignment horizontal="right" indent="1"/>
    </xf>
    <xf numFmtId="3" fontId="4" fillId="0" borderId="3" xfId="0" applyNumberFormat="1" applyFont="1" applyBorder="1" applyAlignment="1">
      <alignment horizontal="right" indent="2"/>
    </xf>
    <xf numFmtId="0" fontId="4" fillId="0" borderId="0" xfId="2" applyFont="1" applyBorder="1" applyAlignment="1">
      <alignment horizontal="left"/>
    </xf>
    <xf numFmtId="0" fontId="3" fillId="0" borderId="0" xfId="0" applyFont="1"/>
    <xf numFmtId="3" fontId="4" fillId="0" borderId="0" xfId="2" applyNumberFormat="1" applyFont="1" applyBorder="1" applyAlignment="1">
      <alignment horizontal="right"/>
    </xf>
    <xf numFmtId="3" fontId="4" fillId="0" borderId="0" xfId="2" applyNumberFormat="1" applyFont="1" applyBorder="1" applyAlignment="1" applyProtection="1">
      <protection locked="0"/>
    </xf>
    <xf numFmtId="3" fontId="4" fillId="0" borderId="0" xfId="2" applyNumberFormat="1" applyFont="1" applyAlignment="1">
      <alignment horizontal="right"/>
    </xf>
    <xf numFmtId="3" fontId="4" fillId="0" borderId="0" xfId="2" applyNumberFormat="1" applyFont="1" applyAlignment="1" applyProtection="1">
      <protection locked="0"/>
    </xf>
    <xf numFmtId="167" fontId="4" fillId="0" borderId="2" xfId="0" applyNumberFormat="1" applyFont="1" applyBorder="1" applyAlignment="1">
      <alignment horizontal="center"/>
    </xf>
    <xf numFmtId="0" fontId="9" fillId="0" borderId="0" xfId="2" applyFont="1" applyAlignment="1">
      <alignment horizontal="left"/>
    </xf>
    <xf numFmtId="3" fontId="4" fillId="0" borderId="0" xfId="0" applyNumberFormat="1" applyFont="1" applyAlignment="1">
      <alignment horizontal="right" indent="1"/>
    </xf>
    <xf numFmtId="3" fontId="4" fillId="0" borderId="0" xfId="0" quotePrefix="1" applyNumberFormat="1" applyFont="1" applyFill="1" applyAlignment="1">
      <alignment horizontal="right" indent="2"/>
    </xf>
    <xf numFmtId="3" fontId="4" fillId="0" borderId="0" xfId="0" applyNumberFormat="1" applyFont="1" applyFill="1" applyAlignment="1">
      <alignment horizontal="right" indent="2"/>
    </xf>
    <xf numFmtId="3" fontId="4" fillId="0" borderId="0" xfId="0" applyNumberFormat="1" applyFont="1" applyFill="1" applyBorder="1" applyAlignment="1">
      <alignment horizontal="right" indent="2"/>
    </xf>
    <xf numFmtId="3" fontId="4" fillId="0" borderId="0" xfId="0" applyNumberFormat="1" applyFont="1" applyBorder="1" applyAlignment="1">
      <alignment horizontal="right" indent="1"/>
    </xf>
    <xf numFmtId="3" fontId="4" fillId="0" borderId="0" xfId="0" applyNumberFormat="1" applyFont="1" applyFill="1" applyAlignment="1">
      <alignment horizontal="right"/>
    </xf>
    <xf numFmtId="3" fontId="4" fillId="0" borderId="0" xfId="0" applyNumberFormat="1" applyFont="1" applyFill="1" applyBorder="1" applyAlignment="1">
      <alignment horizontal="right"/>
    </xf>
    <xf numFmtId="3" fontId="4" fillId="0" borderId="0" xfId="0" applyNumberFormat="1" applyFont="1" applyAlignment="1">
      <alignment horizontal="right"/>
    </xf>
    <xf numFmtId="3" fontId="4" fillId="0" borderId="0" xfId="0" quotePrefix="1" applyNumberFormat="1" applyFont="1" applyFill="1" applyAlignment="1">
      <alignment horizontal="right"/>
    </xf>
    <xf numFmtId="0" fontId="4" fillId="0" borderId="0" xfId="0" applyFont="1" applyBorder="1" applyAlignment="1">
      <alignment horizontal="left" vertical="top"/>
    </xf>
    <xf numFmtId="3" fontId="4" fillId="0" borderId="0" xfId="0" applyNumberFormat="1" applyFont="1" applyBorder="1" applyAlignment="1">
      <alignment horizontal="right"/>
    </xf>
    <xf numFmtId="3" fontId="4" fillId="0" borderId="0" xfId="2" applyNumberFormat="1" applyFont="1" applyAlignment="1" applyProtection="1">
      <alignment horizontal="right"/>
      <protection locked="0"/>
    </xf>
    <xf numFmtId="3" fontId="4" fillId="0" borderId="0" xfId="2" applyNumberFormat="1" applyFont="1" applyFill="1" applyAlignment="1">
      <alignment horizontal="right"/>
    </xf>
    <xf numFmtId="1" fontId="4" fillId="0" borderId="0" xfId="2" applyNumberFormat="1" applyFont="1" applyAlignment="1">
      <alignment horizontal="right"/>
    </xf>
    <xf numFmtId="3" fontId="4" fillId="0" borderId="0" xfId="2" applyNumberFormat="1" applyFont="1"/>
    <xf numFmtId="3" fontId="9" fillId="3" borderId="0" xfId="2" applyNumberFormat="1" applyFont="1" applyFill="1" applyBorder="1" applyAlignment="1">
      <alignment horizontal="right" indent="2"/>
    </xf>
    <xf numFmtId="3" fontId="9" fillId="3" borderId="0" xfId="2" applyNumberFormat="1" applyFont="1" applyFill="1" applyAlignment="1">
      <alignment horizontal="right" indent="2"/>
    </xf>
    <xf numFmtId="0" fontId="4" fillId="0" borderId="0" xfId="2" applyFont="1" applyAlignment="1">
      <alignment horizontal="left"/>
    </xf>
    <xf numFmtId="3" fontId="4" fillId="0" borderId="0" xfId="0" applyNumberFormat="1" applyFont="1" applyAlignment="1"/>
    <xf numFmtId="3" fontId="4" fillId="0" borderId="2" xfId="2" applyNumberFormat="1" applyFont="1" applyBorder="1" applyAlignment="1">
      <alignment horizontal="center" vertical="top"/>
    </xf>
    <xf numFmtId="0" fontId="4" fillId="0" borderId="0" xfId="2" applyFont="1" applyAlignment="1">
      <alignment horizontal="center" vertical="top"/>
    </xf>
    <xf numFmtId="0" fontId="6" fillId="0" borderId="0" xfId="2" applyFont="1" applyAlignment="1">
      <alignment horizontal="center" vertical="top"/>
    </xf>
    <xf numFmtId="3" fontId="4" fillId="0" borderId="0" xfId="2" applyNumberFormat="1" applyFont="1" applyAlignment="1">
      <alignment horizontal="center" vertical="top"/>
    </xf>
    <xf numFmtId="0" fontId="4" fillId="0" borderId="0" xfId="3" applyFont="1" applyAlignment="1">
      <alignment horizontal="center" vertical="top"/>
    </xf>
    <xf numFmtId="3" fontId="4" fillId="0" borderId="0" xfId="2" applyNumberFormat="1" applyFont="1" applyFill="1" applyAlignment="1">
      <alignment horizontal="center" vertical="top"/>
    </xf>
    <xf numFmtId="0" fontId="4" fillId="0" borderId="0" xfId="2" applyFont="1" applyBorder="1" applyAlignment="1">
      <alignment horizontal="center" vertical="top"/>
    </xf>
    <xf numFmtId="3" fontId="4" fillId="0" borderId="0" xfId="2" applyNumberFormat="1" applyFont="1" applyAlignment="1" applyProtection="1">
      <alignment horizontal="center"/>
      <protection locked="0"/>
    </xf>
    <xf numFmtId="3" fontId="4" fillId="0" borderId="0" xfId="2" applyNumberFormat="1" applyFont="1" applyBorder="1" applyAlignment="1">
      <alignment horizontal="center" vertical="top"/>
    </xf>
    <xf numFmtId="3" fontId="4" fillId="0" borderId="0" xfId="2" applyNumberFormat="1" applyFont="1" applyBorder="1" applyAlignment="1" applyProtection="1">
      <alignment horizontal="center"/>
      <protection locked="0"/>
    </xf>
    <xf numFmtId="3" fontId="4" fillId="0" borderId="0" xfId="2" applyNumberFormat="1" applyFont="1" applyAlignment="1">
      <alignment horizontal="right" vertical="top"/>
    </xf>
    <xf numFmtId="3" fontId="4" fillId="0" borderId="0" xfId="2" quotePrefix="1" applyNumberFormat="1" applyFont="1" applyBorder="1" applyAlignment="1" applyProtection="1">
      <alignment horizontal="center"/>
      <protection locked="0"/>
    </xf>
    <xf numFmtId="3" fontId="4" fillId="0" borderId="0" xfId="2" applyNumberFormat="1" applyFont="1" applyAlignment="1">
      <alignment horizontal="left" vertical="top"/>
    </xf>
    <xf numFmtId="3" fontId="4" fillId="0" borderId="0" xfId="2" applyNumberFormat="1" applyFont="1" applyBorder="1"/>
    <xf numFmtId="3" fontId="5" fillId="0" borderId="0" xfId="0" applyNumberFormat="1" applyFont="1" applyBorder="1"/>
    <xf numFmtId="3" fontId="4" fillId="0" borderId="0" xfId="2" applyNumberFormat="1" applyFont="1" applyFill="1" applyAlignment="1" applyProtection="1">
      <alignment horizontal="center"/>
      <protection locked="0"/>
    </xf>
    <xf numFmtId="0" fontId="6" fillId="0" borderId="0" xfId="0" applyFont="1" applyFill="1" applyAlignment="1">
      <alignment horizontal="left" vertical="top"/>
    </xf>
    <xf numFmtId="3" fontId="6" fillId="0" borderId="0" xfId="0" applyNumberFormat="1" applyFont="1" applyFill="1" applyAlignment="1">
      <alignment horizontal="right" indent="2"/>
    </xf>
    <xf numFmtId="0" fontId="8" fillId="0" borderId="0" xfId="0" applyFont="1" applyFill="1" applyAlignment="1">
      <alignment horizontal="left" vertical="top"/>
    </xf>
    <xf numFmtId="166" fontId="4" fillId="0" borderId="0" xfId="1" applyNumberFormat="1" applyFont="1" applyFill="1" applyAlignment="1">
      <alignment horizontal="right"/>
    </xf>
    <xf numFmtId="3" fontId="6" fillId="0" borderId="0" xfId="0" applyNumberFormat="1" applyFont="1" applyFill="1" applyAlignment="1">
      <alignment horizontal="right"/>
    </xf>
    <xf numFmtId="1" fontId="4" fillId="0" borderId="0" xfId="1" applyNumberFormat="1" applyFont="1" applyFill="1" applyAlignment="1">
      <alignment horizontal="right"/>
    </xf>
    <xf numFmtId="3" fontId="6" fillId="0" borderId="0" xfId="0" applyNumberFormat="1" applyFont="1" applyFill="1" applyAlignment="1">
      <alignment horizontal="right" indent="1"/>
    </xf>
    <xf numFmtId="164" fontId="4" fillId="0" borderId="0" xfId="0" applyNumberFormat="1" applyFont="1" applyFill="1" applyBorder="1" applyAlignment="1">
      <alignment horizontal="right"/>
    </xf>
    <xf numFmtId="3" fontId="5" fillId="0" borderId="0" xfId="0" applyNumberFormat="1" applyFont="1" applyFill="1" applyBorder="1"/>
    <xf numFmtId="0" fontId="4" fillId="0" borderId="0" xfId="0" applyFont="1" applyAlignment="1">
      <alignment horizontal="left" vertical="top"/>
    </xf>
    <xf numFmtId="0" fontId="4" fillId="0" borderId="0" xfId="0" applyFont="1" applyFill="1" applyBorder="1"/>
    <xf numFmtId="0" fontId="8" fillId="0" borderId="0" xfId="2" applyFont="1" applyBorder="1" applyAlignment="1">
      <alignment horizontal="left" vertical="top"/>
    </xf>
    <xf numFmtId="0" fontId="4" fillId="4" borderId="0" xfId="0" applyFont="1" applyFill="1" applyAlignment="1">
      <alignment horizontal="left" vertical="top"/>
    </xf>
    <xf numFmtId="3" fontId="4" fillId="4" borderId="0" xfId="0" applyNumberFormat="1" applyFont="1" applyFill="1" applyAlignment="1">
      <alignment horizontal="right"/>
    </xf>
    <xf numFmtId="3" fontId="4" fillId="4" borderId="0" xfId="0" applyNumberFormat="1" applyFont="1" applyFill="1" applyAlignment="1">
      <alignment horizontal="right" indent="1"/>
    </xf>
    <xf numFmtId="0" fontId="4" fillId="4" borderId="0" xfId="2" applyFont="1" applyFill="1" applyAlignment="1">
      <alignment horizontal="left" vertical="top"/>
    </xf>
    <xf numFmtId="3" fontId="4" fillId="4" borderId="0" xfId="2" applyNumberFormat="1" applyFont="1" applyFill="1" applyAlignment="1">
      <alignment horizontal="right" vertical="top"/>
    </xf>
    <xf numFmtId="3" fontId="4" fillId="4" borderId="0" xfId="2" applyNumberFormat="1" applyFont="1" applyFill="1" applyAlignment="1">
      <alignment horizontal="right" indent="2"/>
    </xf>
    <xf numFmtId="0" fontId="4" fillId="4" borderId="0" xfId="0" applyFont="1" applyFill="1" applyAlignment="1">
      <alignment horizontal="left"/>
    </xf>
    <xf numFmtId="3" fontId="4" fillId="4" borderId="0" xfId="1" applyNumberFormat="1" applyFont="1" applyFill="1" applyAlignment="1">
      <alignment horizontal="right" indent="2"/>
    </xf>
    <xf numFmtId="3" fontId="4" fillId="4" borderId="0" xfId="0" applyNumberFormat="1" applyFont="1" applyFill="1"/>
    <xf numFmtId="3" fontId="4" fillId="4" borderId="0" xfId="0" applyNumberFormat="1" applyFont="1" applyFill="1" applyAlignment="1">
      <alignment horizontal="right" indent="2"/>
    </xf>
    <xf numFmtId="0" fontId="4" fillId="4" borderId="0" xfId="0" applyFont="1" applyFill="1" applyAlignment="1">
      <alignment horizontal="right" indent="1"/>
    </xf>
    <xf numFmtId="0" fontId="4" fillId="4" borderId="0" xfId="0" applyFont="1" applyFill="1" applyAlignment="1">
      <alignment horizontal="left" vertical="center" wrapText="1"/>
    </xf>
    <xf numFmtId="0" fontId="4" fillId="4" borderId="0" xfId="0" applyFont="1" applyFill="1" applyAlignment="1">
      <alignment horizontal="right" indent="2"/>
    </xf>
    <xf numFmtId="3" fontId="4" fillId="4" borderId="0" xfId="1" applyNumberFormat="1" applyFont="1" applyFill="1" applyAlignment="1">
      <alignment horizontal="right"/>
    </xf>
    <xf numFmtId="167" fontId="4" fillId="4" borderId="0" xfId="0" applyNumberFormat="1" applyFont="1" applyFill="1" applyAlignment="1">
      <alignment horizontal="right"/>
    </xf>
    <xf numFmtId="0" fontId="4" fillId="0" borderId="0" xfId="0" applyFont="1" applyFill="1" applyAlignment="1">
      <alignment horizontal="right"/>
    </xf>
    <xf numFmtId="0" fontId="4" fillId="0" borderId="0" xfId="0" applyFont="1" applyFill="1" applyBorder="1" applyAlignment="1">
      <alignment horizontal="right"/>
    </xf>
    <xf numFmtId="0" fontId="4" fillId="5" borderId="0" xfId="0" applyFont="1" applyFill="1"/>
    <xf numFmtId="164" fontId="4" fillId="4" borderId="0" xfId="0" applyNumberFormat="1" applyFont="1" applyFill="1" applyAlignment="1">
      <alignment horizontal="right" indent="1"/>
    </xf>
    <xf numFmtId="164" fontId="4" fillId="4" borderId="0" xfId="0" applyNumberFormat="1" applyFont="1" applyFill="1" applyAlignment="1">
      <alignment horizontal="right" indent="2"/>
    </xf>
    <xf numFmtId="164" fontId="4" fillId="4" borderId="0" xfId="0" applyNumberFormat="1" applyFont="1" applyFill="1" applyAlignment="1">
      <alignment horizontal="right"/>
    </xf>
    <xf numFmtId="3" fontId="4" fillId="0" borderId="0" xfId="2" applyNumberFormat="1" applyFont="1" applyFill="1" applyBorder="1" applyAlignment="1" applyProtection="1">
      <alignment horizontal="center"/>
      <protection locked="0"/>
    </xf>
    <xf numFmtId="3" fontId="4" fillId="0" borderId="0" xfId="2" applyNumberFormat="1" applyFont="1" applyBorder="1" applyAlignment="1">
      <alignment horizontal="center"/>
    </xf>
    <xf numFmtId="3" fontId="4" fillId="5" borderId="0" xfId="0" applyNumberFormat="1" applyFont="1" applyFill="1" applyBorder="1" applyAlignment="1">
      <alignment horizontal="right" indent="1"/>
    </xf>
    <xf numFmtId="3" fontId="4" fillId="6" borderId="0" xfId="0" applyNumberFormat="1" applyFont="1" applyFill="1" applyBorder="1" applyAlignment="1">
      <alignment horizontal="right" indent="1"/>
    </xf>
    <xf numFmtId="0" fontId="4" fillId="0" borderId="1" xfId="0" applyFont="1" applyFill="1" applyBorder="1" applyAlignment="1">
      <alignment horizontal="center" vertical="center" wrapText="1"/>
    </xf>
    <xf numFmtId="0" fontId="4" fillId="0" borderId="0" xfId="0" quotePrefix="1" applyNumberFormat="1" applyFont="1" applyAlignment="1">
      <alignment horizontal="right"/>
    </xf>
    <xf numFmtId="0" fontId="4" fillId="0" borderId="0" xfId="2" applyFont="1" applyFill="1" applyAlignment="1">
      <alignment horizontal="left" vertical="top"/>
    </xf>
    <xf numFmtId="3" fontId="4" fillId="0" borderId="0" xfId="2" applyNumberFormat="1" applyFont="1" applyFill="1" applyAlignment="1">
      <alignment horizontal="right" indent="2"/>
    </xf>
    <xf numFmtId="0" fontId="4" fillId="0" borderId="0" xfId="2" applyFont="1" applyAlignment="1"/>
    <xf numFmtId="0" fontId="4" fillId="7" borderId="0" xfId="0" applyFont="1" applyFill="1"/>
    <xf numFmtId="0" fontId="4" fillId="0" borderId="2" xfId="0" applyFont="1" applyFill="1" applyBorder="1" applyAlignment="1">
      <alignment horizontal="left" vertical="top"/>
    </xf>
    <xf numFmtId="3" fontId="4" fillId="0" borderId="0" xfId="2" applyNumberFormat="1" applyFont="1" applyFill="1" applyAlignment="1" applyProtection="1">
      <protection locked="0"/>
    </xf>
    <xf numFmtId="3" fontId="4" fillId="0" borderId="0" xfId="2" applyNumberFormat="1" applyFont="1" applyFill="1" applyBorder="1" applyAlignment="1">
      <alignment horizontal="right"/>
    </xf>
    <xf numFmtId="3" fontId="4" fillId="0" borderId="0" xfId="2" applyNumberFormat="1" applyFont="1" applyFill="1" applyBorder="1" applyAlignment="1" applyProtection="1">
      <alignment horizontal="right"/>
      <protection locked="0"/>
    </xf>
    <xf numFmtId="3" fontId="4" fillId="4" borderId="0" xfId="2" applyNumberFormat="1" applyFont="1" applyFill="1" applyAlignment="1">
      <alignment horizontal="right"/>
    </xf>
    <xf numFmtId="3" fontId="4" fillId="0" borderId="2" xfId="2" applyNumberFormat="1" applyFont="1" applyBorder="1" applyAlignment="1">
      <alignment horizontal="right"/>
    </xf>
    <xf numFmtId="3" fontId="4" fillId="0" borderId="0" xfId="2" quotePrefix="1" applyNumberFormat="1" applyFont="1" applyAlignment="1">
      <alignment horizontal="right" indent="2"/>
    </xf>
    <xf numFmtId="3" fontId="4" fillId="0" borderId="1" xfId="2" applyNumberFormat="1" applyFont="1" applyBorder="1" applyAlignment="1">
      <alignment horizontal="center" vertical="top"/>
    </xf>
    <xf numFmtId="3" fontId="4" fillId="0" borderId="0" xfId="2" applyNumberFormat="1" applyFont="1" applyAlignment="1">
      <alignment horizontal="center"/>
    </xf>
    <xf numFmtId="3" fontId="4" fillId="0" borderId="0" xfId="2" applyNumberFormat="1" applyFont="1" applyAlignment="1" applyProtection="1">
      <alignment horizontal="right" indent="1"/>
      <protection locked="0"/>
    </xf>
    <xf numFmtId="3" fontId="4" fillId="0" borderId="0" xfId="2" applyNumberFormat="1" applyFont="1" applyBorder="1" applyAlignment="1" applyProtection="1">
      <alignment horizontal="right" indent="1"/>
      <protection locked="0"/>
    </xf>
    <xf numFmtId="3" fontId="4" fillId="0" borderId="0" xfId="2" quotePrefix="1" applyNumberFormat="1" applyFont="1" applyAlignment="1">
      <alignment horizontal="right" indent="1"/>
    </xf>
    <xf numFmtId="3" fontId="4" fillId="0" borderId="0" xfId="2" quotePrefix="1" applyNumberFormat="1" applyFont="1" applyAlignment="1" applyProtection="1">
      <alignment horizontal="right" indent="1"/>
      <protection locked="0"/>
    </xf>
    <xf numFmtId="3" fontId="4" fillId="0" borderId="0" xfId="2" quotePrefix="1" applyNumberFormat="1" applyFont="1" applyBorder="1" applyAlignment="1" applyProtection="1">
      <alignment horizontal="right" indent="1"/>
      <protection locked="0"/>
    </xf>
    <xf numFmtId="3" fontId="4" fillId="0" borderId="0" xfId="2" quotePrefix="1" applyNumberFormat="1" applyFont="1" applyFill="1" applyAlignment="1">
      <alignment horizontal="right" indent="1"/>
    </xf>
    <xf numFmtId="3" fontId="4" fillId="0" borderId="0" xfId="2" applyNumberFormat="1" applyFont="1" applyFill="1" applyBorder="1" applyAlignment="1">
      <alignment horizontal="right" indent="1"/>
    </xf>
    <xf numFmtId="3" fontId="4" fillId="0" borderId="0" xfId="2" applyNumberFormat="1" applyFont="1" applyFill="1" applyAlignment="1">
      <alignment horizontal="right" indent="1"/>
    </xf>
    <xf numFmtId="3" fontId="4" fillId="4" borderId="0" xfId="2" applyNumberFormat="1" applyFont="1" applyFill="1" applyAlignment="1">
      <alignment horizontal="right" indent="1"/>
    </xf>
    <xf numFmtId="0" fontId="3" fillId="0" borderId="0" xfId="0" applyFont="1" applyAlignment="1">
      <alignment vertical="top" wrapText="1"/>
    </xf>
    <xf numFmtId="0" fontId="3" fillId="0" borderId="0" xfId="0" applyFont="1" applyAlignment="1">
      <alignment wrapText="1"/>
    </xf>
    <xf numFmtId="0" fontId="4" fillId="0" borderId="3" xfId="0" applyFont="1" applyFill="1" applyBorder="1"/>
    <xf numFmtId="0" fontId="4" fillId="0" borderId="0" xfId="0" applyFont="1" applyFill="1"/>
    <xf numFmtId="0" fontId="4" fillId="0" borderId="0" xfId="0" applyFont="1" applyBorder="1"/>
    <xf numFmtId="0" fontId="4" fillId="0" borderId="0" xfId="0" applyFont="1" applyAlignment="1">
      <alignment horizontal="left"/>
    </xf>
    <xf numFmtId="0" fontId="12" fillId="0" borderId="0" xfId="0" applyFont="1" applyAlignment="1">
      <alignment horizontal="left" wrapText="1"/>
    </xf>
    <xf numFmtId="0" fontId="9" fillId="0" borderId="0" xfId="2" applyFont="1" applyAlignment="1">
      <alignment horizontal="left" vertical="top"/>
    </xf>
    <xf numFmtId="0" fontId="9" fillId="0" borderId="0" xfId="2" applyFont="1" applyBorder="1" applyAlignment="1">
      <alignment horizontal="justify" vertical="center" wrapText="1"/>
    </xf>
    <xf numFmtId="0" fontId="4" fillId="0" borderId="0" xfId="2" applyFont="1" applyBorder="1" applyAlignment="1">
      <alignment vertical="top" wrapText="1"/>
    </xf>
    <xf numFmtId="0" fontId="4" fillId="0" borderId="0" xfId="2" applyFont="1" applyAlignment="1">
      <alignment horizontal="left"/>
    </xf>
    <xf numFmtId="0" fontId="9" fillId="0" borderId="0" xfId="2" applyFont="1" applyAlignment="1">
      <alignment horizontal="left"/>
    </xf>
    <xf numFmtId="0" fontId="4" fillId="0" borderId="3" xfId="2" applyFont="1" applyBorder="1" applyAlignment="1">
      <alignment horizontal="left"/>
    </xf>
    <xf numFmtId="0" fontId="9" fillId="0" borderId="3" xfId="2" applyFont="1" applyBorder="1" applyAlignment="1">
      <alignment horizontal="left"/>
    </xf>
    <xf numFmtId="0" fontId="4" fillId="0" borderId="2" xfId="0" applyFont="1" applyBorder="1"/>
    <xf numFmtId="3" fontId="4" fillId="0" borderId="1" xfId="0" applyNumberFormat="1" applyFont="1" applyBorder="1" applyAlignment="1">
      <alignment horizontal="center"/>
    </xf>
    <xf numFmtId="0" fontId="4" fillId="0" borderId="0" xfId="0" applyFont="1" applyAlignment="1">
      <alignment horizontal="left" vertical="top"/>
    </xf>
    <xf numFmtId="0" fontId="4" fillId="0" borderId="0" xfId="0" applyFont="1" applyAlignment="1">
      <alignment horizontal="left" vertical="center" wrapText="1"/>
    </xf>
    <xf numFmtId="0" fontId="4" fillId="4" borderId="0" xfId="0" applyFont="1" applyFill="1" applyBorder="1" applyAlignment="1">
      <alignment horizontal="left" wrapText="1"/>
    </xf>
    <xf numFmtId="0" fontId="4" fillId="0" borderId="0" xfId="0" applyFont="1" applyBorder="1" applyAlignment="1">
      <alignment horizontal="left"/>
    </xf>
    <xf numFmtId="164" fontId="4" fillId="0" borderId="0" xfId="0" applyNumberFormat="1" applyFont="1" applyAlignment="1">
      <alignment horizontal="right" indent="1"/>
    </xf>
    <xf numFmtId="0" fontId="4" fillId="4" borderId="0" xfId="0" applyFont="1" applyFill="1"/>
    <xf numFmtId="164" fontId="4" fillId="0" borderId="0" xfId="0" applyNumberFormat="1" applyFont="1" applyAlignment="1">
      <alignment horizontal="right" indent="2"/>
    </xf>
    <xf numFmtId="0" fontId="4" fillId="0" borderId="3" xfId="0" applyFont="1" applyBorder="1"/>
    <xf numFmtId="0" fontId="4" fillId="0" borderId="2" xfId="0" applyFont="1" applyBorder="1" applyAlignment="1"/>
    <xf numFmtId="0" fontId="4" fillId="0" borderId="0" xfId="2" applyFont="1" applyAlignment="1">
      <alignment vertical="top"/>
    </xf>
    <xf numFmtId="0" fontId="4" fillId="0" borderId="3" xfId="2" applyFont="1" applyBorder="1" applyAlignment="1">
      <alignment horizontal="center" vertical="top"/>
    </xf>
    <xf numFmtId="0" fontId="4" fillId="4" borderId="0" xfId="2" applyFont="1" applyFill="1" applyAlignment="1">
      <alignment vertical="top"/>
    </xf>
    <xf numFmtId="0" fontId="4" fillId="0" borderId="0" xfId="2" applyFont="1" applyBorder="1" applyAlignment="1">
      <alignment vertical="top"/>
    </xf>
    <xf numFmtId="0" fontId="4" fillId="0" borderId="0" xfId="2" applyFont="1"/>
    <xf numFmtId="0" fontId="4" fillId="0" borderId="3" xfId="2" applyFont="1" applyBorder="1"/>
    <xf numFmtId="3" fontId="4" fillId="0" borderId="0" xfId="4" applyNumberFormat="1" applyFont="1" applyFill="1" applyAlignment="1">
      <alignment horizontal="right"/>
    </xf>
    <xf numFmtId="3" fontId="4" fillId="0" borderId="0" xfId="4" applyNumberFormat="1" applyFont="1" applyAlignment="1">
      <alignment horizontal="right"/>
    </xf>
    <xf numFmtId="3" fontId="4" fillId="0" borderId="0" xfId="4" applyNumberFormat="1" applyFont="1" applyAlignment="1" applyProtection="1">
      <alignment horizontal="right"/>
      <protection locked="0"/>
    </xf>
    <xf numFmtId="3" fontId="4" fillId="0" borderId="0" xfId="4" applyNumberFormat="1" applyFont="1" applyBorder="1" applyAlignment="1" applyProtection="1">
      <alignment horizontal="right"/>
      <protection locked="0"/>
    </xf>
    <xf numFmtId="0" fontId="4" fillId="4" borderId="0" xfId="2" applyFont="1" applyFill="1"/>
    <xf numFmtId="0" fontId="4" fillId="0" borderId="1" xfId="2" applyFont="1" applyBorder="1"/>
    <xf numFmtId="0" fontId="4" fillId="0" borderId="0" xfId="2" applyFont="1" applyFill="1"/>
    <xf numFmtId="0" fontId="4" fillId="0" borderId="0" xfId="2" applyFont="1" applyFill="1" applyBorder="1" applyAlignment="1">
      <alignment horizontal="left" vertical="top"/>
    </xf>
    <xf numFmtId="0" fontId="4" fillId="0" borderId="0" xfId="2" applyFont="1" applyFill="1" applyBorder="1"/>
    <xf numFmtId="3" fontId="4" fillId="0" borderId="0" xfId="0" quotePrefix="1" applyNumberFormat="1" applyFont="1" applyFill="1" applyBorder="1" applyAlignment="1">
      <alignment horizontal="right" indent="1"/>
    </xf>
    <xf numFmtId="3" fontId="4" fillId="0" borderId="0" xfId="0" quotePrefix="1" applyNumberFormat="1" applyFont="1" applyFill="1" applyAlignment="1">
      <alignment horizontal="right" indent="1"/>
    </xf>
    <xf numFmtId="0" fontId="4" fillId="0" borderId="0" xfId="0" applyFont="1" applyAlignment="1">
      <alignment horizontal="right" indent="1"/>
    </xf>
    <xf numFmtId="3" fontId="4" fillId="0" borderId="0" xfId="1" quotePrefix="1" applyNumberFormat="1" applyFont="1" applyFill="1" applyAlignment="1">
      <alignment horizontal="right"/>
    </xf>
    <xf numFmtId="3" fontId="4" fillId="0" borderId="0" xfId="1" quotePrefix="1" applyNumberFormat="1" applyFont="1" applyFill="1" applyBorder="1" applyAlignment="1">
      <alignment horizontal="right"/>
    </xf>
    <xf numFmtId="0" fontId="0" fillId="0" borderId="0" xfId="0" applyAlignment="1">
      <alignment horizontal="left" vertical="top"/>
    </xf>
    <xf numFmtId="3" fontId="4" fillId="0" borderId="3" xfId="2" applyNumberFormat="1" applyFont="1" applyBorder="1" applyAlignment="1">
      <alignment horizontal="center"/>
    </xf>
    <xf numFmtId="3" fontId="4" fillId="0" borderId="3" xfId="2" applyNumberFormat="1" applyFont="1" applyFill="1" applyBorder="1" applyAlignment="1">
      <alignment horizontal="center"/>
    </xf>
    <xf numFmtId="0" fontId="4" fillId="0" borderId="2" xfId="2" applyFont="1" applyBorder="1" applyAlignment="1">
      <alignment horizontal="left"/>
    </xf>
    <xf numFmtId="3" fontId="4" fillId="0" borderId="2" xfId="2" applyNumberFormat="1" applyFont="1" applyBorder="1" applyAlignment="1">
      <alignment horizontal="center"/>
    </xf>
    <xf numFmtId="3" fontId="4" fillId="0" borderId="2" xfId="2" applyNumberFormat="1" applyFont="1" applyFill="1" applyBorder="1" applyAlignment="1">
      <alignment horizontal="center"/>
    </xf>
    <xf numFmtId="0" fontId="1" fillId="0" borderId="0" xfId="0" applyFont="1"/>
    <xf numFmtId="0" fontId="1" fillId="0" borderId="0" xfId="0" applyFont="1" applyAlignment="1">
      <alignment horizontal="left" vertical="top"/>
    </xf>
    <xf numFmtId="0" fontId="4" fillId="0" borderId="0" xfId="0" applyFont="1" applyBorder="1"/>
    <xf numFmtId="0" fontId="4" fillId="0" borderId="0" xfId="0" applyFont="1" applyAlignment="1">
      <alignment horizontal="left"/>
    </xf>
    <xf numFmtId="0" fontId="4" fillId="0" borderId="1" xfId="0" applyFont="1" applyBorder="1"/>
    <xf numFmtId="0" fontId="1" fillId="0" borderId="0" xfId="0" applyFont="1" applyFill="1"/>
    <xf numFmtId="0" fontId="1" fillId="0" borderId="0" xfId="0" applyFont="1" applyAlignment="1">
      <alignment horizontal="center"/>
    </xf>
    <xf numFmtId="0" fontId="4" fillId="0" borderId="0" xfId="0" applyFont="1" applyBorder="1"/>
    <xf numFmtId="0" fontId="4" fillId="0" borderId="0" xfId="0" applyFont="1" applyBorder="1" applyAlignment="1">
      <alignment horizontal="left" vertical="top"/>
    </xf>
    <xf numFmtId="0" fontId="13" fillId="8" borderId="0" xfId="0" applyFont="1" applyFill="1"/>
    <xf numFmtId="0" fontId="3" fillId="8" borderId="0" xfId="0" applyFont="1" applyFill="1"/>
    <xf numFmtId="0" fontId="3" fillId="9" borderId="0" xfId="0" applyFont="1" applyFill="1" applyAlignment="1">
      <alignment wrapText="1"/>
    </xf>
    <xf numFmtId="0" fontId="13" fillId="10" borderId="0" xfId="0" applyFont="1" applyFill="1"/>
    <xf numFmtId="0" fontId="3" fillId="10" borderId="0" xfId="0" applyFont="1" applyFill="1"/>
    <xf numFmtId="3" fontId="23" fillId="0" borderId="0" xfId="0" applyNumberFormat="1" applyFont="1" applyAlignment="1">
      <alignment horizontal="right" indent="2"/>
    </xf>
    <xf numFmtId="3" fontId="4" fillId="0" borderId="0" xfId="2" applyNumberFormat="1" applyFont="1" applyFill="1" applyBorder="1" applyAlignment="1">
      <alignment horizontal="right" indent="2"/>
    </xf>
    <xf numFmtId="0" fontId="23" fillId="0" borderId="0" xfId="0" applyFont="1" applyAlignment="1">
      <alignment horizontal="left"/>
    </xf>
    <xf numFmtId="0" fontId="0" fillId="0" borderId="0" xfId="0" applyBorder="1"/>
    <xf numFmtId="0" fontId="1" fillId="0" borderId="0" xfId="0" applyFont="1" applyBorder="1"/>
    <xf numFmtId="0" fontId="4" fillId="0" borderId="0" xfId="0" applyFont="1" applyBorder="1"/>
    <xf numFmtId="0" fontId="4" fillId="0" borderId="0" xfId="0" applyFont="1" applyFill="1" applyAlignment="1">
      <alignment horizontal="left"/>
    </xf>
    <xf numFmtId="0" fontId="4" fillId="0" borderId="0" xfId="0" applyFont="1" applyAlignment="1">
      <alignment horizontal="left"/>
    </xf>
    <xf numFmtId="0" fontId="4" fillId="0" borderId="3" xfId="0" applyFont="1" applyBorder="1" applyAlignment="1">
      <alignment horizontal="left"/>
    </xf>
    <xf numFmtId="0" fontId="4" fillId="0" borderId="3" xfId="2" applyFont="1" applyBorder="1" applyAlignment="1">
      <alignment horizontal="center" vertical="top" wrapText="1"/>
    </xf>
    <xf numFmtId="0" fontId="4" fillId="0" borderId="0" xfId="2" applyFont="1" applyAlignment="1">
      <alignment horizontal="left" vertical="top"/>
    </xf>
    <xf numFmtId="0" fontId="4" fillId="0" borderId="0" xfId="2" applyFont="1" applyAlignment="1">
      <alignment horizontal="left"/>
    </xf>
    <xf numFmtId="0" fontId="4" fillId="0" borderId="0" xfId="2" applyFont="1" applyBorder="1"/>
    <xf numFmtId="0" fontId="4" fillId="0" borderId="0" xfId="0" applyFont="1" applyAlignment="1"/>
    <xf numFmtId="0" fontId="4" fillId="0" borderId="1" xfId="0" applyFont="1" applyBorder="1"/>
    <xf numFmtId="3" fontId="4" fillId="0" borderId="1" xfId="0" applyNumberFormat="1" applyFont="1" applyBorder="1" applyAlignment="1">
      <alignment horizontal="center"/>
    </xf>
    <xf numFmtId="3" fontId="4" fillId="0" borderId="2" xfId="0" applyNumberFormat="1" applyFont="1" applyBorder="1" applyAlignment="1">
      <alignment horizontal="center"/>
    </xf>
    <xf numFmtId="0" fontId="4" fillId="0" borderId="0" xfId="0" applyFont="1" applyAlignment="1">
      <alignment horizontal="left" vertical="top"/>
    </xf>
    <xf numFmtId="0" fontId="4" fillId="0" borderId="0" xfId="0" applyFont="1" applyAlignment="1">
      <alignment horizontal="left" vertical="top" wrapText="1"/>
    </xf>
    <xf numFmtId="0" fontId="4" fillId="0" borderId="0" xfId="0" applyFont="1" applyAlignment="1">
      <alignment horizontal="left"/>
    </xf>
    <xf numFmtId="0" fontId="4" fillId="0" borderId="0" xfId="0" applyFont="1" applyBorder="1"/>
    <xf numFmtId="0" fontId="4" fillId="0" borderId="3" xfId="0" applyFont="1" applyFill="1" applyBorder="1" applyAlignment="1">
      <alignment horizontal="left"/>
    </xf>
    <xf numFmtId="0" fontId="4" fillId="0" borderId="0" xfId="0" applyFont="1" applyFill="1" applyAlignment="1">
      <alignment horizontal="left"/>
    </xf>
    <xf numFmtId="0" fontId="4" fillId="0" borderId="3" xfId="0" applyFont="1" applyBorder="1" applyAlignment="1">
      <alignment horizontal="left"/>
    </xf>
    <xf numFmtId="0" fontId="4" fillId="0" borderId="0" xfId="0" applyFont="1" applyBorder="1" applyAlignment="1">
      <alignment horizontal="left" wrapText="1"/>
    </xf>
    <xf numFmtId="0" fontId="4" fillId="0" borderId="0" xfId="0" applyFont="1" applyAlignment="1"/>
    <xf numFmtId="0" fontId="4" fillId="0" borderId="1" xfId="0" applyFont="1" applyBorder="1"/>
    <xf numFmtId="3" fontId="4" fillId="0" borderId="1" xfId="0" applyNumberFormat="1" applyFont="1" applyBorder="1" applyAlignment="1">
      <alignment horizontal="center"/>
    </xf>
    <xf numFmtId="3" fontId="4" fillId="0" borderId="2" xfId="0" applyNumberFormat="1" applyFont="1" applyBorder="1" applyAlignment="1">
      <alignment horizontal="center"/>
    </xf>
    <xf numFmtId="0" fontId="4" fillId="0" borderId="0" xfId="0" applyFont="1" applyAlignment="1">
      <alignment horizontal="left" vertical="top"/>
    </xf>
    <xf numFmtId="0" fontId="4" fillId="0" borderId="2" xfId="0" applyFont="1" applyBorder="1"/>
    <xf numFmtId="3" fontId="5" fillId="0" borderId="0" xfId="0" applyNumberFormat="1" applyFont="1" applyAlignment="1">
      <alignment horizontal="center"/>
    </xf>
    <xf numFmtId="0" fontId="4" fillId="0" borderId="2" xfId="0" applyFont="1" applyBorder="1" applyAlignment="1">
      <alignment horizontal="justify" wrapText="1"/>
    </xf>
    <xf numFmtId="0" fontId="4" fillId="0" borderId="0" xfId="0" applyFont="1" applyAlignment="1">
      <alignment horizontal="left" wrapText="1"/>
    </xf>
    <xf numFmtId="0" fontId="6" fillId="0" borderId="0" xfId="0" applyFont="1" applyBorder="1" applyAlignment="1">
      <alignment horizontal="left"/>
    </xf>
    <xf numFmtId="0" fontId="4" fillId="0" borderId="1" xfId="0" applyFont="1" applyBorder="1" applyAlignment="1">
      <alignment horizontal="left" vertical="top"/>
    </xf>
    <xf numFmtId="167" fontId="4" fillId="0" borderId="1" xfId="0" applyNumberFormat="1" applyFont="1" applyBorder="1" applyAlignment="1">
      <alignment horizontal="center"/>
    </xf>
    <xf numFmtId="167" fontId="4" fillId="0" borderId="0" xfId="0" applyNumberFormat="1" applyFont="1" applyBorder="1" applyAlignment="1">
      <alignment horizontal="center"/>
    </xf>
    <xf numFmtId="0" fontId="8" fillId="0" borderId="0" xfId="0" applyFont="1" applyFill="1" applyAlignment="1">
      <alignment horizontal="left"/>
    </xf>
    <xf numFmtId="0" fontId="4" fillId="0" borderId="1" xfId="0" applyFont="1" applyBorder="1" applyAlignment="1">
      <alignment vertical="top"/>
    </xf>
    <xf numFmtId="3" fontId="4" fillId="0" borderId="1" xfId="0" applyNumberFormat="1" applyFont="1" applyBorder="1" applyAlignment="1">
      <alignment horizontal="right" indent="1"/>
    </xf>
    <xf numFmtId="3" fontId="4" fillId="0" borderId="2" xfId="0" applyNumberFormat="1" applyFont="1" applyFill="1" applyBorder="1" applyAlignment="1">
      <alignment horizontal="right" indent="2"/>
    </xf>
    <xf numFmtId="3" fontId="4" fillId="0" borderId="0" xfId="0" applyNumberFormat="1" applyFont="1" applyBorder="1" applyAlignment="1">
      <alignment horizontal="right" vertical="top"/>
    </xf>
    <xf numFmtId="0" fontId="8" fillId="0" borderId="0" xfId="0" applyFont="1" applyBorder="1" applyAlignment="1">
      <alignment horizontal="left" vertical="top"/>
    </xf>
    <xf numFmtId="3" fontId="4" fillId="0" borderId="1" xfId="0" applyNumberFormat="1" applyFont="1" applyBorder="1" applyAlignment="1">
      <alignment horizontal="right" vertical="top"/>
    </xf>
    <xf numFmtId="0" fontId="4" fillId="0" borderId="1" xfId="0" applyFont="1" applyBorder="1" applyAlignment="1">
      <alignment horizontal="center" vertical="top"/>
    </xf>
    <xf numFmtId="0" fontId="4" fillId="0" borderId="0" xfId="0" applyFont="1" applyAlignment="1">
      <alignment horizontal="right" indent="2"/>
    </xf>
    <xf numFmtId="0" fontId="4" fillId="0" borderId="0" xfId="0" applyFont="1" applyBorder="1" applyAlignment="1">
      <alignment horizontal="left" indent="2"/>
    </xf>
    <xf numFmtId="0" fontId="4" fillId="0" borderId="0" xfId="0" applyFont="1" applyBorder="1" applyAlignment="1">
      <alignment horizontal="left" vertical="top"/>
    </xf>
    <xf numFmtId="0" fontId="4" fillId="0" borderId="3" xfId="2" applyFont="1" applyBorder="1" applyAlignment="1">
      <alignment horizontal="right" vertical="top" wrapText="1"/>
    </xf>
    <xf numFmtId="3" fontId="4" fillId="0" borderId="2" xfId="2" applyNumberFormat="1" applyFont="1" applyBorder="1" applyAlignment="1">
      <alignment horizontal="right" vertical="top"/>
    </xf>
    <xf numFmtId="0" fontId="6" fillId="0" borderId="0" xfId="2" applyFont="1" applyBorder="1" applyAlignment="1">
      <alignment horizontal="left" vertical="top"/>
    </xf>
    <xf numFmtId="3" fontId="4" fillId="0" borderId="0" xfId="3" applyNumberFormat="1" applyFont="1" applyBorder="1" applyAlignment="1">
      <alignment horizontal="right" vertical="top"/>
    </xf>
    <xf numFmtId="3" fontId="4" fillId="0" borderId="0" xfId="2" applyNumberFormat="1" applyFont="1" applyBorder="1" applyAlignment="1">
      <alignment horizontal="right" vertical="top"/>
    </xf>
    <xf numFmtId="0" fontId="4" fillId="0" borderId="0" xfId="3" applyFont="1" applyBorder="1" applyAlignment="1">
      <alignment horizontal="left" vertical="top"/>
    </xf>
    <xf numFmtId="0" fontId="6" fillId="0" borderId="0" xfId="3" applyFont="1" applyBorder="1" applyAlignment="1">
      <alignment horizontal="left" vertical="top"/>
    </xf>
    <xf numFmtId="0" fontId="4" fillId="0" borderId="0" xfId="2" applyFont="1" applyBorder="1" applyAlignment="1">
      <alignment horizontal="right" vertical="top" wrapText="1"/>
    </xf>
    <xf numFmtId="164" fontId="6" fillId="0" borderId="0" xfId="3" applyNumberFormat="1" applyFont="1" applyAlignment="1">
      <alignment horizontal="left" vertical="top"/>
    </xf>
    <xf numFmtId="3" fontId="4" fillId="0" borderId="0" xfId="3" applyNumberFormat="1" applyFont="1" applyAlignment="1">
      <alignment horizontal="right" vertical="top"/>
    </xf>
    <xf numFmtId="0" fontId="4" fillId="0" borderId="0" xfId="3" applyFont="1" applyAlignment="1">
      <alignment horizontal="left" vertical="top"/>
    </xf>
    <xf numFmtId="0" fontId="6" fillId="0" borderId="0" xfId="3" applyFont="1" applyAlignment="1">
      <alignment horizontal="left"/>
    </xf>
    <xf numFmtId="0" fontId="4" fillId="0" borderId="0" xfId="3" applyFont="1" applyAlignment="1">
      <alignment horizontal="left"/>
    </xf>
    <xf numFmtId="164" fontId="8" fillId="0" borderId="0" xfId="3" applyNumberFormat="1" applyFont="1" applyAlignment="1">
      <alignment horizontal="left" vertical="top"/>
    </xf>
    <xf numFmtId="0" fontId="4" fillId="0" borderId="0" xfId="2" applyFont="1" applyBorder="1" applyAlignment="1">
      <alignment horizontal="left" vertical="center"/>
    </xf>
    <xf numFmtId="164" fontId="6" fillId="0" borderId="0" xfId="0" applyNumberFormat="1" applyFont="1" applyAlignment="1">
      <alignment horizontal="left" vertical="top"/>
    </xf>
    <xf numFmtId="164" fontId="8" fillId="0" borderId="0" xfId="0" applyNumberFormat="1" applyFont="1" applyAlignment="1">
      <alignment horizontal="left" vertical="top"/>
    </xf>
    <xf numFmtId="3" fontId="4" fillId="0" borderId="0" xfId="0" quotePrefix="1" applyNumberFormat="1" applyFont="1" applyBorder="1" applyAlignment="1">
      <alignment horizontal="right" indent="2"/>
    </xf>
    <xf numFmtId="3" fontId="4" fillId="0" borderId="2" xfId="2" applyNumberFormat="1" applyFont="1" applyBorder="1" applyAlignment="1">
      <alignment horizontal="right" indent="2"/>
    </xf>
    <xf numFmtId="3" fontId="4" fillId="0" borderId="0" xfId="0" quotePrefix="1" applyNumberFormat="1" applyFont="1" applyBorder="1" applyAlignment="1">
      <alignment horizontal="right" indent="1"/>
    </xf>
    <xf numFmtId="3" fontId="4" fillId="0" borderId="0" xfId="0" quotePrefix="1" applyNumberFormat="1" applyFont="1" applyAlignment="1">
      <alignment horizontal="right" indent="1"/>
    </xf>
    <xf numFmtId="49" fontId="4" fillId="0" borderId="0" xfId="0" applyNumberFormat="1" applyFont="1" applyBorder="1" applyAlignment="1">
      <alignment horizontal="right" indent="1"/>
    </xf>
    <xf numFmtId="0" fontId="4" fillId="0" borderId="1" xfId="0" applyFont="1" applyFill="1" applyBorder="1" applyAlignment="1">
      <alignment horizontal="left" vertical="top"/>
    </xf>
    <xf numFmtId="164" fontId="4" fillId="0" borderId="1" xfId="0" applyNumberFormat="1" applyFont="1" applyFill="1" applyBorder="1" applyAlignment="1">
      <alignment horizontal="right" indent="1"/>
    </xf>
    <xf numFmtId="164" fontId="4" fillId="0" borderId="1" xfId="0" applyNumberFormat="1" applyFont="1" applyFill="1" applyBorder="1" applyAlignment="1">
      <alignment horizontal="center"/>
    </xf>
    <xf numFmtId="164" fontId="4" fillId="0" borderId="1" xfId="0" applyNumberFormat="1" applyFont="1" applyFill="1" applyBorder="1" applyAlignment="1">
      <alignment horizontal="right"/>
    </xf>
    <xf numFmtId="0" fontId="4" fillId="0" borderId="1" xfId="0" applyFont="1" applyFill="1" applyBorder="1"/>
    <xf numFmtId="3" fontId="6" fillId="0" borderId="3" xfId="0" applyNumberFormat="1" applyFont="1" applyFill="1" applyBorder="1" applyAlignment="1">
      <alignment horizontal="center" vertical="center"/>
    </xf>
    <xf numFmtId="3" fontId="4" fillId="0" borderId="0" xfId="0" applyNumberFormat="1" applyFont="1" applyFill="1" applyBorder="1" applyAlignment="1"/>
    <xf numFmtId="0" fontId="2" fillId="0" borderId="0" xfId="0" applyFont="1" applyFill="1" applyAlignment="1">
      <alignment vertical="top"/>
    </xf>
    <xf numFmtId="0" fontId="2" fillId="0" borderId="0" xfId="0" applyFont="1" applyFill="1" applyBorder="1" applyAlignment="1">
      <alignment vertical="top"/>
    </xf>
    <xf numFmtId="0" fontId="6" fillId="0" borderId="0" xfId="0" applyFont="1" applyFill="1" applyBorder="1" applyAlignment="1">
      <alignment horizontal="left" vertical="top"/>
    </xf>
    <xf numFmtId="164" fontId="6" fillId="0" borderId="0" xfId="0" applyNumberFormat="1" applyFont="1" applyFill="1" applyAlignment="1">
      <alignment horizontal="left" vertical="top"/>
    </xf>
    <xf numFmtId="164" fontId="4" fillId="0" borderId="2" xfId="0" applyNumberFormat="1" applyFont="1" applyFill="1" applyBorder="1" applyAlignment="1">
      <alignment horizontal="right" indent="1"/>
    </xf>
    <xf numFmtId="164" fontId="4" fillId="0" borderId="2" xfId="0" applyNumberFormat="1" applyFont="1" applyFill="1" applyBorder="1" applyAlignment="1">
      <alignment horizontal="center"/>
    </xf>
    <xf numFmtId="164" fontId="4" fillId="0" borderId="2" xfId="0" applyNumberFormat="1" applyFont="1" applyFill="1" applyBorder="1" applyAlignment="1">
      <alignment horizontal="right"/>
    </xf>
    <xf numFmtId="0" fontId="4" fillId="0" borderId="2" xfId="0" applyFont="1" applyFill="1" applyBorder="1"/>
    <xf numFmtId="0" fontId="4" fillId="0" borderId="0" xfId="0" applyFont="1" applyFill="1" applyAlignment="1">
      <alignment horizontal="left" wrapText="1"/>
    </xf>
    <xf numFmtId="0" fontId="4" fillId="0" borderId="0" xfId="0" applyFont="1" applyFill="1" applyAlignment="1">
      <alignment horizontal="left" vertical="center"/>
    </xf>
    <xf numFmtId="164" fontId="4" fillId="0" borderId="0" xfId="0" applyNumberFormat="1" applyFont="1" applyFill="1" applyBorder="1" applyAlignment="1">
      <alignment horizontal="left" vertical="center"/>
    </xf>
    <xf numFmtId="0" fontId="1" fillId="0" borderId="0" xfId="0" applyFont="1" applyFill="1" applyAlignment="1">
      <alignment horizontal="left" vertical="center"/>
    </xf>
    <xf numFmtId="164" fontId="4" fillId="0" borderId="0" xfId="0" applyNumberFormat="1" applyFont="1" applyFill="1" applyBorder="1" applyAlignment="1">
      <alignment vertical="center"/>
    </xf>
    <xf numFmtId="164" fontId="4" fillId="0" borderId="0" xfId="0" applyNumberFormat="1" applyFont="1" applyFill="1" applyAlignment="1">
      <alignment horizontal="left" vertical="top"/>
    </xf>
    <xf numFmtId="164" fontId="4" fillId="0" borderId="0" xfId="0" applyNumberFormat="1" applyFont="1" applyFill="1" applyAlignment="1">
      <alignment horizontal="right" indent="1"/>
    </xf>
    <xf numFmtId="164" fontId="4" fillId="0" borderId="0" xfId="0" applyNumberFormat="1" applyFont="1" applyFill="1" applyAlignment="1">
      <alignment horizontal="right" indent="2"/>
    </xf>
    <xf numFmtId="164" fontId="4" fillId="0" borderId="0" xfId="0" applyNumberFormat="1" applyFont="1" applyFill="1" applyAlignment="1">
      <alignment horizontal="right"/>
    </xf>
    <xf numFmtId="3" fontId="4" fillId="0" borderId="0" xfId="0" applyNumberFormat="1" applyFont="1" applyFill="1" applyBorder="1" applyAlignment="1">
      <alignment horizontal="center"/>
    </xf>
    <xf numFmtId="3" fontId="7" fillId="0" borderId="0" xfId="0" applyNumberFormat="1" applyFont="1" applyFill="1" applyBorder="1" applyAlignment="1">
      <alignment horizontal="left"/>
    </xf>
    <xf numFmtId="3" fontId="4" fillId="0" borderId="2" xfId="0" applyNumberFormat="1" applyFont="1" applyFill="1" applyBorder="1" applyAlignment="1">
      <alignment horizontal="right"/>
    </xf>
    <xf numFmtId="49" fontId="4" fillId="0" borderId="0" xfId="0" applyNumberFormat="1" applyFont="1" applyAlignment="1">
      <alignment horizontal="right" indent="2"/>
    </xf>
    <xf numFmtId="3" fontId="4" fillId="0" borderId="3" xfId="0" applyNumberFormat="1" applyFont="1" applyBorder="1" applyAlignment="1">
      <alignment horizontal="center"/>
    </xf>
    <xf numFmtId="0" fontId="6" fillId="0" borderId="0" xfId="0" applyFont="1" applyBorder="1" applyAlignment="1">
      <alignment horizontal="left" vertical="center"/>
    </xf>
    <xf numFmtId="0" fontId="4" fillId="0" borderId="3" xfId="0" applyFont="1" applyBorder="1" applyAlignment="1"/>
    <xf numFmtId="0" fontId="4" fillId="0" borderId="0" xfId="0" applyFont="1" applyBorder="1" applyAlignment="1"/>
    <xf numFmtId="0" fontId="4" fillId="0" borderId="2" xfId="0" applyFont="1" applyBorder="1" applyAlignment="1">
      <alignment horizontal="right"/>
    </xf>
    <xf numFmtId="3" fontId="4" fillId="0" borderId="0" xfId="0" applyNumberFormat="1" applyFont="1" applyBorder="1" applyAlignment="1">
      <alignment horizontal="right" vertical="center"/>
    </xf>
    <xf numFmtId="0" fontId="3" fillId="12" borderId="0" xfId="0" applyFont="1" applyFill="1"/>
    <xf numFmtId="0" fontId="3" fillId="13" borderId="0" xfId="0" applyFont="1" applyFill="1"/>
    <xf numFmtId="0" fontId="4" fillId="0" borderId="0" xfId="0" applyFont="1" applyBorder="1"/>
    <xf numFmtId="0" fontId="4" fillId="0" borderId="1" xfId="0" applyFont="1" applyBorder="1"/>
    <xf numFmtId="3" fontId="4" fillId="0" borderId="1" xfId="0" applyNumberFormat="1" applyFont="1" applyBorder="1" applyAlignment="1">
      <alignment horizontal="center"/>
    </xf>
    <xf numFmtId="3" fontId="4" fillId="0" borderId="2" xfId="0" applyNumberFormat="1" applyFont="1" applyBorder="1" applyAlignment="1">
      <alignment horizontal="center"/>
    </xf>
    <xf numFmtId="0" fontId="4" fillId="0" borderId="0" xfId="0" applyFont="1" applyAlignment="1">
      <alignment horizontal="left" vertical="top"/>
    </xf>
    <xf numFmtId="0" fontId="4" fillId="0" borderId="0" xfId="0" applyFont="1" applyBorder="1" applyAlignment="1">
      <alignment horizontal="left" vertical="top"/>
    </xf>
    <xf numFmtId="0" fontId="4" fillId="0" borderId="0" xfId="0" applyFont="1" applyBorder="1"/>
    <xf numFmtId="0" fontId="4" fillId="0" borderId="0" xfId="0" applyFont="1" applyAlignment="1">
      <alignment horizontal="left"/>
    </xf>
    <xf numFmtId="0" fontId="4" fillId="0" borderId="1" xfId="0" applyFont="1" applyBorder="1" applyAlignment="1">
      <alignment horizontal="left" vertical="top"/>
    </xf>
    <xf numFmtId="0" fontId="4" fillId="0" borderId="1" xfId="0" applyFont="1" applyBorder="1"/>
    <xf numFmtId="3" fontId="4" fillId="0" borderId="1" xfId="0" applyNumberFormat="1" applyFont="1" applyBorder="1" applyAlignment="1">
      <alignment horizontal="center"/>
    </xf>
    <xf numFmtId="3" fontId="4" fillId="0" borderId="2" xfId="0" applyNumberFormat="1" applyFont="1" applyBorder="1" applyAlignment="1">
      <alignment horizontal="center"/>
    </xf>
    <xf numFmtId="0" fontId="4" fillId="0" borderId="0" xfId="0" applyFont="1" applyAlignment="1">
      <alignment horizontal="left" vertical="top"/>
    </xf>
    <xf numFmtId="3" fontId="4" fillId="0" borderId="0" xfId="0" applyNumberFormat="1" applyFont="1" applyBorder="1" applyAlignment="1">
      <alignment horizontal="left"/>
    </xf>
    <xf numFmtId="0" fontId="4" fillId="0" borderId="0" xfId="0" applyFont="1" applyAlignment="1">
      <alignment horizontal="left" vertical="top" wrapText="1"/>
    </xf>
    <xf numFmtId="0" fontId="4" fillId="0" borderId="3" xfId="0" applyFont="1" applyBorder="1" applyAlignment="1">
      <alignment horizontal="left" wrapText="1"/>
    </xf>
    <xf numFmtId="0" fontId="4" fillId="0" borderId="0" xfId="0" applyFont="1" applyBorder="1" applyAlignment="1">
      <alignment horizontal="left" vertical="top"/>
    </xf>
    <xf numFmtId="3" fontId="6" fillId="0" borderId="0" xfId="0" applyNumberFormat="1" applyFont="1" applyBorder="1" applyAlignment="1">
      <alignment horizontal="right" indent="1"/>
    </xf>
    <xf numFmtId="0" fontId="4" fillId="0" borderId="0" xfId="0" applyFont="1" applyBorder="1" applyAlignment="1">
      <alignment horizontal="right" indent="1"/>
    </xf>
    <xf numFmtId="0" fontId="1" fillId="0" borderId="0" xfId="0" applyFont="1" applyAlignment="1">
      <alignment horizontal="right" indent="2"/>
    </xf>
    <xf numFmtId="0" fontId="4" fillId="0" borderId="0" xfId="0" applyFont="1" applyAlignment="1">
      <alignment horizontal="left" vertical="top"/>
    </xf>
    <xf numFmtId="3" fontId="4" fillId="0" borderId="1" xfId="0" applyNumberFormat="1" applyFont="1" applyFill="1" applyBorder="1" applyAlignment="1">
      <alignment horizontal="center" vertical="top"/>
    </xf>
    <xf numFmtId="0" fontId="4" fillId="0" borderId="0" xfId="0" applyFont="1" applyBorder="1"/>
    <xf numFmtId="0" fontId="4" fillId="0" borderId="0" xfId="2" applyFont="1" applyAlignment="1">
      <alignment horizontal="left" vertical="top"/>
    </xf>
    <xf numFmtId="0" fontId="4" fillId="0" borderId="0" xfId="0" applyFont="1" applyAlignment="1">
      <alignment horizontal="left" vertical="top"/>
    </xf>
    <xf numFmtId="3" fontId="6" fillId="0" borderId="3" xfId="0" applyNumberFormat="1" applyFont="1" applyFill="1" applyBorder="1" applyAlignment="1">
      <alignment horizontal="left" vertical="center"/>
    </xf>
    <xf numFmtId="0" fontId="4" fillId="0" borderId="0" xfId="0" applyFont="1" applyBorder="1"/>
    <xf numFmtId="0" fontId="4" fillId="0" borderId="0" xfId="0" applyFont="1" applyAlignment="1">
      <alignment horizontal="left"/>
    </xf>
    <xf numFmtId="0" fontId="4" fillId="0" borderId="0" xfId="2" applyFont="1" applyBorder="1"/>
    <xf numFmtId="0" fontId="4" fillId="0" borderId="0" xfId="0" applyFont="1" applyAlignment="1">
      <alignment horizontal="left" vertical="top"/>
    </xf>
    <xf numFmtId="0" fontId="4" fillId="0" borderId="0" xfId="0" applyFont="1" applyBorder="1" applyAlignment="1">
      <alignment horizontal="left" vertical="top"/>
    </xf>
    <xf numFmtId="0" fontId="4" fillId="0" borderId="0" xfId="0" applyFont="1" applyBorder="1" applyAlignment="1">
      <alignment horizontal="left"/>
    </xf>
    <xf numFmtId="0" fontId="4" fillId="0" borderId="2" xfId="0" applyFont="1" applyBorder="1" applyAlignment="1">
      <alignment horizontal="left" vertical="top"/>
    </xf>
    <xf numFmtId="0" fontId="4" fillId="0" borderId="0" xfId="0" applyFont="1" applyAlignment="1">
      <alignment horizontal="left" vertical="top"/>
    </xf>
    <xf numFmtId="3" fontId="4" fillId="0" borderId="3" xfId="0" applyNumberFormat="1" applyFont="1" applyBorder="1" applyAlignment="1">
      <alignment horizontal="right" indent="1"/>
    </xf>
    <xf numFmtId="0" fontId="4" fillId="0" borderId="0" xfId="3" applyFont="1" applyFill="1" applyAlignment="1">
      <alignment horizontal="left" vertical="top"/>
    </xf>
    <xf numFmtId="0" fontId="4" fillId="0" borderId="0" xfId="0" applyFont="1" applyBorder="1" applyAlignment="1">
      <alignment horizontal="left" vertical="top"/>
    </xf>
    <xf numFmtId="0" fontId="4" fillId="0" borderId="0" xfId="0" applyFont="1" applyBorder="1" applyAlignment="1">
      <alignment horizontal="left" vertical="top"/>
    </xf>
    <xf numFmtId="3" fontId="4" fillId="0" borderId="1" xfId="0" applyNumberFormat="1" applyFont="1" applyBorder="1" applyAlignment="1">
      <alignment horizontal="center"/>
    </xf>
    <xf numFmtId="0" fontId="4" fillId="0" borderId="0" xfId="0" applyFont="1" applyBorder="1" applyAlignment="1">
      <alignment horizontal="left" vertical="top"/>
    </xf>
    <xf numFmtId="3" fontId="4" fillId="14" borderId="0" xfId="0" quotePrefix="1" applyNumberFormat="1" applyFont="1" applyFill="1" applyAlignment="1">
      <alignment horizontal="right"/>
    </xf>
    <xf numFmtId="0" fontId="4" fillId="0" borderId="0" xfId="0" applyFont="1" applyBorder="1" applyAlignment="1">
      <alignment horizontal="left" vertical="top"/>
    </xf>
    <xf numFmtId="0" fontId="6" fillId="0" borderId="0" xfId="0" applyFont="1" applyAlignment="1">
      <alignment vertical="top"/>
    </xf>
    <xf numFmtId="165" fontId="4" fillId="0" borderId="0" xfId="0" applyNumberFormat="1" applyFont="1" applyFill="1"/>
    <xf numFmtId="168" fontId="4" fillId="0" borderId="0" xfId="0" applyNumberFormat="1" applyFont="1" applyFill="1" applyAlignment="1" applyProtection="1">
      <alignment horizontal="right"/>
    </xf>
    <xf numFmtId="0" fontId="3" fillId="0" borderId="0" xfId="0" applyFont="1" applyAlignment="1">
      <alignment wrapText="1"/>
    </xf>
    <xf numFmtId="0" fontId="3" fillId="0" borderId="0" xfId="0" applyFont="1" applyAlignment="1">
      <alignment vertical="top" wrapText="1"/>
    </xf>
    <xf numFmtId="0" fontId="3" fillId="11" borderId="0" xfId="0" applyFont="1" applyFill="1" applyAlignment="1">
      <alignment vertical="top" wrapText="1"/>
    </xf>
    <xf numFmtId="0" fontId="4" fillId="0" borderId="2" xfId="0" applyFont="1" applyFill="1" applyBorder="1" applyAlignment="1">
      <alignment horizontal="left" vertical="top" wrapText="1"/>
    </xf>
    <xf numFmtId="0" fontId="5" fillId="0" borderId="0" xfId="0" applyFont="1" applyFill="1" applyBorder="1" applyAlignment="1">
      <alignment horizontal="center"/>
    </xf>
    <xf numFmtId="0" fontId="5" fillId="0" borderId="3" xfId="0" applyFont="1" applyFill="1" applyBorder="1" applyAlignment="1">
      <alignment horizontal="center"/>
    </xf>
    <xf numFmtId="0" fontId="5" fillId="0" borderId="0" xfId="0" applyFont="1" applyFill="1" applyAlignment="1">
      <alignment horizontal="center"/>
    </xf>
    <xf numFmtId="164" fontId="4" fillId="0" borderId="0" xfId="0" applyNumberFormat="1" applyFont="1" applyFill="1" applyBorder="1" applyAlignment="1">
      <alignment horizontal="left" vertical="center"/>
    </xf>
    <xf numFmtId="0" fontId="4" fillId="0" borderId="2" xfId="0" applyFont="1" applyBorder="1" applyAlignment="1">
      <alignment horizontal="left" wrapText="1"/>
    </xf>
    <xf numFmtId="0" fontId="4" fillId="0" borderId="0" xfId="0" applyFont="1" applyFill="1" applyAlignment="1">
      <alignment horizontal="left" vertical="top" wrapText="1"/>
    </xf>
    <xf numFmtId="0" fontId="4" fillId="0" borderId="0" xfId="0" applyFont="1" applyFill="1" applyBorder="1" applyAlignment="1">
      <alignment horizontal="left" wrapText="1"/>
    </xf>
    <xf numFmtId="0" fontId="4" fillId="0" borderId="2" xfId="0" applyFont="1" applyFill="1" applyBorder="1" applyAlignment="1">
      <alignment horizontal="left" wrapText="1"/>
    </xf>
    <xf numFmtId="0" fontId="4" fillId="0" borderId="3" xfId="0" applyFont="1" applyBorder="1" applyAlignment="1">
      <alignment horizontal="left"/>
    </xf>
    <xf numFmtId="0" fontId="4" fillId="0" borderId="0" xfId="0" applyFont="1" applyAlignment="1">
      <alignment horizontal="left"/>
    </xf>
    <xf numFmtId="3" fontId="4" fillId="0" borderId="1" xfId="0" applyNumberFormat="1" applyFont="1" applyFill="1" applyBorder="1" applyAlignment="1">
      <alignment horizontal="center"/>
    </xf>
    <xf numFmtId="3" fontId="5" fillId="0" borderId="1" xfId="0" applyNumberFormat="1" applyFont="1" applyFill="1" applyBorder="1" applyAlignment="1">
      <alignment horizontal="center"/>
    </xf>
    <xf numFmtId="0" fontId="4" fillId="0" borderId="2" xfId="0" applyFont="1" applyBorder="1"/>
    <xf numFmtId="0" fontId="4" fillId="0" borderId="0" xfId="0" applyFont="1" applyBorder="1"/>
    <xf numFmtId="3" fontId="5" fillId="0" borderId="2" xfId="0" applyNumberFormat="1" applyFont="1" applyFill="1" applyBorder="1" applyAlignment="1">
      <alignment horizontal="center"/>
    </xf>
    <xf numFmtId="0" fontId="4" fillId="0" borderId="3" xfId="0" applyFont="1" applyFill="1" applyBorder="1" applyAlignment="1">
      <alignment horizontal="left"/>
    </xf>
    <xf numFmtId="0" fontId="4" fillId="0" borderId="0" xfId="0" applyFont="1" applyFill="1" applyAlignment="1">
      <alignment horizontal="left"/>
    </xf>
    <xf numFmtId="0" fontId="4" fillId="0" borderId="0" xfId="3" applyFont="1" applyFill="1" applyAlignment="1">
      <alignment horizontal="left"/>
    </xf>
    <xf numFmtId="0" fontId="4" fillId="0" borderId="2" xfId="0" applyFont="1" applyBorder="1" applyAlignment="1">
      <alignment horizontal="justify"/>
    </xf>
    <xf numFmtId="3" fontId="5" fillId="0" borderId="1" xfId="0" applyNumberFormat="1" applyFont="1" applyBorder="1" applyAlignment="1">
      <alignment horizontal="center"/>
    </xf>
    <xf numFmtId="0" fontId="4" fillId="0" borderId="0" xfId="0" applyFont="1" applyBorder="1" applyAlignment="1">
      <alignment horizontal="left"/>
    </xf>
    <xf numFmtId="0" fontId="4" fillId="0" borderId="0" xfId="0" applyFont="1" applyBorder="1" applyAlignment="1">
      <alignment horizontal="justify"/>
    </xf>
    <xf numFmtId="3" fontId="5" fillId="0" borderId="2" xfId="0" applyNumberFormat="1" applyFont="1" applyBorder="1" applyAlignment="1">
      <alignment horizontal="center"/>
    </xf>
    <xf numFmtId="0" fontId="4" fillId="0" borderId="3" xfId="0" applyFont="1" applyBorder="1" applyAlignment="1">
      <alignment horizontal="justify" vertical="top" wrapText="1"/>
    </xf>
    <xf numFmtId="0" fontId="4" fillId="0" borderId="0" xfId="3" applyFont="1" applyFill="1" applyAlignment="1">
      <alignment horizontal="justify" vertical="top" wrapText="1"/>
    </xf>
    <xf numFmtId="0" fontId="11" fillId="0" borderId="3" xfId="2" applyFont="1" applyBorder="1" applyAlignment="1">
      <alignment horizontal="center"/>
    </xf>
    <xf numFmtId="0" fontId="9" fillId="0" borderId="3" xfId="2" applyFont="1" applyBorder="1" applyAlignment="1">
      <alignment horizontal="left" vertical="top" wrapText="1"/>
    </xf>
    <xf numFmtId="0" fontId="4" fillId="0" borderId="3" xfId="2" applyFont="1" applyBorder="1" applyAlignment="1">
      <alignment horizontal="left" vertical="top" wrapText="1"/>
    </xf>
    <xf numFmtId="0" fontId="4" fillId="0" borderId="2" xfId="2" applyFont="1" applyBorder="1" applyAlignment="1">
      <alignment horizontal="left" vertical="top" wrapText="1"/>
    </xf>
    <xf numFmtId="0" fontId="4" fillId="0" borderId="3" xfId="2" applyFont="1" applyBorder="1" applyAlignment="1">
      <alignment vertical="top" wrapText="1"/>
    </xf>
    <xf numFmtId="0" fontId="4" fillId="0" borderId="0" xfId="2" applyFont="1" applyBorder="1" applyAlignment="1">
      <alignment vertical="top" wrapText="1"/>
    </xf>
    <xf numFmtId="0" fontId="4" fillId="0" borderId="0" xfId="2" applyFont="1" applyAlignment="1">
      <alignment horizontal="left" vertical="top"/>
    </xf>
    <xf numFmtId="0" fontId="4" fillId="0" borderId="2" xfId="2" applyFont="1" applyBorder="1" applyAlignment="1">
      <alignment horizontal="justify" vertical="center" wrapText="1"/>
    </xf>
    <xf numFmtId="0" fontId="4" fillId="0" borderId="0" xfId="2" applyFont="1" applyBorder="1" applyAlignment="1">
      <alignment horizontal="justify" vertical="top" wrapText="1"/>
    </xf>
    <xf numFmtId="0" fontId="4" fillId="0" borderId="3" xfId="2" applyFont="1" applyBorder="1" applyAlignment="1">
      <alignment horizontal="center" vertical="top" wrapText="1"/>
    </xf>
    <xf numFmtId="0" fontId="4" fillId="0" borderId="2" xfId="2" applyFont="1" applyBorder="1" applyAlignment="1">
      <alignment horizontal="center" vertical="top" wrapText="1"/>
    </xf>
    <xf numFmtId="0" fontId="4" fillId="0" borderId="3" xfId="2" applyFont="1" applyBorder="1" applyAlignment="1">
      <alignment horizontal="justify" vertical="top" wrapText="1"/>
    </xf>
    <xf numFmtId="0" fontId="4" fillId="0" borderId="0" xfId="2" applyFont="1" applyBorder="1" applyAlignment="1">
      <alignment horizontal="justify" vertical="center" wrapText="1"/>
    </xf>
    <xf numFmtId="0" fontId="4" fillId="0" borderId="0" xfId="2" applyFont="1" applyBorder="1" applyAlignment="1">
      <alignment horizontal="left" vertical="top" wrapText="1"/>
    </xf>
    <xf numFmtId="0" fontId="4" fillId="0" borderId="3" xfId="2" applyFont="1" applyFill="1" applyBorder="1" applyAlignment="1">
      <alignment horizontal="justify" vertical="center" wrapText="1"/>
    </xf>
    <xf numFmtId="0" fontId="4" fillId="0" borderId="3" xfId="0" applyFont="1" applyFill="1" applyBorder="1" applyAlignment="1">
      <alignment horizontal="justify" vertical="center" wrapText="1"/>
    </xf>
    <xf numFmtId="0" fontId="4" fillId="0" borderId="0" xfId="2" applyFont="1" applyFill="1" applyBorder="1" applyAlignment="1">
      <alignment horizontal="justify" vertical="center" wrapText="1"/>
    </xf>
    <xf numFmtId="0" fontId="4" fillId="0" borderId="0" xfId="0" applyFont="1" applyFill="1" applyBorder="1" applyAlignment="1">
      <alignment horizontal="justify" vertical="center" wrapText="1"/>
    </xf>
    <xf numFmtId="0" fontId="4" fillId="0" borderId="0" xfId="0" applyFont="1" applyFill="1" applyAlignment="1">
      <alignment horizontal="justify" vertical="center" wrapText="1"/>
    </xf>
    <xf numFmtId="0" fontId="4" fillId="0" borderId="0" xfId="2" applyFont="1" applyAlignment="1">
      <alignment horizontal="left"/>
    </xf>
    <xf numFmtId="0" fontId="4" fillId="0" borderId="2" xfId="2" applyFont="1" applyBorder="1" applyAlignment="1">
      <alignment horizontal="justify" wrapText="1"/>
    </xf>
    <xf numFmtId="0" fontId="10" fillId="0" borderId="2" xfId="0" applyFont="1" applyBorder="1" applyAlignment="1">
      <alignment horizontal="justify" wrapText="1"/>
    </xf>
    <xf numFmtId="3" fontId="5" fillId="0" borderId="1" xfId="2" applyNumberFormat="1" applyFont="1" applyBorder="1" applyAlignment="1">
      <alignment horizontal="center"/>
    </xf>
    <xf numFmtId="0" fontId="10" fillId="0" borderId="0" xfId="0" applyFont="1" applyBorder="1" applyAlignment="1">
      <alignment horizontal="justify" wrapText="1"/>
    </xf>
    <xf numFmtId="0" fontId="4" fillId="0" borderId="0" xfId="2" applyFont="1" applyBorder="1" applyAlignment="1">
      <alignment horizontal="justify" wrapText="1"/>
    </xf>
    <xf numFmtId="0" fontId="4" fillId="0" borderId="2" xfId="2" applyFont="1" applyBorder="1"/>
    <xf numFmtId="0" fontId="4" fillId="0" borderId="0" xfId="2" applyFont="1" applyBorder="1"/>
    <xf numFmtId="0" fontId="4" fillId="0" borderId="3" xfId="2" applyFont="1" applyBorder="1" applyAlignment="1">
      <alignment horizontal="left" wrapText="1"/>
    </xf>
    <xf numFmtId="0" fontId="4" fillId="0" borderId="0" xfId="2" applyFont="1" applyAlignment="1">
      <alignment horizontal="left" wrapText="1"/>
    </xf>
    <xf numFmtId="3" fontId="5" fillId="0" borderId="2" xfId="2" applyNumberFormat="1" applyFont="1" applyBorder="1" applyAlignment="1">
      <alignment horizontal="center"/>
    </xf>
    <xf numFmtId="0" fontId="4" fillId="0" borderId="3" xfId="2" applyFont="1" applyBorder="1" applyAlignment="1">
      <alignment wrapText="1"/>
    </xf>
    <xf numFmtId="0" fontId="10" fillId="0" borderId="3" xfId="0" applyFont="1" applyBorder="1" applyAlignment="1">
      <alignment wrapText="1"/>
    </xf>
    <xf numFmtId="0" fontId="10" fillId="0" borderId="0" xfId="0" applyFont="1" applyBorder="1" applyAlignment="1">
      <alignment wrapText="1"/>
    </xf>
    <xf numFmtId="0" fontId="5" fillId="0" borderId="0" xfId="2" applyFont="1" applyBorder="1" applyAlignment="1">
      <alignment horizontal="center"/>
    </xf>
    <xf numFmtId="0" fontId="5" fillId="0" borderId="0" xfId="2" applyFont="1" applyAlignment="1">
      <alignment horizontal="center"/>
    </xf>
    <xf numFmtId="0" fontId="4" fillId="0" borderId="0" xfId="0" applyFont="1" applyBorder="1" applyAlignment="1">
      <alignment horizontal="left" wrapText="1"/>
    </xf>
    <xf numFmtId="0" fontId="4" fillId="0" borderId="3" xfId="0" applyFont="1" applyBorder="1" applyAlignment="1">
      <alignment wrapText="1"/>
    </xf>
    <xf numFmtId="0" fontId="4" fillId="0" borderId="0" xfId="0" applyFont="1" applyBorder="1" applyAlignment="1">
      <alignment wrapText="1"/>
    </xf>
    <xf numFmtId="0" fontId="4" fillId="0" borderId="0" xfId="0" applyFont="1" applyAlignment="1"/>
    <xf numFmtId="0" fontId="4" fillId="0" borderId="0" xfId="0" applyFont="1" applyAlignment="1">
      <alignment vertical="center"/>
    </xf>
    <xf numFmtId="167" fontId="5" fillId="0" borderId="0" xfId="0" applyNumberFormat="1" applyFont="1" applyBorder="1" applyAlignment="1">
      <alignment horizontal="center"/>
    </xf>
    <xf numFmtId="3" fontId="5" fillId="0" borderId="0" xfId="0" applyNumberFormat="1" applyFont="1" applyBorder="1" applyAlignment="1">
      <alignment horizontal="center"/>
    </xf>
    <xf numFmtId="0" fontId="4" fillId="0" borderId="2" xfId="0" applyFont="1" applyBorder="1" applyAlignment="1">
      <alignment horizontal="left" vertical="top"/>
    </xf>
    <xf numFmtId="0" fontId="4" fillId="0" borderId="3" xfId="0" applyFont="1" applyBorder="1" applyAlignment="1">
      <alignment vertical="center"/>
    </xf>
    <xf numFmtId="0" fontId="4" fillId="0" borderId="1" xfId="0" applyFont="1" applyBorder="1"/>
    <xf numFmtId="167" fontId="5" fillId="0" borderId="2" xfId="0" applyNumberFormat="1" applyFont="1" applyBorder="1" applyAlignment="1">
      <alignment horizontal="center"/>
    </xf>
    <xf numFmtId="0" fontId="4" fillId="0" borderId="0" xfId="0" applyFont="1" applyFill="1" applyAlignment="1">
      <alignment vertical="center"/>
    </xf>
    <xf numFmtId="167" fontId="5" fillId="0" borderId="3" xfId="0" applyNumberFormat="1" applyFont="1" applyBorder="1" applyAlignment="1">
      <alignment horizontal="center"/>
    </xf>
    <xf numFmtId="3" fontId="5" fillId="0" borderId="3" xfId="0" applyNumberFormat="1" applyFont="1" applyBorder="1" applyAlignment="1">
      <alignment horizontal="center"/>
    </xf>
    <xf numFmtId="3" fontId="4" fillId="0" borderId="0" xfId="0" applyNumberFormat="1" applyFont="1" applyBorder="1" applyAlignment="1">
      <alignment horizontal="left"/>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3" fontId="4" fillId="0" borderId="1" xfId="0" applyNumberFormat="1" applyFont="1" applyBorder="1" applyAlignment="1">
      <alignment horizontal="center"/>
    </xf>
    <xf numFmtId="0" fontId="4" fillId="0" borderId="0" xfId="0" applyFont="1" applyBorder="1" applyAlignment="1">
      <alignment horizontal="justify" vertical="center"/>
    </xf>
    <xf numFmtId="0" fontId="1" fillId="0" borderId="2" xfId="0" applyFont="1" applyBorder="1" applyAlignment="1">
      <alignment horizontal="left" vertical="top" wrapText="1"/>
    </xf>
    <xf numFmtId="0" fontId="4" fillId="0" borderId="2" xfId="0" applyFont="1" applyBorder="1" applyAlignment="1">
      <alignment wrapText="1"/>
    </xf>
    <xf numFmtId="0" fontId="4" fillId="0" borderId="3" xfId="0" applyFont="1" applyBorder="1" applyAlignment="1">
      <alignment horizontal="justify" vertical="center"/>
    </xf>
    <xf numFmtId="3" fontId="4" fillId="0" borderId="2" xfId="0" applyNumberFormat="1" applyFont="1" applyBorder="1" applyAlignment="1">
      <alignment horizontal="center"/>
    </xf>
    <xf numFmtId="0" fontId="4" fillId="0" borderId="0" xfId="0" applyFont="1" applyAlignment="1">
      <alignment horizontal="left" vertical="top"/>
    </xf>
    <xf numFmtId="3" fontId="4" fillId="0" borderId="0" xfId="0" applyNumberFormat="1" applyFont="1" applyAlignment="1">
      <alignment horizontal="left" wrapText="1"/>
    </xf>
    <xf numFmtId="3" fontId="4" fillId="0" borderId="0" xfId="0" applyNumberFormat="1" applyFont="1" applyAlignment="1">
      <alignment horizontal="left" vertical="top" wrapText="1"/>
    </xf>
    <xf numFmtId="0" fontId="4" fillId="0" borderId="0" xfId="0" applyFont="1" applyAlignment="1">
      <alignment wrapText="1"/>
    </xf>
    <xf numFmtId="3" fontId="4" fillId="0" borderId="3" xfId="0" applyNumberFormat="1" applyFont="1" applyBorder="1" applyAlignment="1">
      <alignment horizontal="left"/>
    </xf>
    <xf numFmtId="3" fontId="4" fillId="0" borderId="0" xfId="0" applyNumberFormat="1" applyFont="1" applyAlignment="1">
      <alignment horizontal="left"/>
    </xf>
    <xf numFmtId="0" fontId="4" fillId="0" borderId="0" xfId="3" applyFont="1" applyFill="1" applyAlignment="1">
      <alignment horizontal="left" vertical="top" wrapText="1"/>
    </xf>
    <xf numFmtId="3" fontId="5" fillId="0" borderId="0" xfId="0" applyNumberFormat="1" applyFont="1" applyAlignment="1">
      <alignment horizontal="center"/>
    </xf>
    <xf numFmtId="3" fontId="4" fillId="0" borderId="0" xfId="0" applyNumberFormat="1" applyFont="1" applyBorder="1" applyAlignment="1">
      <alignment horizontal="left" vertical="top" wrapText="1"/>
    </xf>
    <xf numFmtId="0" fontId="4" fillId="0" borderId="2" xfId="0" applyFont="1" applyBorder="1" applyAlignment="1">
      <alignment horizontal="justify" wrapText="1"/>
    </xf>
    <xf numFmtId="0" fontId="4" fillId="0" borderId="0" xfId="0" applyFont="1" applyBorder="1" applyAlignment="1">
      <alignment horizontal="justify" wrapText="1"/>
    </xf>
    <xf numFmtId="0" fontId="4" fillId="0" borderId="0" xfId="0" applyFont="1" applyAlignment="1">
      <alignment horizontal="left" vertical="top" wrapText="1"/>
    </xf>
    <xf numFmtId="0" fontId="4" fillId="0" borderId="0" xfId="0" applyFont="1" applyBorder="1" applyAlignment="1">
      <alignment horizontal="left" vertical="top" wrapText="1"/>
    </xf>
    <xf numFmtId="0" fontId="4" fillId="0" borderId="3" xfId="0" applyFont="1" applyBorder="1" applyAlignment="1">
      <alignment vertical="top" wrapText="1"/>
    </xf>
    <xf numFmtId="0" fontId="4" fillId="0" borderId="0" xfId="0" applyFont="1" applyBorder="1" applyAlignment="1">
      <alignment vertical="top" wrapText="1"/>
    </xf>
    <xf numFmtId="0" fontId="4" fillId="0" borderId="0" xfId="0" applyFont="1" applyBorder="1" applyAlignment="1">
      <alignment horizontal="justify" vertical="center" wrapText="1"/>
    </xf>
    <xf numFmtId="0" fontId="4" fillId="0" borderId="2" xfId="0" applyFont="1" applyBorder="1" applyAlignment="1">
      <alignment horizontal="justify" vertical="center" wrapText="1"/>
    </xf>
    <xf numFmtId="3" fontId="4" fillId="0" borderId="0" xfId="0" applyNumberFormat="1" applyFont="1" applyBorder="1" applyAlignment="1">
      <alignment horizontal="justify" vertical="center" wrapText="1"/>
    </xf>
    <xf numFmtId="3" fontId="4" fillId="0" borderId="0" xfId="0" applyNumberFormat="1" applyFont="1" applyBorder="1" applyAlignment="1">
      <alignment horizontal="justify" vertical="center"/>
    </xf>
    <xf numFmtId="3" fontId="4" fillId="0" borderId="2" xfId="0" applyNumberFormat="1" applyFont="1" applyBorder="1" applyAlignment="1">
      <alignment horizontal="justify" vertical="center"/>
    </xf>
    <xf numFmtId="0" fontId="4" fillId="0" borderId="0" xfId="0" applyFont="1" applyAlignment="1">
      <alignment vertical="top"/>
    </xf>
    <xf numFmtId="0" fontId="4" fillId="0" borderId="0" xfId="0" applyFont="1" applyAlignment="1">
      <alignment vertical="top" wrapText="1"/>
    </xf>
    <xf numFmtId="3" fontId="4" fillId="0" borderId="2" xfId="0" applyNumberFormat="1" applyFont="1" applyBorder="1" applyAlignment="1">
      <alignment horizontal="justify"/>
    </xf>
    <xf numFmtId="0" fontId="4" fillId="0" borderId="0" xfId="0" applyFont="1" applyAlignment="1">
      <alignment horizontal="justify" vertical="center"/>
    </xf>
    <xf numFmtId="0" fontId="4" fillId="0" borderId="3" xfId="0" applyFont="1" applyBorder="1" applyAlignment="1">
      <alignment horizontal="justify" vertical="center" wrapText="1"/>
    </xf>
    <xf numFmtId="0" fontId="4" fillId="0" borderId="0" xfId="0" applyFont="1" applyAlignment="1">
      <alignment horizontal="justify" vertical="center" wrapText="1"/>
    </xf>
    <xf numFmtId="0" fontId="4" fillId="0" borderId="3" xfId="0" applyFont="1" applyFill="1" applyBorder="1" applyAlignment="1">
      <alignment horizontal="left" vertical="top" wrapText="1"/>
    </xf>
    <xf numFmtId="0" fontId="4" fillId="0" borderId="0" xfId="0" applyFont="1" applyAlignment="1">
      <alignment horizontal="left" wrapText="1"/>
    </xf>
    <xf numFmtId="0" fontId="4" fillId="0" borderId="3" xfId="0" applyFont="1" applyBorder="1" applyAlignment="1">
      <alignment horizontal="left" wrapText="1"/>
    </xf>
    <xf numFmtId="0" fontId="4" fillId="0" borderId="0" xfId="0" applyFont="1" applyBorder="1" applyAlignment="1">
      <alignment horizontal="left" vertical="top"/>
    </xf>
  </cellXfs>
  <cellStyles count="6">
    <cellStyle name="Comma" xfId="1" builtinId="3"/>
    <cellStyle name="Comma 2" xfId="4" xr:uid="{00000000-0005-0000-0000-000001000000}"/>
    <cellStyle name="Normal" xfId="0" builtinId="0"/>
    <cellStyle name="Normal 2" xfId="3" xr:uid="{00000000-0005-0000-0000-000003000000}"/>
    <cellStyle name="Normal 3" xfId="5" xr:uid="{726A7B24-5C02-4428-A28E-53F2A7CCE24F}"/>
    <cellStyle name="Normal_A6-A10" xfId="2" xr:uid="{00000000-0005-0000-0000-000004000000}"/>
  </cellStyles>
  <dxfs count="0"/>
  <tableStyles count="0" defaultTableStyle="TableStyleMedium9" defaultPivotStyle="PivotStyleLight16"/>
  <colors>
    <mruColors>
      <color rgb="FFFF66FF"/>
      <color rgb="FF00FF00"/>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oneCellAnchor>
    <xdr:from>
      <xdr:col>0</xdr:col>
      <xdr:colOff>590550</xdr:colOff>
      <xdr:row>1</xdr:row>
      <xdr:rowOff>142874</xdr:rowOff>
    </xdr:from>
    <xdr:ext cx="3971925" cy="2114552"/>
    <xdr:sp macro="" textlink="">
      <xdr:nvSpPr>
        <xdr:cNvPr id="2" name="TextBox 1">
          <a:extLst>
            <a:ext uri="{FF2B5EF4-FFF2-40B4-BE49-F238E27FC236}">
              <a16:creationId xmlns:a16="http://schemas.microsoft.com/office/drawing/2014/main" id="{C237B28B-E758-45EB-9FA1-0EB8395D4981}"/>
            </a:ext>
          </a:extLst>
        </xdr:cNvPr>
        <xdr:cNvSpPr txBox="1"/>
      </xdr:nvSpPr>
      <xdr:spPr>
        <a:xfrm>
          <a:off x="590550" y="342899"/>
          <a:ext cx="3971925" cy="2114552"/>
        </a:xfrm>
        <a:prstGeom prst="rect">
          <a:avLst/>
        </a:prstGeom>
        <a:noFill/>
        <a:ln>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t>Information:</a:t>
          </a:r>
          <a:r>
            <a:rPr lang="en-US" sz="1100"/>
            <a:t> Most tables have two versions in the same tab.  </a:t>
          </a:r>
          <a:r>
            <a:rPr lang="en-US" sz="1100" baseline="0"/>
            <a:t>The 'data' table contains all the'raw' data and includes the full time series of historical information available.  This is used to populate the 'printed' version of the table.  The data section and the 'print' table are separated by a thick black line.  The data is entered by hand (no formulas) in the upper section of the worksheet (above the black line).  The 'Print' table is found below the black line, and uses the data from above to calulate averages and shorten the data series.  Other tables in this workbook pull from data within the workbook to compile a Summary Table.  These tables use formulas to collect data from multible tables within the workbook.                                </a:t>
          </a:r>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3"/>
  <dimension ref="A1:L112"/>
  <sheetViews>
    <sheetView topLeftCell="A88" workbookViewId="0">
      <selection activeCell="G35" sqref="G35"/>
    </sheetView>
  </sheetViews>
  <sheetFormatPr defaultColWidth="8" defaultRowHeight="12.75" x14ac:dyDescent="0.2"/>
  <cols>
    <col min="1" max="1" width="2.5" style="186" customWidth="1"/>
    <col min="2" max="2" width="2.375" style="186" customWidth="1"/>
    <col min="3" max="3" width="68.875" style="186" customWidth="1"/>
    <col min="4" max="12" width="8.5" style="186" customWidth="1"/>
    <col min="13" max="16384" width="8" style="186"/>
  </cols>
  <sheetData>
    <row r="1" spans="1:3" x14ac:dyDescent="0.2">
      <c r="A1" s="349" t="s">
        <v>145</v>
      </c>
      <c r="B1" s="350"/>
      <c r="C1" s="350"/>
    </row>
    <row r="2" spans="1:3" x14ac:dyDescent="0.2">
      <c r="A2" s="506" t="s">
        <v>20</v>
      </c>
      <c r="B2" s="506"/>
      <c r="C2" s="506"/>
    </row>
    <row r="3" spans="1:3" x14ac:dyDescent="0.2">
      <c r="A3" s="506"/>
      <c r="B3" s="506"/>
      <c r="C3" s="506"/>
    </row>
    <row r="4" spans="1:3" x14ac:dyDescent="0.2">
      <c r="A4" s="506"/>
      <c r="B4" s="506"/>
      <c r="C4" s="506"/>
    </row>
    <row r="5" spans="1:3" x14ac:dyDescent="0.2">
      <c r="A5" s="506"/>
      <c r="B5" s="506"/>
      <c r="C5" s="506"/>
    </row>
    <row r="6" spans="1:3" ht="12.75" customHeight="1" x14ac:dyDescent="0.2">
      <c r="A6" s="290"/>
      <c r="B6" s="506" t="s">
        <v>213</v>
      </c>
      <c r="C6" s="506"/>
    </row>
    <row r="7" spans="1:3" ht="11.25" customHeight="1" x14ac:dyDescent="0.2">
      <c r="A7" s="290"/>
      <c r="B7" s="506"/>
      <c r="C7" s="506"/>
    </row>
    <row r="8" spans="1:3" x14ac:dyDescent="0.2">
      <c r="A8" s="290"/>
      <c r="B8" s="506" t="s">
        <v>146</v>
      </c>
      <c r="C8" s="506"/>
    </row>
    <row r="9" spans="1:3" x14ac:dyDescent="0.2">
      <c r="A9" s="290"/>
      <c r="B9" s="506" t="s">
        <v>147</v>
      </c>
      <c r="C9" s="506"/>
    </row>
    <row r="10" spans="1:3" x14ac:dyDescent="0.2">
      <c r="A10" s="290"/>
      <c r="B10" s="290"/>
      <c r="C10" s="290" t="s">
        <v>148</v>
      </c>
    </row>
    <row r="11" spans="1:3" x14ac:dyDescent="0.2">
      <c r="A11" s="290"/>
      <c r="B11" s="290"/>
      <c r="C11" s="290" t="s">
        <v>149</v>
      </c>
    </row>
    <row r="12" spans="1:3" x14ac:dyDescent="0.2">
      <c r="A12" s="290"/>
      <c r="B12" s="290"/>
      <c r="C12" s="290" t="s">
        <v>150</v>
      </c>
    </row>
    <row r="13" spans="1:3" x14ac:dyDescent="0.2">
      <c r="A13" s="290"/>
      <c r="B13" s="290"/>
      <c r="C13" s="147" t="s">
        <v>151</v>
      </c>
    </row>
    <row r="14" spans="1:3" x14ac:dyDescent="0.2">
      <c r="A14" s="146"/>
    </row>
    <row r="15" spans="1:3" x14ac:dyDescent="0.2">
      <c r="A15" s="186" t="s">
        <v>152</v>
      </c>
    </row>
    <row r="16" spans="1:3" x14ac:dyDescent="0.2">
      <c r="B16" s="186" t="s">
        <v>153</v>
      </c>
    </row>
    <row r="17" spans="1:4" x14ac:dyDescent="0.2">
      <c r="A17" s="459"/>
      <c r="B17" s="459" t="s">
        <v>154</v>
      </c>
      <c r="C17" s="459"/>
    </row>
    <row r="19" spans="1:4" x14ac:dyDescent="0.2">
      <c r="B19" s="460" t="s">
        <v>155</v>
      </c>
      <c r="C19" s="460"/>
    </row>
    <row r="20" spans="1:4" x14ac:dyDescent="0.2">
      <c r="B20" s="506" t="s">
        <v>156</v>
      </c>
      <c r="C20" s="506"/>
    </row>
    <row r="21" spans="1:4" x14ac:dyDescent="0.2">
      <c r="B21" s="506"/>
      <c r="C21" s="506"/>
    </row>
    <row r="22" spans="1:4" x14ac:dyDescent="0.2">
      <c r="B22" s="506"/>
      <c r="C22" s="506"/>
    </row>
    <row r="23" spans="1:4" x14ac:dyDescent="0.2">
      <c r="B23" s="290"/>
      <c r="C23" s="290"/>
    </row>
    <row r="24" spans="1:4" x14ac:dyDescent="0.2">
      <c r="A24" s="186" t="s">
        <v>157</v>
      </c>
      <c r="B24" s="290"/>
      <c r="C24" s="290"/>
    </row>
    <row r="25" spans="1:4" x14ac:dyDescent="0.2">
      <c r="B25" s="506" t="s">
        <v>158</v>
      </c>
      <c r="C25" s="506"/>
    </row>
    <row r="26" spans="1:4" x14ac:dyDescent="0.2">
      <c r="B26" s="506" t="s">
        <v>159</v>
      </c>
      <c r="C26" s="506"/>
    </row>
    <row r="27" spans="1:4" ht="12.75" customHeight="1" x14ac:dyDescent="0.2">
      <c r="C27" s="290" t="s">
        <v>160</v>
      </c>
    </row>
    <row r="28" spans="1:4" ht="12.75" customHeight="1" x14ac:dyDescent="0.2">
      <c r="C28" s="351" t="s">
        <v>333</v>
      </c>
      <c r="D28" s="290"/>
    </row>
    <row r="29" spans="1:4" ht="12.75" customHeight="1" x14ac:dyDescent="0.2">
      <c r="C29" s="290" t="s">
        <v>334</v>
      </c>
      <c r="D29" s="290"/>
    </row>
    <row r="30" spans="1:4" x14ac:dyDescent="0.2">
      <c r="B30" s="506" t="s">
        <v>161</v>
      </c>
      <c r="C30" s="506"/>
    </row>
    <row r="31" spans="1:4" x14ac:dyDescent="0.2">
      <c r="B31" s="506"/>
      <c r="C31" s="506"/>
    </row>
    <row r="32" spans="1:4" x14ac:dyDescent="0.2">
      <c r="B32" s="506" t="s">
        <v>162</v>
      </c>
      <c r="C32" s="506"/>
    </row>
    <row r="33" spans="1:3" x14ac:dyDescent="0.2">
      <c r="B33" s="506"/>
      <c r="C33" s="506"/>
    </row>
    <row r="34" spans="1:3" ht="51.75" customHeight="1" x14ac:dyDescent="0.2">
      <c r="B34" s="506" t="s">
        <v>214</v>
      </c>
      <c r="C34" s="506"/>
    </row>
    <row r="35" spans="1:3" x14ac:dyDescent="0.2">
      <c r="B35" s="290"/>
      <c r="C35" s="290"/>
    </row>
    <row r="36" spans="1:3" x14ac:dyDescent="0.2">
      <c r="A36" s="186" t="s">
        <v>163</v>
      </c>
      <c r="B36" s="290"/>
      <c r="C36" s="290"/>
    </row>
    <row r="37" spans="1:3" x14ac:dyDescent="0.2">
      <c r="B37" s="506" t="s">
        <v>164</v>
      </c>
      <c r="C37" s="506"/>
    </row>
    <row r="38" spans="1:3" x14ac:dyDescent="0.2">
      <c r="B38" s="290"/>
      <c r="C38" s="290" t="s">
        <v>165</v>
      </c>
    </row>
    <row r="39" spans="1:3" ht="11.25" customHeight="1" x14ac:dyDescent="0.2">
      <c r="B39" s="290"/>
      <c r="C39" s="506" t="s">
        <v>166</v>
      </c>
    </row>
    <row r="40" spans="1:3" x14ac:dyDescent="0.2">
      <c r="B40" s="290"/>
      <c r="C40" s="506"/>
    </row>
    <row r="41" spans="1:3" x14ac:dyDescent="0.2">
      <c r="B41" s="290"/>
      <c r="C41" s="290" t="s">
        <v>167</v>
      </c>
    </row>
    <row r="42" spans="1:3" x14ac:dyDescent="0.2">
      <c r="B42" s="290"/>
      <c r="C42" s="290"/>
    </row>
    <row r="43" spans="1:3" x14ac:dyDescent="0.2">
      <c r="A43" s="186" t="s">
        <v>168</v>
      </c>
      <c r="B43" s="290"/>
      <c r="C43" s="290"/>
    </row>
    <row r="44" spans="1:3" x14ac:dyDescent="0.2">
      <c r="B44" s="506" t="s">
        <v>215</v>
      </c>
      <c r="C44" s="506"/>
    </row>
    <row r="45" spans="1:3" x14ac:dyDescent="0.2">
      <c r="B45" s="506" t="s">
        <v>169</v>
      </c>
      <c r="C45" s="506"/>
    </row>
    <row r="46" spans="1:3" x14ac:dyDescent="0.2">
      <c r="B46" s="506" t="s">
        <v>170</v>
      </c>
      <c r="C46" s="506"/>
    </row>
    <row r="47" spans="1:3" x14ac:dyDescent="0.2">
      <c r="B47" s="506" t="s">
        <v>171</v>
      </c>
      <c r="C47" s="506"/>
    </row>
    <row r="48" spans="1:3" ht="11.25" customHeight="1" x14ac:dyDescent="0.2">
      <c r="B48" s="290"/>
      <c r="C48" s="506" t="s">
        <v>21</v>
      </c>
    </row>
    <row r="49" spans="1:3" ht="11.25" customHeight="1" x14ac:dyDescent="0.2">
      <c r="B49" s="290"/>
      <c r="C49" s="506"/>
    </row>
    <row r="50" spans="1:3" ht="11.25" customHeight="1" x14ac:dyDescent="0.2">
      <c r="B50" s="290"/>
      <c r="C50" s="506"/>
    </row>
    <row r="51" spans="1:3" ht="11.25" customHeight="1" x14ac:dyDescent="0.2">
      <c r="B51" s="290"/>
      <c r="C51" s="506"/>
    </row>
    <row r="52" spans="1:3" x14ac:dyDescent="0.2">
      <c r="B52" s="290"/>
      <c r="C52" s="506"/>
    </row>
    <row r="53" spans="1:3" x14ac:dyDescent="0.2">
      <c r="B53" s="506" t="s">
        <v>216</v>
      </c>
      <c r="C53" s="506"/>
    </row>
    <row r="54" spans="1:3" x14ac:dyDescent="0.2">
      <c r="B54" s="506"/>
      <c r="C54" s="506"/>
    </row>
    <row r="55" spans="1:3" x14ac:dyDescent="0.2">
      <c r="B55" s="506" t="s">
        <v>172</v>
      </c>
      <c r="C55" s="506"/>
    </row>
    <row r="56" spans="1:3" x14ac:dyDescent="0.2">
      <c r="B56" s="290"/>
      <c r="C56" s="290"/>
    </row>
    <row r="57" spans="1:3" x14ac:dyDescent="0.2">
      <c r="A57" s="352" t="s">
        <v>217</v>
      </c>
      <c r="B57" s="353"/>
      <c r="C57" s="353"/>
    </row>
    <row r="58" spans="1:3" x14ac:dyDescent="0.2">
      <c r="A58" s="186" t="s">
        <v>173</v>
      </c>
    </row>
    <row r="63" spans="1:3" x14ac:dyDescent="0.2">
      <c r="A63" s="186" t="s">
        <v>174</v>
      </c>
    </row>
    <row r="64" spans="1:3" x14ac:dyDescent="0.2">
      <c r="B64" s="507" t="s">
        <v>175</v>
      </c>
      <c r="C64" s="507"/>
    </row>
    <row r="65" spans="1:3" x14ac:dyDescent="0.2">
      <c r="B65" s="507"/>
      <c r="C65" s="507"/>
    </row>
    <row r="66" spans="1:3" x14ac:dyDescent="0.2">
      <c r="A66" s="186" t="s">
        <v>176</v>
      </c>
    </row>
    <row r="67" spans="1:3" x14ac:dyDescent="0.2">
      <c r="B67" s="507" t="s">
        <v>177</v>
      </c>
      <c r="C67" s="507"/>
    </row>
    <row r="68" spans="1:3" x14ac:dyDescent="0.2">
      <c r="B68" s="507"/>
      <c r="C68" s="507"/>
    </row>
    <row r="69" spans="1:3" x14ac:dyDescent="0.2">
      <c r="B69" s="508" t="s">
        <v>178</v>
      </c>
      <c r="C69" s="508"/>
    </row>
    <row r="70" spans="1:3" x14ac:dyDescent="0.2">
      <c r="B70" s="508"/>
      <c r="C70" s="508"/>
    </row>
    <row r="71" spans="1:3" x14ac:dyDescent="0.2">
      <c r="B71" s="508" t="s">
        <v>179</v>
      </c>
      <c r="C71" s="508"/>
    </row>
    <row r="72" spans="1:3" x14ac:dyDescent="0.2">
      <c r="B72" s="508"/>
      <c r="C72" s="508"/>
    </row>
    <row r="73" spans="1:3" x14ac:dyDescent="0.2">
      <c r="A73" s="507" t="s">
        <v>180</v>
      </c>
      <c r="B73" s="507"/>
      <c r="C73" s="507"/>
    </row>
    <row r="74" spans="1:3" x14ac:dyDescent="0.2">
      <c r="A74" s="186" t="s">
        <v>181</v>
      </c>
    </row>
    <row r="75" spans="1:3" x14ac:dyDescent="0.2">
      <c r="B75" s="507" t="s">
        <v>182</v>
      </c>
      <c r="C75" s="507"/>
    </row>
    <row r="76" spans="1:3" x14ac:dyDescent="0.2">
      <c r="B76" s="507"/>
      <c r="C76" s="507"/>
    </row>
    <row r="77" spans="1:3" x14ac:dyDescent="0.2">
      <c r="A77" s="507" t="s">
        <v>183</v>
      </c>
      <c r="B77" s="507"/>
      <c r="C77" s="507"/>
    </row>
    <row r="78" spans="1:3" x14ac:dyDescent="0.2">
      <c r="A78" s="507"/>
      <c r="B78" s="507"/>
      <c r="C78" s="507"/>
    </row>
    <row r="79" spans="1:3" x14ac:dyDescent="0.2">
      <c r="A79" s="186" t="s">
        <v>184</v>
      </c>
    </row>
    <row r="80" spans="1:3" x14ac:dyDescent="0.2">
      <c r="B80" s="186" t="s">
        <v>185</v>
      </c>
    </row>
    <row r="81" spans="1:12" x14ac:dyDescent="0.2">
      <c r="B81" s="186" t="s">
        <v>186</v>
      </c>
    </row>
    <row r="82" spans="1:12" x14ac:dyDescent="0.2">
      <c r="B82" s="186" t="s">
        <v>187</v>
      </c>
    </row>
    <row r="83" spans="1:12" x14ac:dyDescent="0.2">
      <c r="B83" s="507" t="s">
        <v>188</v>
      </c>
      <c r="C83" s="507"/>
    </row>
    <row r="84" spans="1:12" x14ac:dyDescent="0.2">
      <c r="B84" s="507"/>
      <c r="C84" s="507"/>
    </row>
    <row r="85" spans="1:12" ht="14.25" customHeight="1" x14ac:dyDescent="0.2">
      <c r="C85" s="507" t="s">
        <v>335</v>
      </c>
      <c r="D85" s="289"/>
      <c r="E85" s="289"/>
      <c r="F85" s="289"/>
      <c r="G85" s="289"/>
      <c r="H85" s="289"/>
      <c r="I85" s="289"/>
      <c r="J85" s="289"/>
      <c r="K85" s="289"/>
      <c r="L85" s="289"/>
    </row>
    <row r="86" spans="1:12" ht="14.25" customHeight="1" x14ac:dyDescent="0.2">
      <c r="C86" s="507"/>
      <c r="D86" s="289"/>
      <c r="E86" s="289"/>
      <c r="F86" s="289"/>
      <c r="G86" s="289"/>
      <c r="H86" s="289"/>
      <c r="I86" s="289"/>
      <c r="J86" s="289"/>
      <c r="K86" s="289"/>
      <c r="L86" s="289"/>
    </row>
    <row r="87" spans="1:12" x14ac:dyDescent="0.2">
      <c r="C87" s="507"/>
      <c r="D87" s="289"/>
      <c r="E87" s="289"/>
      <c r="F87" s="289"/>
      <c r="G87" s="289"/>
      <c r="H87" s="289"/>
      <c r="I87" s="289"/>
      <c r="J87" s="289"/>
      <c r="K87" s="289"/>
      <c r="L87" s="289"/>
    </row>
    <row r="88" spans="1:12" x14ac:dyDescent="0.2">
      <c r="C88" s="507"/>
      <c r="D88" s="289"/>
      <c r="E88" s="289"/>
      <c r="F88" s="289"/>
      <c r="G88" s="289"/>
      <c r="H88" s="289"/>
      <c r="I88" s="289"/>
      <c r="J88" s="289"/>
      <c r="K88" s="289"/>
      <c r="L88" s="289"/>
    </row>
    <row r="89" spans="1:12" x14ac:dyDescent="0.2">
      <c r="A89" s="186" t="s">
        <v>189</v>
      </c>
    </row>
    <row r="90" spans="1:12" ht="12.75" customHeight="1" x14ac:dyDescent="0.2">
      <c r="B90" s="507" t="s">
        <v>190</v>
      </c>
      <c r="C90" s="507"/>
      <c r="D90" s="289"/>
      <c r="E90" s="289"/>
      <c r="F90" s="289"/>
      <c r="G90" s="289"/>
      <c r="H90" s="289"/>
      <c r="I90" s="289"/>
      <c r="J90" s="289"/>
      <c r="K90" s="289"/>
      <c r="L90" s="289"/>
    </row>
    <row r="91" spans="1:12" ht="12.75" customHeight="1" x14ac:dyDescent="0.2">
      <c r="B91" s="507"/>
      <c r="C91" s="507"/>
      <c r="D91" s="289"/>
      <c r="E91" s="289"/>
      <c r="F91" s="289"/>
      <c r="G91" s="289"/>
      <c r="H91" s="289"/>
      <c r="I91" s="289"/>
      <c r="J91" s="289"/>
      <c r="K91" s="289"/>
      <c r="L91" s="289"/>
    </row>
    <row r="92" spans="1:12" x14ac:dyDescent="0.2">
      <c r="B92" s="507"/>
      <c r="C92" s="507"/>
      <c r="D92" s="289"/>
      <c r="E92" s="289"/>
      <c r="F92" s="289"/>
      <c r="G92" s="289"/>
      <c r="H92" s="289"/>
      <c r="I92" s="289"/>
      <c r="J92" s="289"/>
      <c r="K92" s="289"/>
      <c r="L92" s="289"/>
    </row>
    <row r="93" spans="1:12" x14ac:dyDescent="0.2">
      <c r="B93" s="507"/>
      <c r="C93" s="507"/>
      <c r="D93" s="289"/>
      <c r="E93" s="289"/>
      <c r="F93" s="289"/>
      <c r="G93" s="289"/>
      <c r="H93" s="289"/>
      <c r="I93" s="289"/>
      <c r="J93" s="289"/>
      <c r="K93" s="289"/>
      <c r="L93" s="289"/>
    </row>
    <row r="94" spans="1:12" x14ac:dyDescent="0.2">
      <c r="A94" s="186" t="s">
        <v>191</v>
      </c>
    </row>
    <row r="95" spans="1:12" ht="12.75" customHeight="1" x14ac:dyDescent="0.2">
      <c r="B95" s="507" t="s">
        <v>192</v>
      </c>
      <c r="C95" s="507"/>
      <c r="D95" s="289"/>
      <c r="E95" s="289"/>
      <c r="F95" s="289"/>
      <c r="G95" s="289"/>
      <c r="H95" s="289"/>
      <c r="I95" s="289"/>
      <c r="J95" s="289"/>
      <c r="K95" s="289"/>
      <c r="L95" s="289"/>
    </row>
    <row r="96" spans="1:12" ht="12.75" customHeight="1" x14ac:dyDescent="0.2">
      <c r="B96" s="507"/>
      <c r="C96" s="507"/>
      <c r="D96" s="289"/>
      <c r="E96" s="289"/>
      <c r="F96" s="289"/>
      <c r="G96" s="289"/>
      <c r="H96" s="289"/>
      <c r="I96" s="289"/>
      <c r="J96" s="289"/>
      <c r="K96" s="289"/>
      <c r="L96" s="289"/>
    </row>
    <row r="97" spans="1:12" ht="12.75" customHeight="1" x14ac:dyDescent="0.2">
      <c r="B97" s="507" t="s">
        <v>195</v>
      </c>
      <c r="C97" s="507"/>
      <c r="D97" s="289"/>
      <c r="E97" s="289"/>
      <c r="F97" s="289"/>
      <c r="G97" s="289"/>
      <c r="H97" s="289"/>
      <c r="I97" s="289"/>
      <c r="J97" s="289"/>
      <c r="K97" s="289"/>
      <c r="L97" s="289"/>
    </row>
    <row r="98" spans="1:12" ht="12.75" customHeight="1" x14ac:dyDescent="0.2">
      <c r="B98" s="507"/>
      <c r="C98" s="507"/>
      <c r="D98" s="289"/>
      <c r="E98" s="289"/>
      <c r="F98" s="289"/>
      <c r="G98" s="289"/>
      <c r="H98" s="289"/>
      <c r="I98" s="289"/>
      <c r="J98" s="289"/>
      <c r="K98" s="289"/>
      <c r="L98" s="289"/>
    </row>
    <row r="99" spans="1:12" x14ac:dyDescent="0.2">
      <c r="B99" s="507"/>
      <c r="C99" s="507"/>
      <c r="D99" s="289"/>
      <c r="E99" s="289"/>
      <c r="F99" s="289"/>
      <c r="G99" s="289"/>
      <c r="H99" s="289"/>
      <c r="I99" s="289"/>
      <c r="J99" s="289"/>
      <c r="K99" s="289"/>
      <c r="L99" s="289"/>
    </row>
    <row r="100" spans="1:12" x14ac:dyDescent="0.2">
      <c r="A100" s="186" t="s">
        <v>196</v>
      </c>
    </row>
    <row r="101" spans="1:12" x14ac:dyDescent="0.2">
      <c r="B101" s="507" t="s">
        <v>197</v>
      </c>
      <c r="C101" s="507"/>
    </row>
    <row r="102" spans="1:12" x14ac:dyDescent="0.2">
      <c r="B102" s="507"/>
      <c r="C102" s="507"/>
    </row>
    <row r="103" spans="1:12" x14ac:dyDescent="0.2">
      <c r="B103" s="507" t="s">
        <v>199</v>
      </c>
      <c r="C103" s="507"/>
    </row>
    <row r="104" spans="1:12" x14ac:dyDescent="0.2">
      <c r="B104" s="507"/>
      <c r="C104" s="507"/>
    </row>
    <row r="105" spans="1:12" x14ac:dyDescent="0.2">
      <c r="B105" s="507" t="s">
        <v>200</v>
      </c>
      <c r="C105" s="507"/>
    </row>
    <row r="106" spans="1:12" x14ac:dyDescent="0.2">
      <c r="B106" s="507"/>
      <c r="C106" s="507"/>
    </row>
    <row r="107" spans="1:12" x14ac:dyDescent="0.2">
      <c r="B107" s="507" t="s">
        <v>0</v>
      </c>
      <c r="C107" s="507"/>
    </row>
    <row r="108" spans="1:12" x14ac:dyDescent="0.2">
      <c r="B108" s="507"/>
      <c r="C108" s="507"/>
    </row>
    <row r="109" spans="1:12" x14ac:dyDescent="0.2">
      <c r="B109" s="186" t="s">
        <v>1</v>
      </c>
    </row>
    <row r="110" spans="1:12" x14ac:dyDescent="0.2">
      <c r="A110" s="186" t="s">
        <v>2</v>
      </c>
    </row>
    <row r="111" spans="1:12" ht="12.75" customHeight="1" x14ac:dyDescent="0.2">
      <c r="B111" s="507" t="s">
        <v>3</v>
      </c>
      <c r="C111" s="507"/>
      <c r="D111" s="289"/>
      <c r="E111" s="289"/>
      <c r="F111" s="289"/>
      <c r="G111" s="289"/>
      <c r="H111" s="289"/>
      <c r="I111" s="289"/>
      <c r="J111" s="289"/>
      <c r="K111" s="289"/>
      <c r="L111" s="289"/>
    </row>
    <row r="112" spans="1:12" x14ac:dyDescent="0.2">
      <c r="B112" s="507"/>
      <c r="C112" s="507"/>
      <c r="D112" s="289"/>
      <c r="E112" s="289"/>
      <c r="F112" s="289"/>
      <c r="G112" s="289"/>
      <c r="H112" s="289"/>
      <c r="I112" s="289"/>
      <c r="J112" s="289"/>
      <c r="K112" s="289"/>
      <c r="L112" s="289"/>
    </row>
  </sheetData>
  <mergeCells count="36">
    <mergeCell ref="B111:C112"/>
    <mergeCell ref="B75:C76"/>
    <mergeCell ref="A77:C78"/>
    <mergeCell ref="B83:C84"/>
    <mergeCell ref="C85:C88"/>
    <mergeCell ref="B90:C93"/>
    <mergeCell ref="B95:C96"/>
    <mergeCell ref="B97:C99"/>
    <mergeCell ref="B101:C102"/>
    <mergeCell ref="B103:C104"/>
    <mergeCell ref="B105:C106"/>
    <mergeCell ref="B107:C108"/>
    <mergeCell ref="A73:C73"/>
    <mergeCell ref="B44:C44"/>
    <mergeCell ref="B45:C45"/>
    <mergeCell ref="B46:C46"/>
    <mergeCell ref="B47:C47"/>
    <mergeCell ref="C48:C52"/>
    <mergeCell ref="B53:C54"/>
    <mergeCell ref="B55:C55"/>
    <mergeCell ref="B64:C65"/>
    <mergeCell ref="B67:C68"/>
    <mergeCell ref="B69:C70"/>
    <mergeCell ref="B71:C72"/>
    <mergeCell ref="C39:C40"/>
    <mergeCell ref="A2:C5"/>
    <mergeCell ref="B6:C7"/>
    <mergeCell ref="B8:C8"/>
    <mergeCell ref="B9:C9"/>
    <mergeCell ref="B20:C22"/>
    <mergeCell ref="B25:C25"/>
    <mergeCell ref="B26:C26"/>
    <mergeCell ref="B30:C31"/>
    <mergeCell ref="B32:C33"/>
    <mergeCell ref="B34:C34"/>
    <mergeCell ref="B37:C3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37C7E-C176-4D87-8AF9-2696B9FA1E21}">
  <sheetPr>
    <tabColor theme="9" tint="0.79998168889431442"/>
  </sheetPr>
  <dimension ref="A1"/>
  <sheetViews>
    <sheetView showGridLines="0" workbookViewId="0">
      <selection activeCell="H24" sqref="H24"/>
    </sheetView>
  </sheetViews>
  <sheetFormatPr defaultRowHeight="15.7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4"/>
  <dimension ref="A1:I66"/>
  <sheetViews>
    <sheetView showGridLines="0" zoomScaleNormal="100" workbookViewId="0">
      <selection activeCell="P27" sqref="P27"/>
    </sheetView>
  </sheetViews>
  <sheetFormatPr defaultRowHeight="15.75" x14ac:dyDescent="0.25"/>
  <cols>
    <col min="1" max="1" width="9.25" customWidth="1"/>
    <col min="2" max="8" width="10.625" customWidth="1"/>
  </cols>
  <sheetData>
    <row r="1" spans="1:9" x14ac:dyDescent="0.25">
      <c r="A1" s="509" t="s">
        <v>265</v>
      </c>
      <c r="B1" s="509"/>
      <c r="C1" s="509"/>
      <c r="D1" s="509"/>
      <c r="E1" s="509"/>
      <c r="F1" s="509"/>
      <c r="G1" s="509"/>
      <c r="H1" s="509"/>
    </row>
    <row r="2" spans="1:9" ht="11.25" customHeight="1" x14ac:dyDescent="0.25">
      <c r="A2" s="265" t="s">
        <v>33</v>
      </c>
      <c r="B2" s="176" t="s">
        <v>22</v>
      </c>
      <c r="C2" s="176" t="s">
        <v>23</v>
      </c>
      <c r="D2" s="176" t="s">
        <v>24</v>
      </c>
      <c r="E2" s="176" t="s">
        <v>25</v>
      </c>
      <c r="F2" s="176" t="s">
        <v>26</v>
      </c>
      <c r="G2" s="176" t="s">
        <v>27</v>
      </c>
      <c r="H2" s="176" t="s">
        <v>28</v>
      </c>
      <c r="I2" s="27"/>
    </row>
    <row r="3" spans="1:9" ht="11.25" customHeight="1" x14ac:dyDescent="0.25">
      <c r="A3" s="511" t="s">
        <v>113</v>
      </c>
      <c r="B3" s="511"/>
      <c r="C3" s="511"/>
      <c r="D3" s="511"/>
      <c r="E3" s="511"/>
      <c r="F3" s="511"/>
      <c r="G3" s="511"/>
      <c r="H3" s="511"/>
    </row>
    <row r="4" spans="1:9" ht="11.25" customHeight="1" x14ac:dyDescent="0.25">
      <c r="A4" s="122" t="s">
        <v>87</v>
      </c>
      <c r="B4" s="67">
        <f>'A-2'!I301</f>
        <v>544.60995389712593</v>
      </c>
      <c r="C4" s="67">
        <f>'A-2'!I322</f>
        <v>1629.1939334712283</v>
      </c>
      <c r="D4" s="100">
        <f>'A-2'!I343</f>
        <v>16391.868291490693</v>
      </c>
      <c r="E4" s="100">
        <f>'A-2'!I366</f>
        <v>25554.6</v>
      </c>
      <c r="F4" s="100">
        <f>'A-2'!I387</f>
        <v>14390.8</v>
      </c>
      <c r="G4" s="67">
        <f>AVERAGE('A-2'!T12:T16)</f>
        <v>11.6</v>
      </c>
      <c r="H4" s="67">
        <f>'A-2'!I408</f>
        <v>58511.072178859053</v>
      </c>
    </row>
    <row r="5" spans="1:9" ht="11.25" customHeight="1" x14ac:dyDescent="0.25">
      <c r="A5" s="122" t="s">
        <v>14</v>
      </c>
      <c r="B5" s="67" t="str">
        <f>'A-2'!I302</f>
        <v>-</v>
      </c>
      <c r="C5" s="67">
        <f>'A-2'!I323</f>
        <v>600</v>
      </c>
      <c r="D5" s="100">
        <f>'A-2'!I344</f>
        <v>1775</v>
      </c>
      <c r="E5" s="100">
        <f>'A-2'!I367</f>
        <v>13340</v>
      </c>
      <c r="F5" s="100">
        <f>'A-2'!I388</f>
        <v>10820</v>
      </c>
      <c r="G5" s="67">
        <f>AVERAGE('A-2'!T17:T21)</f>
        <v>0</v>
      </c>
      <c r="H5" s="67">
        <f>'A-2'!I409</f>
        <v>25700</v>
      </c>
    </row>
    <row r="6" spans="1:9" ht="11.25" customHeight="1" x14ac:dyDescent="0.25">
      <c r="A6" s="122" t="s">
        <v>207</v>
      </c>
      <c r="B6" s="67">
        <f>'A-2'!I303</f>
        <v>14.6</v>
      </c>
      <c r="C6" s="67">
        <f>'A-2'!I324</f>
        <v>202.2</v>
      </c>
      <c r="D6" s="100">
        <f>'A-2'!I345</f>
        <v>795.8</v>
      </c>
      <c r="E6" s="100">
        <f>'A-2'!I368</f>
        <v>9546.2000000000007</v>
      </c>
      <c r="F6" s="100">
        <f>'A-2'!I389</f>
        <v>7740.2</v>
      </c>
      <c r="G6" s="67">
        <f>AVERAGE('A-2'!T22:T26)</f>
        <v>0</v>
      </c>
      <c r="H6" s="67">
        <f>'A-2'!I410</f>
        <v>18299</v>
      </c>
    </row>
    <row r="7" spans="1:9" ht="11.25" customHeight="1" x14ac:dyDescent="0.25">
      <c r="A7" s="122" t="s">
        <v>238</v>
      </c>
      <c r="B7" s="67">
        <v>66</v>
      </c>
      <c r="C7" s="67">
        <f>'A-2'!I325</f>
        <v>261.2</v>
      </c>
      <c r="D7" s="100">
        <f>'A-2'!I346</f>
        <v>3255</v>
      </c>
      <c r="E7" s="100">
        <f>'A-2'!I369</f>
        <v>8878.4</v>
      </c>
      <c r="F7" s="100">
        <f>'A-2'!I390</f>
        <v>4674</v>
      </c>
      <c r="G7" s="67">
        <v>87</v>
      </c>
      <c r="H7" s="67">
        <f>'A-2'!I411</f>
        <v>17187.2</v>
      </c>
    </row>
    <row r="8" spans="1:9" ht="11.25" customHeight="1" x14ac:dyDescent="0.25">
      <c r="A8" s="122">
        <v>2006</v>
      </c>
      <c r="B8" s="67" t="str">
        <f>'A-2'!I32</f>
        <v>-</v>
      </c>
      <c r="C8" s="67" t="str">
        <f>'A-2'!I77</f>
        <v>-</v>
      </c>
      <c r="D8" s="100">
        <f>'A-2'!I122</f>
        <v>434</v>
      </c>
      <c r="E8" s="100">
        <f>'A-2'!I167</f>
        <v>5488</v>
      </c>
      <c r="F8" s="100">
        <f>'A-2'!I212</f>
        <v>2337</v>
      </c>
      <c r="G8" s="67" t="s">
        <v>29</v>
      </c>
      <c r="H8" s="67">
        <f>'A-2'!I412</f>
        <v>8259</v>
      </c>
    </row>
    <row r="9" spans="1:9" ht="11.25" customHeight="1" x14ac:dyDescent="0.25">
      <c r="A9" s="122">
        <v>2007</v>
      </c>
      <c r="B9" s="67">
        <f>'A-2'!I33</f>
        <v>87</v>
      </c>
      <c r="C9" s="67">
        <f>'A-2'!I78</f>
        <v>270</v>
      </c>
      <c r="D9" s="100">
        <f>'A-2'!I123</f>
        <v>1400</v>
      </c>
      <c r="E9" s="100">
        <f>'A-2'!I168</f>
        <v>6736</v>
      </c>
      <c r="F9" s="100">
        <f>'A-2'!I213</f>
        <v>2178</v>
      </c>
      <c r="G9" s="67" t="s">
        <v>29</v>
      </c>
      <c r="H9" s="67">
        <f>'A-2'!I413</f>
        <v>10671</v>
      </c>
    </row>
    <row r="10" spans="1:9" ht="11.25" customHeight="1" x14ac:dyDescent="0.25">
      <c r="A10" s="122">
        <v>2008</v>
      </c>
      <c r="B10" s="67" t="str">
        <f>'A-2'!I34</f>
        <v>-</v>
      </c>
      <c r="C10" s="67" t="str">
        <f>'A-2'!I79</f>
        <v>-</v>
      </c>
      <c r="D10" s="100" t="str">
        <f>'A-2'!I124</f>
        <v>-</v>
      </c>
      <c r="E10" s="100" t="str">
        <f>'A-2'!I169</f>
        <v>-</v>
      </c>
      <c r="F10" s="100" t="str">
        <f>'A-2'!I214</f>
        <v>-</v>
      </c>
      <c r="G10" s="67" t="s">
        <v>29</v>
      </c>
      <c r="H10" s="67" t="str">
        <f>'A-2'!I414</f>
        <v>-</v>
      </c>
    </row>
    <row r="11" spans="1:9" ht="11.25" customHeight="1" x14ac:dyDescent="0.25">
      <c r="A11" s="202">
        <v>2009</v>
      </c>
      <c r="B11" s="67" t="str">
        <f>'A-2'!I35</f>
        <v>-</v>
      </c>
      <c r="C11" s="67" t="str">
        <f>'A-2'!I80</f>
        <v>-</v>
      </c>
      <c r="D11" s="100" t="str">
        <f>'A-2'!I125</f>
        <v>-</v>
      </c>
      <c r="E11" s="100" t="str">
        <f>'A-2'!I170</f>
        <v>-</v>
      </c>
      <c r="F11" s="100" t="str">
        <f>'A-2'!I215</f>
        <v>-</v>
      </c>
      <c r="G11" s="67" t="s">
        <v>29</v>
      </c>
      <c r="H11" s="67" t="str">
        <f>'A-2'!I415</f>
        <v>-</v>
      </c>
    </row>
    <row r="12" spans="1:9" ht="11.25" customHeight="1" x14ac:dyDescent="0.25">
      <c r="A12" s="202">
        <v>2010</v>
      </c>
      <c r="B12" s="67" t="str">
        <f>'A-2'!I36</f>
        <v>-</v>
      </c>
      <c r="C12" s="67" t="str">
        <f>'A-2'!I81</f>
        <v>-</v>
      </c>
      <c r="D12" s="100">
        <f>'A-2'!I126</f>
        <v>1486</v>
      </c>
      <c r="E12" s="100">
        <f>'A-2'!I171</f>
        <v>244</v>
      </c>
      <c r="F12" s="100">
        <f>'A-2'!I216</f>
        <v>245</v>
      </c>
      <c r="G12" s="67" t="s">
        <v>29</v>
      </c>
      <c r="H12" s="67">
        <f>'A-2'!I416</f>
        <v>1975</v>
      </c>
    </row>
    <row r="13" spans="1:9" ht="11.25" customHeight="1" x14ac:dyDescent="0.25">
      <c r="A13" s="202">
        <v>2011</v>
      </c>
      <c r="B13" s="67">
        <f>'A-2'!I37</f>
        <v>20</v>
      </c>
      <c r="C13" s="67">
        <f>'A-2'!I82</f>
        <v>181</v>
      </c>
      <c r="D13" s="100">
        <f>'A-2'!I127</f>
        <v>2143</v>
      </c>
      <c r="E13" s="100">
        <f>'A-2'!I172</f>
        <v>2907</v>
      </c>
      <c r="F13" s="100">
        <f>'A-2'!I217</f>
        <v>1722</v>
      </c>
      <c r="G13" s="67" t="s">
        <v>29</v>
      </c>
      <c r="H13" s="67">
        <f>'A-2'!I417</f>
        <v>6973</v>
      </c>
    </row>
    <row r="14" spans="1:9" ht="11.25" customHeight="1" x14ac:dyDescent="0.25">
      <c r="A14" s="202">
        <v>2012</v>
      </c>
      <c r="B14" s="67">
        <f>'A-2'!I38</f>
        <v>45</v>
      </c>
      <c r="C14" s="67">
        <f>'A-2'!I83</f>
        <v>260</v>
      </c>
      <c r="D14" s="100">
        <f>'A-2'!I128</f>
        <v>2221</v>
      </c>
      <c r="E14" s="100">
        <f>'A-2'!I173</f>
        <v>7505</v>
      </c>
      <c r="F14" s="100">
        <f>'A-2'!I218</f>
        <v>4491</v>
      </c>
      <c r="G14" s="67" t="s">
        <v>29</v>
      </c>
      <c r="H14" s="67">
        <f>'A-2'!I418</f>
        <v>14522</v>
      </c>
    </row>
    <row r="15" spans="1:9" ht="11.25" customHeight="1" x14ac:dyDescent="0.25">
      <c r="A15" s="202">
        <v>2013</v>
      </c>
      <c r="B15" s="67">
        <f>'A-2'!I39</f>
        <v>98</v>
      </c>
      <c r="C15" s="67">
        <f>'A-2'!I84</f>
        <v>563</v>
      </c>
      <c r="D15" s="100">
        <f>'A-2'!I129</f>
        <v>5341</v>
      </c>
      <c r="E15" s="100">
        <f>'A-2'!I174</f>
        <v>8327</v>
      </c>
      <c r="F15" s="100">
        <f>'A-2'!I219</f>
        <v>2964</v>
      </c>
      <c r="G15" s="67" t="s">
        <v>29</v>
      </c>
      <c r="H15" s="67">
        <f>'A-2'!I419</f>
        <v>17293</v>
      </c>
    </row>
    <row r="16" spans="1:9" ht="11.25" customHeight="1" x14ac:dyDescent="0.25">
      <c r="A16" s="202">
        <v>2014</v>
      </c>
      <c r="B16" s="67">
        <f>'A-2'!I40</f>
        <v>7</v>
      </c>
      <c r="C16" s="67">
        <f>'A-2'!I85</f>
        <v>92</v>
      </c>
      <c r="D16" s="100">
        <f>'A-2'!I130</f>
        <v>4261</v>
      </c>
      <c r="E16" s="100">
        <f>'A-2'!I175</f>
        <v>8441</v>
      </c>
      <c r="F16" s="100">
        <f>'A-2'!I220</f>
        <v>1593</v>
      </c>
      <c r="G16" s="67" t="s">
        <v>29</v>
      </c>
      <c r="H16" s="67">
        <f>'A-2'!I420</f>
        <v>14394</v>
      </c>
    </row>
    <row r="17" spans="1:8" ht="11.25" customHeight="1" x14ac:dyDescent="0.25">
      <c r="A17" s="202">
        <v>2015</v>
      </c>
      <c r="B17" s="67">
        <f>'A-2'!I41</f>
        <v>10</v>
      </c>
      <c r="C17" s="67">
        <f>'A-2'!I86</f>
        <v>22</v>
      </c>
      <c r="D17" s="100">
        <f>'A-2'!I131</f>
        <v>4971</v>
      </c>
      <c r="E17" s="100">
        <f>'A-2'!I176</f>
        <v>5466</v>
      </c>
      <c r="F17" s="100">
        <f>'A-2'!I221</f>
        <v>2542</v>
      </c>
      <c r="G17" s="67" t="s">
        <v>29</v>
      </c>
      <c r="H17" s="67">
        <f>'A-2'!I421</f>
        <v>13011</v>
      </c>
    </row>
    <row r="18" spans="1:8" ht="11.25" customHeight="1" x14ac:dyDescent="0.25">
      <c r="A18" s="202">
        <v>2016</v>
      </c>
      <c r="B18" s="67">
        <f>'A-2'!I42</f>
        <v>7</v>
      </c>
      <c r="C18" s="67">
        <f>'A-2'!I87</f>
        <v>52</v>
      </c>
      <c r="D18" s="100">
        <f>'A-2'!I132</f>
        <v>1486</v>
      </c>
      <c r="E18" s="100">
        <f>'A-2'!I177</f>
        <v>4093</v>
      </c>
      <c r="F18" s="100">
        <f>'A-2'!I222</f>
        <v>1560</v>
      </c>
      <c r="G18" s="67" t="s">
        <v>29</v>
      </c>
      <c r="H18" s="67">
        <f>'A-2'!I422</f>
        <v>7198</v>
      </c>
    </row>
    <row r="19" spans="1:8" ht="11.25" customHeight="1" x14ac:dyDescent="0.25">
      <c r="A19" s="202">
        <v>2017</v>
      </c>
      <c r="B19" s="67" t="str">
        <f>'A-2'!I43</f>
        <v>-</v>
      </c>
      <c r="C19" s="67" t="str">
        <f>'A-2'!I88</f>
        <v>-</v>
      </c>
      <c r="D19" s="100">
        <f>'A-2'!I133</f>
        <v>267</v>
      </c>
      <c r="E19" s="100">
        <f>'A-2'!I178</f>
        <v>4374</v>
      </c>
      <c r="F19" s="100">
        <f>'A-2'!I223</f>
        <v>2084</v>
      </c>
      <c r="G19" s="67" t="s">
        <v>29</v>
      </c>
      <c r="H19" s="67">
        <f>'A-2'!I423</f>
        <v>6725</v>
      </c>
    </row>
    <row r="20" spans="1:8" s="357" customFormat="1" ht="11.25" customHeight="1" x14ac:dyDescent="0.25">
      <c r="A20" s="122">
        <v>2018</v>
      </c>
      <c r="B20" s="67">
        <f>'A-2'!I44</f>
        <v>238</v>
      </c>
      <c r="C20" s="67">
        <f>'A-2'!I89</f>
        <v>461</v>
      </c>
      <c r="D20" s="100">
        <f>'A-2'!I134</f>
        <v>819</v>
      </c>
      <c r="E20" s="100">
        <f>'A-2'!I179</f>
        <v>4747</v>
      </c>
      <c r="F20" s="100">
        <f>'A-2'!I224</f>
        <v>1312</v>
      </c>
      <c r="G20" s="67" t="s">
        <v>29</v>
      </c>
      <c r="H20" s="67">
        <f>'A-2'!I424</f>
        <v>7577</v>
      </c>
    </row>
    <row r="21" spans="1:8" s="357" customFormat="1" ht="11.25" customHeight="1" x14ac:dyDescent="0.25">
      <c r="A21" s="502" t="s">
        <v>398</v>
      </c>
      <c r="B21" s="67">
        <f>'A-2'!I45</f>
        <v>153</v>
      </c>
      <c r="C21" s="67">
        <f>'A-2'!I90</f>
        <v>151</v>
      </c>
      <c r="D21" s="100">
        <f>'A-2'!I135</f>
        <v>1041</v>
      </c>
      <c r="E21" s="100">
        <f>'A-2'!I180</f>
        <v>8241</v>
      </c>
      <c r="F21" s="100">
        <f>'A-2'!I225</f>
        <v>6188</v>
      </c>
      <c r="G21" s="67" t="s">
        <v>29</v>
      </c>
      <c r="H21" s="67">
        <f>'A-2'!I425</f>
        <v>15774</v>
      </c>
    </row>
    <row r="22" spans="1:8" ht="11.25" customHeight="1" x14ac:dyDescent="0.25">
      <c r="A22" s="502" t="s">
        <v>392</v>
      </c>
      <c r="B22" s="67" t="str">
        <f>'A-2'!I46</f>
        <v>-</v>
      </c>
      <c r="C22" s="67" t="str">
        <f>'A-2'!I91</f>
        <v>-</v>
      </c>
      <c r="D22" s="100">
        <f>'A-2'!I136</f>
        <v>216</v>
      </c>
      <c r="E22" s="100">
        <f>'A-2'!I181</f>
        <v>9436</v>
      </c>
      <c r="F22" s="100">
        <f>'A-2'!I226</f>
        <v>2616</v>
      </c>
      <c r="G22" s="67" t="s">
        <v>29</v>
      </c>
      <c r="H22" s="67">
        <f>'A-2'!I426</f>
        <v>12268</v>
      </c>
    </row>
    <row r="23" spans="1:8" ht="11.25" customHeight="1" x14ac:dyDescent="0.25">
      <c r="A23" s="122"/>
      <c r="B23" s="102"/>
      <c r="C23" s="102"/>
      <c r="D23" s="52"/>
      <c r="E23" s="52"/>
      <c r="F23" s="52"/>
      <c r="G23" s="102"/>
      <c r="H23" s="102"/>
    </row>
    <row r="24" spans="1:8" ht="11.25" customHeight="1" x14ac:dyDescent="0.25">
      <c r="A24" s="510" t="s">
        <v>114</v>
      </c>
      <c r="B24" s="510"/>
      <c r="C24" s="510"/>
      <c r="D24" s="510"/>
      <c r="E24" s="510"/>
      <c r="F24" s="510"/>
      <c r="G24" s="510"/>
      <c r="H24" s="510"/>
    </row>
    <row r="25" spans="1:8" ht="11.25" customHeight="1" x14ac:dyDescent="0.25">
      <c r="A25" s="122" t="s">
        <v>87</v>
      </c>
      <c r="B25" s="67">
        <f>'A-3'!I309</f>
        <v>13997.047044648851</v>
      </c>
      <c r="C25" s="67">
        <f>'A-3'!I330</f>
        <v>32329.076955351153</v>
      </c>
      <c r="D25" s="100">
        <f>'A-3'!I354</f>
        <v>252415.87599999999</v>
      </c>
      <c r="E25" s="100">
        <f>'A-3'!I375</f>
        <v>351114.8</v>
      </c>
      <c r="F25" s="100">
        <f>'A-3'!I399</f>
        <v>144846</v>
      </c>
      <c r="G25" s="102">
        <f>AVERAGE('A-3'!AB15:AB19)</f>
        <v>1063.8</v>
      </c>
      <c r="H25" s="67">
        <f>'A-3'!I420</f>
        <v>794702.8</v>
      </c>
    </row>
    <row r="26" spans="1:8" ht="11.25" customHeight="1" x14ac:dyDescent="0.25">
      <c r="A26" s="122" t="s">
        <v>14</v>
      </c>
      <c r="B26" s="67" t="str">
        <f>'A-3'!I310</f>
        <v>-</v>
      </c>
      <c r="C26" s="67">
        <f>'A-3'!I331</f>
        <v>4700</v>
      </c>
      <c r="D26" s="100">
        <f>'A-3'!I355</f>
        <v>17353.75</v>
      </c>
      <c r="E26" s="100">
        <f>'A-3'!I376</f>
        <v>200588.2</v>
      </c>
      <c r="F26" s="100">
        <f>'A-3'!I400</f>
        <v>126516.6</v>
      </c>
      <c r="G26" s="102">
        <v>0</v>
      </c>
      <c r="H26" s="67">
        <f>'A-3'!I421</f>
        <v>341927.8</v>
      </c>
    </row>
    <row r="27" spans="1:8" ht="11.25" customHeight="1" x14ac:dyDescent="0.25">
      <c r="A27" s="122" t="s">
        <v>207</v>
      </c>
      <c r="B27" s="67">
        <f>'A-3'!I311</f>
        <v>126</v>
      </c>
      <c r="C27" s="67">
        <f>'A-3'!I332</f>
        <v>3379.4</v>
      </c>
      <c r="D27" s="100">
        <f>'A-3'!I356</f>
        <v>12528.8</v>
      </c>
      <c r="E27" s="100">
        <f>'A-3'!I377</f>
        <v>195662.2</v>
      </c>
      <c r="F27" s="100">
        <f>'A-3'!I401</f>
        <v>156304.79999999999</v>
      </c>
      <c r="G27" s="102">
        <v>0</v>
      </c>
      <c r="H27" s="67">
        <f>'A-3'!I422</f>
        <v>368001.2</v>
      </c>
    </row>
    <row r="28" spans="1:8" ht="11.25" customHeight="1" x14ac:dyDescent="0.25">
      <c r="A28" s="122" t="s">
        <v>238</v>
      </c>
      <c r="B28" s="67">
        <v>1412</v>
      </c>
      <c r="C28" s="67">
        <f>'A-3'!I333</f>
        <v>5298</v>
      </c>
      <c r="D28" s="100">
        <f>'A-3'!I357</f>
        <v>96466.4</v>
      </c>
      <c r="E28" s="100">
        <f>'A-3'!I378</f>
        <v>210227.6</v>
      </c>
      <c r="F28" s="100">
        <f>'A-3'!I402</f>
        <v>64826.8</v>
      </c>
      <c r="G28" s="196">
        <v>9484</v>
      </c>
      <c r="H28" s="67">
        <f>'A-3'!I423</f>
        <v>383921.4</v>
      </c>
    </row>
    <row r="29" spans="1:8" ht="11.25" customHeight="1" x14ac:dyDescent="0.25">
      <c r="A29" s="122">
        <v>2006</v>
      </c>
      <c r="B29" s="67" t="str">
        <f>'A-3'!I35</f>
        <v>-</v>
      </c>
      <c r="C29" s="67" t="str">
        <f>'A-3'!I82</f>
        <v>-</v>
      </c>
      <c r="D29" s="100">
        <f>'A-3'!I129</f>
        <v>10835</v>
      </c>
      <c r="E29" s="100">
        <f>'A-3'!I176</f>
        <v>47689</v>
      </c>
      <c r="F29" s="100">
        <f>'A-3'!I223</f>
        <v>11204</v>
      </c>
      <c r="G29" s="67" t="s">
        <v>29</v>
      </c>
      <c r="H29" s="67">
        <f>SUM(B29:G29)</f>
        <v>69728</v>
      </c>
    </row>
    <row r="30" spans="1:8" ht="11.25" customHeight="1" x14ac:dyDescent="0.25">
      <c r="A30" s="122">
        <v>2007</v>
      </c>
      <c r="B30" s="67">
        <f>'A-3'!I36</f>
        <v>2367</v>
      </c>
      <c r="C30" s="67">
        <f>'A-3'!I83</f>
        <v>6395</v>
      </c>
      <c r="D30" s="100">
        <f>'A-3'!I130</f>
        <v>16116</v>
      </c>
      <c r="E30" s="100">
        <f>'A-3'!I177</f>
        <v>75254</v>
      </c>
      <c r="F30" s="100">
        <f>'A-3'!I224</f>
        <v>14009</v>
      </c>
      <c r="G30" s="67" t="s">
        <v>29</v>
      </c>
      <c r="H30" s="67">
        <f>SUM(B30:G30)</f>
        <v>114141</v>
      </c>
    </row>
    <row r="31" spans="1:8" ht="11.25" customHeight="1" x14ac:dyDescent="0.25">
      <c r="A31" s="122">
        <v>2008</v>
      </c>
      <c r="B31" s="67" t="str">
        <f>'A-3'!I37</f>
        <v>-</v>
      </c>
      <c r="C31" s="67" t="str">
        <f>'A-3'!I84</f>
        <v>-</v>
      </c>
      <c r="D31" s="100" t="str">
        <f>'A-3'!I131</f>
        <v>-</v>
      </c>
      <c r="E31" s="100" t="str">
        <f>'A-3'!I178</f>
        <v>-</v>
      </c>
      <c r="F31" s="100" t="str">
        <f>'A-3'!I225</f>
        <v>-</v>
      </c>
      <c r="G31" s="67" t="s">
        <v>29</v>
      </c>
      <c r="H31" s="67" t="s">
        <v>29</v>
      </c>
    </row>
    <row r="32" spans="1:8" ht="11.25" customHeight="1" x14ac:dyDescent="0.25">
      <c r="A32" s="202">
        <v>2009</v>
      </c>
      <c r="B32" s="67" t="str">
        <f>'A-3'!I38</f>
        <v>-</v>
      </c>
      <c r="C32" s="67" t="str">
        <f>'A-3'!I85</f>
        <v>-</v>
      </c>
      <c r="D32" s="100" t="str">
        <f>'A-3'!I132</f>
        <v>-</v>
      </c>
      <c r="E32" s="100" t="str">
        <f>'A-3'!I179</f>
        <v>-</v>
      </c>
      <c r="F32" s="100" t="str">
        <f>'A-3'!I226</f>
        <v>-</v>
      </c>
      <c r="G32" s="67" t="s">
        <v>29</v>
      </c>
      <c r="H32" s="67" t="s">
        <v>29</v>
      </c>
    </row>
    <row r="33" spans="1:8" ht="11.25" customHeight="1" x14ac:dyDescent="0.25">
      <c r="A33" s="202">
        <v>2010</v>
      </c>
      <c r="B33" s="67" t="str">
        <f>'A-3'!I39</f>
        <v>-</v>
      </c>
      <c r="C33" s="67" t="str">
        <f>'A-3'!I86</f>
        <v>-</v>
      </c>
      <c r="D33" s="100">
        <f>'A-3'!I133</f>
        <v>12553</v>
      </c>
      <c r="E33" s="100">
        <f>'A-3'!I180</f>
        <v>1105</v>
      </c>
      <c r="F33" s="100">
        <f>'A-3'!I227</f>
        <v>1430</v>
      </c>
      <c r="G33" s="67" t="s">
        <v>29</v>
      </c>
      <c r="H33" s="67">
        <f t="shared" ref="H33:H43" si="0">SUM(B33:G33)</f>
        <v>15088</v>
      </c>
    </row>
    <row r="34" spans="1:8" ht="11.25" customHeight="1" x14ac:dyDescent="0.25">
      <c r="A34" s="202">
        <v>2011</v>
      </c>
      <c r="B34" s="67">
        <f>'A-3'!I40</f>
        <v>417</v>
      </c>
      <c r="C34" s="67">
        <f>'A-3'!I87</f>
        <v>1974</v>
      </c>
      <c r="D34" s="100">
        <f>'A-3'!I134</f>
        <v>39311</v>
      </c>
      <c r="E34" s="100">
        <f>'A-3'!I181</f>
        <v>21912</v>
      </c>
      <c r="F34" s="100">
        <f>'A-3'!I228</f>
        <v>6414</v>
      </c>
      <c r="G34" s="67" t="s">
        <v>29</v>
      </c>
      <c r="H34" s="67">
        <f t="shared" si="0"/>
        <v>70028</v>
      </c>
    </row>
    <row r="35" spans="1:8" ht="11.25" customHeight="1" x14ac:dyDescent="0.25">
      <c r="A35" s="202">
        <v>2012</v>
      </c>
      <c r="B35" s="67">
        <f>'A-3'!I41</f>
        <v>400</v>
      </c>
      <c r="C35" s="67">
        <f>'A-3'!I88</f>
        <v>4831</v>
      </c>
      <c r="D35" s="100">
        <f>'A-3'!I135</f>
        <v>38282</v>
      </c>
      <c r="E35" s="100">
        <f>'A-3'!I182</f>
        <v>119100</v>
      </c>
      <c r="F35" s="100">
        <f>'A-3'!I229</f>
        <v>52972</v>
      </c>
      <c r="G35" s="67" t="s">
        <v>29</v>
      </c>
      <c r="H35" s="67">
        <f t="shared" si="0"/>
        <v>215585</v>
      </c>
    </row>
    <row r="36" spans="1:8" ht="11.25" customHeight="1" x14ac:dyDescent="0.25">
      <c r="A36" s="202">
        <v>2013</v>
      </c>
      <c r="B36" s="67">
        <f>'A-3'!I42</f>
        <v>1225</v>
      </c>
      <c r="C36" s="67">
        <f>'A-3'!I89</f>
        <v>8953</v>
      </c>
      <c r="D36" s="100">
        <f>'A-3'!I136</f>
        <v>116158</v>
      </c>
      <c r="E36" s="100">
        <f>'A-3'!I183</f>
        <v>143654</v>
      </c>
      <c r="F36" s="100">
        <f>'A-3'!I230</f>
        <v>27637</v>
      </c>
      <c r="G36" s="67" t="s">
        <v>29</v>
      </c>
      <c r="H36" s="67">
        <f t="shared" si="0"/>
        <v>297627</v>
      </c>
    </row>
    <row r="37" spans="1:8" ht="11.25" customHeight="1" x14ac:dyDescent="0.25">
      <c r="A37" s="202">
        <v>2014</v>
      </c>
      <c r="B37" s="67">
        <f>'A-3'!I43</f>
        <v>21</v>
      </c>
      <c r="C37" s="67">
        <f>'A-3'!I90</f>
        <v>599</v>
      </c>
      <c r="D37" s="100">
        <f>'A-3'!I137</f>
        <v>76931</v>
      </c>
      <c r="E37" s="100">
        <f>'A-3'!I184</f>
        <v>82424</v>
      </c>
      <c r="F37" s="100">
        <f>'A-3'!I231</f>
        <v>8308</v>
      </c>
      <c r="G37" s="67" t="s">
        <v>29</v>
      </c>
      <c r="H37" s="67">
        <f t="shared" si="0"/>
        <v>168283</v>
      </c>
    </row>
    <row r="38" spans="1:8" ht="11.25" customHeight="1" x14ac:dyDescent="0.25">
      <c r="A38" s="202">
        <v>2015</v>
      </c>
      <c r="B38" s="67">
        <f>'A-3'!I44</f>
        <v>36</v>
      </c>
      <c r="C38" s="67">
        <f>'A-3'!I91</f>
        <v>10</v>
      </c>
      <c r="D38" s="100">
        <f>'A-3'!I138</f>
        <v>60052</v>
      </c>
      <c r="E38" s="100">
        <f>'A-3'!I185</f>
        <v>35696</v>
      </c>
      <c r="F38" s="100">
        <f>'A-3'!I232</f>
        <v>14713</v>
      </c>
      <c r="G38" s="67" t="s">
        <v>29</v>
      </c>
      <c r="H38" s="67">
        <f t="shared" si="0"/>
        <v>110507</v>
      </c>
    </row>
    <row r="39" spans="1:8" ht="11.25" customHeight="1" x14ac:dyDescent="0.25">
      <c r="A39" s="202">
        <v>2016</v>
      </c>
      <c r="B39" s="67">
        <f>'A-3'!I45</f>
        <v>6</v>
      </c>
      <c r="C39" s="67">
        <f>'A-3'!I92</f>
        <v>190</v>
      </c>
      <c r="D39" s="100">
        <f>'A-3'!I139</f>
        <v>15380</v>
      </c>
      <c r="E39" s="100">
        <f>'A-3'!I186</f>
        <v>26363</v>
      </c>
      <c r="F39" s="100">
        <f>'A-3'!I233</f>
        <v>13246</v>
      </c>
      <c r="G39" s="67" t="s">
        <v>29</v>
      </c>
      <c r="H39" s="67">
        <f t="shared" si="0"/>
        <v>55185</v>
      </c>
    </row>
    <row r="40" spans="1:8" ht="11.25" customHeight="1" x14ac:dyDescent="0.25">
      <c r="A40" s="202">
        <v>2017</v>
      </c>
      <c r="B40" s="67" t="str">
        <f>'A-3'!I46</f>
        <v>-</v>
      </c>
      <c r="C40" s="67" t="str">
        <f>'A-3'!I93</f>
        <v>-</v>
      </c>
      <c r="D40" s="100">
        <f>'A-3'!I140</f>
        <v>1935</v>
      </c>
      <c r="E40" s="100">
        <f>'A-3'!I187</f>
        <v>27912</v>
      </c>
      <c r="F40" s="100">
        <f>'A-3'!I234</f>
        <v>12479</v>
      </c>
      <c r="G40" s="67" t="s">
        <v>29</v>
      </c>
      <c r="H40" s="67">
        <f t="shared" si="0"/>
        <v>42326</v>
      </c>
    </row>
    <row r="41" spans="1:8" s="357" customFormat="1" ht="11.25" customHeight="1" x14ac:dyDescent="0.25">
      <c r="A41" s="122">
        <v>2018</v>
      </c>
      <c r="B41" s="67">
        <f>'A-3'!I47</f>
        <v>4412</v>
      </c>
      <c r="C41" s="67">
        <f>'A-3'!I94</f>
        <v>4599</v>
      </c>
      <c r="D41" s="100">
        <f>'A-3'!I141</f>
        <v>10551</v>
      </c>
      <c r="E41" s="100">
        <f>'A-3'!I188</f>
        <v>39429</v>
      </c>
      <c r="F41" s="100">
        <f>'A-3'!I235</f>
        <v>19425</v>
      </c>
      <c r="G41" s="67" t="s">
        <v>29</v>
      </c>
      <c r="H41" s="67">
        <f t="shared" si="0"/>
        <v>78416</v>
      </c>
    </row>
    <row r="42" spans="1:8" s="357" customFormat="1" ht="11.25" customHeight="1" x14ac:dyDescent="0.25">
      <c r="A42" s="498" t="s">
        <v>398</v>
      </c>
      <c r="B42" s="67">
        <f>'A-3'!I48</f>
        <v>4235</v>
      </c>
      <c r="C42" s="67">
        <f>'A-3'!I95</f>
        <v>1622</v>
      </c>
      <c r="D42" s="100">
        <f>'A-3'!I142</f>
        <v>10467</v>
      </c>
      <c r="E42" s="100">
        <f>'A-3'!I189</f>
        <v>159431</v>
      </c>
      <c r="F42" s="100">
        <f>'A-3'!I236</f>
        <v>95942</v>
      </c>
      <c r="G42" s="67" t="s">
        <v>29</v>
      </c>
      <c r="H42" s="67">
        <f t="shared" ref="H42" si="1">SUM(B42:G42)</f>
        <v>271697</v>
      </c>
    </row>
    <row r="43" spans="1:8" ht="11.25" customHeight="1" x14ac:dyDescent="0.25">
      <c r="A43" s="498" t="s">
        <v>392</v>
      </c>
      <c r="B43" s="67" t="str">
        <f>'A-3'!I49</f>
        <v>-</v>
      </c>
      <c r="C43" s="67" t="str">
        <f>'A-3'!I96</f>
        <v>-</v>
      </c>
      <c r="D43" s="100">
        <f>'A-3'!I143</f>
        <v>1848</v>
      </c>
      <c r="E43" s="100">
        <f>'A-3'!I190</f>
        <v>145276</v>
      </c>
      <c r="F43" s="100">
        <f>'A-3'!I237</f>
        <v>30210</v>
      </c>
      <c r="G43" s="67" t="s">
        <v>29</v>
      </c>
      <c r="H43" s="67">
        <f t="shared" si="0"/>
        <v>177334</v>
      </c>
    </row>
    <row r="44" spans="1:8" ht="11.25" customHeight="1" x14ac:dyDescent="0.25">
      <c r="B44" s="67"/>
      <c r="C44" s="67"/>
      <c r="D44" s="100"/>
      <c r="E44" s="100"/>
      <c r="F44" s="100"/>
      <c r="G44" s="67"/>
      <c r="H44" s="67"/>
    </row>
    <row r="45" spans="1:8" ht="11.25" customHeight="1" x14ac:dyDescent="0.25">
      <c r="A45" s="512" t="s">
        <v>115</v>
      </c>
      <c r="B45" s="512"/>
      <c r="C45" s="512"/>
      <c r="D45" s="512"/>
      <c r="E45" s="512"/>
      <c r="F45" s="512"/>
      <c r="G45" s="512"/>
      <c r="H45" s="512"/>
    </row>
    <row r="46" spans="1:8" ht="11.25" customHeight="1" x14ac:dyDescent="0.25">
      <c r="A46" s="123" t="s">
        <v>87</v>
      </c>
      <c r="B46" s="66">
        <f>'A-3'!R309</f>
        <v>3794.8275961904137</v>
      </c>
      <c r="C46" s="66">
        <f>'A-3'!R330</f>
        <v>5998.0326491252663</v>
      </c>
      <c r="D46" s="33">
        <f>'A-3'!R354</f>
        <v>26000</v>
      </c>
      <c r="E46" s="33">
        <f>'A-3'!R375</f>
        <v>9376.7999999999993</v>
      </c>
      <c r="F46" s="33">
        <f>'A-3'!R399</f>
        <v>1610.6</v>
      </c>
      <c r="G46" s="66">
        <f>AVERAGE('A-3'!AL15:AL19)</f>
        <v>38.505313149302467</v>
      </c>
      <c r="H46" s="66">
        <f>SUM(B46:G46)</f>
        <v>46818.765558464984</v>
      </c>
    </row>
    <row r="47" spans="1:8" ht="11.25" customHeight="1" x14ac:dyDescent="0.25">
      <c r="A47" s="123" t="s">
        <v>14</v>
      </c>
      <c r="B47" s="66" t="str">
        <f>'A-3'!R310</f>
        <v>-</v>
      </c>
      <c r="C47" s="66">
        <f>'A-3'!R331</f>
        <v>3100</v>
      </c>
      <c r="D47" s="33">
        <f>'A-3'!R355</f>
        <v>4500</v>
      </c>
      <c r="E47" s="33">
        <f>'A-3'!R376</f>
        <v>26900</v>
      </c>
      <c r="F47" s="33">
        <f>'A-3'!R400</f>
        <v>11775</v>
      </c>
      <c r="G47" s="66" t="s">
        <v>29</v>
      </c>
      <c r="H47" s="66">
        <f>SUM(B47:G47)</f>
        <v>46275</v>
      </c>
    </row>
    <row r="48" spans="1:8" ht="11.25" customHeight="1" x14ac:dyDescent="0.25">
      <c r="A48" s="123" t="s">
        <v>207</v>
      </c>
      <c r="B48" s="66" t="str">
        <f>'A-3'!R311</f>
        <v>-</v>
      </c>
      <c r="C48" s="66" t="str">
        <f>'A-3'!R332</f>
        <v>-</v>
      </c>
      <c r="D48" s="33" t="str">
        <f>'A-3'!R356</f>
        <v>-</v>
      </c>
      <c r="E48" s="33" t="str">
        <f>'A-3'!R377</f>
        <v>-</v>
      </c>
      <c r="F48" s="33" t="s">
        <v>29</v>
      </c>
      <c r="G48" s="66" t="s">
        <v>29</v>
      </c>
      <c r="H48" s="66" t="s">
        <v>29</v>
      </c>
    </row>
    <row r="49" spans="1:8" ht="11.25" customHeight="1" x14ac:dyDescent="0.25">
      <c r="A49" s="123" t="s">
        <v>238</v>
      </c>
      <c r="B49" s="66" t="str">
        <f>'A-3'!R30</f>
        <v>-</v>
      </c>
      <c r="C49" s="66" t="str">
        <f>'A-3'!R77</f>
        <v>-</v>
      </c>
      <c r="D49" s="33" t="str">
        <f>'A-3'!R124</f>
        <v>-</v>
      </c>
      <c r="E49" s="33" t="str">
        <f>'A-3'!R171</f>
        <v>-</v>
      </c>
      <c r="F49" s="33" t="str">
        <f>'A-3'!R218</f>
        <v>-</v>
      </c>
      <c r="G49" s="66" t="s">
        <v>29</v>
      </c>
      <c r="H49" s="66" t="str">
        <f>'A-3'!R265</f>
        <v>-</v>
      </c>
    </row>
    <row r="50" spans="1:8" ht="11.25" customHeight="1" x14ac:dyDescent="0.25">
      <c r="A50" s="122">
        <v>2006</v>
      </c>
      <c r="B50" s="67" t="str">
        <f>'A-3'!R35</f>
        <v>-</v>
      </c>
      <c r="C50" s="67" t="str">
        <f>'A-3'!R82</f>
        <v>-</v>
      </c>
      <c r="D50" s="100" t="str">
        <f>'A-3'!R129</f>
        <v>-</v>
      </c>
      <c r="E50" s="100" t="str">
        <f>'A-3'!R176</f>
        <v>-</v>
      </c>
      <c r="F50" s="100" t="str">
        <f>'A-3'!R223</f>
        <v>-</v>
      </c>
      <c r="G50" s="67" t="s">
        <v>29</v>
      </c>
      <c r="H50" s="67" t="str">
        <f>'A-3'!R270</f>
        <v>-</v>
      </c>
    </row>
    <row r="51" spans="1:8" ht="11.25" customHeight="1" x14ac:dyDescent="0.25">
      <c r="A51" s="122">
        <v>2007</v>
      </c>
      <c r="B51" s="67" t="str">
        <f>'A-3'!R36</f>
        <v>-</v>
      </c>
      <c r="C51" s="67" t="str">
        <f>'A-3'!R83</f>
        <v>-</v>
      </c>
      <c r="D51" s="100" t="str">
        <f>'A-3'!R130</f>
        <v>-</v>
      </c>
      <c r="E51" s="100" t="str">
        <f>'A-3'!R177</f>
        <v>-</v>
      </c>
      <c r="F51" s="100" t="str">
        <f>'A-3'!R224</f>
        <v>-</v>
      </c>
      <c r="G51" s="67" t="s">
        <v>29</v>
      </c>
      <c r="H51" s="67" t="str">
        <f>'A-3'!R271</f>
        <v>-</v>
      </c>
    </row>
    <row r="52" spans="1:8" ht="11.25" customHeight="1" x14ac:dyDescent="0.25">
      <c r="A52" s="122">
        <v>2008</v>
      </c>
      <c r="B52" s="67" t="str">
        <f>'A-3'!R37</f>
        <v>-</v>
      </c>
      <c r="C52" s="67" t="str">
        <f>'A-3'!R84</f>
        <v>-</v>
      </c>
      <c r="D52" s="100" t="str">
        <f>'A-3'!R131</f>
        <v>-</v>
      </c>
      <c r="E52" s="100" t="str">
        <f>'A-3'!R178</f>
        <v>-</v>
      </c>
      <c r="F52" s="100" t="str">
        <f>'A-3'!R225</f>
        <v>-</v>
      </c>
      <c r="G52" s="67" t="s">
        <v>29</v>
      </c>
      <c r="H52" s="67" t="str">
        <f>'A-3'!R272</f>
        <v>-</v>
      </c>
    </row>
    <row r="53" spans="1:8" ht="11.25" customHeight="1" x14ac:dyDescent="0.25">
      <c r="A53" s="202">
        <v>2009</v>
      </c>
      <c r="B53" s="67" t="str">
        <f>'A-3'!R38</f>
        <v>-</v>
      </c>
      <c r="C53" s="67" t="str">
        <f>'A-3'!R85</f>
        <v>-</v>
      </c>
      <c r="D53" s="100" t="str">
        <f>'A-3'!R132</f>
        <v>-</v>
      </c>
      <c r="E53" s="100" t="str">
        <f>'A-3'!R179</f>
        <v>-</v>
      </c>
      <c r="F53" s="100" t="str">
        <f>'A-3'!R226</f>
        <v>-</v>
      </c>
      <c r="G53" s="67" t="s">
        <v>29</v>
      </c>
      <c r="H53" s="67" t="str">
        <f>'A-3'!R273</f>
        <v>-</v>
      </c>
    </row>
    <row r="54" spans="1:8" ht="11.25" customHeight="1" x14ac:dyDescent="0.25">
      <c r="A54" s="202">
        <v>2010</v>
      </c>
      <c r="B54" s="67" t="str">
        <f>'A-3'!R39</f>
        <v>-</v>
      </c>
      <c r="C54" s="67" t="str">
        <f>'A-3'!R86</f>
        <v>-</v>
      </c>
      <c r="D54" s="100" t="str">
        <f>'A-3'!R133</f>
        <v>-</v>
      </c>
      <c r="E54" s="100" t="str">
        <f>'A-3'!R180</f>
        <v>-</v>
      </c>
      <c r="F54" s="100" t="str">
        <f>'A-3'!R227</f>
        <v>-</v>
      </c>
      <c r="G54" s="67" t="s">
        <v>29</v>
      </c>
      <c r="H54" s="67" t="str">
        <f>'A-3'!R274</f>
        <v>-</v>
      </c>
    </row>
    <row r="55" spans="1:8" ht="11.25" customHeight="1" x14ac:dyDescent="0.25">
      <c r="A55" s="202">
        <v>2011</v>
      </c>
      <c r="B55" s="67" t="str">
        <f>'A-3'!R40</f>
        <v>-</v>
      </c>
      <c r="C55" s="67" t="str">
        <f>'A-3'!R87</f>
        <v>-</v>
      </c>
      <c r="D55" s="100" t="str">
        <f>'A-3'!R134</f>
        <v>-</v>
      </c>
      <c r="E55" s="100" t="str">
        <f>'A-3'!R181</f>
        <v>-</v>
      </c>
      <c r="F55" s="100" t="str">
        <f>'A-3'!R228</f>
        <v>-</v>
      </c>
      <c r="G55" s="67" t="s">
        <v>29</v>
      </c>
      <c r="H55" s="67" t="str">
        <f>'A-3'!R275</f>
        <v>-</v>
      </c>
    </row>
    <row r="56" spans="1:8" ht="11.25" customHeight="1" x14ac:dyDescent="0.25">
      <c r="A56" s="202">
        <v>2012</v>
      </c>
      <c r="B56" s="67" t="str">
        <f>'A-3'!R41</f>
        <v>-</v>
      </c>
      <c r="C56" s="67" t="str">
        <f>'A-3'!R88</f>
        <v>-</v>
      </c>
      <c r="D56" s="100" t="str">
        <f>'A-3'!R135</f>
        <v>-</v>
      </c>
      <c r="E56" s="100" t="str">
        <f>'A-3'!R182</f>
        <v>-</v>
      </c>
      <c r="F56" s="100" t="str">
        <f>'A-3'!R229</f>
        <v>-</v>
      </c>
      <c r="G56" s="67" t="s">
        <v>29</v>
      </c>
      <c r="H56" s="67" t="str">
        <f>'A-3'!R276</f>
        <v>-</v>
      </c>
    </row>
    <row r="57" spans="1:8" ht="11.25" customHeight="1" x14ac:dyDescent="0.25">
      <c r="A57" s="202">
        <v>2013</v>
      </c>
      <c r="B57" s="67" t="str">
        <f>'A-3'!R42</f>
        <v>-</v>
      </c>
      <c r="C57" s="67" t="str">
        <f>'A-3'!R89</f>
        <v>-</v>
      </c>
      <c r="D57" s="100" t="str">
        <f>'A-3'!R136</f>
        <v>-</v>
      </c>
      <c r="E57" s="100" t="str">
        <f>'A-3'!R183</f>
        <v>-</v>
      </c>
      <c r="F57" s="100" t="str">
        <f>'A-3'!R230</f>
        <v>-</v>
      </c>
      <c r="G57" s="67" t="s">
        <v>29</v>
      </c>
      <c r="H57" s="67" t="str">
        <f>'A-3'!R277</f>
        <v>-</v>
      </c>
    </row>
    <row r="58" spans="1:8" ht="11.25" customHeight="1" x14ac:dyDescent="0.25">
      <c r="A58" s="202">
        <v>2014</v>
      </c>
      <c r="B58" s="67" t="str">
        <f>'A-3'!R43</f>
        <v>-</v>
      </c>
      <c r="C58" s="67" t="str">
        <f>'A-3'!R90</f>
        <v>-</v>
      </c>
      <c r="D58" s="100" t="str">
        <f>'A-3'!R137</f>
        <v>-</v>
      </c>
      <c r="E58" s="100" t="str">
        <f>'A-3'!R184</f>
        <v>-</v>
      </c>
      <c r="F58" s="100" t="str">
        <f>'A-3'!R231</f>
        <v>-</v>
      </c>
      <c r="G58" s="67" t="s">
        <v>29</v>
      </c>
      <c r="H58" s="67" t="str">
        <f>'A-3'!R278</f>
        <v>-</v>
      </c>
    </row>
    <row r="59" spans="1:8" ht="11.25" customHeight="1" x14ac:dyDescent="0.25">
      <c r="A59" s="202">
        <v>2015</v>
      </c>
      <c r="B59" s="67" t="str">
        <f>'A-3'!R44</f>
        <v>-</v>
      </c>
      <c r="C59" s="67" t="str">
        <f>'A-3'!R91</f>
        <v>-</v>
      </c>
      <c r="D59" s="100" t="str">
        <f>'A-3'!R138</f>
        <v>-</v>
      </c>
      <c r="E59" s="100" t="str">
        <f>'A-3'!R185</f>
        <v>-</v>
      </c>
      <c r="F59" s="100" t="str">
        <f>'A-3'!R232</f>
        <v>-</v>
      </c>
      <c r="G59" s="67" t="s">
        <v>29</v>
      </c>
      <c r="H59" s="67" t="str">
        <f>'A-3'!R279</f>
        <v>-</v>
      </c>
    </row>
    <row r="60" spans="1:8" ht="11.25" customHeight="1" x14ac:dyDescent="0.25">
      <c r="A60" s="202">
        <v>2016</v>
      </c>
      <c r="B60" s="67" t="str">
        <f>'A-3'!R45</f>
        <v>-</v>
      </c>
      <c r="C60" s="67" t="str">
        <f>'A-3'!R92</f>
        <v>-</v>
      </c>
      <c r="D60" s="100" t="str">
        <f>'A-3'!R139</f>
        <v>-</v>
      </c>
      <c r="E60" s="100" t="str">
        <f>'A-3'!R186</f>
        <v>-</v>
      </c>
      <c r="F60" s="100" t="str">
        <f>'A-3'!R233</f>
        <v>-</v>
      </c>
      <c r="G60" s="67" t="s">
        <v>29</v>
      </c>
      <c r="H60" s="67" t="str">
        <f>'A-3'!R280</f>
        <v>-</v>
      </c>
    </row>
    <row r="61" spans="1:8" ht="11.25" customHeight="1" x14ac:dyDescent="0.25">
      <c r="A61" s="202">
        <v>2017</v>
      </c>
      <c r="B61" s="67" t="str">
        <f>'A-3'!R46</f>
        <v>-</v>
      </c>
      <c r="C61" s="67" t="str">
        <f>'A-3'!R93</f>
        <v>-</v>
      </c>
      <c r="D61" s="100" t="str">
        <f>'A-3'!R140</f>
        <v>-</v>
      </c>
      <c r="E61" s="100" t="str">
        <f>'A-3'!R187</f>
        <v>-</v>
      </c>
      <c r="F61" s="100" t="str">
        <f>'A-3'!R234</f>
        <v>-</v>
      </c>
      <c r="G61" s="67" t="s">
        <v>29</v>
      </c>
      <c r="H61" s="67" t="str">
        <f>'A-3'!R281</f>
        <v>-</v>
      </c>
    </row>
    <row r="62" spans="1:8" s="357" customFormat="1" ht="11.25" customHeight="1" x14ac:dyDescent="0.25">
      <c r="A62" s="348">
        <v>2018</v>
      </c>
      <c r="B62" s="67" t="str">
        <f>'A-3'!R47</f>
        <v>-</v>
      </c>
      <c r="C62" s="67" t="str">
        <f>'A-3'!R94</f>
        <v>-</v>
      </c>
      <c r="D62" s="100" t="str">
        <f>'A-3'!R141</f>
        <v>-</v>
      </c>
      <c r="E62" s="100" t="str">
        <f>'A-3'!R188</f>
        <v>-</v>
      </c>
      <c r="F62" s="100" t="str">
        <f>'A-3'!R235</f>
        <v>-</v>
      </c>
      <c r="G62" s="67" t="s">
        <v>29</v>
      </c>
      <c r="H62" s="67" t="str">
        <f>'A-3'!R282</f>
        <v>-</v>
      </c>
    </row>
    <row r="63" spans="1:8" s="357" customFormat="1" ht="11.25" customHeight="1" x14ac:dyDescent="0.25">
      <c r="A63" s="491">
        <v>2019</v>
      </c>
      <c r="B63" s="67" t="str">
        <f>'A-3'!R48</f>
        <v>-</v>
      </c>
      <c r="C63" s="67" t="str">
        <f>'A-3'!R95</f>
        <v>-</v>
      </c>
      <c r="D63" s="100" t="str">
        <f>'A-3'!R142</f>
        <v>-</v>
      </c>
      <c r="E63" s="100" t="str">
        <f>'A-3'!R189</f>
        <v>-</v>
      </c>
      <c r="F63" s="100" t="str">
        <f>'A-3'!R236</f>
        <v>-</v>
      </c>
      <c r="G63" s="67" t="s">
        <v>29</v>
      </c>
      <c r="H63" s="67" t="str">
        <f>'A-3'!R283</f>
        <v>-</v>
      </c>
    </row>
    <row r="64" spans="1:8" ht="11.25" customHeight="1" x14ac:dyDescent="0.25">
      <c r="A64" s="237">
        <v>2020</v>
      </c>
      <c r="B64" s="67" t="str">
        <f>'A-3'!R49</f>
        <v>-</v>
      </c>
      <c r="C64" s="67" t="str">
        <f>'A-3'!R96</f>
        <v>-</v>
      </c>
      <c r="D64" s="100" t="str">
        <f>'A-3'!R143</f>
        <v>-</v>
      </c>
      <c r="E64" s="100" t="str">
        <f>'A-3'!R190</f>
        <v>-</v>
      </c>
      <c r="F64" s="100" t="str">
        <f>'A-3'!R237</f>
        <v>-</v>
      </c>
      <c r="G64" s="67" t="s">
        <v>29</v>
      </c>
      <c r="H64" s="67" t="str">
        <f>'A-3'!R284</f>
        <v>-</v>
      </c>
    </row>
    <row r="65" spans="1:8" ht="11.25" customHeight="1" x14ac:dyDescent="0.25">
      <c r="A65" s="291" t="s">
        <v>75</v>
      </c>
      <c r="B65" s="291"/>
      <c r="C65" s="291"/>
      <c r="D65" s="291"/>
      <c r="E65" s="291"/>
      <c r="F65" s="291"/>
      <c r="G65" s="291"/>
      <c r="H65" s="291"/>
    </row>
    <row r="66" spans="1:8" ht="11.25" customHeight="1" x14ac:dyDescent="0.25">
      <c r="A66" s="292"/>
      <c r="B66" s="292"/>
      <c r="C66" s="292"/>
      <c r="D66" s="292"/>
      <c r="E66" s="292"/>
      <c r="F66" s="292"/>
      <c r="G66" s="292"/>
      <c r="H66" s="292"/>
    </row>
  </sheetData>
  <mergeCells count="4">
    <mergeCell ref="A1:H1"/>
    <mergeCell ref="A24:H24"/>
    <mergeCell ref="A3:H3"/>
    <mergeCell ref="A45:H45"/>
  </mergeCells>
  <pageMargins left="0.7" right="0.7" top="0.75" bottom="0.75" header="0.3" footer="0.3"/>
  <pageSetup scale="9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5"/>
  <dimension ref="A1:U562"/>
  <sheetViews>
    <sheetView showGridLines="0" zoomScaleNormal="100" zoomScaleSheetLayoutView="100" workbookViewId="0">
      <selection activeCell="P42" sqref="P42"/>
    </sheetView>
  </sheetViews>
  <sheetFormatPr defaultColWidth="9" defaultRowHeight="11.25" x14ac:dyDescent="0.2"/>
  <cols>
    <col min="1" max="1" width="10.375" style="383" customWidth="1"/>
    <col min="2" max="7" width="8.375" style="309" customWidth="1"/>
    <col min="8" max="8" width="8.375" style="311" customWidth="1"/>
    <col min="9" max="9" width="8.375" style="3" customWidth="1"/>
    <col min="10" max="10" width="1.5" style="1" customWidth="1"/>
    <col min="11" max="16384" width="9" style="1"/>
  </cols>
  <sheetData>
    <row r="1" spans="1:21" ht="12.75" customHeight="1" x14ac:dyDescent="0.2">
      <c r="A1" s="514" t="s">
        <v>226</v>
      </c>
      <c r="B1" s="514"/>
      <c r="C1" s="514"/>
      <c r="D1" s="514"/>
      <c r="E1" s="514"/>
      <c r="F1" s="514"/>
      <c r="G1" s="514"/>
      <c r="H1" s="514"/>
      <c r="I1" s="514"/>
      <c r="J1" s="378"/>
      <c r="L1" s="87" t="s">
        <v>123</v>
      </c>
    </row>
    <row r="2" spans="1:21" s="380" customFormat="1" x14ac:dyDescent="0.2">
      <c r="A2" s="2" t="s">
        <v>33</v>
      </c>
      <c r="B2" s="142" t="s">
        <v>34</v>
      </c>
      <c r="C2" s="142" t="s">
        <v>35</v>
      </c>
      <c r="D2" s="142" t="s">
        <v>36</v>
      </c>
      <c r="E2" s="142" t="s">
        <v>37</v>
      </c>
      <c r="F2" s="142" t="s">
        <v>38</v>
      </c>
      <c r="G2" s="142" t="s">
        <v>39</v>
      </c>
      <c r="H2" s="143" t="s">
        <v>40</v>
      </c>
      <c r="I2" s="142" t="s">
        <v>28</v>
      </c>
      <c r="L2" s="141" t="s">
        <v>124</v>
      </c>
      <c r="M2" s="141" t="s">
        <v>124</v>
      </c>
      <c r="N2" s="141" t="s">
        <v>124</v>
      </c>
      <c r="O2" s="141" t="s">
        <v>124</v>
      </c>
      <c r="P2" s="141" t="s">
        <v>124</v>
      </c>
      <c r="Q2" s="141" t="s">
        <v>124</v>
      </c>
      <c r="R2" s="141" t="s">
        <v>124</v>
      </c>
      <c r="S2" s="141" t="s">
        <v>124</v>
      </c>
      <c r="T2" s="141" t="s">
        <v>124</v>
      </c>
    </row>
    <row r="3" spans="1:21" x14ac:dyDescent="0.2">
      <c r="A3" s="482" t="s">
        <v>321</v>
      </c>
      <c r="C3" s="104"/>
      <c r="D3" s="104"/>
      <c r="E3" s="104"/>
      <c r="F3" s="104"/>
      <c r="G3" s="104"/>
      <c r="H3" s="65"/>
      <c r="I3" s="6"/>
      <c r="L3" s="89" t="s">
        <v>125</v>
      </c>
      <c r="M3" s="89" t="s">
        <v>126</v>
      </c>
      <c r="N3" s="89" t="s">
        <v>127</v>
      </c>
      <c r="O3" s="90" t="s">
        <v>128</v>
      </c>
      <c r="P3" s="90" t="s">
        <v>129</v>
      </c>
      <c r="Q3" s="90" t="s">
        <v>130</v>
      </c>
      <c r="R3" s="90" t="s">
        <v>131</v>
      </c>
      <c r="S3" s="90" t="s">
        <v>132</v>
      </c>
      <c r="T3" s="90" t="s">
        <v>133</v>
      </c>
    </row>
    <row r="4" spans="1:21" x14ac:dyDescent="0.2">
      <c r="A4" s="383">
        <v>1978</v>
      </c>
      <c r="B4" s="33">
        <v>111</v>
      </c>
      <c r="C4" s="52">
        <v>1799</v>
      </c>
      <c r="D4" s="52">
        <v>5895</v>
      </c>
      <c r="E4" s="52">
        <v>3074</v>
      </c>
      <c r="F4" s="52">
        <v>1452</v>
      </c>
      <c r="G4" s="52">
        <v>336</v>
      </c>
      <c r="H4" s="196" t="s">
        <v>29</v>
      </c>
      <c r="I4" s="203">
        <f t="shared" ref="I4:I10" si="0">SUM(B4:H4)</f>
        <v>12667</v>
      </c>
      <c r="L4" s="1">
        <v>1978</v>
      </c>
      <c r="M4" s="92">
        <v>0</v>
      </c>
      <c r="N4" s="92">
        <v>0</v>
      </c>
      <c r="O4" s="92">
        <v>0</v>
      </c>
      <c r="P4" s="92">
        <v>0</v>
      </c>
      <c r="Q4" s="92">
        <v>0</v>
      </c>
      <c r="R4" s="92">
        <v>0</v>
      </c>
      <c r="S4" s="92">
        <v>0</v>
      </c>
      <c r="T4" s="92">
        <f t="shared" ref="T4:T30" si="1">SUM(M4:S4)</f>
        <v>0</v>
      </c>
    </row>
    <row r="5" spans="1:21" x14ac:dyDescent="0.2">
      <c r="A5" s="383">
        <v>1979</v>
      </c>
      <c r="B5" s="33">
        <v>0</v>
      </c>
      <c r="C5" s="52">
        <v>2216</v>
      </c>
      <c r="D5" s="52">
        <v>2626</v>
      </c>
      <c r="E5" s="52">
        <v>13870</v>
      </c>
      <c r="F5" s="52">
        <v>11565</v>
      </c>
      <c r="G5" s="52">
        <v>386</v>
      </c>
      <c r="H5" s="196" t="s">
        <v>29</v>
      </c>
      <c r="I5" s="203">
        <f t="shared" si="0"/>
        <v>30663</v>
      </c>
      <c r="J5" s="4"/>
      <c r="L5" s="1">
        <v>1979</v>
      </c>
      <c r="M5" s="92">
        <v>0</v>
      </c>
      <c r="N5" s="92">
        <v>0</v>
      </c>
      <c r="O5" s="92">
        <v>0</v>
      </c>
      <c r="P5" s="92">
        <v>0</v>
      </c>
      <c r="Q5" s="92">
        <v>0</v>
      </c>
      <c r="R5" s="92">
        <v>0</v>
      </c>
      <c r="S5" s="92">
        <v>0</v>
      </c>
      <c r="T5" s="92">
        <f t="shared" si="1"/>
        <v>0</v>
      </c>
    </row>
    <row r="6" spans="1:21" x14ac:dyDescent="0.2">
      <c r="A6" s="383">
        <v>1980</v>
      </c>
      <c r="B6" s="33" t="s">
        <v>29</v>
      </c>
      <c r="C6" s="52">
        <v>2114</v>
      </c>
      <c r="D6" s="52" t="s">
        <v>29</v>
      </c>
      <c r="E6" s="52">
        <v>1911</v>
      </c>
      <c r="F6" s="52">
        <v>2059</v>
      </c>
      <c r="G6" s="52">
        <v>1545</v>
      </c>
      <c r="H6" s="196" t="s">
        <v>29</v>
      </c>
      <c r="I6" s="203">
        <f t="shared" si="0"/>
        <v>7629</v>
      </c>
      <c r="J6" s="4"/>
      <c r="L6" s="1">
        <v>1980</v>
      </c>
      <c r="M6" s="92">
        <v>0</v>
      </c>
      <c r="N6" s="92">
        <v>0</v>
      </c>
      <c r="O6" s="92">
        <v>0</v>
      </c>
      <c r="P6" s="92">
        <v>0</v>
      </c>
      <c r="Q6" s="92">
        <v>0</v>
      </c>
      <c r="R6" s="92">
        <v>0</v>
      </c>
      <c r="S6" s="92">
        <v>0</v>
      </c>
      <c r="T6" s="92">
        <f t="shared" si="1"/>
        <v>0</v>
      </c>
    </row>
    <row r="7" spans="1:21" x14ac:dyDescent="0.2">
      <c r="A7" s="383">
        <v>1981</v>
      </c>
      <c r="B7" s="33" t="s">
        <v>29</v>
      </c>
      <c r="C7" s="52">
        <v>3019</v>
      </c>
      <c r="D7" s="52">
        <v>755</v>
      </c>
      <c r="E7" s="52">
        <v>2270</v>
      </c>
      <c r="F7" s="52">
        <v>3397</v>
      </c>
      <c r="G7" s="52">
        <v>1472</v>
      </c>
      <c r="H7" s="196" t="s">
        <v>29</v>
      </c>
      <c r="I7" s="203">
        <f t="shared" si="0"/>
        <v>10913</v>
      </c>
      <c r="J7" s="4"/>
      <c r="L7" s="1">
        <v>1981</v>
      </c>
      <c r="M7" s="92">
        <v>0</v>
      </c>
      <c r="N7" s="92">
        <v>0</v>
      </c>
      <c r="O7" s="92">
        <v>0</v>
      </c>
      <c r="P7" s="92">
        <v>0</v>
      </c>
      <c r="Q7" s="92">
        <v>0</v>
      </c>
      <c r="R7" s="92">
        <v>0</v>
      </c>
      <c r="S7" s="92">
        <v>0</v>
      </c>
      <c r="T7" s="92">
        <f t="shared" si="1"/>
        <v>0</v>
      </c>
    </row>
    <row r="8" spans="1:21" x14ac:dyDescent="0.2">
      <c r="A8" s="383">
        <v>1982</v>
      </c>
      <c r="B8" s="33" t="s">
        <v>29</v>
      </c>
      <c r="C8" s="52">
        <v>1379</v>
      </c>
      <c r="D8" s="52">
        <v>916</v>
      </c>
      <c r="E8" s="52">
        <v>3452</v>
      </c>
      <c r="F8" s="52">
        <v>4834</v>
      </c>
      <c r="G8" s="52">
        <v>1118</v>
      </c>
      <c r="H8" s="196" t="s">
        <v>29</v>
      </c>
      <c r="I8" s="203">
        <f t="shared" si="0"/>
        <v>11699</v>
      </c>
      <c r="J8" s="4"/>
      <c r="L8" s="1">
        <v>1982</v>
      </c>
      <c r="M8" s="92">
        <v>0</v>
      </c>
      <c r="N8" s="92">
        <v>0</v>
      </c>
      <c r="O8" s="92">
        <v>0</v>
      </c>
      <c r="P8" s="92">
        <v>0</v>
      </c>
      <c r="Q8" s="92">
        <v>0</v>
      </c>
      <c r="R8" s="92">
        <v>0</v>
      </c>
      <c r="S8" s="92">
        <v>0</v>
      </c>
      <c r="T8" s="92">
        <f t="shared" si="1"/>
        <v>0</v>
      </c>
    </row>
    <row r="9" spans="1:21" x14ac:dyDescent="0.2">
      <c r="A9" s="123">
        <v>1983</v>
      </c>
      <c r="B9" s="33" t="s">
        <v>29</v>
      </c>
      <c r="C9" s="52">
        <v>488</v>
      </c>
      <c r="D9" s="52">
        <v>2105</v>
      </c>
      <c r="E9" s="52">
        <v>1302</v>
      </c>
      <c r="F9" s="52">
        <v>759</v>
      </c>
      <c r="G9" s="52" t="s">
        <v>29</v>
      </c>
      <c r="H9" s="196" t="s">
        <v>29</v>
      </c>
      <c r="I9" s="199">
        <f t="shared" si="0"/>
        <v>4654</v>
      </c>
      <c r="J9" s="504"/>
      <c r="K9" s="292"/>
      <c r="L9" s="292">
        <v>1983</v>
      </c>
      <c r="M9" s="93">
        <v>0</v>
      </c>
      <c r="N9" s="93">
        <v>0</v>
      </c>
      <c r="O9" s="93">
        <v>0</v>
      </c>
      <c r="P9" s="93">
        <v>0</v>
      </c>
      <c r="Q9" s="93">
        <v>0</v>
      </c>
      <c r="R9" s="93">
        <v>0</v>
      </c>
      <c r="S9" s="93">
        <v>0</v>
      </c>
      <c r="T9" s="93">
        <f t="shared" si="1"/>
        <v>0</v>
      </c>
      <c r="U9" s="292"/>
    </row>
    <row r="10" spans="1:21" x14ac:dyDescent="0.2">
      <c r="A10" s="123">
        <v>1984</v>
      </c>
      <c r="B10" s="33" t="s">
        <v>29</v>
      </c>
      <c r="C10" s="52">
        <v>565</v>
      </c>
      <c r="D10" s="52">
        <v>69</v>
      </c>
      <c r="E10" s="52">
        <v>765</v>
      </c>
      <c r="F10" s="52">
        <v>1047</v>
      </c>
      <c r="G10" s="52" t="s">
        <v>29</v>
      </c>
      <c r="H10" s="196" t="s">
        <v>29</v>
      </c>
      <c r="I10" s="199">
        <f t="shared" si="0"/>
        <v>2446</v>
      </c>
      <c r="J10" s="504"/>
      <c r="K10" s="292"/>
      <c r="L10" s="292">
        <v>1984</v>
      </c>
      <c r="M10" s="93">
        <v>0</v>
      </c>
      <c r="N10" s="93">
        <v>0</v>
      </c>
      <c r="O10" s="93">
        <v>0</v>
      </c>
      <c r="P10" s="93">
        <v>0</v>
      </c>
      <c r="Q10" s="93">
        <v>0</v>
      </c>
      <c r="R10" s="93">
        <v>0</v>
      </c>
      <c r="S10" s="93">
        <v>0</v>
      </c>
      <c r="T10" s="93">
        <f t="shared" si="1"/>
        <v>0</v>
      </c>
      <c r="U10" s="292"/>
    </row>
    <row r="11" spans="1:21" x14ac:dyDescent="0.2">
      <c r="A11" s="123">
        <v>1985</v>
      </c>
      <c r="B11" s="33" t="s">
        <v>29</v>
      </c>
      <c r="C11" s="52" t="s">
        <v>29</v>
      </c>
      <c r="D11" s="52" t="s">
        <v>29</v>
      </c>
      <c r="E11" s="52" t="s">
        <v>29</v>
      </c>
      <c r="F11" s="52" t="s">
        <v>29</v>
      </c>
      <c r="G11" s="52" t="s">
        <v>29</v>
      </c>
      <c r="H11" s="196" t="s">
        <v>29</v>
      </c>
      <c r="I11" s="199" t="s">
        <v>29</v>
      </c>
      <c r="J11" s="504"/>
      <c r="K11" s="292"/>
      <c r="L11" s="292">
        <v>1985</v>
      </c>
      <c r="M11" s="93" t="s">
        <v>29</v>
      </c>
      <c r="N11" s="93" t="s">
        <v>29</v>
      </c>
      <c r="O11" s="93" t="s">
        <v>29</v>
      </c>
      <c r="P11" s="93" t="s">
        <v>29</v>
      </c>
      <c r="Q11" s="93" t="s">
        <v>29</v>
      </c>
      <c r="R11" s="93" t="s">
        <v>29</v>
      </c>
      <c r="S11" s="93" t="s">
        <v>29</v>
      </c>
      <c r="T11" s="93">
        <f t="shared" si="1"/>
        <v>0</v>
      </c>
      <c r="U11" s="292"/>
    </row>
    <row r="12" spans="1:21" x14ac:dyDescent="0.2">
      <c r="A12" s="123">
        <v>1986</v>
      </c>
      <c r="B12" s="106" t="s">
        <v>29</v>
      </c>
      <c r="C12" s="52">
        <v>5</v>
      </c>
      <c r="D12" s="52">
        <v>214.22460117548277</v>
      </c>
      <c r="E12" s="52">
        <v>416.93071869100061</v>
      </c>
      <c r="F12" s="52">
        <v>410.24831918363935</v>
      </c>
      <c r="G12" s="52">
        <v>14</v>
      </c>
      <c r="H12" s="196" t="s">
        <v>29</v>
      </c>
      <c r="I12" s="199">
        <f>SUM(B12:H12)</f>
        <v>1060.4036390501228</v>
      </c>
      <c r="J12" s="504"/>
      <c r="K12" s="292"/>
      <c r="L12" s="94">
        <v>1986</v>
      </c>
      <c r="M12" s="93">
        <v>0</v>
      </c>
      <c r="N12" s="93">
        <v>5</v>
      </c>
      <c r="O12" s="93">
        <v>0</v>
      </c>
      <c r="P12" s="93">
        <v>0</v>
      </c>
      <c r="Q12" s="93">
        <v>0</v>
      </c>
      <c r="R12" s="93">
        <v>0</v>
      </c>
      <c r="S12" s="93">
        <v>0</v>
      </c>
      <c r="T12" s="93">
        <f t="shared" si="1"/>
        <v>5</v>
      </c>
      <c r="U12" s="292"/>
    </row>
    <row r="13" spans="1:21" x14ac:dyDescent="0.2">
      <c r="A13" s="123">
        <v>1987</v>
      </c>
      <c r="B13" s="33" t="s">
        <v>29</v>
      </c>
      <c r="C13" s="52">
        <v>9</v>
      </c>
      <c r="D13" s="52">
        <v>692.57041560932964</v>
      </c>
      <c r="E13" s="52">
        <v>22</v>
      </c>
      <c r="F13" s="52" t="s">
        <v>29</v>
      </c>
      <c r="G13" s="52">
        <v>17.646414887794197</v>
      </c>
      <c r="H13" s="196" t="s">
        <v>29</v>
      </c>
      <c r="I13" s="199">
        <f>SUM(B13:H13)</f>
        <v>741.21683049712385</v>
      </c>
      <c r="J13" s="504"/>
      <c r="K13" s="292"/>
      <c r="L13" s="94">
        <v>1987</v>
      </c>
      <c r="M13" s="93">
        <v>0</v>
      </c>
      <c r="N13" s="93">
        <v>9</v>
      </c>
      <c r="O13" s="93">
        <v>0</v>
      </c>
      <c r="P13" s="93">
        <v>22</v>
      </c>
      <c r="Q13" s="93">
        <v>0</v>
      </c>
      <c r="R13" s="93">
        <v>0</v>
      </c>
      <c r="S13" s="93">
        <v>0</v>
      </c>
      <c r="T13" s="93">
        <f t="shared" si="1"/>
        <v>31</v>
      </c>
      <c r="U13" s="292"/>
    </row>
    <row r="14" spans="1:21" x14ac:dyDescent="0.2">
      <c r="A14" s="123">
        <v>1988</v>
      </c>
      <c r="B14" s="33" t="s">
        <v>29</v>
      </c>
      <c r="C14" s="52">
        <v>12</v>
      </c>
      <c r="D14" s="52">
        <v>242.93656885320107</v>
      </c>
      <c r="E14" s="52" t="s">
        <v>29</v>
      </c>
      <c r="F14" s="52" t="s">
        <v>29</v>
      </c>
      <c r="G14" s="52">
        <v>17.387996520730645</v>
      </c>
      <c r="H14" s="196" t="s">
        <v>29</v>
      </c>
      <c r="I14" s="199">
        <f>SUM(B14:H14)</f>
        <v>272.3245653739317</v>
      </c>
      <c r="J14" s="504"/>
      <c r="K14" s="292"/>
      <c r="L14" s="94">
        <v>1988</v>
      </c>
      <c r="M14" s="93">
        <v>0</v>
      </c>
      <c r="N14" s="93">
        <v>12</v>
      </c>
      <c r="O14" s="93">
        <v>0</v>
      </c>
      <c r="P14" s="93">
        <v>0</v>
      </c>
      <c r="Q14" s="93">
        <v>0</v>
      </c>
      <c r="R14" s="93">
        <v>0</v>
      </c>
      <c r="S14" s="93">
        <v>0</v>
      </c>
      <c r="T14" s="93">
        <f t="shared" si="1"/>
        <v>12</v>
      </c>
      <c r="U14" s="292"/>
    </row>
    <row r="15" spans="1:21" x14ac:dyDescent="0.2">
      <c r="A15" s="123">
        <v>1989</v>
      </c>
      <c r="B15" s="33" t="s">
        <v>29</v>
      </c>
      <c r="C15" s="52">
        <v>10</v>
      </c>
      <c r="D15" s="52">
        <v>290.6439324518916</v>
      </c>
      <c r="E15" s="52" t="s">
        <v>29</v>
      </c>
      <c r="F15" s="52">
        <v>68.460802112559833</v>
      </c>
      <c r="G15" s="52">
        <v>0</v>
      </c>
      <c r="H15" s="196">
        <v>0</v>
      </c>
      <c r="I15" s="199">
        <f>SUM(B15:H15)</f>
        <v>369.10473456445141</v>
      </c>
      <c r="J15" s="504"/>
      <c r="K15" s="292"/>
      <c r="L15" s="94">
        <v>1989</v>
      </c>
      <c r="M15" s="93">
        <v>0</v>
      </c>
      <c r="N15" s="93">
        <v>10</v>
      </c>
      <c r="O15" s="93">
        <v>0</v>
      </c>
      <c r="P15" s="93">
        <v>0</v>
      </c>
      <c r="Q15" s="93">
        <v>0</v>
      </c>
      <c r="R15" s="93">
        <v>0</v>
      </c>
      <c r="S15" s="93">
        <v>0</v>
      </c>
      <c r="T15" s="93">
        <f t="shared" si="1"/>
        <v>10</v>
      </c>
      <c r="U15" s="292"/>
    </row>
    <row r="16" spans="1:21" x14ac:dyDescent="0.2">
      <c r="A16" s="123">
        <v>1990</v>
      </c>
      <c r="B16" s="33" t="s">
        <v>29</v>
      </c>
      <c r="C16" s="52" t="s">
        <v>29</v>
      </c>
      <c r="D16" s="52" t="s">
        <v>29</v>
      </c>
      <c r="E16" s="52" t="s">
        <v>29</v>
      </c>
      <c r="F16" s="52">
        <v>280</v>
      </c>
      <c r="G16" s="52">
        <v>0</v>
      </c>
      <c r="H16" s="196">
        <v>0</v>
      </c>
      <c r="I16" s="199">
        <f>SUM(B16:H16)</f>
        <v>280</v>
      </c>
      <c r="J16" s="504"/>
      <c r="K16" s="292"/>
      <c r="L16" s="94">
        <v>1990</v>
      </c>
      <c r="M16" s="93">
        <v>0</v>
      </c>
      <c r="N16" s="93">
        <v>0</v>
      </c>
      <c r="O16" s="93">
        <v>0</v>
      </c>
      <c r="P16" s="93">
        <v>0</v>
      </c>
      <c r="Q16" s="93">
        <v>0</v>
      </c>
      <c r="R16" s="93">
        <v>0</v>
      </c>
      <c r="S16" s="93">
        <v>0</v>
      </c>
      <c r="T16" s="93">
        <f t="shared" si="1"/>
        <v>0</v>
      </c>
      <c r="U16" s="292"/>
    </row>
    <row r="17" spans="1:21" x14ac:dyDescent="0.2">
      <c r="A17" s="123">
        <v>1991</v>
      </c>
      <c r="B17" s="31" t="s">
        <v>29</v>
      </c>
      <c r="C17" s="52" t="s">
        <v>29</v>
      </c>
      <c r="D17" s="52" t="s">
        <v>29</v>
      </c>
      <c r="E17" s="52" t="s">
        <v>29</v>
      </c>
      <c r="F17" s="52" t="s">
        <v>29</v>
      </c>
      <c r="G17" s="52" t="s">
        <v>29</v>
      </c>
      <c r="H17" s="196" t="s">
        <v>29</v>
      </c>
      <c r="I17" s="199" t="s">
        <v>29</v>
      </c>
      <c r="J17" s="292"/>
      <c r="K17" s="292"/>
      <c r="L17" s="94">
        <v>1991</v>
      </c>
      <c r="M17" s="93" t="s">
        <v>29</v>
      </c>
      <c r="N17" s="93" t="s">
        <v>29</v>
      </c>
      <c r="O17" s="93" t="s">
        <v>29</v>
      </c>
      <c r="P17" s="93" t="s">
        <v>29</v>
      </c>
      <c r="Q17" s="93" t="s">
        <v>29</v>
      </c>
      <c r="R17" s="93" t="s">
        <v>29</v>
      </c>
      <c r="S17" s="93" t="s">
        <v>29</v>
      </c>
      <c r="T17" s="93">
        <f t="shared" si="1"/>
        <v>0</v>
      </c>
      <c r="U17" s="292"/>
    </row>
    <row r="18" spans="1:21" x14ac:dyDescent="0.2">
      <c r="A18" s="123">
        <v>1992</v>
      </c>
      <c r="B18" s="31" t="s">
        <v>29</v>
      </c>
      <c r="C18" s="52" t="s">
        <v>29</v>
      </c>
      <c r="D18" s="52" t="s">
        <v>29</v>
      </c>
      <c r="E18" s="52" t="s">
        <v>29</v>
      </c>
      <c r="F18" s="52" t="s">
        <v>29</v>
      </c>
      <c r="G18" s="52" t="s">
        <v>29</v>
      </c>
      <c r="H18" s="196" t="s">
        <v>29</v>
      </c>
      <c r="I18" s="199" t="s">
        <v>29</v>
      </c>
      <c r="J18" s="292"/>
      <c r="K18" s="292"/>
      <c r="L18" s="94">
        <v>1992</v>
      </c>
      <c r="M18" s="93" t="s">
        <v>29</v>
      </c>
      <c r="N18" s="93" t="s">
        <v>29</v>
      </c>
      <c r="O18" s="93" t="s">
        <v>29</v>
      </c>
      <c r="P18" s="93" t="s">
        <v>29</v>
      </c>
      <c r="Q18" s="93" t="s">
        <v>29</v>
      </c>
      <c r="R18" s="93" t="s">
        <v>29</v>
      </c>
      <c r="S18" s="93" t="s">
        <v>29</v>
      </c>
      <c r="T18" s="93">
        <f t="shared" si="1"/>
        <v>0</v>
      </c>
      <c r="U18" s="292"/>
    </row>
    <row r="19" spans="1:21" x14ac:dyDescent="0.2">
      <c r="A19" s="123">
        <v>1993</v>
      </c>
      <c r="B19" s="31" t="s">
        <v>29</v>
      </c>
      <c r="C19" s="52" t="s">
        <v>29</v>
      </c>
      <c r="D19" s="52" t="s">
        <v>29</v>
      </c>
      <c r="E19" s="52" t="s">
        <v>29</v>
      </c>
      <c r="F19" s="52" t="s">
        <v>29</v>
      </c>
      <c r="G19" s="52" t="s">
        <v>29</v>
      </c>
      <c r="H19" s="196" t="s">
        <v>29</v>
      </c>
      <c r="I19" s="199" t="s">
        <v>29</v>
      </c>
      <c r="J19" s="292"/>
      <c r="K19" s="292"/>
      <c r="L19" s="94">
        <v>1993</v>
      </c>
      <c r="M19" s="93" t="s">
        <v>29</v>
      </c>
      <c r="N19" s="93" t="s">
        <v>29</v>
      </c>
      <c r="O19" s="93" t="s">
        <v>29</v>
      </c>
      <c r="P19" s="93" t="s">
        <v>29</v>
      </c>
      <c r="Q19" s="93" t="s">
        <v>29</v>
      </c>
      <c r="R19" s="93" t="s">
        <v>29</v>
      </c>
      <c r="S19" s="93" t="s">
        <v>29</v>
      </c>
      <c r="T19" s="93">
        <f t="shared" si="1"/>
        <v>0</v>
      </c>
      <c r="U19" s="292"/>
    </row>
    <row r="20" spans="1:21" x14ac:dyDescent="0.2">
      <c r="A20" s="123">
        <v>1994</v>
      </c>
      <c r="B20" s="31" t="s">
        <v>29</v>
      </c>
      <c r="C20" s="52" t="s">
        <v>29</v>
      </c>
      <c r="D20" s="52" t="s">
        <v>29</v>
      </c>
      <c r="E20" s="52" t="s">
        <v>29</v>
      </c>
      <c r="F20" s="52" t="s">
        <v>29</v>
      </c>
      <c r="G20" s="52" t="s">
        <v>29</v>
      </c>
      <c r="H20" s="196" t="s">
        <v>29</v>
      </c>
      <c r="I20" s="199" t="s">
        <v>29</v>
      </c>
      <c r="J20" s="292"/>
      <c r="K20" s="292"/>
      <c r="L20" s="94">
        <v>1994</v>
      </c>
      <c r="M20" s="93" t="s">
        <v>29</v>
      </c>
      <c r="N20" s="93" t="s">
        <v>29</v>
      </c>
      <c r="O20" s="93" t="s">
        <v>29</v>
      </c>
      <c r="P20" s="93" t="s">
        <v>29</v>
      </c>
      <c r="Q20" s="93" t="s">
        <v>29</v>
      </c>
      <c r="R20" s="93" t="s">
        <v>29</v>
      </c>
      <c r="S20" s="93" t="s">
        <v>29</v>
      </c>
      <c r="T20" s="93">
        <f t="shared" si="1"/>
        <v>0</v>
      </c>
      <c r="U20" s="292"/>
    </row>
    <row r="21" spans="1:21" x14ac:dyDescent="0.2">
      <c r="A21" s="123">
        <v>1995</v>
      </c>
      <c r="B21" s="31" t="s">
        <v>29</v>
      </c>
      <c r="C21" s="52" t="s">
        <v>29</v>
      </c>
      <c r="D21" s="52" t="s">
        <v>29</v>
      </c>
      <c r="E21" s="52" t="s">
        <v>29</v>
      </c>
      <c r="F21" s="52" t="s">
        <v>29</v>
      </c>
      <c r="G21" s="52" t="s">
        <v>29</v>
      </c>
      <c r="H21" s="196" t="s">
        <v>29</v>
      </c>
      <c r="I21" s="199" t="s">
        <v>29</v>
      </c>
      <c r="J21" s="292"/>
      <c r="K21" s="292"/>
      <c r="L21" s="94">
        <v>1995</v>
      </c>
      <c r="M21" s="93" t="s">
        <v>29</v>
      </c>
      <c r="N21" s="93" t="s">
        <v>29</v>
      </c>
      <c r="O21" s="93" t="s">
        <v>29</v>
      </c>
      <c r="P21" s="93" t="s">
        <v>29</v>
      </c>
      <c r="Q21" s="93" t="s">
        <v>29</v>
      </c>
      <c r="R21" s="93" t="s">
        <v>29</v>
      </c>
      <c r="S21" s="93" t="s">
        <v>29</v>
      </c>
      <c r="T21" s="93">
        <f t="shared" si="1"/>
        <v>0</v>
      </c>
      <c r="U21" s="292"/>
    </row>
    <row r="22" spans="1:21" x14ac:dyDescent="0.2">
      <c r="A22" s="123">
        <v>1996</v>
      </c>
      <c r="B22" s="31" t="s">
        <v>29</v>
      </c>
      <c r="C22" s="52" t="s">
        <v>29</v>
      </c>
      <c r="D22" s="52" t="s">
        <v>29</v>
      </c>
      <c r="E22" s="52" t="s">
        <v>29</v>
      </c>
      <c r="F22" s="52">
        <v>10</v>
      </c>
      <c r="G22" s="52">
        <v>11</v>
      </c>
      <c r="H22" s="196" t="s">
        <v>29</v>
      </c>
      <c r="I22" s="199">
        <f t="shared" ref="I22:I31" si="2">SUM(B22:H22)</f>
        <v>21</v>
      </c>
      <c r="J22" s="292"/>
      <c r="K22" s="292"/>
      <c r="L22" s="94">
        <v>1996</v>
      </c>
      <c r="M22" s="93">
        <v>0</v>
      </c>
      <c r="N22" s="93">
        <v>0</v>
      </c>
      <c r="O22" s="93">
        <v>0</v>
      </c>
      <c r="P22" s="93">
        <v>0</v>
      </c>
      <c r="Q22" s="93">
        <v>0</v>
      </c>
      <c r="R22" s="93">
        <v>0</v>
      </c>
      <c r="S22" s="93">
        <v>0</v>
      </c>
      <c r="T22" s="93">
        <f t="shared" si="1"/>
        <v>0</v>
      </c>
      <c r="U22" s="292"/>
    </row>
    <row r="23" spans="1:21" x14ac:dyDescent="0.2">
      <c r="A23" s="123">
        <v>1997</v>
      </c>
      <c r="B23" s="31" t="s">
        <v>29</v>
      </c>
      <c r="C23" s="52" t="s">
        <v>29</v>
      </c>
      <c r="D23" s="52" t="s">
        <v>29</v>
      </c>
      <c r="E23" s="52" t="s">
        <v>29</v>
      </c>
      <c r="F23" s="52" t="s">
        <v>29</v>
      </c>
      <c r="G23" s="52">
        <v>0</v>
      </c>
      <c r="H23" s="196" t="s">
        <v>29</v>
      </c>
      <c r="I23" s="199">
        <f t="shared" si="2"/>
        <v>0</v>
      </c>
      <c r="J23" s="292"/>
      <c r="K23" s="292"/>
      <c r="L23" s="94">
        <v>1997</v>
      </c>
      <c r="M23" s="93">
        <v>0</v>
      </c>
      <c r="N23" s="93">
        <v>0</v>
      </c>
      <c r="O23" s="93">
        <v>0</v>
      </c>
      <c r="P23" s="93">
        <v>0</v>
      </c>
      <c r="Q23" s="93">
        <v>0</v>
      </c>
      <c r="R23" s="93">
        <v>0</v>
      </c>
      <c r="S23" s="93">
        <v>0</v>
      </c>
      <c r="T23" s="93">
        <f t="shared" si="1"/>
        <v>0</v>
      </c>
      <c r="U23" s="292"/>
    </row>
    <row r="24" spans="1:21" x14ac:dyDescent="0.2">
      <c r="A24" s="123">
        <v>1998</v>
      </c>
      <c r="B24" s="31" t="s">
        <v>29</v>
      </c>
      <c r="C24" s="52" t="s">
        <v>29</v>
      </c>
      <c r="D24" s="52" t="s">
        <v>29</v>
      </c>
      <c r="E24" s="52" t="s">
        <v>29</v>
      </c>
      <c r="F24" s="52" t="s">
        <v>29</v>
      </c>
      <c r="G24" s="52">
        <v>0</v>
      </c>
      <c r="H24" s="196" t="s">
        <v>29</v>
      </c>
      <c r="I24" s="199">
        <f t="shared" si="2"/>
        <v>0</v>
      </c>
      <c r="J24" s="292"/>
      <c r="K24" s="292"/>
      <c r="L24" s="94">
        <v>1998</v>
      </c>
      <c r="M24" s="93">
        <v>0</v>
      </c>
      <c r="N24" s="93">
        <v>0</v>
      </c>
      <c r="O24" s="93">
        <v>0</v>
      </c>
      <c r="P24" s="93">
        <v>0</v>
      </c>
      <c r="Q24" s="93">
        <v>0</v>
      </c>
      <c r="R24" s="93">
        <v>0</v>
      </c>
      <c r="S24" s="93">
        <v>0</v>
      </c>
      <c r="T24" s="93">
        <f t="shared" si="1"/>
        <v>0</v>
      </c>
      <c r="U24" s="292"/>
    </row>
    <row r="25" spans="1:21" x14ac:dyDescent="0.2">
      <c r="A25" s="123">
        <v>1999</v>
      </c>
      <c r="B25" s="31" t="s">
        <v>29</v>
      </c>
      <c r="C25" s="52" t="s">
        <v>29</v>
      </c>
      <c r="D25" s="52" t="s">
        <v>29</v>
      </c>
      <c r="E25" s="52" t="s">
        <v>29</v>
      </c>
      <c r="F25" s="52" t="s">
        <v>29</v>
      </c>
      <c r="G25" s="52">
        <v>29</v>
      </c>
      <c r="H25" s="196" t="s">
        <v>29</v>
      </c>
      <c r="I25" s="199">
        <f t="shared" si="2"/>
        <v>29</v>
      </c>
      <c r="J25" s="292"/>
      <c r="K25" s="292"/>
      <c r="L25" s="94">
        <v>1999</v>
      </c>
      <c r="M25" s="93">
        <v>0</v>
      </c>
      <c r="N25" s="93">
        <v>0</v>
      </c>
      <c r="O25" s="93">
        <v>0</v>
      </c>
      <c r="P25" s="93">
        <v>0</v>
      </c>
      <c r="Q25" s="93">
        <v>0</v>
      </c>
      <c r="R25" s="93">
        <v>0</v>
      </c>
      <c r="S25" s="93">
        <v>0</v>
      </c>
      <c r="T25" s="93">
        <f t="shared" si="1"/>
        <v>0</v>
      </c>
      <c r="U25" s="292"/>
    </row>
    <row r="26" spans="1:21" x14ac:dyDescent="0.2">
      <c r="A26" s="123">
        <v>2000</v>
      </c>
      <c r="B26" s="31" t="s">
        <v>29</v>
      </c>
      <c r="C26" s="52" t="s">
        <v>29</v>
      </c>
      <c r="D26" s="52" t="s">
        <v>29</v>
      </c>
      <c r="E26" s="52" t="s">
        <v>29</v>
      </c>
      <c r="F26" s="52" t="s">
        <v>29</v>
      </c>
      <c r="G26" s="52">
        <v>23</v>
      </c>
      <c r="H26" s="196" t="s">
        <v>29</v>
      </c>
      <c r="I26" s="199">
        <f t="shared" si="2"/>
        <v>23</v>
      </c>
      <c r="J26" s="292"/>
      <c r="K26" s="292"/>
      <c r="L26" s="94">
        <v>2000</v>
      </c>
      <c r="M26" s="93">
        <v>0</v>
      </c>
      <c r="N26" s="93">
        <v>0</v>
      </c>
      <c r="O26" s="93">
        <v>0</v>
      </c>
      <c r="P26" s="93">
        <v>0</v>
      </c>
      <c r="Q26" s="93">
        <v>0</v>
      </c>
      <c r="R26" s="93">
        <v>0</v>
      </c>
      <c r="S26" s="93">
        <v>0</v>
      </c>
      <c r="T26" s="93">
        <f t="shared" si="1"/>
        <v>0</v>
      </c>
      <c r="U26" s="292"/>
    </row>
    <row r="27" spans="1:21" x14ac:dyDescent="0.2">
      <c r="A27" s="123">
        <v>2001</v>
      </c>
      <c r="B27" s="31" t="s">
        <v>29</v>
      </c>
      <c r="C27" s="52" t="s">
        <v>29</v>
      </c>
      <c r="D27" s="52" t="s">
        <v>29</v>
      </c>
      <c r="E27" s="52" t="s">
        <v>29</v>
      </c>
      <c r="F27" s="52" t="s">
        <v>29</v>
      </c>
      <c r="G27" s="52">
        <v>18</v>
      </c>
      <c r="H27" s="196" t="s">
        <v>29</v>
      </c>
      <c r="I27" s="199">
        <f t="shared" si="2"/>
        <v>18</v>
      </c>
      <c r="J27" s="292"/>
      <c r="K27" s="292"/>
      <c r="L27" s="292">
        <v>2001</v>
      </c>
      <c r="M27" s="93">
        <v>0</v>
      </c>
      <c r="N27" s="93">
        <v>0</v>
      </c>
      <c r="O27" s="93">
        <v>0</v>
      </c>
      <c r="P27" s="93">
        <v>0</v>
      </c>
      <c r="Q27" s="93">
        <v>0</v>
      </c>
      <c r="R27" s="93">
        <v>0</v>
      </c>
      <c r="S27" s="93">
        <v>0</v>
      </c>
      <c r="T27" s="93">
        <f t="shared" si="1"/>
        <v>0</v>
      </c>
      <c r="U27" s="292"/>
    </row>
    <row r="28" spans="1:21" ht="11.25" customHeight="1" x14ac:dyDescent="0.2">
      <c r="A28" s="123">
        <v>2002</v>
      </c>
      <c r="B28" s="31" t="s">
        <v>29</v>
      </c>
      <c r="C28" s="52" t="s">
        <v>29</v>
      </c>
      <c r="D28" s="52" t="s">
        <v>29</v>
      </c>
      <c r="E28" s="52" t="s">
        <v>29</v>
      </c>
      <c r="F28" s="52">
        <v>27</v>
      </c>
      <c r="G28" s="52">
        <v>146</v>
      </c>
      <c r="H28" s="196">
        <v>6</v>
      </c>
      <c r="I28" s="199">
        <f t="shared" si="2"/>
        <v>179</v>
      </c>
      <c r="J28" s="432" t="s">
        <v>31</v>
      </c>
      <c r="K28" s="292"/>
      <c r="L28" s="292">
        <v>2002</v>
      </c>
      <c r="M28" s="292">
        <v>0</v>
      </c>
      <c r="N28" s="292">
        <v>0</v>
      </c>
      <c r="O28" s="292">
        <v>0</v>
      </c>
      <c r="P28" s="199">
        <v>0</v>
      </c>
      <c r="Q28" s="199">
        <v>0</v>
      </c>
      <c r="R28" s="199">
        <v>2</v>
      </c>
      <c r="S28" s="292">
        <v>6</v>
      </c>
      <c r="T28" s="93">
        <f t="shared" si="1"/>
        <v>8</v>
      </c>
      <c r="U28" s="292"/>
    </row>
    <row r="29" spans="1:21" ht="11.25" customHeight="1" x14ac:dyDescent="0.2">
      <c r="A29" s="123">
        <v>2003</v>
      </c>
      <c r="B29" s="31">
        <v>14</v>
      </c>
      <c r="C29" s="52">
        <v>2</v>
      </c>
      <c r="D29" s="52">
        <v>4</v>
      </c>
      <c r="E29" s="52" t="s">
        <v>29</v>
      </c>
      <c r="F29" s="52" t="s">
        <v>29</v>
      </c>
      <c r="G29" s="52">
        <v>50</v>
      </c>
      <c r="H29" s="196">
        <v>6</v>
      </c>
      <c r="I29" s="199">
        <f t="shared" si="2"/>
        <v>76</v>
      </c>
      <c r="J29" s="432" t="s">
        <v>31</v>
      </c>
      <c r="K29" s="292"/>
      <c r="L29" s="292">
        <v>2003</v>
      </c>
      <c r="M29" s="199">
        <v>14</v>
      </c>
      <c r="N29" s="199">
        <v>2</v>
      </c>
      <c r="O29" s="199">
        <v>4</v>
      </c>
      <c r="P29" s="199">
        <v>0</v>
      </c>
      <c r="Q29" s="199">
        <v>0</v>
      </c>
      <c r="R29" s="292">
        <v>0</v>
      </c>
      <c r="S29" s="292">
        <v>6</v>
      </c>
      <c r="T29" s="93">
        <f t="shared" si="1"/>
        <v>26</v>
      </c>
      <c r="U29" s="292"/>
    </row>
    <row r="30" spans="1:21" ht="11.25" customHeight="1" x14ac:dyDescent="0.2">
      <c r="A30" s="123">
        <v>2004</v>
      </c>
      <c r="B30" s="31">
        <v>22</v>
      </c>
      <c r="C30" s="52" t="s">
        <v>29</v>
      </c>
      <c r="D30" s="52">
        <v>2</v>
      </c>
      <c r="E30" s="52">
        <v>36</v>
      </c>
      <c r="F30" s="52">
        <v>167</v>
      </c>
      <c r="G30" s="52">
        <v>35</v>
      </c>
      <c r="H30" s="196" t="s">
        <v>29</v>
      </c>
      <c r="I30" s="199">
        <f t="shared" si="2"/>
        <v>262</v>
      </c>
      <c r="J30" s="432" t="s">
        <v>31</v>
      </c>
      <c r="K30" s="292"/>
      <c r="L30" s="292"/>
      <c r="M30" s="292">
        <v>22</v>
      </c>
      <c r="N30" s="199">
        <v>0</v>
      </c>
      <c r="O30" s="292">
        <v>2</v>
      </c>
      <c r="P30" s="292">
        <v>36</v>
      </c>
      <c r="Q30" s="292">
        <v>167</v>
      </c>
      <c r="R30" s="199">
        <v>0</v>
      </c>
      <c r="S30" s="199">
        <v>0</v>
      </c>
      <c r="T30" s="93">
        <f t="shared" si="1"/>
        <v>227</v>
      </c>
      <c r="U30" s="292"/>
    </row>
    <row r="31" spans="1:21" ht="11.25" customHeight="1" x14ac:dyDescent="0.2">
      <c r="A31" s="123">
        <v>2005</v>
      </c>
      <c r="B31" s="31" t="s">
        <v>29</v>
      </c>
      <c r="C31" s="52" t="s">
        <v>29</v>
      </c>
      <c r="D31" s="52" t="s">
        <v>29</v>
      </c>
      <c r="E31" s="52" t="s">
        <v>29</v>
      </c>
      <c r="F31" s="52" t="s">
        <v>29</v>
      </c>
      <c r="G31" s="52">
        <v>58</v>
      </c>
      <c r="H31" s="196" t="s">
        <v>29</v>
      </c>
      <c r="I31" s="199">
        <f t="shared" si="2"/>
        <v>58</v>
      </c>
      <c r="J31" s="432"/>
      <c r="K31" s="292"/>
      <c r="L31" s="292"/>
      <c r="M31" s="199"/>
      <c r="N31" s="199"/>
      <c r="O31" s="199"/>
      <c r="P31" s="199"/>
      <c r="Q31" s="199"/>
      <c r="R31" s="199"/>
      <c r="S31" s="199"/>
      <c r="T31" s="199"/>
      <c r="U31" s="292"/>
    </row>
    <row r="32" spans="1:21" ht="11.25" customHeight="1" x14ac:dyDescent="0.2">
      <c r="A32" s="123">
        <v>2006</v>
      </c>
      <c r="B32" s="31" t="s">
        <v>29</v>
      </c>
      <c r="C32" s="52" t="s">
        <v>29</v>
      </c>
      <c r="D32" s="52" t="s">
        <v>29</v>
      </c>
      <c r="E32" s="52" t="s">
        <v>29</v>
      </c>
      <c r="F32" s="52" t="s">
        <v>29</v>
      </c>
      <c r="G32" s="52" t="s">
        <v>29</v>
      </c>
      <c r="H32" s="196" t="s">
        <v>29</v>
      </c>
      <c r="I32" s="199" t="s">
        <v>29</v>
      </c>
      <c r="J32" s="432"/>
      <c r="K32" s="292"/>
      <c r="L32" s="292"/>
      <c r="M32" s="199"/>
      <c r="N32" s="199"/>
      <c r="O32" s="199"/>
      <c r="P32" s="199"/>
      <c r="Q32" s="199"/>
      <c r="R32" s="199"/>
      <c r="S32" s="199"/>
      <c r="T32" s="199"/>
      <c r="U32" s="292"/>
    </row>
    <row r="33" spans="1:21" ht="11.25" customHeight="1" x14ac:dyDescent="0.2">
      <c r="A33" s="123">
        <v>2007</v>
      </c>
      <c r="B33" s="31" t="s">
        <v>29</v>
      </c>
      <c r="C33" s="52" t="s">
        <v>29</v>
      </c>
      <c r="D33" s="52" t="s">
        <v>29</v>
      </c>
      <c r="E33" s="52" t="s">
        <v>29</v>
      </c>
      <c r="F33" s="52" t="s">
        <v>29</v>
      </c>
      <c r="G33" s="52">
        <v>87</v>
      </c>
      <c r="H33" s="196" t="s">
        <v>29</v>
      </c>
      <c r="I33" s="199">
        <f>SUM(B33:H33)</f>
        <v>87</v>
      </c>
      <c r="J33" s="432"/>
      <c r="K33" s="292"/>
      <c r="L33" s="292"/>
      <c r="M33" s="199"/>
      <c r="N33" s="199"/>
      <c r="O33" s="199"/>
      <c r="P33" s="199"/>
      <c r="Q33" s="199"/>
      <c r="R33" s="199"/>
      <c r="S33" s="199"/>
      <c r="T33" s="199"/>
      <c r="U33" s="292"/>
    </row>
    <row r="34" spans="1:21" s="374" customFormat="1" ht="11.25" customHeight="1" x14ac:dyDescent="0.2">
      <c r="A34" s="122">
        <v>2008</v>
      </c>
      <c r="B34" s="52" t="s">
        <v>29</v>
      </c>
      <c r="C34" s="52" t="s">
        <v>29</v>
      </c>
      <c r="D34" s="52" t="s">
        <v>29</v>
      </c>
      <c r="E34" s="52" t="s">
        <v>29</v>
      </c>
      <c r="F34" s="52" t="s">
        <v>29</v>
      </c>
      <c r="G34" s="52" t="s">
        <v>29</v>
      </c>
      <c r="H34" s="196" t="s">
        <v>29</v>
      </c>
      <c r="I34" s="199" t="s">
        <v>29</v>
      </c>
      <c r="J34" s="433"/>
      <c r="K34" s="238"/>
      <c r="L34" s="238"/>
      <c r="M34" s="199"/>
      <c r="N34" s="199"/>
      <c r="O34" s="199"/>
      <c r="P34" s="199"/>
      <c r="Q34" s="199"/>
      <c r="R34" s="199"/>
      <c r="S34" s="199"/>
      <c r="T34" s="199"/>
      <c r="U34" s="238"/>
    </row>
    <row r="35" spans="1:21" s="374" customFormat="1" ht="11.25" customHeight="1" x14ac:dyDescent="0.2">
      <c r="A35" s="122">
        <v>2009</v>
      </c>
      <c r="B35" s="52" t="s">
        <v>29</v>
      </c>
      <c r="C35" s="52" t="s">
        <v>29</v>
      </c>
      <c r="D35" s="52" t="s">
        <v>29</v>
      </c>
      <c r="E35" s="52" t="s">
        <v>29</v>
      </c>
      <c r="F35" s="52" t="s">
        <v>29</v>
      </c>
      <c r="G35" s="52" t="s">
        <v>29</v>
      </c>
      <c r="H35" s="196" t="s">
        <v>29</v>
      </c>
      <c r="I35" s="199" t="s">
        <v>29</v>
      </c>
      <c r="J35" s="433"/>
      <c r="K35" s="238"/>
      <c r="L35" s="238"/>
      <c r="M35" s="199"/>
      <c r="N35" s="199"/>
      <c r="O35" s="199"/>
      <c r="P35" s="199"/>
      <c r="Q35" s="199"/>
      <c r="R35" s="199"/>
      <c r="S35" s="199"/>
      <c r="T35" s="199"/>
      <c r="U35" s="238"/>
    </row>
    <row r="36" spans="1:21" s="374" customFormat="1" ht="11.25" customHeight="1" x14ac:dyDescent="0.2">
      <c r="A36" s="122">
        <v>2010</v>
      </c>
      <c r="B36" s="52" t="s">
        <v>29</v>
      </c>
      <c r="C36" s="52" t="s">
        <v>29</v>
      </c>
      <c r="D36" s="52" t="s">
        <v>29</v>
      </c>
      <c r="E36" s="52" t="s">
        <v>29</v>
      </c>
      <c r="F36" s="52" t="s">
        <v>29</v>
      </c>
      <c r="G36" s="52" t="s">
        <v>29</v>
      </c>
      <c r="H36" s="196" t="s">
        <v>29</v>
      </c>
      <c r="I36" s="199" t="s">
        <v>29</v>
      </c>
      <c r="J36" s="433"/>
      <c r="K36" s="238"/>
      <c r="L36" s="238"/>
      <c r="M36" s="199"/>
      <c r="N36" s="199"/>
      <c r="O36" s="199"/>
      <c r="P36" s="199"/>
      <c r="Q36" s="199"/>
      <c r="R36" s="199"/>
      <c r="S36" s="199"/>
      <c r="T36" s="199"/>
      <c r="U36" s="238"/>
    </row>
    <row r="37" spans="1:21" s="374" customFormat="1" ht="11.25" customHeight="1" x14ac:dyDescent="0.2">
      <c r="A37" s="122">
        <v>2011</v>
      </c>
      <c r="B37" s="52" t="s">
        <v>29</v>
      </c>
      <c r="C37" s="52" t="s">
        <v>29</v>
      </c>
      <c r="D37" s="52" t="s">
        <v>29</v>
      </c>
      <c r="E37" s="52">
        <v>4</v>
      </c>
      <c r="F37" s="52">
        <v>16</v>
      </c>
      <c r="G37" s="52" t="s">
        <v>29</v>
      </c>
      <c r="H37" s="196" t="s">
        <v>29</v>
      </c>
      <c r="I37" s="199">
        <f t="shared" ref="I37:I44" si="3">SUM(B37:H37)</f>
        <v>20</v>
      </c>
      <c r="J37" s="433"/>
      <c r="K37" s="238"/>
      <c r="L37" s="238"/>
      <c r="M37" s="199"/>
      <c r="N37" s="199"/>
      <c r="O37" s="199"/>
      <c r="P37" s="199"/>
      <c r="Q37" s="199"/>
      <c r="R37" s="199"/>
      <c r="S37" s="199"/>
      <c r="T37" s="199"/>
      <c r="U37" s="238"/>
    </row>
    <row r="38" spans="1:21" s="374" customFormat="1" ht="11.25" customHeight="1" x14ac:dyDescent="0.2">
      <c r="A38" s="122">
        <v>2012</v>
      </c>
      <c r="B38" s="52" t="s">
        <v>29</v>
      </c>
      <c r="C38" s="52" t="s">
        <v>29</v>
      </c>
      <c r="D38" s="52" t="s">
        <v>29</v>
      </c>
      <c r="E38" s="52" t="s">
        <v>29</v>
      </c>
      <c r="F38" s="52" t="s">
        <v>29</v>
      </c>
      <c r="G38" s="52">
        <v>45</v>
      </c>
      <c r="H38" s="196" t="s">
        <v>29</v>
      </c>
      <c r="I38" s="199">
        <f t="shared" si="3"/>
        <v>45</v>
      </c>
      <c r="J38" s="433"/>
      <c r="K38" s="238"/>
      <c r="L38" s="238"/>
      <c r="M38" s="199"/>
      <c r="N38" s="199"/>
      <c r="O38" s="199"/>
      <c r="P38" s="199"/>
      <c r="Q38" s="199"/>
      <c r="R38" s="199"/>
      <c r="S38" s="199"/>
      <c r="T38" s="199"/>
      <c r="U38" s="238"/>
    </row>
    <row r="39" spans="1:21" s="374" customFormat="1" ht="11.25" customHeight="1" x14ac:dyDescent="0.2">
      <c r="A39" s="402">
        <v>2013</v>
      </c>
      <c r="B39" s="52" t="s">
        <v>29</v>
      </c>
      <c r="C39" s="52">
        <v>8</v>
      </c>
      <c r="D39" s="52">
        <v>31</v>
      </c>
      <c r="E39" s="52">
        <v>46</v>
      </c>
      <c r="F39" s="52">
        <v>10</v>
      </c>
      <c r="G39" s="52">
        <v>3</v>
      </c>
      <c r="H39" s="196" t="s">
        <v>29</v>
      </c>
      <c r="I39" s="199">
        <f t="shared" si="3"/>
        <v>98</v>
      </c>
      <c r="J39" s="177"/>
      <c r="M39" s="199"/>
      <c r="N39" s="199"/>
      <c r="O39" s="199"/>
      <c r="P39" s="199"/>
      <c r="Q39" s="199"/>
      <c r="R39" s="199"/>
      <c r="S39" s="199"/>
      <c r="T39" s="199"/>
    </row>
    <row r="40" spans="1:21" s="374" customFormat="1" ht="11.25" customHeight="1" x14ac:dyDescent="0.2">
      <c r="A40" s="402">
        <v>2014</v>
      </c>
      <c r="B40" s="52" t="s">
        <v>29</v>
      </c>
      <c r="C40" s="52" t="s">
        <v>29</v>
      </c>
      <c r="D40" s="52" t="s">
        <v>29</v>
      </c>
      <c r="E40" s="52" t="s">
        <v>29</v>
      </c>
      <c r="F40" s="52" t="s">
        <v>29</v>
      </c>
      <c r="G40" s="52">
        <v>7</v>
      </c>
      <c r="H40" s="196" t="s">
        <v>29</v>
      </c>
      <c r="I40" s="199">
        <f t="shared" si="3"/>
        <v>7</v>
      </c>
      <c r="J40" s="177"/>
      <c r="M40" s="199"/>
      <c r="N40" s="199"/>
      <c r="O40" s="199"/>
      <c r="P40" s="199"/>
      <c r="Q40" s="199"/>
      <c r="R40" s="199"/>
      <c r="S40" s="199"/>
      <c r="T40" s="199"/>
    </row>
    <row r="41" spans="1:21" s="374" customFormat="1" ht="11.25" customHeight="1" x14ac:dyDescent="0.2">
      <c r="A41" s="402">
        <v>2015</v>
      </c>
      <c r="B41" s="52" t="s">
        <v>29</v>
      </c>
      <c r="C41" s="52" t="s">
        <v>29</v>
      </c>
      <c r="D41" s="52" t="s">
        <v>29</v>
      </c>
      <c r="E41" s="52" t="s">
        <v>29</v>
      </c>
      <c r="F41" s="52" t="s">
        <v>29</v>
      </c>
      <c r="G41" s="52">
        <v>10</v>
      </c>
      <c r="H41" s="196" t="s">
        <v>29</v>
      </c>
      <c r="I41" s="199">
        <f t="shared" si="3"/>
        <v>10</v>
      </c>
      <c r="J41" s="177"/>
      <c r="M41" s="199"/>
      <c r="N41" s="199"/>
      <c r="O41" s="199"/>
      <c r="P41" s="199"/>
      <c r="Q41" s="199"/>
      <c r="R41" s="199"/>
      <c r="S41" s="199"/>
      <c r="T41" s="199"/>
    </row>
    <row r="42" spans="1:21" s="374" customFormat="1" ht="11.25" customHeight="1" x14ac:dyDescent="0.2">
      <c r="A42" s="402">
        <v>2016</v>
      </c>
      <c r="B42" s="52" t="s">
        <v>29</v>
      </c>
      <c r="C42" s="52" t="s">
        <v>29</v>
      </c>
      <c r="D42" s="52" t="s">
        <v>29</v>
      </c>
      <c r="E42" s="52" t="s">
        <v>29</v>
      </c>
      <c r="F42" s="52" t="s">
        <v>29</v>
      </c>
      <c r="G42" s="52">
        <v>7</v>
      </c>
      <c r="H42" s="196" t="s">
        <v>29</v>
      </c>
      <c r="I42" s="199">
        <f t="shared" si="3"/>
        <v>7</v>
      </c>
      <c r="J42" s="177"/>
      <c r="M42" s="199"/>
      <c r="N42" s="199"/>
      <c r="O42" s="199"/>
      <c r="P42" s="199"/>
      <c r="Q42" s="199"/>
      <c r="R42" s="199"/>
      <c r="S42" s="199"/>
      <c r="T42" s="199"/>
    </row>
    <row r="43" spans="1:21" s="374" customFormat="1" ht="11.25" customHeight="1" x14ac:dyDescent="0.2">
      <c r="A43" s="402">
        <v>2017</v>
      </c>
      <c r="B43" s="52" t="s">
        <v>29</v>
      </c>
      <c r="C43" s="52" t="s">
        <v>29</v>
      </c>
      <c r="D43" s="52" t="s">
        <v>29</v>
      </c>
      <c r="E43" s="52" t="s">
        <v>29</v>
      </c>
      <c r="F43" s="52" t="s">
        <v>29</v>
      </c>
      <c r="G43" s="52" t="s">
        <v>29</v>
      </c>
      <c r="H43" s="196" t="s">
        <v>29</v>
      </c>
      <c r="I43" s="203" t="s">
        <v>29</v>
      </c>
      <c r="J43" s="177"/>
      <c r="M43" s="199"/>
      <c r="N43" s="199"/>
      <c r="O43" s="199"/>
      <c r="P43" s="199"/>
      <c r="Q43" s="199"/>
      <c r="R43" s="199"/>
      <c r="S43" s="199"/>
      <c r="T43" s="199"/>
    </row>
    <row r="44" spans="1:21" s="374" customFormat="1" ht="11.25" customHeight="1" x14ac:dyDescent="0.2">
      <c r="A44" s="402">
        <v>2018</v>
      </c>
      <c r="B44" s="52" t="s">
        <v>29</v>
      </c>
      <c r="C44" s="52">
        <v>20</v>
      </c>
      <c r="D44" s="52">
        <v>108</v>
      </c>
      <c r="E44" s="52">
        <v>42</v>
      </c>
      <c r="F44" s="52">
        <v>68</v>
      </c>
      <c r="G44" s="52" t="s">
        <v>29</v>
      </c>
      <c r="H44" s="196" t="s">
        <v>29</v>
      </c>
      <c r="I44" s="199">
        <f t="shared" si="3"/>
        <v>238</v>
      </c>
      <c r="J44" s="177"/>
      <c r="M44" s="199"/>
      <c r="N44" s="199"/>
      <c r="O44" s="199"/>
      <c r="P44" s="199"/>
      <c r="Q44" s="199"/>
      <c r="R44" s="199"/>
      <c r="S44" s="199"/>
      <c r="T44" s="199"/>
    </row>
    <row r="45" spans="1:21" s="487" customFormat="1" ht="11.25" customHeight="1" x14ac:dyDescent="0.2">
      <c r="A45" s="497" t="s">
        <v>336</v>
      </c>
      <c r="B45" s="52" t="s">
        <v>29</v>
      </c>
      <c r="C45" s="52" t="s">
        <v>29</v>
      </c>
      <c r="D45" s="52">
        <v>13</v>
      </c>
      <c r="E45" s="52">
        <v>50</v>
      </c>
      <c r="F45" s="52">
        <v>90</v>
      </c>
      <c r="G45" s="52" t="s">
        <v>29</v>
      </c>
      <c r="H45" s="196" t="s">
        <v>29</v>
      </c>
      <c r="I45" s="199">
        <f t="shared" ref="I45" si="4">SUM(B45:H45)</f>
        <v>153</v>
      </c>
      <c r="J45" s="177"/>
      <c r="M45" s="199"/>
      <c r="N45" s="199"/>
      <c r="O45" s="199"/>
      <c r="P45" s="199"/>
      <c r="Q45" s="199"/>
      <c r="R45" s="199"/>
      <c r="S45" s="199"/>
      <c r="T45" s="199"/>
    </row>
    <row r="46" spans="1:21" ht="11.25" customHeight="1" x14ac:dyDescent="0.2">
      <c r="A46" s="402">
        <v>2020</v>
      </c>
      <c r="B46" s="31" t="s">
        <v>29</v>
      </c>
      <c r="C46" s="52" t="s">
        <v>29</v>
      </c>
      <c r="D46" s="52" t="s">
        <v>29</v>
      </c>
      <c r="E46" s="52" t="s">
        <v>29</v>
      </c>
      <c r="F46" s="52" t="s">
        <v>29</v>
      </c>
      <c r="G46" s="52" t="s">
        <v>29</v>
      </c>
      <c r="H46" s="196" t="s">
        <v>29</v>
      </c>
      <c r="I46" s="199" t="s">
        <v>29</v>
      </c>
      <c r="J46" s="108"/>
      <c r="M46" s="199"/>
      <c r="N46" s="199"/>
      <c r="O46" s="199"/>
      <c r="P46" s="199"/>
      <c r="Q46" s="199"/>
      <c r="R46" s="199"/>
      <c r="S46" s="199"/>
      <c r="T46" s="199"/>
    </row>
    <row r="47" spans="1:21" x14ac:dyDescent="0.2">
      <c r="B47" s="106"/>
      <c r="C47" s="105"/>
      <c r="D47" s="105"/>
      <c r="E47" s="105"/>
      <c r="F47" s="105"/>
      <c r="G47" s="105"/>
      <c r="H47" s="103"/>
      <c r="I47" s="235"/>
    </row>
    <row r="48" spans="1:21" x14ac:dyDescent="0.2">
      <c r="A48" s="116" t="s">
        <v>23</v>
      </c>
      <c r="B48" s="106"/>
      <c r="C48" s="105"/>
      <c r="D48" s="105"/>
      <c r="E48" s="105"/>
      <c r="F48" s="105"/>
      <c r="G48" s="105"/>
      <c r="H48" s="103"/>
      <c r="I48" s="235"/>
    </row>
    <row r="49" spans="1:9" x14ac:dyDescent="0.2">
      <c r="A49" s="383">
        <v>1978</v>
      </c>
      <c r="B49" s="33">
        <v>528</v>
      </c>
      <c r="C49" s="52">
        <v>6073</v>
      </c>
      <c r="D49" s="52">
        <v>10476</v>
      </c>
      <c r="E49" s="52">
        <v>3866</v>
      </c>
      <c r="F49" s="52">
        <v>784</v>
      </c>
      <c r="G49" s="52">
        <v>285</v>
      </c>
      <c r="H49" s="196" t="s">
        <v>29</v>
      </c>
      <c r="I49" s="199">
        <f t="shared" ref="I49:I55" si="5">SUM(B49:H49)</f>
        <v>22012</v>
      </c>
    </row>
    <row r="50" spans="1:9" x14ac:dyDescent="0.2">
      <c r="A50" s="383">
        <v>1979</v>
      </c>
      <c r="B50" s="33">
        <v>0</v>
      </c>
      <c r="C50" s="52">
        <v>4277</v>
      </c>
      <c r="D50" s="52">
        <v>3827</v>
      </c>
      <c r="E50" s="52">
        <v>5627</v>
      </c>
      <c r="F50" s="52">
        <v>3469</v>
      </c>
      <c r="G50" s="52">
        <v>1302</v>
      </c>
      <c r="H50" s="196" t="s">
        <v>29</v>
      </c>
      <c r="I50" s="199">
        <f t="shared" si="5"/>
        <v>18502</v>
      </c>
    </row>
    <row r="51" spans="1:9" x14ac:dyDescent="0.2">
      <c r="A51" s="383">
        <v>1980</v>
      </c>
      <c r="B51" s="33" t="s">
        <v>29</v>
      </c>
      <c r="C51" s="52">
        <v>6703</v>
      </c>
      <c r="D51" s="52" t="s">
        <v>29</v>
      </c>
      <c r="E51" s="52">
        <v>2757</v>
      </c>
      <c r="F51" s="52">
        <v>2717</v>
      </c>
      <c r="G51" s="52">
        <v>2646</v>
      </c>
      <c r="H51" s="196" t="s">
        <v>29</v>
      </c>
      <c r="I51" s="199">
        <f t="shared" si="5"/>
        <v>14823</v>
      </c>
    </row>
    <row r="52" spans="1:9" x14ac:dyDescent="0.2">
      <c r="A52" s="383">
        <v>1981</v>
      </c>
      <c r="B52" s="33" t="s">
        <v>29</v>
      </c>
      <c r="C52" s="52">
        <v>3870</v>
      </c>
      <c r="D52" s="52">
        <v>647</v>
      </c>
      <c r="E52" s="52">
        <v>2686</v>
      </c>
      <c r="F52" s="52">
        <v>2748</v>
      </c>
      <c r="G52" s="52">
        <v>622</v>
      </c>
      <c r="H52" s="196" t="s">
        <v>29</v>
      </c>
      <c r="I52" s="199">
        <f t="shared" si="5"/>
        <v>10573</v>
      </c>
    </row>
    <row r="53" spans="1:9" x14ac:dyDescent="0.2">
      <c r="A53" s="383">
        <v>1982</v>
      </c>
      <c r="B53" s="33" t="s">
        <v>29</v>
      </c>
      <c r="C53" s="52">
        <v>2727</v>
      </c>
      <c r="D53" s="52">
        <v>972</v>
      </c>
      <c r="E53" s="52">
        <v>4578</v>
      </c>
      <c r="F53" s="52">
        <v>2614</v>
      </c>
      <c r="G53" s="52">
        <v>1020</v>
      </c>
      <c r="H53" s="196" t="s">
        <v>29</v>
      </c>
      <c r="I53" s="199">
        <f t="shared" si="5"/>
        <v>11911</v>
      </c>
    </row>
    <row r="54" spans="1:9" x14ac:dyDescent="0.2">
      <c r="A54" s="383">
        <v>1983</v>
      </c>
      <c r="B54" s="33" t="s">
        <v>29</v>
      </c>
      <c r="C54" s="52">
        <v>868</v>
      </c>
      <c r="D54" s="52">
        <v>2633</v>
      </c>
      <c r="E54" s="52">
        <v>2353</v>
      </c>
      <c r="F54" s="52">
        <v>1322</v>
      </c>
      <c r="G54" s="52" t="s">
        <v>29</v>
      </c>
      <c r="H54" s="196" t="s">
        <v>29</v>
      </c>
      <c r="I54" s="199">
        <f t="shared" si="5"/>
        <v>7176</v>
      </c>
    </row>
    <row r="55" spans="1:9" x14ac:dyDescent="0.2">
      <c r="A55" s="383">
        <v>1984</v>
      </c>
      <c r="B55" s="33" t="s">
        <v>29</v>
      </c>
      <c r="C55" s="52">
        <v>651</v>
      </c>
      <c r="D55" s="52">
        <v>49</v>
      </c>
      <c r="E55" s="52">
        <v>813</v>
      </c>
      <c r="F55" s="52">
        <v>1038</v>
      </c>
      <c r="G55" s="52" t="s">
        <v>29</v>
      </c>
      <c r="H55" s="196" t="s">
        <v>29</v>
      </c>
      <c r="I55" s="199">
        <f t="shared" si="5"/>
        <v>2551</v>
      </c>
    </row>
    <row r="56" spans="1:9" x14ac:dyDescent="0.2">
      <c r="A56" s="383">
        <v>1985</v>
      </c>
      <c r="B56" s="33" t="s">
        <v>29</v>
      </c>
      <c r="C56" s="52" t="s">
        <v>29</v>
      </c>
      <c r="D56" s="52" t="s">
        <v>29</v>
      </c>
      <c r="E56" s="52" t="s">
        <v>29</v>
      </c>
      <c r="F56" s="52" t="s">
        <v>29</v>
      </c>
      <c r="G56" s="52" t="s">
        <v>29</v>
      </c>
      <c r="H56" s="196" t="s">
        <v>29</v>
      </c>
      <c r="I56" s="199" t="s">
        <v>29</v>
      </c>
    </row>
    <row r="57" spans="1:9" x14ac:dyDescent="0.2">
      <c r="A57" s="383">
        <v>1986</v>
      </c>
      <c r="B57" s="33" t="s">
        <v>29</v>
      </c>
      <c r="C57" s="52" t="s">
        <v>29</v>
      </c>
      <c r="D57" s="52">
        <v>647.67237755387623</v>
      </c>
      <c r="E57" s="52">
        <v>517.56916803020761</v>
      </c>
      <c r="F57" s="52">
        <v>1094.5360294425161</v>
      </c>
      <c r="G57" s="52">
        <v>333</v>
      </c>
      <c r="H57" s="196" t="s">
        <v>29</v>
      </c>
      <c r="I57" s="199">
        <f t="shared" ref="I57:I62" si="6">SUM(B57:H57)</f>
        <v>2592.7775750266001</v>
      </c>
    </row>
    <row r="58" spans="1:9" x14ac:dyDescent="0.2">
      <c r="A58" s="383">
        <v>1987</v>
      </c>
      <c r="B58" s="33" t="s">
        <v>29</v>
      </c>
      <c r="C58" s="52" t="s">
        <v>29</v>
      </c>
      <c r="D58" s="52">
        <v>1535.6157404596836</v>
      </c>
      <c r="E58" s="52" t="s">
        <v>29</v>
      </c>
      <c r="F58" s="52" t="s">
        <v>29</v>
      </c>
      <c r="G58" s="52">
        <v>494.98193760262723</v>
      </c>
      <c r="H58" s="196" t="s">
        <v>29</v>
      </c>
      <c r="I58" s="199">
        <f t="shared" si="6"/>
        <v>2030.5976780623109</v>
      </c>
    </row>
    <row r="59" spans="1:9" x14ac:dyDescent="0.2">
      <c r="A59" s="383">
        <v>1988</v>
      </c>
      <c r="B59" s="33" t="s">
        <v>29</v>
      </c>
      <c r="C59" s="52" t="s">
        <v>29</v>
      </c>
      <c r="D59" s="52">
        <v>777.39702033024344</v>
      </c>
      <c r="E59" s="52" t="s">
        <v>29</v>
      </c>
      <c r="F59" s="52" t="s">
        <v>29</v>
      </c>
      <c r="G59" s="52">
        <v>762.8983473470571</v>
      </c>
      <c r="H59" s="196" t="s">
        <v>29</v>
      </c>
      <c r="I59" s="199">
        <f t="shared" si="6"/>
        <v>1540.2953676773004</v>
      </c>
    </row>
    <row r="60" spans="1:9" x14ac:dyDescent="0.2">
      <c r="A60" s="383">
        <v>1989</v>
      </c>
      <c r="B60" s="33" t="s">
        <v>29</v>
      </c>
      <c r="C60" s="52" t="s">
        <v>29</v>
      </c>
      <c r="D60" s="52">
        <v>567.26966880481746</v>
      </c>
      <c r="E60" s="52" t="s">
        <v>29</v>
      </c>
      <c r="F60" s="52">
        <v>111.02937778511306</v>
      </c>
      <c r="G60" s="52">
        <v>450</v>
      </c>
      <c r="H60" s="196">
        <v>118</v>
      </c>
      <c r="I60" s="199">
        <f t="shared" si="6"/>
        <v>1246.2990465899306</v>
      </c>
    </row>
    <row r="61" spans="1:9" x14ac:dyDescent="0.2">
      <c r="A61" s="383">
        <v>1990</v>
      </c>
      <c r="B61" s="33" t="s">
        <v>29</v>
      </c>
      <c r="C61" s="52" t="s">
        <v>29</v>
      </c>
      <c r="D61" s="52" t="s">
        <v>29</v>
      </c>
      <c r="E61" s="52" t="s">
        <v>29</v>
      </c>
      <c r="F61" s="52">
        <v>434</v>
      </c>
      <c r="G61" s="52">
        <v>292</v>
      </c>
      <c r="H61" s="196">
        <v>10</v>
      </c>
      <c r="I61" s="199">
        <f t="shared" si="6"/>
        <v>736</v>
      </c>
    </row>
    <row r="62" spans="1:9" x14ac:dyDescent="0.2">
      <c r="A62" s="383">
        <v>1991</v>
      </c>
      <c r="B62" s="33" t="s">
        <v>29</v>
      </c>
      <c r="C62" s="52" t="s">
        <v>29</v>
      </c>
      <c r="D62" s="52" t="s">
        <v>29</v>
      </c>
      <c r="E62" s="52" t="s">
        <v>29</v>
      </c>
      <c r="F62" s="52" t="s">
        <v>29</v>
      </c>
      <c r="G62" s="52">
        <v>500</v>
      </c>
      <c r="H62" s="196">
        <v>100</v>
      </c>
      <c r="I62" s="199">
        <f t="shared" si="6"/>
        <v>600</v>
      </c>
    </row>
    <row r="63" spans="1:9" x14ac:dyDescent="0.2">
      <c r="A63" s="383">
        <v>1992</v>
      </c>
      <c r="B63" s="33" t="s">
        <v>29</v>
      </c>
      <c r="C63" s="52" t="s">
        <v>29</v>
      </c>
      <c r="D63" s="52" t="s">
        <v>29</v>
      </c>
      <c r="E63" s="52" t="s">
        <v>29</v>
      </c>
      <c r="F63" s="52" t="s">
        <v>29</v>
      </c>
      <c r="G63" s="52" t="s">
        <v>29</v>
      </c>
      <c r="H63" s="196" t="s">
        <v>29</v>
      </c>
      <c r="I63" s="199" t="s">
        <v>29</v>
      </c>
    </row>
    <row r="64" spans="1:9" x14ac:dyDescent="0.2">
      <c r="A64" s="383">
        <v>1993</v>
      </c>
      <c r="B64" s="33" t="s">
        <v>29</v>
      </c>
      <c r="C64" s="52" t="s">
        <v>29</v>
      </c>
      <c r="D64" s="52" t="s">
        <v>29</v>
      </c>
      <c r="E64" s="52" t="s">
        <v>29</v>
      </c>
      <c r="F64" s="52" t="s">
        <v>29</v>
      </c>
      <c r="G64" s="52" t="s">
        <v>29</v>
      </c>
      <c r="H64" s="196" t="s">
        <v>29</v>
      </c>
      <c r="I64" s="199" t="s">
        <v>29</v>
      </c>
    </row>
    <row r="65" spans="1:9" x14ac:dyDescent="0.2">
      <c r="A65" s="383">
        <v>1994</v>
      </c>
      <c r="B65" s="33" t="s">
        <v>29</v>
      </c>
      <c r="C65" s="52" t="s">
        <v>29</v>
      </c>
      <c r="D65" s="52" t="s">
        <v>29</v>
      </c>
      <c r="E65" s="52" t="s">
        <v>29</v>
      </c>
      <c r="F65" s="52" t="s">
        <v>29</v>
      </c>
      <c r="G65" s="52" t="s">
        <v>29</v>
      </c>
      <c r="H65" s="196" t="s">
        <v>29</v>
      </c>
      <c r="I65" s="199" t="s">
        <v>29</v>
      </c>
    </row>
    <row r="66" spans="1:9" x14ac:dyDescent="0.2">
      <c r="A66" s="383">
        <v>1995</v>
      </c>
      <c r="B66" s="33" t="s">
        <v>29</v>
      </c>
      <c r="C66" s="52" t="s">
        <v>29</v>
      </c>
      <c r="D66" s="52" t="s">
        <v>29</v>
      </c>
      <c r="E66" s="52" t="s">
        <v>29</v>
      </c>
      <c r="F66" s="52" t="s">
        <v>29</v>
      </c>
      <c r="G66" s="52" t="s">
        <v>29</v>
      </c>
      <c r="H66" s="196" t="s">
        <v>29</v>
      </c>
      <c r="I66" s="199" t="s">
        <v>29</v>
      </c>
    </row>
    <row r="67" spans="1:9" x14ac:dyDescent="0.2">
      <c r="A67" s="383">
        <v>1996</v>
      </c>
      <c r="B67" s="33" t="s">
        <v>29</v>
      </c>
      <c r="C67" s="52" t="s">
        <v>29</v>
      </c>
      <c r="D67" s="52" t="s">
        <v>29</v>
      </c>
      <c r="E67" s="52" t="s">
        <v>29</v>
      </c>
      <c r="F67" s="52">
        <v>128</v>
      </c>
      <c r="G67" s="52">
        <v>287</v>
      </c>
      <c r="H67" s="196" t="s">
        <v>29</v>
      </c>
      <c r="I67" s="199">
        <f t="shared" ref="I67:I76" si="7">SUM(B67:H67)</f>
        <v>415</v>
      </c>
    </row>
    <row r="68" spans="1:9" x14ac:dyDescent="0.2">
      <c r="A68" s="383">
        <v>1997</v>
      </c>
      <c r="B68" s="33" t="s">
        <v>29</v>
      </c>
      <c r="C68" s="52" t="s">
        <v>29</v>
      </c>
      <c r="D68" s="52" t="s">
        <v>29</v>
      </c>
      <c r="E68" s="52" t="s">
        <v>29</v>
      </c>
      <c r="F68" s="52" t="s">
        <v>29</v>
      </c>
      <c r="G68" s="52">
        <v>106</v>
      </c>
      <c r="H68" s="196" t="s">
        <v>29</v>
      </c>
      <c r="I68" s="199">
        <f t="shared" si="7"/>
        <v>106</v>
      </c>
    </row>
    <row r="69" spans="1:9" x14ac:dyDescent="0.2">
      <c r="A69" s="383">
        <v>1998</v>
      </c>
      <c r="B69" s="33" t="s">
        <v>29</v>
      </c>
      <c r="C69" s="52" t="s">
        <v>29</v>
      </c>
      <c r="D69" s="52" t="s">
        <v>29</v>
      </c>
      <c r="E69" s="52" t="s">
        <v>29</v>
      </c>
      <c r="F69" s="52" t="s">
        <v>29</v>
      </c>
      <c r="G69" s="52">
        <v>164</v>
      </c>
      <c r="H69" s="196" t="s">
        <v>29</v>
      </c>
      <c r="I69" s="199">
        <f t="shared" si="7"/>
        <v>164</v>
      </c>
    </row>
    <row r="70" spans="1:9" x14ac:dyDescent="0.2">
      <c r="A70" s="383">
        <v>1999</v>
      </c>
      <c r="B70" s="33" t="s">
        <v>29</v>
      </c>
      <c r="C70" s="52" t="s">
        <v>29</v>
      </c>
      <c r="D70" s="52" t="s">
        <v>29</v>
      </c>
      <c r="E70" s="52" t="s">
        <v>29</v>
      </c>
      <c r="F70" s="52" t="s">
        <v>29</v>
      </c>
      <c r="G70" s="52">
        <v>207</v>
      </c>
      <c r="H70" s="196" t="s">
        <v>29</v>
      </c>
      <c r="I70" s="199">
        <f t="shared" si="7"/>
        <v>207</v>
      </c>
    </row>
    <row r="71" spans="1:9" x14ac:dyDescent="0.2">
      <c r="A71" s="383">
        <v>2000</v>
      </c>
      <c r="B71" s="33" t="s">
        <v>29</v>
      </c>
      <c r="C71" s="52" t="s">
        <v>29</v>
      </c>
      <c r="D71" s="52" t="s">
        <v>29</v>
      </c>
      <c r="E71" s="52" t="s">
        <v>29</v>
      </c>
      <c r="F71" s="52" t="s">
        <v>29</v>
      </c>
      <c r="G71" s="52">
        <v>119</v>
      </c>
      <c r="H71" s="196" t="s">
        <v>29</v>
      </c>
      <c r="I71" s="199">
        <f t="shared" si="7"/>
        <v>119</v>
      </c>
    </row>
    <row r="72" spans="1:9" x14ac:dyDescent="0.2">
      <c r="A72" s="383">
        <v>2001</v>
      </c>
      <c r="B72" s="33" t="s">
        <v>29</v>
      </c>
      <c r="C72" s="52" t="s">
        <v>29</v>
      </c>
      <c r="D72" s="52" t="s">
        <v>29</v>
      </c>
      <c r="E72" s="52" t="s">
        <v>29</v>
      </c>
      <c r="F72" s="52" t="s">
        <v>29</v>
      </c>
      <c r="G72" s="52">
        <v>297</v>
      </c>
      <c r="H72" s="196" t="s">
        <v>29</v>
      </c>
      <c r="I72" s="199">
        <f t="shared" si="7"/>
        <v>297</v>
      </c>
    </row>
    <row r="73" spans="1:9" x14ac:dyDescent="0.2">
      <c r="A73" s="383">
        <v>2002</v>
      </c>
      <c r="B73" s="33" t="s">
        <v>29</v>
      </c>
      <c r="C73" s="52" t="s">
        <v>29</v>
      </c>
      <c r="D73" s="52" t="s">
        <v>29</v>
      </c>
      <c r="E73" s="52" t="s">
        <v>29</v>
      </c>
      <c r="F73" s="52">
        <v>94</v>
      </c>
      <c r="G73" s="52">
        <v>332</v>
      </c>
      <c r="H73" s="196" t="s">
        <v>29</v>
      </c>
      <c r="I73" s="199">
        <f t="shared" si="7"/>
        <v>426</v>
      </c>
    </row>
    <row r="74" spans="1:9" x14ac:dyDescent="0.2">
      <c r="A74" s="383">
        <v>2003</v>
      </c>
      <c r="B74" s="33" t="s">
        <v>29</v>
      </c>
      <c r="C74" s="52" t="s">
        <v>29</v>
      </c>
      <c r="D74" s="52" t="s">
        <v>29</v>
      </c>
      <c r="E74" s="52" t="s">
        <v>29</v>
      </c>
      <c r="F74" s="52" t="s">
        <v>29</v>
      </c>
      <c r="G74" s="52">
        <v>55</v>
      </c>
      <c r="H74" s="196" t="s">
        <v>29</v>
      </c>
      <c r="I74" s="199">
        <f t="shared" si="7"/>
        <v>55</v>
      </c>
    </row>
    <row r="75" spans="1:9" x14ac:dyDescent="0.2">
      <c r="A75" s="383">
        <v>2004</v>
      </c>
      <c r="B75" s="33" t="s">
        <v>29</v>
      </c>
      <c r="C75" s="52" t="s">
        <v>29</v>
      </c>
      <c r="D75" s="52" t="s">
        <v>29</v>
      </c>
      <c r="E75" s="52" t="s">
        <v>29</v>
      </c>
      <c r="F75" s="52" t="s">
        <v>29</v>
      </c>
      <c r="G75" s="52">
        <v>262</v>
      </c>
      <c r="H75" s="196" t="s">
        <v>29</v>
      </c>
      <c r="I75" s="199">
        <f t="shared" si="7"/>
        <v>262</v>
      </c>
    </row>
    <row r="76" spans="1:9" x14ac:dyDescent="0.2">
      <c r="A76" s="383">
        <v>2005</v>
      </c>
      <c r="B76" s="33" t="s">
        <v>29</v>
      </c>
      <c r="C76" s="52" t="s">
        <v>29</v>
      </c>
      <c r="D76" s="52" t="s">
        <v>29</v>
      </c>
      <c r="E76" s="52" t="s">
        <v>29</v>
      </c>
      <c r="F76" s="52" t="s">
        <v>29</v>
      </c>
      <c r="G76" s="52">
        <v>266</v>
      </c>
      <c r="H76" s="196" t="s">
        <v>29</v>
      </c>
      <c r="I76" s="199">
        <f t="shared" si="7"/>
        <v>266</v>
      </c>
    </row>
    <row r="77" spans="1:9" x14ac:dyDescent="0.2">
      <c r="A77" s="383">
        <v>2006</v>
      </c>
      <c r="B77" s="33" t="s">
        <v>29</v>
      </c>
      <c r="C77" s="52" t="s">
        <v>29</v>
      </c>
      <c r="D77" s="52" t="s">
        <v>29</v>
      </c>
      <c r="E77" s="52" t="s">
        <v>29</v>
      </c>
      <c r="F77" s="52" t="s">
        <v>29</v>
      </c>
      <c r="G77" s="52" t="s">
        <v>29</v>
      </c>
      <c r="H77" s="196" t="s">
        <v>29</v>
      </c>
      <c r="I77" s="199" t="s">
        <v>29</v>
      </c>
    </row>
    <row r="78" spans="1:9" x14ac:dyDescent="0.2">
      <c r="A78" s="383">
        <v>2007</v>
      </c>
      <c r="B78" s="33" t="s">
        <v>29</v>
      </c>
      <c r="C78" s="52" t="s">
        <v>29</v>
      </c>
      <c r="D78" s="52" t="s">
        <v>29</v>
      </c>
      <c r="E78" s="52" t="s">
        <v>29</v>
      </c>
      <c r="F78" s="52" t="s">
        <v>29</v>
      </c>
      <c r="G78" s="52">
        <v>270</v>
      </c>
      <c r="H78" s="196" t="s">
        <v>29</v>
      </c>
      <c r="I78" s="199">
        <f>SUM(B78:H78)</f>
        <v>270</v>
      </c>
    </row>
    <row r="79" spans="1:9" s="374" customFormat="1" x14ac:dyDescent="0.2">
      <c r="A79" s="402">
        <v>2008</v>
      </c>
      <c r="B79" s="100" t="s">
        <v>29</v>
      </c>
      <c r="C79" s="52" t="s">
        <v>29</v>
      </c>
      <c r="D79" s="52" t="s">
        <v>29</v>
      </c>
      <c r="E79" s="52" t="s">
        <v>29</v>
      </c>
      <c r="F79" s="52" t="s">
        <v>29</v>
      </c>
      <c r="G79" s="52" t="s">
        <v>29</v>
      </c>
      <c r="H79" s="196" t="s">
        <v>29</v>
      </c>
      <c r="I79" s="199" t="s">
        <v>29</v>
      </c>
    </row>
    <row r="80" spans="1:9" s="374" customFormat="1" x14ac:dyDescent="0.2">
      <c r="A80" s="402">
        <v>2009</v>
      </c>
      <c r="B80" s="100" t="s">
        <v>29</v>
      </c>
      <c r="C80" s="52" t="s">
        <v>29</v>
      </c>
      <c r="D80" s="52" t="s">
        <v>29</v>
      </c>
      <c r="E80" s="52" t="s">
        <v>29</v>
      </c>
      <c r="F80" s="52" t="s">
        <v>29</v>
      </c>
      <c r="G80" s="52" t="s">
        <v>29</v>
      </c>
      <c r="H80" s="196" t="s">
        <v>29</v>
      </c>
      <c r="I80" s="199" t="s">
        <v>29</v>
      </c>
    </row>
    <row r="81" spans="1:10" s="374" customFormat="1" x14ac:dyDescent="0.2">
      <c r="A81" s="402">
        <v>2010</v>
      </c>
      <c r="B81" s="100" t="s">
        <v>29</v>
      </c>
      <c r="C81" s="52" t="s">
        <v>29</v>
      </c>
      <c r="D81" s="52" t="s">
        <v>29</v>
      </c>
      <c r="E81" s="52" t="s">
        <v>29</v>
      </c>
      <c r="F81" s="52" t="s">
        <v>29</v>
      </c>
      <c r="G81" s="52" t="s">
        <v>29</v>
      </c>
      <c r="H81" s="196" t="s">
        <v>29</v>
      </c>
      <c r="I81" s="199" t="s">
        <v>29</v>
      </c>
    </row>
    <row r="82" spans="1:10" s="374" customFormat="1" x14ac:dyDescent="0.2">
      <c r="A82" s="402">
        <v>2011</v>
      </c>
      <c r="B82" s="100" t="s">
        <v>29</v>
      </c>
      <c r="C82" s="52" t="s">
        <v>29</v>
      </c>
      <c r="D82" s="52" t="s">
        <v>29</v>
      </c>
      <c r="E82" s="52">
        <v>148</v>
      </c>
      <c r="F82" s="52">
        <v>33</v>
      </c>
      <c r="G82" s="52" t="s">
        <v>29</v>
      </c>
      <c r="H82" s="196" t="s">
        <v>29</v>
      </c>
      <c r="I82" s="199">
        <f t="shared" ref="I82:I89" si="8">SUM(B82:H82)</f>
        <v>181</v>
      </c>
    </row>
    <row r="83" spans="1:10" s="374" customFormat="1" x14ac:dyDescent="0.2">
      <c r="A83" s="402">
        <v>2012</v>
      </c>
      <c r="B83" s="100" t="s">
        <v>29</v>
      </c>
      <c r="C83" s="52" t="s">
        <v>29</v>
      </c>
      <c r="D83" s="52" t="s">
        <v>29</v>
      </c>
      <c r="E83" s="52" t="s">
        <v>29</v>
      </c>
      <c r="F83" s="52" t="s">
        <v>29</v>
      </c>
      <c r="G83" s="52">
        <v>260</v>
      </c>
      <c r="H83" s="196" t="s">
        <v>29</v>
      </c>
      <c r="I83" s="199">
        <f t="shared" si="8"/>
        <v>260</v>
      </c>
    </row>
    <row r="84" spans="1:10" s="374" customFormat="1" x14ac:dyDescent="0.2">
      <c r="A84" s="402">
        <v>2013</v>
      </c>
      <c r="B84" s="100" t="s">
        <v>29</v>
      </c>
      <c r="C84" s="52">
        <v>174</v>
      </c>
      <c r="D84" s="52">
        <v>129</v>
      </c>
      <c r="E84" s="52">
        <v>111</v>
      </c>
      <c r="F84" s="52">
        <v>103</v>
      </c>
      <c r="G84" s="52">
        <v>46</v>
      </c>
      <c r="H84" s="196" t="s">
        <v>29</v>
      </c>
      <c r="I84" s="199">
        <f t="shared" si="8"/>
        <v>563</v>
      </c>
    </row>
    <row r="85" spans="1:10" s="374" customFormat="1" x14ac:dyDescent="0.2">
      <c r="A85" s="402">
        <v>2014</v>
      </c>
      <c r="B85" s="100" t="s">
        <v>29</v>
      </c>
      <c r="C85" s="52" t="s">
        <v>29</v>
      </c>
      <c r="D85" s="52" t="s">
        <v>29</v>
      </c>
      <c r="E85" s="52" t="s">
        <v>29</v>
      </c>
      <c r="F85" s="52" t="s">
        <v>29</v>
      </c>
      <c r="G85" s="52">
        <v>92</v>
      </c>
      <c r="H85" s="196" t="s">
        <v>29</v>
      </c>
      <c r="I85" s="199">
        <f t="shared" si="8"/>
        <v>92</v>
      </c>
    </row>
    <row r="86" spans="1:10" s="374" customFormat="1" x14ac:dyDescent="0.2">
      <c r="A86" s="402">
        <v>2015</v>
      </c>
      <c r="B86" s="100" t="s">
        <v>29</v>
      </c>
      <c r="C86" s="52" t="s">
        <v>29</v>
      </c>
      <c r="D86" s="52" t="s">
        <v>29</v>
      </c>
      <c r="E86" s="52" t="s">
        <v>29</v>
      </c>
      <c r="F86" s="52" t="s">
        <v>29</v>
      </c>
      <c r="G86" s="52">
        <v>22</v>
      </c>
      <c r="H86" s="196" t="s">
        <v>29</v>
      </c>
      <c r="I86" s="199">
        <f t="shared" si="8"/>
        <v>22</v>
      </c>
    </row>
    <row r="87" spans="1:10" s="374" customFormat="1" x14ac:dyDescent="0.2">
      <c r="A87" s="402">
        <v>2016</v>
      </c>
      <c r="B87" s="100" t="s">
        <v>29</v>
      </c>
      <c r="C87" s="52" t="s">
        <v>29</v>
      </c>
      <c r="D87" s="52" t="s">
        <v>29</v>
      </c>
      <c r="E87" s="52" t="s">
        <v>29</v>
      </c>
      <c r="F87" s="52" t="s">
        <v>29</v>
      </c>
      <c r="G87" s="52">
        <v>52</v>
      </c>
      <c r="H87" s="196" t="s">
        <v>29</v>
      </c>
      <c r="I87" s="199">
        <f t="shared" si="8"/>
        <v>52</v>
      </c>
    </row>
    <row r="88" spans="1:10" s="374" customFormat="1" x14ac:dyDescent="0.2">
      <c r="A88" s="402">
        <v>2017</v>
      </c>
      <c r="B88" s="100" t="s">
        <v>29</v>
      </c>
      <c r="C88" s="52" t="s">
        <v>29</v>
      </c>
      <c r="D88" s="52" t="s">
        <v>29</v>
      </c>
      <c r="E88" s="52" t="s">
        <v>29</v>
      </c>
      <c r="F88" s="52" t="s">
        <v>29</v>
      </c>
      <c r="G88" s="196" t="s">
        <v>29</v>
      </c>
      <c r="H88" s="196" t="s">
        <v>29</v>
      </c>
      <c r="I88" s="52" t="s">
        <v>29</v>
      </c>
      <c r="J88" s="196" t="s">
        <v>29</v>
      </c>
    </row>
    <row r="89" spans="1:10" s="374" customFormat="1" x14ac:dyDescent="0.2">
      <c r="A89" s="402">
        <v>2018</v>
      </c>
      <c r="B89" s="100" t="s">
        <v>29</v>
      </c>
      <c r="C89" s="52">
        <v>110</v>
      </c>
      <c r="D89" s="52">
        <v>116</v>
      </c>
      <c r="E89" s="52">
        <v>121</v>
      </c>
      <c r="F89" s="52">
        <v>114</v>
      </c>
      <c r="G89" s="196" t="s">
        <v>29</v>
      </c>
      <c r="H89" s="196" t="s">
        <v>29</v>
      </c>
      <c r="I89" s="199">
        <f t="shared" si="8"/>
        <v>461</v>
      </c>
      <c r="J89" s="196" t="s">
        <v>29</v>
      </c>
    </row>
    <row r="90" spans="1:10" s="487" customFormat="1" x14ac:dyDescent="0.2">
      <c r="A90" s="491" t="s">
        <v>397</v>
      </c>
      <c r="B90" s="100" t="s">
        <v>29</v>
      </c>
      <c r="C90" s="52" t="s">
        <v>29</v>
      </c>
      <c r="D90" s="52">
        <v>74</v>
      </c>
      <c r="E90" s="52">
        <v>19</v>
      </c>
      <c r="F90" s="52">
        <v>58</v>
      </c>
      <c r="G90" s="196" t="s">
        <v>29</v>
      </c>
      <c r="H90" s="196" t="s">
        <v>29</v>
      </c>
      <c r="I90" s="199">
        <f t="shared" ref="I90" si="9">SUM(B90:H90)</f>
        <v>151</v>
      </c>
      <c r="J90" s="196" t="s">
        <v>29</v>
      </c>
    </row>
    <row r="91" spans="1:10" x14ac:dyDescent="0.2">
      <c r="A91" s="491">
        <v>2020</v>
      </c>
      <c r="B91" s="33" t="s">
        <v>29</v>
      </c>
      <c r="C91" s="52" t="s">
        <v>29</v>
      </c>
      <c r="D91" s="52" t="s">
        <v>29</v>
      </c>
      <c r="E91" s="52" t="s">
        <v>29</v>
      </c>
      <c r="F91" s="52" t="s">
        <v>29</v>
      </c>
      <c r="G91" s="52" t="s">
        <v>29</v>
      </c>
      <c r="H91" s="52" t="s">
        <v>29</v>
      </c>
      <c r="I91" s="52" t="s">
        <v>29</v>
      </c>
      <c r="J91" s="196" t="s">
        <v>29</v>
      </c>
    </row>
    <row r="92" spans="1:10" x14ac:dyDescent="0.2">
      <c r="B92" s="106"/>
      <c r="C92" s="105"/>
      <c r="D92" s="105"/>
      <c r="E92" s="105"/>
      <c r="F92" s="105"/>
      <c r="G92" s="105"/>
      <c r="H92" s="103"/>
      <c r="I92" s="235"/>
    </row>
    <row r="93" spans="1:10" x14ac:dyDescent="0.2">
      <c r="A93" s="116" t="s">
        <v>24</v>
      </c>
      <c r="B93" s="106"/>
      <c r="C93" s="105"/>
      <c r="D93" s="105"/>
      <c r="E93" s="105"/>
      <c r="F93" s="105"/>
      <c r="G93" s="105"/>
      <c r="H93" s="103"/>
      <c r="I93" s="235"/>
    </row>
    <row r="94" spans="1:10" x14ac:dyDescent="0.2">
      <c r="A94" s="383">
        <v>1978</v>
      </c>
      <c r="B94" s="33">
        <v>52</v>
      </c>
      <c r="C94" s="52">
        <v>1941</v>
      </c>
      <c r="D94" s="52">
        <v>7196</v>
      </c>
      <c r="E94" s="52">
        <v>6904</v>
      </c>
      <c r="F94" s="52">
        <v>2728</v>
      </c>
      <c r="G94" s="52">
        <v>1073</v>
      </c>
      <c r="H94" s="196" t="s">
        <v>29</v>
      </c>
      <c r="I94" s="199">
        <f t="shared" ref="I94:I107" si="10">SUM(B94:H94)</f>
        <v>19894</v>
      </c>
    </row>
    <row r="95" spans="1:10" x14ac:dyDescent="0.2">
      <c r="A95" s="383">
        <v>1979</v>
      </c>
      <c r="B95" s="33">
        <v>5</v>
      </c>
      <c r="C95" s="52">
        <v>2086</v>
      </c>
      <c r="D95" s="52">
        <v>2159</v>
      </c>
      <c r="E95" s="52">
        <v>11318</v>
      </c>
      <c r="F95" s="52">
        <v>6244</v>
      </c>
      <c r="G95" s="52">
        <v>3069</v>
      </c>
      <c r="H95" s="196" t="s">
        <v>29</v>
      </c>
      <c r="I95" s="199">
        <f t="shared" si="10"/>
        <v>24881</v>
      </c>
    </row>
    <row r="96" spans="1:10" x14ac:dyDescent="0.2">
      <c r="A96" s="383">
        <v>1980</v>
      </c>
      <c r="B96" s="33" t="s">
        <v>29</v>
      </c>
      <c r="C96" s="52">
        <v>2829</v>
      </c>
      <c r="D96" s="52" t="s">
        <v>29</v>
      </c>
      <c r="E96" s="52">
        <v>11740</v>
      </c>
      <c r="F96" s="52">
        <v>4073</v>
      </c>
      <c r="G96" s="52">
        <v>2412</v>
      </c>
      <c r="H96" s="196" t="s">
        <v>29</v>
      </c>
      <c r="I96" s="199">
        <f t="shared" si="10"/>
        <v>21054</v>
      </c>
    </row>
    <row r="97" spans="1:9" x14ac:dyDescent="0.2">
      <c r="A97" s="383">
        <v>1981</v>
      </c>
      <c r="B97" s="33" t="s">
        <v>29</v>
      </c>
      <c r="C97" s="52">
        <v>2958</v>
      </c>
      <c r="D97" s="52">
        <v>2620</v>
      </c>
      <c r="E97" s="52">
        <v>4004</v>
      </c>
      <c r="F97" s="52">
        <v>2755</v>
      </c>
      <c r="G97" s="52">
        <v>1716</v>
      </c>
      <c r="H97" s="196" t="s">
        <v>29</v>
      </c>
      <c r="I97" s="199">
        <f t="shared" si="10"/>
        <v>14053</v>
      </c>
    </row>
    <row r="98" spans="1:9" x14ac:dyDescent="0.2">
      <c r="A98" s="383">
        <v>1982</v>
      </c>
      <c r="B98" s="33" t="s">
        <v>29</v>
      </c>
      <c r="C98" s="52">
        <v>2371</v>
      </c>
      <c r="D98" s="52">
        <v>2348</v>
      </c>
      <c r="E98" s="52">
        <v>11256</v>
      </c>
      <c r="F98" s="52">
        <v>3764</v>
      </c>
      <c r="G98" s="52">
        <v>1713</v>
      </c>
      <c r="H98" s="196" t="s">
        <v>29</v>
      </c>
      <c r="I98" s="199">
        <f t="shared" si="10"/>
        <v>21452</v>
      </c>
    </row>
    <row r="99" spans="1:9" x14ac:dyDescent="0.2">
      <c r="A99" s="383">
        <v>1983</v>
      </c>
      <c r="B99" s="33" t="s">
        <v>29</v>
      </c>
      <c r="C99" s="52">
        <v>868</v>
      </c>
      <c r="D99" s="52">
        <v>2793</v>
      </c>
      <c r="E99" s="52">
        <v>2299</v>
      </c>
      <c r="F99" s="52">
        <v>1612</v>
      </c>
      <c r="G99" s="52">
        <v>62</v>
      </c>
      <c r="H99" s="196" t="s">
        <v>29</v>
      </c>
      <c r="I99" s="199">
        <f t="shared" si="10"/>
        <v>7634</v>
      </c>
    </row>
    <row r="100" spans="1:9" x14ac:dyDescent="0.2">
      <c r="A100" s="383">
        <v>1984</v>
      </c>
      <c r="B100" s="33" t="s">
        <v>29</v>
      </c>
      <c r="C100" s="52">
        <v>574</v>
      </c>
      <c r="D100" s="52">
        <v>744</v>
      </c>
      <c r="E100" s="52">
        <v>3798</v>
      </c>
      <c r="F100" s="52">
        <v>666</v>
      </c>
      <c r="G100" s="52">
        <v>2098</v>
      </c>
      <c r="H100" s="196" t="s">
        <v>29</v>
      </c>
      <c r="I100" s="199">
        <f t="shared" si="10"/>
        <v>7880</v>
      </c>
    </row>
    <row r="101" spans="1:9" x14ac:dyDescent="0.2">
      <c r="A101" s="383">
        <v>1985</v>
      </c>
      <c r="B101" s="33" t="s">
        <v>29</v>
      </c>
      <c r="C101" s="52">
        <v>3647</v>
      </c>
      <c r="D101" s="52">
        <v>2274</v>
      </c>
      <c r="E101" s="52">
        <v>6277</v>
      </c>
      <c r="F101" s="52">
        <v>3315</v>
      </c>
      <c r="G101" s="52">
        <v>2047</v>
      </c>
      <c r="H101" s="196" t="s">
        <v>29</v>
      </c>
      <c r="I101" s="199">
        <f t="shared" si="10"/>
        <v>17560</v>
      </c>
    </row>
    <row r="102" spans="1:9" x14ac:dyDescent="0.2">
      <c r="A102" s="383">
        <v>1986</v>
      </c>
      <c r="B102" s="33" t="s">
        <v>29</v>
      </c>
      <c r="C102" s="52">
        <v>3447</v>
      </c>
      <c r="D102" s="52">
        <v>3397.103021270641</v>
      </c>
      <c r="E102" s="52">
        <v>4357.500113278792</v>
      </c>
      <c r="F102" s="52">
        <v>3084.2156513738446</v>
      </c>
      <c r="G102" s="52">
        <v>230</v>
      </c>
      <c r="H102" s="196" t="s">
        <v>29</v>
      </c>
      <c r="I102" s="199">
        <f t="shared" si="10"/>
        <v>14515.818785923278</v>
      </c>
    </row>
    <row r="103" spans="1:9" x14ac:dyDescent="0.2">
      <c r="A103" s="383">
        <v>1987</v>
      </c>
      <c r="B103" s="33" t="s">
        <v>29</v>
      </c>
      <c r="C103" s="52">
        <v>3837</v>
      </c>
      <c r="D103" s="52">
        <v>4895.8138439309869</v>
      </c>
      <c r="E103" s="52">
        <v>6844.0786583555955</v>
      </c>
      <c r="F103" s="52">
        <v>4087</v>
      </c>
      <c r="G103" s="52">
        <v>641.37164750957857</v>
      </c>
      <c r="H103" s="196" t="s">
        <v>29</v>
      </c>
      <c r="I103" s="199">
        <f t="shared" si="10"/>
        <v>20305.264149796163</v>
      </c>
    </row>
    <row r="104" spans="1:9" x14ac:dyDescent="0.2">
      <c r="A104" s="383">
        <v>1988</v>
      </c>
      <c r="B104" s="33" t="s">
        <v>29</v>
      </c>
      <c r="C104" s="52">
        <v>4648.2822359396432</v>
      </c>
      <c r="D104" s="52">
        <v>4870.6664108165551</v>
      </c>
      <c r="E104" s="52">
        <v>7125</v>
      </c>
      <c r="F104" s="52">
        <v>5509</v>
      </c>
      <c r="G104" s="52">
        <v>1848.7136561322122</v>
      </c>
      <c r="H104" s="196" t="s">
        <v>29</v>
      </c>
      <c r="I104" s="199">
        <f t="shared" si="10"/>
        <v>24001.66230288841</v>
      </c>
    </row>
    <row r="105" spans="1:9" x14ac:dyDescent="0.2">
      <c r="A105" s="383">
        <v>1989</v>
      </c>
      <c r="B105" s="33" t="s">
        <v>29</v>
      </c>
      <c r="C105" s="52">
        <v>1077</v>
      </c>
      <c r="D105" s="52">
        <v>2697.0863987432908</v>
      </c>
      <c r="E105" s="52">
        <v>4396</v>
      </c>
      <c r="F105" s="52">
        <v>4867.5098201023275</v>
      </c>
      <c r="G105" s="52">
        <v>1072</v>
      </c>
      <c r="H105" s="196" t="s">
        <v>29</v>
      </c>
      <c r="I105" s="199">
        <f t="shared" si="10"/>
        <v>14109.596218845618</v>
      </c>
    </row>
    <row r="106" spans="1:9" x14ac:dyDescent="0.2">
      <c r="A106" s="383">
        <v>1990</v>
      </c>
      <c r="B106" s="33" t="s">
        <v>29</v>
      </c>
      <c r="C106" s="52">
        <v>867</v>
      </c>
      <c r="D106" s="52">
        <v>3575</v>
      </c>
      <c r="E106" s="52">
        <v>3034</v>
      </c>
      <c r="F106" s="52">
        <v>1460</v>
      </c>
      <c r="G106" s="52">
        <v>91</v>
      </c>
      <c r="H106" s="196" t="s">
        <v>29</v>
      </c>
      <c r="I106" s="199">
        <f t="shared" si="10"/>
        <v>9027</v>
      </c>
    </row>
    <row r="107" spans="1:9" x14ac:dyDescent="0.2">
      <c r="A107" s="383">
        <v>1991</v>
      </c>
      <c r="B107" s="33" t="s">
        <v>29</v>
      </c>
      <c r="C107" s="52" t="s">
        <v>29</v>
      </c>
      <c r="D107" s="52" t="s">
        <v>29</v>
      </c>
      <c r="E107" s="52" t="s">
        <v>29</v>
      </c>
      <c r="F107" s="52">
        <v>3500</v>
      </c>
      <c r="G107" s="52">
        <v>300</v>
      </c>
      <c r="H107" s="196" t="s">
        <v>29</v>
      </c>
      <c r="I107" s="199">
        <f t="shared" si="10"/>
        <v>3800</v>
      </c>
    </row>
    <row r="108" spans="1:9" x14ac:dyDescent="0.2">
      <c r="A108" s="383">
        <v>1992</v>
      </c>
      <c r="B108" s="33" t="s">
        <v>29</v>
      </c>
      <c r="C108" s="52" t="s">
        <v>29</v>
      </c>
      <c r="D108" s="52" t="s">
        <v>29</v>
      </c>
      <c r="E108" s="52" t="s">
        <v>29</v>
      </c>
      <c r="F108" s="52" t="s">
        <v>29</v>
      </c>
      <c r="G108" s="52" t="s">
        <v>29</v>
      </c>
      <c r="H108" s="196" t="s">
        <v>29</v>
      </c>
      <c r="I108" s="199" t="s">
        <v>29</v>
      </c>
    </row>
    <row r="109" spans="1:9" x14ac:dyDescent="0.2">
      <c r="A109" s="383">
        <v>1993</v>
      </c>
      <c r="B109" s="33" t="s">
        <v>29</v>
      </c>
      <c r="C109" s="52">
        <v>100</v>
      </c>
      <c r="D109" s="52" t="s">
        <v>29</v>
      </c>
      <c r="E109" s="52" t="s">
        <v>29</v>
      </c>
      <c r="F109" s="52" t="s">
        <v>29</v>
      </c>
      <c r="G109" s="52">
        <v>1500</v>
      </c>
      <c r="H109" s="196" t="s">
        <v>29</v>
      </c>
      <c r="I109" s="199">
        <f t="shared" ref="I109:I123" si="11">SUM(B109:H109)</f>
        <v>1600</v>
      </c>
    </row>
    <row r="110" spans="1:9" x14ac:dyDescent="0.2">
      <c r="A110" s="383">
        <v>1994</v>
      </c>
      <c r="B110" s="33" t="s">
        <v>29</v>
      </c>
      <c r="C110" s="52" t="s">
        <v>29</v>
      </c>
      <c r="D110" s="52" t="s">
        <v>29</v>
      </c>
      <c r="E110" s="52" t="s">
        <v>29</v>
      </c>
      <c r="F110" s="52" t="s">
        <v>29</v>
      </c>
      <c r="G110" s="52">
        <v>800</v>
      </c>
      <c r="H110" s="196" t="s">
        <v>29</v>
      </c>
      <c r="I110" s="199">
        <f t="shared" si="11"/>
        <v>800</v>
      </c>
    </row>
    <row r="111" spans="1:9" x14ac:dyDescent="0.2">
      <c r="A111" s="383">
        <v>1995</v>
      </c>
      <c r="B111" s="33" t="s">
        <v>29</v>
      </c>
      <c r="C111" s="52" t="s">
        <v>29</v>
      </c>
      <c r="D111" s="52" t="s">
        <v>29</v>
      </c>
      <c r="E111" s="52" t="s">
        <v>29</v>
      </c>
      <c r="F111" s="52" t="s">
        <v>29</v>
      </c>
      <c r="G111" s="52">
        <v>900</v>
      </c>
      <c r="H111" s="196" t="s">
        <v>29</v>
      </c>
      <c r="I111" s="199">
        <f t="shared" si="11"/>
        <v>900</v>
      </c>
    </row>
    <row r="112" spans="1:9" x14ac:dyDescent="0.2">
      <c r="A112" s="383">
        <v>1996</v>
      </c>
      <c r="B112" s="33" t="s">
        <v>29</v>
      </c>
      <c r="C112" s="52" t="s">
        <v>29</v>
      </c>
      <c r="D112" s="52" t="s">
        <v>29</v>
      </c>
      <c r="E112" s="52" t="s">
        <v>29</v>
      </c>
      <c r="F112" s="52">
        <v>1300</v>
      </c>
      <c r="G112" s="52">
        <v>800</v>
      </c>
      <c r="H112" s="196" t="s">
        <v>29</v>
      </c>
      <c r="I112" s="199">
        <f t="shared" si="11"/>
        <v>2100</v>
      </c>
    </row>
    <row r="113" spans="1:9" x14ac:dyDescent="0.2">
      <c r="A113" s="383">
        <v>1997</v>
      </c>
      <c r="B113" s="33" t="s">
        <v>29</v>
      </c>
      <c r="C113" s="52" t="s">
        <v>29</v>
      </c>
      <c r="D113" s="52" t="s">
        <v>29</v>
      </c>
      <c r="E113" s="52" t="s">
        <v>29</v>
      </c>
      <c r="F113" s="52" t="s">
        <v>29</v>
      </c>
      <c r="G113" s="52">
        <v>300</v>
      </c>
      <c r="H113" s="196" t="s">
        <v>29</v>
      </c>
      <c r="I113" s="199">
        <f t="shared" si="11"/>
        <v>300</v>
      </c>
    </row>
    <row r="114" spans="1:9" x14ac:dyDescent="0.2">
      <c r="A114" s="383">
        <v>1998</v>
      </c>
      <c r="B114" s="33" t="s">
        <v>29</v>
      </c>
      <c r="C114" s="52" t="s">
        <v>29</v>
      </c>
      <c r="D114" s="52" t="s">
        <v>29</v>
      </c>
      <c r="E114" s="52" t="s">
        <v>29</v>
      </c>
      <c r="F114" s="52" t="s">
        <v>29</v>
      </c>
      <c r="G114" s="52">
        <v>300</v>
      </c>
      <c r="H114" s="196" t="s">
        <v>29</v>
      </c>
      <c r="I114" s="199">
        <f t="shared" si="11"/>
        <v>300</v>
      </c>
    </row>
    <row r="115" spans="1:9" x14ac:dyDescent="0.2">
      <c r="A115" s="383">
        <v>1999</v>
      </c>
      <c r="B115" s="33" t="s">
        <v>29</v>
      </c>
      <c r="C115" s="52" t="s">
        <v>29</v>
      </c>
      <c r="D115" s="52" t="s">
        <v>29</v>
      </c>
      <c r="E115" s="52" t="s">
        <v>29</v>
      </c>
      <c r="F115" s="52" t="s">
        <v>29</v>
      </c>
      <c r="G115" s="52">
        <v>200</v>
      </c>
      <c r="H115" s="196" t="s">
        <v>29</v>
      </c>
      <c r="I115" s="199">
        <f t="shared" si="11"/>
        <v>200</v>
      </c>
    </row>
    <row r="116" spans="1:9" x14ac:dyDescent="0.2">
      <c r="A116" s="383">
        <v>2000</v>
      </c>
      <c r="B116" s="33" t="s">
        <v>29</v>
      </c>
      <c r="C116" s="52" t="s">
        <v>29</v>
      </c>
      <c r="D116" s="52" t="s">
        <v>29</v>
      </c>
      <c r="E116" s="52" t="s">
        <v>29</v>
      </c>
      <c r="F116" s="52" t="s">
        <v>29</v>
      </c>
      <c r="G116" s="52">
        <v>1079</v>
      </c>
      <c r="H116" s="196" t="s">
        <v>29</v>
      </c>
      <c r="I116" s="199">
        <f t="shared" si="11"/>
        <v>1079</v>
      </c>
    </row>
    <row r="117" spans="1:9" x14ac:dyDescent="0.2">
      <c r="A117" s="383">
        <v>2001</v>
      </c>
      <c r="B117" s="33" t="s">
        <v>29</v>
      </c>
      <c r="C117" s="52">
        <v>206</v>
      </c>
      <c r="D117" s="52" t="s">
        <v>29</v>
      </c>
      <c r="E117" s="52" t="s">
        <v>29</v>
      </c>
      <c r="F117" s="52" t="s">
        <v>29</v>
      </c>
      <c r="G117" s="52">
        <v>610</v>
      </c>
      <c r="H117" s="196" t="s">
        <v>29</v>
      </c>
      <c r="I117" s="199">
        <f t="shared" si="11"/>
        <v>816</v>
      </c>
    </row>
    <row r="118" spans="1:9" x14ac:dyDescent="0.2">
      <c r="A118" s="383">
        <v>2002</v>
      </c>
      <c r="B118" s="33" t="s">
        <v>29</v>
      </c>
      <c r="C118" s="52" t="s">
        <v>29</v>
      </c>
      <c r="D118" s="52" t="s">
        <v>29</v>
      </c>
      <c r="E118" s="52">
        <v>216</v>
      </c>
      <c r="F118" s="52">
        <v>1327</v>
      </c>
      <c r="G118" s="52">
        <v>581</v>
      </c>
      <c r="H118" s="196" t="s">
        <v>29</v>
      </c>
      <c r="I118" s="199">
        <f t="shared" si="11"/>
        <v>2124</v>
      </c>
    </row>
    <row r="119" spans="1:9" x14ac:dyDescent="0.2">
      <c r="A119" s="383">
        <v>2003</v>
      </c>
      <c r="B119" s="33" t="s">
        <v>29</v>
      </c>
      <c r="C119" s="52">
        <v>1022</v>
      </c>
      <c r="D119" s="52" t="s">
        <v>29</v>
      </c>
      <c r="E119" s="52">
        <v>1497</v>
      </c>
      <c r="F119" s="52">
        <v>2355</v>
      </c>
      <c r="G119" s="52">
        <v>1422</v>
      </c>
      <c r="H119" s="196" t="s">
        <v>29</v>
      </c>
      <c r="I119" s="199">
        <f t="shared" si="11"/>
        <v>6296</v>
      </c>
    </row>
    <row r="120" spans="1:9" x14ac:dyDescent="0.2">
      <c r="A120" s="383">
        <v>2004</v>
      </c>
      <c r="B120" s="33" t="s">
        <v>29</v>
      </c>
      <c r="C120" s="52" t="s">
        <v>29</v>
      </c>
      <c r="D120" s="52" t="s">
        <v>29</v>
      </c>
      <c r="E120" s="52">
        <v>2426</v>
      </c>
      <c r="F120" s="52">
        <v>2095</v>
      </c>
      <c r="G120" s="52">
        <v>1063</v>
      </c>
      <c r="H120" s="196" t="s">
        <v>29</v>
      </c>
      <c r="I120" s="199">
        <f t="shared" si="11"/>
        <v>5584</v>
      </c>
    </row>
    <row r="121" spans="1:9" x14ac:dyDescent="0.2">
      <c r="A121" s="383">
        <v>2005</v>
      </c>
      <c r="B121" s="33" t="s">
        <v>29</v>
      </c>
      <c r="C121" s="52" t="s">
        <v>29</v>
      </c>
      <c r="D121" s="52" t="s">
        <v>29</v>
      </c>
      <c r="E121" s="52" t="s">
        <v>29</v>
      </c>
      <c r="F121" s="52" t="s">
        <v>29</v>
      </c>
      <c r="G121" s="52">
        <v>1455</v>
      </c>
      <c r="H121" s="196" t="s">
        <v>29</v>
      </c>
      <c r="I121" s="199">
        <f t="shared" si="11"/>
        <v>1455</v>
      </c>
    </row>
    <row r="122" spans="1:9" x14ac:dyDescent="0.2">
      <c r="A122" s="383">
        <v>2006</v>
      </c>
      <c r="B122" s="33" t="s">
        <v>29</v>
      </c>
      <c r="C122" s="52" t="s">
        <v>29</v>
      </c>
      <c r="D122" s="52" t="s">
        <v>29</v>
      </c>
      <c r="E122" s="52" t="s">
        <v>29</v>
      </c>
      <c r="F122" s="52" t="s">
        <v>29</v>
      </c>
      <c r="G122" s="52">
        <v>434</v>
      </c>
      <c r="H122" s="196" t="s">
        <v>29</v>
      </c>
      <c r="I122" s="199">
        <f t="shared" si="11"/>
        <v>434</v>
      </c>
    </row>
    <row r="123" spans="1:9" x14ac:dyDescent="0.2">
      <c r="A123" s="383">
        <v>2007</v>
      </c>
      <c r="B123" s="33">
        <v>106</v>
      </c>
      <c r="C123" s="52" t="s">
        <v>29</v>
      </c>
      <c r="D123" s="52" t="s">
        <v>29</v>
      </c>
      <c r="E123" s="52" t="s">
        <v>29</v>
      </c>
      <c r="F123" s="52">
        <v>1252</v>
      </c>
      <c r="G123" s="52">
        <v>42</v>
      </c>
      <c r="H123" s="196" t="s">
        <v>29</v>
      </c>
      <c r="I123" s="199">
        <f t="shared" si="11"/>
        <v>1400</v>
      </c>
    </row>
    <row r="124" spans="1:9" s="374" customFormat="1" x14ac:dyDescent="0.2">
      <c r="A124" s="402">
        <v>2008</v>
      </c>
      <c r="B124" s="100" t="s">
        <v>29</v>
      </c>
      <c r="C124" s="52" t="s">
        <v>29</v>
      </c>
      <c r="D124" s="52" t="s">
        <v>29</v>
      </c>
      <c r="E124" s="52" t="s">
        <v>29</v>
      </c>
      <c r="F124" s="52" t="s">
        <v>29</v>
      </c>
      <c r="G124" s="52" t="s">
        <v>29</v>
      </c>
      <c r="H124" s="196" t="s">
        <v>29</v>
      </c>
      <c r="I124" s="199" t="s">
        <v>29</v>
      </c>
    </row>
    <row r="125" spans="1:9" s="374" customFormat="1" x14ac:dyDescent="0.2">
      <c r="A125" s="402">
        <v>2009</v>
      </c>
      <c r="B125" s="100" t="s">
        <v>29</v>
      </c>
      <c r="C125" s="52" t="s">
        <v>29</v>
      </c>
      <c r="D125" s="52" t="s">
        <v>29</v>
      </c>
      <c r="E125" s="52" t="s">
        <v>29</v>
      </c>
      <c r="F125" s="52" t="s">
        <v>29</v>
      </c>
      <c r="G125" s="52" t="s">
        <v>29</v>
      </c>
      <c r="H125" s="196" t="s">
        <v>29</v>
      </c>
      <c r="I125" s="199" t="s">
        <v>29</v>
      </c>
    </row>
    <row r="126" spans="1:9" s="374" customFormat="1" x14ac:dyDescent="0.2">
      <c r="A126" s="402">
        <v>2010</v>
      </c>
      <c r="B126" s="100" t="s">
        <v>29</v>
      </c>
      <c r="C126" s="52" t="s">
        <v>29</v>
      </c>
      <c r="D126" s="52" t="s">
        <v>29</v>
      </c>
      <c r="E126" s="52">
        <v>616</v>
      </c>
      <c r="F126" s="52">
        <v>870</v>
      </c>
      <c r="G126" s="52" t="s">
        <v>29</v>
      </c>
      <c r="H126" s="196" t="s">
        <v>29</v>
      </c>
      <c r="I126" s="199">
        <f t="shared" ref="I126:I130" si="12">SUM(B126:H126)</f>
        <v>1486</v>
      </c>
    </row>
    <row r="127" spans="1:9" s="374" customFormat="1" x14ac:dyDescent="0.2">
      <c r="A127" s="402">
        <v>2011</v>
      </c>
      <c r="B127" s="100" t="s">
        <v>29</v>
      </c>
      <c r="C127" s="52" t="s">
        <v>29</v>
      </c>
      <c r="D127" s="52" t="s">
        <v>29</v>
      </c>
      <c r="E127" s="52">
        <v>596</v>
      </c>
      <c r="F127" s="52">
        <v>1386</v>
      </c>
      <c r="G127" s="52">
        <v>161</v>
      </c>
      <c r="H127" s="196" t="s">
        <v>29</v>
      </c>
      <c r="I127" s="199">
        <f t="shared" si="12"/>
        <v>2143</v>
      </c>
    </row>
    <row r="128" spans="1:9" s="374" customFormat="1" x14ac:dyDescent="0.2">
      <c r="A128" s="402">
        <v>2012</v>
      </c>
      <c r="B128" s="100" t="s">
        <v>29</v>
      </c>
      <c r="C128" s="52" t="s">
        <v>29</v>
      </c>
      <c r="D128" s="52" t="s">
        <v>29</v>
      </c>
      <c r="E128" s="52">
        <v>960</v>
      </c>
      <c r="F128" s="52">
        <v>973</v>
      </c>
      <c r="G128" s="52">
        <v>288</v>
      </c>
      <c r="H128" s="196" t="s">
        <v>29</v>
      </c>
      <c r="I128" s="199">
        <f t="shared" si="12"/>
        <v>2221</v>
      </c>
    </row>
    <row r="129" spans="1:9" s="374" customFormat="1" x14ac:dyDescent="0.2">
      <c r="A129" s="402">
        <v>2013</v>
      </c>
      <c r="B129" s="100" t="s">
        <v>29</v>
      </c>
      <c r="C129" s="52">
        <v>277</v>
      </c>
      <c r="D129" s="52">
        <v>1032</v>
      </c>
      <c r="E129" s="52">
        <v>2221</v>
      </c>
      <c r="F129" s="52">
        <v>1251</v>
      </c>
      <c r="G129" s="52">
        <v>560</v>
      </c>
      <c r="H129" s="196" t="s">
        <v>29</v>
      </c>
      <c r="I129" s="199">
        <f t="shared" si="12"/>
        <v>5341</v>
      </c>
    </row>
    <row r="130" spans="1:9" s="374" customFormat="1" x14ac:dyDescent="0.2">
      <c r="A130" s="402">
        <v>2014</v>
      </c>
      <c r="B130" s="100" t="s">
        <v>29</v>
      </c>
      <c r="C130" s="52" t="s">
        <v>29</v>
      </c>
      <c r="D130" s="52">
        <v>1129</v>
      </c>
      <c r="E130" s="52">
        <v>2208</v>
      </c>
      <c r="F130" s="52">
        <v>825</v>
      </c>
      <c r="G130" s="52">
        <v>99</v>
      </c>
      <c r="H130" s="196" t="s">
        <v>29</v>
      </c>
      <c r="I130" s="199">
        <f t="shared" si="12"/>
        <v>4261</v>
      </c>
    </row>
    <row r="131" spans="1:9" s="374" customFormat="1" x14ac:dyDescent="0.2">
      <c r="A131" s="402">
        <v>2015</v>
      </c>
      <c r="B131" s="100" t="s">
        <v>29</v>
      </c>
      <c r="C131" s="52">
        <v>2376</v>
      </c>
      <c r="D131" s="52">
        <v>987</v>
      </c>
      <c r="E131" s="52">
        <v>768</v>
      </c>
      <c r="F131" s="52">
        <v>623</v>
      </c>
      <c r="G131" s="52">
        <v>217</v>
      </c>
      <c r="H131" s="196" t="s">
        <v>29</v>
      </c>
      <c r="I131" s="199">
        <f>SUM(B131:H131)</f>
        <v>4971</v>
      </c>
    </row>
    <row r="132" spans="1:9" s="374" customFormat="1" x14ac:dyDescent="0.2">
      <c r="A132" s="402">
        <v>2016</v>
      </c>
      <c r="B132" s="100" t="s">
        <v>29</v>
      </c>
      <c r="C132" s="52" t="s">
        <v>29</v>
      </c>
      <c r="D132" s="52">
        <v>663</v>
      </c>
      <c r="E132" s="52" t="s">
        <v>29</v>
      </c>
      <c r="F132" s="52">
        <v>618</v>
      </c>
      <c r="G132" s="52">
        <v>205</v>
      </c>
      <c r="H132" s="196" t="s">
        <v>29</v>
      </c>
      <c r="I132" s="199">
        <f>SUM(B132:H132)</f>
        <v>1486</v>
      </c>
    </row>
    <row r="133" spans="1:9" s="374" customFormat="1" x14ac:dyDescent="0.2">
      <c r="A133" s="402">
        <v>2017</v>
      </c>
      <c r="B133" s="100" t="s">
        <v>29</v>
      </c>
      <c r="C133" s="52" t="s">
        <v>29</v>
      </c>
      <c r="D133" s="52" t="s">
        <v>29</v>
      </c>
      <c r="E133" s="52" t="s">
        <v>29</v>
      </c>
      <c r="F133" s="52" t="s">
        <v>29</v>
      </c>
      <c r="G133" s="52">
        <v>267</v>
      </c>
      <c r="H133" s="196" t="s">
        <v>29</v>
      </c>
      <c r="I133" s="199">
        <f>SUM(B133:H133)</f>
        <v>267</v>
      </c>
    </row>
    <row r="134" spans="1:9" s="374" customFormat="1" x14ac:dyDescent="0.2">
      <c r="A134" s="402">
        <v>2018</v>
      </c>
      <c r="B134" s="100" t="s">
        <v>29</v>
      </c>
      <c r="C134" s="52" t="s">
        <v>29</v>
      </c>
      <c r="D134" s="52" t="s">
        <v>29</v>
      </c>
      <c r="E134" s="52">
        <v>304</v>
      </c>
      <c r="F134" s="52">
        <v>453</v>
      </c>
      <c r="G134" s="52">
        <v>62</v>
      </c>
      <c r="H134" s="196" t="s">
        <v>29</v>
      </c>
      <c r="I134" s="199">
        <f>SUM(B134:H134)</f>
        <v>819</v>
      </c>
    </row>
    <row r="135" spans="1:9" s="487" customFormat="1" x14ac:dyDescent="0.2">
      <c r="A135" s="491" t="s">
        <v>336</v>
      </c>
      <c r="B135" s="100" t="s">
        <v>29</v>
      </c>
      <c r="C135" s="52" t="s">
        <v>29</v>
      </c>
      <c r="D135" s="52">
        <v>309</v>
      </c>
      <c r="E135" s="52">
        <v>319</v>
      </c>
      <c r="F135" s="52">
        <v>413</v>
      </c>
      <c r="G135" s="52" t="s">
        <v>29</v>
      </c>
      <c r="H135" s="196" t="s">
        <v>29</v>
      </c>
      <c r="I135" s="199">
        <f t="shared" ref="I135:I136" si="13">SUM(B135:H135)</f>
        <v>1041</v>
      </c>
    </row>
    <row r="136" spans="1:9" x14ac:dyDescent="0.2">
      <c r="A136" s="497" t="s">
        <v>391</v>
      </c>
      <c r="B136" s="33" t="s">
        <v>29</v>
      </c>
      <c r="C136" s="52" t="s">
        <v>29</v>
      </c>
      <c r="D136" s="52" t="s">
        <v>29</v>
      </c>
      <c r="E136" s="52" t="s">
        <v>29</v>
      </c>
      <c r="F136" s="52">
        <v>126</v>
      </c>
      <c r="G136" s="52">
        <v>90</v>
      </c>
      <c r="H136" s="52" t="s">
        <v>29</v>
      </c>
      <c r="I136" s="199">
        <f t="shared" si="13"/>
        <v>216</v>
      </c>
    </row>
    <row r="137" spans="1:9" x14ac:dyDescent="0.2">
      <c r="B137" s="106"/>
      <c r="C137" s="105"/>
      <c r="D137" s="105"/>
      <c r="E137" s="105"/>
      <c r="F137" s="105"/>
      <c r="G137" s="105"/>
      <c r="H137" s="103"/>
      <c r="I137" s="235"/>
    </row>
    <row r="138" spans="1:9" x14ac:dyDescent="0.2">
      <c r="A138" s="116" t="s">
        <v>25</v>
      </c>
      <c r="B138" s="106"/>
      <c r="C138" s="105"/>
      <c r="D138" s="105"/>
      <c r="E138" s="105"/>
      <c r="F138" s="105"/>
      <c r="G138" s="105"/>
      <c r="H138" s="103"/>
      <c r="I138" s="235"/>
    </row>
    <row r="139" spans="1:9" x14ac:dyDescent="0.2">
      <c r="A139" s="383">
        <v>1978</v>
      </c>
      <c r="B139" s="33">
        <v>686</v>
      </c>
      <c r="C139" s="52">
        <v>4332</v>
      </c>
      <c r="D139" s="52">
        <v>6325</v>
      </c>
      <c r="E139" s="52">
        <v>5722</v>
      </c>
      <c r="F139" s="52">
        <v>1949</v>
      </c>
      <c r="G139" s="52">
        <v>1045</v>
      </c>
      <c r="H139" s="196" t="s">
        <v>29</v>
      </c>
      <c r="I139" s="199">
        <f t="shared" ref="I139:I168" si="14">SUM(B139:H139)</f>
        <v>20059</v>
      </c>
    </row>
    <row r="140" spans="1:9" x14ac:dyDescent="0.2">
      <c r="A140" s="383">
        <v>1979</v>
      </c>
      <c r="B140" s="33">
        <v>7</v>
      </c>
      <c r="C140" s="52">
        <v>5198</v>
      </c>
      <c r="D140" s="52">
        <v>4158</v>
      </c>
      <c r="E140" s="52">
        <v>5742</v>
      </c>
      <c r="F140" s="52">
        <v>2695</v>
      </c>
      <c r="G140" s="52">
        <v>2385</v>
      </c>
      <c r="H140" s="196" t="s">
        <v>29</v>
      </c>
      <c r="I140" s="199">
        <f t="shared" si="14"/>
        <v>20185</v>
      </c>
    </row>
    <row r="141" spans="1:9" x14ac:dyDescent="0.2">
      <c r="A141" s="383">
        <v>1980</v>
      </c>
      <c r="B141" s="33" t="s">
        <v>29</v>
      </c>
      <c r="C141" s="52">
        <v>7811</v>
      </c>
      <c r="D141" s="52" t="s">
        <v>29</v>
      </c>
      <c r="E141" s="52">
        <v>9952</v>
      </c>
      <c r="F141" s="52">
        <v>2608</v>
      </c>
      <c r="G141" s="52">
        <v>2702</v>
      </c>
      <c r="H141" s="196" t="s">
        <v>29</v>
      </c>
      <c r="I141" s="199">
        <f t="shared" si="14"/>
        <v>23073</v>
      </c>
    </row>
    <row r="142" spans="1:9" x14ac:dyDescent="0.2">
      <c r="A142" s="383">
        <v>1981</v>
      </c>
      <c r="B142" s="33" t="s">
        <v>29</v>
      </c>
      <c r="C142" s="52">
        <v>4160</v>
      </c>
      <c r="D142" s="52">
        <v>1510</v>
      </c>
      <c r="E142" s="52">
        <v>9405</v>
      </c>
      <c r="F142" s="52">
        <v>4226</v>
      </c>
      <c r="G142" s="52">
        <v>2554</v>
      </c>
      <c r="H142" s="196" t="s">
        <v>29</v>
      </c>
      <c r="I142" s="199">
        <f t="shared" si="14"/>
        <v>21855</v>
      </c>
    </row>
    <row r="143" spans="1:9" x14ac:dyDescent="0.2">
      <c r="A143" s="383">
        <v>1982</v>
      </c>
      <c r="B143" s="33">
        <f>873+515</f>
        <v>1388</v>
      </c>
      <c r="C143" s="52">
        <v>6869</v>
      </c>
      <c r="D143" s="52">
        <v>3563</v>
      </c>
      <c r="E143" s="52">
        <v>8487</v>
      </c>
      <c r="F143" s="52">
        <v>8093</v>
      </c>
      <c r="G143" s="52">
        <v>3764</v>
      </c>
      <c r="H143" s="196" t="s">
        <v>29</v>
      </c>
      <c r="I143" s="199">
        <f t="shared" si="14"/>
        <v>32164</v>
      </c>
    </row>
    <row r="144" spans="1:9" x14ac:dyDescent="0.2">
      <c r="A144" s="383">
        <v>1983</v>
      </c>
      <c r="B144" s="33">
        <v>65</v>
      </c>
      <c r="C144" s="52">
        <v>2744</v>
      </c>
      <c r="D144" s="52">
        <v>860</v>
      </c>
      <c r="E144" s="52">
        <v>3758</v>
      </c>
      <c r="F144" s="52">
        <v>1981</v>
      </c>
      <c r="G144" s="52">
        <v>1158</v>
      </c>
      <c r="H144" s="196" t="s">
        <v>29</v>
      </c>
      <c r="I144" s="199">
        <f t="shared" si="14"/>
        <v>10566</v>
      </c>
    </row>
    <row r="145" spans="1:9" x14ac:dyDescent="0.2">
      <c r="A145" s="383">
        <v>1984</v>
      </c>
      <c r="B145" s="33" t="s">
        <v>29</v>
      </c>
      <c r="C145" s="52">
        <v>478</v>
      </c>
      <c r="D145" s="52">
        <v>2494</v>
      </c>
      <c r="E145" s="52">
        <v>6190</v>
      </c>
      <c r="F145" s="52">
        <v>6700</v>
      </c>
      <c r="G145" s="52">
        <v>3310</v>
      </c>
      <c r="H145" s="196" t="s">
        <v>29</v>
      </c>
      <c r="I145" s="199">
        <f t="shared" si="14"/>
        <v>19172</v>
      </c>
    </row>
    <row r="146" spans="1:9" x14ac:dyDescent="0.2">
      <c r="A146" s="383">
        <v>1985</v>
      </c>
      <c r="B146" s="33" t="s">
        <v>29</v>
      </c>
      <c r="C146" s="52">
        <v>5233</v>
      </c>
      <c r="D146" s="52">
        <v>6362</v>
      </c>
      <c r="E146" s="52">
        <v>6257</v>
      </c>
      <c r="F146" s="52">
        <v>5072</v>
      </c>
      <c r="G146" s="52">
        <v>4230</v>
      </c>
      <c r="H146" s="196" t="s">
        <v>29</v>
      </c>
      <c r="I146" s="199">
        <f t="shared" si="14"/>
        <v>27154</v>
      </c>
    </row>
    <row r="147" spans="1:9" x14ac:dyDescent="0.2">
      <c r="A147" s="383">
        <v>1986</v>
      </c>
      <c r="B147" s="33" t="s">
        <v>29</v>
      </c>
      <c r="C147" s="52">
        <v>3515</v>
      </c>
      <c r="D147" s="52">
        <v>4371</v>
      </c>
      <c r="E147" s="52">
        <v>5933</v>
      </c>
      <c r="F147" s="52">
        <v>4012</v>
      </c>
      <c r="G147" s="52">
        <v>1292</v>
      </c>
      <c r="H147" s="196" t="s">
        <v>29</v>
      </c>
      <c r="I147" s="199">
        <f t="shared" si="14"/>
        <v>19123</v>
      </c>
    </row>
    <row r="148" spans="1:9" x14ac:dyDescent="0.2">
      <c r="A148" s="383">
        <v>1987</v>
      </c>
      <c r="B148" s="33" t="s">
        <v>29</v>
      </c>
      <c r="C148" s="52">
        <v>6671</v>
      </c>
      <c r="D148" s="52">
        <v>6424</v>
      </c>
      <c r="E148" s="52">
        <v>5055</v>
      </c>
      <c r="F148" s="52">
        <v>4071</v>
      </c>
      <c r="G148" s="52">
        <v>2285</v>
      </c>
      <c r="H148" s="196" t="s">
        <v>29</v>
      </c>
      <c r="I148" s="199">
        <f t="shared" si="14"/>
        <v>24506</v>
      </c>
    </row>
    <row r="149" spans="1:9" x14ac:dyDescent="0.2">
      <c r="A149" s="383">
        <v>1988</v>
      </c>
      <c r="B149" s="33" t="s">
        <v>29</v>
      </c>
      <c r="C149" s="52">
        <v>8091</v>
      </c>
      <c r="D149" s="52">
        <v>9746</v>
      </c>
      <c r="E149" s="52">
        <v>9131</v>
      </c>
      <c r="F149" s="52">
        <v>5465</v>
      </c>
      <c r="G149" s="52">
        <v>3271</v>
      </c>
      <c r="H149" s="196" t="s">
        <v>29</v>
      </c>
      <c r="I149" s="199">
        <f t="shared" si="14"/>
        <v>35704</v>
      </c>
    </row>
    <row r="150" spans="1:9" x14ac:dyDescent="0.2">
      <c r="A150" s="383">
        <v>1989</v>
      </c>
      <c r="B150" s="33" t="s">
        <v>29</v>
      </c>
      <c r="C150" s="52">
        <v>7947</v>
      </c>
      <c r="D150" s="52">
        <v>7904</v>
      </c>
      <c r="E150" s="52">
        <v>3968</v>
      </c>
      <c r="F150" s="52">
        <v>4352</v>
      </c>
      <c r="G150" s="52">
        <v>2004</v>
      </c>
      <c r="H150" s="196" t="s">
        <v>29</v>
      </c>
      <c r="I150" s="199">
        <f t="shared" si="14"/>
        <v>26175</v>
      </c>
    </row>
    <row r="151" spans="1:9" x14ac:dyDescent="0.2">
      <c r="A151" s="383">
        <v>1990</v>
      </c>
      <c r="B151" s="33" t="s">
        <v>29</v>
      </c>
      <c r="C151" s="52">
        <v>6308</v>
      </c>
      <c r="D151" s="52">
        <v>7108</v>
      </c>
      <c r="E151" s="52">
        <v>5652</v>
      </c>
      <c r="F151" s="52">
        <v>2727</v>
      </c>
      <c r="G151" s="52">
        <v>470</v>
      </c>
      <c r="H151" s="196" t="s">
        <v>29</v>
      </c>
      <c r="I151" s="199">
        <f t="shared" si="14"/>
        <v>22265</v>
      </c>
    </row>
    <row r="152" spans="1:9" x14ac:dyDescent="0.2">
      <c r="A152" s="383">
        <v>1991</v>
      </c>
      <c r="B152" s="33" t="s">
        <v>29</v>
      </c>
      <c r="C152" s="52">
        <v>5200</v>
      </c>
      <c r="D152" s="52">
        <v>5400</v>
      </c>
      <c r="E152" s="52">
        <v>3300</v>
      </c>
      <c r="F152" s="52">
        <v>3200</v>
      </c>
      <c r="G152" s="52">
        <v>1400</v>
      </c>
      <c r="H152" s="196" t="s">
        <v>29</v>
      </c>
      <c r="I152" s="199">
        <f t="shared" si="14"/>
        <v>18500</v>
      </c>
    </row>
    <row r="153" spans="1:9" x14ac:dyDescent="0.2">
      <c r="A153" s="383">
        <v>1992</v>
      </c>
      <c r="B153" s="33" t="s">
        <v>29</v>
      </c>
      <c r="C153" s="52">
        <v>1700</v>
      </c>
      <c r="D153" s="52">
        <v>600</v>
      </c>
      <c r="E153" s="52">
        <v>1200</v>
      </c>
      <c r="F153" s="52">
        <v>3700</v>
      </c>
      <c r="G153" s="52">
        <v>3000</v>
      </c>
      <c r="H153" s="196" t="s">
        <v>29</v>
      </c>
      <c r="I153" s="199">
        <f t="shared" si="14"/>
        <v>10200</v>
      </c>
    </row>
    <row r="154" spans="1:9" x14ac:dyDescent="0.2">
      <c r="A154" s="383">
        <v>1993</v>
      </c>
      <c r="B154" s="33" t="s">
        <v>29</v>
      </c>
      <c r="C154" s="52">
        <v>4000</v>
      </c>
      <c r="D154" s="52">
        <v>1100</v>
      </c>
      <c r="E154" s="52">
        <v>3100</v>
      </c>
      <c r="F154" s="52">
        <v>3500</v>
      </c>
      <c r="G154" s="52">
        <v>900</v>
      </c>
      <c r="H154" s="196" t="s">
        <v>29</v>
      </c>
      <c r="I154" s="199">
        <f t="shared" si="14"/>
        <v>12600</v>
      </c>
    </row>
    <row r="155" spans="1:9" x14ac:dyDescent="0.2">
      <c r="A155" s="383">
        <v>1994</v>
      </c>
      <c r="B155" s="33" t="s">
        <v>29</v>
      </c>
      <c r="C155" s="52">
        <v>3100</v>
      </c>
      <c r="D155" s="52">
        <v>3200</v>
      </c>
      <c r="E155" s="52">
        <v>2800</v>
      </c>
      <c r="F155" s="52">
        <v>2000</v>
      </c>
      <c r="G155" s="52">
        <v>1400</v>
      </c>
      <c r="H155" s="196" t="s">
        <v>29</v>
      </c>
      <c r="I155" s="199">
        <f t="shared" si="14"/>
        <v>12500</v>
      </c>
    </row>
    <row r="156" spans="1:9" x14ac:dyDescent="0.2">
      <c r="A156" s="383">
        <v>1995</v>
      </c>
      <c r="B156" s="33" t="s">
        <v>29</v>
      </c>
      <c r="C156" s="52">
        <v>3400</v>
      </c>
      <c r="D156" s="52">
        <v>2400</v>
      </c>
      <c r="E156" s="52">
        <v>3100</v>
      </c>
      <c r="F156" s="52">
        <v>1800</v>
      </c>
      <c r="G156" s="52">
        <v>2200</v>
      </c>
      <c r="H156" s="196" t="s">
        <v>29</v>
      </c>
      <c r="I156" s="199">
        <f t="shared" si="14"/>
        <v>12900</v>
      </c>
    </row>
    <row r="157" spans="1:9" x14ac:dyDescent="0.2">
      <c r="A157" s="383">
        <v>1996</v>
      </c>
      <c r="B157" s="33" t="s">
        <v>29</v>
      </c>
      <c r="C157" s="52">
        <v>1000</v>
      </c>
      <c r="D157" s="52">
        <v>2500</v>
      </c>
      <c r="E157" s="52">
        <v>2200</v>
      </c>
      <c r="F157" s="52">
        <v>1300</v>
      </c>
      <c r="G157" s="52">
        <v>1100</v>
      </c>
      <c r="H157" s="196" t="s">
        <v>29</v>
      </c>
      <c r="I157" s="199">
        <f t="shared" si="14"/>
        <v>8100</v>
      </c>
    </row>
    <row r="158" spans="1:9" x14ac:dyDescent="0.2">
      <c r="A158" s="383">
        <v>1997</v>
      </c>
      <c r="B158" s="33" t="s">
        <v>29</v>
      </c>
      <c r="C158" s="52">
        <v>2700</v>
      </c>
      <c r="D158" s="52">
        <v>300</v>
      </c>
      <c r="E158" s="52">
        <v>2800</v>
      </c>
      <c r="F158" s="52">
        <v>2300</v>
      </c>
      <c r="G158" s="52">
        <v>1400</v>
      </c>
      <c r="H158" s="196" t="s">
        <v>29</v>
      </c>
      <c r="I158" s="199">
        <f t="shared" si="14"/>
        <v>9500</v>
      </c>
    </row>
    <row r="159" spans="1:9" x14ac:dyDescent="0.2">
      <c r="A159" s="383">
        <v>1998</v>
      </c>
      <c r="B159" s="33" t="s">
        <v>29</v>
      </c>
      <c r="C159" s="52">
        <v>900</v>
      </c>
      <c r="D159" s="52">
        <v>800</v>
      </c>
      <c r="E159" s="52">
        <v>3000</v>
      </c>
      <c r="F159" s="52">
        <v>1700</v>
      </c>
      <c r="G159" s="52">
        <v>1900</v>
      </c>
      <c r="H159" s="196" t="s">
        <v>29</v>
      </c>
      <c r="I159" s="199">
        <f t="shared" si="14"/>
        <v>8300</v>
      </c>
    </row>
    <row r="160" spans="1:9" x14ac:dyDescent="0.2">
      <c r="A160" s="383">
        <v>1999</v>
      </c>
      <c r="B160" s="33">
        <v>100</v>
      </c>
      <c r="C160" s="52">
        <v>1200</v>
      </c>
      <c r="D160" s="52">
        <v>2500</v>
      </c>
      <c r="E160" s="52">
        <v>3600</v>
      </c>
      <c r="F160" s="52">
        <v>2100</v>
      </c>
      <c r="G160" s="52">
        <v>1200</v>
      </c>
      <c r="H160" s="196" t="s">
        <v>29</v>
      </c>
      <c r="I160" s="199">
        <f t="shared" si="14"/>
        <v>10700</v>
      </c>
    </row>
    <row r="161" spans="1:9" x14ac:dyDescent="0.2">
      <c r="A161" s="383">
        <v>2000</v>
      </c>
      <c r="B161" s="33" t="s">
        <v>29</v>
      </c>
      <c r="C161" s="52">
        <v>1823</v>
      </c>
      <c r="D161" s="52">
        <v>2559</v>
      </c>
      <c r="E161" s="52">
        <v>2049</v>
      </c>
      <c r="F161" s="52">
        <v>2179</v>
      </c>
      <c r="G161" s="52">
        <v>2521</v>
      </c>
      <c r="H161" s="196" t="s">
        <v>29</v>
      </c>
      <c r="I161" s="199">
        <f t="shared" si="14"/>
        <v>11131</v>
      </c>
    </row>
    <row r="162" spans="1:9" x14ac:dyDescent="0.2">
      <c r="A162" s="383">
        <v>2001</v>
      </c>
      <c r="B162" s="33" t="s">
        <v>29</v>
      </c>
      <c r="C162" s="52">
        <v>2000</v>
      </c>
      <c r="D162" s="52">
        <v>774</v>
      </c>
      <c r="E162" s="52">
        <v>2694</v>
      </c>
      <c r="F162" s="52">
        <v>1392</v>
      </c>
      <c r="G162" s="52">
        <v>1590</v>
      </c>
      <c r="H162" s="196">
        <v>501</v>
      </c>
      <c r="I162" s="199">
        <f t="shared" si="14"/>
        <v>8951</v>
      </c>
    </row>
    <row r="163" spans="1:9" x14ac:dyDescent="0.2">
      <c r="A163" s="383">
        <v>2002</v>
      </c>
      <c r="B163" s="33" t="s">
        <v>29</v>
      </c>
      <c r="C163" s="52">
        <v>2258</v>
      </c>
      <c r="D163" s="52">
        <v>1630</v>
      </c>
      <c r="E163" s="52">
        <v>2856</v>
      </c>
      <c r="F163" s="52">
        <v>1198</v>
      </c>
      <c r="G163" s="52">
        <v>1064</v>
      </c>
      <c r="H163" s="196">
        <v>139</v>
      </c>
      <c r="I163" s="199">
        <f t="shared" si="14"/>
        <v>9145</v>
      </c>
    </row>
    <row r="164" spans="1:9" x14ac:dyDescent="0.2">
      <c r="A164" s="383">
        <v>2003</v>
      </c>
      <c r="B164" s="33" t="s">
        <v>29</v>
      </c>
      <c r="C164" s="52">
        <v>1046</v>
      </c>
      <c r="D164" s="52">
        <v>2228</v>
      </c>
      <c r="E164" s="52">
        <v>1409</v>
      </c>
      <c r="F164" s="52">
        <v>1212</v>
      </c>
      <c r="G164" s="52">
        <v>739</v>
      </c>
      <c r="H164" s="196">
        <v>136</v>
      </c>
      <c r="I164" s="199">
        <f t="shared" si="14"/>
        <v>6770</v>
      </c>
    </row>
    <row r="165" spans="1:9" x14ac:dyDescent="0.2">
      <c r="A165" s="383">
        <v>2004</v>
      </c>
      <c r="B165" s="33" t="s">
        <v>29</v>
      </c>
      <c r="C165" s="52">
        <v>3120</v>
      </c>
      <c r="D165" s="52">
        <v>2942</v>
      </c>
      <c r="E165" s="52">
        <v>2724</v>
      </c>
      <c r="F165" s="52">
        <v>1076</v>
      </c>
      <c r="G165" s="52">
        <v>704</v>
      </c>
      <c r="H165" s="196">
        <v>290</v>
      </c>
      <c r="I165" s="199">
        <f t="shared" si="14"/>
        <v>10856</v>
      </c>
    </row>
    <row r="166" spans="1:9" x14ac:dyDescent="0.2">
      <c r="A166" s="383">
        <v>2005</v>
      </c>
      <c r="B166" s="33" t="s">
        <v>29</v>
      </c>
      <c r="C166" s="52" t="s">
        <v>29</v>
      </c>
      <c r="D166" s="52" t="s">
        <v>29</v>
      </c>
      <c r="E166" s="52">
        <v>3533</v>
      </c>
      <c r="F166" s="52">
        <v>2586</v>
      </c>
      <c r="G166" s="52">
        <v>2150</v>
      </c>
      <c r="H166" s="196">
        <v>401</v>
      </c>
      <c r="I166" s="199">
        <f t="shared" si="14"/>
        <v>8670</v>
      </c>
    </row>
    <row r="167" spans="1:9" x14ac:dyDescent="0.2">
      <c r="A167" s="383">
        <v>2006</v>
      </c>
      <c r="B167" s="33" t="s">
        <v>29</v>
      </c>
      <c r="C167" s="52" t="s">
        <v>29</v>
      </c>
      <c r="D167" s="52" t="s">
        <v>29</v>
      </c>
      <c r="E167" s="52">
        <v>616</v>
      </c>
      <c r="F167" s="52">
        <v>2549</v>
      </c>
      <c r="G167" s="52">
        <v>1949</v>
      </c>
      <c r="H167" s="196">
        <v>374</v>
      </c>
      <c r="I167" s="199">
        <f t="shared" si="14"/>
        <v>5488</v>
      </c>
    </row>
    <row r="168" spans="1:9" x14ac:dyDescent="0.2">
      <c r="A168" s="383">
        <v>2007</v>
      </c>
      <c r="B168" s="33" t="s">
        <v>29</v>
      </c>
      <c r="C168" s="52">
        <v>1656</v>
      </c>
      <c r="D168" s="52" t="s">
        <v>29</v>
      </c>
      <c r="E168" s="52">
        <v>2954</v>
      </c>
      <c r="F168" s="52">
        <v>1152</v>
      </c>
      <c r="G168" s="52">
        <v>806</v>
      </c>
      <c r="H168" s="196">
        <v>168</v>
      </c>
      <c r="I168" s="199">
        <f t="shared" si="14"/>
        <v>6736</v>
      </c>
    </row>
    <row r="169" spans="1:9" s="374" customFormat="1" x14ac:dyDescent="0.2">
      <c r="A169" s="402">
        <v>2008</v>
      </c>
      <c r="B169" s="100" t="s">
        <v>29</v>
      </c>
      <c r="C169" s="52" t="s">
        <v>29</v>
      </c>
      <c r="D169" s="52" t="s">
        <v>29</v>
      </c>
      <c r="E169" s="52" t="s">
        <v>29</v>
      </c>
      <c r="F169" s="52" t="s">
        <v>29</v>
      </c>
      <c r="G169" s="52" t="s">
        <v>29</v>
      </c>
      <c r="H169" s="196" t="s">
        <v>29</v>
      </c>
      <c r="I169" s="199" t="s">
        <v>29</v>
      </c>
    </row>
    <row r="170" spans="1:9" s="374" customFormat="1" x14ac:dyDescent="0.2">
      <c r="A170" s="402">
        <v>2009</v>
      </c>
      <c r="B170" s="100" t="s">
        <v>29</v>
      </c>
      <c r="C170" s="52" t="s">
        <v>29</v>
      </c>
      <c r="D170" s="52" t="s">
        <v>29</v>
      </c>
      <c r="E170" s="52" t="s">
        <v>29</v>
      </c>
      <c r="F170" s="52" t="s">
        <v>29</v>
      </c>
      <c r="G170" s="52" t="s">
        <v>29</v>
      </c>
      <c r="H170" s="196" t="s">
        <v>29</v>
      </c>
      <c r="I170" s="199" t="s">
        <v>29</v>
      </c>
    </row>
    <row r="171" spans="1:9" s="374" customFormat="1" x14ac:dyDescent="0.2">
      <c r="A171" s="402">
        <v>2010</v>
      </c>
      <c r="B171" s="100" t="s">
        <v>29</v>
      </c>
      <c r="C171" s="52" t="s">
        <v>29</v>
      </c>
      <c r="D171" s="52" t="s">
        <v>29</v>
      </c>
      <c r="E171" s="52">
        <v>244</v>
      </c>
      <c r="F171" s="52" t="s">
        <v>29</v>
      </c>
      <c r="G171" s="52" t="s">
        <v>29</v>
      </c>
      <c r="H171" s="196" t="s">
        <v>29</v>
      </c>
      <c r="I171" s="199">
        <f t="shared" ref="I171:I181" si="15">SUM(B171:H171)</f>
        <v>244</v>
      </c>
    </row>
    <row r="172" spans="1:9" s="374" customFormat="1" x14ac:dyDescent="0.2">
      <c r="A172" s="402">
        <v>2011</v>
      </c>
      <c r="B172" s="100" t="s">
        <v>29</v>
      </c>
      <c r="C172" s="52">
        <v>900</v>
      </c>
      <c r="D172" s="52">
        <v>164</v>
      </c>
      <c r="E172" s="52">
        <v>873</v>
      </c>
      <c r="F172" s="52">
        <v>394</v>
      </c>
      <c r="G172" s="52">
        <v>459</v>
      </c>
      <c r="H172" s="196">
        <v>117</v>
      </c>
      <c r="I172" s="199">
        <f t="shared" si="15"/>
        <v>2907</v>
      </c>
    </row>
    <row r="173" spans="1:9" s="374" customFormat="1" x14ac:dyDescent="0.2">
      <c r="A173" s="402">
        <v>2012</v>
      </c>
      <c r="B173" s="100" t="s">
        <v>29</v>
      </c>
      <c r="C173" s="52">
        <v>1723</v>
      </c>
      <c r="D173" s="52">
        <v>686</v>
      </c>
      <c r="E173" s="52">
        <v>2199</v>
      </c>
      <c r="F173" s="52">
        <v>1422</v>
      </c>
      <c r="G173" s="52">
        <v>1006</v>
      </c>
      <c r="H173" s="196">
        <v>469</v>
      </c>
      <c r="I173" s="199">
        <f t="shared" si="15"/>
        <v>7505</v>
      </c>
    </row>
    <row r="174" spans="1:9" s="374" customFormat="1" x14ac:dyDescent="0.2">
      <c r="A174" s="402">
        <v>2013</v>
      </c>
      <c r="B174" s="100" t="s">
        <v>29</v>
      </c>
      <c r="C174" s="52">
        <v>2401</v>
      </c>
      <c r="D174" s="52">
        <v>2062</v>
      </c>
      <c r="E174" s="52">
        <v>1358</v>
      </c>
      <c r="F174" s="52">
        <v>1269</v>
      </c>
      <c r="G174" s="52">
        <v>1014</v>
      </c>
      <c r="H174" s="196">
        <v>223</v>
      </c>
      <c r="I174" s="199">
        <f t="shared" si="15"/>
        <v>8327</v>
      </c>
    </row>
    <row r="175" spans="1:9" s="374" customFormat="1" x14ac:dyDescent="0.2">
      <c r="A175" s="402">
        <v>2014</v>
      </c>
      <c r="B175" s="100" t="s">
        <v>29</v>
      </c>
      <c r="C175" s="52">
        <v>2187</v>
      </c>
      <c r="D175" s="52">
        <v>1200</v>
      </c>
      <c r="E175" s="52">
        <v>761</v>
      </c>
      <c r="F175" s="52">
        <v>2058</v>
      </c>
      <c r="G175" s="52">
        <v>1660</v>
      </c>
      <c r="H175" s="196">
        <v>575</v>
      </c>
      <c r="I175" s="199">
        <f t="shared" si="15"/>
        <v>8441</v>
      </c>
    </row>
    <row r="176" spans="1:9" s="374" customFormat="1" x14ac:dyDescent="0.2">
      <c r="A176" s="402">
        <v>2015</v>
      </c>
      <c r="B176" s="100" t="s">
        <v>29</v>
      </c>
      <c r="C176" s="52">
        <v>839</v>
      </c>
      <c r="D176" s="52">
        <v>745</v>
      </c>
      <c r="E176" s="52">
        <v>639</v>
      </c>
      <c r="F176" s="52">
        <v>1250</v>
      </c>
      <c r="G176" s="52">
        <v>1478</v>
      </c>
      <c r="H176" s="196">
        <v>515</v>
      </c>
      <c r="I176" s="199">
        <f>SUM(B176:H176)</f>
        <v>5466</v>
      </c>
    </row>
    <row r="177" spans="1:9" s="374" customFormat="1" x14ac:dyDescent="0.2">
      <c r="A177" s="402">
        <v>2016</v>
      </c>
      <c r="B177" s="100" t="s">
        <v>29</v>
      </c>
      <c r="C177" s="52">
        <v>581</v>
      </c>
      <c r="D177" s="52">
        <v>148</v>
      </c>
      <c r="E177" s="52" t="s">
        <v>29</v>
      </c>
      <c r="F177" s="52">
        <v>1832</v>
      </c>
      <c r="G177" s="52">
        <v>1358</v>
      </c>
      <c r="H177" s="196">
        <v>174</v>
      </c>
      <c r="I177" s="199">
        <f>SUM(B177:H177)</f>
        <v>4093</v>
      </c>
    </row>
    <row r="178" spans="1:9" s="374" customFormat="1" x14ac:dyDescent="0.2">
      <c r="A178" s="402">
        <v>2017</v>
      </c>
      <c r="B178" s="100" t="s">
        <v>29</v>
      </c>
      <c r="C178" s="52" t="s">
        <v>29</v>
      </c>
      <c r="D178" s="52" t="s">
        <v>29</v>
      </c>
      <c r="E178" s="52" t="s">
        <v>29</v>
      </c>
      <c r="F178" s="52">
        <v>2610</v>
      </c>
      <c r="G178" s="52">
        <v>1544</v>
      </c>
      <c r="H178" s="196">
        <v>220</v>
      </c>
      <c r="I178" s="199">
        <f>SUM(B178:H178)</f>
        <v>4374</v>
      </c>
    </row>
    <row r="179" spans="1:9" s="374" customFormat="1" x14ac:dyDescent="0.2">
      <c r="A179" s="402">
        <v>2018</v>
      </c>
      <c r="B179" s="100" t="s">
        <v>29</v>
      </c>
      <c r="C179" s="52" t="s">
        <v>29</v>
      </c>
      <c r="D179" s="52" t="s">
        <v>29</v>
      </c>
      <c r="E179" s="52">
        <v>519</v>
      </c>
      <c r="F179" s="52">
        <v>2298</v>
      </c>
      <c r="G179" s="52">
        <v>1489</v>
      </c>
      <c r="H179" s="196">
        <v>441</v>
      </c>
      <c r="I179" s="199">
        <f>SUM(B179:H179)</f>
        <v>4747</v>
      </c>
    </row>
    <row r="180" spans="1:9" s="487" customFormat="1" x14ac:dyDescent="0.2">
      <c r="A180" s="497" t="s">
        <v>336</v>
      </c>
      <c r="B180" s="100" t="s">
        <v>29</v>
      </c>
      <c r="C180" s="52">
        <v>683</v>
      </c>
      <c r="D180" s="52">
        <v>2040</v>
      </c>
      <c r="E180" s="52">
        <v>1795</v>
      </c>
      <c r="F180" s="52">
        <v>2372</v>
      </c>
      <c r="G180" s="52">
        <v>1100</v>
      </c>
      <c r="H180" s="196">
        <v>251</v>
      </c>
      <c r="I180" s="199">
        <f t="shared" ref="I180" si="16">SUM(B180:H180)</f>
        <v>8241</v>
      </c>
    </row>
    <row r="181" spans="1:9" x14ac:dyDescent="0.2">
      <c r="A181" s="491" t="s">
        <v>391</v>
      </c>
      <c r="B181" s="33" t="s">
        <v>29</v>
      </c>
      <c r="C181" s="52">
        <v>1363</v>
      </c>
      <c r="D181" s="52">
        <v>2513</v>
      </c>
      <c r="E181" s="52">
        <v>2510</v>
      </c>
      <c r="F181" s="52">
        <v>1491</v>
      </c>
      <c r="G181" s="52">
        <v>991</v>
      </c>
      <c r="H181" s="196">
        <v>568</v>
      </c>
      <c r="I181" s="199">
        <f t="shared" si="15"/>
        <v>9436</v>
      </c>
    </row>
    <row r="182" spans="1:9" x14ac:dyDescent="0.2">
      <c r="B182" s="106"/>
      <c r="C182" s="105"/>
      <c r="D182" s="105"/>
      <c r="E182" s="105"/>
      <c r="F182" s="105"/>
      <c r="G182" s="105"/>
      <c r="H182" s="103"/>
      <c r="I182" s="235"/>
    </row>
    <row r="183" spans="1:9" x14ac:dyDescent="0.2">
      <c r="A183" s="116" t="s">
        <v>26</v>
      </c>
      <c r="B183" s="106"/>
      <c r="C183" s="105"/>
      <c r="D183" s="105"/>
      <c r="E183" s="105"/>
      <c r="F183" s="105"/>
      <c r="G183" s="105"/>
      <c r="H183" s="103"/>
      <c r="I183" s="235"/>
    </row>
    <row r="184" spans="1:9" x14ac:dyDescent="0.2">
      <c r="A184" s="383">
        <v>1978</v>
      </c>
      <c r="B184" s="33">
        <v>2047</v>
      </c>
      <c r="C184" s="52">
        <v>6056</v>
      </c>
      <c r="D184" s="52">
        <v>7244</v>
      </c>
      <c r="E184" s="52">
        <v>5471</v>
      </c>
      <c r="F184" s="52">
        <v>2060</v>
      </c>
      <c r="G184" s="52">
        <v>867</v>
      </c>
      <c r="H184" s="196" t="s">
        <v>29</v>
      </c>
      <c r="I184" s="199">
        <f t="shared" ref="I184:I213" si="17">SUM(B184:H184)</f>
        <v>23745</v>
      </c>
    </row>
    <row r="185" spans="1:9" x14ac:dyDescent="0.2">
      <c r="A185" s="383">
        <v>1979</v>
      </c>
      <c r="B185" s="33">
        <v>0</v>
      </c>
      <c r="C185" s="52">
        <v>3875</v>
      </c>
      <c r="D185" s="52">
        <v>1375</v>
      </c>
      <c r="E185" s="52">
        <v>2805</v>
      </c>
      <c r="F185" s="52">
        <v>1443</v>
      </c>
      <c r="G185" s="52">
        <v>419</v>
      </c>
      <c r="H185" s="196" t="s">
        <v>29</v>
      </c>
      <c r="I185" s="199">
        <f t="shared" si="17"/>
        <v>9917</v>
      </c>
    </row>
    <row r="186" spans="1:9" x14ac:dyDescent="0.2">
      <c r="A186" s="383">
        <v>1980</v>
      </c>
      <c r="B186" s="33" t="s">
        <v>29</v>
      </c>
      <c r="C186" s="52">
        <v>5949</v>
      </c>
      <c r="D186" s="52" t="s">
        <v>29</v>
      </c>
      <c r="E186" s="52">
        <v>5468</v>
      </c>
      <c r="F186" s="52">
        <v>3156</v>
      </c>
      <c r="G186" s="52">
        <v>1333</v>
      </c>
      <c r="H186" s="196" t="s">
        <v>29</v>
      </c>
      <c r="I186" s="199">
        <f t="shared" si="17"/>
        <v>15906</v>
      </c>
    </row>
    <row r="187" spans="1:9" x14ac:dyDescent="0.2">
      <c r="A187" s="383">
        <v>1981</v>
      </c>
      <c r="B187" s="33" t="s">
        <v>29</v>
      </c>
      <c r="C187" s="52">
        <v>5139</v>
      </c>
      <c r="D187" s="52">
        <v>752</v>
      </c>
      <c r="E187" s="52">
        <v>3294</v>
      </c>
      <c r="F187" s="52">
        <v>1586</v>
      </c>
      <c r="G187" s="52">
        <v>366</v>
      </c>
      <c r="H187" s="196" t="s">
        <v>29</v>
      </c>
      <c r="I187" s="199">
        <f t="shared" si="17"/>
        <v>11137</v>
      </c>
    </row>
    <row r="188" spans="1:9" x14ac:dyDescent="0.2">
      <c r="A188" s="383">
        <v>1982</v>
      </c>
      <c r="B188" s="33">
        <v>2367</v>
      </c>
      <c r="C188" s="52">
        <v>4403</v>
      </c>
      <c r="D188" s="52">
        <v>1940</v>
      </c>
      <c r="E188" s="52">
        <v>4179</v>
      </c>
      <c r="F188" s="52">
        <v>2254</v>
      </c>
      <c r="G188" s="52">
        <v>686</v>
      </c>
      <c r="H188" s="196" t="s">
        <v>29</v>
      </c>
      <c r="I188" s="199">
        <f t="shared" si="17"/>
        <v>15829</v>
      </c>
    </row>
    <row r="189" spans="1:9" x14ac:dyDescent="0.2">
      <c r="A189" s="383">
        <v>1983</v>
      </c>
      <c r="B189" s="33">
        <v>254</v>
      </c>
      <c r="C189" s="52">
        <v>5227</v>
      </c>
      <c r="D189" s="52">
        <v>3242</v>
      </c>
      <c r="E189" s="52">
        <v>4204</v>
      </c>
      <c r="F189" s="52">
        <v>454</v>
      </c>
      <c r="G189" s="52">
        <v>50</v>
      </c>
      <c r="H189" s="196" t="s">
        <v>29</v>
      </c>
      <c r="I189" s="199">
        <f t="shared" si="17"/>
        <v>13431</v>
      </c>
    </row>
    <row r="190" spans="1:9" x14ac:dyDescent="0.2">
      <c r="A190" s="383">
        <v>1984</v>
      </c>
      <c r="B190" s="33" t="s">
        <v>29</v>
      </c>
      <c r="C190" s="52">
        <v>3238</v>
      </c>
      <c r="D190" s="52">
        <v>5115</v>
      </c>
      <c r="E190" s="52">
        <v>1365</v>
      </c>
      <c r="F190" s="52">
        <v>406</v>
      </c>
      <c r="G190" s="52">
        <v>27</v>
      </c>
      <c r="H190" s="196" t="s">
        <v>29</v>
      </c>
      <c r="I190" s="199">
        <f t="shared" si="17"/>
        <v>10151</v>
      </c>
    </row>
    <row r="191" spans="1:9" x14ac:dyDescent="0.2">
      <c r="A191" s="383">
        <v>1985</v>
      </c>
      <c r="B191" s="33" t="s">
        <v>29</v>
      </c>
      <c r="C191" s="52">
        <v>3218</v>
      </c>
      <c r="D191" s="52">
        <v>2786</v>
      </c>
      <c r="E191" s="52">
        <v>689</v>
      </c>
      <c r="F191" s="52">
        <v>121</v>
      </c>
      <c r="G191" s="52">
        <v>50</v>
      </c>
      <c r="H191" s="196" t="s">
        <v>29</v>
      </c>
      <c r="I191" s="199">
        <f t="shared" si="17"/>
        <v>6864</v>
      </c>
    </row>
    <row r="192" spans="1:9" x14ac:dyDescent="0.2">
      <c r="A192" s="383">
        <v>1986</v>
      </c>
      <c r="B192" s="33" t="s">
        <v>29</v>
      </c>
      <c r="C192" s="52">
        <v>7055</v>
      </c>
      <c r="D192" s="52">
        <v>5386</v>
      </c>
      <c r="E192" s="52">
        <v>3574</v>
      </c>
      <c r="F192" s="52">
        <v>1060</v>
      </c>
      <c r="G192" s="52">
        <v>286</v>
      </c>
      <c r="H192" s="196" t="s">
        <v>29</v>
      </c>
      <c r="I192" s="199">
        <f t="shared" si="17"/>
        <v>17361</v>
      </c>
    </row>
    <row r="193" spans="1:9" x14ac:dyDescent="0.2">
      <c r="A193" s="383">
        <v>1987</v>
      </c>
      <c r="B193" s="33" t="s">
        <v>29</v>
      </c>
      <c r="C193" s="52">
        <v>4352</v>
      </c>
      <c r="D193" s="52">
        <v>2461</v>
      </c>
      <c r="E193" s="52">
        <v>2955</v>
      </c>
      <c r="F193" s="52">
        <v>1122</v>
      </c>
      <c r="G193" s="52">
        <v>155</v>
      </c>
      <c r="H193" s="196" t="s">
        <v>29</v>
      </c>
      <c r="I193" s="199">
        <f t="shared" si="17"/>
        <v>11045</v>
      </c>
    </row>
    <row r="194" spans="1:9" x14ac:dyDescent="0.2">
      <c r="A194" s="383">
        <v>1988</v>
      </c>
      <c r="B194" s="33" t="s">
        <v>29</v>
      </c>
      <c r="C194" s="52">
        <v>4247</v>
      </c>
      <c r="D194" s="52">
        <v>4574</v>
      </c>
      <c r="E194" s="52">
        <v>3704</v>
      </c>
      <c r="F194" s="52">
        <v>1562</v>
      </c>
      <c r="G194" s="52">
        <v>110</v>
      </c>
      <c r="H194" s="196" t="s">
        <v>29</v>
      </c>
      <c r="I194" s="199">
        <f t="shared" si="17"/>
        <v>14197</v>
      </c>
    </row>
    <row r="195" spans="1:9" x14ac:dyDescent="0.2">
      <c r="A195" s="383">
        <v>1989</v>
      </c>
      <c r="B195" s="33" t="s">
        <v>29</v>
      </c>
      <c r="C195" s="52">
        <v>5029</v>
      </c>
      <c r="D195" s="52">
        <v>4318</v>
      </c>
      <c r="E195" s="52">
        <v>3410</v>
      </c>
      <c r="F195" s="52">
        <v>2355</v>
      </c>
      <c r="G195" s="52">
        <v>346</v>
      </c>
      <c r="H195" s="196" t="s">
        <v>29</v>
      </c>
      <c r="I195" s="199">
        <f t="shared" si="17"/>
        <v>15458</v>
      </c>
    </row>
    <row r="196" spans="1:9" x14ac:dyDescent="0.2">
      <c r="A196" s="383">
        <v>1990</v>
      </c>
      <c r="B196" s="33" t="s">
        <v>29</v>
      </c>
      <c r="C196" s="52">
        <v>5494</v>
      </c>
      <c r="D196" s="52">
        <v>4536</v>
      </c>
      <c r="E196" s="52">
        <v>3194</v>
      </c>
      <c r="F196" s="52">
        <v>574</v>
      </c>
      <c r="G196" s="52">
        <v>95</v>
      </c>
      <c r="H196" s="196" t="s">
        <v>29</v>
      </c>
      <c r="I196" s="199">
        <f t="shared" si="17"/>
        <v>13893</v>
      </c>
    </row>
    <row r="197" spans="1:9" x14ac:dyDescent="0.2">
      <c r="A197" s="383">
        <v>1991</v>
      </c>
      <c r="B197" s="33" t="s">
        <v>29</v>
      </c>
      <c r="C197" s="52">
        <v>3200</v>
      </c>
      <c r="D197" s="52">
        <v>5500</v>
      </c>
      <c r="E197" s="52">
        <v>3100</v>
      </c>
      <c r="F197" s="52">
        <v>400</v>
      </c>
      <c r="G197" s="52">
        <v>200</v>
      </c>
      <c r="H197" s="196" t="s">
        <v>29</v>
      </c>
      <c r="I197" s="199">
        <f t="shared" si="17"/>
        <v>12400</v>
      </c>
    </row>
    <row r="198" spans="1:9" x14ac:dyDescent="0.2">
      <c r="A198" s="383">
        <v>1992</v>
      </c>
      <c r="B198" s="33" t="s">
        <v>29</v>
      </c>
      <c r="C198" s="52">
        <v>4900</v>
      </c>
      <c r="D198" s="52">
        <v>2800</v>
      </c>
      <c r="E198" s="52">
        <v>1500</v>
      </c>
      <c r="F198" s="52">
        <v>800</v>
      </c>
      <c r="G198" s="52">
        <v>100</v>
      </c>
      <c r="H198" s="196" t="s">
        <v>29</v>
      </c>
      <c r="I198" s="199">
        <f t="shared" si="17"/>
        <v>10100</v>
      </c>
    </row>
    <row r="199" spans="1:9" x14ac:dyDescent="0.2">
      <c r="A199" s="383">
        <v>1993</v>
      </c>
      <c r="B199" s="33" t="s">
        <v>29</v>
      </c>
      <c r="C199" s="52">
        <v>5200</v>
      </c>
      <c r="D199" s="52">
        <v>2900</v>
      </c>
      <c r="E199" s="52">
        <v>2600</v>
      </c>
      <c r="F199" s="52">
        <v>900</v>
      </c>
      <c r="G199" s="52">
        <v>100</v>
      </c>
      <c r="H199" s="196" t="s">
        <v>29</v>
      </c>
      <c r="I199" s="199">
        <f t="shared" si="17"/>
        <v>11700</v>
      </c>
    </row>
    <row r="200" spans="1:9" x14ac:dyDescent="0.2">
      <c r="A200" s="383">
        <v>1994</v>
      </c>
      <c r="B200" s="33" t="s">
        <v>29</v>
      </c>
      <c r="C200" s="52">
        <v>3400</v>
      </c>
      <c r="D200" s="52">
        <v>1400</v>
      </c>
      <c r="E200" s="52">
        <v>2600</v>
      </c>
      <c r="F200" s="52">
        <v>400</v>
      </c>
      <c r="G200" s="52">
        <v>100</v>
      </c>
      <c r="H200" s="196" t="s">
        <v>29</v>
      </c>
      <c r="I200" s="199">
        <f t="shared" si="17"/>
        <v>7900</v>
      </c>
    </row>
    <row r="201" spans="1:9" x14ac:dyDescent="0.2">
      <c r="A201" s="383">
        <v>1995</v>
      </c>
      <c r="B201" s="33" t="s">
        <v>29</v>
      </c>
      <c r="C201" s="52">
        <v>5100</v>
      </c>
      <c r="D201" s="52">
        <v>2800</v>
      </c>
      <c r="E201" s="52">
        <v>2500</v>
      </c>
      <c r="F201" s="52">
        <v>1400</v>
      </c>
      <c r="G201" s="52">
        <v>200</v>
      </c>
      <c r="H201" s="196" t="s">
        <v>29</v>
      </c>
      <c r="I201" s="199">
        <f t="shared" si="17"/>
        <v>12000</v>
      </c>
    </row>
    <row r="202" spans="1:9" x14ac:dyDescent="0.2">
      <c r="A202" s="383">
        <v>1996</v>
      </c>
      <c r="B202" s="33" t="s">
        <v>29</v>
      </c>
      <c r="C202" s="52">
        <v>3700</v>
      </c>
      <c r="D202" s="52">
        <v>3400</v>
      </c>
      <c r="E202" s="52">
        <v>3100</v>
      </c>
      <c r="F202" s="52">
        <v>300</v>
      </c>
      <c r="G202" s="52">
        <v>25</v>
      </c>
      <c r="H202" s="196" t="s">
        <v>29</v>
      </c>
      <c r="I202" s="199">
        <f t="shared" si="17"/>
        <v>10525</v>
      </c>
    </row>
    <row r="203" spans="1:9" x14ac:dyDescent="0.2">
      <c r="A203" s="383">
        <v>1997</v>
      </c>
      <c r="B203" s="33">
        <v>600</v>
      </c>
      <c r="C203" s="52">
        <v>3800</v>
      </c>
      <c r="D203" s="52">
        <v>1700</v>
      </c>
      <c r="E203" s="52">
        <v>2900</v>
      </c>
      <c r="F203" s="52" t="s">
        <v>29</v>
      </c>
      <c r="G203" s="52">
        <v>50</v>
      </c>
      <c r="H203" s="196" t="s">
        <v>29</v>
      </c>
      <c r="I203" s="199">
        <f t="shared" si="17"/>
        <v>9050</v>
      </c>
    </row>
    <row r="204" spans="1:9" x14ac:dyDescent="0.2">
      <c r="A204" s="383">
        <v>1998</v>
      </c>
      <c r="B204" s="33" t="s">
        <v>29</v>
      </c>
      <c r="C204" s="52">
        <v>3400</v>
      </c>
      <c r="D204" s="52">
        <v>1300</v>
      </c>
      <c r="E204" s="52">
        <v>900</v>
      </c>
      <c r="F204" s="52">
        <v>100</v>
      </c>
      <c r="G204" s="52">
        <v>100</v>
      </c>
      <c r="H204" s="196" t="s">
        <v>29</v>
      </c>
      <c r="I204" s="199">
        <f t="shared" si="17"/>
        <v>5800</v>
      </c>
    </row>
    <row r="205" spans="1:9" x14ac:dyDescent="0.2">
      <c r="A205" s="383">
        <v>1999</v>
      </c>
      <c r="B205" s="33">
        <v>25</v>
      </c>
      <c r="C205" s="52">
        <v>1300</v>
      </c>
      <c r="D205" s="52">
        <v>2500</v>
      </c>
      <c r="E205" s="52">
        <v>1100</v>
      </c>
      <c r="F205" s="52">
        <v>100</v>
      </c>
      <c r="G205" s="52">
        <v>200</v>
      </c>
      <c r="H205" s="196" t="s">
        <v>29</v>
      </c>
      <c r="I205" s="199">
        <f t="shared" si="17"/>
        <v>5225</v>
      </c>
    </row>
    <row r="206" spans="1:9" x14ac:dyDescent="0.2">
      <c r="A206" s="383">
        <v>2000</v>
      </c>
      <c r="B206" s="33" t="s">
        <v>29</v>
      </c>
      <c r="C206" s="52">
        <v>3387</v>
      </c>
      <c r="D206" s="52">
        <v>3304</v>
      </c>
      <c r="E206" s="52">
        <v>1199</v>
      </c>
      <c r="F206" s="52">
        <v>211</v>
      </c>
      <c r="G206" s="52" t="s">
        <v>29</v>
      </c>
      <c r="H206" s="196" t="s">
        <v>29</v>
      </c>
      <c r="I206" s="199">
        <f t="shared" si="17"/>
        <v>8101</v>
      </c>
    </row>
    <row r="207" spans="1:9" x14ac:dyDescent="0.2">
      <c r="A207" s="383">
        <v>2001</v>
      </c>
      <c r="B207" s="33" t="s">
        <v>29</v>
      </c>
      <c r="C207" s="52">
        <v>2688</v>
      </c>
      <c r="D207" s="52">
        <v>674</v>
      </c>
      <c r="E207" s="52">
        <v>348</v>
      </c>
      <c r="F207" s="52">
        <v>27</v>
      </c>
      <c r="G207" s="52">
        <v>22</v>
      </c>
      <c r="H207" s="196" t="s">
        <v>29</v>
      </c>
      <c r="I207" s="199">
        <f t="shared" si="17"/>
        <v>3759</v>
      </c>
    </row>
    <row r="208" spans="1:9" x14ac:dyDescent="0.2">
      <c r="A208" s="383">
        <v>2002</v>
      </c>
      <c r="B208" s="33" t="s">
        <v>29</v>
      </c>
      <c r="C208" s="52">
        <v>1988</v>
      </c>
      <c r="D208" s="52">
        <v>1617</v>
      </c>
      <c r="E208" s="52">
        <v>1592</v>
      </c>
      <c r="F208" s="52">
        <v>291</v>
      </c>
      <c r="G208" s="52">
        <v>41</v>
      </c>
      <c r="H208" s="196" t="s">
        <v>29</v>
      </c>
      <c r="I208" s="199">
        <f t="shared" si="17"/>
        <v>5529</v>
      </c>
    </row>
    <row r="209" spans="1:9" x14ac:dyDescent="0.2">
      <c r="A209" s="383">
        <v>2003</v>
      </c>
      <c r="B209" s="33" t="s">
        <v>29</v>
      </c>
      <c r="C209" s="52">
        <v>1006</v>
      </c>
      <c r="D209" s="52">
        <v>499</v>
      </c>
      <c r="E209" s="52">
        <v>791</v>
      </c>
      <c r="F209" s="52">
        <v>178</v>
      </c>
      <c r="G209" s="52">
        <v>270</v>
      </c>
      <c r="H209" s="196" t="s">
        <v>29</v>
      </c>
      <c r="I209" s="199">
        <f t="shared" si="17"/>
        <v>2744</v>
      </c>
    </row>
    <row r="210" spans="1:9" x14ac:dyDescent="0.2">
      <c r="A210" s="383">
        <v>2004</v>
      </c>
      <c r="B210" s="33" t="s">
        <v>29</v>
      </c>
      <c r="C210" s="52">
        <v>2026</v>
      </c>
      <c r="D210" s="52">
        <v>1092</v>
      </c>
      <c r="E210" s="52">
        <v>1147</v>
      </c>
      <c r="F210" s="52">
        <v>299</v>
      </c>
      <c r="G210" s="52">
        <v>205</v>
      </c>
      <c r="H210" s="196" t="s">
        <v>29</v>
      </c>
      <c r="I210" s="199">
        <f t="shared" si="17"/>
        <v>4769</v>
      </c>
    </row>
    <row r="211" spans="1:9" x14ac:dyDescent="0.2">
      <c r="A211" s="383">
        <v>2005</v>
      </c>
      <c r="B211" s="33" t="s">
        <v>29</v>
      </c>
      <c r="C211" s="52">
        <v>3881</v>
      </c>
      <c r="D211" s="52">
        <v>377</v>
      </c>
      <c r="E211" s="52">
        <v>1468</v>
      </c>
      <c r="F211" s="52">
        <v>779</v>
      </c>
      <c r="G211" s="52">
        <v>64</v>
      </c>
      <c r="H211" s="196" t="s">
        <v>29</v>
      </c>
      <c r="I211" s="199">
        <f t="shared" si="17"/>
        <v>6569</v>
      </c>
    </row>
    <row r="212" spans="1:9" x14ac:dyDescent="0.2">
      <c r="A212" s="383">
        <v>2006</v>
      </c>
      <c r="B212" s="33" t="s">
        <v>29</v>
      </c>
      <c r="C212" s="52">
        <v>2062</v>
      </c>
      <c r="D212" s="52">
        <v>103</v>
      </c>
      <c r="E212" s="52">
        <v>34</v>
      </c>
      <c r="F212" s="52">
        <v>44</v>
      </c>
      <c r="G212" s="52">
        <v>94</v>
      </c>
      <c r="H212" s="196" t="s">
        <v>29</v>
      </c>
      <c r="I212" s="199">
        <f t="shared" si="17"/>
        <v>2337</v>
      </c>
    </row>
    <row r="213" spans="1:9" x14ac:dyDescent="0.2">
      <c r="A213" s="383">
        <v>2007</v>
      </c>
      <c r="B213" s="33" t="s">
        <v>29</v>
      </c>
      <c r="C213" s="52">
        <v>1476</v>
      </c>
      <c r="D213" s="52">
        <v>29</v>
      </c>
      <c r="E213" s="52">
        <v>334</v>
      </c>
      <c r="F213" s="52">
        <v>255</v>
      </c>
      <c r="G213" s="52">
        <v>84</v>
      </c>
      <c r="H213" s="196" t="s">
        <v>29</v>
      </c>
      <c r="I213" s="199">
        <f t="shared" si="17"/>
        <v>2178</v>
      </c>
    </row>
    <row r="214" spans="1:9" s="374" customFormat="1" x14ac:dyDescent="0.2">
      <c r="A214" s="402">
        <v>2008</v>
      </c>
      <c r="B214" s="100" t="s">
        <v>29</v>
      </c>
      <c r="C214" s="52" t="s">
        <v>29</v>
      </c>
      <c r="D214" s="52" t="s">
        <v>29</v>
      </c>
      <c r="E214" s="52" t="s">
        <v>29</v>
      </c>
      <c r="F214" s="52" t="s">
        <v>29</v>
      </c>
      <c r="G214" s="52" t="s">
        <v>29</v>
      </c>
      <c r="H214" s="196" t="s">
        <v>29</v>
      </c>
      <c r="I214" s="199" t="s">
        <v>29</v>
      </c>
    </row>
    <row r="215" spans="1:9" s="374" customFormat="1" x14ac:dyDescent="0.2">
      <c r="A215" s="402">
        <v>2009</v>
      </c>
      <c r="B215" s="100" t="s">
        <v>29</v>
      </c>
      <c r="C215" s="52" t="s">
        <v>29</v>
      </c>
      <c r="D215" s="52" t="s">
        <v>29</v>
      </c>
      <c r="E215" s="52" t="s">
        <v>29</v>
      </c>
      <c r="F215" s="52" t="s">
        <v>29</v>
      </c>
      <c r="G215" s="52" t="s">
        <v>29</v>
      </c>
      <c r="H215" s="196" t="s">
        <v>29</v>
      </c>
      <c r="I215" s="199" t="s">
        <v>29</v>
      </c>
    </row>
    <row r="216" spans="1:9" s="374" customFormat="1" x14ac:dyDescent="0.2">
      <c r="A216" s="402">
        <v>2010</v>
      </c>
      <c r="B216" s="100" t="s">
        <v>29</v>
      </c>
      <c r="C216" s="52" t="s">
        <v>29</v>
      </c>
      <c r="D216" s="52" t="s">
        <v>29</v>
      </c>
      <c r="E216" s="52">
        <v>245</v>
      </c>
      <c r="F216" s="52" t="s">
        <v>29</v>
      </c>
      <c r="G216" s="52" t="s">
        <v>29</v>
      </c>
      <c r="H216" s="196" t="s">
        <v>29</v>
      </c>
      <c r="I216" s="199">
        <f t="shared" ref="I216:I226" si="18">SUM(B216:H216)</f>
        <v>245</v>
      </c>
    </row>
    <row r="217" spans="1:9" s="374" customFormat="1" x14ac:dyDescent="0.2">
      <c r="A217" s="402">
        <v>2011</v>
      </c>
      <c r="B217" s="100" t="s">
        <v>29</v>
      </c>
      <c r="C217" s="52">
        <v>979</v>
      </c>
      <c r="D217" s="52">
        <v>340</v>
      </c>
      <c r="E217" s="52">
        <v>268</v>
      </c>
      <c r="F217" s="52">
        <v>117</v>
      </c>
      <c r="G217" s="52">
        <v>18</v>
      </c>
      <c r="H217" s="196" t="s">
        <v>29</v>
      </c>
      <c r="I217" s="199">
        <f t="shared" si="18"/>
        <v>1722</v>
      </c>
    </row>
    <row r="218" spans="1:9" s="374" customFormat="1" x14ac:dyDescent="0.2">
      <c r="A218" s="402">
        <v>2012</v>
      </c>
      <c r="B218" s="100" t="s">
        <v>29</v>
      </c>
      <c r="C218" s="52">
        <v>2015</v>
      </c>
      <c r="D218" s="52">
        <v>907</v>
      </c>
      <c r="E218" s="52">
        <v>1247</v>
      </c>
      <c r="F218" s="52">
        <v>255</v>
      </c>
      <c r="G218" s="52">
        <v>67</v>
      </c>
      <c r="H218" s="196" t="s">
        <v>29</v>
      </c>
      <c r="I218" s="199">
        <f t="shared" si="18"/>
        <v>4491</v>
      </c>
    </row>
    <row r="219" spans="1:9" s="374" customFormat="1" x14ac:dyDescent="0.2">
      <c r="A219" s="402">
        <v>2013</v>
      </c>
      <c r="B219" s="100" t="s">
        <v>29</v>
      </c>
      <c r="C219" s="52">
        <v>1590</v>
      </c>
      <c r="D219" s="52">
        <v>810</v>
      </c>
      <c r="E219" s="52">
        <v>400</v>
      </c>
      <c r="F219" s="52">
        <v>118</v>
      </c>
      <c r="G219" s="52">
        <v>46</v>
      </c>
      <c r="H219" s="196" t="s">
        <v>29</v>
      </c>
      <c r="I219" s="199">
        <f t="shared" si="18"/>
        <v>2964</v>
      </c>
    </row>
    <row r="220" spans="1:9" s="374" customFormat="1" x14ac:dyDescent="0.2">
      <c r="A220" s="402">
        <v>2014</v>
      </c>
      <c r="B220" s="100" t="s">
        <v>29</v>
      </c>
      <c r="C220" s="52">
        <v>824</v>
      </c>
      <c r="D220" s="52">
        <v>353</v>
      </c>
      <c r="E220" s="52">
        <v>312</v>
      </c>
      <c r="F220" s="52">
        <v>104</v>
      </c>
      <c r="G220" s="52" t="s">
        <v>29</v>
      </c>
      <c r="H220" s="196" t="s">
        <v>29</v>
      </c>
      <c r="I220" s="199">
        <f t="shared" si="18"/>
        <v>1593</v>
      </c>
    </row>
    <row r="221" spans="1:9" s="374" customFormat="1" x14ac:dyDescent="0.2">
      <c r="A221" s="402">
        <v>2015</v>
      </c>
      <c r="B221" s="100" t="s">
        <v>29</v>
      </c>
      <c r="C221" s="52">
        <v>1219</v>
      </c>
      <c r="D221" s="52">
        <v>660</v>
      </c>
      <c r="E221" s="52">
        <v>536</v>
      </c>
      <c r="F221" s="52">
        <v>127</v>
      </c>
      <c r="G221" s="52" t="s">
        <v>29</v>
      </c>
      <c r="H221" s="196" t="s">
        <v>29</v>
      </c>
      <c r="I221" s="199">
        <f>SUM(B221:H221)</f>
        <v>2542</v>
      </c>
    </row>
    <row r="222" spans="1:9" s="374" customFormat="1" x14ac:dyDescent="0.2">
      <c r="A222" s="402">
        <v>2016</v>
      </c>
      <c r="B222" s="100" t="s">
        <v>29</v>
      </c>
      <c r="C222" s="52">
        <v>1081</v>
      </c>
      <c r="D222" s="52">
        <v>479</v>
      </c>
      <c r="E222" s="52" t="s">
        <v>29</v>
      </c>
      <c r="F222" s="52" t="s">
        <v>29</v>
      </c>
      <c r="G222" s="52" t="s">
        <v>29</v>
      </c>
      <c r="H222" s="196" t="s">
        <v>29</v>
      </c>
      <c r="I222" s="199">
        <f>SUM(B222:H222)</f>
        <v>1560</v>
      </c>
    </row>
    <row r="223" spans="1:9" s="374" customFormat="1" x14ac:dyDescent="0.2">
      <c r="A223" s="402">
        <v>2017</v>
      </c>
      <c r="B223" s="100" t="s">
        <v>29</v>
      </c>
      <c r="C223" s="52">
        <v>874</v>
      </c>
      <c r="D223" s="52">
        <v>1210</v>
      </c>
      <c r="E223" s="52" t="s">
        <v>29</v>
      </c>
      <c r="F223" s="52" t="s">
        <v>29</v>
      </c>
      <c r="G223" s="52" t="s">
        <v>29</v>
      </c>
      <c r="H223" s="196" t="s">
        <v>29</v>
      </c>
      <c r="I223" s="199">
        <f>SUM(B223:H223)</f>
        <v>2084</v>
      </c>
    </row>
    <row r="224" spans="1:9" s="374" customFormat="1" x14ac:dyDescent="0.2">
      <c r="A224" s="402">
        <v>2018</v>
      </c>
      <c r="B224" s="100" t="s">
        <v>29</v>
      </c>
      <c r="C224" s="52">
        <v>473</v>
      </c>
      <c r="D224" s="52">
        <v>839</v>
      </c>
      <c r="E224" s="52" t="s">
        <v>29</v>
      </c>
      <c r="F224" s="52" t="s">
        <v>29</v>
      </c>
      <c r="G224" s="52" t="s">
        <v>29</v>
      </c>
      <c r="H224" s="196" t="s">
        <v>29</v>
      </c>
      <c r="I224" s="199">
        <f>SUM(B224:H224)</f>
        <v>1312</v>
      </c>
    </row>
    <row r="225" spans="1:9" s="487" customFormat="1" x14ac:dyDescent="0.2">
      <c r="A225" s="497" t="s">
        <v>336</v>
      </c>
      <c r="B225" s="100" t="s">
        <v>29</v>
      </c>
      <c r="C225" s="52">
        <v>3192</v>
      </c>
      <c r="D225" s="52">
        <v>2023</v>
      </c>
      <c r="E225" s="52">
        <v>973</v>
      </c>
      <c r="F225" s="52" t="s">
        <v>29</v>
      </c>
      <c r="G225" s="52" t="s">
        <v>29</v>
      </c>
      <c r="H225" s="196" t="s">
        <v>29</v>
      </c>
      <c r="I225" s="199">
        <f t="shared" ref="I225" si="19">SUM(B225:H225)</f>
        <v>6188</v>
      </c>
    </row>
    <row r="226" spans="1:9" x14ac:dyDescent="0.2">
      <c r="A226" s="497" t="s">
        <v>391</v>
      </c>
      <c r="B226" s="33" t="s">
        <v>29</v>
      </c>
      <c r="C226" s="52">
        <v>1302</v>
      </c>
      <c r="D226" s="52">
        <v>844</v>
      </c>
      <c r="E226" s="52">
        <v>374</v>
      </c>
      <c r="F226" s="52">
        <v>96</v>
      </c>
      <c r="G226" s="52" t="s">
        <v>29</v>
      </c>
      <c r="H226" s="196" t="s">
        <v>29</v>
      </c>
      <c r="I226" s="199">
        <f t="shared" si="18"/>
        <v>2616</v>
      </c>
    </row>
    <row r="227" spans="1:9" x14ac:dyDescent="0.2">
      <c r="B227" s="107"/>
      <c r="C227" s="104"/>
      <c r="D227" s="104"/>
      <c r="E227" s="104"/>
      <c r="F227" s="104"/>
      <c r="G227" s="104"/>
      <c r="H227" s="65"/>
      <c r="I227" s="6"/>
    </row>
    <row r="228" spans="1:9" x14ac:dyDescent="0.2">
      <c r="A228" s="120" t="s">
        <v>320</v>
      </c>
      <c r="B228" s="107"/>
      <c r="C228" s="104"/>
      <c r="D228" s="104"/>
      <c r="E228" s="104"/>
      <c r="F228" s="104"/>
      <c r="G228" s="104"/>
      <c r="H228" s="65"/>
      <c r="I228" s="6"/>
    </row>
    <row r="229" spans="1:9" x14ac:dyDescent="0.2">
      <c r="A229" s="383">
        <v>1978</v>
      </c>
      <c r="B229" s="197">
        <f t="shared" ref="B229:I238" si="20">IF(AND(B184="-",B139="-",B94="-",B49="-",B4="-"),"-",SUM(B184,B139,B94,B49,B4))</f>
        <v>3424</v>
      </c>
      <c r="C229" s="197">
        <f t="shared" si="20"/>
        <v>20201</v>
      </c>
      <c r="D229" s="197">
        <f t="shared" si="20"/>
        <v>37136</v>
      </c>
      <c r="E229" s="197">
        <f t="shared" si="20"/>
        <v>25037</v>
      </c>
      <c r="F229" s="197">
        <f t="shared" si="20"/>
        <v>8973</v>
      </c>
      <c r="G229" s="197">
        <f t="shared" si="20"/>
        <v>3606</v>
      </c>
      <c r="H229" s="37" t="str">
        <f t="shared" si="20"/>
        <v>-</v>
      </c>
      <c r="I229" s="46">
        <f t="shared" si="20"/>
        <v>98377</v>
      </c>
    </row>
    <row r="230" spans="1:9" x14ac:dyDescent="0.2">
      <c r="A230" s="383">
        <v>1979</v>
      </c>
      <c r="B230" s="197">
        <f t="shared" si="20"/>
        <v>12</v>
      </c>
      <c r="C230" s="197">
        <f t="shared" si="20"/>
        <v>17652</v>
      </c>
      <c r="D230" s="197">
        <f t="shared" si="20"/>
        <v>14145</v>
      </c>
      <c r="E230" s="197">
        <f t="shared" si="20"/>
        <v>39362</v>
      </c>
      <c r="F230" s="197">
        <f t="shared" si="20"/>
        <v>25416</v>
      </c>
      <c r="G230" s="197">
        <f t="shared" si="20"/>
        <v>7561</v>
      </c>
      <c r="H230" s="37" t="str">
        <f t="shared" si="20"/>
        <v>-</v>
      </c>
      <c r="I230" s="46">
        <f t="shared" si="20"/>
        <v>104148</v>
      </c>
    </row>
    <row r="231" spans="1:9" x14ac:dyDescent="0.2">
      <c r="A231" s="383">
        <v>1980</v>
      </c>
      <c r="B231" s="197" t="str">
        <f t="shared" si="20"/>
        <v>-</v>
      </c>
      <c r="C231" s="197">
        <f t="shared" si="20"/>
        <v>25406</v>
      </c>
      <c r="D231" s="197" t="str">
        <f t="shared" si="20"/>
        <v>-</v>
      </c>
      <c r="E231" s="197">
        <f t="shared" si="20"/>
        <v>31828</v>
      </c>
      <c r="F231" s="197">
        <f t="shared" si="20"/>
        <v>14613</v>
      </c>
      <c r="G231" s="197">
        <f t="shared" si="20"/>
        <v>10638</v>
      </c>
      <c r="H231" s="37" t="str">
        <f t="shared" si="20"/>
        <v>-</v>
      </c>
      <c r="I231" s="46">
        <f t="shared" si="20"/>
        <v>82485</v>
      </c>
    </row>
    <row r="232" spans="1:9" x14ac:dyDescent="0.2">
      <c r="A232" s="383">
        <v>1981</v>
      </c>
      <c r="B232" s="197" t="str">
        <f t="shared" si="20"/>
        <v>-</v>
      </c>
      <c r="C232" s="197">
        <f t="shared" si="20"/>
        <v>19146</v>
      </c>
      <c r="D232" s="197">
        <f t="shared" si="20"/>
        <v>6284</v>
      </c>
      <c r="E232" s="197">
        <f t="shared" si="20"/>
        <v>21659</v>
      </c>
      <c r="F232" s="197">
        <f t="shared" si="20"/>
        <v>14712</v>
      </c>
      <c r="G232" s="197">
        <f t="shared" si="20"/>
        <v>6730</v>
      </c>
      <c r="H232" s="37" t="str">
        <f t="shared" si="20"/>
        <v>-</v>
      </c>
      <c r="I232" s="46">
        <f t="shared" si="20"/>
        <v>68531</v>
      </c>
    </row>
    <row r="233" spans="1:9" x14ac:dyDescent="0.2">
      <c r="A233" s="383">
        <v>1982</v>
      </c>
      <c r="B233" s="197">
        <f t="shared" si="20"/>
        <v>3755</v>
      </c>
      <c r="C233" s="197">
        <f t="shared" si="20"/>
        <v>17749</v>
      </c>
      <c r="D233" s="197">
        <f t="shared" si="20"/>
        <v>9739</v>
      </c>
      <c r="E233" s="197">
        <f t="shared" si="20"/>
        <v>31952</v>
      </c>
      <c r="F233" s="197">
        <f t="shared" si="20"/>
        <v>21559</v>
      </c>
      <c r="G233" s="197">
        <f t="shared" si="20"/>
        <v>8301</v>
      </c>
      <c r="H233" s="37" t="str">
        <f t="shared" si="20"/>
        <v>-</v>
      </c>
      <c r="I233" s="46">
        <f t="shared" si="20"/>
        <v>93055</v>
      </c>
    </row>
    <row r="234" spans="1:9" x14ac:dyDescent="0.2">
      <c r="A234" s="383">
        <v>1983</v>
      </c>
      <c r="B234" s="197">
        <f t="shared" si="20"/>
        <v>319</v>
      </c>
      <c r="C234" s="197">
        <f t="shared" si="20"/>
        <v>10195</v>
      </c>
      <c r="D234" s="197">
        <f t="shared" si="20"/>
        <v>11633</v>
      </c>
      <c r="E234" s="197">
        <f t="shared" si="20"/>
        <v>13916</v>
      </c>
      <c r="F234" s="197">
        <f t="shared" si="20"/>
        <v>6128</v>
      </c>
      <c r="G234" s="197">
        <f t="shared" si="20"/>
        <v>1270</v>
      </c>
      <c r="H234" s="37" t="str">
        <f t="shared" si="20"/>
        <v>-</v>
      </c>
      <c r="I234" s="46">
        <f t="shared" si="20"/>
        <v>43461</v>
      </c>
    </row>
    <row r="235" spans="1:9" x14ac:dyDescent="0.2">
      <c r="A235" s="383">
        <v>1984</v>
      </c>
      <c r="B235" s="197" t="str">
        <f t="shared" si="20"/>
        <v>-</v>
      </c>
      <c r="C235" s="197">
        <f t="shared" si="20"/>
        <v>5506</v>
      </c>
      <c r="D235" s="197">
        <f t="shared" si="20"/>
        <v>8471</v>
      </c>
      <c r="E235" s="197">
        <f t="shared" si="20"/>
        <v>12931</v>
      </c>
      <c r="F235" s="197">
        <f t="shared" si="20"/>
        <v>9857</v>
      </c>
      <c r="G235" s="197">
        <f t="shared" si="20"/>
        <v>5435</v>
      </c>
      <c r="H235" s="37" t="str">
        <f t="shared" si="20"/>
        <v>-</v>
      </c>
      <c r="I235" s="46">
        <f t="shared" si="20"/>
        <v>42200</v>
      </c>
    </row>
    <row r="236" spans="1:9" x14ac:dyDescent="0.2">
      <c r="A236" s="383">
        <v>1985</v>
      </c>
      <c r="B236" s="197" t="str">
        <f t="shared" si="20"/>
        <v>-</v>
      </c>
      <c r="C236" s="197">
        <f t="shared" si="20"/>
        <v>12098</v>
      </c>
      <c r="D236" s="197">
        <f t="shared" si="20"/>
        <v>11422</v>
      </c>
      <c r="E236" s="197">
        <f t="shared" si="20"/>
        <v>13223</v>
      </c>
      <c r="F236" s="197">
        <f t="shared" si="20"/>
        <v>8508</v>
      </c>
      <c r="G236" s="197">
        <f t="shared" si="20"/>
        <v>6327</v>
      </c>
      <c r="H236" s="37" t="str">
        <f t="shared" si="20"/>
        <v>-</v>
      </c>
      <c r="I236" s="46">
        <f t="shared" si="20"/>
        <v>51578</v>
      </c>
    </row>
    <row r="237" spans="1:9" x14ac:dyDescent="0.2">
      <c r="A237" s="383">
        <v>1986</v>
      </c>
      <c r="B237" s="197" t="str">
        <f t="shared" si="20"/>
        <v>-</v>
      </c>
      <c r="C237" s="197">
        <f t="shared" si="20"/>
        <v>14022</v>
      </c>
      <c r="D237" s="197">
        <f t="shared" si="20"/>
        <v>14016</v>
      </c>
      <c r="E237" s="197">
        <f t="shared" si="20"/>
        <v>14799</v>
      </c>
      <c r="F237" s="197">
        <f t="shared" si="20"/>
        <v>9661</v>
      </c>
      <c r="G237" s="197">
        <f t="shared" si="20"/>
        <v>2155</v>
      </c>
      <c r="H237" s="37" t="str">
        <f t="shared" si="20"/>
        <v>-</v>
      </c>
      <c r="I237" s="46">
        <f t="shared" si="20"/>
        <v>54653</v>
      </c>
    </row>
    <row r="238" spans="1:9" x14ac:dyDescent="0.2">
      <c r="A238" s="383">
        <v>1987</v>
      </c>
      <c r="B238" s="197" t="str">
        <f t="shared" si="20"/>
        <v>-</v>
      </c>
      <c r="C238" s="197">
        <f t="shared" si="20"/>
        <v>14869</v>
      </c>
      <c r="D238" s="197">
        <f t="shared" si="20"/>
        <v>16009</v>
      </c>
      <c r="E238" s="197">
        <f t="shared" si="20"/>
        <v>14876.078658355596</v>
      </c>
      <c r="F238" s="197">
        <f t="shared" si="20"/>
        <v>9280</v>
      </c>
      <c r="G238" s="197">
        <f t="shared" si="20"/>
        <v>3593.9999999999995</v>
      </c>
      <c r="H238" s="37" t="str">
        <f t="shared" si="20"/>
        <v>-</v>
      </c>
      <c r="I238" s="46">
        <f t="shared" si="20"/>
        <v>58628.078658355596</v>
      </c>
    </row>
    <row r="239" spans="1:9" x14ac:dyDescent="0.2">
      <c r="A239" s="383">
        <v>1988</v>
      </c>
      <c r="B239" s="197" t="str">
        <f t="shared" ref="B239:I248" si="21">IF(AND(B194="-",B149="-",B104="-",B59="-",B14="-"),"-",SUM(B194,B149,B104,B59,B14))</f>
        <v>-</v>
      </c>
      <c r="C239" s="197">
        <f t="shared" si="21"/>
        <v>16998.282235939645</v>
      </c>
      <c r="D239" s="197">
        <f t="shared" si="21"/>
        <v>20211.000000000004</v>
      </c>
      <c r="E239" s="197">
        <f t="shared" si="21"/>
        <v>19960</v>
      </c>
      <c r="F239" s="197">
        <f t="shared" si="21"/>
        <v>12536</v>
      </c>
      <c r="G239" s="197">
        <f t="shared" si="21"/>
        <v>6010</v>
      </c>
      <c r="H239" s="37" t="str">
        <f t="shared" si="21"/>
        <v>-</v>
      </c>
      <c r="I239" s="46">
        <f t="shared" si="21"/>
        <v>75715.282235939638</v>
      </c>
    </row>
    <row r="240" spans="1:9" x14ac:dyDescent="0.2">
      <c r="A240" s="383">
        <v>1989</v>
      </c>
      <c r="B240" s="197" t="str">
        <f t="shared" si="21"/>
        <v>-</v>
      </c>
      <c r="C240" s="197">
        <f t="shared" si="21"/>
        <v>14063</v>
      </c>
      <c r="D240" s="197">
        <f t="shared" si="21"/>
        <v>15777.000000000002</v>
      </c>
      <c r="E240" s="197">
        <f t="shared" si="21"/>
        <v>11774</v>
      </c>
      <c r="F240" s="197">
        <f t="shared" si="21"/>
        <v>11754.000000000002</v>
      </c>
      <c r="G240" s="197">
        <f t="shared" si="21"/>
        <v>3872</v>
      </c>
      <c r="H240" s="37">
        <f t="shared" si="21"/>
        <v>118</v>
      </c>
      <c r="I240" s="46">
        <f t="shared" si="21"/>
        <v>57358</v>
      </c>
    </row>
    <row r="241" spans="1:10" x14ac:dyDescent="0.2">
      <c r="A241" s="383">
        <v>1990</v>
      </c>
      <c r="B241" s="197" t="str">
        <f t="shared" si="21"/>
        <v>-</v>
      </c>
      <c r="C241" s="197">
        <f t="shared" si="21"/>
        <v>12669</v>
      </c>
      <c r="D241" s="197">
        <f t="shared" si="21"/>
        <v>15219</v>
      </c>
      <c r="E241" s="197">
        <f t="shared" si="21"/>
        <v>11880</v>
      </c>
      <c r="F241" s="197">
        <f t="shared" si="21"/>
        <v>5475</v>
      </c>
      <c r="G241" s="197">
        <f t="shared" si="21"/>
        <v>948</v>
      </c>
      <c r="H241" s="37">
        <f t="shared" si="21"/>
        <v>10</v>
      </c>
      <c r="I241" s="46">
        <f t="shared" si="21"/>
        <v>46201</v>
      </c>
    </row>
    <row r="242" spans="1:10" x14ac:dyDescent="0.2">
      <c r="A242" s="383">
        <v>1991</v>
      </c>
      <c r="B242" s="197" t="str">
        <f t="shared" si="21"/>
        <v>-</v>
      </c>
      <c r="C242" s="197">
        <f t="shared" si="21"/>
        <v>8400</v>
      </c>
      <c r="D242" s="197">
        <f t="shared" si="21"/>
        <v>10900</v>
      </c>
      <c r="E242" s="197">
        <f t="shared" si="21"/>
        <v>6400</v>
      </c>
      <c r="F242" s="197">
        <f t="shared" si="21"/>
        <v>7100</v>
      </c>
      <c r="G242" s="197">
        <f t="shared" si="21"/>
        <v>2400</v>
      </c>
      <c r="H242" s="37">
        <f t="shared" si="21"/>
        <v>100</v>
      </c>
      <c r="I242" s="46">
        <f t="shared" si="21"/>
        <v>35300</v>
      </c>
    </row>
    <row r="243" spans="1:10" x14ac:dyDescent="0.2">
      <c r="A243" s="383">
        <v>1992</v>
      </c>
      <c r="B243" s="197" t="str">
        <f t="shared" si="21"/>
        <v>-</v>
      </c>
      <c r="C243" s="197">
        <f t="shared" si="21"/>
        <v>6600</v>
      </c>
      <c r="D243" s="197">
        <f t="shared" si="21"/>
        <v>3400</v>
      </c>
      <c r="E243" s="197">
        <f t="shared" si="21"/>
        <v>2700</v>
      </c>
      <c r="F243" s="197">
        <f t="shared" si="21"/>
        <v>4500</v>
      </c>
      <c r="G243" s="197">
        <f t="shared" si="21"/>
        <v>3100</v>
      </c>
      <c r="H243" s="37" t="str">
        <f t="shared" si="21"/>
        <v>-</v>
      </c>
      <c r="I243" s="46">
        <f t="shared" si="21"/>
        <v>20300</v>
      </c>
    </row>
    <row r="244" spans="1:10" x14ac:dyDescent="0.2">
      <c r="A244" s="383">
        <v>1993</v>
      </c>
      <c r="B244" s="197" t="str">
        <f t="shared" si="21"/>
        <v>-</v>
      </c>
      <c r="C244" s="197">
        <f t="shared" si="21"/>
        <v>9300</v>
      </c>
      <c r="D244" s="197">
        <f t="shared" si="21"/>
        <v>4000</v>
      </c>
      <c r="E244" s="197">
        <f t="shared" si="21"/>
        <v>5700</v>
      </c>
      <c r="F244" s="197">
        <f t="shared" si="21"/>
        <v>4400</v>
      </c>
      <c r="G244" s="197">
        <f t="shared" si="21"/>
        <v>2500</v>
      </c>
      <c r="H244" s="37" t="str">
        <f t="shared" si="21"/>
        <v>-</v>
      </c>
      <c r="I244" s="46">
        <f t="shared" si="21"/>
        <v>25900</v>
      </c>
    </row>
    <row r="245" spans="1:10" x14ac:dyDescent="0.2">
      <c r="A245" s="383">
        <v>1994</v>
      </c>
      <c r="B245" s="197" t="str">
        <f t="shared" si="21"/>
        <v>-</v>
      </c>
      <c r="C245" s="197">
        <f t="shared" si="21"/>
        <v>6500</v>
      </c>
      <c r="D245" s="197">
        <f t="shared" si="21"/>
        <v>4600</v>
      </c>
      <c r="E245" s="197">
        <f t="shared" si="21"/>
        <v>5400</v>
      </c>
      <c r="F245" s="197">
        <f t="shared" si="21"/>
        <v>2400</v>
      </c>
      <c r="G245" s="197">
        <f t="shared" si="21"/>
        <v>2300</v>
      </c>
      <c r="H245" s="37" t="str">
        <f t="shared" si="21"/>
        <v>-</v>
      </c>
      <c r="I245" s="46">
        <f t="shared" si="21"/>
        <v>21200</v>
      </c>
    </row>
    <row r="246" spans="1:10" x14ac:dyDescent="0.2">
      <c r="A246" s="383">
        <v>1995</v>
      </c>
      <c r="B246" s="197" t="str">
        <f t="shared" si="21"/>
        <v>-</v>
      </c>
      <c r="C246" s="197">
        <f t="shared" si="21"/>
        <v>8500</v>
      </c>
      <c r="D246" s="197">
        <f t="shared" si="21"/>
        <v>5200</v>
      </c>
      <c r="E246" s="197">
        <f t="shared" si="21"/>
        <v>5600</v>
      </c>
      <c r="F246" s="197">
        <f t="shared" si="21"/>
        <v>3200</v>
      </c>
      <c r="G246" s="197">
        <f t="shared" si="21"/>
        <v>3300</v>
      </c>
      <c r="H246" s="37" t="str">
        <f t="shared" si="21"/>
        <v>-</v>
      </c>
      <c r="I246" s="46">
        <f t="shared" si="21"/>
        <v>25800</v>
      </c>
    </row>
    <row r="247" spans="1:10" x14ac:dyDescent="0.2">
      <c r="A247" s="383">
        <v>1996</v>
      </c>
      <c r="B247" s="197" t="str">
        <f t="shared" si="21"/>
        <v>-</v>
      </c>
      <c r="C247" s="197">
        <f t="shared" si="21"/>
        <v>4700</v>
      </c>
      <c r="D247" s="197">
        <f t="shared" si="21"/>
        <v>5900</v>
      </c>
      <c r="E247" s="197">
        <f t="shared" si="21"/>
        <v>5300</v>
      </c>
      <c r="F247" s="197">
        <f t="shared" si="21"/>
        <v>3038</v>
      </c>
      <c r="G247" s="197">
        <f t="shared" si="21"/>
        <v>2223</v>
      </c>
      <c r="H247" s="37" t="str">
        <f t="shared" si="21"/>
        <v>-</v>
      </c>
      <c r="I247" s="46">
        <f t="shared" si="21"/>
        <v>21161</v>
      </c>
    </row>
    <row r="248" spans="1:10" x14ac:dyDescent="0.2">
      <c r="A248" s="383">
        <v>1997</v>
      </c>
      <c r="B248" s="197">
        <f t="shared" si="21"/>
        <v>600</v>
      </c>
      <c r="C248" s="197">
        <f t="shared" si="21"/>
        <v>6500</v>
      </c>
      <c r="D248" s="197">
        <f t="shared" si="21"/>
        <v>2000</v>
      </c>
      <c r="E248" s="197">
        <f t="shared" si="21"/>
        <v>5700</v>
      </c>
      <c r="F248" s="197">
        <f t="shared" si="21"/>
        <v>2300</v>
      </c>
      <c r="G248" s="197">
        <f t="shared" si="21"/>
        <v>1856</v>
      </c>
      <c r="H248" s="37" t="str">
        <f t="shared" si="21"/>
        <v>-</v>
      </c>
      <c r="I248" s="46">
        <f t="shared" si="21"/>
        <v>18956</v>
      </c>
    </row>
    <row r="249" spans="1:10" x14ac:dyDescent="0.2">
      <c r="A249" s="383">
        <v>1998</v>
      </c>
      <c r="B249" s="197" t="str">
        <f t="shared" ref="B249:I258" si="22">IF(AND(B204="-",B159="-",B114="-",B69="-",B24="-"),"-",SUM(B204,B159,B114,B69,B24))</f>
        <v>-</v>
      </c>
      <c r="C249" s="197">
        <f t="shared" si="22"/>
        <v>4300</v>
      </c>
      <c r="D249" s="197">
        <f t="shared" si="22"/>
        <v>2100</v>
      </c>
      <c r="E249" s="197">
        <f t="shared" si="22"/>
        <v>3900</v>
      </c>
      <c r="F249" s="197">
        <f t="shared" si="22"/>
        <v>1800</v>
      </c>
      <c r="G249" s="197">
        <f t="shared" si="22"/>
        <v>2464</v>
      </c>
      <c r="H249" s="37" t="str">
        <f t="shared" si="22"/>
        <v>-</v>
      </c>
      <c r="I249" s="46">
        <f t="shared" si="22"/>
        <v>14564</v>
      </c>
    </row>
    <row r="250" spans="1:10" x14ac:dyDescent="0.2">
      <c r="A250" s="383">
        <v>1999</v>
      </c>
      <c r="B250" s="197">
        <f t="shared" si="22"/>
        <v>125</v>
      </c>
      <c r="C250" s="197">
        <f t="shared" si="22"/>
        <v>2500</v>
      </c>
      <c r="D250" s="197">
        <f t="shared" si="22"/>
        <v>5000</v>
      </c>
      <c r="E250" s="197">
        <f t="shared" si="22"/>
        <v>4700</v>
      </c>
      <c r="F250" s="197">
        <f t="shared" si="22"/>
        <v>2200</v>
      </c>
      <c r="G250" s="197">
        <f t="shared" si="22"/>
        <v>1836</v>
      </c>
      <c r="H250" s="37" t="str">
        <f t="shared" si="22"/>
        <v>-</v>
      </c>
      <c r="I250" s="46">
        <f t="shared" si="22"/>
        <v>16361</v>
      </c>
    </row>
    <row r="251" spans="1:10" x14ac:dyDescent="0.2">
      <c r="A251" s="383">
        <v>2000</v>
      </c>
      <c r="B251" s="197" t="str">
        <f t="shared" si="22"/>
        <v>-</v>
      </c>
      <c r="C251" s="197">
        <f t="shared" si="22"/>
        <v>5210</v>
      </c>
      <c r="D251" s="197">
        <f t="shared" si="22"/>
        <v>5863</v>
      </c>
      <c r="E251" s="197">
        <f t="shared" si="22"/>
        <v>3248</v>
      </c>
      <c r="F251" s="197">
        <f t="shared" si="22"/>
        <v>2390</v>
      </c>
      <c r="G251" s="197">
        <f t="shared" si="22"/>
        <v>3742</v>
      </c>
      <c r="H251" s="37" t="str">
        <f t="shared" si="22"/>
        <v>-</v>
      </c>
      <c r="I251" s="46">
        <f t="shared" si="22"/>
        <v>20453</v>
      </c>
    </row>
    <row r="252" spans="1:10" x14ac:dyDescent="0.2">
      <c r="A252" s="383">
        <v>2001</v>
      </c>
      <c r="B252" s="197" t="str">
        <f t="shared" si="22"/>
        <v>-</v>
      </c>
      <c r="C252" s="197">
        <f t="shared" si="22"/>
        <v>4894</v>
      </c>
      <c r="D252" s="197">
        <f t="shared" si="22"/>
        <v>1448</v>
      </c>
      <c r="E252" s="197">
        <f t="shared" si="22"/>
        <v>3042</v>
      </c>
      <c r="F252" s="197">
        <f t="shared" si="22"/>
        <v>1419</v>
      </c>
      <c r="G252" s="197">
        <f t="shared" si="22"/>
        <v>2537</v>
      </c>
      <c r="H252" s="37">
        <f t="shared" si="22"/>
        <v>501</v>
      </c>
      <c r="I252" s="46">
        <f t="shared" si="22"/>
        <v>13841</v>
      </c>
    </row>
    <row r="253" spans="1:10" x14ac:dyDescent="0.2">
      <c r="A253" s="383">
        <v>2002</v>
      </c>
      <c r="B253" s="197" t="str">
        <f t="shared" si="22"/>
        <v>-</v>
      </c>
      <c r="C253" s="197">
        <f t="shared" si="22"/>
        <v>4246</v>
      </c>
      <c r="D253" s="197">
        <f t="shared" si="22"/>
        <v>3247</v>
      </c>
      <c r="E253" s="197">
        <f t="shared" si="22"/>
        <v>4664</v>
      </c>
      <c r="F253" s="197">
        <f t="shared" si="22"/>
        <v>2937</v>
      </c>
      <c r="G253" s="197">
        <f t="shared" si="22"/>
        <v>2164</v>
      </c>
      <c r="H253" s="37">
        <f t="shared" si="22"/>
        <v>145</v>
      </c>
      <c r="I253" s="46">
        <f t="shared" si="22"/>
        <v>17403</v>
      </c>
    </row>
    <row r="254" spans="1:10" x14ac:dyDescent="0.2">
      <c r="A254" s="383">
        <v>2003</v>
      </c>
      <c r="B254" s="197">
        <f t="shared" si="22"/>
        <v>14</v>
      </c>
      <c r="C254" s="197">
        <f t="shared" si="22"/>
        <v>3076</v>
      </c>
      <c r="D254" s="197">
        <f t="shared" si="22"/>
        <v>2731</v>
      </c>
      <c r="E254" s="197">
        <f t="shared" si="22"/>
        <v>3697</v>
      </c>
      <c r="F254" s="197">
        <f t="shared" si="22"/>
        <v>3745</v>
      </c>
      <c r="G254" s="197">
        <f t="shared" si="22"/>
        <v>2536</v>
      </c>
      <c r="H254" s="37">
        <f t="shared" si="22"/>
        <v>142</v>
      </c>
      <c r="I254" s="46">
        <f t="shared" si="22"/>
        <v>15941</v>
      </c>
    </row>
    <row r="255" spans="1:10" x14ac:dyDescent="0.2">
      <c r="A255" s="402">
        <v>2004</v>
      </c>
      <c r="B255" s="197">
        <f t="shared" si="22"/>
        <v>22</v>
      </c>
      <c r="C255" s="197">
        <f t="shared" si="22"/>
        <v>5146</v>
      </c>
      <c r="D255" s="197">
        <f t="shared" si="22"/>
        <v>4036</v>
      </c>
      <c r="E255" s="197">
        <f t="shared" si="22"/>
        <v>6333</v>
      </c>
      <c r="F255" s="197">
        <f t="shared" si="22"/>
        <v>3637</v>
      </c>
      <c r="G255" s="197">
        <f t="shared" si="22"/>
        <v>2269</v>
      </c>
      <c r="H255" s="37">
        <f t="shared" si="22"/>
        <v>290</v>
      </c>
      <c r="I255" s="46">
        <f t="shared" si="22"/>
        <v>21733</v>
      </c>
      <c r="J255" s="374"/>
    </row>
    <row r="256" spans="1:10" x14ac:dyDescent="0.2">
      <c r="A256" s="402">
        <v>2005</v>
      </c>
      <c r="B256" s="197" t="str">
        <f t="shared" si="22"/>
        <v>-</v>
      </c>
      <c r="C256" s="197">
        <f t="shared" si="22"/>
        <v>3881</v>
      </c>
      <c r="D256" s="197">
        <f t="shared" si="22"/>
        <v>377</v>
      </c>
      <c r="E256" s="197">
        <f t="shared" si="22"/>
        <v>5001</v>
      </c>
      <c r="F256" s="197">
        <f t="shared" si="22"/>
        <v>3365</v>
      </c>
      <c r="G256" s="197">
        <f t="shared" si="22"/>
        <v>3993</v>
      </c>
      <c r="H256" s="37">
        <f t="shared" si="22"/>
        <v>401</v>
      </c>
      <c r="I256" s="46">
        <f t="shared" si="22"/>
        <v>17018</v>
      </c>
      <c r="J256" s="374"/>
    </row>
    <row r="257" spans="1:10" x14ac:dyDescent="0.2">
      <c r="A257" s="383">
        <v>2006</v>
      </c>
      <c r="B257" s="197" t="str">
        <f t="shared" si="22"/>
        <v>-</v>
      </c>
      <c r="C257" s="197">
        <f t="shared" si="22"/>
        <v>2062</v>
      </c>
      <c r="D257" s="197">
        <f t="shared" si="22"/>
        <v>103</v>
      </c>
      <c r="E257" s="197">
        <f t="shared" si="22"/>
        <v>650</v>
      </c>
      <c r="F257" s="197">
        <f t="shared" si="22"/>
        <v>2593</v>
      </c>
      <c r="G257" s="197">
        <f t="shared" si="22"/>
        <v>2477</v>
      </c>
      <c r="H257" s="37">
        <f t="shared" si="22"/>
        <v>374</v>
      </c>
      <c r="I257" s="46">
        <f t="shared" si="22"/>
        <v>8259</v>
      </c>
      <c r="J257" s="374"/>
    </row>
    <row r="258" spans="1:10" x14ac:dyDescent="0.2">
      <c r="A258" s="402">
        <v>2007</v>
      </c>
      <c r="B258" s="197">
        <f t="shared" si="22"/>
        <v>106</v>
      </c>
      <c r="C258" s="197">
        <f t="shared" si="22"/>
        <v>3132</v>
      </c>
      <c r="D258" s="197">
        <f t="shared" si="22"/>
        <v>29</v>
      </c>
      <c r="E258" s="197">
        <f t="shared" si="22"/>
        <v>3288</v>
      </c>
      <c r="F258" s="197">
        <f t="shared" si="22"/>
        <v>2659</v>
      </c>
      <c r="G258" s="197">
        <f t="shared" si="22"/>
        <v>1289</v>
      </c>
      <c r="H258" s="37">
        <f t="shared" si="22"/>
        <v>168</v>
      </c>
      <c r="I258" s="46">
        <f t="shared" si="22"/>
        <v>10671</v>
      </c>
      <c r="J258" s="374"/>
    </row>
    <row r="259" spans="1:10" s="374" customFormat="1" x14ac:dyDescent="0.2">
      <c r="A259" s="402">
        <v>2008</v>
      </c>
      <c r="B259" s="197" t="str">
        <f t="shared" ref="B259:I268" si="23">IF(AND(B214="-",B169="-",B124="-",B79="-",B34="-"),"-",SUM(B214,B169,B124,B79,B34))</f>
        <v>-</v>
      </c>
      <c r="C259" s="197" t="str">
        <f t="shared" si="23"/>
        <v>-</v>
      </c>
      <c r="D259" s="197" t="str">
        <f t="shared" si="23"/>
        <v>-</v>
      </c>
      <c r="E259" s="197" t="str">
        <f t="shared" si="23"/>
        <v>-</v>
      </c>
      <c r="F259" s="197" t="str">
        <f t="shared" si="23"/>
        <v>-</v>
      </c>
      <c r="G259" s="197" t="str">
        <f t="shared" si="23"/>
        <v>-</v>
      </c>
      <c r="H259" s="37" t="str">
        <f t="shared" si="23"/>
        <v>-</v>
      </c>
      <c r="I259" s="197" t="str">
        <f t="shared" si="23"/>
        <v>-</v>
      </c>
    </row>
    <row r="260" spans="1:10" s="374" customFormat="1" x14ac:dyDescent="0.2">
      <c r="A260" s="402">
        <v>2009</v>
      </c>
      <c r="B260" s="197" t="str">
        <f t="shared" si="23"/>
        <v>-</v>
      </c>
      <c r="C260" s="197" t="str">
        <f t="shared" si="23"/>
        <v>-</v>
      </c>
      <c r="D260" s="197" t="str">
        <f t="shared" si="23"/>
        <v>-</v>
      </c>
      <c r="E260" s="197" t="str">
        <f t="shared" si="23"/>
        <v>-</v>
      </c>
      <c r="F260" s="197" t="str">
        <f t="shared" si="23"/>
        <v>-</v>
      </c>
      <c r="G260" s="197" t="str">
        <f t="shared" si="23"/>
        <v>-</v>
      </c>
      <c r="H260" s="37" t="str">
        <f t="shared" si="23"/>
        <v>-</v>
      </c>
      <c r="I260" s="197" t="str">
        <f t="shared" si="23"/>
        <v>-</v>
      </c>
    </row>
    <row r="261" spans="1:10" s="374" customFormat="1" x14ac:dyDescent="0.2">
      <c r="A261" s="402">
        <v>2010</v>
      </c>
      <c r="B261" s="197" t="str">
        <f t="shared" si="23"/>
        <v>-</v>
      </c>
      <c r="C261" s="197" t="str">
        <f t="shared" si="23"/>
        <v>-</v>
      </c>
      <c r="D261" s="197" t="str">
        <f t="shared" si="23"/>
        <v>-</v>
      </c>
      <c r="E261" s="197">
        <f t="shared" si="23"/>
        <v>1105</v>
      </c>
      <c r="F261" s="197">
        <f t="shared" si="23"/>
        <v>870</v>
      </c>
      <c r="G261" s="197" t="str">
        <f t="shared" si="23"/>
        <v>-</v>
      </c>
      <c r="H261" s="37" t="str">
        <f t="shared" si="23"/>
        <v>-</v>
      </c>
      <c r="I261" s="203">
        <f t="shared" si="23"/>
        <v>1975</v>
      </c>
    </row>
    <row r="262" spans="1:10" s="374" customFormat="1" x14ac:dyDescent="0.2">
      <c r="A262" s="402">
        <v>2011</v>
      </c>
      <c r="B262" s="197" t="str">
        <f t="shared" si="23"/>
        <v>-</v>
      </c>
      <c r="C262" s="197">
        <f t="shared" si="23"/>
        <v>1879</v>
      </c>
      <c r="D262" s="197">
        <f t="shared" si="23"/>
        <v>504</v>
      </c>
      <c r="E262" s="197">
        <f t="shared" si="23"/>
        <v>1889</v>
      </c>
      <c r="F262" s="197">
        <f t="shared" si="23"/>
        <v>1946</v>
      </c>
      <c r="G262" s="197">
        <f t="shared" si="23"/>
        <v>638</v>
      </c>
      <c r="H262" s="37">
        <f t="shared" si="23"/>
        <v>117</v>
      </c>
      <c r="I262" s="199">
        <f t="shared" si="23"/>
        <v>6973</v>
      </c>
    </row>
    <row r="263" spans="1:10" s="374" customFormat="1" x14ac:dyDescent="0.2">
      <c r="A263" s="402">
        <v>2012</v>
      </c>
      <c r="B263" s="197" t="str">
        <f t="shared" si="23"/>
        <v>-</v>
      </c>
      <c r="C263" s="197">
        <f t="shared" si="23"/>
        <v>3738</v>
      </c>
      <c r="D263" s="197">
        <f t="shared" si="23"/>
        <v>1593</v>
      </c>
      <c r="E263" s="197">
        <f t="shared" si="23"/>
        <v>4406</v>
      </c>
      <c r="F263" s="197">
        <f t="shared" si="23"/>
        <v>2650</v>
      </c>
      <c r="G263" s="197">
        <f t="shared" si="23"/>
        <v>1666</v>
      </c>
      <c r="H263" s="37">
        <f t="shared" si="23"/>
        <v>469</v>
      </c>
      <c r="I263" s="199">
        <f t="shared" si="23"/>
        <v>14522</v>
      </c>
    </row>
    <row r="264" spans="1:10" s="374" customFormat="1" x14ac:dyDescent="0.2">
      <c r="A264" s="402">
        <v>2013</v>
      </c>
      <c r="B264" s="197" t="str">
        <f t="shared" si="23"/>
        <v>-</v>
      </c>
      <c r="C264" s="197">
        <f t="shared" si="23"/>
        <v>4450</v>
      </c>
      <c r="D264" s="197">
        <f t="shared" si="23"/>
        <v>4064</v>
      </c>
      <c r="E264" s="197">
        <f t="shared" si="23"/>
        <v>4136</v>
      </c>
      <c r="F264" s="197">
        <f t="shared" si="23"/>
        <v>2751</v>
      </c>
      <c r="G264" s="197">
        <f t="shared" si="23"/>
        <v>1669</v>
      </c>
      <c r="H264" s="37">
        <f t="shared" si="23"/>
        <v>223</v>
      </c>
      <c r="I264" s="199">
        <f t="shared" si="23"/>
        <v>17293</v>
      </c>
    </row>
    <row r="265" spans="1:10" s="374" customFormat="1" x14ac:dyDescent="0.2">
      <c r="A265" s="402">
        <v>2014</v>
      </c>
      <c r="B265" s="197" t="str">
        <f t="shared" si="23"/>
        <v>-</v>
      </c>
      <c r="C265" s="197">
        <f t="shared" si="23"/>
        <v>3011</v>
      </c>
      <c r="D265" s="197">
        <f t="shared" si="23"/>
        <v>2682</v>
      </c>
      <c r="E265" s="197">
        <f t="shared" si="23"/>
        <v>3281</v>
      </c>
      <c r="F265" s="197">
        <f t="shared" si="23"/>
        <v>2987</v>
      </c>
      <c r="G265" s="197">
        <f t="shared" si="23"/>
        <v>1858</v>
      </c>
      <c r="H265" s="37">
        <f t="shared" si="23"/>
        <v>575</v>
      </c>
      <c r="I265" s="199">
        <f t="shared" si="23"/>
        <v>14394</v>
      </c>
    </row>
    <row r="266" spans="1:10" s="374" customFormat="1" x14ac:dyDescent="0.2">
      <c r="A266" s="402">
        <v>2015</v>
      </c>
      <c r="B266" s="197" t="str">
        <f t="shared" si="23"/>
        <v>-</v>
      </c>
      <c r="C266" s="197">
        <f t="shared" si="23"/>
        <v>4434</v>
      </c>
      <c r="D266" s="197">
        <f t="shared" si="23"/>
        <v>2392</v>
      </c>
      <c r="E266" s="197">
        <f t="shared" si="23"/>
        <v>1943</v>
      </c>
      <c r="F266" s="197">
        <f t="shared" si="23"/>
        <v>2000</v>
      </c>
      <c r="G266" s="197">
        <f t="shared" si="23"/>
        <v>1727</v>
      </c>
      <c r="H266" s="37">
        <f t="shared" si="23"/>
        <v>515</v>
      </c>
      <c r="I266" s="199">
        <f t="shared" si="23"/>
        <v>13011</v>
      </c>
    </row>
    <row r="267" spans="1:10" s="374" customFormat="1" x14ac:dyDescent="0.2">
      <c r="A267" s="402">
        <v>2016</v>
      </c>
      <c r="B267" s="197" t="str">
        <f t="shared" si="23"/>
        <v>-</v>
      </c>
      <c r="C267" s="197">
        <f t="shared" si="23"/>
        <v>1662</v>
      </c>
      <c r="D267" s="197">
        <f t="shared" si="23"/>
        <v>1290</v>
      </c>
      <c r="E267" s="197" t="str">
        <f t="shared" si="23"/>
        <v>-</v>
      </c>
      <c r="F267" s="197">
        <f t="shared" si="23"/>
        <v>2450</v>
      </c>
      <c r="G267" s="197">
        <f t="shared" si="23"/>
        <v>1622</v>
      </c>
      <c r="H267" s="37">
        <f t="shared" si="23"/>
        <v>174</v>
      </c>
      <c r="I267" s="199">
        <f t="shared" si="23"/>
        <v>7198</v>
      </c>
    </row>
    <row r="268" spans="1:10" s="374" customFormat="1" x14ac:dyDescent="0.2">
      <c r="A268" s="402">
        <v>2017</v>
      </c>
      <c r="B268" s="197" t="str">
        <f t="shared" si="23"/>
        <v>-</v>
      </c>
      <c r="C268" s="197">
        <f t="shared" si="23"/>
        <v>874</v>
      </c>
      <c r="D268" s="197">
        <f t="shared" si="23"/>
        <v>1210</v>
      </c>
      <c r="E268" s="197" t="str">
        <f t="shared" si="23"/>
        <v>-</v>
      </c>
      <c r="F268" s="197">
        <f t="shared" si="23"/>
        <v>2610</v>
      </c>
      <c r="G268" s="197">
        <f t="shared" si="23"/>
        <v>1811</v>
      </c>
      <c r="H268" s="37">
        <f t="shared" si="23"/>
        <v>220</v>
      </c>
      <c r="I268" s="199">
        <f t="shared" si="23"/>
        <v>6725</v>
      </c>
    </row>
    <row r="269" spans="1:10" s="374" customFormat="1" x14ac:dyDescent="0.2">
      <c r="A269" s="402">
        <v>2018</v>
      </c>
      <c r="B269" s="197" t="str">
        <f t="shared" ref="B269:I269" si="24">IF(AND(B224="-",B179="-",B134="-",B89="-",B44="-"),"-",SUM(B224,B179,B134,B89,B44))</f>
        <v>-</v>
      </c>
      <c r="C269" s="197">
        <f t="shared" si="24"/>
        <v>603</v>
      </c>
      <c r="D269" s="197">
        <f t="shared" si="24"/>
        <v>1063</v>
      </c>
      <c r="E269" s="197">
        <f t="shared" si="24"/>
        <v>986</v>
      </c>
      <c r="F269" s="197">
        <f t="shared" si="24"/>
        <v>2933</v>
      </c>
      <c r="G269" s="197">
        <f t="shared" si="24"/>
        <v>1551</v>
      </c>
      <c r="H269" s="37">
        <f t="shared" si="24"/>
        <v>441</v>
      </c>
      <c r="I269" s="199">
        <f t="shared" si="24"/>
        <v>7577</v>
      </c>
    </row>
    <row r="270" spans="1:10" s="487" customFormat="1" x14ac:dyDescent="0.2">
      <c r="A270" s="497" t="s">
        <v>336</v>
      </c>
      <c r="B270" s="197" t="str">
        <f t="shared" ref="B270:I271" si="25">IF(AND(B225="-",B180="-",B135="-",B90="-",B45="-"),"-",SUM(B225,B180,B135,B90,B45))</f>
        <v>-</v>
      </c>
      <c r="C270" s="197">
        <f>IF(AND(C225="-",C180="-",C135="-",C90="-",C45="-"),"-",SUM(C225,C180,C135,C90,C45))</f>
        <v>3875</v>
      </c>
      <c r="D270" s="197">
        <f t="shared" si="25"/>
        <v>4459</v>
      </c>
      <c r="E270" s="197">
        <f t="shared" si="25"/>
        <v>3156</v>
      </c>
      <c r="F270" s="197">
        <f t="shared" si="25"/>
        <v>2933</v>
      </c>
      <c r="G270" s="197">
        <f t="shared" si="25"/>
        <v>1100</v>
      </c>
      <c r="H270" s="37">
        <f t="shared" si="25"/>
        <v>251</v>
      </c>
      <c r="I270" s="199">
        <f t="shared" si="25"/>
        <v>15774</v>
      </c>
    </row>
    <row r="271" spans="1:10" x14ac:dyDescent="0.2">
      <c r="A271" s="497" t="s">
        <v>391</v>
      </c>
      <c r="B271" s="197" t="str">
        <f t="shared" si="25"/>
        <v>-</v>
      </c>
      <c r="C271" s="197">
        <f>IF(AND(C226="-",C181="-",C136="-",C91="-",C46="-"),"-",SUM(C226,C181,C136,C91,C46))</f>
        <v>2665</v>
      </c>
      <c r="D271" s="197">
        <f t="shared" si="25"/>
        <v>3357</v>
      </c>
      <c r="E271" s="197">
        <f t="shared" si="25"/>
        <v>2884</v>
      </c>
      <c r="F271" s="197">
        <f t="shared" si="25"/>
        <v>1713</v>
      </c>
      <c r="G271" s="197">
        <f t="shared" si="25"/>
        <v>1081</v>
      </c>
      <c r="H271" s="37">
        <f t="shared" si="25"/>
        <v>568</v>
      </c>
      <c r="I271" s="199">
        <f t="shared" si="25"/>
        <v>12268</v>
      </c>
      <c r="J271" s="374"/>
    </row>
    <row r="272" spans="1:10" x14ac:dyDescent="0.2">
      <c r="A272" s="377" t="s">
        <v>110</v>
      </c>
      <c r="B272" s="377"/>
      <c r="C272" s="377"/>
      <c r="D272" s="377"/>
      <c r="E272" s="377"/>
      <c r="F272" s="377"/>
      <c r="G272" s="377"/>
      <c r="H272" s="377"/>
      <c r="I272" s="377"/>
    </row>
    <row r="273" spans="1:18" x14ac:dyDescent="0.2">
      <c r="A273" s="515" t="s">
        <v>257</v>
      </c>
      <c r="B273" s="515"/>
      <c r="C273" s="515"/>
      <c r="D273" s="515"/>
      <c r="E273" s="515"/>
      <c r="F273" s="515"/>
      <c r="G273" s="515"/>
      <c r="H273" s="515"/>
      <c r="I273" s="1"/>
    </row>
    <row r="274" spans="1:18" x14ac:dyDescent="0.2">
      <c r="A274" s="515"/>
      <c r="B274" s="515"/>
      <c r="C274" s="515"/>
      <c r="D274" s="515"/>
      <c r="E274" s="515"/>
      <c r="F274" s="515"/>
      <c r="G274" s="515"/>
      <c r="H274" s="515"/>
      <c r="I274" s="1"/>
    </row>
    <row r="275" spans="1:18" s="379" customFormat="1" ht="9.6" customHeight="1" x14ac:dyDescent="0.2">
      <c r="A275" s="373" t="s">
        <v>47</v>
      </c>
      <c r="B275" s="387"/>
      <c r="C275" s="387"/>
      <c r="D275" s="387"/>
      <c r="E275" s="387"/>
      <c r="F275" s="387"/>
      <c r="G275" s="387"/>
      <c r="H275" s="387"/>
      <c r="I275" s="387"/>
      <c r="J275" s="373"/>
      <c r="K275" s="373"/>
      <c r="L275" s="373"/>
      <c r="M275" s="373"/>
      <c r="N275" s="373"/>
      <c r="O275" s="373"/>
      <c r="P275" s="373"/>
      <c r="Q275" s="373"/>
      <c r="R275" s="373"/>
    </row>
    <row r="276" spans="1:18" ht="9.6" customHeight="1" x14ac:dyDescent="0.2">
      <c r="B276" s="373"/>
      <c r="C276" s="373"/>
      <c r="D276" s="373"/>
      <c r="E276" s="373"/>
      <c r="F276" s="373"/>
      <c r="G276" s="373"/>
      <c r="H276" s="373"/>
      <c r="I276" s="373"/>
    </row>
    <row r="278" spans="1:18" s="310" customFormat="1" x14ac:dyDescent="0.2">
      <c r="A278" s="240"/>
      <c r="B278" s="258"/>
      <c r="C278" s="258"/>
      <c r="D278" s="258"/>
      <c r="E278" s="258"/>
      <c r="F278" s="258"/>
      <c r="G278" s="258"/>
      <c r="H278" s="259"/>
      <c r="I278" s="260"/>
    </row>
    <row r="298" spans="1:10" ht="11.25" customHeight="1" x14ac:dyDescent="0.2">
      <c r="A298" s="516" t="s">
        <v>227</v>
      </c>
      <c r="B298" s="516"/>
      <c r="C298" s="516"/>
      <c r="D298" s="516"/>
      <c r="E298" s="516"/>
      <c r="F298" s="516"/>
      <c r="G298" s="516"/>
      <c r="H298" s="516"/>
      <c r="I298" s="516"/>
      <c r="J298" s="516"/>
    </row>
    <row r="299" spans="1:10" ht="11.25" customHeight="1" x14ac:dyDescent="0.2">
      <c r="A299" s="425" t="s">
        <v>33</v>
      </c>
      <c r="B299" s="426" t="s">
        <v>34</v>
      </c>
      <c r="C299" s="426" t="s">
        <v>35</v>
      </c>
      <c r="D299" s="426" t="s">
        <v>36</v>
      </c>
      <c r="E299" s="426" t="s">
        <v>37</v>
      </c>
      <c r="F299" s="426" t="s">
        <v>38</v>
      </c>
      <c r="G299" s="426" t="s">
        <v>39</v>
      </c>
      <c r="H299" s="427" t="s">
        <v>40</v>
      </c>
      <c r="I299" s="428" t="s">
        <v>28</v>
      </c>
      <c r="J299" s="429"/>
    </row>
    <row r="300" spans="1:10" ht="12" customHeight="1" x14ac:dyDescent="0.2">
      <c r="A300" s="430" t="s">
        <v>389</v>
      </c>
      <c r="B300" s="105"/>
      <c r="C300" s="105"/>
      <c r="D300" s="105"/>
      <c r="E300" s="105"/>
      <c r="F300" s="105"/>
      <c r="G300" s="105"/>
      <c r="H300" s="103"/>
      <c r="I300" s="235"/>
      <c r="J300" s="292"/>
    </row>
    <row r="301" spans="1:10" ht="11.25" customHeight="1" x14ac:dyDescent="0.2">
      <c r="A301" s="122" t="s">
        <v>87</v>
      </c>
      <c r="B301" s="52" t="s">
        <v>29</v>
      </c>
      <c r="C301" s="52">
        <f>AVERAGE(C12:C16)</f>
        <v>9</v>
      </c>
      <c r="D301" s="52">
        <f>AVERAGE(D12:D16)</f>
        <v>360.0938795224763</v>
      </c>
      <c r="E301" s="52">
        <f>AVERAGE(E12:E16)</f>
        <v>219.4653593455003</v>
      </c>
      <c r="F301" s="52">
        <f>AVERAGE(F12:F16)</f>
        <v>252.9030404320664</v>
      </c>
      <c r="G301" s="52">
        <f>AVERAGE(G12:G16)</f>
        <v>9.8068822817049686</v>
      </c>
      <c r="H301" s="196" t="s">
        <v>29</v>
      </c>
      <c r="I301" s="199">
        <f>IF(SUM(I12:I16)&gt;0,AVERAGE(I12:I16),"-")</f>
        <v>544.60995389712593</v>
      </c>
      <c r="J301" s="292"/>
    </row>
    <row r="302" spans="1:10" ht="11.25" customHeight="1" x14ac:dyDescent="0.2">
      <c r="A302" s="122" t="s">
        <v>14</v>
      </c>
      <c r="B302" s="52" t="s">
        <v>29</v>
      </c>
      <c r="C302" s="52" t="s">
        <v>29</v>
      </c>
      <c r="D302" s="52" t="s">
        <v>29</v>
      </c>
      <c r="E302" s="52" t="s">
        <v>29</v>
      </c>
      <c r="F302" s="52" t="s">
        <v>29</v>
      </c>
      <c r="G302" s="52" t="s">
        <v>29</v>
      </c>
      <c r="H302" s="196" t="s">
        <v>29</v>
      </c>
      <c r="I302" s="199" t="str">
        <f>IF(SUM(I17:I21)&gt;0,AVERAGE(I17:I21),"-")</f>
        <v>-</v>
      </c>
      <c r="J302" s="292"/>
    </row>
    <row r="303" spans="1:10" ht="11.25" customHeight="1" x14ac:dyDescent="0.2">
      <c r="A303" s="122" t="s">
        <v>207</v>
      </c>
      <c r="B303" s="52" t="s">
        <v>29</v>
      </c>
      <c r="C303" s="52" t="s">
        <v>29</v>
      </c>
      <c r="D303" s="52" t="s">
        <v>29</v>
      </c>
      <c r="E303" s="52" t="s">
        <v>29</v>
      </c>
      <c r="F303" s="52">
        <f>AVERAGE(F22:F26)</f>
        <v>10</v>
      </c>
      <c r="G303" s="52">
        <f>AVERAGE(G22:G26)</f>
        <v>12.6</v>
      </c>
      <c r="H303" s="196" t="s">
        <v>29</v>
      </c>
      <c r="I303" s="199">
        <f>IF(SUM(I22:I26)&gt;0,AVERAGE(I22:I26),"-")</f>
        <v>14.6</v>
      </c>
      <c r="J303" s="292"/>
    </row>
    <row r="304" spans="1:10" ht="11.25" customHeight="1" x14ac:dyDescent="0.2">
      <c r="A304" s="122" t="s">
        <v>369</v>
      </c>
      <c r="B304" s="52">
        <f t="shared" ref="B304:I304" si="26">AVERAGE(B27:B31)</f>
        <v>18</v>
      </c>
      <c r="C304" s="52">
        <f t="shared" si="26"/>
        <v>2</v>
      </c>
      <c r="D304" s="52">
        <f t="shared" si="26"/>
        <v>3</v>
      </c>
      <c r="E304" s="52">
        <f t="shared" si="26"/>
        <v>36</v>
      </c>
      <c r="F304" s="52">
        <f t="shared" si="26"/>
        <v>97</v>
      </c>
      <c r="G304" s="52">
        <f t="shared" si="26"/>
        <v>61.4</v>
      </c>
      <c r="H304" s="196">
        <f t="shared" si="26"/>
        <v>6</v>
      </c>
      <c r="I304" s="431">
        <f t="shared" si="26"/>
        <v>118.6</v>
      </c>
      <c r="J304" s="292"/>
    </row>
    <row r="305" spans="1:10" ht="11.25" customHeight="1" x14ac:dyDescent="0.2">
      <c r="A305" s="122">
        <v>2006</v>
      </c>
      <c r="B305" s="52" t="str">
        <f t="shared" ref="B305:I306" si="27">B32</f>
        <v>-</v>
      </c>
      <c r="C305" s="52" t="str">
        <f t="shared" si="27"/>
        <v>-</v>
      </c>
      <c r="D305" s="52" t="str">
        <f t="shared" si="27"/>
        <v>-</v>
      </c>
      <c r="E305" s="52" t="str">
        <f t="shared" si="27"/>
        <v>-</v>
      </c>
      <c r="F305" s="52" t="str">
        <f t="shared" si="27"/>
        <v>-</v>
      </c>
      <c r="G305" s="52" t="str">
        <f t="shared" si="27"/>
        <v>-</v>
      </c>
      <c r="H305" s="196" t="str">
        <f t="shared" si="27"/>
        <v>-</v>
      </c>
      <c r="I305" s="199" t="str">
        <f t="shared" si="27"/>
        <v>-</v>
      </c>
      <c r="J305" s="432"/>
    </row>
    <row r="306" spans="1:10" ht="11.25" customHeight="1" x14ac:dyDescent="0.2">
      <c r="A306" s="122">
        <v>2007</v>
      </c>
      <c r="B306" s="52" t="str">
        <f t="shared" si="27"/>
        <v>-</v>
      </c>
      <c r="C306" s="52" t="str">
        <f t="shared" si="27"/>
        <v>-</v>
      </c>
      <c r="D306" s="52" t="str">
        <f t="shared" si="27"/>
        <v>-</v>
      </c>
      <c r="E306" s="52" t="str">
        <f t="shared" si="27"/>
        <v>-</v>
      </c>
      <c r="F306" s="52" t="str">
        <f t="shared" si="27"/>
        <v>-</v>
      </c>
      <c r="G306" s="52">
        <f t="shared" si="27"/>
        <v>87</v>
      </c>
      <c r="H306" s="196" t="str">
        <f t="shared" si="27"/>
        <v>-</v>
      </c>
      <c r="I306" s="199">
        <f t="shared" si="27"/>
        <v>87</v>
      </c>
      <c r="J306" s="432"/>
    </row>
    <row r="307" spans="1:10" s="374" customFormat="1" ht="11.25" customHeight="1" x14ac:dyDescent="0.2">
      <c r="A307" s="122">
        <v>2008</v>
      </c>
      <c r="B307" s="52" t="str">
        <f t="shared" ref="B307:B317" si="28">B34</f>
        <v>-</v>
      </c>
      <c r="C307" s="52" t="str">
        <f t="shared" ref="C307:H307" si="29">C34</f>
        <v>-</v>
      </c>
      <c r="D307" s="52" t="str">
        <f t="shared" si="29"/>
        <v>-</v>
      </c>
      <c r="E307" s="52" t="str">
        <f t="shared" si="29"/>
        <v>-</v>
      </c>
      <c r="F307" s="52" t="str">
        <f t="shared" si="29"/>
        <v>-</v>
      </c>
      <c r="G307" s="52" t="str">
        <f t="shared" si="29"/>
        <v>-</v>
      </c>
      <c r="H307" s="196" t="str">
        <f t="shared" si="29"/>
        <v>-</v>
      </c>
      <c r="I307" s="199" t="str">
        <f t="shared" ref="I307:I319" si="30">I34</f>
        <v>-</v>
      </c>
      <c r="J307" s="433"/>
    </row>
    <row r="308" spans="1:10" s="374" customFormat="1" ht="11.25" customHeight="1" x14ac:dyDescent="0.2">
      <c r="A308" s="122">
        <v>2009</v>
      </c>
      <c r="B308" s="52" t="str">
        <f t="shared" si="28"/>
        <v>-</v>
      </c>
      <c r="C308" s="52" t="str">
        <f t="shared" ref="C308:H309" si="31">C35</f>
        <v>-</v>
      </c>
      <c r="D308" s="52" t="str">
        <f t="shared" si="31"/>
        <v>-</v>
      </c>
      <c r="E308" s="52" t="str">
        <f t="shared" si="31"/>
        <v>-</v>
      </c>
      <c r="F308" s="52" t="str">
        <f t="shared" si="31"/>
        <v>-</v>
      </c>
      <c r="G308" s="52" t="str">
        <f t="shared" si="31"/>
        <v>-</v>
      </c>
      <c r="H308" s="196" t="str">
        <f t="shared" si="31"/>
        <v>-</v>
      </c>
      <c r="I308" s="199" t="str">
        <f t="shared" si="30"/>
        <v>-</v>
      </c>
      <c r="J308" s="433"/>
    </row>
    <row r="309" spans="1:10" s="374" customFormat="1" ht="11.25" customHeight="1" x14ac:dyDescent="0.2">
      <c r="A309" s="122">
        <v>2010</v>
      </c>
      <c r="B309" s="52" t="str">
        <f t="shared" si="28"/>
        <v>-</v>
      </c>
      <c r="C309" s="52" t="str">
        <f t="shared" si="31"/>
        <v>-</v>
      </c>
      <c r="D309" s="52" t="str">
        <f t="shared" si="31"/>
        <v>-</v>
      </c>
      <c r="E309" s="52" t="str">
        <f t="shared" si="31"/>
        <v>-</v>
      </c>
      <c r="F309" s="52" t="str">
        <f t="shared" si="31"/>
        <v>-</v>
      </c>
      <c r="G309" s="52" t="str">
        <f t="shared" si="31"/>
        <v>-</v>
      </c>
      <c r="H309" s="196" t="str">
        <f t="shared" si="31"/>
        <v>-</v>
      </c>
      <c r="I309" s="199" t="str">
        <f t="shared" si="30"/>
        <v>-</v>
      </c>
      <c r="J309" s="433"/>
    </row>
    <row r="310" spans="1:10" s="374" customFormat="1" ht="11.25" customHeight="1" x14ac:dyDescent="0.2">
      <c r="A310" s="122">
        <v>2011</v>
      </c>
      <c r="B310" s="52" t="str">
        <f t="shared" si="28"/>
        <v>-</v>
      </c>
      <c r="C310" s="52" t="str">
        <f t="shared" ref="C310:H310" si="32">C37</f>
        <v>-</v>
      </c>
      <c r="D310" s="52" t="str">
        <f t="shared" si="32"/>
        <v>-</v>
      </c>
      <c r="E310" s="52">
        <f t="shared" si="32"/>
        <v>4</v>
      </c>
      <c r="F310" s="52">
        <f t="shared" si="32"/>
        <v>16</v>
      </c>
      <c r="G310" s="52" t="str">
        <f t="shared" si="32"/>
        <v>-</v>
      </c>
      <c r="H310" s="196" t="str">
        <f t="shared" si="32"/>
        <v>-</v>
      </c>
      <c r="I310" s="199">
        <f t="shared" si="30"/>
        <v>20</v>
      </c>
      <c r="J310" s="433"/>
    </row>
    <row r="311" spans="1:10" s="374" customFormat="1" ht="11.25" customHeight="1" x14ac:dyDescent="0.2">
      <c r="A311" s="122">
        <v>2012</v>
      </c>
      <c r="B311" s="52" t="str">
        <f t="shared" si="28"/>
        <v>-</v>
      </c>
      <c r="C311" s="52" t="str">
        <f t="shared" ref="C311:H311" si="33">C38</f>
        <v>-</v>
      </c>
      <c r="D311" s="52" t="str">
        <f t="shared" si="33"/>
        <v>-</v>
      </c>
      <c r="E311" s="52" t="str">
        <f t="shared" si="33"/>
        <v>-</v>
      </c>
      <c r="F311" s="52" t="str">
        <f t="shared" si="33"/>
        <v>-</v>
      </c>
      <c r="G311" s="52">
        <f t="shared" si="33"/>
        <v>45</v>
      </c>
      <c r="H311" s="196" t="str">
        <f t="shared" si="33"/>
        <v>-</v>
      </c>
      <c r="I311" s="199">
        <f t="shared" si="30"/>
        <v>45</v>
      </c>
      <c r="J311" s="433"/>
    </row>
    <row r="312" spans="1:10" s="374" customFormat="1" ht="11.25" customHeight="1" x14ac:dyDescent="0.2">
      <c r="A312" s="122">
        <v>2013</v>
      </c>
      <c r="B312" s="52" t="str">
        <f t="shared" si="28"/>
        <v>-</v>
      </c>
      <c r="C312" s="52">
        <f t="shared" ref="C312:H312" si="34">C39</f>
        <v>8</v>
      </c>
      <c r="D312" s="52">
        <f t="shared" si="34"/>
        <v>31</v>
      </c>
      <c r="E312" s="52">
        <f t="shared" si="34"/>
        <v>46</v>
      </c>
      <c r="F312" s="52">
        <f t="shared" si="34"/>
        <v>10</v>
      </c>
      <c r="G312" s="52">
        <f t="shared" si="34"/>
        <v>3</v>
      </c>
      <c r="H312" s="196" t="str">
        <f t="shared" si="34"/>
        <v>-</v>
      </c>
      <c r="I312" s="199">
        <f t="shared" si="30"/>
        <v>98</v>
      </c>
      <c r="J312" s="433"/>
    </row>
    <row r="313" spans="1:10" ht="11.25" customHeight="1" x14ac:dyDescent="0.2">
      <c r="A313" s="123">
        <v>2014</v>
      </c>
      <c r="B313" s="52" t="str">
        <f t="shared" si="28"/>
        <v>-</v>
      </c>
      <c r="C313" s="52" t="str">
        <f t="shared" ref="C313:H313" si="35">C40</f>
        <v>-</v>
      </c>
      <c r="D313" s="52" t="str">
        <f t="shared" si="35"/>
        <v>-</v>
      </c>
      <c r="E313" s="52" t="str">
        <f t="shared" si="35"/>
        <v>-</v>
      </c>
      <c r="F313" s="52" t="str">
        <f t="shared" si="35"/>
        <v>-</v>
      </c>
      <c r="G313" s="52">
        <f t="shared" si="35"/>
        <v>7</v>
      </c>
      <c r="H313" s="196" t="str">
        <f t="shared" si="35"/>
        <v>-</v>
      </c>
      <c r="I313" s="199">
        <f t="shared" si="30"/>
        <v>7</v>
      </c>
      <c r="J313" s="433"/>
    </row>
    <row r="314" spans="1:10" s="374" customFormat="1" ht="11.25" customHeight="1" x14ac:dyDescent="0.2">
      <c r="A314" s="122">
        <v>2015</v>
      </c>
      <c r="B314" s="52" t="str">
        <f t="shared" si="28"/>
        <v>-</v>
      </c>
      <c r="C314" s="52" t="str">
        <f t="shared" ref="C314:H314" si="36">C41</f>
        <v>-</v>
      </c>
      <c r="D314" s="52" t="str">
        <f t="shared" si="36"/>
        <v>-</v>
      </c>
      <c r="E314" s="52" t="str">
        <f t="shared" si="36"/>
        <v>-</v>
      </c>
      <c r="F314" s="52" t="str">
        <f t="shared" si="36"/>
        <v>-</v>
      </c>
      <c r="G314" s="52">
        <f t="shared" si="36"/>
        <v>10</v>
      </c>
      <c r="H314" s="196" t="str">
        <f t="shared" si="36"/>
        <v>-</v>
      </c>
      <c r="I314" s="199">
        <f t="shared" si="30"/>
        <v>10</v>
      </c>
      <c r="J314" s="433"/>
    </row>
    <row r="315" spans="1:10" s="374" customFormat="1" ht="11.25" customHeight="1" x14ac:dyDescent="0.2">
      <c r="A315" s="122">
        <v>2016</v>
      </c>
      <c r="B315" s="52" t="str">
        <f t="shared" si="28"/>
        <v>-</v>
      </c>
      <c r="C315" s="52" t="str">
        <f t="shared" ref="C315:H315" si="37">C42</f>
        <v>-</v>
      </c>
      <c r="D315" s="52" t="str">
        <f t="shared" si="37"/>
        <v>-</v>
      </c>
      <c r="E315" s="52" t="str">
        <f t="shared" si="37"/>
        <v>-</v>
      </c>
      <c r="F315" s="52" t="str">
        <f t="shared" si="37"/>
        <v>-</v>
      </c>
      <c r="G315" s="52">
        <f t="shared" si="37"/>
        <v>7</v>
      </c>
      <c r="H315" s="196" t="str">
        <f t="shared" si="37"/>
        <v>-</v>
      </c>
      <c r="I315" s="199">
        <f t="shared" si="30"/>
        <v>7</v>
      </c>
      <c r="J315" s="433"/>
    </row>
    <row r="316" spans="1:10" s="374" customFormat="1" ht="11.25" customHeight="1" x14ac:dyDescent="0.2">
      <c r="A316" s="122">
        <v>2017</v>
      </c>
      <c r="B316" s="52" t="str">
        <f t="shared" si="28"/>
        <v>-</v>
      </c>
      <c r="C316" s="52" t="str">
        <f t="shared" ref="C316:H316" si="38">C43</f>
        <v>-</v>
      </c>
      <c r="D316" s="52" t="str">
        <f t="shared" si="38"/>
        <v>-</v>
      </c>
      <c r="E316" s="52" t="str">
        <f t="shared" si="38"/>
        <v>-</v>
      </c>
      <c r="F316" s="52" t="str">
        <f t="shared" si="38"/>
        <v>-</v>
      </c>
      <c r="G316" s="52" t="str">
        <f t="shared" si="38"/>
        <v>-</v>
      </c>
      <c r="H316" s="196" t="str">
        <f t="shared" si="38"/>
        <v>-</v>
      </c>
      <c r="I316" s="199" t="str">
        <f t="shared" si="30"/>
        <v>-</v>
      </c>
      <c r="J316" s="433"/>
    </row>
    <row r="317" spans="1:10" s="374" customFormat="1" ht="11.25" customHeight="1" x14ac:dyDescent="0.2">
      <c r="A317" s="122">
        <v>2018</v>
      </c>
      <c r="B317" s="52" t="str">
        <f t="shared" si="28"/>
        <v>-</v>
      </c>
      <c r="C317" s="52">
        <f t="shared" ref="C317:H317" si="39">C44</f>
        <v>20</v>
      </c>
      <c r="D317" s="52">
        <f t="shared" si="39"/>
        <v>108</v>
      </c>
      <c r="E317" s="52">
        <f t="shared" si="39"/>
        <v>42</v>
      </c>
      <c r="F317" s="52">
        <f t="shared" si="39"/>
        <v>68</v>
      </c>
      <c r="G317" s="52" t="str">
        <f t="shared" si="39"/>
        <v>-</v>
      </c>
      <c r="H317" s="196" t="str">
        <f t="shared" si="39"/>
        <v>-</v>
      </c>
      <c r="I317" s="199">
        <f t="shared" si="30"/>
        <v>238</v>
      </c>
      <c r="J317" s="433"/>
    </row>
    <row r="318" spans="1:10" s="487" customFormat="1" ht="11.25" customHeight="1" x14ac:dyDescent="0.2">
      <c r="A318" s="497" t="s">
        <v>336</v>
      </c>
      <c r="B318" s="52" t="str">
        <f t="shared" ref="B318:H319" si="40">B45</f>
        <v>-</v>
      </c>
      <c r="C318" s="52" t="str">
        <f t="shared" si="40"/>
        <v>-</v>
      </c>
      <c r="D318" s="52">
        <f t="shared" si="40"/>
        <v>13</v>
      </c>
      <c r="E318" s="52">
        <f t="shared" si="40"/>
        <v>50</v>
      </c>
      <c r="F318" s="52">
        <f t="shared" si="40"/>
        <v>90</v>
      </c>
      <c r="G318" s="52" t="str">
        <f t="shared" si="40"/>
        <v>-</v>
      </c>
      <c r="H318" s="196" t="str">
        <f t="shared" si="40"/>
        <v>-</v>
      </c>
      <c r="I318" s="199">
        <f t="shared" si="30"/>
        <v>153</v>
      </c>
      <c r="J318" s="433"/>
    </row>
    <row r="319" spans="1:10" ht="11.25" customHeight="1" x14ac:dyDescent="0.2">
      <c r="A319" s="497">
        <v>2020</v>
      </c>
      <c r="B319" s="52" t="str">
        <f t="shared" si="40"/>
        <v>-</v>
      </c>
      <c r="C319" s="52" t="str">
        <f t="shared" si="40"/>
        <v>-</v>
      </c>
      <c r="D319" s="52" t="str">
        <f t="shared" si="40"/>
        <v>-</v>
      </c>
      <c r="E319" s="52" t="str">
        <f t="shared" si="40"/>
        <v>-</v>
      </c>
      <c r="F319" s="52" t="str">
        <f t="shared" si="40"/>
        <v>-</v>
      </c>
      <c r="G319" s="52" t="str">
        <f t="shared" si="40"/>
        <v>-</v>
      </c>
      <c r="H319" s="196" t="str">
        <f t="shared" si="40"/>
        <v>-</v>
      </c>
      <c r="I319" s="199" t="str">
        <f t="shared" si="30"/>
        <v>-</v>
      </c>
      <c r="J319" s="433"/>
    </row>
    <row r="320" spans="1:10" ht="6" customHeight="1" x14ac:dyDescent="0.2">
      <c r="A320" s="122"/>
      <c r="B320" s="52"/>
      <c r="C320" s="52"/>
      <c r="D320" s="52"/>
      <c r="E320" s="52"/>
      <c r="F320" s="52"/>
      <c r="G320" s="52"/>
      <c r="H320" s="196"/>
      <c r="I320" s="199"/>
      <c r="J320" s="292"/>
    </row>
    <row r="321" spans="1:10" ht="11.25" customHeight="1" x14ac:dyDescent="0.2">
      <c r="A321" s="434" t="str">
        <f>A48</f>
        <v>Eureka</v>
      </c>
      <c r="B321" s="52"/>
      <c r="C321" s="52"/>
      <c r="D321" s="52"/>
      <c r="E321" s="52"/>
      <c r="F321" s="52"/>
      <c r="G321" s="52"/>
      <c r="H321" s="196"/>
      <c r="I321" s="199"/>
      <c r="J321" s="292"/>
    </row>
    <row r="322" spans="1:10" ht="11.25" customHeight="1" x14ac:dyDescent="0.2">
      <c r="A322" s="122" t="s">
        <v>87</v>
      </c>
      <c r="B322" s="52" t="s">
        <v>29</v>
      </c>
      <c r="C322" s="52" t="s">
        <v>29</v>
      </c>
      <c r="D322" s="52">
        <f>AVERAGE(D57:D61)</f>
        <v>881.98870178715515</v>
      </c>
      <c r="E322" s="52">
        <f>AVERAGE(E57:E61)</f>
        <v>517.56916803020761</v>
      </c>
      <c r="F322" s="52">
        <f>AVERAGE(F57:F61)</f>
        <v>546.52180240920973</v>
      </c>
      <c r="G322" s="52">
        <f>AVERAGE(G57:G61)</f>
        <v>466.57605698993683</v>
      </c>
      <c r="H322" s="196">
        <f>AVERAGE(H57:H61)</f>
        <v>64</v>
      </c>
      <c r="I322" s="199">
        <f>IF(SUM(I57:I61)&gt;0,AVERAGE(I57:I61),"-")</f>
        <v>1629.1939334712283</v>
      </c>
      <c r="J322" s="292"/>
    </row>
    <row r="323" spans="1:10" ht="11.25" customHeight="1" x14ac:dyDescent="0.2">
      <c r="A323" s="122" t="s">
        <v>14</v>
      </c>
      <c r="B323" s="52" t="s">
        <v>29</v>
      </c>
      <c r="C323" s="52" t="s">
        <v>29</v>
      </c>
      <c r="D323" s="52" t="s">
        <v>29</v>
      </c>
      <c r="E323" s="52" t="s">
        <v>29</v>
      </c>
      <c r="F323" s="52" t="s">
        <v>29</v>
      </c>
      <c r="G323" s="52">
        <f>AVERAGE(G62:G66)</f>
        <v>500</v>
      </c>
      <c r="H323" s="196">
        <f>AVERAGE(H62:H66)</f>
        <v>100</v>
      </c>
      <c r="I323" s="199">
        <f>IF(SUM(I62:I66)&gt;0,AVERAGE(I62:I66),"-")</f>
        <v>600</v>
      </c>
      <c r="J323" s="292"/>
    </row>
    <row r="324" spans="1:10" ht="11.25" customHeight="1" x14ac:dyDescent="0.2">
      <c r="A324" s="122" t="s">
        <v>207</v>
      </c>
      <c r="B324" s="52" t="s">
        <v>29</v>
      </c>
      <c r="C324" s="52" t="s">
        <v>29</v>
      </c>
      <c r="D324" s="52" t="s">
        <v>29</v>
      </c>
      <c r="E324" s="52" t="s">
        <v>29</v>
      </c>
      <c r="F324" s="52">
        <f>AVERAGE(F67:F71)</f>
        <v>128</v>
      </c>
      <c r="G324" s="52">
        <f>AVERAGE(G67:G71)</f>
        <v>176.6</v>
      </c>
      <c r="H324" s="196" t="s">
        <v>29</v>
      </c>
      <c r="I324" s="199">
        <f>IF(SUM(I67:I71)&gt;0,AVERAGE(I67:I71),"-")</f>
        <v>202.2</v>
      </c>
      <c r="J324" s="292"/>
    </row>
    <row r="325" spans="1:10" ht="11.25" customHeight="1" x14ac:dyDescent="0.2">
      <c r="A325" s="122" t="s">
        <v>238</v>
      </c>
      <c r="B325" s="52" t="str">
        <f t="shared" ref="B325:H325" si="41">B72</f>
        <v>-</v>
      </c>
      <c r="C325" s="52" t="str">
        <f t="shared" si="41"/>
        <v>-</v>
      </c>
      <c r="D325" s="52" t="str">
        <f t="shared" si="41"/>
        <v>-</v>
      </c>
      <c r="E325" s="52" t="str">
        <f t="shared" si="41"/>
        <v>-</v>
      </c>
      <c r="F325" s="52">
        <f>AVERAGE(F72:F76)</f>
        <v>94</v>
      </c>
      <c r="G325" s="52">
        <f>AVERAGE(G72:G76)</f>
        <v>242.4</v>
      </c>
      <c r="H325" s="196" t="str">
        <f t="shared" si="41"/>
        <v>-</v>
      </c>
      <c r="I325" s="199">
        <f>AVERAGE(I72:I76)</f>
        <v>261.2</v>
      </c>
      <c r="J325" s="292"/>
    </row>
    <row r="326" spans="1:10" ht="11.25" customHeight="1" x14ac:dyDescent="0.2">
      <c r="A326" s="122">
        <v>2006</v>
      </c>
      <c r="B326" s="52" t="str">
        <f t="shared" ref="B326:H326" si="42">B77</f>
        <v>-</v>
      </c>
      <c r="C326" s="52" t="str">
        <f t="shared" si="42"/>
        <v>-</v>
      </c>
      <c r="D326" s="52" t="str">
        <f t="shared" si="42"/>
        <v>-</v>
      </c>
      <c r="E326" s="52" t="str">
        <f t="shared" si="42"/>
        <v>-</v>
      </c>
      <c r="F326" s="52" t="str">
        <f t="shared" si="42"/>
        <v>-</v>
      </c>
      <c r="G326" s="52" t="str">
        <f t="shared" si="42"/>
        <v>-</v>
      </c>
      <c r="H326" s="196" t="str">
        <f t="shared" si="42"/>
        <v>-</v>
      </c>
      <c r="I326" s="199" t="str">
        <f t="shared" ref="I326:I340" si="43">I77</f>
        <v>-</v>
      </c>
      <c r="J326" s="292"/>
    </row>
    <row r="327" spans="1:10" ht="11.25" customHeight="1" x14ac:dyDescent="0.2">
      <c r="A327" s="122">
        <v>2007</v>
      </c>
      <c r="B327" s="52" t="str">
        <f t="shared" ref="B327:H327" si="44">B78</f>
        <v>-</v>
      </c>
      <c r="C327" s="52" t="str">
        <f t="shared" si="44"/>
        <v>-</v>
      </c>
      <c r="D327" s="52" t="str">
        <f t="shared" si="44"/>
        <v>-</v>
      </c>
      <c r="E327" s="52" t="str">
        <f t="shared" si="44"/>
        <v>-</v>
      </c>
      <c r="F327" s="52" t="str">
        <f t="shared" si="44"/>
        <v>-</v>
      </c>
      <c r="G327" s="52">
        <f t="shared" si="44"/>
        <v>270</v>
      </c>
      <c r="H327" s="196" t="str">
        <f t="shared" si="44"/>
        <v>-</v>
      </c>
      <c r="I327" s="199">
        <f t="shared" si="43"/>
        <v>270</v>
      </c>
      <c r="J327" s="292"/>
    </row>
    <row r="328" spans="1:10" s="374" customFormat="1" ht="11.25" customHeight="1" x14ac:dyDescent="0.2">
      <c r="A328" s="122">
        <v>2008</v>
      </c>
      <c r="B328" s="52" t="str">
        <f t="shared" ref="B328:H328" si="45">B79</f>
        <v>-</v>
      </c>
      <c r="C328" s="52" t="str">
        <f t="shared" si="45"/>
        <v>-</v>
      </c>
      <c r="D328" s="52" t="str">
        <f t="shared" si="45"/>
        <v>-</v>
      </c>
      <c r="E328" s="52" t="str">
        <f t="shared" si="45"/>
        <v>-</v>
      </c>
      <c r="F328" s="52" t="str">
        <f t="shared" si="45"/>
        <v>-</v>
      </c>
      <c r="G328" s="52" t="str">
        <f t="shared" si="45"/>
        <v>-</v>
      </c>
      <c r="H328" s="196" t="str">
        <f t="shared" si="45"/>
        <v>-</v>
      </c>
      <c r="I328" s="199" t="str">
        <f t="shared" si="43"/>
        <v>-</v>
      </c>
      <c r="J328" s="238"/>
    </row>
    <row r="329" spans="1:10" s="374" customFormat="1" ht="11.25" customHeight="1" x14ac:dyDescent="0.2">
      <c r="A329" s="122">
        <v>2009</v>
      </c>
      <c r="B329" s="52" t="str">
        <f t="shared" ref="B329:H329" si="46">B80</f>
        <v>-</v>
      </c>
      <c r="C329" s="52" t="str">
        <f t="shared" si="46"/>
        <v>-</v>
      </c>
      <c r="D329" s="52" t="str">
        <f t="shared" si="46"/>
        <v>-</v>
      </c>
      <c r="E329" s="52" t="str">
        <f t="shared" si="46"/>
        <v>-</v>
      </c>
      <c r="F329" s="52" t="str">
        <f t="shared" si="46"/>
        <v>-</v>
      </c>
      <c r="G329" s="52" t="str">
        <f t="shared" si="46"/>
        <v>-</v>
      </c>
      <c r="H329" s="196" t="str">
        <f t="shared" si="46"/>
        <v>-</v>
      </c>
      <c r="I329" s="199" t="str">
        <f t="shared" si="43"/>
        <v>-</v>
      </c>
      <c r="J329" s="238"/>
    </row>
    <row r="330" spans="1:10" s="374" customFormat="1" ht="11.25" customHeight="1" x14ac:dyDescent="0.2">
      <c r="A330" s="122">
        <v>2010</v>
      </c>
      <c r="B330" s="52" t="str">
        <f t="shared" ref="B330:H330" si="47">B81</f>
        <v>-</v>
      </c>
      <c r="C330" s="52" t="str">
        <f t="shared" si="47"/>
        <v>-</v>
      </c>
      <c r="D330" s="52" t="str">
        <f t="shared" si="47"/>
        <v>-</v>
      </c>
      <c r="E330" s="52" t="str">
        <f t="shared" si="47"/>
        <v>-</v>
      </c>
      <c r="F330" s="52" t="str">
        <f t="shared" si="47"/>
        <v>-</v>
      </c>
      <c r="G330" s="52" t="str">
        <f t="shared" si="47"/>
        <v>-</v>
      </c>
      <c r="H330" s="196" t="str">
        <f t="shared" si="47"/>
        <v>-</v>
      </c>
      <c r="I330" s="199" t="str">
        <f t="shared" si="43"/>
        <v>-</v>
      </c>
      <c r="J330" s="238"/>
    </row>
    <row r="331" spans="1:10" s="374" customFormat="1" ht="11.25" customHeight="1" x14ac:dyDescent="0.2">
      <c r="A331" s="122">
        <v>2011</v>
      </c>
      <c r="B331" s="52" t="str">
        <f t="shared" ref="B331:H331" si="48">B82</f>
        <v>-</v>
      </c>
      <c r="C331" s="52" t="str">
        <f t="shared" si="48"/>
        <v>-</v>
      </c>
      <c r="D331" s="52" t="str">
        <f t="shared" si="48"/>
        <v>-</v>
      </c>
      <c r="E331" s="52">
        <f t="shared" si="48"/>
        <v>148</v>
      </c>
      <c r="F331" s="52">
        <f t="shared" si="48"/>
        <v>33</v>
      </c>
      <c r="G331" s="52" t="str">
        <f t="shared" si="48"/>
        <v>-</v>
      </c>
      <c r="H331" s="196" t="str">
        <f t="shared" si="48"/>
        <v>-</v>
      </c>
      <c r="I331" s="199">
        <f t="shared" si="43"/>
        <v>181</v>
      </c>
      <c r="J331" s="238"/>
    </row>
    <row r="332" spans="1:10" s="374" customFormat="1" ht="11.25" customHeight="1" x14ac:dyDescent="0.2">
      <c r="A332" s="122">
        <v>2012</v>
      </c>
      <c r="B332" s="52" t="str">
        <f t="shared" ref="B332:H332" si="49">B83</f>
        <v>-</v>
      </c>
      <c r="C332" s="52" t="str">
        <f t="shared" si="49"/>
        <v>-</v>
      </c>
      <c r="D332" s="52" t="str">
        <f t="shared" si="49"/>
        <v>-</v>
      </c>
      <c r="E332" s="52" t="str">
        <f t="shared" si="49"/>
        <v>-</v>
      </c>
      <c r="F332" s="52" t="str">
        <f t="shared" si="49"/>
        <v>-</v>
      </c>
      <c r="G332" s="52">
        <f t="shared" si="49"/>
        <v>260</v>
      </c>
      <c r="H332" s="196" t="str">
        <f t="shared" si="49"/>
        <v>-</v>
      </c>
      <c r="I332" s="199">
        <f t="shared" si="43"/>
        <v>260</v>
      </c>
      <c r="J332" s="238"/>
    </row>
    <row r="333" spans="1:10" s="374" customFormat="1" ht="11.25" customHeight="1" x14ac:dyDescent="0.2">
      <c r="A333" s="122">
        <v>2013</v>
      </c>
      <c r="B333" s="52" t="str">
        <f t="shared" ref="B333:H333" si="50">B84</f>
        <v>-</v>
      </c>
      <c r="C333" s="52">
        <f t="shared" si="50"/>
        <v>174</v>
      </c>
      <c r="D333" s="52">
        <f t="shared" si="50"/>
        <v>129</v>
      </c>
      <c r="E333" s="52">
        <f t="shared" si="50"/>
        <v>111</v>
      </c>
      <c r="F333" s="52">
        <f t="shared" si="50"/>
        <v>103</v>
      </c>
      <c r="G333" s="52">
        <f t="shared" si="50"/>
        <v>46</v>
      </c>
      <c r="H333" s="196" t="str">
        <f t="shared" si="50"/>
        <v>-</v>
      </c>
      <c r="I333" s="199">
        <f t="shared" si="43"/>
        <v>563</v>
      </c>
      <c r="J333" s="238"/>
    </row>
    <row r="334" spans="1:10" ht="11.25" customHeight="1" x14ac:dyDescent="0.2">
      <c r="A334" s="123">
        <v>2014</v>
      </c>
      <c r="B334" s="52" t="str">
        <f t="shared" ref="B334:H334" si="51">B85</f>
        <v>-</v>
      </c>
      <c r="C334" s="52" t="str">
        <f t="shared" si="51"/>
        <v>-</v>
      </c>
      <c r="D334" s="52" t="str">
        <f t="shared" si="51"/>
        <v>-</v>
      </c>
      <c r="E334" s="52" t="str">
        <f t="shared" si="51"/>
        <v>-</v>
      </c>
      <c r="F334" s="52" t="str">
        <f t="shared" si="51"/>
        <v>-</v>
      </c>
      <c r="G334" s="52">
        <f t="shared" si="51"/>
        <v>92</v>
      </c>
      <c r="H334" s="196" t="str">
        <f t="shared" si="51"/>
        <v>-</v>
      </c>
      <c r="I334" s="199">
        <f t="shared" si="43"/>
        <v>92</v>
      </c>
      <c r="J334" s="292"/>
    </row>
    <row r="335" spans="1:10" s="374" customFormat="1" ht="11.25" customHeight="1" x14ac:dyDescent="0.2">
      <c r="A335" s="122">
        <v>2015</v>
      </c>
      <c r="B335" s="52" t="str">
        <f t="shared" ref="B335:H335" si="52">B86</f>
        <v>-</v>
      </c>
      <c r="C335" s="52" t="str">
        <f t="shared" si="52"/>
        <v>-</v>
      </c>
      <c r="D335" s="52" t="str">
        <f t="shared" si="52"/>
        <v>-</v>
      </c>
      <c r="E335" s="52" t="str">
        <f t="shared" si="52"/>
        <v>-</v>
      </c>
      <c r="F335" s="52" t="str">
        <f t="shared" si="52"/>
        <v>-</v>
      </c>
      <c r="G335" s="52">
        <f t="shared" si="52"/>
        <v>22</v>
      </c>
      <c r="H335" s="196" t="str">
        <f t="shared" si="52"/>
        <v>-</v>
      </c>
      <c r="I335" s="199">
        <f t="shared" si="43"/>
        <v>22</v>
      </c>
      <c r="J335" s="238"/>
    </row>
    <row r="336" spans="1:10" s="374" customFormat="1" ht="11.25" customHeight="1" x14ac:dyDescent="0.2">
      <c r="A336" s="122">
        <v>2016</v>
      </c>
      <c r="B336" s="52" t="str">
        <f t="shared" ref="B336:H336" si="53">B87</f>
        <v>-</v>
      </c>
      <c r="C336" s="52" t="str">
        <f t="shared" si="53"/>
        <v>-</v>
      </c>
      <c r="D336" s="52" t="str">
        <f t="shared" si="53"/>
        <v>-</v>
      </c>
      <c r="E336" s="52" t="str">
        <f t="shared" si="53"/>
        <v>-</v>
      </c>
      <c r="F336" s="52" t="str">
        <f t="shared" si="53"/>
        <v>-</v>
      </c>
      <c r="G336" s="52">
        <f t="shared" si="53"/>
        <v>52</v>
      </c>
      <c r="H336" s="196" t="str">
        <f t="shared" si="53"/>
        <v>-</v>
      </c>
      <c r="I336" s="199">
        <f t="shared" si="43"/>
        <v>52</v>
      </c>
      <c r="J336" s="238"/>
    </row>
    <row r="337" spans="1:10" s="374" customFormat="1" ht="11.25" customHeight="1" x14ac:dyDescent="0.2">
      <c r="A337" s="122">
        <v>2017</v>
      </c>
      <c r="B337" s="52" t="str">
        <f t="shared" ref="B337:H337" si="54">B88</f>
        <v>-</v>
      </c>
      <c r="C337" s="52" t="str">
        <f t="shared" si="54"/>
        <v>-</v>
      </c>
      <c r="D337" s="52" t="str">
        <f t="shared" si="54"/>
        <v>-</v>
      </c>
      <c r="E337" s="52" t="str">
        <f t="shared" si="54"/>
        <v>-</v>
      </c>
      <c r="F337" s="52" t="str">
        <f t="shared" si="54"/>
        <v>-</v>
      </c>
      <c r="G337" s="52" t="str">
        <f t="shared" si="54"/>
        <v>-</v>
      </c>
      <c r="H337" s="196" t="str">
        <f t="shared" si="54"/>
        <v>-</v>
      </c>
      <c r="I337" s="199" t="str">
        <f t="shared" si="43"/>
        <v>-</v>
      </c>
      <c r="J337" s="238"/>
    </row>
    <row r="338" spans="1:10" s="374" customFormat="1" ht="11.25" customHeight="1" x14ac:dyDescent="0.2">
      <c r="A338" s="122">
        <v>2018</v>
      </c>
      <c r="B338" s="52" t="str">
        <f t="shared" ref="B338:H338" si="55">B89</f>
        <v>-</v>
      </c>
      <c r="C338" s="52">
        <f t="shared" si="55"/>
        <v>110</v>
      </c>
      <c r="D338" s="52">
        <f t="shared" si="55"/>
        <v>116</v>
      </c>
      <c r="E338" s="52">
        <f t="shared" si="55"/>
        <v>121</v>
      </c>
      <c r="F338" s="52">
        <f t="shared" si="55"/>
        <v>114</v>
      </c>
      <c r="G338" s="52" t="str">
        <f t="shared" si="55"/>
        <v>-</v>
      </c>
      <c r="H338" s="196" t="str">
        <f t="shared" si="55"/>
        <v>-</v>
      </c>
      <c r="I338" s="199">
        <f t="shared" si="43"/>
        <v>461</v>
      </c>
      <c r="J338" s="238"/>
    </row>
    <row r="339" spans="1:10" s="487" customFormat="1" ht="11.25" customHeight="1" x14ac:dyDescent="0.2">
      <c r="A339" s="497" t="s">
        <v>336</v>
      </c>
      <c r="B339" s="52" t="str">
        <f t="shared" ref="B339:H340" si="56">B90</f>
        <v>-</v>
      </c>
      <c r="C339" s="52" t="str">
        <f t="shared" si="56"/>
        <v>-</v>
      </c>
      <c r="D339" s="52">
        <f t="shared" si="56"/>
        <v>74</v>
      </c>
      <c r="E339" s="52">
        <f t="shared" si="56"/>
        <v>19</v>
      </c>
      <c r="F339" s="52">
        <f t="shared" si="56"/>
        <v>58</v>
      </c>
      <c r="G339" s="52" t="str">
        <f t="shared" si="56"/>
        <v>-</v>
      </c>
      <c r="H339" s="196" t="str">
        <f t="shared" si="56"/>
        <v>-</v>
      </c>
      <c r="I339" s="199">
        <f t="shared" si="43"/>
        <v>151</v>
      </c>
      <c r="J339" s="238"/>
    </row>
    <row r="340" spans="1:10" ht="11.25" customHeight="1" x14ac:dyDescent="0.2">
      <c r="A340" s="491">
        <v>2020</v>
      </c>
      <c r="B340" s="52" t="str">
        <f t="shared" si="56"/>
        <v>-</v>
      </c>
      <c r="C340" s="52" t="str">
        <f t="shared" si="56"/>
        <v>-</v>
      </c>
      <c r="D340" s="52" t="str">
        <f t="shared" si="56"/>
        <v>-</v>
      </c>
      <c r="E340" s="52" t="str">
        <f t="shared" si="56"/>
        <v>-</v>
      </c>
      <c r="F340" s="52" t="str">
        <f t="shared" si="56"/>
        <v>-</v>
      </c>
      <c r="G340" s="52" t="str">
        <f t="shared" si="56"/>
        <v>-</v>
      </c>
      <c r="H340" s="196" t="str">
        <f t="shared" si="56"/>
        <v>-</v>
      </c>
      <c r="I340" s="199" t="str">
        <f t="shared" si="43"/>
        <v>-</v>
      </c>
      <c r="J340" s="292"/>
    </row>
    <row r="341" spans="1:10" ht="6" customHeight="1" x14ac:dyDescent="0.2">
      <c r="A341" s="123"/>
      <c r="B341" s="31"/>
      <c r="C341" s="31"/>
      <c r="D341" s="31"/>
      <c r="E341" s="31"/>
      <c r="F341" s="31"/>
      <c r="G341" s="31"/>
      <c r="H341" s="195"/>
      <c r="I341" s="198"/>
      <c r="J341" s="292"/>
    </row>
    <row r="342" spans="1:10" ht="11.25" customHeight="1" x14ac:dyDescent="0.2">
      <c r="A342" s="435" t="str">
        <f>A93</f>
        <v>Fort Bragg</v>
      </c>
      <c r="B342" s="31"/>
      <c r="C342" s="31"/>
      <c r="D342" s="31"/>
      <c r="E342" s="31"/>
      <c r="F342" s="31"/>
      <c r="G342" s="31"/>
      <c r="H342" s="195"/>
      <c r="I342" s="198"/>
      <c r="J342" s="292"/>
    </row>
    <row r="343" spans="1:10" ht="11.25" customHeight="1" x14ac:dyDescent="0.2">
      <c r="A343" s="123" t="s">
        <v>87</v>
      </c>
      <c r="B343" s="52" t="s">
        <v>29</v>
      </c>
      <c r="C343" s="31">
        <f>AVERAGE(C102:C106)</f>
        <v>2775.2564471879286</v>
      </c>
      <c r="D343" s="31">
        <f>AVERAGE(D102:D106)</f>
        <v>3887.1339349522946</v>
      </c>
      <c r="E343" s="31">
        <f>AVERAGE(E102:E106)</f>
        <v>5151.3157543268771</v>
      </c>
      <c r="F343" s="31">
        <f>AVERAGE(F102:F106)</f>
        <v>3801.5450942952348</v>
      </c>
      <c r="G343" s="31">
        <f>AVERAGE(G102:G106)</f>
        <v>776.61706072835818</v>
      </c>
      <c r="H343" s="196" t="s">
        <v>29</v>
      </c>
      <c r="I343" s="199">
        <f>IF(SUM(I102:I106)&gt;0,AVERAGE(I102:I106),"-")</f>
        <v>16391.868291490693</v>
      </c>
      <c r="J343" s="292"/>
    </row>
    <row r="344" spans="1:10" ht="11.25" customHeight="1" x14ac:dyDescent="0.2">
      <c r="A344" s="123" t="s">
        <v>14</v>
      </c>
      <c r="B344" s="52" t="s">
        <v>29</v>
      </c>
      <c r="C344" s="31">
        <f>AVERAGE(C107:C111)</f>
        <v>100</v>
      </c>
      <c r="D344" s="52" t="s">
        <v>29</v>
      </c>
      <c r="E344" s="52" t="s">
        <v>29</v>
      </c>
      <c r="F344" s="31">
        <f>AVERAGE(F107:F111)</f>
        <v>3500</v>
      </c>
      <c r="G344" s="31">
        <f>AVERAGE(G107:G111)</f>
        <v>875</v>
      </c>
      <c r="H344" s="196" t="s">
        <v>29</v>
      </c>
      <c r="I344" s="199">
        <f>IF(SUM(I107:I111)&gt;0,AVERAGE(I107:I111),"-")</f>
        <v>1775</v>
      </c>
      <c r="J344" s="292"/>
    </row>
    <row r="345" spans="1:10" ht="11.25" customHeight="1" x14ac:dyDescent="0.2">
      <c r="A345" s="123" t="s">
        <v>207</v>
      </c>
      <c r="B345" s="52" t="s">
        <v>29</v>
      </c>
      <c r="C345" s="31" t="s">
        <v>29</v>
      </c>
      <c r="D345" s="52" t="s">
        <v>29</v>
      </c>
      <c r="E345" s="52" t="s">
        <v>29</v>
      </c>
      <c r="F345" s="31">
        <f>AVERAGE(F112:F116)</f>
        <v>1300</v>
      </c>
      <c r="G345" s="31">
        <f>AVERAGE(G112:G116)</f>
        <v>535.79999999999995</v>
      </c>
      <c r="H345" s="196" t="s">
        <v>29</v>
      </c>
      <c r="I345" s="199">
        <f>IF(SUM(I112:I116)&gt;0,AVERAGE(I112:I116),"-")</f>
        <v>795.8</v>
      </c>
      <c r="J345" s="292"/>
    </row>
    <row r="346" spans="1:10" ht="11.25" customHeight="1" x14ac:dyDescent="0.2">
      <c r="A346" s="123" t="s">
        <v>238</v>
      </c>
      <c r="B346" s="31" t="str">
        <f>B117</f>
        <v>-</v>
      </c>
      <c r="C346" s="31">
        <f>AVERAGE(C117:C121)</f>
        <v>614</v>
      </c>
      <c r="D346" s="31" t="str">
        <f>D117</f>
        <v>-</v>
      </c>
      <c r="E346" s="31">
        <f>AVERAGE(E117:E121)</f>
        <v>1379.6666666666667</v>
      </c>
      <c r="F346" s="31">
        <f>AVERAGE(F117:F121)</f>
        <v>1925.6666666666667</v>
      </c>
      <c r="G346" s="31">
        <f>AVERAGE(G117:G121)</f>
        <v>1026.2</v>
      </c>
      <c r="H346" s="195" t="str">
        <f>H117</f>
        <v>-</v>
      </c>
      <c r="I346" s="199">
        <f>AVERAGE(I117:I121)</f>
        <v>3255</v>
      </c>
      <c r="J346" s="292"/>
    </row>
    <row r="347" spans="1:10" ht="11.25" customHeight="1" x14ac:dyDescent="0.2">
      <c r="A347" s="123">
        <v>2006</v>
      </c>
      <c r="B347" s="31" t="str">
        <f>B122</f>
        <v>-</v>
      </c>
      <c r="C347" s="31" t="str">
        <f t="shared" ref="C347:H347" si="57">C122</f>
        <v>-</v>
      </c>
      <c r="D347" s="31" t="str">
        <f t="shared" si="57"/>
        <v>-</v>
      </c>
      <c r="E347" s="31" t="str">
        <f t="shared" si="57"/>
        <v>-</v>
      </c>
      <c r="F347" s="31" t="str">
        <f t="shared" si="57"/>
        <v>-</v>
      </c>
      <c r="G347" s="31">
        <f t="shared" si="57"/>
        <v>434</v>
      </c>
      <c r="H347" s="195" t="str">
        <f t="shared" si="57"/>
        <v>-</v>
      </c>
      <c r="I347" s="198">
        <f t="shared" ref="I347:I361" si="58">I122</f>
        <v>434</v>
      </c>
      <c r="J347" s="292"/>
    </row>
    <row r="348" spans="1:10" ht="11.25" customHeight="1" x14ac:dyDescent="0.2">
      <c r="A348" s="123">
        <v>2007</v>
      </c>
      <c r="B348" s="31">
        <f>B123</f>
        <v>106</v>
      </c>
      <c r="C348" s="31" t="str">
        <f t="shared" ref="C348:H348" si="59">C123</f>
        <v>-</v>
      </c>
      <c r="D348" s="31" t="str">
        <f t="shared" si="59"/>
        <v>-</v>
      </c>
      <c r="E348" s="31" t="str">
        <f t="shared" si="59"/>
        <v>-</v>
      </c>
      <c r="F348" s="31">
        <f t="shared" si="59"/>
        <v>1252</v>
      </c>
      <c r="G348" s="31">
        <f t="shared" si="59"/>
        <v>42</v>
      </c>
      <c r="H348" s="195" t="str">
        <f t="shared" si="59"/>
        <v>-</v>
      </c>
      <c r="I348" s="198">
        <f t="shared" si="58"/>
        <v>1400</v>
      </c>
      <c r="J348" s="292"/>
    </row>
    <row r="349" spans="1:10" s="374" customFormat="1" ht="11.25" customHeight="1" x14ac:dyDescent="0.2">
      <c r="A349" s="122">
        <v>2008</v>
      </c>
      <c r="B349" s="52" t="str">
        <f>B124</f>
        <v>-</v>
      </c>
      <c r="C349" s="52" t="str">
        <f t="shared" ref="C349:H349" si="60">C124</f>
        <v>-</v>
      </c>
      <c r="D349" s="52" t="str">
        <f t="shared" si="60"/>
        <v>-</v>
      </c>
      <c r="E349" s="52" t="str">
        <f t="shared" si="60"/>
        <v>-</v>
      </c>
      <c r="F349" s="52" t="str">
        <f t="shared" si="60"/>
        <v>-</v>
      </c>
      <c r="G349" s="52" t="str">
        <f t="shared" si="60"/>
        <v>-</v>
      </c>
      <c r="H349" s="196" t="str">
        <f t="shared" si="60"/>
        <v>-</v>
      </c>
      <c r="I349" s="199" t="str">
        <f t="shared" si="58"/>
        <v>-</v>
      </c>
      <c r="J349" s="238"/>
    </row>
    <row r="350" spans="1:10" s="374" customFormat="1" ht="11.25" customHeight="1" x14ac:dyDescent="0.2">
      <c r="A350" s="122">
        <v>2009</v>
      </c>
      <c r="B350" s="52" t="str">
        <f t="shared" ref="B350:H350" si="61">B125</f>
        <v>-</v>
      </c>
      <c r="C350" s="52" t="str">
        <f t="shared" si="61"/>
        <v>-</v>
      </c>
      <c r="D350" s="52" t="str">
        <f t="shared" si="61"/>
        <v>-</v>
      </c>
      <c r="E350" s="52" t="str">
        <f t="shared" si="61"/>
        <v>-</v>
      </c>
      <c r="F350" s="52" t="str">
        <f t="shared" si="61"/>
        <v>-</v>
      </c>
      <c r="G350" s="52" t="str">
        <f t="shared" si="61"/>
        <v>-</v>
      </c>
      <c r="H350" s="196" t="str">
        <f t="shared" si="61"/>
        <v>-</v>
      </c>
      <c r="I350" s="199" t="str">
        <f t="shared" si="58"/>
        <v>-</v>
      </c>
      <c r="J350" s="238"/>
    </row>
    <row r="351" spans="1:10" s="374" customFormat="1" ht="11.25" customHeight="1" x14ac:dyDescent="0.2">
      <c r="A351" s="122">
        <v>2010</v>
      </c>
      <c r="B351" s="52" t="str">
        <f t="shared" ref="B351:H351" si="62">B126</f>
        <v>-</v>
      </c>
      <c r="C351" s="52" t="str">
        <f t="shared" si="62"/>
        <v>-</v>
      </c>
      <c r="D351" s="52" t="str">
        <f t="shared" si="62"/>
        <v>-</v>
      </c>
      <c r="E351" s="52">
        <f t="shared" si="62"/>
        <v>616</v>
      </c>
      <c r="F351" s="52">
        <f t="shared" si="62"/>
        <v>870</v>
      </c>
      <c r="G351" s="52" t="str">
        <f t="shared" si="62"/>
        <v>-</v>
      </c>
      <c r="H351" s="196" t="str">
        <f t="shared" si="62"/>
        <v>-</v>
      </c>
      <c r="I351" s="199">
        <f t="shared" si="58"/>
        <v>1486</v>
      </c>
      <c r="J351" s="238"/>
    </row>
    <row r="352" spans="1:10" s="374" customFormat="1" ht="11.25" customHeight="1" x14ac:dyDescent="0.2">
      <c r="A352" s="122">
        <v>2011</v>
      </c>
      <c r="B352" s="52" t="str">
        <f t="shared" ref="B352:H352" si="63">B127</f>
        <v>-</v>
      </c>
      <c r="C352" s="52" t="str">
        <f t="shared" si="63"/>
        <v>-</v>
      </c>
      <c r="D352" s="52" t="str">
        <f t="shared" si="63"/>
        <v>-</v>
      </c>
      <c r="E352" s="52">
        <f t="shared" si="63"/>
        <v>596</v>
      </c>
      <c r="F352" s="52">
        <f t="shared" si="63"/>
        <v>1386</v>
      </c>
      <c r="G352" s="52">
        <f t="shared" si="63"/>
        <v>161</v>
      </c>
      <c r="H352" s="196" t="str">
        <f t="shared" si="63"/>
        <v>-</v>
      </c>
      <c r="I352" s="199">
        <f t="shared" si="58"/>
        <v>2143</v>
      </c>
      <c r="J352" s="238"/>
    </row>
    <row r="353" spans="1:10" s="374" customFormat="1" ht="11.25" customHeight="1" x14ac:dyDescent="0.2">
      <c r="A353" s="122">
        <v>2012</v>
      </c>
      <c r="B353" s="52" t="str">
        <f t="shared" ref="B353:H353" si="64">B128</f>
        <v>-</v>
      </c>
      <c r="C353" s="52" t="str">
        <f t="shared" si="64"/>
        <v>-</v>
      </c>
      <c r="D353" s="52" t="str">
        <f t="shared" si="64"/>
        <v>-</v>
      </c>
      <c r="E353" s="52">
        <f t="shared" si="64"/>
        <v>960</v>
      </c>
      <c r="F353" s="52">
        <f t="shared" si="64"/>
        <v>973</v>
      </c>
      <c r="G353" s="52">
        <f t="shared" si="64"/>
        <v>288</v>
      </c>
      <c r="H353" s="196" t="str">
        <f t="shared" si="64"/>
        <v>-</v>
      </c>
      <c r="I353" s="199">
        <f t="shared" si="58"/>
        <v>2221</v>
      </c>
      <c r="J353" s="238"/>
    </row>
    <row r="354" spans="1:10" s="374" customFormat="1" ht="11.25" customHeight="1" x14ac:dyDescent="0.2">
      <c r="A354" s="122">
        <v>2013</v>
      </c>
      <c r="B354" s="52" t="str">
        <f t="shared" ref="B354:H354" si="65">B129</f>
        <v>-</v>
      </c>
      <c r="C354" s="52">
        <f t="shared" si="65"/>
        <v>277</v>
      </c>
      <c r="D354" s="52">
        <f t="shared" si="65"/>
        <v>1032</v>
      </c>
      <c r="E354" s="52">
        <f t="shared" si="65"/>
        <v>2221</v>
      </c>
      <c r="F354" s="52">
        <f t="shared" si="65"/>
        <v>1251</v>
      </c>
      <c r="G354" s="52">
        <f t="shared" si="65"/>
        <v>560</v>
      </c>
      <c r="H354" s="196" t="str">
        <f t="shared" si="65"/>
        <v>-</v>
      </c>
      <c r="I354" s="199">
        <f t="shared" si="58"/>
        <v>5341</v>
      </c>
      <c r="J354" s="238"/>
    </row>
    <row r="355" spans="1:10" ht="11.25" customHeight="1" x14ac:dyDescent="0.2">
      <c r="A355" s="123">
        <v>2014</v>
      </c>
      <c r="B355" s="52" t="str">
        <f t="shared" ref="B355:H355" si="66">B130</f>
        <v>-</v>
      </c>
      <c r="C355" s="52" t="str">
        <f t="shared" si="66"/>
        <v>-</v>
      </c>
      <c r="D355" s="52">
        <f t="shared" si="66"/>
        <v>1129</v>
      </c>
      <c r="E355" s="52">
        <f t="shared" si="66"/>
        <v>2208</v>
      </c>
      <c r="F355" s="52">
        <f t="shared" si="66"/>
        <v>825</v>
      </c>
      <c r="G355" s="52">
        <f t="shared" si="66"/>
        <v>99</v>
      </c>
      <c r="H355" s="196" t="str">
        <f t="shared" si="66"/>
        <v>-</v>
      </c>
      <c r="I355" s="199">
        <f t="shared" si="58"/>
        <v>4261</v>
      </c>
      <c r="J355" s="292"/>
    </row>
    <row r="356" spans="1:10" s="374" customFormat="1" ht="11.25" customHeight="1" x14ac:dyDescent="0.2">
      <c r="A356" s="122">
        <v>2015</v>
      </c>
      <c r="B356" s="52" t="str">
        <f t="shared" ref="B356:H356" si="67">B131</f>
        <v>-</v>
      </c>
      <c r="C356" s="52">
        <f t="shared" si="67"/>
        <v>2376</v>
      </c>
      <c r="D356" s="52">
        <f t="shared" si="67"/>
        <v>987</v>
      </c>
      <c r="E356" s="52">
        <f t="shared" si="67"/>
        <v>768</v>
      </c>
      <c r="F356" s="52">
        <f t="shared" si="67"/>
        <v>623</v>
      </c>
      <c r="G356" s="52">
        <f t="shared" si="67"/>
        <v>217</v>
      </c>
      <c r="H356" s="196" t="str">
        <f t="shared" si="67"/>
        <v>-</v>
      </c>
      <c r="I356" s="199">
        <f t="shared" si="58"/>
        <v>4971</v>
      </c>
      <c r="J356" s="238"/>
    </row>
    <row r="357" spans="1:10" s="374" customFormat="1" ht="11.25" customHeight="1" x14ac:dyDescent="0.2">
      <c r="A357" s="122">
        <v>2016</v>
      </c>
      <c r="B357" s="52" t="str">
        <f t="shared" ref="B357:H357" si="68">B132</f>
        <v>-</v>
      </c>
      <c r="C357" s="52" t="str">
        <f t="shared" si="68"/>
        <v>-</v>
      </c>
      <c r="D357" s="52">
        <f t="shared" si="68"/>
        <v>663</v>
      </c>
      <c r="E357" s="52" t="str">
        <f t="shared" si="68"/>
        <v>-</v>
      </c>
      <c r="F357" s="52">
        <f t="shared" si="68"/>
        <v>618</v>
      </c>
      <c r="G357" s="52">
        <f t="shared" si="68"/>
        <v>205</v>
      </c>
      <c r="H357" s="196" t="str">
        <f t="shared" si="68"/>
        <v>-</v>
      </c>
      <c r="I357" s="199">
        <f t="shared" si="58"/>
        <v>1486</v>
      </c>
      <c r="J357" s="238"/>
    </row>
    <row r="358" spans="1:10" s="374" customFormat="1" ht="11.25" customHeight="1" x14ac:dyDescent="0.2">
      <c r="A358" s="122">
        <v>2017</v>
      </c>
      <c r="B358" s="52" t="str">
        <f t="shared" ref="B358:H358" si="69">B133</f>
        <v>-</v>
      </c>
      <c r="C358" s="52" t="str">
        <f t="shared" si="69"/>
        <v>-</v>
      </c>
      <c r="D358" s="52" t="str">
        <f t="shared" si="69"/>
        <v>-</v>
      </c>
      <c r="E358" s="52" t="str">
        <f t="shared" si="69"/>
        <v>-</v>
      </c>
      <c r="F358" s="52" t="str">
        <f t="shared" si="69"/>
        <v>-</v>
      </c>
      <c r="G358" s="52">
        <f t="shared" si="69"/>
        <v>267</v>
      </c>
      <c r="H358" s="196" t="str">
        <f t="shared" si="69"/>
        <v>-</v>
      </c>
      <c r="I358" s="199">
        <f t="shared" si="58"/>
        <v>267</v>
      </c>
      <c r="J358" s="238"/>
    </row>
    <row r="359" spans="1:10" s="374" customFormat="1" ht="11.25" customHeight="1" x14ac:dyDescent="0.2">
      <c r="A359" s="122">
        <v>2018</v>
      </c>
      <c r="B359" s="52" t="str">
        <f t="shared" ref="B359:H359" si="70">B134</f>
        <v>-</v>
      </c>
      <c r="C359" s="52" t="str">
        <f t="shared" si="70"/>
        <v>-</v>
      </c>
      <c r="D359" s="52" t="str">
        <f t="shared" si="70"/>
        <v>-</v>
      </c>
      <c r="E359" s="52">
        <f t="shared" si="70"/>
        <v>304</v>
      </c>
      <c r="F359" s="52">
        <f t="shared" si="70"/>
        <v>453</v>
      </c>
      <c r="G359" s="52">
        <f t="shared" si="70"/>
        <v>62</v>
      </c>
      <c r="H359" s="196" t="str">
        <f t="shared" si="70"/>
        <v>-</v>
      </c>
      <c r="I359" s="199">
        <f t="shared" si="58"/>
        <v>819</v>
      </c>
      <c r="J359" s="238"/>
    </row>
    <row r="360" spans="1:10" s="487" customFormat="1" ht="11.25" customHeight="1" x14ac:dyDescent="0.2">
      <c r="A360" s="497" t="s">
        <v>336</v>
      </c>
      <c r="B360" s="52" t="str">
        <f t="shared" ref="B360:H361" si="71">B135</f>
        <v>-</v>
      </c>
      <c r="C360" s="52" t="str">
        <f t="shared" si="71"/>
        <v>-</v>
      </c>
      <c r="D360" s="52">
        <f t="shared" si="71"/>
        <v>309</v>
      </c>
      <c r="E360" s="52">
        <f t="shared" si="71"/>
        <v>319</v>
      </c>
      <c r="F360" s="52">
        <f t="shared" si="71"/>
        <v>413</v>
      </c>
      <c r="G360" s="52" t="str">
        <f t="shared" si="71"/>
        <v>-</v>
      </c>
      <c r="H360" s="196" t="str">
        <f t="shared" si="71"/>
        <v>-</v>
      </c>
      <c r="I360" s="199">
        <f t="shared" si="58"/>
        <v>1041</v>
      </c>
      <c r="J360" s="238"/>
    </row>
    <row r="361" spans="1:10" ht="11.25" customHeight="1" x14ac:dyDescent="0.2">
      <c r="A361" s="497" t="s">
        <v>391</v>
      </c>
      <c r="B361" s="52" t="str">
        <f t="shared" si="71"/>
        <v>-</v>
      </c>
      <c r="C361" s="52" t="str">
        <f t="shared" si="71"/>
        <v>-</v>
      </c>
      <c r="D361" s="52" t="str">
        <f t="shared" si="71"/>
        <v>-</v>
      </c>
      <c r="E361" s="52" t="str">
        <f t="shared" si="71"/>
        <v>-</v>
      </c>
      <c r="F361" s="52">
        <f t="shared" si="71"/>
        <v>126</v>
      </c>
      <c r="G361" s="52">
        <f t="shared" si="71"/>
        <v>90</v>
      </c>
      <c r="H361" s="196" t="str">
        <f t="shared" si="71"/>
        <v>-</v>
      </c>
      <c r="I361" s="199">
        <f t="shared" si="58"/>
        <v>216</v>
      </c>
      <c r="J361" s="292"/>
    </row>
    <row r="362" spans="1:10" ht="6.75" customHeight="1" x14ac:dyDescent="0.2">
      <c r="A362" s="123"/>
      <c r="B362" s="31"/>
      <c r="C362" s="31"/>
      <c r="D362" s="31"/>
      <c r="E362" s="31"/>
      <c r="F362" s="31"/>
      <c r="G362" s="31"/>
      <c r="H362" s="195"/>
      <c r="I362" s="198"/>
      <c r="J362" s="292"/>
    </row>
    <row r="363" spans="1:10" ht="11.25" customHeight="1" x14ac:dyDescent="0.2">
      <c r="A363" s="517" t="s">
        <v>225</v>
      </c>
      <c r="B363" s="517"/>
      <c r="C363" s="517"/>
      <c r="D363" s="517"/>
      <c r="E363" s="517"/>
      <c r="F363" s="517"/>
      <c r="G363" s="517"/>
      <c r="H363" s="517"/>
      <c r="I363" s="517"/>
      <c r="J363" s="517"/>
    </row>
    <row r="364" spans="1:10" ht="11.25" customHeight="1" x14ac:dyDescent="0.2">
      <c r="A364" s="271" t="s">
        <v>33</v>
      </c>
      <c r="B364" s="436" t="s">
        <v>34</v>
      </c>
      <c r="C364" s="436" t="s">
        <v>35</v>
      </c>
      <c r="D364" s="436" t="s">
        <v>36</v>
      </c>
      <c r="E364" s="436" t="s">
        <v>37</v>
      </c>
      <c r="F364" s="436" t="s">
        <v>38</v>
      </c>
      <c r="G364" s="436" t="s">
        <v>39</v>
      </c>
      <c r="H364" s="437" t="s">
        <v>40</v>
      </c>
      <c r="I364" s="438" t="s">
        <v>28</v>
      </c>
      <c r="J364" s="429"/>
    </row>
    <row r="365" spans="1:10" ht="11.25" customHeight="1" x14ac:dyDescent="0.2">
      <c r="A365" s="435" t="str">
        <f>A138</f>
        <v>San Francisco</v>
      </c>
      <c r="B365" s="31"/>
      <c r="C365" s="31"/>
      <c r="D365" s="31"/>
      <c r="E365" s="31"/>
      <c r="F365" s="31"/>
      <c r="G365" s="31"/>
      <c r="H365" s="195"/>
      <c r="I365" s="198"/>
      <c r="J365" s="292"/>
    </row>
    <row r="366" spans="1:10" ht="11.25" customHeight="1" x14ac:dyDescent="0.2">
      <c r="A366" s="123" t="s">
        <v>87</v>
      </c>
      <c r="B366" s="52" t="s">
        <v>29</v>
      </c>
      <c r="C366" s="31">
        <f>AVERAGE(C147:C151)</f>
        <v>6506.4</v>
      </c>
      <c r="D366" s="31">
        <f>AVERAGE(D147:D151)</f>
        <v>7110.6</v>
      </c>
      <c r="E366" s="31">
        <f>AVERAGE(E147:E151)</f>
        <v>5947.8</v>
      </c>
      <c r="F366" s="31">
        <f>AVERAGE(F147:F151)</f>
        <v>4125.3999999999996</v>
      </c>
      <c r="G366" s="31">
        <f>AVERAGE(G147:G151)</f>
        <v>1864.4</v>
      </c>
      <c r="H366" s="196" t="s">
        <v>29</v>
      </c>
      <c r="I366" s="199">
        <f>IF(SUM(I147:I151)&gt;0,AVERAGE(I147:I151),"-")</f>
        <v>25554.6</v>
      </c>
      <c r="J366" s="292"/>
    </row>
    <row r="367" spans="1:10" ht="11.25" customHeight="1" x14ac:dyDescent="0.2">
      <c r="A367" s="123" t="s">
        <v>14</v>
      </c>
      <c r="B367" s="52" t="s">
        <v>29</v>
      </c>
      <c r="C367" s="31">
        <f>AVERAGE(C152:C156)</f>
        <v>3480</v>
      </c>
      <c r="D367" s="31">
        <f>AVERAGE(D152:D156)</f>
        <v>2540</v>
      </c>
      <c r="E367" s="31">
        <f>AVERAGE(E152:E156)</f>
        <v>2700</v>
      </c>
      <c r="F367" s="31">
        <f>AVERAGE(F152:F156)</f>
        <v>2840</v>
      </c>
      <c r="G367" s="31">
        <f>AVERAGE(G152:G156)</f>
        <v>1780</v>
      </c>
      <c r="H367" s="196" t="s">
        <v>29</v>
      </c>
      <c r="I367" s="199">
        <f>IF(SUM(I152:I156)&gt;0,AVERAGE(I152:I156),"-")</f>
        <v>13340</v>
      </c>
      <c r="J367" s="292"/>
    </row>
    <row r="368" spans="1:10" ht="11.25" customHeight="1" x14ac:dyDescent="0.2">
      <c r="A368" s="123" t="s">
        <v>207</v>
      </c>
      <c r="B368" s="31">
        <f t="shared" ref="B368:G368" si="72">AVERAGE(B157:B161)</f>
        <v>100</v>
      </c>
      <c r="C368" s="31">
        <f t="shared" si="72"/>
        <v>1524.6</v>
      </c>
      <c r="D368" s="31">
        <f t="shared" si="72"/>
        <v>1731.8</v>
      </c>
      <c r="E368" s="31">
        <f t="shared" si="72"/>
        <v>2729.8</v>
      </c>
      <c r="F368" s="31">
        <f t="shared" si="72"/>
        <v>1915.8</v>
      </c>
      <c r="G368" s="31">
        <f t="shared" si="72"/>
        <v>1624.2</v>
      </c>
      <c r="H368" s="196" t="s">
        <v>29</v>
      </c>
      <c r="I368" s="199">
        <f>IF(SUM(I157:I161)&gt;0,AVERAGE(I157:I161),"-")</f>
        <v>9546.2000000000007</v>
      </c>
      <c r="J368" s="292"/>
    </row>
    <row r="369" spans="1:10" ht="11.25" customHeight="1" x14ac:dyDescent="0.2">
      <c r="A369" s="123" t="s">
        <v>238</v>
      </c>
      <c r="B369" s="31" t="str">
        <f>B162</f>
        <v>-</v>
      </c>
      <c r="C369" s="31">
        <f t="shared" ref="C369:I369" si="73">AVERAGE(C162:C166)</f>
        <v>2106</v>
      </c>
      <c r="D369" s="31">
        <f t="shared" si="73"/>
        <v>1893.5</v>
      </c>
      <c r="E369" s="31">
        <f t="shared" si="73"/>
        <v>2643.2</v>
      </c>
      <c r="F369" s="31">
        <f t="shared" si="73"/>
        <v>1492.8</v>
      </c>
      <c r="G369" s="31">
        <f t="shared" si="73"/>
        <v>1249.4000000000001</v>
      </c>
      <c r="H369" s="195">
        <f t="shared" si="73"/>
        <v>293.39999999999998</v>
      </c>
      <c r="I369" s="199">
        <f t="shared" si="73"/>
        <v>8878.4</v>
      </c>
      <c r="J369" s="292"/>
    </row>
    <row r="370" spans="1:10" ht="11.25" customHeight="1" x14ac:dyDescent="0.2">
      <c r="A370" s="123">
        <v>2006</v>
      </c>
      <c r="B370" s="31" t="str">
        <f t="shared" ref="B370:H370" si="74">B167</f>
        <v>-</v>
      </c>
      <c r="C370" s="31" t="str">
        <f t="shared" si="74"/>
        <v>-</v>
      </c>
      <c r="D370" s="31" t="str">
        <f t="shared" si="74"/>
        <v>-</v>
      </c>
      <c r="E370" s="31">
        <f t="shared" si="74"/>
        <v>616</v>
      </c>
      <c r="F370" s="31">
        <f t="shared" si="74"/>
        <v>2549</v>
      </c>
      <c r="G370" s="31">
        <f t="shared" si="74"/>
        <v>1949</v>
      </c>
      <c r="H370" s="195">
        <f t="shared" si="74"/>
        <v>374</v>
      </c>
      <c r="I370" s="198">
        <f t="shared" ref="I370:I384" si="75">I167</f>
        <v>5488</v>
      </c>
      <c r="J370" s="292"/>
    </row>
    <row r="371" spans="1:10" ht="11.25" customHeight="1" x14ac:dyDescent="0.2">
      <c r="A371" s="123">
        <v>2007</v>
      </c>
      <c r="B371" s="31" t="str">
        <f t="shared" ref="B371:H371" si="76">B168</f>
        <v>-</v>
      </c>
      <c r="C371" s="31">
        <f t="shared" si="76"/>
        <v>1656</v>
      </c>
      <c r="D371" s="31" t="str">
        <f t="shared" si="76"/>
        <v>-</v>
      </c>
      <c r="E371" s="31">
        <f t="shared" si="76"/>
        <v>2954</v>
      </c>
      <c r="F371" s="31">
        <f t="shared" si="76"/>
        <v>1152</v>
      </c>
      <c r="G371" s="31">
        <f t="shared" si="76"/>
        <v>806</v>
      </c>
      <c r="H371" s="195">
        <f t="shared" si="76"/>
        <v>168</v>
      </c>
      <c r="I371" s="198">
        <f t="shared" si="75"/>
        <v>6736</v>
      </c>
      <c r="J371" s="292"/>
    </row>
    <row r="372" spans="1:10" s="374" customFormat="1" ht="11.25" customHeight="1" x14ac:dyDescent="0.2">
      <c r="A372" s="122">
        <v>2008</v>
      </c>
      <c r="B372" s="52" t="str">
        <f t="shared" ref="B372:H372" si="77">B169</f>
        <v>-</v>
      </c>
      <c r="C372" s="52" t="str">
        <f t="shared" si="77"/>
        <v>-</v>
      </c>
      <c r="D372" s="52" t="str">
        <f t="shared" si="77"/>
        <v>-</v>
      </c>
      <c r="E372" s="52" t="str">
        <f t="shared" si="77"/>
        <v>-</v>
      </c>
      <c r="F372" s="52" t="str">
        <f t="shared" si="77"/>
        <v>-</v>
      </c>
      <c r="G372" s="52" t="str">
        <f t="shared" si="77"/>
        <v>-</v>
      </c>
      <c r="H372" s="196" t="str">
        <f t="shared" si="77"/>
        <v>-</v>
      </c>
      <c r="I372" s="199" t="str">
        <f t="shared" si="75"/>
        <v>-</v>
      </c>
      <c r="J372" s="238"/>
    </row>
    <row r="373" spans="1:10" s="374" customFormat="1" ht="11.25" customHeight="1" x14ac:dyDescent="0.2">
      <c r="A373" s="122">
        <v>2009</v>
      </c>
      <c r="B373" s="52" t="str">
        <f t="shared" ref="B373:H373" si="78">B170</f>
        <v>-</v>
      </c>
      <c r="C373" s="52" t="str">
        <f t="shared" si="78"/>
        <v>-</v>
      </c>
      <c r="D373" s="52" t="str">
        <f t="shared" si="78"/>
        <v>-</v>
      </c>
      <c r="E373" s="52" t="str">
        <f t="shared" si="78"/>
        <v>-</v>
      </c>
      <c r="F373" s="52" t="str">
        <f t="shared" si="78"/>
        <v>-</v>
      </c>
      <c r="G373" s="52" t="str">
        <f t="shared" si="78"/>
        <v>-</v>
      </c>
      <c r="H373" s="196" t="str">
        <f t="shared" si="78"/>
        <v>-</v>
      </c>
      <c r="I373" s="199" t="str">
        <f t="shared" si="75"/>
        <v>-</v>
      </c>
      <c r="J373" s="238"/>
    </row>
    <row r="374" spans="1:10" s="374" customFormat="1" ht="11.25" customHeight="1" x14ac:dyDescent="0.2">
      <c r="A374" s="122">
        <v>2010</v>
      </c>
      <c r="B374" s="52" t="str">
        <f t="shared" ref="B374:H374" si="79">B171</f>
        <v>-</v>
      </c>
      <c r="C374" s="52" t="str">
        <f t="shared" si="79"/>
        <v>-</v>
      </c>
      <c r="D374" s="52" t="str">
        <f t="shared" si="79"/>
        <v>-</v>
      </c>
      <c r="E374" s="52">
        <f t="shared" si="79"/>
        <v>244</v>
      </c>
      <c r="F374" s="52" t="str">
        <f t="shared" si="79"/>
        <v>-</v>
      </c>
      <c r="G374" s="52" t="str">
        <f t="shared" si="79"/>
        <v>-</v>
      </c>
      <c r="H374" s="196" t="str">
        <f t="shared" si="79"/>
        <v>-</v>
      </c>
      <c r="I374" s="199">
        <f t="shared" si="75"/>
        <v>244</v>
      </c>
      <c r="J374" s="238"/>
    </row>
    <row r="375" spans="1:10" s="374" customFormat="1" ht="11.25" customHeight="1" x14ac:dyDescent="0.2">
      <c r="A375" s="122">
        <v>2011</v>
      </c>
      <c r="B375" s="52" t="str">
        <f t="shared" ref="B375:H375" si="80">B172</f>
        <v>-</v>
      </c>
      <c r="C375" s="52">
        <f t="shared" si="80"/>
        <v>900</v>
      </c>
      <c r="D375" s="52">
        <f t="shared" si="80"/>
        <v>164</v>
      </c>
      <c r="E375" s="52">
        <f t="shared" si="80"/>
        <v>873</v>
      </c>
      <c r="F375" s="52">
        <f t="shared" si="80"/>
        <v>394</v>
      </c>
      <c r="G375" s="52">
        <f t="shared" si="80"/>
        <v>459</v>
      </c>
      <c r="H375" s="196">
        <f t="shared" si="80"/>
        <v>117</v>
      </c>
      <c r="I375" s="199">
        <f t="shared" si="75"/>
        <v>2907</v>
      </c>
      <c r="J375" s="238"/>
    </row>
    <row r="376" spans="1:10" s="374" customFormat="1" ht="11.25" customHeight="1" x14ac:dyDescent="0.2">
      <c r="A376" s="122">
        <v>2012</v>
      </c>
      <c r="B376" s="52" t="str">
        <f t="shared" ref="B376:H376" si="81">B173</f>
        <v>-</v>
      </c>
      <c r="C376" s="52">
        <f t="shared" si="81"/>
        <v>1723</v>
      </c>
      <c r="D376" s="52">
        <f t="shared" si="81"/>
        <v>686</v>
      </c>
      <c r="E376" s="52">
        <f t="shared" si="81"/>
        <v>2199</v>
      </c>
      <c r="F376" s="52">
        <f t="shared" si="81"/>
        <v>1422</v>
      </c>
      <c r="G376" s="52">
        <f t="shared" si="81"/>
        <v>1006</v>
      </c>
      <c r="H376" s="196">
        <f t="shared" si="81"/>
        <v>469</v>
      </c>
      <c r="I376" s="199">
        <f t="shared" si="75"/>
        <v>7505</v>
      </c>
      <c r="J376" s="238"/>
    </row>
    <row r="377" spans="1:10" s="374" customFormat="1" ht="11.25" customHeight="1" x14ac:dyDescent="0.2">
      <c r="A377" s="122">
        <v>2013</v>
      </c>
      <c r="B377" s="52" t="str">
        <f t="shared" ref="B377:H377" si="82">B174</f>
        <v>-</v>
      </c>
      <c r="C377" s="52">
        <f t="shared" si="82"/>
        <v>2401</v>
      </c>
      <c r="D377" s="52">
        <f t="shared" si="82"/>
        <v>2062</v>
      </c>
      <c r="E377" s="52">
        <f t="shared" si="82"/>
        <v>1358</v>
      </c>
      <c r="F377" s="52">
        <f t="shared" si="82"/>
        <v>1269</v>
      </c>
      <c r="G377" s="52">
        <f t="shared" si="82"/>
        <v>1014</v>
      </c>
      <c r="H377" s="196">
        <f t="shared" si="82"/>
        <v>223</v>
      </c>
      <c r="I377" s="199">
        <f t="shared" si="75"/>
        <v>8327</v>
      </c>
      <c r="J377" s="238"/>
    </row>
    <row r="378" spans="1:10" ht="11.25" customHeight="1" x14ac:dyDescent="0.2">
      <c r="A378" s="123">
        <v>2014</v>
      </c>
      <c r="B378" s="52" t="str">
        <f t="shared" ref="B378:H378" si="83">B175</f>
        <v>-</v>
      </c>
      <c r="C378" s="52">
        <f t="shared" si="83"/>
        <v>2187</v>
      </c>
      <c r="D378" s="52">
        <f t="shared" si="83"/>
        <v>1200</v>
      </c>
      <c r="E378" s="52">
        <f t="shared" si="83"/>
        <v>761</v>
      </c>
      <c r="F378" s="52">
        <f t="shared" si="83"/>
        <v>2058</v>
      </c>
      <c r="G378" s="52">
        <f t="shared" si="83"/>
        <v>1660</v>
      </c>
      <c r="H378" s="196">
        <f t="shared" si="83"/>
        <v>575</v>
      </c>
      <c r="I378" s="199">
        <f t="shared" si="75"/>
        <v>8441</v>
      </c>
      <c r="J378" s="292"/>
    </row>
    <row r="379" spans="1:10" s="374" customFormat="1" ht="11.25" customHeight="1" x14ac:dyDescent="0.2">
      <c r="A379" s="122">
        <v>2015</v>
      </c>
      <c r="B379" s="52" t="str">
        <f t="shared" ref="B379:H379" si="84">B176</f>
        <v>-</v>
      </c>
      <c r="C379" s="52">
        <f t="shared" si="84"/>
        <v>839</v>
      </c>
      <c r="D379" s="52">
        <f t="shared" si="84"/>
        <v>745</v>
      </c>
      <c r="E379" s="52">
        <f t="shared" si="84"/>
        <v>639</v>
      </c>
      <c r="F379" s="52">
        <f t="shared" si="84"/>
        <v>1250</v>
      </c>
      <c r="G379" s="52">
        <f t="shared" si="84"/>
        <v>1478</v>
      </c>
      <c r="H379" s="196">
        <f t="shared" si="84"/>
        <v>515</v>
      </c>
      <c r="I379" s="199">
        <f t="shared" si="75"/>
        <v>5466</v>
      </c>
      <c r="J379" s="238"/>
    </row>
    <row r="380" spans="1:10" s="374" customFormat="1" ht="11.25" customHeight="1" x14ac:dyDescent="0.2">
      <c r="A380" s="122">
        <v>2016</v>
      </c>
      <c r="B380" s="52" t="str">
        <f t="shared" ref="B380:H380" si="85">B177</f>
        <v>-</v>
      </c>
      <c r="C380" s="52">
        <f t="shared" si="85"/>
        <v>581</v>
      </c>
      <c r="D380" s="52">
        <f t="shared" si="85"/>
        <v>148</v>
      </c>
      <c r="E380" s="52" t="str">
        <f t="shared" si="85"/>
        <v>-</v>
      </c>
      <c r="F380" s="52">
        <f t="shared" si="85"/>
        <v>1832</v>
      </c>
      <c r="G380" s="52">
        <f t="shared" si="85"/>
        <v>1358</v>
      </c>
      <c r="H380" s="196">
        <f t="shared" si="85"/>
        <v>174</v>
      </c>
      <c r="I380" s="199">
        <f t="shared" si="75"/>
        <v>4093</v>
      </c>
      <c r="J380" s="238"/>
    </row>
    <row r="381" spans="1:10" s="374" customFormat="1" ht="11.25" customHeight="1" x14ac:dyDescent="0.2">
      <c r="A381" s="122">
        <v>2017</v>
      </c>
      <c r="B381" s="52" t="str">
        <f t="shared" ref="B381:H381" si="86">B178</f>
        <v>-</v>
      </c>
      <c r="C381" s="52" t="str">
        <f t="shared" si="86"/>
        <v>-</v>
      </c>
      <c r="D381" s="52" t="str">
        <f t="shared" si="86"/>
        <v>-</v>
      </c>
      <c r="E381" s="52" t="str">
        <f t="shared" si="86"/>
        <v>-</v>
      </c>
      <c r="F381" s="52">
        <f t="shared" si="86"/>
        <v>2610</v>
      </c>
      <c r="G381" s="52">
        <f t="shared" si="86"/>
        <v>1544</v>
      </c>
      <c r="H381" s="196">
        <f t="shared" si="86"/>
        <v>220</v>
      </c>
      <c r="I381" s="199">
        <f t="shared" si="75"/>
        <v>4374</v>
      </c>
      <c r="J381" s="238"/>
    </row>
    <row r="382" spans="1:10" s="374" customFormat="1" ht="11.25" customHeight="1" x14ac:dyDescent="0.2">
      <c r="A382" s="122">
        <v>2018</v>
      </c>
      <c r="B382" s="52" t="str">
        <f t="shared" ref="B382:H382" si="87">B179</f>
        <v>-</v>
      </c>
      <c r="C382" s="52" t="str">
        <f t="shared" si="87"/>
        <v>-</v>
      </c>
      <c r="D382" s="52" t="str">
        <f t="shared" si="87"/>
        <v>-</v>
      </c>
      <c r="E382" s="52">
        <f t="shared" si="87"/>
        <v>519</v>
      </c>
      <c r="F382" s="52">
        <f t="shared" si="87"/>
        <v>2298</v>
      </c>
      <c r="G382" s="52">
        <f t="shared" si="87"/>
        <v>1489</v>
      </c>
      <c r="H382" s="196">
        <f t="shared" si="87"/>
        <v>441</v>
      </c>
      <c r="I382" s="199">
        <f t="shared" si="75"/>
        <v>4747</v>
      </c>
      <c r="J382" s="238"/>
    </row>
    <row r="383" spans="1:10" s="487" customFormat="1" ht="11.25" customHeight="1" x14ac:dyDescent="0.2">
      <c r="A383" s="497" t="s">
        <v>336</v>
      </c>
      <c r="B383" s="52" t="str">
        <f t="shared" ref="B383:H384" si="88">B180</f>
        <v>-</v>
      </c>
      <c r="C383" s="52">
        <f t="shared" si="88"/>
        <v>683</v>
      </c>
      <c r="D383" s="52">
        <f t="shared" si="88"/>
        <v>2040</v>
      </c>
      <c r="E383" s="52">
        <f t="shared" si="88"/>
        <v>1795</v>
      </c>
      <c r="F383" s="52">
        <f t="shared" si="88"/>
        <v>2372</v>
      </c>
      <c r="G383" s="52">
        <f t="shared" si="88"/>
        <v>1100</v>
      </c>
      <c r="H383" s="196">
        <f t="shared" si="88"/>
        <v>251</v>
      </c>
      <c r="I383" s="199">
        <f t="shared" si="75"/>
        <v>8241</v>
      </c>
      <c r="J383" s="238"/>
    </row>
    <row r="384" spans="1:10" ht="11.25" customHeight="1" x14ac:dyDescent="0.2">
      <c r="A384" s="497" t="s">
        <v>391</v>
      </c>
      <c r="B384" s="52" t="str">
        <f t="shared" si="88"/>
        <v>-</v>
      </c>
      <c r="C384" s="52">
        <f t="shared" si="88"/>
        <v>1363</v>
      </c>
      <c r="D384" s="52">
        <f t="shared" si="88"/>
        <v>2513</v>
      </c>
      <c r="E384" s="52">
        <f t="shared" si="88"/>
        <v>2510</v>
      </c>
      <c r="F384" s="52">
        <f t="shared" si="88"/>
        <v>1491</v>
      </c>
      <c r="G384" s="52">
        <f t="shared" si="88"/>
        <v>991</v>
      </c>
      <c r="H384" s="196">
        <f t="shared" si="88"/>
        <v>568</v>
      </c>
      <c r="I384" s="199">
        <f t="shared" si="75"/>
        <v>9436</v>
      </c>
      <c r="J384" s="292"/>
    </row>
    <row r="385" spans="1:10" ht="3" customHeight="1" x14ac:dyDescent="0.2">
      <c r="A385" s="123"/>
      <c r="B385" s="31"/>
      <c r="C385" s="31"/>
      <c r="D385" s="31"/>
      <c r="E385" s="31"/>
      <c r="F385" s="31"/>
      <c r="G385" s="31"/>
      <c r="H385" s="195"/>
      <c r="I385" s="198"/>
      <c r="J385" s="292"/>
    </row>
    <row r="386" spans="1:10" ht="11.25" customHeight="1" x14ac:dyDescent="0.2">
      <c r="A386" s="435" t="str">
        <f>A183</f>
        <v>Monterey</v>
      </c>
      <c r="B386" s="31"/>
      <c r="C386" s="31"/>
      <c r="D386" s="31"/>
      <c r="E386" s="31"/>
      <c r="F386" s="31"/>
      <c r="G386" s="31"/>
      <c r="H386" s="195"/>
      <c r="I386" s="198"/>
      <c r="J386" s="292"/>
    </row>
    <row r="387" spans="1:10" ht="11.25" customHeight="1" x14ac:dyDescent="0.2">
      <c r="A387" s="123" t="s">
        <v>87</v>
      </c>
      <c r="B387" s="52" t="s">
        <v>29</v>
      </c>
      <c r="C387" s="31">
        <f>AVERAGE(C192:C196)</f>
        <v>5235.3999999999996</v>
      </c>
      <c r="D387" s="31">
        <f>AVERAGE(D192:D196)</f>
        <v>4255</v>
      </c>
      <c r="E387" s="31">
        <f>AVERAGE(E192:E196)</f>
        <v>3367.4</v>
      </c>
      <c r="F387" s="31">
        <f>AVERAGE(F192:F196)</f>
        <v>1334.6</v>
      </c>
      <c r="G387" s="31">
        <f>AVERAGE(G192:G196)</f>
        <v>198.4</v>
      </c>
      <c r="H387" s="196" t="s">
        <v>29</v>
      </c>
      <c r="I387" s="199">
        <f>IF(SUM(I192:I196)&gt;0,AVERAGE(I192:I196),"-")</f>
        <v>14390.8</v>
      </c>
      <c r="J387" s="292"/>
    </row>
    <row r="388" spans="1:10" ht="11.25" customHeight="1" x14ac:dyDescent="0.2">
      <c r="A388" s="123" t="s">
        <v>14</v>
      </c>
      <c r="B388" s="52" t="s">
        <v>29</v>
      </c>
      <c r="C388" s="31">
        <f>AVERAGE(C197:C201)</f>
        <v>4360</v>
      </c>
      <c r="D388" s="31">
        <f>AVERAGE(D197:D201)</f>
        <v>3080</v>
      </c>
      <c r="E388" s="31">
        <f>AVERAGE(E197:E201)</f>
        <v>2460</v>
      </c>
      <c r="F388" s="31">
        <f>AVERAGE(F197:F201)</f>
        <v>780</v>
      </c>
      <c r="G388" s="31">
        <f>AVERAGE(G197:G201)</f>
        <v>140</v>
      </c>
      <c r="H388" s="196" t="s">
        <v>29</v>
      </c>
      <c r="I388" s="199">
        <f>IF(SUM(I197:I201)&gt;0,AVERAGE(I197:I201),"-")</f>
        <v>10820</v>
      </c>
      <c r="J388" s="292"/>
    </row>
    <row r="389" spans="1:10" ht="11.25" customHeight="1" x14ac:dyDescent="0.2">
      <c r="A389" s="123" t="s">
        <v>207</v>
      </c>
      <c r="B389" s="31">
        <f t="shared" ref="B389:G389" si="89">AVERAGE(B202:B206)</f>
        <v>312.5</v>
      </c>
      <c r="C389" s="31">
        <f t="shared" si="89"/>
        <v>3117.4</v>
      </c>
      <c r="D389" s="31">
        <f t="shared" si="89"/>
        <v>2440.8000000000002</v>
      </c>
      <c r="E389" s="31">
        <f t="shared" si="89"/>
        <v>1839.8</v>
      </c>
      <c r="F389" s="31">
        <f t="shared" si="89"/>
        <v>177.75</v>
      </c>
      <c r="G389" s="31">
        <f t="shared" si="89"/>
        <v>93.75</v>
      </c>
      <c r="H389" s="196" t="s">
        <v>29</v>
      </c>
      <c r="I389" s="199">
        <f>IF(SUM(I202:I206)&gt;0,AVERAGE(I202:I206),"-")</f>
        <v>7740.2</v>
      </c>
      <c r="J389" s="292"/>
    </row>
    <row r="390" spans="1:10" ht="11.25" customHeight="1" x14ac:dyDescent="0.2">
      <c r="A390" s="123" t="s">
        <v>238</v>
      </c>
      <c r="B390" s="31" t="str">
        <f>B207</f>
        <v>-</v>
      </c>
      <c r="C390" s="31">
        <f>AVERAGE(C207:C211)</f>
        <v>2317.8000000000002</v>
      </c>
      <c r="D390" s="31">
        <f>AVERAGE(D207:D211)</f>
        <v>851.8</v>
      </c>
      <c r="E390" s="31">
        <f>AVERAGE(E207:E211)</f>
        <v>1069.2</v>
      </c>
      <c r="F390" s="31">
        <f>AVERAGE(F207:F211)</f>
        <v>314.8</v>
      </c>
      <c r="G390" s="31">
        <f>AVERAGE(G207:G211)</f>
        <v>120.4</v>
      </c>
      <c r="H390" s="195" t="str">
        <f>H207</f>
        <v>-</v>
      </c>
      <c r="I390" s="199">
        <f>AVERAGE(I207:I211)</f>
        <v>4674</v>
      </c>
      <c r="J390" s="292"/>
    </row>
    <row r="391" spans="1:10" ht="11.25" customHeight="1" x14ac:dyDescent="0.2">
      <c r="A391" s="123">
        <v>2006</v>
      </c>
      <c r="B391" s="31" t="str">
        <f t="shared" ref="B391:H391" si="90">B212</f>
        <v>-</v>
      </c>
      <c r="C391" s="31">
        <f t="shared" si="90"/>
        <v>2062</v>
      </c>
      <c r="D391" s="31">
        <f t="shared" si="90"/>
        <v>103</v>
      </c>
      <c r="E391" s="31">
        <f t="shared" si="90"/>
        <v>34</v>
      </c>
      <c r="F391" s="31">
        <f t="shared" si="90"/>
        <v>44</v>
      </c>
      <c r="G391" s="31">
        <f t="shared" si="90"/>
        <v>94</v>
      </c>
      <c r="H391" s="195" t="str">
        <f t="shared" si="90"/>
        <v>-</v>
      </c>
      <c r="I391" s="198">
        <f t="shared" ref="I391:I405" si="91">I212</f>
        <v>2337</v>
      </c>
      <c r="J391" s="292"/>
    </row>
    <row r="392" spans="1:10" ht="11.25" customHeight="1" x14ac:dyDescent="0.2">
      <c r="A392" s="123">
        <v>2007</v>
      </c>
      <c r="B392" s="31" t="str">
        <f t="shared" ref="B392:H392" si="92">B213</f>
        <v>-</v>
      </c>
      <c r="C392" s="31">
        <f t="shared" si="92"/>
        <v>1476</v>
      </c>
      <c r="D392" s="31">
        <f t="shared" si="92"/>
        <v>29</v>
      </c>
      <c r="E392" s="31">
        <f t="shared" si="92"/>
        <v>334</v>
      </c>
      <c r="F392" s="31">
        <f t="shared" si="92"/>
        <v>255</v>
      </c>
      <c r="G392" s="31">
        <f t="shared" si="92"/>
        <v>84</v>
      </c>
      <c r="H392" s="195" t="str">
        <f t="shared" si="92"/>
        <v>-</v>
      </c>
      <c r="I392" s="198">
        <f t="shared" si="91"/>
        <v>2178</v>
      </c>
      <c r="J392" s="292"/>
    </row>
    <row r="393" spans="1:10" s="374" customFormat="1" ht="11.25" customHeight="1" x14ac:dyDescent="0.2">
      <c r="A393" s="122">
        <v>2008</v>
      </c>
      <c r="B393" s="52" t="str">
        <f t="shared" ref="B393:H393" si="93">B214</f>
        <v>-</v>
      </c>
      <c r="C393" s="52" t="str">
        <f t="shared" si="93"/>
        <v>-</v>
      </c>
      <c r="D393" s="52" t="str">
        <f t="shared" si="93"/>
        <v>-</v>
      </c>
      <c r="E393" s="52" t="str">
        <f t="shared" si="93"/>
        <v>-</v>
      </c>
      <c r="F393" s="52" t="str">
        <f t="shared" si="93"/>
        <v>-</v>
      </c>
      <c r="G393" s="52" t="str">
        <f t="shared" si="93"/>
        <v>-</v>
      </c>
      <c r="H393" s="196" t="str">
        <f t="shared" si="93"/>
        <v>-</v>
      </c>
      <c r="I393" s="199" t="str">
        <f t="shared" si="91"/>
        <v>-</v>
      </c>
      <c r="J393" s="238"/>
    </row>
    <row r="394" spans="1:10" s="374" customFormat="1" ht="11.25" customHeight="1" x14ac:dyDescent="0.2">
      <c r="A394" s="122">
        <v>2009</v>
      </c>
      <c r="B394" s="52" t="str">
        <f t="shared" ref="B394:H394" si="94">B215</f>
        <v>-</v>
      </c>
      <c r="C394" s="52" t="str">
        <f t="shared" si="94"/>
        <v>-</v>
      </c>
      <c r="D394" s="52" t="str">
        <f t="shared" si="94"/>
        <v>-</v>
      </c>
      <c r="E394" s="52" t="str">
        <f t="shared" si="94"/>
        <v>-</v>
      </c>
      <c r="F394" s="52" t="str">
        <f t="shared" si="94"/>
        <v>-</v>
      </c>
      <c r="G394" s="52" t="str">
        <f t="shared" si="94"/>
        <v>-</v>
      </c>
      <c r="H394" s="196" t="str">
        <f t="shared" si="94"/>
        <v>-</v>
      </c>
      <c r="I394" s="199" t="str">
        <f t="shared" si="91"/>
        <v>-</v>
      </c>
      <c r="J394" s="238"/>
    </row>
    <row r="395" spans="1:10" s="374" customFormat="1" ht="11.25" customHeight="1" x14ac:dyDescent="0.2">
      <c r="A395" s="122">
        <v>2010</v>
      </c>
      <c r="B395" s="52" t="str">
        <f t="shared" ref="B395:H395" si="95">B216</f>
        <v>-</v>
      </c>
      <c r="C395" s="52" t="str">
        <f t="shared" si="95"/>
        <v>-</v>
      </c>
      <c r="D395" s="52" t="str">
        <f t="shared" si="95"/>
        <v>-</v>
      </c>
      <c r="E395" s="52">
        <f t="shared" si="95"/>
        <v>245</v>
      </c>
      <c r="F395" s="52" t="str">
        <f t="shared" si="95"/>
        <v>-</v>
      </c>
      <c r="G395" s="52" t="str">
        <f t="shared" si="95"/>
        <v>-</v>
      </c>
      <c r="H395" s="196" t="str">
        <f t="shared" si="95"/>
        <v>-</v>
      </c>
      <c r="I395" s="199">
        <f t="shared" si="91"/>
        <v>245</v>
      </c>
      <c r="J395" s="238"/>
    </row>
    <row r="396" spans="1:10" s="374" customFormat="1" ht="11.25" customHeight="1" x14ac:dyDescent="0.2">
      <c r="A396" s="122">
        <v>2011</v>
      </c>
      <c r="B396" s="52" t="str">
        <f t="shared" ref="B396:H396" si="96">B217</f>
        <v>-</v>
      </c>
      <c r="C396" s="52">
        <f t="shared" si="96"/>
        <v>979</v>
      </c>
      <c r="D396" s="52">
        <f t="shared" si="96"/>
        <v>340</v>
      </c>
      <c r="E396" s="52">
        <f t="shared" si="96"/>
        <v>268</v>
      </c>
      <c r="F396" s="52">
        <f t="shared" si="96"/>
        <v>117</v>
      </c>
      <c r="G396" s="52">
        <f t="shared" si="96"/>
        <v>18</v>
      </c>
      <c r="H396" s="196" t="str">
        <f t="shared" si="96"/>
        <v>-</v>
      </c>
      <c r="I396" s="199">
        <f t="shared" si="91"/>
        <v>1722</v>
      </c>
      <c r="J396" s="238"/>
    </row>
    <row r="397" spans="1:10" s="374" customFormat="1" ht="11.25" customHeight="1" x14ac:dyDescent="0.2">
      <c r="A397" s="122">
        <v>2012</v>
      </c>
      <c r="B397" s="52" t="str">
        <f t="shared" ref="B397:H397" si="97">B218</f>
        <v>-</v>
      </c>
      <c r="C397" s="52">
        <f t="shared" si="97"/>
        <v>2015</v>
      </c>
      <c r="D397" s="52">
        <f t="shared" si="97"/>
        <v>907</v>
      </c>
      <c r="E397" s="52">
        <f t="shared" si="97"/>
        <v>1247</v>
      </c>
      <c r="F397" s="52">
        <f t="shared" si="97"/>
        <v>255</v>
      </c>
      <c r="G397" s="52">
        <f t="shared" si="97"/>
        <v>67</v>
      </c>
      <c r="H397" s="196" t="str">
        <f t="shared" si="97"/>
        <v>-</v>
      </c>
      <c r="I397" s="199">
        <f t="shared" si="91"/>
        <v>4491</v>
      </c>
      <c r="J397" s="238"/>
    </row>
    <row r="398" spans="1:10" s="374" customFormat="1" ht="11.25" customHeight="1" x14ac:dyDescent="0.2">
      <c r="A398" s="122">
        <v>2013</v>
      </c>
      <c r="B398" s="52" t="str">
        <f t="shared" ref="B398:H398" si="98">B219</f>
        <v>-</v>
      </c>
      <c r="C398" s="52">
        <f t="shared" si="98"/>
        <v>1590</v>
      </c>
      <c r="D398" s="52">
        <f t="shared" si="98"/>
        <v>810</v>
      </c>
      <c r="E398" s="52">
        <f t="shared" si="98"/>
        <v>400</v>
      </c>
      <c r="F398" s="52">
        <f t="shared" si="98"/>
        <v>118</v>
      </c>
      <c r="G398" s="52">
        <f t="shared" si="98"/>
        <v>46</v>
      </c>
      <c r="H398" s="196" t="str">
        <f t="shared" si="98"/>
        <v>-</v>
      </c>
      <c r="I398" s="199">
        <f t="shared" si="91"/>
        <v>2964</v>
      </c>
      <c r="J398" s="238"/>
    </row>
    <row r="399" spans="1:10" ht="11.25" customHeight="1" x14ac:dyDescent="0.2">
      <c r="A399" s="123">
        <v>2014</v>
      </c>
      <c r="B399" s="52" t="str">
        <f t="shared" ref="B399:H399" si="99">B220</f>
        <v>-</v>
      </c>
      <c r="C399" s="52">
        <f t="shared" si="99"/>
        <v>824</v>
      </c>
      <c r="D399" s="52">
        <f t="shared" si="99"/>
        <v>353</v>
      </c>
      <c r="E399" s="52">
        <f t="shared" si="99"/>
        <v>312</v>
      </c>
      <c r="F399" s="52">
        <f t="shared" si="99"/>
        <v>104</v>
      </c>
      <c r="G399" s="52" t="str">
        <f t="shared" si="99"/>
        <v>-</v>
      </c>
      <c r="H399" s="196" t="str">
        <f t="shared" si="99"/>
        <v>-</v>
      </c>
      <c r="I399" s="199">
        <f t="shared" si="91"/>
        <v>1593</v>
      </c>
      <c r="J399" s="292"/>
    </row>
    <row r="400" spans="1:10" s="374" customFormat="1" ht="12.75" customHeight="1" x14ac:dyDescent="0.2">
      <c r="A400" s="122">
        <v>2015</v>
      </c>
      <c r="B400" s="52" t="str">
        <f t="shared" ref="B400:H400" si="100">B221</f>
        <v>-</v>
      </c>
      <c r="C400" s="52">
        <f t="shared" si="100"/>
        <v>1219</v>
      </c>
      <c r="D400" s="52">
        <f t="shared" si="100"/>
        <v>660</v>
      </c>
      <c r="E400" s="52">
        <f t="shared" si="100"/>
        <v>536</v>
      </c>
      <c r="F400" s="52">
        <f t="shared" si="100"/>
        <v>127</v>
      </c>
      <c r="G400" s="52" t="str">
        <f t="shared" si="100"/>
        <v>-</v>
      </c>
      <c r="H400" s="196" t="str">
        <f t="shared" si="100"/>
        <v>-</v>
      </c>
      <c r="I400" s="199">
        <f t="shared" si="91"/>
        <v>2542</v>
      </c>
      <c r="J400" s="238"/>
    </row>
    <row r="401" spans="1:10" s="374" customFormat="1" ht="11.25" customHeight="1" x14ac:dyDescent="0.2">
      <c r="A401" s="122">
        <v>2016</v>
      </c>
      <c r="B401" s="52" t="str">
        <f t="shared" ref="B401:H401" si="101">B222</f>
        <v>-</v>
      </c>
      <c r="C401" s="52">
        <f t="shared" si="101"/>
        <v>1081</v>
      </c>
      <c r="D401" s="52">
        <f t="shared" si="101"/>
        <v>479</v>
      </c>
      <c r="E401" s="52" t="str">
        <f t="shared" si="101"/>
        <v>-</v>
      </c>
      <c r="F401" s="52" t="str">
        <f t="shared" si="101"/>
        <v>-</v>
      </c>
      <c r="G401" s="52" t="str">
        <f t="shared" si="101"/>
        <v>-</v>
      </c>
      <c r="H401" s="196" t="str">
        <f t="shared" si="101"/>
        <v>-</v>
      </c>
      <c r="I401" s="199">
        <f t="shared" si="91"/>
        <v>1560</v>
      </c>
      <c r="J401" s="238"/>
    </row>
    <row r="402" spans="1:10" s="374" customFormat="1" ht="11.25" customHeight="1" x14ac:dyDescent="0.2">
      <c r="A402" s="122">
        <v>2017</v>
      </c>
      <c r="B402" s="52" t="str">
        <f t="shared" ref="B402:H402" si="102">B223</f>
        <v>-</v>
      </c>
      <c r="C402" s="52">
        <f t="shared" si="102"/>
        <v>874</v>
      </c>
      <c r="D402" s="52">
        <f t="shared" si="102"/>
        <v>1210</v>
      </c>
      <c r="E402" s="52" t="str">
        <f t="shared" si="102"/>
        <v>-</v>
      </c>
      <c r="F402" s="52" t="str">
        <f t="shared" si="102"/>
        <v>-</v>
      </c>
      <c r="G402" s="52" t="str">
        <f t="shared" si="102"/>
        <v>-</v>
      </c>
      <c r="H402" s="196" t="str">
        <f t="shared" si="102"/>
        <v>-</v>
      </c>
      <c r="I402" s="199">
        <f t="shared" si="91"/>
        <v>2084</v>
      </c>
      <c r="J402" s="238"/>
    </row>
    <row r="403" spans="1:10" s="374" customFormat="1" ht="11.25" customHeight="1" x14ac:dyDescent="0.2">
      <c r="A403" s="122">
        <v>2018</v>
      </c>
      <c r="B403" s="52" t="str">
        <f t="shared" ref="B403:H403" si="103">B224</f>
        <v>-</v>
      </c>
      <c r="C403" s="52">
        <f t="shared" si="103"/>
        <v>473</v>
      </c>
      <c r="D403" s="52">
        <f t="shared" si="103"/>
        <v>839</v>
      </c>
      <c r="E403" s="52" t="str">
        <f t="shared" si="103"/>
        <v>-</v>
      </c>
      <c r="F403" s="52" t="str">
        <f t="shared" si="103"/>
        <v>-</v>
      </c>
      <c r="G403" s="52" t="str">
        <f t="shared" si="103"/>
        <v>-</v>
      </c>
      <c r="H403" s="196" t="str">
        <f t="shared" si="103"/>
        <v>-</v>
      </c>
      <c r="I403" s="199">
        <f t="shared" si="91"/>
        <v>1312</v>
      </c>
      <c r="J403" s="238"/>
    </row>
    <row r="404" spans="1:10" s="487" customFormat="1" ht="11.25" customHeight="1" x14ac:dyDescent="0.2">
      <c r="A404" s="497" t="s">
        <v>336</v>
      </c>
      <c r="B404" s="52" t="str">
        <f t="shared" ref="B404:H405" si="104">B225</f>
        <v>-</v>
      </c>
      <c r="C404" s="52">
        <f t="shared" si="104"/>
        <v>3192</v>
      </c>
      <c r="D404" s="52">
        <f t="shared" si="104"/>
        <v>2023</v>
      </c>
      <c r="E404" s="52">
        <f t="shared" si="104"/>
        <v>973</v>
      </c>
      <c r="F404" s="52" t="str">
        <f t="shared" si="104"/>
        <v>-</v>
      </c>
      <c r="G404" s="52" t="str">
        <f t="shared" si="104"/>
        <v>-</v>
      </c>
      <c r="H404" s="196" t="str">
        <f t="shared" si="104"/>
        <v>-</v>
      </c>
      <c r="I404" s="199">
        <f t="shared" si="91"/>
        <v>6188</v>
      </c>
      <c r="J404" s="238"/>
    </row>
    <row r="405" spans="1:10" ht="11.25" customHeight="1" x14ac:dyDescent="0.2">
      <c r="A405" s="497" t="s">
        <v>391</v>
      </c>
      <c r="B405" s="52" t="str">
        <f t="shared" si="104"/>
        <v>-</v>
      </c>
      <c r="C405" s="52">
        <f t="shared" si="104"/>
        <v>1302</v>
      </c>
      <c r="D405" s="52">
        <f t="shared" si="104"/>
        <v>844</v>
      </c>
      <c r="E405" s="52">
        <f t="shared" si="104"/>
        <v>374</v>
      </c>
      <c r="F405" s="52">
        <f t="shared" si="104"/>
        <v>96</v>
      </c>
      <c r="G405" s="52" t="str">
        <f t="shared" si="104"/>
        <v>-</v>
      </c>
      <c r="H405" s="196" t="str">
        <f t="shared" si="104"/>
        <v>-</v>
      </c>
      <c r="I405" s="199">
        <f t="shared" si="91"/>
        <v>2616</v>
      </c>
      <c r="J405" s="292"/>
    </row>
    <row r="406" spans="1:10" ht="3" customHeight="1" x14ac:dyDescent="0.2">
      <c r="A406" s="123"/>
      <c r="B406" s="31"/>
      <c r="C406" s="31"/>
      <c r="D406" s="31"/>
      <c r="E406" s="31"/>
      <c r="F406" s="31"/>
      <c r="G406" s="31"/>
      <c r="H406" s="195"/>
      <c r="I406" s="198"/>
      <c r="J406" s="292"/>
    </row>
    <row r="407" spans="1:10" ht="11.25" customHeight="1" x14ac:dyDescent="0.2">
      <c r="A407" s="392" t="s">
        <v>370</v>
      </c>
      <c r="B407" s="31"/>
      <c r="C407" s="31"/>
      <c r="D407" s="31"/>
      <c r="E407" s="31"/>
      <c r="F407" s="31"/>
      <c r="G407" s="31"/>
      <c r="H407" s="195"/>
      <c r="I407" s="198"/>
      <c r="J407" s="292"/>
    </row>
    <row r="408" spans="1:10" ht="11.25" customHeight="1" x14ac:dyDescent="0.2">
      <c r="A408" s="123" t="s">
        <v>87</v>
      </c>
      <c r="B408" s="52" t="s">
        <v>29</v>
      </c>
      <c r="C408" s="31">
        <f t="shared" ref="C408:H408" si="105">AVERAGE(C237:C241)</f>
        <v>14524.256447187927</v>
      </c>
      <c r="D408" s="31">
        <f t="shared" si="105"/>
        <v>16246.4</v>
      </c>
      <c r="E408" s="31">
        <f t="shared" si="105"/>
        <v>14657.81573167112</v>
      </c>
      <c r="F408" s="31">
        <f t="shared" si="105"/>
        <v>9741.2000000000007</v>
      </c>
      <c r="G408" s="31">
        <f t="shared" si="105"/>
        <v>3315.8</v>
      </c>
      <c r="H408" s="195">
        <f t="shared" si="105"/>
        <v>64</v>
      </c>
      <c r="I408" s="199">
        <f>IF(SUM(I237:I241)&gt;0,AVERAGE(I237:I241),"-")</f>
        <v>58511.072178859053</v>
      </c>
      <c r="J408" s="292"/>
    </row>
    <row r="409" spans="1:10" ht="11.25" customHeight="1" x14ac:dyDescent="0.2">
      <c r="A409" s="123" t="s">
        <v>14</v>
      </c>
      <c r="B409" s="52" t="s">
        <v>29</v>
      </c>
      <c r="C409" s="31">
        <f t="shared" ref="C409:H409" si="106">AVERAGE(C242:C246)</f>
        <v>7860</v>
      </c>
      <c r="D409" s="31">
        <f t="shared" si="106"/>
        <v>5620</v>
      </c>
      <c r="E409" s="31">
        <f t="shared" si="106"/>
        <v>5160</v>
      </c>
      <c r="F409" s="31">
        <f t="shared" si="106"/>
        <v>4320</v>
      </c>
      <c r="G409" s="31">
        <f t="shared" si="106"/>
        <v>2720</v>
      </c>
      <c r="H409" s="195">
        <f t="shared" si="106"/>
        <v>100</v>
      </c>
      <c r="I409" s="199">
        <f>IF(SUM(I242:I246)&gt;0,AVERAGE(I242:I246),"-")</f>
        <v>25700</v>
      </c>
      <c r="J409" s="292"/>
    </row>
    <row r="410" spans="1:10" ht="11.25" customHeight="1" x14ac:dyDescent="0.2">
      <c r="A410" s="123" t="s">
        <v>207</v>
      </c>
      <c r="B410" s="31">
        <f t="shared" ref="B410:G410" si="107">AVERAGE(B247:B251)</f>
        <v>362.5</v>
      </c>
      <c r="C410" s="31">
        <f t="shared" si="107"/>
        <v>4642</v>
      </c>
      <c r="D410" s="31">
        <f t="shared" si="107"/>
        <v>4172.6000000000004</v>
      </c>
      <c r="E410" s="31">
        <f t="shared" si="107"/>
        <v>4569.6000000000004</v>
      </c>
      <c r="F410" s="31">
        <f t="shared" si="107"/>
        <v>2345.6</v>
      </c>
      <c r="G410" s="31">
        <f t="shared" si="107"/>
        <v>2424.1999999999998</v>
      </c>
      <c r="H410" s="195" t="s">
        <v>29</v>
      </c>
      <c r="I410" s="199">
        <f>IF(SUM(I247:I251)&gt;0,AVERAGE(I247:I251),"-")</f>
        <v>18299</v>
      </c>
      <c r="J410" s="292"/>
    </row>
    <row r="411" spans="1:10" ht="11.25" customHeight="1" x14ac:dyDescent="0.2">
      <c r="A411" s="123" t="s">
        <v>238</v>
      </c>
      <c r="B411" s="31">
        <f t="shared" ref="B411:I411" si="108">AVERAGE(B252:B256)</f>
        <v>18</v>
      </c>
      <c r="C411" s="31">
        <f>AVERAGE(C252:C256)</f>
        <v>4248.6000000000004</v>
      </c>
      <c r="D411" s="31">
        <f t="shared" si="108"/>
        <v>2367.8000000000002</v>
      </c>
      <c r="E411" s="31">
        <f t="shared" si="108"/>
        <v>4547.3999999999996</v>
      </c>
      <c r="F411" s="31">
        <f t="shared" si="108"/>
        <v>3020.6</v>
      </c>
      <c r="G411" s="31">
        <f t="shared" si="108"/>
        <v>2699.8</v>
      </c>
      <c r="H411" s="195">
        <f t="shared" si="108"/>
        <v>295.8</v>
      </c>
      <c r="I411" s="199">
        <f t="shared" si="108"/>
        <v>17187.2</v>
      </c>
      <c r="J411" s="292"/>
    </row>
    <row r="412" spans="1:10" ht="11.25" customHeight="1" x14ac:dyDescent="0.2">
      <c r="A412" s="122">
        <v>2006</v>
      </c>
      <c r="B412" s="52" t="str">
        <f t="shared" ref="B412:H412" si="109">B257</f>
        <v>-</v>
      </c>
      <c r="C412" s="52">
        <f>C257</f>
        <v>2062</v>
      </c>
      <c r="D412" s="52">
        <f t="shared" si="109"/>
        <v>103</v>
      </c>
      <c r="E412" s="52">
        <f t="shared" si="109"/>
        <v>650</v>
      </c>
      <c r="F412" s="52">
        <f t="shared" si="109"/>
        <v>2593</v>
      </c>
      <c r="G412" s="52">
        <f t="shared" si="109"/>
        <v>2477</v>
      </c>
      <c r="H412" s="196">
        <f t="shared" si="109"/>
        <v>374</v>
      </c>
      <c r="I412" s="199">
        <f t="shared" ref="I412:I426" si="110">I257</f>
        <v>8259</v>
      </c>
      <c r="J412" s="238"/>
    </row>
    <row r="413" spans="1:10" ht="11.25" customHeight="1" x14ac:dyDescent="0.2">
      <c r="A413" s="122">
        <v>2007</v>
      </c>
      <c r="B413" s="52">
        <f t="shared" ref="B413:H413" si="111">B258</f>
        <v>106</v>
      </c>
      <c r="C413" s="52">
        <f t="shared" si="111"/>
        <v>3132</v>
      </c>
      <c r="D413" s="52">
        <f t="shared" si="111"/>
        <v>29</v>
      </c>
      <c r="E413" s="52">
        <f t="shared" si="111"/>
        <v>3288</v>
      </c>
      <c r="F413" s="52">
        <f t="shared" si="111"/>
        <v>2659</v>
      </c>
      <c r="G413" s="52">
        <f t="shared" si="111"/>
        <v>1289</v>
      </c>
      <c r="H413" s="196">
        <f t="shared" si="111"/>
        <v>168</v>
      </c>
      <c r="I413" s="199">
        <f t="shared" si="110"/>
        <v>10671</v>
      </c>
      <c r="J413" s="238"/>
    </row>
    <row r="414" spans="1:10" s="374" customFormat="1" ht="11.25" customHeight="1" x14ac:dyDescent="0.2">
      <c r="A414" s="122">
        <v>2008</v>
      </c>
      <c r="B414" s="52" t="str">
        <f t="shared" ref="B414:H414" si="112">B259</f>
        <v>-</v>
      </c>
      <c r="C414" s="52" t="str">
        <f t="shared" si="112"/>
        <v>-</v>
      </c>
      <c r="D414" s="52" t="str">
        <f t="shared" si="112"/>
        <v>-</v>
      </c>
      <c r="E414" s="52" t="str">
        <f t="shared" si="112"/>
        <v>-</v>
      </c>
      <c r="F414" s="52" t="str">
        <f t="shared" si="112"/>
        <v>-</v>
      </c>
      <c r="G414" s="52" t="str">
        <f t="shared" si="112"/>
        <v>-</v>
      </c>
      <c r="H414" s="196" t="str">
        <f t="shared" si="112"/>
        <v>-</v>
      </c>
      <c r="I414" s="199" t="str">
        <f t="shared" si="110"/>
        <v>-</v>
      </c>
      <c r="J414" s="238"/>
    </row>
    <row r="415" spans="1:10" s="374" customFormat="1" ht="11.25" customHeight="1" x14ac:dyDescent="0.2">
      <c r="A415" s="122">
        <v>2009</v>
      </c>
      <c r="B415" s="52" t="str">
        <f t="shared" ref="B415:H415" si="113">B260</f>
        <v>-</v>
      </c>
      <c r="C415" s="52" t="str">
        <f t="shared" si="113"/>
        <v>-</v>
      </c>
      <c r="D415" s="52" t="str">
        <f t="shared" si="113"/>
        <v>-</v>
      </c>
      <c r="E415" s="52" t="str">
        <f t="shared" si="113"/>
        <v>-</v>
      </c>
      <c r="F415" s="52" t="str">
        <f t="shared" si="113"/>
        <v>-</v>
      </c>
      <c r="G415" s="52" t="str">
        <f t="shared" si="113"/>
        <v>-</v>
      </c>
      <c r="H415" s="196" t="str">
        <f t="shared" si="113"/>
        <v>-</v>
      </c>
      <c r="I415" s="199" t="str">
        <f t="shared" si="110"/>
        <v>-</v>
      </c>
      <c r="J415" s="238"/>
    </row>
    <row r="416" spans="1:10" s="374" customFormat="1" ht="11.25" customHeight="1" x14ac:dyDescent="0.2">
      <c r="A416" s="122">
        <v>2010</v>
      </c>
      <c r="B416" s="52" t="str">
        <f t="shared" ref="B416:H416" si="114">B261</f>
        <v>-</v>
      </c>
      <c r="C416" s="52" t="str">
        <f t="shared" si="114"/>
        <v>-</v>
      </c>
      <c r="D416" s="52" t="str">
        <f t="shared" si="114"/>
        <v>-</v>
      </c>
      <c r="E416" s="52">
        <f t="shared" si="114"/>
        <v>1105</v>
      </c>
      <c r="F416" s="52">
        <f t="shared" si="114"/>
        <v>870</v>
      </c>
      <c r="G416" s="52" t="str">
        <f t="shared" si="114"/>
        <v>-</v>
      </c>
      <c r="H416" s="196" t="str">
        <f t="shared" si="114"/>
        <v>-</v>
      </c>
      <c r="I416" s="199">
        <f t="shared" si="110"/>
        <v>1975</v>
      </c>
      <c r="J416" s="238"/>
    </row>
    <row r="417" spans="1:18" s="374" customFormat="1" ht="11.25" customHeight="1" x14ac:dyDescent="0.2">
      <c r="A417" s="122">
        <v>2011</v>
      </c>
      <c r="B417" s="52" t="str">
        <f t="shared" ref="B417:H417" si="115">B262</f>
        <v>-</v>
      </c>
      <c r="C417" s="52">
        <f t="shared" si="115"/>
        <v>1879</v>
      </c>
      <c r="D417" s="52">
        <f t="shared" si="115"/>
        <v>504</v>
      </c>
      <c r="E417" s="52">
        <f t="shared" si="115"/>
        <v>1889</v>
      </c>
      <c r="F417" s="52">
        <f t="shared" si="115"/>
        <v>1946</v>
      </c>
      <c r="G417" s="52">
        <f t="shared" si="115"/>
        <v>638</v>
      </c>
      <c r="H417" s="196">
        <f t="shared" si="115"/>
        <v>117</v>
      </c>
      <c r="I417" s="199">
        <f t="shared" si="110"/>
        <v>6973</v>
      </c>
      <c r="J417" s="238"/>
    </row>
    <row r="418" spans="1:18" s="374" customFormat="1" ht="11.25" customHeight="1" x14ac:dyDescent="0.2">
      <c r="A418" s="122">
        <v>2012</v>
      </c>
      <c r="B418" s="52" t="str">
        <f t="shared" ref="B418:H418" si="116">B263</f>
        <v>-</v>
      </c>
      <c r="C418" s="52">
        <f t="shared" si="116"/>
        <v>3738</v>
      </c>
      <c r="D418" s="52">
        <f t="shared" si="116"/>
        <v>1593</v>
      </c>
      <c r="E418" s="52">
        <f t="shared" si="116"/>
        <v>4406</v>
      </c>
      <c r="F418" s="52">
        <f t="shared" si="116"/>
        <v>2650</v>
      </c>
      <c r="G418" s="52">
        <f t="shared" si="116"/>
        <v>1666</v>
      </c>
      <c r="H418" s="196">
        <f t="shared" si="116"/>
        <v>469</v>
      </c>
      <c r="I418" s="199">
        <f t="shared" si="110"/>
        <v>14522</v>
      </c>
      <c r="J418" s="238"/>
    </row>
    <row r="419" spans="1:18" s="374" customFormat="1" ht="11.25" customHeight="1" x14ac:dyDescent="0.2">
      <c r="A419" s="122">
        <v>2013</v>
      </c>
      <c r="B419" s="52" t="str">
        <f t="shared" ref="B419:H419" si="117">B264</f>
        <v>-</v>
      </c>
      <c r="C419" s="52">
        <f t="shared" si="117"/>
        <v>4450</v>
      </c>
      <c r="D419" s="52">
        <f t="shared" si="117"/>
        <v>4064</v>
      </c>
      <c r="E419" s="52">
        <f t="shared" si="117"/>
        <v>4136</v>
      </c>
      <c r="F419" s="52">
        <f t="shared" si="117"/>
        <v>2751</v>
      </c>
      <c r="G419" s="52">
        <f t="shared" si="117"/>
        <v>1669</v>
      </c>
      <c r="H419" s="196">
        <f t="shared" si="117"/>
        <v>223</v>
      </c>
      <c r="I419" s="199">
        <f t="shared" si="110"/>
        <v>17293</v>
      </c>
      <c r="J419" s="238"/>
    </row>
    <row r="420" spans="1:18" ht="11.25" customHeight="1" x14ac:dyDescent="0.2">
      <c r="A420" s="123">
        <v>2014</v>
      </c>
      <c r="B420" s="52" t="str">
        <f t="shared" ref="B420:H420" si="118">B265</f>
        <v>-</v>
      </c>
      <c r="C420" s="52">
        <f t="shared" si="118"/>
        <v>3011</v>
      </c>
      <c r="D420" s="52">
        <f t="shared" si="118"/>
        <v>2682</v>
      </c>
      <c r="E420" s="52">
        <f t="shared" si="118"/>
        <v>3281</v>
      </c>
      <c r="F420" s="52">
        <f t="shared" si="118"/>
        <v>2987</v>
      </c>
      <c r="G420" s="52">
        <f t="shared" si="118"/>
        <v>1858</v>
      </c>
      <c r="H420" s="196">
        <f t="shared" si="118"/>
        <v>575</v>
      </c>
      <c r="I420" s="199">
        <f t="shared" si="110"/>
        <v>14394</v>
      </c>
      <c r="J420" s="238"/>
    </row>
    <row r="421" spans="1:18" s="374" customFormat="1" ht="11.25" customHeight="1" x14ac:dyDescent="0.2">
      <c r="A421" s="122">
        <v>2015</v>
      </c>
      <c r="B421" s="52" t="str">
        <f t="shared" ref="B421:H421" si="119">B266</f>
        <v>-</v>
      </c>
      <c r="C421" s="52">
        <f t="shared" si="119"/>
        <v>4434</v>
      </c>
      <c r="D421" s="52">
        <f t="shared" si="119"/>
        <v>2392</v>
      </c>
      <c r="E421" s="52">
        <f t="shared" si="119"/>
        <v>1943</v>
      </c>
      <c r="F421" s="52">
        <f t="shared" si="119"/>
        <v>2000</v>
      </c>
      <c r="G421" s="52">
        <f t="shared" si="119"/>
        <v>1727</v>
      </c>
      <c r="H421" s="196">
        <f t="shared" si="119"/>
        <v>515</v>
      </c>
      <c r="I421" s="199">
        <f t="shared" si="110"/>
        <v>13011</v>
      </c>
      <c r="J421" s="238"/>
    </row>
    <row r="422" spans="1:18" s="374" customFormat="1" ht="11.25" customHeight="1" x14ac:dyDescent="0.2">
      <c r="A422" s="122">
        <v>2016</v>
      </c>
      <c r="B422" s="52" t="str">
        <f t="shared" ref="B422:H422" si="120">B267</f>
        <v>-</v>
      </c>
      <c r="C422" s="52">
        <f t="shared" si="120"/>
        <v>1662</v>
      </c>
      <c r="D422" s="52">
        <f t="shared" si="120"/>
        <v>1290</v>
      </c>
      <c r="E422" s="52" t="str">
        <f t="shared" si="120"/>
        <v>-</v>
      </c>
      <c r="F422" s="52">
        <f t="shared" si="120"/>
        <v>2450</v>
      </c>
      <c r="G422" s="52">
        <f t="shared" si="120"/>
        <v>1622</v>
      </c>
      <c r="H422" s="196">
        <f t="shared" si="120"/>
        <v>174</v>
      </c>
      <c r="I422" s="199">
        <f t="shared" si="110"/>
        <v>7198</v>
      </c>
      <c r="J422" s="238"/>
    </row>
    <row r="423" spans="1:18" s="374" customFormat="1" ht="11.25" customHeight="1" x14ac:dyDescent="0.2">
      <c r="A423" s="122">
        <v>2017</v>
      </c>
      <c r="B423" s="52" t="str">
        <f t="shared" ref="B423:H423" si="121">B268</f>
        <v>-</v>
      </c>
      <c r="C423" s="52">
        <f t="shared" si="121"/>
        <v>874</v>
      </c>
      <c r="D423" s="52">
        <f t="shared" si="121"/>
        <v>1210</v>
      </c>
      <c r="E423" s="52" t="str">
        <f t="shared" si="121"/>
        <v>-</v>
      </c>
      <c r="F423" s="52">
        <f t="shared" si="121"/>
        <v>2610</v>
      </c>
      <c r="G423" s="52">
        <f t="shared" si="121"/>
        <v>1811</v>
      </c>
      <c r="H423" s="196">
        <f t="shared" si="121"/>
        <v>220</v>
      </c>
      <c r="I423" s="199">
        <f t="shared" si="110"/>
        <v>6725</v>
      </c>
      <c r="J423" s="238"/>
    </row>
    <row r="424" spans="1:18" s="374" customFormat="1" ht="11.25" customHeight="1" x14ac:dyDescent="0.2">
      <c r="A424" s="122">
        <v>2018</v>
      </c>
      <c r="B424" s="52" t="str">
        <f t="shared" ref="B424:H424" si="122">B269</f>
        <v>-</v>
      </c>
      <c r="C424" s="52">
        <f t="shared" si="122"/>
        <v>603</v>
      </c>
      <c r="D424" s="52">
        <f t="shared" si="122"/>
        <v>1063</v>
      </c>
      <c r="E424" s="52">
        <f t="shared" si="122"/>
        <v>986</v>
      </c>
      <c r="F424" s="52">
        <f t="shared" si="122"/>
        <v>2933</v>
      </c>
      <c r="G424" s="52">
        <f t="shared" si="122"/>
        <v>1551</v>
      </c>
      <c r="H424" s="196">
        <f t="shared" si="122"/>
        <v>441</v>
      </c>
      <c r="I424" s="199">
        <f t="shared" si="110"/>
        <v>7577</v>
      </c>
      <c r="J424" s="238"/>
    </row>
    <row r="425" spans="1:18" s="487" customFormat="1" ht="11.25" customHeight="1" x14ac:dyDescent="0.2">
      <c r="A425" s="497" t="s">
        <v>336</v>
      </c>
      <c r="B425" s="52" t="str">
        <f t="shared" ref="B425:H426" si="123">B270</f>
        <v>-</v>
      </c>
      <c r="C425" s="52">
        <f>C270</f>
        <v>3875</v>
      </c>
      <c r="D425" s="52">
        <f t="shared" si="123"/>
        <v>4459</v>
      </c>
      <c r="E425" s="52">
        <f t="shared" si="123"/>
        <v>3156</v>
      </c>
      <c r="F425" s="52">
        <f t="shared" si="123"/>
        <v>2933</v>
      </c>
      <c r="G425" s="52">
        <f t="shared" si="123"/>
        <v>1100</v>
      </c>
      <c r="H425" s="196">
        <f t="shared" si="123"/>
        <v>251</v>
      </c>
      <c r="I425" s="199">
        <f t="shared" si="110"/>
        <v>15774</v>
      </c>
      <c r="J425" s="238"/>
    </row>
    <row r="426" spans="1:18" ht="11.25" customHeight="1" x14ac:dyDescent="0.2">
      <c r="A426" s="497" t="s">
        <v>391</v>
      </c>
      <c r="B426" s="52" t="str">
        <f t="shared" si="123"/>
        <v>-</v>
      </c>
      <c r="C426" s="52">
        <f>C271</f>
        <v>2665</v>
      </c>
      <c r="D426" s="52">
        <f t="shared" si="123"/>
        <v>3357</v>
      </c>
      <c r="E426" s="52">
        <f t="shared" si="123"/>
        <v>2884</v>
      </c>
      <c r="F426" s="52">
        <f t="shared" si="123"/>
        <v>1713</v>
      </c>
      <c r="G426" s="52">
        <f t="shared" si="123"/>
        <v>1081</v>
      </c>
      <c r="H426" s="196">
        <f t="shared" si="123"/>
        <v>568</v>
      </c>
      <c r="I426" s="199">
        <f t="shared" si="110"/>
        <v>12268</v>
      </c>
      <c r="J426" s="439"/>
    </row>
    <row r="427" spans="1:18" x14ac:dyDescent="0.2">
      <c r="A427" s="375" t="str">
        <f>A272</f>
        <v>a/  Includes minor effort off Oregon for fish landed in California.</v>
      </c>
      <c r="B427" s="375"/>
      <c r="C427" s="375"/>
      <c r="D427" s="375"/>
      <c r="E427" s="375"/>
      <c r="F427" s="375"/>
      <c r="G427" s="375"/>
      <c r="H427" s="375"/>
      <c r="I427" s="375"/>
      <c r="J427" s="292"/>
    </row>
    <row r="428" spans="1:18" x14ac:dyDescent="0.2">
      <c r="A428" s="515" t="s">
        <v>257</v>
      </c>
      <c r="B428" s="515"/>
      <c r="C428" s="515"/>
      <c r="D428" s="515"/>
      <c r="E428" s="515"/>
      <c r="F428" s="515"/>
      <c r="G428" s="515"/>
      <c r="H428" s="515"/>
      <c r="I428" s="292"/>
      <c r="J428" s="292"/>
    </row>
    <row r="429" spans="1:18" x14ac:dyDescent="0.2">
      <c r="A429" s="515"/>
      <c r="B429" s="515"/>
      <c r="C429" s="515"/>
      <c r="D429" s="515"/>
      <c r="E429" s="515"/>
      <c r="F429" s="515"/>
      <c r="G429" s="515"/>
      <c r="H429" s="515"/>
      <c r="I429" s="292"/>
      <c r="J429" s="292"/>
    </row>
    <row r="430" spans="1:18" s="379" customFormat="1" ht="9.75" customHeight="1" x14ac:dyDescent="0.2">
      <c r="A430" s="376" t="str">
        <f>A275</f>
        <v>c/  Preliminary.</v>
      </c>
      <c r="B430" s="440"/>
      <c r="C430" s="440"/>
      <c r="D430" s="440"/>
      <c r="E430" s="440"/>
      <c r="F430" s="440"/>
      <c r="G430" s="440"/>
      <c r="H430" s="440"/>
      <c r="I430" s="440"/>
      <c r="J430" s="376"/>
      <c r="K430" s="373"/>
      <c r="L430" s="373"/>
      <c r="M430" s="373"/>
      <c r="N430" s="373"/>
      <c r="O430" s="373"/>
      <c r="P430" s="373"/>
      <c r="Q430" s="373"/>
      <c r="R430" s="373"/>
    </row>
    <row r="431" spans="1:18" ht="12" customHeight="1" x14ac:dyDescent="0.2">
      <c r="A431" s="513"/>
      <c r="B431" s="513"/>
      <c r="C431" s="513"/>
      <c r="D431" s="513"/>
      <c r="E431" s="513"/>
      <c r="F431" s="513"/>
      <c r="G431" s="513"/>
      <c r="H431" s="513"/>
      <c r="I431" s="513"/>
      <c r="J431" s="441"/>
    </row>
    <row r="432" spans="1:18" ht="12" customHeight="1" x14ac:dyDescent="0.2">
      <c r="A432" s="442"/>
      <c r="B432" s="442"/>
      <c r="C432" s="442"/>
      <c r="D432" s="442"/>
      <c r="E432" s="442"/>
      <c r="F432" s="442"/>
      <c r="G432" s="442"/>
      <c r="H432" s="442"/>
      <c r="I432" s="442"/>
      <c r="J432" s="443"/>
    </row>
    <row r="433" spans="1:10" ht="12" customHeight="1" x14ac:dyDescent="0.2">
      <c r="A433" s="442"/>
      <c r="B433" s="442"/>
      <c r="C433" s="442"/>
      <c r="D433" s="442"/>
      <c r="E433" s="442"/>
      <c r="F433" s="442"/>
      <c r="G433" s="442"/>
      <c r="H433" s="442"/>
      <c r="I433" s="442"/>
      <c r="J433" s="441"/>
    </row>
    <row r="434" spans="1:10" ht="11.25" customHeight="1" x14ac:dyDescent="0.2">
      <c r="A434" s="444"/>
      <c r="B434" s="444"/>
      <c r="C434" s="444"/>
      <c r="D434" s="444"/>
      <c r="E434" s="444"/>
      <c r="F434" s="444"/>
      <c r="G434" s="444"/>
      <c r="H434" s="444"/>
      <c r="I434" s="444"/>
      <c r="J434" s="292"/>
    </row>
    <row r="435" spans="1:10" ht="11.25" customHeight="1" x14ac:dyDescent="0.2">
      <c r="A435" s="445"/>
      <c r="B435" s="446"/>
      <c r="C435" s="446"/>
      <c r="D435" s="446"/>
      <c r="E435" s="446"/>
      <c r="F435" s="446"/>
      <c r="G435" s="446"/>
      <c r="H435" s="447"/>
      <c r="I435" s="448"/>
      <c r="J435" s="292"/>
    </row>
    <row r="436" spans="1:10" ht="11.25" customHeight="1" x14ac:dyDescent="0.2">
      <c r="A436" s="445"/>
      <c r="B436" s="446"/>
      <c r="C436" s="446"/>
      <c r="D436" s="446"/>
      <c r="E436" s="446"/>
      <c r="F436" s="446"/>
      <c r="G436" s="446"/>
      <c r="H436" s="447"/>
      <c r="I436" s="448"/>
      <c r="J436" s="292"/>
    </row>
    <row r="437" spans="1:10" ht="11.25" customHeight="1" x14ac:dyDescent="0.2">
      <c r="A437" s="123"/>
      <c r="B437" s="446"/>
      <c r="C437" s="446"/>
      <c r="D437" s="446"/>
      <c r="E437" s="446"/>
      <c r="F437" s="446"/>
      <c r="G437" s="446"/>
      <c r="H437" s="447"/>
      <c r="I437" s="448"/>
      <c r="J437" s="292"/>
    </row>
    <row r="438" spans="1:10" ht="11.25" customHeight="1" x14ac:dyDescent="0.2">
      <c r="A438" s="123"/>
      <c r="B438" s="446"/>
      <c r="C438" s="446"/>
      <c r="D438" s="446"/>
      <c r="E438" s="446"/>
      <c r="F438" s="446"/>
      <c r="G438" s="446"/>
      <c r="H438" s="447"/>
      <c r="I438" s="448"/>
      <c r="J438" s="292"/>
    </row>
    <row r="439" spans="1:10" ht="11.25" customHeight="1" x14ac:dyDescent="0.2">
      <c r="A439" s="123"/>
      <c r="B439" s="446"/>
      <c r="C439" s="446"/>
      <c r="D439" s="446"/>
      <c r="E439" s="446"/>
      <c r="F439" s="446"/>
      <c r="G439" s="446"/>
      <c r="H439" s="447"/>
      <c r="I439" s="448"/>
      <c r="J439" s="292"/>
    </row>
    <row r="440" spans="1:10" ht="11.25" customHeight="1" x14ac:dyDescent="0.2">
      <c r="A440" s="123"/>
      <c r="B440" s="446"/>
      <c r="C440" s="446"/>
      <c r="D440" s="446"/>
      <c r="E440" s="446"/>
      <c r="F440" s="446"/>
      <c r="G440" s="446"/>
      <c r="H440" s="447"/>
      <c r="I440" s="448"/>
      <c r="J440" s="292"/>
    </row>
    <row r="441" spans="1:10" ht="11.25" customHeight="1" x14ac:dyDescent="0.2">
      <c r="A441" s="123"/>
      <c r="B441" s="446"/>
      <c r="C441" s="446"/>
      <c r="D441" s="446"/>
      <c r="E441" s="446"/>
      <c r="F441" s="446"/>
      <c r="G441" s="446"/>
      <c r="H441" s="447"/>
      <c r="I441" s="448"/>
      <c r="J441" s="292"/>
    </row>
    <row r="442" spans="1:10" ht="11.25" customHeight="1" x14ac:dyDescent="0.2">
      <c r="A442" s="123"/>
      <c r="B442" s="446"/>
      <c r="C442" s="446"/>
      <c r="D442" s="446"/>
      <c r="E442" s="446"/>
      <c r="F442" s="446"/>
      <c r="G442" s="446"/>
      <c r="H442" s="447"/>
      <c r="I442" s="448"/>
      <c r="J442" s="292"/>
    </row>
    <row r="443" spans="1:10" ht="11.25" customHeight="1" x14ac:dyDescent="0.2">
      <c r="A443" s="123"/>
      <c r="B443" s="446"/>
      <c r="C443" s="446"/>
      <c r="D443" s="446"/>
      <c r="E443" s="446"/>
      <c r="F443" s="446"/>
      <c r="G443" s="446"/>
      <c r="H443" s="447"/>
      <c r="I443" s="448"/>
      <c r="J443" s="292"/>
    </row>
    <row r="444" spans="1:10" ht="11.25" customHeight="1" x14ac:dyDescent="0.2">
      <c r="A444" s="123"/>
      <c r="B444" s="446"/>
      <c r="C444" s="446"/>
      <c r="D444" s="446"/>
      <c r="E444" s="446"/>
      <c r="F444" s="446"/>
      <c r="G444" s="446"/>
      <c r="H444" s="447"/>
      <c r="I444" s="448"/>
      <c r="J444" s="292"/>
    </row>
    <row r="445" spans="1:10" ht="11.25" customHeight="1" x14ac:dyDescent="0.2">
      <c r="A445" s="123"/>
      <c r="B445" s="446"/>
      <c r="C445" s="446"/>
      <c r="D445" s="446"/>
      <c r="E445" s="446"/>
      <c r="F445" s="446"/>
      <c r="G445" s="446"/>
      <c r="H445" s="447"/>
      <c r="I445" s="448"/>
      <c r="J445" s="292"/>
    </row>
    <row r="446" spans="1:10" ht="11.25" customHeight="1" x14ac:dyDescent="0.2">
      <c r="A446" s="123"/>
      <c r="B446" s="446"/>
      <c r="C446" s="446"/>
      <c r="D446" s="446"/>
      <c r="E446" s="446"/>
      <c r="F446" s="446"/>
      <c r="G446" s="446"/>
      <c r="H446" s="447"/>
      <c r="I446" s="448"/>
      <c r="J446" s="292"/>
    </row>
    <row r="447" spans="1:10" ht="11.25" customHeight="1" x14ac:dyDescent="0.2">
      <c r="A447" s="123"/>
      <c r="B447" s="446"/>
      <c r="C447" s="446"/>
      <c r="D447" s="446"/>
      <c r="E447" s="446"/>
      <c r="F447" s="446"/>
      <c r="G447" s="446"/>
      <c r="H447" s="447"/>
      <c r="I447" s="448"/>
      <c r="J447" s="292"/>
    </row>
    <row r="448" spans="1:10" ht="11.25" customHeight="1" x14ac:dyDescent="0.2">
      <c r="A448" s="123"/>
      <c r="B448" s="446"/>
      <c r="C448" s="446"/>
      <c r="D448" s="446"/>
      <c r="E448" s="446"/>
      <c r="F448" s="446"/>
      <c r="G448" s="446"/>
      <c r="H448" s="447"/>
      <c r="I448" s="448"/>
      <c r="J448" s="292"/>
    </row>
    <row r="449" spans="1:10" ht="11.25" customHeight="1" x14ac:dyDescent="0.2">
      <c r="A449" s="123"/>
      <c r="B449" s="446"/>
      <c r="C449" s="446"/>
      <c r="D449" s="446"/>
      <c r="E449" s="446"/>
      <c r="F449" s="446"/>
      <c r="G449" s="446"/>
      <c r="H449" s="447"/>
      <c r="I449" s="448"/>
      <c r="J449" s="292"/>
    </row>
    <row r="450" spans="1:10" ht="11.25" customHeight="1" x14ac:dyDescent="0.2">
      <c r="A450" s="123"/>
      <c r="B450" s="446"/>
      <c r="C450" s="446"/>
      <c r="D450" s="446"/>
      <c r="E450" s="446"/>
      <c r="F450" s="446"/>
      <c r="G450" s="446"/>
      <c r="H450" s="447"/>
      <c r="I450" s="448"/>
      <c r="J450" s="292"/>
    </row>
    <row r="451" spans="1:10" ht="11.25" customHeight="1" x14ac:dyDescent="0.2">
      <c r="A451" s="123"/>
      <c r="B451" s="446"/>
      <c r="C451" s="446"/>
      <c r="D451" s="446"/>
      <c r="E451" s="446"/>
      <c r="F451" s="446"/>
      <c r="G451" s="446"/>
      <c r="H451" s="447"/>
      <c r="I451" s="448"/>
      <c r="J451" s="292"/>
    </row>
    <row r="452" spans="1:10" ht="11.25" customHeight="1" x14ac:dyDescent="0.2">
      <c r="A452" s="123"/>
      <c r="B452" s="446"/>
      <c r="C452" s="446"/>
      <c r="D452" s="446"/>
      <c r="E452" s="446"/>
      <c r="F452" s="446"/>
      <c r="G452" s="446"/>
      <c r="H452" s="447"/>
      <c r="I452" s="448"/>
      <c r="J452" s="292"/>
    </row>
    <row r="453" spans="1:10" ht="11.25" customHeight="1" x14ac:dyDescent="0.2">
      <c r="A453" s="123"/>
      <c r="B453" s="446"/>
      <c r="C453" s="446"/>
      <c r="D453" s="446"/>
      <c r="E453" s="446"/>
      <c r="F453" s="446"/>
      <c r="G453" s="446"/>
      <c r="H453" s="447"/>
      <c r="I453" s="448"/>
      <c r="J453" s="292"/>
    </row>
    <row r="454" spans="1:10" ht="11.25" customHeight="1" x14ac:dyDescent="0.2">
      <c r="A454" s="123"/>
      <c r="B454" s="446"/>
      <c r="C454" s="446"/>
      <c r="D454" s="446"/>
      <c r="E454" s="446"/>
      <c r="F454" s="446"/>
      <c r="G454" s="446"/>
      <c r="H454" s="447"/>
      <c r="I454" s="448"/>
      <c r="J454" s="292"/>
    </row>
    <row r="455" spans="1:10" ht="11.25" customHeight="1" x14ac:dyDescent="0.2">
      <c r="A455" s="123"/>
      <c r="B455" s="446"/>
      <c r="C455" s="446"/>
      <c r="D455" s="446"/>
      <c r="E455" s="446"/>
      <c r="F455" s="446"/>
      <c r="G455" s="446"/>
      <c r="H455" s="447"/>
      <c r="I455" s="448"/>
      <c r="J455" s="292"/>
    </row>
    <row r="456" spans="1:10" ht="11.25" customHeight="1" x14ac:dyDescent="0.2">
      <c r="A456" s="123"/>
      <c r="B456" s="446"/>
      <c r="C456" s="446"/>
      <c r="D456" s="446"/>
      <c r="E456" s="446"/>
      <c r="F456" s="446"/>
      <c r="G456" s="446"/>
      <c r="H456" s="447"/>
      <c r="I456" s="448"/>
      <c r="J456" s="292"/>
    </row>
    <row r="457" spans="1:10" ht="11.25" customHeight="1" x14ac:dyDescent="0.2">
      <c r="A457" s="123"/>
      <c r="B457" s="446"/>
      <c r="C457" s="446"/>
      <c r="D457" s="446"/>
      <c r="E457" s="446"/>
      <c r="F457" s="446"/>
      <c r="G457" s="446"/>
      <c r="H457" s="447"/>
      <c r="I457" s="448"/>
      <c r="J457" s="292"/>
    </row>
    <row r="458" spans="1:10" ht="11.25" customHeight="1" x14ac:dyDescent="0.2">
      <c r="A458" s="123"/>
      <c r="B458" s="446"/>
      <c r="C458" s="446"/>
      <c r="D458" s="446"/>
      <c r="E458" s="446"/>
      <c r="F458" s="446"/>
      <c r="G458" s="446"/>
      <c r="H458" s="447"/>
      <c r="I458" s="448"/>
      <c r="J458" s="292"/>
    </row>
    <row r="459" spans="1:10" ht="11.25" customHeight="1" x14ac:dyDescent="0.2">
      <c r="A459" s="123"/>
      <c r="B459" s="446"/>
      <c r="C459" s="446"/>
      <c r="D459" s="446"/>
      <c r="E459" s="446"/>
      <c r="F459" s="446"/>
      <c r="G459" s="446"/>
      <c r="H459" s="447"/>
      <c r="I459" s="448"/>
      <c r="J459" s="292"/>
    </row>
    <row r="460" spans="1:10" ht="11.25" customHeight="1" x14ac:dyDescent="0.2">
      <c r="A460" s="123"/>
      <c r="B460" s="446"/>
      <c r="C460" s="446"/>
      <c r="D460" s="446"/>
      <c r="E460" s="446"/>
      <c r="F460" s="446"/>
      <c r="G460" s="446"/>
      <c r="H460" s="447"/>
      <c r="I460" s="448"/>
      <c r="J460" s="292"/>
    </row>
    <row r="461" spans="1:10" ht="11.25" customHeight="1" x14ac:dyDescent="0.2">
      <c r="A461" s="123"/>
      <c r="B461" s="446"/>
      <c r="C461" s="446"/>
      <c r="D461" s="446"/>
      <c r="E461" s="446"/>
      <c r="F461" s="446"/>
      <c r="G461" s="446"/>
      <c r="H461" s="447"/>
      <c r="I461" s="448"/>
      <c r="J461" s="292"/>
    </row>
    <row r="462" spans="1:10" ht="11.25" customHeight="1" x14ac:dyDescent="0.2">
      <c r="A462" s="123"/>
      <c r="B462" s="446"/>
      <c r="C462" s="446"/>
      <c r="D462" s="446"/>
      <c r="E462" s="446"/>
      <c r="F462" s="446"/>
      <c r="G462" s="446"/>
      <c r="H462" s="447"/>
      <c r="I462" s="448"/>
      <c r="J462" s="292"/>
    </row>
    <row r="463" spans="1:10" ht="11.25" customHeight="1" x14ac:dyDescent="0.2">
      <c r="A463" s="123"/>
      <c r="B463" s="446"/>
      <c r="C463" s="446"/>
      <c r="D463" s="446"/>
      <c r="E463" s="446"/>
      <c r="F463" s="446"/>
      <c r="G463" s="446"/>
      <c r="H463" s="447"/>
      <c r="I463" s="448"/>
      <c r="J463" s="292"/>
    </row>
    <row r="464" spans="1:10" ht="11.25" customHeight="1" x14ac:dyDescent="0.2">
      <c r="A464" s="123"/>
      <c r="B464" s="446"/>
      <c r="C464" s="446"/>
      <c r="D464" s="446"/>
      <c r="E464" s="446"/>
      <c r="F464" s="446"/>
      <c r="G464" s="446"/>
      <c r="H464" s="447"/>
      <c r="I464" s="448"/>
      <c r="J464" s="292"/>
    </row>
    <row r="465" spans="1:10" ht="11.25" customHeight="1" x14ac:dyDescent="0.2">
      <c r="A465" s="123"/>
      <c r="B465" s="446"/>
      <c r="C465" s="446"/>
      <c r="D465" s="446"/>
      <c r="E465" s="446"/>
      <c r="F465" s="446"/>
      <c r="G465" s="446"/>
      <c r="H465" s="447"/>
      <c r="I465" s="448"/>
      <c r="J465" s="292"/>
    </row>
    <row r="466" spans="1:10" ht="11.25" customHeight="1" x14ac:dyDescent="0.2">
      <c r="A466" s="123"/>
      <c r="B466" s="446"/>
      <c r="C466" s="446"/>
      <c r="D466" s="446"/>
      <c r="E466" s="446"/>
      <c r="F466" s="446"/>
      <c r="G466" s="446"/>
      <c r="H466" s="447"/>
      <c r="I466" s="448"/>
      <c r="J466" s="292"/>
    </row>
    <row r="467" spans="1:10" ht="11.25" customHeight="1" x14ac:dyDescent="0.2">
      <c r="A467" s="123"/>
      <c r="B467" s="446"/>
      <c r="C467" s="446"/>
      <c r="D467" s="446"/>
      <c r="E467" s="446"/>
      <c r="F467" s="446"/>
      <c r="G467" s="446"/>
      <c r="H467" s="447"/>
      <c r="I467" s="448"/>
      <c r="J467" s="292"/>
    </row>
    <row r="468" spans="1:10" ht="11.25" customHeight="1" x14ac:dyDescent="0.2">
      <c r="A468" s="123"/>
      <c r="B468" s="446"/>
      <c r="C468" s="446"/>
      <c r="D468" s="446"/>
      <c r="E468" s="446"/>
      <c r="F468" s="446"/>
      <c r="G468" s="446"/>
      <c r="H468" s="447"/>
      <c r="I468" s="448"/>
      <c r="J468" s="292"/>
    </row>
    <row r="469" spans="1:10" ht="11.25" customHeight="1" x14ac:dyDescent="0.2">
      <c r="A469" s="123"/>
      <c r="B469" s="446"/>
      <c r="C469" s="446"/>
      <c r="D469" s="446"/>
      <c r="E469" s="446"/>
      <c r="F469" s="446"/>
      <c r="G469" s="446"/>
      <c r="H469" s="447"/>
      <c r="I469" s="448"/>
      <c r="J469" s="292"/>
    </row>
    <row r="470" spans="1:10" ht="11.25" customHeight="1" x14ac:dyDescent="0.2">
      <c r="A470" s="123"/>
      <c r="B470" s="446"/>
      <c r="C470" s="446"/>
      <c r="D470" s="446"/>
      <c r="E470" s="446"/>
      <c r="F470" s="446"/>
      <c r="G470" s="446"/>
      <c r="H470" s="447"/>
      <c r="I470" s="448"/>
      <c r="J470" s="292"/>
    </row>
    <row r="471" spans="1:10" ht="11.25" customHeight="1" x14ac:dyDescent="0.2">
      <c r="A471" s="123"/>
      <c r="B471" s="446"/>
      <c r="C471" s="446"/>
      <c r="D471" s="446"/>
      <c r="E471" s="446"/>
      <c r="F471" s="446"/>
      <c r="G471" s="446"/>
      <c r="H471" s="447"/>
      <c r="I471" s="448"/>
      <c r="J471" s="292"/>
    </row>
    <row r="472" spans="1:10" ht="11.25" customHeight="1" x14ac:dyDescent="0.2">
      <c r="A472" s="123"/>
      <c r="B472" s="446"/>
      <c r="C472" s="446"/>
      <c r="D472" s="446"/>
      <c r="E472" s="446"/>
      <c r="F472" s="446"/>
      <c r="G472" s="446"/>
      <c r="H472" s="447"/>
      <c r="I472" s="448"/>
      <c r="J472" s="292"/>
    </row>
    <row r="473" spans="1:10" ht="11.25" customHeight="1" x14ac:dyDescent="0.2">
      <c r="A473" s="123"/>
      <c r="B473" s="446"/>
      <c r="C473" s="446"/>
      <c r="D473" s="446"/>
      <c r="E473" s="446"/>
      <c r="F473" s="446"/>
      <c r="G473" s="446"/>
      <c r="H473" s="447"/>
      <c r="I473" s="448"/>
      <c r="J473" s="292"/>
    </row>
    <row r="474" spans="1:10" ht="11.25" customHeight="1" x14ac:dyDescent="0.2">
      <c r="A474" s="123"/>
      <c r="B474" s="446"/>
      <c r="C474" s="446"/>
      <c r="D474" s="446"/>
      <c r="E474" s="446"/>
      <c r="F474" s="446"/>
      <c r="G474" s="446"/>
      <c r="H474" s="447"/>
      <c r="I474" s="448"/>
      <c r="J474" s="292"/>
    </row>
    <row r="475" spans="1:10" ht="11.25" customHeight="1" x14ac:dyDescent="0.2">
      <c r="A475" s="123"/>
      <c r="B475" s="446"/>
      <c r="C475" s="446"/>
      <c r="D475" s="446"/>
      <c r="E475" s="446"/>
      <c r="F475" s="446"/>
      <c r="G475" s="446"/>
      <c r="H475" s="447"/>
      <c r="I475" s="448"/>
      <c r="J475" s="292"/>
    </row>
    <row r="476" spans="1:10" ht="11.25" customHeight="1" x14ac:dyDescent="0.2">
      <c r="A476" s="123"/>
      <c r="B476" s="446"/>
      <c r="C476" s="446"/>
      <c r="D476" s="446"/>
      <c r="E476" s="446"/>
      <c r="F476" s="446"/>
      <c r="G476" s="446"/>
      <c r="H476" s="447"/>
      <c r="I476" s="448"/>
      <c r="J476" s="292"/>
    </row>
    <row r="477" spans="1:10" ht="11.25" customHeight="1" x14ac:dyDescent="0.2">
      <c r="A477" s="123"/>
      <c r="B477" s="446"/>
      <c r="C477" s="446"/>
      <c r="D477" s="446"/>
      <c r="E477" s="446"/>
      <c r="F477" s="446"/>
      <c r="G477" s="446"/>
      <c r="H477" s="447"/>
      <c r="I477" s="448"/>
      <c r="J477" s="292"/>
    </row>
    <row r="478" spans="1:10" ht="11.25" customHeight="1" x14ac:dyDescent="0.2">
      <c r="A478" s="123"/>
      <c r="B478" s="446"/>
      <c r="C478" s="446"/>
      <c r="D478" s="446"/>
      <c r="E478" s="446"/>
      <c r="F478" s="446"/>
      <c r="G478" s="446"/>
      <c r="H478" s="447"/>
      <c r="I478" s="448"/>
      <c r="J478" s="292"/>
    </row>
    <row r="479" spans="1:10" ht="11.25" customHeight="1" x14ac:dyDescent="0.2">
      <c r="A479" s="123"/>
      <c r="B479" s="446"/>
      <c r="C479" s="446"/>
      <c r="D479" s="446"/>
      <c r="E479" s="446"/>
      <c r="F479" s="446"/>
      <c r="G479" s="446"/>
      <c r="H479" s="447"/>
      <c r="I479" s="448"/>
      <c r="J479" s="292"/>
    </row>
    <row r="480" spans="1:10" ht="11.25" customHeight="1" x14ac:dyDescent="0.2">
      <c r="A480" s="123"/>
      <c r="B480" s="446"/>
      <c r="C480" s="446"/>
      <c r="D480" s="446"/>
      <c r="E480" s="446"/>
      <c r="F480" s="446"/>
      <c r="G480" s="446"/>
      <c r="H480" s="447"/>
      <c r="I480" s="448"/>
      <c r="J480" s="292"/>
    </row>
    <row r="481" spans="1:10" ht="11.25" customHeight="1" x14ac:dyDescent="0.2">
      <c r="A481" s="123"/>
      <c r="B481" s="446"/>
      <c r="C481" s="446"/>
      <c r="D481" s="446"/>
      <c r="E481" s="446"/>
      <c r="F481" s="446"/>
      <c r="G481" s="446"/>
      <c r="H481" s="447"/>
      <c r="I481" s="448"/>
      <c r="J481" s="292"/>
    </row>
    <row r="482" spans="1:10" ht="11.25" customHeight="1" x14ac:dyDescent="0.2">
      <c r="A482" s="123"/>
      <c r="B482" s="446"/>
      <c r="C482" s="446"/>
      <c r="D482" s="446"/>
      <c r="E482" s="446"/>
      <c r="F482" s="446"/>
      <c r="G482" s="446"/>
      <c r="H482" s="447"/>
      <c r="I482" s="448"/>
      <c r="J482" s="292"/>
    </row>
    <row r="483" spans="1:10" ht="11.25" customHeight="1" x14ac:dyDescent="0.2">
      <c r="A483" s="123"/>
      <c r="B483" s="446"/>
      <c r="C483" s="446"/>
      <c r="D483" s="446"/>
      <c r="E483" s="446"/>
      <c r="F483" s="446"/>
      <c r="G483" s="446"/>
      <c r="H483" s="447"/>
      <c r="I483" s="448"/>
      <c r="J483" s="292"/>
    </row>
    <row r="484" spans="1:10" ht="11.25" customHeight="1" x14ac:dyDescent="0.2">
      <c r="A484" s="123"/>
      <c r="B484" s="446"/>
      <c r="C484" s="446"/>
      <c r="D484" s="446"/>
      <c r="E484" s="446"/>
      <c r="F484" s="446"/>
      <c r="G484" s="446"/>
      <c r="H484" s="447"/>
      <c r="I484" s="448"/>
      <c r="J484" s="292"/>
    </row>
    <row r="485" spans="1:10" ht="11.25" customHeight="1" x14ac:dyDescent="0.2">
      <c r="A485" s="123"/>
      <c r="B485" s="446"/>
      <c r="C485" s="446"/>
      <c r="D485" s="446"/>
      <c r="E485" s="446"/>
      <c r="F485" s="446"/>
      <c r="G485" s="446"/>
      <c r="H485" s="447"/>
      <c r="I485" s="448"/>
      <c r="J485" s="292"/>
    </row>
    <row r="486" spans="1:10" ht="11.25" customHeight="1" x14ac:dyDescent="0.2">
      <c r="A486" s="123"/>
      <c r="B486" s="446"/>
      <c r="C486" s="446"/>
      <c r="D486" s="446"/>
      <c r="E486" s="446"/>
      <c r="F486" s="446"/>
      <c r="G486" s="446"/>
      <c r="H486" s="447"/>
      <c r="I486" s="448"/>
      <c r="J486" s="292"/>
    </row>
    <row r="487" spans="1:10" ht="11.25" customHeight="1" x14ac:dyDescent="0.2">
      <c r="A487" s="123"/>
      <c r="B487" s="446"/>
      <c r="C487" s="446"/>
      <c r="D487" s="446"/>
      <c r="E487" s="446"/>
      <c r="F487" s="446"/>
      <c r="G487" s="446"/>
      <c r="H487" s="447"/>
      <c r="I487" s="448"/>
      <c r="J487" s="292"/>
    </row>
    <row r="488" spans="1:10" ht="11.25" customHeight="1" x14ac:dyDescent="0.2">
      <c r="A488" s="123"/>
      <c r="B488" s="446"/>
      <c r="C488" s="446"/>
      <c r="D488" s="446"/>
      <c r="E488" s="446"/>
      <c r="F488" s="446"/>
      <c r="G488" s="446"/>
      <c r="H488" s="447"/>
      <c r="I488" s="448"/>
      <c r="J488" s="292"/>
    </row>
    <row r="489" spans="1:10" ht="11.25" customHeight="1" x14ac:dyDescent="0.2">
      <c r="A489" s="123"/>
      <c r="B489" s="446"/>
      <c r="C489" s="446"/>
      <c r="D489" s="446"/>
      <c r="E489" s="446"/>
      <c r="F489" s="446"/>
      <c r="G489" s="446"/>
      <c r="H489" s="447"/>
      <c r="I489" s="448"/>
      <c r="J489" s="292"/>
    </row>
    <row r="490" spans="1:10" ht="11.25" customHeight="1" x14ac:dyDescent="0.2">
      <c r="A490" s="123"/>
      <c r="B490" s="446"/>
      <c r="C490" s="446"/>
      <c r="D490" s="446"/>
      <c r="E490" s="446"/>
      <c r="F490" s="446"/>
      <c r="G490" s="446"/>
      <c r="H490" s="447"/>
      <c r="I490" s="448"/>
      <c r="J490" s="292"/>
    </row>
    <row r="491" spans="1:10" ht="11.25" customHeight="1" x14ac:dyDescent="0.2">
      <c r="A491" s="123"/>
      <c r="B491" s="446"/>
      <c r="C491" s="446"/>
      <c r="D491" s="446"/>
      <c r="E491" s="446"/>
      <c r="F491" s="446"/>
      <c r="G491" s="446"/>
      <c r="H491" s="447"/>
      <c r="I491" s="448"/>
      <c r="J491" s="292"/>
    </row>
    <row r="492" spans="1:10" ht="11.25" customHeight="1" x14ac:dyDescent="0.2">
      <c r="A492" s="123"/>
      <c r="B492" s="446"/>
      <c r="C492" s="446"/>
      <c r="D492" s="446"/>
      <c r="E492" s="446"/>
      <c r="F492" s="446"/>
      <c r="G492" s="446"/>
      <c r="H492" s="447"/>
      <c r="I492" s="448"/>
      <c r="J492" s="292"/>
    </row>
    <row r="493" spans="1:10" ht="11.25" customHeight="1" x14ac:dyDescent="0.2">
      <c r="A493" s="123"/>
      <c r="B493" s="446"/>
      <c r="C493" s="446"/>
      <c r="D493" s="446"/>
      <c r="E493" s="446"/>
      <c r="F493" s="446"/>
      <c r="G493" s="446"/>
      <c r="H493" s="447"/>
      <c r="I493" s="448"/>
      <c r="J493" s="292"/>
    </row>
    <row r="494" spans="1:10" ht="11.25" customHeight="1" x14ac:dyDescent="0.2">
      <c r="A494" s="123"/>
      <c r="B494" s="446"/>
      <c r="C494" s="446"/>
      <c r="D494" s="446"/>
      <c r="E494" s="446"/>
      <c r="F494" s="446"/>
      <c r="G494" s="446"/>
      <c r="H494" s="447"/>
      <c r="I494" s="448"/>
      <c r="J494" s="292"/>
    </row>
    <row r="495" spans="1:10" ht="11.25" customHeight="1" x14ac:dyDescent="0.2">
      <c r="A495" s="123"/>
      <c r="B495" s="446"/>
      <c r="C495" s="446"/>
      <c r="D495" s="446"/>
      <c r="E495" s="446"/>
      <c r="F495" s="446"/>
      <c r="G495" s="446"/>
      <c r="H495" s="447"/>
      <c r="I495" s="448"/>
      <c r="J495" s="292"/>
    </row>
    <row r="496" spans="1:10" ht="11.25" customHeight="1" x14ac:dyDescent="0.2">
      <c r="A496" s="123"/>
      <c r="B496" s="446"/>
      <c r="C496" s="446"/>
      <c r="D496" s="446"/>
      <c r="E496" s="446"/>
      <c r="F496" s="446"/>
      <c r="G496" s="446"/>
      <c r="H496" s="447"/>
      <c r="I496" s="448"/>
      <c r="J496" s="292"/>
    </row>
    <row r="497" spans="1:10" ht="11.25" customHeight="1" x14ac:dyDescent="0.2">
      <c r="A497" s="123"/>
      <c r="B497" s="446"/>
      <c r="C497" s="446"/>
      <c r="D497" s="446"/>
      <c r="E497" s="446"/>
      <c r="F497" s="446"/>
      <c r="G497" s="446"/>
      <c r="H497" s="447"/>
      <c r="I497" s="448"/>
      <c r="J497" s="292"/>
    </row>
    <row r="498" spans="1:10" ht="11.25" customHeight="1" x14ac:dyDescent="0.2">
      <c r="A498" s="123"/>
      <c r="B498" s="446"/>
      <c r="C498" s="446"/>
      <c r="D498" s="446"/>
      <c r="E498" s="446"/>
      <c r="F498" s="446"/>
      <c r="G498" s="446"/>
      <c r="H498" s="447"/>
      <c r="I498" s="448"/>
      <c r="J498" s="292"/>
    </row>
    <row r="499" spans="1:10" ht="11.25" customHeight="1" x14ac:dyDescent="0.2">
      <c r="A499" s="123"/>
      <c r="B499" s="446"/>
      <c r="C499" s="446"/>
      <c r="D499" s="446"/>
      <c r="E499" s="446"/>
      <c r="F499" s="446"/>
      <c r="G499" s="446"/>
      <c r="H499" s="447"/>
      <c r="I499" s="448"/>
      <c r="J499" s="292"/>
    </row>
    <row r="500" spans="1:10" ht="11.25" customHeight="1" x14ac:dyDescent="0.2">
      <c r="A500" s="123"/>
      <c r="B500" s="446"/>
      <c r="C500" s="446"/>
      <c r="D500" s="446"/>
      <c r="E500" s="446"/>
      <c r="F500" s="446"/>
      <c r="G500" s="446"/>
      <c r="H500" s="447"/>
      <c r="I500" s="448"/>
      <c r="J500" s="292"/>
    </row>
    <row r="501" spans="1:10" ht="11.25" customHeight="1" x14ac:dyDescent="0.2">
      <c r="A501" s="123"/>
      <c r="B501" s="446"/>
      <c r="C501" s="446"/>
      <c r="D501" s="446"/>
      <c r="E501" s="446"/>
      <c r="F501" s="446"/>
      <c r="G501" s="446"/>
      <c r="H501" s="447"/>
      <c r="I501" s="448"/>
      <c r="J501" s="292"/>
    </row>
    <row r="502" spans="1:10" ht="11.25" customHeight="1" x14ac:dyDescent="0.2">
      <c r="A502" s="123"/>
      <c r="B502" s="446"/>
      <c r="C502" s="446"/>
      <c r="D502" s="446"/>
      <c r="E502" s="446"/>
      <c r="F502" s="446"/>
      <c r="G502" s="446"/>
      <c r="H502" s="447"/>
      <c r="I502" s="448"/>
      <c r="J502" s="292"/>
    </row>
    <row r="503" spans="1:10" ht="11.25" customHeight="1" x14ac:dyDescent="0.2">
      <c r="A503" s="123"/>
      <c r="B503" s="446"/>
      <c r="C503" s="446"/>
      <c r="D503" s="446"/>
      <c r="E503" s="446"/>
      <c r="F503" s="446"/>
      <c r="G503" s="446"/>
      <c r="H503" s="447"/>
      <c r="I503" s="448"/>
      <c r="J503" s="292"/>
    </row>
    <row r="504" spans="1:10" ht="11.25" customHeight="1" x14ac:dyDescent="0.2">
      <c r="A504" s="123"/>
      <c r="B504" s="446"/>
      <c r="C504" s="446"/>
      <c r="D504" s="446"/>
      <c r="E504" s="446"/>
      <c r="F504" s="446"/>
      <c r="G504" s="446"/>
      <c r="H504" s="447"/>
      <c r="I504" s="448"/>
      <c r="J504" s="292"/>
    </row>
    <row r="505" spans="1:10" ht="11.25" customHeight="1" x14ac:dyDescent="0.2">
      <c r="A505" s="123"/>
      <c r="B505" s="446"/>
      <c r="C505" s="446"/>
      <c r="D505" s="446"/>
      <c r="E505" s="446"/>
      <c r="F505" s="446"/>
      <c r="G505" s="446"/>
      <c r="H505" s="447"/>
      <c r="I505" s="448"/>
      <c r="J505" s="292"/>
    </row>
    <row r="506" spans="1:10" ht="11.25" customHeight="1" x14ac:dyDescent="0.2">
      <c r="A506" s="123"/>
      <c r="B506" s="446"/>
      <c r="C506" s="446"/>
      <c r="D506" s="446"/>
      <c r="E506" s="446"/>
      <c r="F506" s="446"/>
      <c r="G506" s="446"/>
      <c r="H506" s="447"/>
      <c r="I506" s="448"/>
      <c r="J506" s="292"/>
    </row>
    <row r="507" spans="1:10" ht="11.25" customHeight="1" x14ac:dyDescent="0.2">
      <c r="A507" s="123"/>
      <c r="B507" s="446"/>
      <c r="C507" s="446"/>
      <c r="D507" s="446"/>
      <c r="E507" s="446"/>
      <c r="F507" s="446"/>
      <c r="G507" s="446"/>
      <c r="H507" s="447"/>
      <c r="I507" s="448"/>
      <c r="J507" s="292"/>
    </row>
    <row r="508" spans="1:10" ht="11.25" customHeight="1" x14ac:dyDescent="0.2">
      <c r="A508" s="123"/>
      <c r="B508" s="446"/>
      <c r="C508" s="446"/>
      <c r="D508" s="446"/>
      <c r="E508" s="446"/>
      <c r="F508" s="446"/>
      <c r="G508" s="446"/>
      <c r="H508" s="447"/>
      <c r="I508" s="448"/>
      <c r="J508" s="292"/>
    </row>
    <row r="509" spans="1:10" ht="11.25" customHeight="1" x14ac:dyDescent="0.2">
      <c r="A509" s="123"/>
      <c r="B509" s="446"/>
      <c r="C509" s="446"/>
      <c r="D509" s="446"/>
      <c r="E509" s="446"/>
      <c r="F509" s="446"/>
      <c r="G509" s="446"/>
      <c r="H509" s="447"/>
      <c r="I509" s="448"/>
      <c r="J509" s="292"/>
    </row>
    <row r="510" spans="1:10" ht="11.25" customHeight="1" x14ac:dyDescent="0.2">
      <c r="A510" s="123"/>
      <c r="B510" s="446"/>
      <c r="C510" s="446"/>
      <c r="D510" s="446"/>
      <c r="E510" s="446"/>
      <c r="F510" s="446"/>
      <c r="G510" s="446"/>
      <c r="H510" s="447"/>
      <c r="I510" s="448"/>
      <c r="J510" s="292"/>
    </row>
    <row r="511" spans="1:10" ht="11.25" customHeight="1" x14ac:dyDescent="0.2">
      <c r="A511" s="123"/>
      <c r="B511" s="446"/>
      <c r="C511" s="446"/>
      <c r="D511" s="446"/>
      <c r="E511" s="446"/>
      <c r="F511" s="446"/>
      <c r="G511" s="446"/>
      <c r="H511" s="447"/>
      <c r="I511" s="448"/>
      <c r="J511" s="292"/>
    </row>
    <row r="512" spans="1:10" ht="11.25" customHeight="1" x14ac:dyDescent="0.2"/>
    <row r="513" ht="11.25" customHeight="1" x14ac:dyDescent="0.2"/>
    <row r="514" ht="11.25" customHeight="1" x14ac:dyDescent="0.2"/>
    <row r="515" ht="11.25" customHeight="1" x14ac:dyDescent="0.2"/>
    <row r="516" ht="11.25" customHeight="1" x14ac:dyDescent="0.2"/>
    <row r="517" ht="11.25" customHeight="1" x14ac:dyDescent="0.2"/>
    <row r="518" ht="11.25" customHeight="1" x14ac:dyDescent="0.2"/>
    <row r="519" ht="11.25" customHeight="1" x14ac:dyDescent="0.2"/>
    <row r="520" ht="11.25" customHeight="1" x14ac:dyDescent="0.2"/>
    <row r="521" ht="11.25" customHeight="1" x14ac:dyDescent="0.2"/>
    <row r="522" ht="11.25" customHeight="1" x14ac:dyDescent="0.2"/>
    <row r="523" ht="11.25" customHeight="1" x14ac:dyDescent="0.2"/>
    <row r="524" ht="11.25" customHeight="1" x14ac:dyDescent="0.2"/>
    <row r="525" ht="11.25" customHeight="1" x14ac:dyDescent="0.2"/>
    <row r="526" ht="11.25" customHeight="1" x14ac:dyDescent="0.2"/>
    <row r="527" ht="11.25" customHeight="1" x14ac:dyDescent="0.2"/>
    <row r="528" ht="11.25" customHeight="1" x14ac:dyDescent="0.2"/>
    <row r="529" ht="11.25" customHeight="1" x14ac:dyDescent="0.2"/>
    <row r="530" ht="11.25" customHeight="1" x14ac:dyDescent="0.2"/>
    <row r="531" ht="11.25" customHeight="1" x14ac:dyDescent="0.2"/>
    <row r="532" ht="11.25" customHeight="1" x14ac:dyDescent="0.2"/>
    <row r="533" ht="11.25" customHeight="1" x14ac:dyDescent="0.2"/>
    <row r="534" ht="11.25" customHeight="1" x14ac:dyDescent="0.2"/>
    <row r="535" ht="11.25" customHeight="1" x14ac:dyDescent="0.2"/>
    <row r="536" ht="11.25" customHeight="1" x14ac:dyDescent="0.2"/>
    <row r="537" ht="11.25" customHeight="1" x14ac:dyDescent="0.2"/>
    <row r="538" ht="11.25" customHeight="1" x14ac:dyDescent="0.2"/>
    <row r="539" ht="11.25" customHeight="1" x14ac:dyDescent="0.2"/>
    <row r="540" ht="11.25" customHeight="1" x14ac:dyDescent="0.2"/>
    <row r="541" ht="11.25" customHeight="1" x14ac:dyDescent="0.2"/>
    <row r="542" ht="11.25" customHeight="1" x14ac:dyDescent="0.2"/>
    <row r="543" ht="11.25" customHeight="1" x14ac:dyDescent="0.2"/>
    <row r="544" ht="11.25" customHeight="1" x14ac:dyDescent="0.2"/>
    <row r="545" ht="11.25" customHeight="1" x14ac:dyDescent="0.2"/>
    <row r="546" ht="11.25" customHeight="1" x14ac:dyDescent="0.2"/>
    <row r="547" ht="11.25" customHeight="1" x14ac:dyDescent="0.2"/>
    <row r="548" ht="11.25" customHeight="1" x14ac:dyDescent="0.2"/>
    <row r="549" ht="11.25" customHeight="1" x14ac:dyDescent="0.2"/>
    <row r="550" ht="11.25" customHeight="1" x14ac:dyDescent="0.2"/>
    <row r="551" ht="11.25" customHeight="1" x14ac:dyDescent="0.2"/>
    <row r="552" ht="11.25" customHeight="1" x14ac:dyDescent="0.2"/>
    <row r="553" ht="11.25" customHeight="1" x14ac:dyDescent="0.2"/>
    <row r="554" ht="11.25" customHeight="1" x14ac:dyDescent="0.2"/>
    <row r="555" ht="11.25" customHeight="1" x14ac:dyDescent="0.2"/>
    <row r="556" ht="11.25" customHeight="1" x14ac:dyDescent="0.2"/>
    <row r="557" ht="11.25" customHeight="1" x14ac:dyDescent="0.2"/>
    <row r="558" ht="11.25" customHeight="1" x14ac:dyDescent="0.2"/>
    <row r="559" ht="11.25" customHeight="1" x14ac:dyDescent="0.2"/>
    <row r="560" ht="11.25" customHeight="1" x14ac:dyDescent="0.2"/>
    <row r="561" ht="11.25" customHeight="1" x14ac:dyDescent="0.2"/>
    <row r="562" ht="11.25" customHeight="1" x14ac:dyDescent="0.2"/>
  </sheetData>
  <mergeCells count="6">
    <mergeCell ref="A431:I431"/>
    <mergeCell ref="A1:I1"/>
    <mergeCell ref="A273:H274"/>
    <mergeCell ref="A298:J298"/>
    <mergeCell ref="A363:J363"/>
    <mergeCell ref="A428:H429"/>
  </mergeCells>
  <pageMargins left="0.7" right="0.7" top="0.75" bottom="0.75" header="0.3" footer="0.3"/>
  <pageSetup scale="95" orientation="portrait" r:id="rId1"/>
  <rowBreaks count="2" manualBreakCount="2">
    <brk id="362" max="9" man="1"/>
    <brk id="430" max="9" man="1"/>
  </rowBreak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6"/>
  <dimension ref="A1:AQ441"/>
  <sheetViews>
    <sheetView showGridLines="0" topLeftCell="A298" zoomScaleNormal="100" workbookViewId="0">
      <selection activeCell="U331" sqref="U331"/>
    </sheetView>
  </sheetViews>
  <sheetFormatPr defaultColWidth="9" defaultRowHeight="11.25" x14ac:dyDescent="0.2"/>
  <cols>
    <col min="1" max="1" width="8.25" style="383" customWidth="1"/>
    <col min="2" max="8" width="6.375" style="198" customWidth="1"/>
    <col min="9" max="9" width="6.875" style="198" bestFit="1" customWidth="1"/>
    <col min="10" max="10" width="1.625" style="198" customWidth="1"/>
    <col min="11" max="11" width="4.25" style="198" customWidth="1"/>
    <col min="12" max="16" width="6.375" style="198" customWidth="1"/>
    <col min="17" max="17" width="6" style="198" customWidth="1"/>
    <col min="18" max="18" width="6.375" style="198" customWidth="1"/>
    <col min="19" max="16384" width="9" style="1"/>
  </cols>
  <sheetData>
    <row r="1" spans="1:43" x14ac:dyDescent="0.2">
      <c r="A1" s="523" t="s">
        <v>229</v>
      </c>
      <c r="B1" s="523"/>
      <c r="C1" s="523"/>
      <c r="D1" s="523"/>
      <c r="E1" s="523"/>
      <c r="F1" s="523"/>
      <c r="G1" s="523"/>
      <c r="H1" s="523"/>
      <c r="I1" s="523"/>
      <c r="J1" s="523"/>
      <c r="K1" s="523"/>
      <c r="L1" s="523"/>
      <c r="M1" s="523"/>
      <c r="N1" s="523"/>
      <c r="O1" s="523"/>
      <c r="P1" s="523"/>
      <c r="Q1" s="523"/>
      <c r="R1" s="523"/>
      <c r="T1" s="87" t="s">
        <v>134</v>
      </c>
    </row>
    <row r="2" spans="1:43" s="380" customFormat="1" x14ac:dyDescent="0.2">
      <c r="A2" s="2" t="s">
        <v>33</v>
      </c>
      <c r="B2" s="99" t="s">
        <v>34</v>
      </c>
      <c r="C2" s="99" t="s">
        <v>35</v>
      </c>
      <c r="D2" s="99" t="s">
        <v>36</v>
      </c>
      <c r="E2" s="99" t="s">
        <v>37</v>
      </c>
      <c r="F2" s="99" t="s">
        <v>38</v>
      </c>
      <c r="G2" s="99" t="s">
        <v>39</v>
      </c>
      <c r="H2" s="99" t="s">
        <v>40</v>
      </c>
      <c r="I2" s="520" t="s">
        <v>28</v>
      </c>
      <c r="J2" s="520"/>
      <c r="K2" s="99" t="s">
        <v>34</v>
      </c>
      <c r="L2" s="99" t="s">
        <v>35</v>
      </c>
      <c r="M2" s="99" t="s">
        <v>36</v>
      </c>
      <c r="N2" s="99" t="s">
        <v>37</v>
      </c>
      <c r="O2" s="99" t="s">
        <v>38</v>
      </c>
      <c r="P2" s="99" t="s">
        <v>39</v>
      </c>
      <c r="Q2" s="99" t="s">
        <v>40</v>
      </c>
      <c r="R2" s="99" t="s">
        <v>28</v>
      </c>
      <c r="T2" s="141" t="s">
        <v>124</v>
      </c>
      <c r="U2" s="141" t="s">
        <v>124</v>
      </c>
      <c r="V2" s="141" t="s">
        <v>124</v>
      </c>
      <c r="W2" s="141" t="s">
        <v>124</v>
      </c>
      <c r="X2" s="141" t="s">
        <v>124</v>
      </c>
      <c r="Y2" s="141" t="s">
        <v>124</v>
      </c>
      <c r="Z2" s="141" t="s">
        <v>124</v>
      </c>
      <c r="AA2" s="141" t="s">
        <v>124</v>
      </c>
      <c r="AB2" s="141" t="s">
        <v>124</v>
      </c>
      <c r="AD2" s="87" t="s">
        <v>135</v>
      </c>
      <c r="AE2" s="1"/>
      <c r="AF2" s="1"/>
      <c r="AG2" s="1"/>
      <c r="AH2" s="1"/>
      <c r="AI2" s="1"/>
      <c r="AJ2" s="1"/>
      <c r="AK2" s="1"/>
      <c r="AL2" s="1"/>
    </row>
    <row r="3" spans="1:43" ht="9.75" customHeight="1" x14ac:dyDescent="0.2">
      <c r="B3" s="524" t="s">
        <v>67</v>
      </c>
      <c r="C3" s="524"/>
      <c r="D3" s="524"/>
      <c r="E3" s="524"/>
      <c r="F3" s="524"/>
      <c r="G3" s="524"/>
      <c r="H3" s="524"/>
      <c r="I3" s="524"/>
      <c r="J3" s="95"/>
      <c r="K3" s="524" t="s">
        <v>68</v>
      </c>
      <c r="L3" s="524"/>
      <c r="M3" s="524"/>
      <c r="N3" s="524"/>
      <c r="O3" s="524"/>
      <c r="P3" s="524"/>
      <c r="Q3" s="524"/>
      <c r="R3" s="524"/>
      <c r="T3" s="89" t="s">
        <v>125</v>
      </c>
      <c r="U3" s="89" t="s">
        <v>126</v>
      </c>
      <c r="V3" s="89" t="s">
        <v>127</v>
      </c>
      <c r="W3" s="90" t="s">
        <v>128</v>
      </c>
      <c r="X3" s="90" t="s">
        <v>129</v>
      </c>
      <c r="Y3" s="90" t="s">
        <v>130</v>
      </c>
      <c r="Z3" s="90" t="s">
        <v>131</v>
      </c>
      <c r="AA3" s="90" t="s">
        <v>132</v>
      </c>
      <c r="AB3" s="90" t="s">
        <v>133</v>
      </c>
      <c r="AD3" s="88" t="s">
        <v>124</v>
      </c>
      <c r="AE3" s="88" t="s">
        <v>124</v>
      </c>
      <c r="AF3" s="88" t="s">
        <v>124</v>
      </c>
      <c r="AG3" s="88" t="s">
        <v>124</v>
      </c>
      <c r="AH3" s="88" t="s">
        <v>124</v>
      </c>
      <c r="AI3" s="88" t="s">
        <v>124</v>
      </c>
      <c r="AJ3" s="88" t="s">
        <v>124</v>
      </c>
      <c r="AK3" s="88" t="s">
        <v>124</v>
      </c>
      <c r="AL3" s="88" t="s">
        <v>124</v>
      </c>
    </row>
    <row r="4" spans="1:43" ht="15" customHeight="1" x14ac:dyDescent="0.2">
      <c r="A4" s="116" t="s">
        <v>321</v>
      </c>
      <c r="AD4" s="89" t="s">
        <v>125</v>
      </c>
      <c r="AE4" s="89" t="s">
        <v>126</v>
      </c>
      <c r="AF4" s="89" t="s">
        <v>127</v>
      </c>
      <c r="AG4" s="90" t="s">
        <v>128</v>
      </c>
      <c r="AH4" s="90" t="s">
        <v>129</v>
      </c>
      <c r="AI4" s="90" t="s">
        <v>130</v>
      </c>
      <c r="AJ4" s="90" t="s">
        <v>131</v>
      </c>
      <c r="AK4" s="90" t="s">
        <v>132</v>
      </c>
      <c r="AL4" s="90" t="s">
        <v>133</v>
      </c>
    </row>
    <row r="5" spans="1:43" x14ac:dyDescent="0.2">
      <c r="A5" s="383">
        <v>1976</v>
      </c>
      <c r="B5" s="198">
        <v>55</v>
      </c>
      <c r="C5" s="198">
        <v>4129</v>
      </c>
      <c r="D5" s="198">
        <v>9894</v>
      </c>
      <c r="E5" s="198">
        <v>2977</v>
      </c>
      <c r="F5" s="198">
        <v>3382</v>
      </c>
      <c r="G5" s="198">
        <v>534</v>
      </c>
      <c r="H5" s="198" t="s">
        <v>29</v>
      </c>
      <c r="I5" s="70">
        <f t="shared" ref="I5:I13" si="0">SUM(B5:H5)</f>
        <v>20971</v>
      </c>
      <c r="K5" s="198" t="s">
        <v>29</v>
      </c>
      <c r="L5" s="198">
        <v>24964</v>
      </c>
      <c r="M5" s="198">
        <v>77293</v>
      </c>
      <c r="N5" s="198">
        <v>26460</v>
      </c>
      <c r="O5" s="198">
        <v>3729</v>
      </c>
      <c r="P5" s="198">
        <v>608</v>
      </c>
      <c r="Q5" s="198" t="s">
        <v>29</v>
      </c>
      <c r="R5" s="70">
        <f t="shared" ref="R5:R13" si="1">SUM(K5:Q5)</f>
        <v>133054</v>
      </c>
      <c r="T5" s="39">
        <v>1976</v>
      </c>
      <c r="U5" s="1">
        <v>0</v>
      </c>
      <c r="V5" s="1">
        <v>0</v>
      </c>
      <c r="W5" s="1">
        <v>0</v>
      </c>
      <c r="X5" s="1">
        <v>0</v>
      </c>
      <c r="Y5" s="1">
        <v>0</v>
      </c>
      <c r="Z5" s="1">
        <v>0</v>
      </c>
      <c r="AA5" s="1">
        <v>0</v>
      </c>
      <c r="AB5" s="92">
        <f t="shared" ref="AB5:AB19" si="2">SUM(U5:AA5)</f>
        <v>0</v>
      </c>
      <c r="AD5" s="383">
        <v>1976</v>
      </c>
      <c r="AE5" s="1">
        <v>0</v>
      </c>
      <c r="AF5" s="1">
        <v>0</v>
      </c>
      <c r="AG5" s="1">
        <v>0</v>
      </c>
      <c r="AH5" s="1">
        <v>0</v>
      </c>
      <c r="AI5" s="1">
        <v>0</v>
      </c>
      <c r="AJ5" s="1">
        <v>0</v>
      </c>
      <c r="AK5" s="1">
        <v>0</v>
      </c>
      <c r="AL5" s="92">
        <f t="shared" ref="AL5:AL19" si="3">SUM(AE5:AK5)</f>
        <v>0</v>
      </c>
    </row>
    <row r="6" spans="1:43" x14ac:dyDescent="0.2">
      <c r="A6" s="383">
        <v>1977</v>
      </c>
      <c r="B6" s="198">
        <v>556</v>
      </c>
      <c r="C6" s="198">
        <v>12608</v>
      </c>
      <c r="D6" s="198">
        <v>5836</v>
      </c>
      <c r="E6" s="198">
        <v>8950</v>
      </c>
      <c r="F6" s="198">
        <v>7098</v>
      </c>
      <c r="G6" s="198">
        <v>1237</v>
      </c>
      <c r="H6" s="198" t="s">
        <v>29</v>
      </c>
      <c r="I6" s="70">
        <f t="shared" si="0"/>
        <v>36285</v>
      </c>
      <c r="K6" s="198" t="s">
        <v>29</v>
      </c>
      <c r="L6" s="198">
        <v>2729</v>
      </c>
      <c r="M6" s="198">
        <v>4607</v>
      </c>
      <c r="N6" s="198">
        <v>8519</v>
      </c>
      <c r="O6" s="198">
        <v>2823</v>
      </c>
      <c r="P6" s="198">
        <v>47</v>
      </c>
      <c r="Q6" s="198" t="s">
        <v>29</v>
      </c>
      <c r="R6" s="70">
        <f t="shared" si="1"/>
        <v>18725</v>
      </c>
      <c r="T6" s="39">
        <v>1977</v>
      </c>
      <c r="U6" s="1">
        <v>0</v>
      </c>
      <c r="V6" s="1">
        <v>0</v>
      </c>
      <c r="W6" s="1">
        <v>0</v>
      </c>
      <c r="X6" s="1">
        <v>0</v>
      </c>
      <c r="Y6" s="1">
        <v>0</v>
      </c>
      <c r="Z6" s="1">
        <v>0</v>
      </c>
      <c r="AA6" s="1">
        <v>0</v>
      </c>
      <c r="AB6" s="92">
        <f t="shared" si="2"/>
        <v>0</v>
      </c>
      <c r="AD6" s="383">
        <v>1977</v>
      </c>
      <c r="AE6" s="1">
        <v>0</v>
      </c>
      <c r="AF6" s="1">
        <v>0</v>
      </c>
      <c r="AG6" s="1">
        <v>0</v>
      </c>
      <c r="AH6" s="1">
        <v>0</v>
      </c>
      <c r="AI6" s="1">
        <v>0</v>
      </c>
      <c r="AJ6" s="1">
        <v>0</v>
      </c>
      <c r="AK6" s="1">
        <v>0</v>
      </c>
      <c r="AL6" s="92">
        <f t="shared" si="3"/>
        <v>0</v>
      </c>
    </row>
    <row r="7" spans="1:43" x14ac:dyDescent="0.2">
      <c r="A7" s="383">
        <v>1978</v>
      </c>
      <c r="B7" s="70">
        <v>1053</v>
      </c>
      <c r="C7" s="70">
        <v>25472</v>
      </c>
      <c r="D7" s="70">
        <v>28342</v>
      </c>
      <c r="E7" s="70">
        <v>2438</v>
      </c>
      <c r="F7" s="70">
        <v>1649</v>
      </c>
      <c r="G7" s="70">
        <v>682</v>
      </c>
      <c r="H7" s="70" t="s">
        <v>29</v>
      </c>
      <c r="I7" s="70">
        <f t="shared" si="0"/>
        <v>59636</v>
      </c>
      <c r="J7" s="70"/>
      <c r="K7" s="70" t="s">
        <v>29</v>
      </c>
      <c r="L7" s="70">
        <v>14019</v>
      </c>
      <c r="M7" s="70">
        <v>87060</v>
      </c>
      <c r="N7" s="70">
        <v>12163</v>
      </c>
      <c r="O7" s="70">
        <v>2592</v>
      </c>
      <c r="P7" s="70">
        <v>490</v>
      </c>
      <c r="Q7" s="70" t="s">
        <v>29</v>
      </c>
      <c r="R7" s="70">
        <f t="shared" si="1"/>
        <v>116324</v>
      </c>
      <c r="T7" s="39">
        <v>1978</v>
      </c>
      <c r="U7" s="1">
        <v>0</v>
      </c>
      <c r="V7" s="1">
        <v>0</v>
      </c>
      <c r="W7" s="1">
        <v>0</v>
      </c>
      <c r="X7" s="1">
        <v>0</v>
      </c>
      <c r="Y7" s="1">
        <v>0</v>
      </c>
      <c r="Z7" s="1">
        <v>0</v>
      </c>
      <c r="AA7" s="1">
        <v>0</v>
      </c>
      <c r="AB7" s="92">
        <f t="shared" si="2"/>
        <v>0</v>
      </c>
      <c r="AD7" s="383">
        <v>1978</v>
      </c>
      <c r="AE7" s="1">
        <v>0</v>
      </c>
      <c r="AF7" s="1">
        <v>0</v>
      </c>
      <c r="AG7" s="1">
        <v>0</v>
      </c>
      <c r="AH7" s="1">
        <v>0</v>
      </c>
      <c r="AI7" s="1">
        <v>0</v>
      </c>
      <c r="AJ7" s="1">
        <v>0</v>
      </c>
      <c r="AK7" s="1">
        <v>0</v>
      </c>
      <c r="AL7" s="92">
        <f t="shared" si="3"/>
        <v>0</v>
      </c>
    </row>
    <row r="8" spans="1:43" x14ac:dyDescent="0.2">
      <c r="A8" s="383">
        <v>1979</v>
      </c>
      <c r="B8" s="70">
        <v>0</v>
      </c>
      <c r="C8" s="70">
        <v>11464</v>
      </c>
      <c r="D8" s="70">
        <v>11043</v>
      </c>
      <c r="E8" s="70">
        <v>32189</v>
      </c>
      <c r="F8" s="70">
        <v>15321</v>
      </c>
      <c r="G8" s="70">
        <v>1766</v>
      </c>
      <c r="H8" s="70" t="s">
        <v>29</v>
      </c>
      <c r="I8" s="70">
        <f t="shared" si="0"/>
        <v>71783</v>
      </c>
      <c r="J8" s="70"/>
      <c r="K8" s="70" t="s">
        <v>29</v>
      </c>
      <c r="L8" s="70">
        <v>7610</v>
      </c>
      <c r="M8" s="70">
        <v>17549</v>
      </c>
      <c r="N8" s="70">
        <v>46028</v>
      </c>
      <c r="O8" s="70">
        <v>4784</v>
      </c>
      <c r="P8" s="70">
        <v>245</v>
      </c>
      <c r="Q8" s="70" t="s">
        <v>29</v>
      </c>
      <c r="R8" s="70">
        <f t="shared" si="1"/>
        <v>76216</v>
      </c>
      <c r="T8" s="39">
        <v>1979</v>
      </c>
      <c r="U8" s="1">
        <v>0</v>
      </c>
      <c r="V8" s="1">
        <v>0</v>
      </c>
      <c r="W8" s="1">
        <v>0</v>
      </c>
      <c r="X8" s="1">
        <v>0</v>
      </c>
      <c r="Y8" s="1">
        <v>0</v>
      </c>
      <c r="Z8" s="1">
        <v>0</v>
      </c>
      <c r="AA8" s="1">
        <v>0</v>
      </c>
      <c r="AB8" s="92">
        <f t="shared" si="2"/>
        <v>0</v>
      </c>
      <c r="AD8" s="383">
        <v>1979</v>
      </c>
      <c r="AE8" s="1">
        <v>0</v>
      </c>
      <c r="AF8" s="1">
        <v>0</v>
      </c>
      <c r="AG8" s="1">
        <v>0</v>
      </c>
      <c r="AH8" s="1">
        <v>0</v>
      </c>
      <c r="AI8" s="1">
        <v>0</v>
      </c>
      <c r="AJ8" s="1">
        <v>0</v>
      </c>
      <c r="AK8" s="1">
        <v>0</v>
      </c>
      <c r="AL8" s="92">
        <f t="shared" si="3"/>
        <v>0</v>
      </c>
    </row>
    <row r="9" spans="1:43" x14ac:dyDescent="0.2">
      <c r="A9" s="383">
        <v>1980</v>
      </c>
      <c r="B9" s="70" t="s">
        <v>29</v>
      </c>
      <c r="C9" s="70">
        <v>16919</v>
      </c>
      <c r="D9" s="70" t="s">
        <v>29</v>
      </c>
      <c r="E9" s="70">
        <v>4849</v>
      </c>
      <c r="F9" s="70">
        <v>5277</v>
      </c>
      <c r="G9" s="70">
        <v>5577</v>
      </c>
      <c r="H9" s="70" t="s">
        <v>29</v>
      </c>
      <c r="I9" s="70">
        <f t="shared" si="0"/>
        <v>32622</v>
      </c>
      <c r="J9" s="70"/>
      <c r="K9" s="70" t="s">
        <v>29</v>
      </c>
      <c r="L9" s="70">
        <v>745</v>
      </c>
      <c r="M9" s="70" t="s">
        <v>29</v>
      </c>
      <c r="N9" s="70">
        <v>9025</v>
      </c>
      <c r="O9" s="70">
        <v>3504</v>
      </c>
      <c r="P9" s="70">
        <v>3071</v>
      </c>
      <c r="Q9" s="70" t="s">
        <v>29</v>
      </c>
      <c r="R9" s="70">
        <f t="shared" si="1"/>
        <v>16345</v>
      </c>
      <c r="T9" s="39">
        <v>1980</v>
      </c>
      <c r="U9" s="1">
        <v>0</v>
      </c>
      <c r="V9" s="1">
        <v>0</v>
      </c>
      <c r="W9" s="1">
        <v>0</v>
      </c>
      <c r="X9" s="1">
        <v>0</v>
      </c>
      <c r="Y9" s="1">
        <v>0</v>
      </c>
      <c r="Z9" s="1">
        <v>0</v>
      </c>
      <c r="AA9" s="1">
        <v>0</v>
      </c>
      <c r="AB9" s="92">
        <f t="shared" si="2"/>
        <v>0</v>
      </c>
      <c r="AD9" s="383">
        <v>1980</v>
      </c>
      <c r="AE9" s="1">
        <v>0</v>
      </c>
      <c r="AF9" s="1">
        <v>0</v>
      </c>
      <c r="AG9" s="1">
        <v>0</v>
      </c>
      <c r="AH9" s="1">
        <v>0</v>
      </c>
      <c r="AI9" s="1">
        <v>0</v>
      </c>
      <c r="AJ9" s="1">
        <v>0</v>
      </c>
      <c r="AK9" s="1">
        <v>0</v>
      </c>
      <c r="AL9" s="92">
        <f t="shared" si="3"/>
        <v>0</v>
      </c>
    </row>
    <row r="10" spans="1:43" x14ac:dyDescent="0.2">
      <c r="A10" s="383">
        <v>1981</v>
      </c>
      <c r="B10" s="70" t="s">
        <v>29</v>
      </c>
      <c r="C10" s="70">
        <v>27868</v>
      </c>
      <c r="D10" s="70">
        <v>2676</v>
      </c>
      <c r="E10" s="70">
        <v>6623</v>
      </c>
      <c r="F10" s="70">
        <v>31230</v>
      </c>
      <c r="G10" s="70">
        <v>13424</v>
      </c>
      <c r="H10" s="70" t="s">
        <v>29</v>
      </c>
      <c r="I10" s="70">
        <f t="shared" si="0"/>
        <v>81821</v>
      </c>
      <c r="J10" s="70"/>
      <c r="K10" s="70" t="s">
        <v>29</v>
      </c>
      <c r="L10" s="70">
        <v>10827</v>
      </c>
      <c r="M10" s="70">
        <v>3079</v>
      </c>
      <c r="N10" s="70">
        <v>5571</v>
      </c>
      <c r="O10" s="70">
        <v>14123</v>
      </c>
      <c r="P10" s="70">
        <v>1790</v>
      </c>
      <c r="Q10" s="70" t="s">
        <v>29</v>
      </c>
      <c r="R10" s="70">
        <f t="shared" si="1"/>
        <v>35390</v>
      </c>
      <c r="T10" s="39">
        <v>1981</v>
      </c>
      <c r="U10" s="1">
        <v>0</v>
      </c>
      <c r="V10" s="1">
        <v>0</v>
      </c>
      <c r="W10" s="1">
        <v>0</v>
      </c>
      <c r="X10" s="1">
        <v>0</v>
      </c>
      <c r="Y10" s="1">
        <v>0</v>
      </c>
      <c r="Z10" s="1">
        <v>0</v>
      </c>
      <c r="AA10" s="1">
        <v>0</v>
      </c>
      <c r="AB10" s="92">
        <f t="shared" si="2"/>
        <v>0</v>
      </c>
      <c r="AD10" s="383">
        <v>1981</v>
      </c>
      <c r="AE10" s="1">
        <v>0</v>
      </c>
      <c r="AF10" s="1">
        <v>0</v>
      </c>
      <c r="AG10" s="1">
        <v>0</v>
      </c>
      <c r="AH10" s="1">
        <v>0</v>
      </c>
      <c r="AI10" s="1">
        <v>0</v>
      </c>
      <c r="AJ10" s="1">
        <v>0</v>
      </c>
      <c r="AK10" s="1">
        <v>0</v>
      </c>
      <c r="AL10" s="92">
        <f t="shared" si="3"/>
        <v>0</v>
      </c>
    </row>
    <row r="11" spans="1:43" x14ac:dyDescent="0.2">
      <c r="A11" s="383">
        <v>1982</v>
      </c>
      <c r="B11" s="70" t="s">
        <v>29</v>
      </c>
      <c r="C11" s="70">
        <v>9725</v>
      </c>
      <c r="D11" s="70">
        <v>8084</v>
      </c>
      <c r="E11" s="70">
        <v>18780</v>
      </c>
      <c r="F11" s="70">
        <v>33044</v>
      </c>
      <c r="G11" s="70">
        <v>3684</v>
      </c>
      <c r="H11" s="70" t="s">
        <v>29</v>
      </c>
      <c r="I11" s="70">
        <f t="shared" si="0"/>
        <v>73317</v>
      </c>
      <c r="J11" s="70"/>
      <c r="K11" s="70" t="s">
        <v>29</v>
      </c>
      <c r="L11" s="70">
        <v>69</v>
      </c>
      <c r="M11" s="70">
        <v>3822</v>
      </c>
      <c r="N11" s="70">
        <v>14958</v>
      </c>
      <c r="O11" s="70">
        <v>6718</v>
      </c>
      <c r="P11" s="70">
        <v>923</v>
      </c>
      <c r="Q11" s="70" t="s">
        <v>29</v>
      </c>
      <c r="R11" s="70">
        <f t="shared" si="1"/>
        <v>26490</v>
      </c>
      <c r="T11" s="39">
        <v>1982</v>
      </c>
      <c r="U11" s="1">
        <v>0</v>
      </c>
      <c r="V11" s="1">
        <v>0</v>
      </c>
      <c r="W11" s="1">
        <v>0</v>
      </c>
      <c r="X11" s="1">
        <v>0</v>
      </c>
      <c r="Y11" s="1">
        <v>0</v>
      </c>
      <c r="Z11" s="1">
        <v>0</v>
      </c>
      <c r="AA11" s="1">
        <v>0</v>
      </c>
      <c r="AB11" s="92">
        <f t="shared" si="2"/>
        <v>0</v>
      </c>
      <c r="AD11" s="383">
        <v>1982</v>
      </c>
      <c r="AE11" s="1">
        <v>0</v>
      </c>
      <c r="AF11" s="1">
        <v>0</v>
      </c>
      <c r="AG11" s="1">
        <v>0</v>
      </c>
      <c r="AH11" s="1">
        <v>0</v>
      </c>
      <c r="AI11" s="1">
        <v>0</v>
      </c>
      <c r="AJ11" s="1">
        <v>0</v>
      </c>
      <c r="AK11" s="1">
        <v>0</v>
      </c>
      <c r="AL11" s="92">
        <f t="shared" si="3"/>
        <v>0</v>
      </c>
    </row>
    <row r="12" spans="1:43" x14ac:dyDescent="0.2">
      <c r="A12" s="383">
        <v>1983</v>
      </c>
      <c r="B12" s="70" t="s">
        <v>29</v>
      </c>
      <c r="C12" s="70">
        <v>2619</v>
      </c>
      <c r="D12" s="70">
        <v>15909</v>
      </c>
      <c r="E12" s="70">
        <v>4094</v>
      </c>
      <c r="F12" s="70">
        <v>2064</v>
      </c>
      <c r="G12" s="70" t="s">
        <v>29</v>
      </c>
      <c r="H12" s="70" t="s">
        <v>29</v>
      </c>
      <c r="I12" s="70">
        <f t="shared" si="0"/>
        <v>24686</v>
      </c>
      <c r="J12" s="70"/>
      <c r="K12" s="70" t="s">
        <v>29</v>
      </c>
      <c r="L12" s="70" t="s">
        <v>29</v>
      </c>
      <c r="M12" s="70">
        <v>8739</v>
      </c>
      <c r="N12" s="70">
        <v>5645</v>
      </c>
      <c r="O12" s="70">
        <v>1645</v>
      </c>
      <c r="P12" s="70" t="s">
        <v>29</v>
      </c>
      <c r="Q12" s="70" t="s">
        <v>29</v>
      </c>
      <c r="R12" s="70">
        <f t="shared" si="1"/>
        <v>16029</v>
      </c>
      <c r="T12" s="255">
        <v>1983</v>
      </c>
      <c r="U12" s="292">
        <v>0</v>
      </c>
      <c r="V12" s="292">
        <v>0</v>
      </c>
      <c r="W12" s="292">
        <v>0</v>
      </c>
      <c r="X12" s="292">
        <v>0</v>
      </c>
      <c r="Y12" s="292">
        <v>0</v>
      </c>
      <c r="Z12" s="292">
        <v>0</v>
      </c>
      <c r="AA12" s="292">
        <v>0</v>
      </c>
      <c r="AB12" s="93">
        <f t="shared" si="2"/>
        <v>0</v>
      </c>
      <c r="AC12" s="292"/>
      <c r="AD12" s="123">
        <v>1983</v>
      </c>
      <c r="AE12" s="292">
        <v>0</v>
      </c>
      <c r="AF12" s="292">
        <v>0</v>
      </c>
      <c r="AG12" s="292">
        <v>0</v>
      </c>
      <c r="AH12" s="292">
        <v>0</v>
      </c>
      <c r="AI12" s="292">
        <v>0</v>
      </c>
      <c r="AJ12" s="292">
        <v>0</v>
      </c>
      <c r="AK12" s="292">
        <v>0</v>
      </c>
      <c r="AL12" s="93">
        <f t="shared" si="3"/>
        <v>0</v>
      </c>
      <c r="AM12" s="292"/>
      <c r="AN12" s="292"/>
      <c r="AO12" s="292"/>
      <c r="AP12" s="292"/>
      <c r="AQ12" s="292"/>
    </row>
    <row r="13" spans="1:43" x14ac:dyDescent="0.2">
      <c r="A13" s="383">
        <v>1984</v>
      </c>
      <c r="B13" s="70" t="s">
        <v>29</v>
      </c>
      <c r="C13" s="70">
        <v>2872</v>
      </c>
      <c r="D13" s="70">
        <v>768</v>
      </c>
      <c r="E13" s="70">
        <v>5869</v>
      </c>
      <c r="F13" s="70">
        <v>4860</v>
      </c>
      <c r="G13" s="70" t="s">
        <v>29</v>
      </c>
      <c r="H13" s="70" t="s">
        <v>29</v>
      </c>
      <c r="I13" s="70">
        <f t="shared" si="0"/>
        <v>14369</v>
      </c>
      <c r="J13" s="70"/>
      <c r="K13" s="70" t="s">
        <v>29</v>
      </c>
      <c r="L13" s="70" t="s">
        <v>29</v>
      </c>
      <c r="M13" s="70" t="s">
        <v>29</v>
      </c>
      <c r="N13" s="70" t="s">
        <v>29</v>
      </c>
      <c r="O13" s="70">
        <v>2465</v>
      </c>
      <c r="P13" s="70" t="s">
        <v>29</v>
      </c>
      <c r="Q13" s="70" t="s">
        <v>29</v>
      </c>
      <c r="R13" s="70">
        <f t="shared" si="1"/>
        <v>2465</v>
      </c>
      <c r="T13" s="255">
        <v>1984</v>
      </c>
      <c r="U13" s="292">
        <v>0</v>
      </c>
      <c r="V13" s="292">
        <v>0</v>
      </c>
      <c r="W13" s="292">
        <v>0</v>
      </c>
      <c r="X13" s="292">
        <v>0</v>
      </c>
      <c r="Y13" s="292">
        <v>0</v>
      </c>
      <c r="Z13" s="292">
        <v>0</v>
      </c>
      <c r="AA13" s="292">
        <v>0</v>
      </c>
      <c r="AB13" s="93">
        <f t="shared" si="2"/>
        <v>0</v>
      </c>
      <c r="AC13" s="292"/>
      <c r="AD13" s="123">
        <v>1984</v>
      </c>
      <c r="AE13" s="292">
        <v>0</v>
      </c>
      <c r="AF13" s="292">
        <v>0</v>
      </c>
      <c r="AG13" s="292">
        <v>0</v>
      </c>
      <c r="AH13" s="292">
        <v>0</v>
      </c>
      <c r="AI13" s="292">
        <v>0</v>
      </c>
      <c r="AJ13" s="292">
        <v>0</v>
      </c>
      <c r="AK13" s="292">
        <v>0</v>
      </c>
      <c r="AL13" s="93">
        <f t="shared" si="3"/>
        <v>0</v>
      </c>
      <c r="AM13" s="292"/>
      <c r="AN13" s="292"/>
      <c r="AO13" s="292"/>
      <c r="AP13" s="292"/>
      <c r="AQ13" s="292"/>
    </row>
    <row r="14" spans="1:43" x14ac:dyDescent="0.2">
      <c r="A14" s="383">
        <v>1985</v>
      </c>
      <c r="B14" s="70" t="s">
        <v>29</v>
      </c>
      <c r="C14" s="70" t="s">
        <v>29</v>
      </c>
      <c r="D14" s="70" t="s">
        <v>29</v>
      </c>
      <c r="E14" s="70" t="s">
        <v>29</v>
      </c>
      <c r="F14" s="70" t="s">
        <v>29</v>
      </c>
      <c r="G14" s="70" t="s">
        <v>29</v>
      </c>
      <c r="H14" s="70" t="s">
        <v>29</v>
      </c>
      <c r="I14" s="70" t="s">
        <v>29</v>
      </c>
      <c r="J14" s="70"/>
      <c r="K14" s="70" t="s">
        <v>29</v>
      </c>
      <c r="L14" s="70" t="s">
        <v>29</v>
      </c>
      <c r="M14" s="70" t="s">
        <v>29</v>
      </c>
      <c r="N14" s="70" t="s">
        <v>29</v>
      </c>
      <c r="O14" s="70" t="s">
        <v>29</v>
      </c>
      <c r="P14" s="70" t="s">
        <v>29</v>
      </c>
      <c r="Q14" s="70" t="s">
        <v>29</v>
      </c>
      <c r="R14" s="70" t="s">
        <v>29</v>
      </c>
      <c r="T14" s="255">
        <v>1985</v>
      </c>
      <c r="U14" s="93" t="s">
        <v>29</v>
      </c>
      <c r="V14" s="93" t="s">
        <v>29</v>
      </c>
      <c r="W14" s="93" t="s">
        <v>29</v>
      </c>
      <c r="X14" s="93" t="s">
        <v>29</v>
      </c>
      <c r="Y14" s="93" t="s">
        <v>29</v>
      </c>
      <c r="Z14" s="93" t="s">
        <v>29</v>
      </c>
      <c r="AA14" s="93" t="s">
        <v>29</v>
      </c>
      <c r="AB14" s="93">
        <f t="shared" si="2"/>
        <v>0</v>
      </c>
      <c r="AC14" s="292"/>
      <c r="AD14" s="123">
        <v>1985</v>
      </c>
      <c r="AE14" s="292">
        <v>0</v>
      </c>
      <c r="AF14" s="292">
        <v>0</v>
      </c>
      <c r="AG14" s="292">
        <v>0</v>
      </c>
      <c r="AH14" s="292">
        <v>0</v>
      </c>
      <c r="AI14" s="292">
        <v>0</v>
      </c>
      <c r="AJ14" s="292">
        <v>0</v>
      </c>
      <c r="AK14" s="292">
        <v>0</v>
      </c>
      <c r="AL14" s="93">
        <f t="shared" si="3"/>
        <v>0</v>
      </c>
      <c r="AM14" s="292"/>
      <c r="AN14" s="292"/>
      <c r="AO14" s="292"/>
      <c r="AP14" s="292"/>
      <c r="AQ14" s="292"/>
    </row>
    <row r="15" spans="1:43" x14ac:dyDescent="0.2">
      <c r="A15" s="383">
        <v>1986</v>
      </c>
      <c r="B15" s="70" t="s">
        <v>29</v>
      </c>
      <c r="C15" s="70">
        <v>208</v>
      </c>
      <c r="D15" s="70">
        <v>4597.974023229779</v>
      </c>
      <c r="E15" s="70">
        <v>2823.2679269981118</v>
      </c>
      <c r="F15" s="70">
        <v>5583.7552850152651</v>
      </c>
      <c r="G15" s="70">
        <v>763</v>
      </c>
      <c r="H15" s="70" t="s">
        <v>29</v>
      </c>
      <c r="I15" s="70">
        <f>SUM(B15:H15)</f>
        <v>13975.997235243156</v>
      </c>
      <c r="J15" s="70"/>
      <c r="K15" s="70" t="s">
        <v>29</v>
      </c>
      <c r="L15" s="70" t="s">
        <v>29</v>
      </c>
      <c r="M15" s="70">
        <v>3535.4200013993841</v>
      </c>
      <c r="N15" s="70">
        <v>1262.473404657017</v>
      </c>
      <c r="O15" s="70" t="s">
        <v>29</v>
      </c>
      <c r="P15" s="70" t="s">
        <v>29</v>
      </c>
      <c r="Q15" s="70" t="s">
        <v>29</v>
      </c>
      <c r="R15" s="70">
        <f>SUM(K15:Q15)</f>
        <v>4797.8934060564006</v>
      </c>
      <c r="T15" s="94">
        <v>1986</v>
      </c>
      <c r="U15" s="93">
        <v>0</v>
      </c>
      <c r="V15" s="93">
        <v>208</v>
      </c>
      <c r="W15" s="93">
        <v>0</v>
      </c>
      <c r="X15" s="93">
        <v>0</v>
      </c>
      <c r="Y15" s="93">
        <v>0</v>
      </c>
      <c r="Z15" s="93">
        <v>0</v>
      </c>
      <c r="AA15" s="93">
        <v>0</v>
      </c>
      <c r="AB15" s="93">
        <f t="shared" si="2"/>
        <v>208</v>
      </c>
      <c r="AC15" s="292"/>
      <c r="AD15" s="94">
        <v>1986</v>
      </c>
      <c r="AE15" s="93">
        <v>0</v>
      </c>
      <c r="AF15" s="93">
        <v>0</v>
      </c>
      <c r="AG15" s="93">
        <v>0</v>
      </c>
      <c r="AH15" s="93">
        <v>0</v>
      </c>
      <c r="AI15" s="93">
        <v>0</v>
      </c>
      <c r="AJ15" s="93">
        <v>0</v>
      </c>
      <c r="AK15" s="93">
        <v>0</v>
      </c>
      <c r="AL15" s="93">
        <f t="shared" si="3"/>
        <v>0</v>
      </c>
      <c r="AM15" s="292"/>
      <c r="AN15" s="292"/>
      <c r="AO15" s="292"/>
      <c r="AP15" s="292"/>
      <c r="AQ15" s="292"/>
    </row>
    <row r="16" spans="1:43" x14ac:dyDescent="0.2">
      <c r="A16" s="383">
        <v>1987</v>
      </c>
      <c r="B16" s="70" t="s">
        <v>29</v>
      </c>
      <c r="C16" s="70">
        <v>781</v>
      </c>
      <c r="D16" s="70">
        <v>29165.124075715448</v>
      </c>
      <c r="E16" s="70">
        <v>3211</v>
      </c>
      <c r="F16" s="70" t="s">
        <v>29</v>
      </c>
      <c r="G16" s="70">
        <v>377.63327859879581</v>
      </c>
      <c r="H16" s="70" t="s">
        <v>29</v>
      </c>
      <c r="I16" s="70">
        <f>SUM(B16:H16)</f>
        <v>33534.757354314243</v>
      </c>
      <c r="J16" s="70"/>
      <c r="K16" s="70" t="s">
        <v>29</v>
      </c>
      <c r="L16" s="70" t="s">
        <v>29</v>
      </c>
      <c r="M16" s="70">
        <v>5514.5195905829214</v>
      </c>
      <c r="N16" s="70" t="s">
        <v>29</v>
      </c>
      <c r="O16" s="70" t="s">
        <v>29</v>
      </c>
      <c r="P16" s="70">
        <v>58.233169129720849</v>
      </c>
      <c r="Q16" s="70" t="s">
        <v>29</v>
      </c>
      <c r="R16" s="70">
        <f>SUM(K16:Q16)</f>
        <v>5572.7527597126418</v>
      </c>
      <c r="T16" s="94">
        <v>1987</v>
      </c>
      <c r="U16" s="93">
        <v>0</v>
      </c>
      <c r="V16" s="93">
        <v>781</v>
      </c>
      <c r="W16" s="93">
        <v>0</v>
      </c>
      <c r="X16" s="93">
        <v>3211</v>
      </c>
      <c r="Y16" s="93">
        <v>0</v>
      </c>
      <c r="Z16" s="93">
        <v>0</v>
      </c>
      <c r="AA16" s="93">
        <v>0</v>
      </c>
      <c r="AB16" s="93">
        <f t="shared" si="2"/>
        <v>3992</v>
      </c>
      <c r="AC16" s="292"/>
      <c r="AD16" s="94">
        <v>1987</v>
      </c>
      <c r="AE16" s="93">
        <v>0</v>
      </c>
      <c r="AF16" s="93">
        <v>0</v>
      </c>
      <c r="AG16" s="93">
        <v>0</v>
      </c>
      <c r="AH16" s="93">
        <v>192.52656574651232</v>
      </c>
      <c r="AI16" s="93">
        <v>0</v>
      </c>
      <c r="AJ16" s="93">
        <v>0</v>
      </c>
      <c r="AK16" s="93">
        <v>0</v>
      </c>
      <c r="AL16" s="93">
        <f t="shared" si="3"/>
        <v>192.52656574651232</v>
      </c>
      <c r="AM16" s="292"/>
      <c r="AN16" s="292"/>
      <c r="AO16" s="292"/>
      <c r="AP16" s="292"/>
      <c r="AQ16" s="292"/>
    </row>
    <row r="17" spans="1:43" x14ac:dyDescent="0.2">
      <c r="A17" s="383">
        <v>1988</v>
      </c>
      <c r="B17" s="70" t="s">
        <v>29</v>
      </c>
      <c r="C17" s="70">
        <v>727</v>
      </c>
      <c r="D17" s="70">
        <v>13770.314892444549</v>
      </c>
      <c r="E17" s="70" t="s">
        <v>29</v>
      </c>
      <c r="F17" s="70" t="s">
        <v>29</v>
      </c>
      <c r="G17" s="70">
        <v>1121.5257755871266</v>
      </c>
      <c r="H17" s="70" t="s">
        <v>29</v>
      </c>
      <c r="I17" s="70">
        <f>SUM(B17:H17)</f>
        <v>15618.840668031675</v>
      </c>
      <c r="J17" s="70"/>
      <c r="K17" s="70" t="s">
        <v>29</v>
      </c>
      <c r="L17" s="70" t="s">
        <v>29</v>
      </c>
      <c r="M17" s="70">
        <v>2776.1785833776153</v>
      </c>
      <c r="N17" s="70" t="s">
        <v>29</v>
      </c>
      <c r="O17" s="70" t="s">
        <v>29</v>
      </c>
      <c r="P17" s="70">
        <v>15.214496955639316</v>
      </c>
      <c r="Q17" s="70" t="s">
        <v>29</v>
      </c>
      <c r="R17" s="70">
        <f>SUM(K17:Q17)</f>
        <v>2791.3930803332546</v>
      </c>
      <c r="T17" s="94">
        <v>1988</v>
      </c>
      <c r="U17" s="93">
        <v>0</v>
      </c>
      <c r="V17" s="93">
        <v>727</v>
      </c>
      <c r="W17" s="93">
        <v>0</v>
      </c>
      <c r="X17" s="93">
        <v>0</v>
      </c>
      <c r="Y17" s="93">
        <v>0</v>
      </c>
      <c r="Z17" s="93">
        <v>0</v>
      </c>
      <c r="AA17" s="93">
        <v>0</v>
      </c>
      <c r="AB17" s="93">
        <f t="shared" si="2"/>
        <v>727</v>
      </c>
      <c r="AC17" s="292"/>
      <c r="AD17" s="94">
        <v>1988</v>
      </c>
      <c r="AE17" s="93">
        <v>0</v>
      </c>
      <c r="AF17" s="93">
        <v>0</v>
      </c>
      <c r="AG17" s="93">
        <v>0</v>
      </c>
      <c r="AH17" s="93">
        <v>0</v>
      </c>
      <c r="AI17" s="93">
        <v>0</v>
      </c>
      <c r="AJ17" s="93">
        <v>0</v>
      </c>
      <c r="AK17" s="93">
        <v>0</v>
      </c>
      <c r="AL17" s="93">
        <f t="shared" si="3"/>
        <v>0</v>
      </c>
      <c r="AM17" s="292"/>
      <c r="AN17" s="292"/>
      <c r="AO17" s="292"/>
      <c r="AP17" s="292"/>
      <c r="AQ17" s="292"/>
    </row>
    <row r="18" spans="1:43" x14ac:dyDescent="0.2">
      <c r="A18" s="383">
        <v>1989</v>
      </c>
      <c r="B18" s="70" t="s">
        <v>29</v>
      </c>
      <c r="C18" s="70">
        <v>392</v>
      </c>
      <c r="D18" s="70">
        <v>4446.5718025919623</v>
      </c>
      <c r="E18" s="70" t="s">
        <v>29</v>
      </c>
      <c r="F18" s="70">
        <v>631.06816306321173</v>
      </c>
      <c r="G18" s="70">
        <v>0</v>
      </c>
      <c r="H18" s="70" t="s">
        <v>29</v>
      </c>
      <c r="I18" s="70">
        <f>SUM(B18:H18)</f>
        <v>5469.6399656551739</v>
      </c>
      <c r="J18" s="70"/>
      <c r="K18" s="70" t="s">
        <v>29</v>
      </c>
      <c r="L18" s="70" t="s">
        <v>29</v>
      </c>
      <c r="M18" s="70">
        <v>5807.271370598246</v>
      </c>
      <c r="N18" s="70" t="s">
        <v>29</v>
      </c>
      <c r="O18" s="70">
        <v>4.8273642515266548</v>
      </c>
      <c r="P18" s="70">
        <v>0</v>
      </c>
      <c r="Q18" s="70" t="s">
        <v>29</v>
      </c>
      <c r="R18" s="70">
        <f>SUM(K18:Q18)</f>
        <v>5812.0987348497729</v>
      </c>
      <c r="T18" s="94">
        <v>1989</v>
      </c>
      <c r="U18" s="93">
        <v>0</v>
      </c>
      <c r="V18" s="93">
        <v>392</v>
      </c>
      <c r="W18" s="93">
        <v>0</v>
      </c>
      <c r="X18" s="93">
        <v>0</v>
      </c>
      <c r="Y18" s="93">
        <v>0</v>
      </c>
      <c r="Z18" s="93">
        <v>0</v>
      </c>
      <c r="AA18" s="93">
        <v>0</v>
      </c>
      <c r="AB18" s="93">
        <f t="shared" si="2"/>
        <v>392</v>
      </c>
      <c r="AC18" s="292"/>
      <c r="AD18" s="94">
        <v>1989</v>
      </c>
      <c r="AE18" s="93">
        <v>0</v>
      </c>
      <c r="AF18" s="93">
        <v>0</v>
      </c>
      <c r="AG18" s="93">
        <v>0</v>
      </c>
      <c r="AH18" s="93">
        <v>0</v>
      </c>
      <c r="AI18" s="93">
        <v>0</v>
      </c>
      <c r="AJ18" s="93">
        <v>0</v>
      </c>
      <c r="AK18" s="93">
        <v>0</v>
      </c>
      <c r="AL18" s="93">
        <f t="shared" si="3"/>
        <v>0</v>
      </c>
      <c r="AM18" s="292"/>
      <c r="AN18" s="292"/>
      <c r="AO18" s="292"/>
      <c r="AP18" s="292"/>
      <c r="AQ18" s="292"/>
    </row>
    <row r="19" spans="1:43" x14ac:dyDescent="0.2">
      <c r="A19" s="383">
        <v>1990</v>
      </c>
      <c r="B19" s="70" t="s">
        <v>29</v>
      </c>
      <c r="C19" s="70" t="s">
        <v>29</v>
      </c>
      <c r="D19" s="70" t="s">
        <v>29</v>
      </c>
      <c r="E19" s="70" t="s">
        <v>29</v>
      </c>
      <c r="F19" s="70">
        <v>1386</v>
      </c>
      <c r="G19" s="70">
        <v>0</v>
      </c>
      <c r="H19" s="70" t="s">
        <v>29</v>
      </c>
      <c r="I19" s="70">
        <f>SUM(B19:H19)</f>
        <v>1386</v>
      </c>
      <c r="J19" s="70"/>
      <c r="K19" s="70" t="s">
        <v>29</v>
      </c>
      <c r="L19" s="70" t="s">
        <v>29</v>
      </c>
      <c r="M19" s="70" t="s">
        <v>29</v>
      </c>
      <c r="N19" s="70" t="s">
        <v>29</v>
      </c>
      <c r="O19" s="70" t="s">
        <v>29</v>
      </c>
      <c r="P19" s="70">
        <v>0</v>
      </c>
      <c r="Q19" s="70">
        <v>0</v>
      </c>
      <c r="R19" s="70">
        <f>SUM(K19:Q19)</f>
        <v>0</v>
      </c>
      <c r="T19" s="94">
        <v>1990</v>
      </c>
      <c r="U19" s="93">
        <v>0</v>
      </c>
      <c r="V19" s="93">
        <v>0</v>
      </c>
      <c r="W19" s="93">
        <v>0</v>
      </c>
      <c r="X19" s="93">
        <v>0</v>
      </c>
      <c r="Y19" s="93">
        <v>0</v>
      </c>
      <c r="Z19" s="93">
        <v>0</v>
      </c>
      <c r="AA19" s="93">
        <v>0</v>
      </c>
      <c r="AB19" s="93">
        <f t="shared" si="2"/>
        <v>0</v>
      </c>
      <c r="AC19" s="292"/>
      <c r="AD19" s="94">
        <v>1990</v>
      </c>
      <c r="AE19" s="93">
        <v>0</v>
      </c>
      <c r="AF19" s="93">
        <v>0</v>
      </c>
      <c r="AG19" s="93">
        <v>0</v>
      </c>
      <c r="AH19" s="93">
        <v>0</v>
      </c>
      <c r="AI19" s="93">
        <v>0</v>
      </c>
      <c r="AJ19" s="93">
        <v>0</v>
      </c>
      <c r="AK19" s="93">
        <v>0</v>
      </c>
      <c r="AL19" s="93">
        <f t="shared" si="3"/>
        <v>0</v>
      </c>
      <c r="AM19" s="292"/>
      <c r="AN19" s="292"/>
      <c r="AO19" s="292"/>
      <c r="AP19" s="292"/>
      <c r="AQ19" s="292"/>
    </row>
    <row r="20" spans="1:43" x14ac:dyDescent="0.2">
      <c r="A20" s="383">
        <v>1991</v>
      </c>
      <c r="B20" s="70" t="s">
        <v>29</v>
      </c>
      <c r="C20" s="70" t="s">
        <v>29</v>
      </c>
      <c r="D20" s="70" t="s">
        <v>29</v>
      </c>
      <c r="E20" s="70" t="s">
        <v>29</v>
      </c>
      <c r="F20" s="70" t="s">
        <v>29</v>
      </c>
      <c r="G20" s="70" t="s">
        <v>29</v>
      </c>
      <c r="H20" s="70" t="s">
        <v>29</v>
      </c>
      <c r="I20" s="70" t="s">
        <v>29</v>
      </c>
      <c r="J20" s="70"/>
      <c r="K20" s="70" t="s">
        <v>29</v>
      </c>
      <c r="L20" s="70" t="s">
        <v>29</v>
      </c>
      <c r="M20" s="70" t="s">
        <v>29</v>
      </c>
      <c r="N20" s="70" t="s">
        <v>29</v>
      </c>
      <c r="O20" s="70" t="s">
        <v>29</v>
      </c>
      <c r="P20" s="70" t="s">
        <v>29</v>
      </c>
      <c r="Q20" s="70" t="s">
        <v>29</v>
      </c>
      <c r="R20" s="70" t="s">
        <v>29</v>
      </c>
      <c r="T20" s="94">
        <v>1991</v>
      </c>
      <c r="U20" s="505" t="s">
        <v>29</v>
      </c>
      <c r="V20" s="505" t="s">
        <v>29</v>
      </c>
      <c r="W20" s="505" t="s">
        <v>29</v>
      </c>
      <c r="X20" s="505" t="s">
        <v>29</v>
      </c>
      <c r="Y20" s="505" t="s">
        <v>29</v>
      </c>
      <c r="Z20" s="505" t="s">
        <v>29</v>
      </c>
      <c r="AA20" s="505" t="s">
        <v>29</v>
      </c>
      <c r="AB20" s="505" t="s">
        <v>29</v>
      </c>
      <c r="AC20" s="292"/>
      <c r="AD20" s="94">
        <v>1991</v>
      </c>
      <c r="AE20" s="505" t="s">
        <v>29</v>
      </c>
      <c r="AF20" s="505" t="s">
        <v>29</v>
      </c>
      <c r="AG20" s="505" t="s">
        <v>29</v>
      </c>
      <c r="AH20" s="505" t="s">
        <v>29</v>
      </c>
      <c r="AI20" s="505" t="s">
        <v>29</v>
      </c>
      <c r="AJ20" s="505" t="s">
        <v>29</v>
      </c>
      <c r="AK20" s="505" t="s">
        <v>29</v>
      </c>
      <c r="AL20" s="505" t="s">
        <v>29</v>
      </c>
      <c r="AM20" s="292"/>
      <c r="AN20" s="292"/>
      <c r="AO20" s="292"/>
      <c r="AP20" s="292"/>
      <c r="AQ20" s="292"/>
    </row>
    <row r="21" spans="1:43" x14ac:dyDescent="0.2">
      <c r="A21" s="383">
        <v>1992</v>
      </c>
      <c r="B21" s="70" t="s">
        <v>29</v>
      </c>
      <c r="C21" s="70" t="s">
        <v>29</v>
      </c>
      <c r="D21" s="70" t="s">
        <v>29</v>
      </c>
      <c r="E21" s="70" t="s">
        <v>29</v>
      </c>
      <c r="F21" s="70" t="s">
        <v>29</v>
      </c>
      <c r="G21" s="70" t="s">
        <v>29</v>
      </c>
      <c r="H21" s="70" t="s">
        <v>29</v>
      </c>
      <c r="I21" s="70" t="s">
        <v>29</v>
      </c>
      <c r="J21" s="70"/>
      <c r="K21" s="70" t="s">
        <v>29</v>
      </c>
      <c r="L21" s="70" t="s">
        <v>29</v>
      </c>
      <c r="M21" s="70" t="s">
        <v>29</v>
      </c>
      <c r="N21" s="70" t="s">
        <v>29</v>
      </c>
      <c r="O21" s="70" t="s">
        <v>29</v>
      </c>
      <c r="P21" s="70" t="s">
        <v>29</v>
      </c>
      <c r="Q21" s="70" t="s">
        <v>29</v>
      </c>
      <c r="R21" s="70" t="s">
        <v>29</v>
      </c>
      <c r="T21" s="94">
        <v>1992</v>
      </c>
      <c r="U21" s="505" t="s">
        <v>29</v>
      </c>
      <c r="V21" s="505" t="s">
        <v>29</v>
      </c>
      <c r="W21" s="505" t="s">
        <v>29</v>
      </c>
      <c r="X21" s="505" t="s">
        <v>29</v>
      </c>
      <c r="Y21" s="505" t="s">
        <v>29</v>
      </c>
      <c r="Z21" s="505" t="s">
        <v>29</v>
      </c>
      <c r="AA21" s="505" t="s">
        <v>29</v>
      </c>
      <c r="AB21" s="505" t="s">
        <v>29</v>
      </c>
      <c r="AC21" s="292"/>
      <c r="AD21" s="94">
        <v>1992</v>
      </c>
      <c r="AE21" s="505" t="s">
        <v>29</v>
      </c>
      <c r="AF21" s="505" t="s">
        <v>29</v>
      </c>
      <c r="AG21" s="505" t="s">
        <v>29</v>
      </c>
      <c r="AH21" s="505" t="s">
        <v>29</v>
      </c>
      <c r="AI21" s="505" t="s">
        <v>29</v>
      </c>
      <c r="AJ21" s="505" t="s">
        <v>29</v>
      </c>
      <c r="AK21" s="505" t="s">
        <v>29</v>
      </c>
      <c r="AL21" s="505" t="s">
        <v>29</v>
      </c>
      <c r="AM21" s="292"/>
      <c r="AN21" s="292"/>
      <c r="AO21" s="292"/>
      <c r="AP21" s="292"/>
      <c r="AQ21" s="292"/>
    </row>
    <row r="22" spans="1:43" x14ac:dyDescent="0.2">
      <c r="A22" s="383">
        <v>1993</v>
      </c>
      <c r="B22" s="70" t="s">
        <v>29</v>
      </c>
      <c r="C22" s="70" t="s">
        <v>29</v>
      </c>
      <c r="D22" s="70" t="s">
        <v>29</v>
      </c>
      <c r="E22" s="70" t="s">
        <v>29</v>
      </c>
      <c r="F22" s="70" t="s">
        <v>29</v>
      </c>
      <c r="G22" s="70" t="s">
        <v>29</v>
      </c>
      <c r="H22" s="70" t="s">
        <v>29</v>
      </c>
      <c r="I22" s="70" t="s">
        <v>29</v>
      </c>
      <c r="J22" s="70"/>
      <c r="K22" s="70" t="s">
        <v>29</v>
      </c>
      <c r="L22" s="70" t="s">
        <v>29</v>
      </c>
      <c r="M22" s="70" t="s">
        <v>29</v>
      </c>
      <c r="N22" s="70" t="s">
        <v>29</v>
      </c>
      <c r="O22" s="70" t="s">
        <v>29</v>
      </c>
      <c r="P22" s="70" t="s">
        <v>29</v>
      </c>
      <c r="Q22" s="70" t="s">
        <v>29</v>
      </c>
      <c r="R22" s="70" t="s">
        <v>29</v>
      </c>
      <c r="T22" s="94">
        <v>1993</v>
      </c>
      <c r="U22" s="505" t="s">
        <v>29</v>
      </c>
      <c r="V22" s="505" t="s">
        <v>29</v>
      </c>
      <c r="W22" s="505" t="s">
        <v>29</v>
      </c>
      <c r="X22" s="505" t="s">
        <v>29</v>
      </c>
      <c r="Y22" s="505" t="s">
        <v>29</v>
      </c>
      <c r="Z22" s="505" t="s">
        <v>29</v>
      </c>
      <c r="AA22" s="505" t="s">
        <v>29</v>
      </c>
      <c r="AB22" s="505" t="s">
        <v>29</v>
      </c>
      <c r="AC22" s="292"/>
      <c r="AD22" s="94">
        <v>1993</v>
      </c>
      <c r="AE22" s="505" t="s">
        <v>29</v>
      </c>
      <c r="AF22" s="505" t="s">
        <v>29</v>
      </c>
      <c r="AG22" s="505" t="s">
        <v>29</v>
      </c>
      <c r="AH22" s="505" t="s">
        <v>29</v>
      </c>
      <c r="AI22" s="505" t="s">
        <v>29</v>
      </c>
      <c r="AJ22" s="505" t="s">
        <v>29</v>
      </c>
      <c r="AK22" s="505" t="s">
        <v>29</v>
      </c>
      <c r="AL22" s="505" t="s">
        <v>29</v>
      </c>
      <c r="AM22" s="292"/>
      <c r="AN22" s="292"/>
      <c r="AO22" s="292"/>
      <c r="AP22" s="292"/>
      <c r="AQ22" s="292"/>
    </row>
    <row r="23" spans="1:43" x14ac:dyDescent="0.2">
      <c r="A23" s="383">
        <v>1994</v>
      </c>
      <c r="B23" s="70" t="s">
        <v>29</v>
      </c>
      <c r="C23" s="70" t="s">
        <v>29</v>
      </c>
      <c r="D23" s="70" t="s">
        <v>29</v>
      </c>
      <c r="E23" s="70" t="s">
        <v>29</v>
      </c>
      <c r="F23" s="70" t="s">
        <v>29</v>
      </c>
      <c r="G23" s="70" t="s">
        <v>29</v>
      </c>
      <c r="H23" s="70" t="s">
        <v>29</v>
      </c>
      <c r="I23" s="70" t="s">
        <v>29</v>
      </c>
      <c r="J23" s="70"/>
      <c r="K23" s="70" t="s">
        <v>29</v>
      </c>
      <c r="L23" s="70" t="s">
        <v>29</v>
      </c>
      <c r="M23" s="70" t="s">
        <v>29</v>
      </c>
      <c r="N23" s="70" t="s">
        <v>29</v>
      </c>
      <c r="O23" s="70" t="s">
        <v>29</v>
      </c>
      <c r="P23" s="70" t="s">
        <v>29</v>
      </c>
      <c r="Q23" s="70" t="s">
        <v>29</v>
      </c>
      <c r="R23" s="70" t="s">
        <v>29</v>
      </c>
      <c r="T23" s="94">
        <v>1994</v>
      </c>
      <c r="U23" s="505" t="s">
        <v>29</v>
      </c>
      <c r="V23" s="505" t="s">
        <v>29</v>
      </c>
      <c r="W23" s="505" t="s">
        <v>29</v>
      </c>
      <c r="X23" s="505" t="s">
        <v>29</v>
      </c>
      <c r="Y23" s="505" t="s">
        <v>29</v>
      </c>
      <c r="Z23" s="505" t="s">
        <v>29</v>
      </c>
      <c r="AA23" s="505" t="s">
        <v>29</v>
      </c>
      <c r="AB23" s="505" t="s">
        <v>29</v>
      </c>
      <c r="AC23" s="292"/>
      <c r="AD23" s="94">
        <v>1994</v>
      </c>
      <c r="AE23" s="505" t="s">
        <v>29</v>
      </c>
      <c r="AF23" s="505" t="s">
        <v>29</v>
      </c>
      <c r="AG23" s="505" t="s">
        <v>29</v>
      </c>
      <c r="AH23" s="505" t="s">
        <v>29</v>
      </c>
      <c r="AI23" s="505" t="s">
        <v>29</v>
      </c>
      <c r="AJ23" s="505" t="s">
        <v>29</v>
      </c>
      <c r="AK23" s="505" t="s">
        <v>29</v>
      </c>
      <c r="AL23" s="505" t="s">
        <v>29</v>
      </c>
      <c r="AM23" s="292"/>
      <c r="AN23" s="292"/>
      <c r="AO23" s="292"/>
      <c r="AP23" s="292"/>
      <c r="AQ23" s="292"/>
    </row>
    <row r="24" spans="1:43" x14ac:dyDescent="0.2">
      <c r="A24" s="383">
        <v>1995</v>
      </c>
      <c r="B24" s="70" t="s">
        <v>29</v>
      </c>
      <c r="C24" s="70" t="s">
        <v>29</v>
      </c>
      <c r="D24" s="70" t="s">
        <v>29</v>
      </c>
      <c r="E24" s="70" t="s">
        <v>29</v>
      </c>
      <c r="F24" s="70" t="s">
        <v>29</v>
      </c>
      <c r="G24" s="70" t="s">
        <v>29</v>
      </c>
      <c r="H24" s="70" t="s">
        <v>29</v>
      </c>
      <c r="I24" s="70" t="s">
        <v>29</v>
      </c>
      <c r="J24" s="70"/>
      <c r="K24" s="70" t="s">
        <v>29</v>
      </c>
      <c r="L24" s="70" t="s">
        <v>29</v>
      </c>
      <c r="M24" s="70" t="s">
        <v>29</v>
      </c>
      <c r="N24" s="70" t="s">
        <v>29</v>
      </c>
      <c r="O24" s="70" t="s">
        <v>29</v>
      </c>
      <c r="P24" s="70" t="s">
        <v>29</v>
      </c>
      <c r="Q24" s="70" t="s">
        <v>29</v>
      </c>
      <c r="R24" s="70" t="s">
        <v>29</v>
      </c>
      <c r="T24" s="94">
        <v>1995</v>
      </c>
      <c r="U24" s="505" t="s">
        <v>29</v>
      </c>
      <c r="V24" s="505" t="s">
        <v>29</v>
      </c>
      <c r="W24" s="505" t="s">
        <v>29</v>
      </c>
      <c r="X24" s="505" t="s">
        <v>29</v>
      </c>
      <c r="Y24" s="505" t="s">
        <v>29</v>
      </c>
      <c r="Z24" s="505" t="s">
        <v>29</v>
      </c>
      <c r="AA24" s="505" t="s">
        <v>29</v>
      </c>
      <c r="AB24" s="505" t="s">
        <v>29</v>
      </c>
      <c r="AC24" s="292"/>
      <c r="AD24" s="94">
        <v>1995</v>
      </c>
      <c r="AE24" s="505" t="s">
        <v>29</v>
      </c>
      <c r="AF24" s="505" t="s">
        <v>29</v>
      </c>
      <c r="AG24" s="505" t="s">
        <v>29</v>
      </c>
      <c r="AH24" s="505" t="s">
        <v>29</v>
      </c>
      <c r="AI24" s="505" t="s">
        <v>29</v>
      </c>
      <c r="AJ24" s="505" t="s">
        <v>29</v>
      </c>
      <c r="AK24" s="505" t="s">
        <v>29</v>
      </c>
      <c r="AL24" s="505" t="s">
        <v>29</v>
      </c>
      <c r="AM24" s="292"/>
      <c r="AN24" s="292"/>
      <c r="AO24" s="292"/>
      <c r="AP24" s="292"/>
      <c r="AQ24" s="292"/>
    </row>
    <row r="25" spans="1:43" x14ac:dyDescent="0.2">
      <c r="A25" s="383">
        <v>1996</v>
      </c>
      <c r="B25" s="70" t="s">
        <v>29</v>
      </c>
      <c r="C25" s="70" t="s">
        <v>29</v>
      </c>
      <c r="D25" s="70" t="s">
        <v>29</v>
      </c>
      <c r="E25" s="70" t="s">
        <v>29</v>
      </c>
      <c r="F25" s="70">
        <v>98</v>
      </c>
      <c r="G25" s="70">
        <v>156</v>
      </c>
      <c r="H25" s="70" t="s">
        <v>29</v>
      </c>
      <c r="I25" s="70">
        <f t="shared" ref="I25:I34" si="4">SUM(B25:H25)</f>
        <v>254</v>
      </c>
      <c r="J25" s="70"/>
      <c r="K25" s="70" t="s">
        <v>29</v>
      </c>
      <c r="L25" s="70" t="s">
        <v>29</v>
      </c>
      <c r="M25" s="70" t="s">
        <v>29</v>
      </c>
      <c r="N25" s="70" t="s">
        <v>29</v>
      </c>
      <c r="O25" s="70" t="s">
        <v>29</v>
      </c>
      <c r="P25" s="70" t="s">
        <v>29</v>
      </c>
      <c r="Q25" s="70" t="s">
        <v>29</v>
      </c>
      <c r="R25" s="70" t="s">
        <v>29</v>
      </c>
      <c r="T25" s="94">
        <v>1996</v>
      </c>
      <c r="U25" s="93">
        <v>0</v>
      </c>
      <c r="V25" s="93">
        <v>0</v>
      </c>
      <c r="W25" s="93">
        <v>0</v>
      </c>
      <c r="X25" s="93">
        <v>0</v>
      </c>
      <c r="Y25" s="93">
        <v>0</v>
      </c>
      <c r="Z25" s="93">
        <v>0</v>
      </c>
      <c r="AA25" s="93">
        <v>0</v>
      </c>
      <c r="AB25" s="93">
        <f t="shared" ref="AB25:AB33" si="5">SUM(U25:AA25)</f>
        <v>0</v>
      </c>
      <c r="AC25" s="292"/>
      <c r="AD25" s="94">
        <v>1996</v>
      </c>
      <c r="AE25" s="505" t="s">
        <v>29</v>
      </c>
      <c r="AF25" s="505" t="s">
        <v>29</v>
      </c>
      <c r="AG25" s="505" t="s">
        <v>29</v>
      </c>
      <c r="AH25" s="505" t="s">
        <v>29</v>
      </c>
      <c r="AI25" s="505" t="s">
        <v>29</v>
      </c>
      <c r="AJ25" s="505" t="s">
        <v>29</v>
      </c>
      <c r="AK25" s="505" t="s">
        <v>29</v>
      </c>
      <c r="AL25" s="505" t="s">
        <v>29</v>
      </c>
      <c r="AM25" s="292"/>
      <c r="AN25" s="292"/>
      <c r="AO25" s="292"/>
      <c r="AP25" s="292"/>
      <c r="AQ25" s="292"/>
    </row>
    <row r="26" spans="1:43" x14ac:dyDescent="0.2">
      <c r="A26" s="383">
        <v>1997</v>
      </c>
      <c r="B26" s="70" t="s">
        <v>29</v>
      </c>
      <c r="C26" s="70" t="s">
        <v>29</v>
      </c>
      <c r="D26" s="70" t="s">
        <v>29</v>
      </c>
      <c r="E26" s="70" t="s">
        <v>29</v>
      </c>
      <c r="F26" s="70" t="s">
        <v>29</v>
      </c>
      <c r="G26" s="70">
        <v>0</v>
      </c>
      <c r="H26" s="70" t="s">
        <v>29</v>
      </c>
      <c r="I26" s="70">
        <f t="shared" si="4"/>
        <v>0</v>
      </c>
      <c r="J26" s="70"/>
      <c r="K26" s="70" t="s">
        <v>29</v>
      </c>
      <c r="L26" s="70" t="s">
        <v>29</v>
      </c>
      <c r="M26" s="70" t="s">
        <v>29</v>
      </c>
      <c r="N26" s="70" t="s">
        <v>29</v>
      </c>
      <c r="O26" s="70" t="s">
        <v>29</v>
      </c>
      <c r="P26" s="70" t="s">
        <v>29</v>
      </c>
      <c r="Q26" s="70" t="s">
        <v>29</v>
      </c>
      <c r="R26" s="70" t="s">
        <v>29</v>
      </c>
      <c r="T26" s="94">
        <v>1997</v>
      </c>
      <c r="U26" s="93">
        <v>0</v>
      </c>
      <c r="V26" s="93">
        <v>0</v>
      </c>
      <c r="W26" s="93">
        <v>0</v>
      </c>
      <c r="X26" s="93">
        <v>0</v>
      </c>
      <c r="Y26" s="93">
        <v>0</v>
      </c>
      <c r="Z26" s="93">
        <v>0</v>
      </c>
      <c r="AA26" s="93">
        <v>0</v>
      </c>
      <c r="AB26" s="93">
        <f t="shared" si="5"/>
        <v>0</v>
      </c>
      <c r="AC26" s="292"/>
      <c r="AD26" s="94">
        <v>1997</v>
      </c>
      <c r="AE26" s="505" t="s">
        <v>29</v>
      </c>
      <c r="AF26" s="505" t="s">
        <v>29</v>
      </c>
      <c r="AG26" s="505" t="s">
        <v>29</v>
      </c>
      <c r="AH26" s="505" t="s">
        <v>29</v>
      </c>
      <c r="AI26" s="505" t="s">
        <v>29</v>
      </c>
      <c r="AJ26" s="505" t="s">
        <v>29</v>
      </c>
      <c r="AK26" s="505" t="s">
        <v>29</v>
      </c>
      <c r="AL26" s="505" t="s">
        <v>29</v>
      </c>
      <c r="AM26" s="292"/>
      <c r="AN26" s="292"/>
      <c r="AO26" s="292"/>
      <c r="AP26" s="292"/>
      <c r="AQ26" s="292"/>
    </row>
    <row r="27" spans="1:43" x14ac:dyDescent="0.2">
      <c r="A27" s="383">
        <v>1998</v>
      </c>
      <c r="B27" s="70" t="s">
        <v>29</v>
      </c>
      <c r="C27" s="70" t="s">
        <v>29</v>
      </c>
      <c r="D27" s="70" t="s">
        <v>29</v>
      </c>
      <c r="E27" s="70" t="s">
        <v>29</v>
      </c>
      <c r="F27" s="70" t="s">
        <v>29</v>
      </c>
      <c r="G27" s="70">
        <v>0</v>
      </c>
      <c r="H27" s="70" t="s">
        <v>29</v>
      </c>
      <c r="I27" s="70">
        <f t="shared" si="4"/>
        <v>0</v>
      </c>
      <c r="J27" s="70"/>
      <c r="K27" s="70" t="s">
        <v>29</v>
      </c>
      <c r="L27" s="70" t="s">
        <v>29</v>
      </c>
      <c r="M27" s="70" t="s">
        <v>29</v>
      </c>
      <c r="N27" s="70" t="s">
        <v>29</v>
      </c>
      <c r="O27" s="70" t="s">
        <v>29</v>
      </c>
      <c r="P27" s="70" t="s">
        <v>29</v>
      </c>
      <c r="Q27" s="70" t="s">
        <v>29</v>
      </c>
      <c r="R27" s="70" t="s">
        <v>29</v>
      </c>
      <c r="T27" s="94">
        <v>1998</v>
      </c>
      <c r="U27" s="93">
        <v>0</v>
      </c>
      <c r="V27" s="93">
        <v>0</v>
      </c>
      <c r="W27" s="93">
        <v>0</v>
      </c>
      <c r="X27" s="93">
        <v>0</v>
      </c>
      <c r="Y27" s="93">
        <v>0</v>
      </c>
      <c r="Z27" s="93">
        <v>0</v>
      </c>
      <c r="AA27" s="93">
        <v>0</v>
      </c>
      <c r="AB27" s="93">
        <f t="shared" si="5"/>
        <v>0</v>
      </c>
      <c r="AC27" s="292"/>
      <c r="AD27" s="94">
        <v>1998</v>
      </c>
      <c r="AE27" s="505" t="s">
        <v>29</v>
      </c>
      <c r="AF27" s="505" t="s">
        <v>29</v>
      </c>
      <c r="AG27" s="505" t="s">
        <v>29</v>
      </c>
      <c r="AH27" s="505" t="s">
        <v>29</v>
      </c>
      <c r="AI27" s="505" t="s">
        <v>29</v>
      </c>
      <c r="AJ27" s="505" t="s">
        <v>29</v>
      </c>
      <c r="AK27" s="505" t="s">
        <v>29</v>
      </c>
      <c r="AL27" s="505" t="s">
        <v>29</v>
      </c>
      <c r="AM27" s="292"/>
      <c r="AN27" s="292"/>
      <c r="AO27" s="292"/>
      <c r="AP27" s="292"/>
      <c r="AQ27" s="292"/>
    </row>
    <row r="28" spans="1:43" x14ac:dyDescent="0.2">
      <c r="A28" s="383">
        <v>1999</v>
      </c>
      <c r="B28" s="70" t="s">
        <v>29</v>
      </c>
      <c r="C28" s="70" t="s">
        <v>29</v>
      </c>
      <c r="D28" s="70" t="s">
        <v>29</v>
      </c>
      <c r="E28" s="70" t="s">
        <v>29</v>
      </c>
      <c r="F28" s="70" t="s">
        <v>29</v>
      </c>
      <c r="G28" s="70">
        <v>125</v>
      </c>
      <c r="H28" s="70" t="s">
        <v>29</v>
      </c>
      <c r="I28" s="70">
        <f t="shared" si="4"/>
        <v>125</v>
      </c>
      <c r="J28" s="70"/>
      <c r="K28" s="70" t="s">
        <v>29</v>
      </c>
      <c r="L28" s="70" t="s">
        <v>29</v>
      </c>
      <c r="M28" s="70" t="s">
        <v>29</v>
      </c>
      <c r="N28" s="70" t="s">
        <v>29</v>
      </c>
      <c r="O28" s="70" t="s">
        <v>29</v>
      </c>
      <c r="P28" s="70" t="s">
        <v>29</v>
      </c>
      <c r="Q28" s="70" t="s">
        <v>29</v>
      </c>
      <c r="R28" s="70" t="s">
        <v>29</v>
      </c>
      <c r="T28" s="94">
        <v>1999</v>
      </c>
      <c r="U28" s="93">
        <v>0</v>
      </c>
      <c r="V28" s="93">
        <v>0</v>
      </c>
      <c r="W28" s="93">
        <v>0</v>
      </c>
      <c r="X28" s="93">
        <v>0</v>
      </c>
      <c r="Y28" s="93">
        <v>0</v>
      </c>
      <c r="Z28" s="93">
        <v>0</v>
      </c>
      <c r="AA28" s="93">
        <v>0</v>
      </c>
      <c r="AB28" s="93">
        <f t="shared" si="5"/>
        <v>0</v>
      </c>
      <c r="AC28" s="292"/>
      <c r="AD28" s="94">
        <v>1999</v>
      </c>
      <c r="AE28" s="505" t="s">
        <v>29</v>
      </c>
      <c r="AF28" s="505" t="s">
        <v>29</v>
      </c>
      <c r="AG28" s="505" t="s">
        <v>29</v>
      </c>
      <c r="AH28" s="505" t="s">
        <v>29</v>
      </c>
      <c r="AI28" s="505" t="s">
        <v>29</v>
      </c>
      <c r="AJ28" s="505" t="s">
        <v>29</v>
      </c>
      <c r="AK28" s="505" t="s">
        <v>29</v>
      </c>
      <c r="AL28" s="505" t="s">
        <v>29</v>
      </c>
      <c r="AM28" s="292"/>
      <c r="AN28" s="292"/>
      <c r="AO28" s="292"/>
      <c r="AP28" s="292"/>
      <c r="AQ28" s="292"/>
    </row>
    <row r="29" spans="1:43" x14ac:dyDescent="0.2">
      <c r="A29" s="383">
        <v>2000</v>
      </c>
      <c r="B29" s="70" t="s">
        <v>29</v>
      </c>
      <c r="C29" s="70" t="s">
        <v>29</v>
      </c>
      <c r="D29" s="70" t="s">
        <v>29</v>
      </c>
      <c r="E29" s="70" t="s">
        <v>29</v>
      </c>
      <c r="F29" s="70" t="s">
        <v>29</v>
      </c>
      <c r="G29" s="70">
        <v>251</v>
      </c>
      <c r="H29" s="70" t="s">
        <v>29</v>
      </c>
      <c r="I29" s="70">
        <f t="shared" si="4"/>
        <v>251</v>
      </c>
      <c r="J29" s="70"/>
      <c r="K29" s="70" t="s">
        <v>29</v>
      </c>
      <c r="L29" s="70" t="s">
        <v>29</v>
      </c>
      <c r="M29" s="70" t="s">
        <v>29</v>
      </c>
      <c r="N29" s="70" t="s">
        <v>29</v>
      </c>
      <c r="O29" s="70" t="s">
        <v>29</v>
      </c>
      <c r="P29" s="70" t="s">
        <v>29</v>
      </c>
      <c r="Q29" s="70" t="s">
        <v>29</v>
      </c>
      <c r="R29" s="70" t="s">
        <v>29</v>
      </c>
      <c r="T29" s="94">
        <v>2000</v>
      </c>
      <c r="U29" s="93">
        <v>0</v>
      </c>
      <c r="V29" s="93">
        <v>0</v>
      </c>
      <c r="W29" s="93">
        <v>0</v>
      </c>
      <c r="X29" s="93">
        <v>0</v>
      </c>
      <c r="Y29" s="93">
        <v>0</v>
      </c>
      <c r="Z29" s="93">
        <v>0</v>
      </c>
      <c r="AA29" s="93">
        <v>0</v>
      </c>
      <c r="AB29" s="93">
        <f t="shared" si="5"/>
        <v>0</v>
      </c>
      <c r="AC29" s="292"/>
      <c r="AD29" s="94">
        <v>2000</v>
      </c>
      <c r="AE29" s="505" t="s">
        <v>29</v>
      </c>
      <c r="AF29" s="505" t="s">
        <v>29</v>
      </c>
      <c r="AG29" s="505" t="s">
        <v>29</v>
      </c>
      <c r="AH29" s="505" t="s">
        <v>29</v>
      </c>
      <c r="AI29" s="505" t="s">
        <v>29</v>
      </c>
      <c r="AJ29" s="505" t="s">
        <v>29</v>
      </c>
      <c r="AK29" s="505" t="s">
        <v>29</v>
      </c>
      <c r="AL29" s="505" t="s">
        <v>29</v>
      </c>
      <c r="AM29" s="292"/>
      <c r="AN29" s="292"/>
      <c r="AO29" s="292"/>
      <c r="AP29" s="292"/>
      <c r="AQ29" s="292"/>
    </row>
    <row r="30" spans="1:43" x14ac:dyDescent="0.2">
      <c r="A30" s="383">
        <v>2001</v>
      </c>
      <c r="B30" s="70" t="s">
        <v>29</v>
      </c>
      <c r="C30" s="70" t="s">
        <v>29</v>
      </c>
      <c r="D30" s="70" t="s">
        <v>29</v>
      </c>
      <c r="E30" s="70" t="s">
        <v>29</v>
      </c>
      <c r="F30" s="70" t="s">
        <v>29</v>
      </c>
      <c r="G30" s="70">
        <v>223</v>
      </c>
      <c r="H30" s="70" t="s">
        <v>29</v>
      </c>
      <c r="I30" s="70">
        <f t="shared" si="4"/>
        <v>223</v>
      </c>
      <c r="J30" s="70"/>
      <c r="K30" s="70" t="s">
        <v>29</v>
      </c>
      <c r="L30" s="70"/>
      <c r="M30" s="70" t="s">
        <v>29</v>
      </c>
      <c r="N30" s="70" t="s">
        <v>29</v>
      </c>
      <c r="O30" s="70" t="s">
        <v>29</v>
      </c>
      <c r="P30" s="70" t="s">
        <v>29</v>
      </c>
      <c r="Q30" s="70" t="s">
        <v>29</v>
      </c>
      <c r="R30" s="70" t="s">
        <v>29</v>
      </c>
      <c r="T30" s="94">
        <v>2001</v>
      </c>
      <c r="U30" s="93">
        <v>0</v>
      </c>
      <c r="V30" s="93">
        <v>0</v>
      </c>
      <c r="W30" s="93">
        <v>0</v>
      </c>
      <c r="X30" s="93">
        <v>0</v>
      </c>
      <c r="Y30" s="93">
        <v>0</v>
      </c>
      <c r="Z30" s="93">
        <v>0</v>
      </c>
      <c r="AA30" s="93">
        <v>0</v>
      </c>
      <c r="AB30" s="93">
        <f t="shared" si="5"/>
        <v>0</v>
      </c>
      <c r="AC30" s="292"/>
      <c r="AD30" s="94">
        <v>2001</v>
      </c>
      <c r="AE30" s="505" t="s">
        <v>29</v>
      </c>
      <c r="AF30" s="505" t="s">
        <v>29</v>
      </c>
      <c r="AG30" s="505" t="s">
        <v>29</v>
      </c>
      <c r="AH30" s="505" t="s">
        <v>29</v>
      </c>
      <c r="AI30" s="505" t="s">
        <v>29</v>
      </c>
      <c r="AJ30" s="505" t="s">
        <v>29</v>
      </c>
      <c r="AK30" s="505" t="s">
        <v>29</v>
      </c>
      <c r="AL30" s="505" t="s">
        <v>29</v>
      </c>
      <c r="AM30" s="292"/>
      <c r="AN30" s="292"/>
      <c r="AO30" s="292"/>
      <c r="AP30" s="292"/>
      <c r="AQ30" s="292"/>
    </row>
    <row r="31" spans="1:43" x14ac:dyDescent="0.2">
      <c r="A31" s="383">
        <v>2002</v>
      </c>
      <c r="B31" s="70" t="s">
        <v>29</v>
      </c>
      <c r="C31" s="70" t="s">
        <v>29</v>
      </c>
      <c r="D31" s="70" t="s">
        <v>29</v>
      </c>
      <c r="E31" s="70" t="s">
        <v>29</v>
      </c>
      <c r="F31" s="70">
        <v>681</v>
      </c>
      <c r="G31" s="70">
        <v>3354</v>
      </c>
      <c r="H31" s="70">
        <v>424</v>
      </c>
      <c r="I31" s="70">
        <f t="shared" si="4"/>
        <v>4459</v>
      </c>
      <c r="J31" s="96" t="s">
        <v>31</v>
      </c>
      <c r="K31" s="70" t="s">
        <v>29</v>
      </c>
      <c r="L31" s="70" t="s">
        <v>29</v>
      </c>
      <c r="M31" s="70" t="s">
        <v>29</v>
      </c>
      <c r="N31" s="70" t="s">
        <v>29</v>
      </c>
      <c r="O31" s="70" t="s">
        <v>29</v>
      </c>
      <c r="P31" s="70" t="s">
        <v>29</v>
      </c>
      <c r="Q31" s="70" t="s">
        <v>29</v>
      </c>
      <c r="R31" s="70" t="s">
        <v>29</v>
      </c>
      <c r="T31" s="94">
        <v>2002</v>
      </c>
      <c r="U31" s="292">
        <v>0</v>
      </c>
      <c r="V31" s="292">
        <v>0</v>
      </c>
      <c r="W31" s="292">
        <v>0</v>
      </c>
      <c r="X31" s="292">
        <v>0</v>
      </c>
      <c r="Y31" s="292">
        <v>0</v>
      </c>
      <c r="Z31" s="292">
        <v>372</v>
      </c>
      <c r="AA31" s="292">
        <v>424</v>
      </c>
      <c r="AB31" s="93">
        <f t="shared" si="5"/>
        <v>796</v>
      </c>
      <c r="AC31" s="292"/>
      <c r="AD31" s="94">
        <v>2002</v>
      </c>
      <c r="AE31" s="505" t="s">
        <v>29</v>
      </c>
      <c r="AF31" s="505" t="s">
        <v>29</v>
      </c>
      <c r="AG31" s="505" t="s">
        <v>29</v>
      </c>
      <c r="AH31" s="505" t="s">
        <v>29</v>
      </c>
      <c r="AI31" s="505" t="s">
        <v>29</v>
      </c>
      <c r="AJ31" s="505" t="s">
        <v>29</v>
      </c>
      <c r="AK31" s="505" t="s">
        <v>29</v>
      </c>
      <c r="AL31" s="505" t="s">
        <v>29</v>
      </c>
      <c r="AM31" s="292"/>
      <c r="AN31" s="292"/>
      <c r="AO31" s="292"/>
      <c r="AP31" s="292"/>
      <c r="AQ31" s="292"/>
    </row>
    <row r="32" spans="1:43" x14ac:dyDescent="0.2">
      <c r="A32" s="383">
        <v>2003</v>
      </c>
      <c r="B32" s="70">
        <v>1654</v>
      </c>
      <c r="C32" s="70">
        <v>84</v>
      </c>
      <c r="D32" s="70">
        <v>100</v>
      </c>
      <c r="E32" s="70" t="s">
        <v>29</v>
      </c>
      <c r="F32" s="70" t="s">
        <v>29</v>
      </c>
      <c r="G32" s="70">
        <v>1356</v>
      </c>
      <c r="H32" s="70">
        <v>162</v>
      </c>
      <c r="I32" s="70">
        <f t="shared" si="4"/>
        <v>3356</v>
      </c>
      <c r="J32" s="96" t="s">
        <v>31</v>
      </c>
      <c r="K32" s="70" t="s">
        <v>29</v>
      </c>
      <c r="L32" s="70" t="s">
        <v>29</v>
      </c>
      <c r="M32" s="70" t="s">
        <v>29</v>
      </c>
      <c r="N32" s="70" t="s">
        <v>29</v>
      </c>
      <c r="O32" s="70" t="s">
        <v>29</v>
      </c>
      <c r="P32" s="70" t="s">
        <v>29</v>
      </c>
      <c r="Q32" s="70" t="s">
        <v>29</v>
      </c>
      <c r="R32" s="70" t="s">
        <v>29</v>
      </c>
      <c r="T32" s="94">
        <v>2003</v>
      </c>
      <c r="U32" s="292">
        <v>1654</v>
      </c>
      <c r="V32" s="292">
        <v>84</v>
      </c>
      <c r="W32" s="292">
        <v>100</v>
      </c>
      <c r="X32" s="292">
        <v>0</v>
      </c>
      <c r="Y32" s="292">
        <v>0</v>
      </c>
      <c r="Z32" s="292">
        <v>0</v>
      </c>
      <c r="AA32" s="292">
        <v>162</v>
      </c>
      <c r="AB32" s="93">
        <f t="shared" si="5"/>
        <v>2000</v>
      </c>
      <c r="AC32" s="292"/>
      <c r="AD32" s="94">
        <v>2003</v>
      </c>
      <c r="AE32" s="505" t="s">
        <v>29</v>
      </c>
      <c r="AF32" s="505" t="s">
        <v>29</v>
      </c>
      <c r="AG32" s="505" t="s">
        <v>29</v>
      </c>
      <c r="AH32" s="505" t="s">
        <v>29</v>
      </c>
      <c r="AI32" s="505" t="s">
        <v>29</v>
      </c>
      <c r="AJ32" s="505" t="s">
        <v>29</v>
      </c>
      <c r="AK32" s="505" t="s">
        <v>29</v>
      </c>
      <c r="AL32" s="505" t="s">
        <v>29</v>
      </c>
      <c r="AM32" s="292"/>
      <c r="AN32" s="292"/>
      <c r="AO32" s="292"/>
      <c r="AP32" s="292"/>
      <c r="AQ32" s="292"/>
    </row>
    <row r="33" spans="1:43" x14ac:dyDescent="0.2">
      <c r="A33" s="383">
        <v>2004</v>
      </c>
      <c r="B33" s="70">
        <v>718</v>
      </c>
      <c r="C33" s="70" t="s">
        <v>29</v>
      </c>
      <c r="D33" s="70">
        <v>6</v>
      </c>
      <c r="E33" s="70">
        <v>5245</v>
      </c>
      <c r="F33" s="70">
        <v>19686</v>
      </c>
      <c r="G33" s="70">
        <v>565</v>
      </c>
      <c r="H33" s="70" t="s">
        <v>29</v>
      </c>
      <c r="I33" s="70">
        <f t="shared" si="4"/>
        <v>26220</v>
      </c>
      <c r="J33" s="96" t="s">
        <v>31</v>
      </c>
      <c r="K33" s="70" t="s">
        <v>29</v>
      </c>
      <c r="L33" s="70" t="s">
        <v>29</v>
      </c>
      <c r="M33" s="70" t="s">
        <v>29</v>
      </c>
      <c r="N33" s="70" t="s">
        <v>29</v>
      </c>
      <c r="O33" s="70" t="s">
        <v>29</v>
      </c>
      <c r="P33" s="70" t="s">
        <v>29</v>
      </c>
      <c r="Q33" s="70" t="s">
        <v>29</v>
      </c>
      <c r="R33" s="70" t="s">
        <v>29</v>
      </c>
      <c r="T33" s="94">
        <v>2004</v>
      </c>
      <c r="U33" s="292">
        <v>718</v>
      </c>
      <c r="V33" s="292">
        <v>0</v>
      </c>
      <c r="W33" s="292">
        <v>6</v>
      </c>
      <c r="X33" s="292">
        <v>5245</v>
      </c>
      <c r="Y33" s="292">
        <v>19686</v>
      </c>
      <c r="Z33" s="292">
        <v>0</v>
      </c>
      <c r="AA33" s="292">
        <v>0</v>
      </c>
      <c r="AB33" s="93">
        <f t="shared" si="5"/>
        <v>25655</v>
      </c>
      <c r="AC33" s="292"/>
      <c r="AD33" s="94">
        <v>2004</v>
      </c>
      <c r="AE33" s="505" t="s">
        <v>29</v>
      </c>
      <c r="AF33" s="505" t="s">
        <v>29</v>
      </c>
      <c r="AG33" s="505" t="s">
        <v>29</v>
      </c>
      <c r="AH33" s="505" t="s">
        <v>29</v>
      </c>
      <c r="AI33" s="505" t="s">
        <v>29</v>
      </c>
      <c r="AJ33" s="505" t="s">
        <v>29</v>
      </c>
      <c r="AK33" s="505" t="s">
        <v>29</v>
      </c>
      <c r="AL33" s="505" t="s">
        <v>29</v>
      </c>
      <c r="AM33" s="292"/>
      <c r="AN33" s="292"/>
      <c r="AO33" s="292"/>
      <c r="AP33" s="292"/>
      <c r="AQ33" s="292"/>
    </row>
    <row r="34" spans="1:43" x14ac:dyDescent="0.2">
      <c r="A34" s="383">
        <v>2005</v>
      </c>
      <c r="B34" s="70" t="s">
        <v>29</v>
      </c>
      <c r="C34" s="70" t="s">
        <v>29</v>
      </c>
      <c r="D34" s="70" t="s">
        <v>29</v>
      </c>
      <c r="E34" s="70" t="s">
        <v>29</v>
      </c>
      <c r="F34" s="70" t="s">
        <v>29</v>
      </c>
      <c r="G34" s="70">
        <v>1255</v>
      </c>
      <c r="H34" s="70" t="s">
        <v>29</v>
      </c>
      <c r="I34" s="70">
        <f t="shared" si="4"/>
        <v>1255</v>
      </c>
      <c r="J34" s="96"/>
      <c r="K34" s="70" t="s">
        <v>29</v>
      </c>
      <c r="L34" s="70" t="s">
        <v>29</v>
      </c>
      <c r="M34" s="70" t="s">
        <v>29</v>
      </c>
      <c r="N34" s="70" t="s">
        <v>29</v>
      </c>
      <c r="O34" s="70" t="s">
        <v>29</v>
      </c>
      <c r="P34" s="70" t="s">
        <v>29</v>
      </c>
      <c r="Q34" s="70" t="s">
        <v>29</v>
      </c>
      <c r="R34" s="70" t="s">
        <v>29</v>
      </c>
      <c r="T34" s="94"/>
      <c r="U34" s="70"/>
      <c r="V34" s="70"/>
      <c r="W34" s="70"/>
      <c r="X34" s="70"/>
      <c r="Y34" s="70"/>
      <c r="Z34" s="70"/>
      <c r="AA34" s="70"/>
      <c r="AB34" s="93"/>
      <c r="AC34" s="292"/>
      <c r="AD34" s="94"/>
      <c r="AE34" s="505" t="s">
        <v>29</v>
      </c>
      <c r="AF34" s="505" t="s">
        <v>29</v>
      </c>
      <c r="AG34" s="505" t="s">
        <v>29</v>
      </c>
      <c r="AH34" s="505" t="s">
        <v>29</v>
      </c>
      <c r="AI34" s="505" t="s">
        <v>29</v>
      </c>
      <c r="AJ34" s="505" t="s">
        <v>29</v>
      </c>
      <c r="AK34" s="505" t="s">
        <v>29</v>
      </c>
      <c r="AL34" s="505" t="s">
        <v>29</v>
      </c>
      <c r="AM34" s="292"/>
      <c r="AN34" s="292"/>
      <c r="AO34" s="292"/>
      <c r="AP34" s="292"/>
      <c r="AQ34" s="292"/>
    </row>
    <row r="35" spans="1:43" x14ac:dyDescent="0.2">
      <c r="A35" s="383">
        <v>2006</v>
      </c>
      <c r="B35" s="70" t="s">
        <v>29</v>
      </c>
      <c r="C35" s="70" t="s">
        <v>29</v>
      </c>
      <c r="D35" s="70" t="s">
        <v>29</v>
      </c>
      <c r="E35" s="70" t="s">
        <v>29</v>
      </c>
      <c r="F35" s="70" t="s">
        <v>29</v>
      </c>
      <c r="G35" s="70" t="s">
        <v>29</v>
      </c>
      <c r="H35" s="70" t="s">
        <v>29</v>
      </c>
      <c r="I35" s="70" t="s">
        <v>29</v>
      </c>
      <c r="J35" s="96"/>
      <c r="K35" s="70" t="s">
        <v>29</v>
      </c>
      <c r="L35" s="70" t="s">
        <v>29</v>
      </c>
      <c r="M35" s="70" t="s">
        <v>29</v>
      </c>
      <c r="N35" s="70" t="s">
        <v>29</v>
      </c>
      <c r="O35" s="70" t="s">
        <v>29</v>
      </c>
      <c r="P35" s="70" t="s">
        <v>29</v>
      </c>
      <c r="Q35" s="70" t="s">
        <v>29</v>
      </c>
      <c r="R35" s="70" t="s">
        <v>29</v>
      </c>
      <c r="T35" s="94"/>
      <c r="U35" s="70"/>
      <c r="V35" s="70"/>
      <c r="W35" s="70"/>
      <c r="X35" s="70"/>
      <c r="Y35" s="70"/>
      <c r="Z35" s="70"/>
      <c r="AA35" s="70"/>
      <c r="AB35" s="93"/>
      <c r="AC35" s="292"/>
      <c r="AD35" s="94"/>
      <c r="AE35" s="505" t="s">
        <v>29</v>
      </c>
      <c r="AF35" s="505" t="s">
        <v>29</v>
      </c>
      <c r="AG35" s="505" t="s">
        <v>29</v>
      </c>
      <c r="AH35" s="505" t="s">
        <v>29</v>
      </c>
      <c r="AI35" s="505" t="s">
        <v>29</v>
      </c>
      <c r="AJ35" s="505" t="s">
        <v>29</v>
      </c>
      <c r="AK35" s="505" t="s">
        <v>29</v>
      </c>
      <c r="AL35" s="505" t="s">
        <v>29</v>
      </c>
      <c r="AM35" s="292"/>
      <c r="AN35" s="292"/>
      <c r="AO35" s="292"/>
      <c r="AP35" s="292"/>
      <c r="AQ35" s="292"/>
    </row>
    <row r="36" spans="1:43" s="374" customFormat="1" x14ac:dyDescent="0.2">
      <c r="A36" s="402">
        <v>2007</v>
      </c>
      <c r="B36" s="97" t="s">
        <v>29</v>
      </c>
      <c r="C36" s="97" t="s">
        <v>29</v>
      </c>
      <c r="D36" s="97" t="s">
        <v>29</v>
      </c>
      <c r="E36" s="97" t="s">
        <v>29</v>
      </c>
      <c r="F36" s="97" t="s">
        <v>29</v>
      </c>
      <c r="G36" s="97">
        <v>2367</v>
      </c>
      <c r="H36" s="97" t="s">
        <v>29</v>
      </c>
      <c r="I36" s="97">
        <f>SUM(B36:H36)</f>
        <v>2367</v>
      </c>
      <c r="J36" s="163"/>
      <c r="K36" s="97" t="s">
        <v>29</v>
      </c>
      <c r="L36" s="97" t="s">
        <v>29</v>
      </c>
      <c r="M36" s="97" t="s">
        <v>29</v>
      </c>
      <c r="N36" s="97" t="s">
        <v>29</v>
      </c>
      <c r="O36" s="97" t="s">
        <v>29</v>
      </c>
      <c r="P36" s="97" t="s">
        <v>29</v>
      </c>
      <c r="Q36" s="97" t="s">
        <v>29</v>
      </c>
      <c r="R36" s="97" t="s">
        <v>29</v>
      </c>
      <c r="T36" s="164"/>
      <c r="U36" s="72"/>
      <c r="V36" s="72"/>
      <c r="W36" s="72"/>
      <c r="X36" s="72"/>
      <c r="Y36" s="72"/>
      <c r="Z36" s="72"/>
      <c r="AA36" s="72"/>
      <c r="AB36" s="165"/>
      <c r="AD36" s="164"/>
      <c r="AE36" s="150" t="s">
        <v>29</v>
      </c>
      <c r="AF36" s="150" t="s">
        <v>29</v>
      </c>
      <c r="AG36" s="150" t="s">
        <v>29</v>
      </c>
      <c r="AH36" s="150" t="s">
        <v>29</v>
      </c>
      <c r="AI36" s="150" t="s">
        <v>29</v>
      </c>
      <c r="AJ36" s="150" t="s">
        <v>29</v>
      </c>
      <c r="AK36" s="150" t="s">
        <v>29</v>
      </c>
      <c r="AL36" s="166" t="s">
        <v>29</v>
      </c>
    </row>
    <row r="37" spans="1:43" s="374" customFormat="1" x14ac:dyDescent="0.2">
      <c r="A37" s="402">
        <v>2008</v>
      </c>
      <c r="B37" s="97" t="s">
        <v>29</v>
      </c>
      <c r="C37" s="97" t="s">
        <v>29</v>
      </c>
      <c r="D37" s="97" t="s">
        <v>29</v>
      </c>
      <c r="E37" s="97" t="s">
        <v>29</v>
      </c>
      <c r="F37" s="97" t="s">
        <v>29</v>
      </c>
      <c r="G37" s="97" t="s">
        <v>29</v>
      </c>
      <c r="H37" s="97" t="s">
        <v>29</v>
      </c>
      <c r="I37" s="97" t="s">
        <v>29</v>
      </c>
      <c r="J37" s="163"/>
      <c r="K37" s="97" t="s">
        <v>29</v>
      </c>
      <c r="L37" s="97" t="s">
        <v>29</v>
      </c>
      <c r="M37" s="97" t="s">
        <v>29</v>
      </c>
      <c r="N37" s="97" t="s">
        <v>29</v>
      </c>
      <c r="O37" s="97" t="s">
        <v>29</v>
      </c>
      <c r="P37" s="97" t="s">
        <v>29</v>
      </c>
      <c r="Q37" s="97" t="s">
        <v>29</v>
      </c>
      <c r="R37" s="97" t="s">
        <v>29</v>
      </c>
      <c r="T37" s="164"/>
      <c r="U37" s="72"/>
      <c r="V37" s="72"/>
      <c r="W37" s="72"/>
      <c r="X37" s="72"/>
      <c r="Y37" s="72"/>
      <c r="Z37" s="72"/>
      <c r="AA37" s="72"/>
      <c r="AB37" s="165"/>
      <c r="AD37" s="164"/>
      <c r="AE37" s="150" t="s">
        <v>29</v>
      </c>
      <c r="AF37" s="150" t="s">
        <v>29</v>
      </c>
      <c r="AG37" s="150" t="s">
        <v>29</v>
      </c>
      <c r="AH37" s="150" t="s">
        <v>29</v>
      </c>
      <c r="AI37" s="150" t="s">
        <v>29</v>
      </c>
      <c r="AJ37" s="150" t="s">
        <v>29</v>
      </c>
      <c r="AK37" s="150" t="s">
        <v>29</v>
      </c>
      <c r="AL37" s="166" t="s">
        <v>29</v>
      </c>
    </row>
    <row r="38" spans="1:43" s="374" customFormat="1" x14ac:dyDescent="0.2">
      <c r="A38" s="402">
        <v>2009</v>
      </c>
      <c r="B38" s="97" t="s">
        <v>29</v>
      </c>
      <c r="C38" s="97" t="s">
        <v>29</v>
      </c>
      <c r="D38" s="97" t="s">
        <v>29</v>
      </c>
      <c r="E38" s="97" t="s">
        <v>29</v>
      </c>
      <c r="F38" s="97" t="s">
        <v>29</v>
      </c>
      <c r="G38" s="97" t="s">
        <v>29</v>
      </c>
      <c r="H38" s="97" t="s">
        <v>29</v>
      </c>
      <c r="I38" s="97" t="s">
        <v>29</v>
      </c>
      <c r="J38" s="163"/>
      <c r="K38" s="97" t="s">
        <v>29</v>
      </c>
      <c r="L38" s="97" t="s">
        <v>29</v>
      </c>
      <c r="M38" s="97" t="s">
        <v>29</v>
      </c>
      <c r="N38" s="97" t="s">
        <v>29</v>
      </c>
      <c r="O38" s="97" t="s">
        <v>29</v>
      </c>
      <c r="P38" s="97" t="s">
        <v>29</v>
      </c>
      <c r="Q38" s="97" t="s">
        <v>29</v>
      </c>
      <c r="R38" s="97" t="s">
        <v>29</v>
      </c>
      <c r="T38" s="164"/>
      <c r="U38" s="72"/>
      <c r="V38" s="72"/>
      <c r="W38" s="72"/>
      <c r="X38" s="72"/>
      <c r="Y38" s="72"/>
      <c r="Z38" s="72"/>
      <c r="AA38" s="72"/>
      <c r="AB38" s="165"/>
      <c r="AD38" s="164"/>
      <c r="AE38" s="150" t="s">
        <v>29</v>
      </c>
      <c r="AF38" s="150" t="s">
        <v>29</v>
      </c>
      <c r="AG38" s="150" t="s">
        <v>29</v>
      </c>
      <c r="AH38" s="150" t="s">
        <v>29</v>
      </c>
      <c r="AI38" s="150" t="s">
        <v>29</v>
      </c>
      <c r="AJ38" s="150" t="s">
        <v>29</v>
      </c>
      <c r="AK38" s="150" t="s">
        <v>29</v>
      </c>
      <c r="AL38" s="166" t="s">
        <v>29</v>
      </c>
    </row>
    <row r="39" spans="1:43" s="374" customFormat="1" x14ac:dyDescent="0.2">
      <c r="A39" s="122">
        <v>2010</v>
      </c>
      <c r="B39" s="97" t="s">
        <v>29</v>
      </c>
      <c r="C39" s="97" t="s">
        <v>29</v>
      </c>
      <c r="D39" s="97" t="s">
        <v>29</v>
      </c>
      <c r="E39" s="97" t="s">
        <v>29</v>
      </c>
      <c r="F39" s="97" t="s">
        <v>29</v>
      </c>
      <c r="G39" s="97" t="s">
        <v>29</v>
      </c>
      <c r="H39" s="97" t="s">
        <v>29</v>
      </c>
      <c r="I39" s="97" t="s">
        <v>29</v>
      </c>
      <c r="J39" s="163"/>
      <c r="K39" s="97" t="s">
        <v>29</v>
      </c>
      <c r="L39" s="97" t="s">
        <v>29</v>
      </c>
      <c r="M39" s="97" t="s">
        <v>29</v>
      </c>
      <c r="N39" s="97" t="s">
        <v>29</v>
      </c>
      <c r="O39" s="97" t="s">
        <v>29</v>
      </c>
      <c r="P39" s="97" t="s">
        <v>29</v>
      </c>
      <c r="Q39" s="97" t="s">
        <v>29</v>
      </c>
      <c r="R39" s="97" t="s">
        <v>29</v>
      </c>
      <c r="T39" s="164"/>
      <c r="U39" s="72"/>
      <c r="V39" s="72"/>
      <c r="W39" s="72"/>
      <c r="X39" s="72"/>
      <c r="Y39" s="72"/>
      <c r="Z39" s="72"/>
      <c r="AA39" s="72"/>
      <c r="AB39" s="165"/>
      <c r="AD39" s="164"/>
      <c r="AE39" s="150" t="s">
        <v>29</v>
      </c>
      <c r="AF39" s="150" t="s">
        <v>29</v>
      </c>
      <c r="AG39" s="150" t="s">
        <v>29</v>
      </c>
      <c r="AH39" s="150" t="s">
        <v>29</v>
      </c>
      <c r="AI39" s="150" t="s">
        <v>29</v>
      </c>
      <c r="AJ39" s="150" t="s">
        <v>29</v>
      </c>
      <c r="AK39" s="150" t="s">
        <v>29</v>
      </c>
      <c r="AL39" s="166" t="s">
        <v>29</v>
      </c>
    </row>
    <row r="40" spans="1:43" s="374" customFormat="1" x14ac:dyDescent="0.2">
      <c r="A40" s="122">
        <v>2011</v>
      </c>
      <c r="B40" s="97" t="s">
        <v>29</v>
      </c>
      <c r="C40" s="97" t="s">
        <v>29</v>
      </c>
      <c r="D40" s="97" t="s">
        <v>29</v>
      </c>
      <c r="E40" s="97">
        <v>11</v>
      </c>
      <c r="F40" s="97">
        <v>406</v>
      </c>
      <c r="G40" s="97" t="s">
        <v>29</v>
      </c>
      <c r="H40" s="97" t="s">
        <v>29</v>
      </c>
      <c r="I40" s="97">
        <f t="shared" ref="I40:I47" si="6">SUM(B40:H40)</f>
        <v>417</v>
      </c>
      <c r="J40" s="163"/>
      <c r="K40" s="97" t="s">
        <v>29</v>
      </c>
      <c r="L40" s="97" t="s">
        <v>29</v>
      </c>
      <c r="M40" s="97" t="s">
        <v>29</v>
      </c>
      <c r="N40" s="97" t="s">
        <v>29</v>
      </c>
      <c r="O40" s="97" t="s">
        <v>29</v>
      </c>
      <c r="P40" s="97" t="s">
        <v>29</v>
      </c>
      <c r="Q40" s="97" t="s">
        <v>29</v>
      </c>
      <c r="R40" s="97" t="s">
        <v>29</v>
      </c>
      <c r="T40" s="164"/>
      <c r="U40" s="72"/>
      <c r="V40" s="72"/>
      <c r="W40" s="72"/>
      <c r="X40" s="72"/>
      <c r="Y40" s="72"/>
      <c r="Z40" s="72"/>
      <c r="AA40" s="72"/>
      <c r="AB40" s="165"/>
      <c r="AD40" s="164"/>
      <c r="AE40" s="150" t="s">
        <v>29</v>
      </c>
      <c r="AF40" s="150" t="s">
        <v>29</v>
      </c>
      <c r="AG40" s="150" t="s">
        <v>29</v>
      </c>
      <c r="AH40" s="150" t="s">
        <v>29</v>
      </c>
      <c r="AI40" s="150" t="s">
        <v>29</v>
      </c>
      <c r="AJ40" s="150" t="s">
        <v>29</v>
      </c>
      <c r="AK40" s="150" t="s">
        <v>29</v>
      </c>
      <c r="AL40" s="166" t="s">
        <v>29</v>
      </c>
    </row>
    <row r="41" spans="1:43" s="374" customFormat="1" x14ac:dyDescent="0.2">
      <c r="A41" s="122">
        <v>2012</v>
      </c>
      <c r="B41" s="97" t="s">
        <v>29</v>
      </c>
      <c r="C41" s="97" t="s">
        <v>29</v>
      </c>
      <c r="D41" s="97" t="s">
        <v>29</v>
      </c>
      <c r="E41" s="97" t="s">
        <v>29</v>
      </c>
      <c r="F41" s="97" t="s">
        <v>29</v>
      </c>
      <c r="G41" s="97">
        <v>400</v>
      </c>
      <c r="H41" s="97" t="s">
        <v>29</v>
      </c>
      <c r="I41" s="97">
        <f t="shared" si="6"/>
        <v>400</v>
      </c>
      <c r="J41" s="163"/>
      <c r="K41" s="97" t="s">
        <v>29</v>
      </c>
      <c r="L41" s="97" t="s">
        <v>29</v>
      </c>
      <c r="M41" s="97" t="s">
        <v>29</v>
      </c>
      <c r="N41" s="97" t="s">
        <v>29</v>
      </c>
      <c r="O41" s="97" t="s">
        <v>29</v>
      </c>
      <c r="P41" s="97" t="s">
        <v>29</v>
      </c>
      <c r="Q41" s="97" t="s">
        <v>29</v>
      </c>
      <c r="R41" s="97" t="s">
        <v>29</v>
      </c>
      <c r="T41" s="164"/>
      <c r="U41" s="72"/>
      <c r="V41" s="72"/>
      <c r="W41" s="72"/>
      <c r="X41" s="72"/>
      <c r="Y41" s="72"/>
      <c r="Z41" s="72"/>
      <c r="AA41" s="72"/>
      <c r="AB41" s="165"/>
      <c r="AD41" s="164"/>
      <c r="AE41" s="150" t="s">
        <v>29</v>
      </c>
      <c r="AF41" s="150" t="s">
        <v>29</v>
      </c>
      <c r="AG41" s="150" t="s">
        <v>29</v>
      </c>
      <c r="AH41" s="150" t="s">
        <v>29</v>
      </c>
      <c r="AI41" s="150" t="s">
        <v>29</v>
      </c>
      <c r="AJ41" s="150" t="s">
        <v>29</v>
      </c>
      <c r="AK41" s="150" t="s">
        <v>29</v>
      </c>
      <c r="AL41" s="166" t="s">
        <v>29</v>
      </c>
    </row>
    <row r="42" spans="1:43" s="374" customFormat="1" x14ac:dyDescent="0.2">
      <c r="A42" s="122">
        <v>2013</v>
      </c>
      <c r="B42" s="97" t="s">
        <v>29</v>
      </c>
      <c r="C42" s="97">
        <v>85</v>
      </c>
      <c r="D42" s="97">
        <v>524</v>
      </c>
      <c r="E42" s="97">
        <v>487</v>
      </c>
      <c r="F42" s="97">
        <v>116</v>
      </c>
      <c r="G42" s="97">
        <v>13</v>
      </c>
      <c r="H42" s="97" t="s">
        <v>29</v>
      </c>
      <c r="I42" s="97">
        <f t="shared" si="6"/>
        <v>1225</v>
      </c>
      <c r="J42" s="163"/>
      <c r="K42" s="97" t="s">
        <v>29</v>
      </c>
      <c r="L42" s="97" t="s">
        <v>29</v>
      </c>
      <c r="M42" s="97" t="s">
        <v>29</v>
      </c>
      <c r="N42" s="97" t="s">
        <v>29</v>
      </c>
      <c r="O42" s="97" t="s">
        <v>29</v>
      </c>
      <c r="P42" s="97" t="s">
        <v>29</v>
      </c>
      <c r="Q42" s="97" t="s">
        <v>29</v>
      </c>
      <c r="R42" s="97" t="s">
        <v>29</v>
      </c>
      <c r="T42" s="164"/>
      <c r="U42" s="72"/>
      <c r="V42" s="72"/>
      <c r="W42" s="72"/>
      <c r="X42" s="72"/>
      <c r="Y42" s="72"/>
      <c r="Z42" s="72"/>
      <c r="AA42" s="72"/>
      <c r="AB42" s="165"/>
      <c r="AD42" s="164"/>
      <c r="AE42" s="150" t="s">
        <v>29</v>
      </c>
      <c r="AF42" s="150" t="s">
        <v>29</v>
      </c>
      <c r="AG42" s="150" t="s">
        <v>29</v>
      </c>
      <c r="AH42" s="150" t="s">
        <v>29</v>
      </c>
      <c r="AI42" s="150" t="s">
        <v>29</v>
      </c>
      <c r="AJ42" s="150" t="s">
        <v>29</v>
      </c>
      <c r="AK42" s="150" t="s">
        <v>29</v>
      </c>
      <c r="AL42" s="166" t="s">
        <v>29</v>
      </c>
    </row>
    <row r="43" spans="1:43" s="374" customFormat="1" x14ac:dyDescent="0.2">
      <c r="A43" s="122">
        <v>2014</v>
      </c>
      <c r="B43" s="97" t="s">
        <v>29</v>
      </c>
      <c r="C43" s="97" t="s">
        <v>29</v>
      </c>
      <c r="D43" s="97" t="s">
        <v>29</v>
      </c>
      <c r="E43" s="97" t="s">
        <v>29</v>
      </c>
      <c r="F43" s="97" t="s">
        <v>29</v>
      </c>
      <c r="G43" s="97">
        <v>21</v>
      </c>
      <c r="H43" s="97" t="s">
        <v>29</v>
      </c>
      <c r="I43" s="97">
        <f t="shared" si="6"/>
        <v>21</v>
      </c>
      <c r="J43" s="163"/>
      <c r="K43" s="97" t="s">
        <v>29</v>
      </c>
      <c r="L43" s="97" t="s">
        <v>29</v>
      </c>
      <c r="M43" s="97" t="s">
        <v>29</v>
      </c>
      <c r="N43" s="97" t="s">
        <v>29</v>
      </c>
      <c r="O43" s="97" t="s">
        <v>29</v>
      </c>
      <c r="P43" s="97" t="s">
        <v>29</v>
      </c>
      <c r="Q43" s="97" t="s">
        <v>29</v>
      </c>
      <c r="R43" s="97" t="s">
        <v>29</v>
      </c>
      <c r="T43" s="164"/>
      <c r="U43" s="72"/>
      <c r="V43" s="72"/>
      <c r="W43" s="72"/>
      <c r="X43" s="72"/>
      <c r="Y43" s="72"/>
      <c r="Z43" s="72"/>
      <c r="AA43" s="72"/>
      <c r="AB43" s="165"/>
      <c r="AD43" s="164"/>
      <c r="AE43" s="150" t="s">
        <v>29</v>
      </c>
      <c r="AF43" s="150" t="s">
        <v>29</v>
      </c>
      <c r="AG43" s="150" t="s">
        <v>29</v>
      </c>
      <c r="AH43" s="150" t="s">
        <v>29</v>
      </c>
      <c r="AI43" s="150" t="s">
        <v>29</v>
      </c>
      <c r="AJ43" s="150" t="s">
        <v>29</v>
      </c>
      <c r="AK43" s="150" t="s">
        <v>29</v>
      </c>
      <c r="AL43" s="166" t="s">
        <v>29</v>
      </c>
    </row>
    <row r="44" spans="1:43" s="374" customFormat="1" x14ac:dyDescent="0.2">
      <c r="A44" s="122">
        <v>2015</v>
      </c>
      <c r="B44" s="97" t="s">
        <v>29</v>
      </c>
      <c r="C44" s="97" t="s">
        <v>29</v>
      </c>
      <c r="D44" s="97" t="s">
        <v>29</v>
      </c>
      <c r="E44" s="97" t="s">
        <v>29</v>
      </c>
      <c r="F44" s="97" t="s">
        <v>29</v>
      </c>
      <c r="G44" s="97">
        <v>36</v>
      </c>
      <c r="H44" s="97" t="s">
        <v>29</v>
      </c>
      <c r="I44" s="97">
        <f t="shared" si="6"/>
        <v>36</v>
      </c>
      <c r="J44" s="163"/>
      <c r="K44" s="97" t="s">
        <v>29</v>
      </c>
      <c r="L44" s="97" t="s">
        <v>29</v>
      </c>
      <c r="M44" s="97" t="s">
        <v>29</v>
      </c>
      <c r="N44" s="97" t="s">
        <v>29</v>
      </c>
      <c r="O44" s="97" t="s">
        <v>29</v>
      </c>
      <c r="P44" s="97" t="s">
        <v>29</v>
      </c>
      <c r="Q44" s="97" t="s">
        <v>29</v>
      </c>
      <c r="R44" s="97" t="s">
        <v>29</v>
      </c>
      <c r="T44" s="164"/>
      <c r="U44" s="72"/>
      <c r="V44" s="72"/>
      <c r="W44" s="72"/>
      <c r="X44" s="72"/>
      <c r="Y44" s="72"/>
      <c r="Z44" s="72"/>
      <c r="AA44" s="72"/>
      <c r="AB44" s="165"/>
      <c r="AD44" s="164"/>
      <c r="AE44" s="150" t="s">
        <v>29</v>
      </c>
      <c r="AF44" s="150" t="s">
        <v>29</v>
      </c>
      <c r="AG44" s="150" t="s">
        <v>29</v>
      </c>
      <c r="AH44" s="150" t="s">
        <v>29</v>
      </c>
      <c r="AI44" s="150" t="s">
        <v>29</v>
      </c>
      <c r="AJ44" s="150" t="s">
        <v>29</v>
      </c>
      <c r="AK44" s="150" t="s">
        <v>29</v>
      </c>
      <c r="AL44" s="166" t="s">
        <v>29</v>
      </c>
    </row>
    <row r="45" spans="1:43" s="374" customFormat="1" x14ac:dyDescent="0.2">
      <c r="A45" s="122">
        <v>2016</v>
      </c>
      <c r="B45" s="97" t="s">
        <v>29</v>
      </c>
      <c r="C45" s="97" t="s">
        <v>29</v>
      </c>
      <c r="D45" s="97" t="s">
        <v>29</v>
      </c>
      <c r="E45" s="97" t="s">
        <v>29</v>
      </c>
      <c r="F45" s="97" t="s">
        <v>29</v>
      </c>
      <c r="G45" s="97">
        <v>6</v>
      </c>
      <c r="H45" s="97" t="s">
        <v>29</v>
      </c>
      <c r="I45" s="97">
        <f t="shared" si="6"/>
        <v>6</v>
      </c>
      <c r="J45" s="163"/>
      <c r="K45" s="97" t="s">
        <v>29</v>
      </c>
      <c r="L45" s="97" t="s">
        <v>29</v>
      </c>
      <c r="M45" s="97" t="s">
        <v>29</v>
      </c>
      <c r="N45" s="97" t="s">
        <v>29</v>
      </c>
      <c r="O45" s="97" t="s">
        <v>29</v>
      </c>
      <c r="P45" s="97" t="s">
        <v>29</v>
      </c>
      <c r="Q45" s="97" t="s">
        <v>29</v>
      </c>
      <c r="R45" s="97" t="s">
        <v>29</v>
      </c>
      <c r="T45" s="164"/>
      <c r="U45" s="72"/>
      <c r="V45" s="72"/>
      <c r="W45" s="72"/>
      <c r="X45" s="72"/>
      <c r="Y45" s="72"/>
      <c r="Z45" s="72"/>
      <c r="AA45" s="72"/>
      <c r="AB45" s="165"/>
      <c r="AD45" s="164"/>
      <c r="AE45" s="150" t="s">
        <v>29</v>
      </c>
      <c r="AF45" s="150" t="s">
        <v>29</v>
      </c>
      <c r="AG45" s="150" t="s">
        <v>29</v>
      </c>
      <c r="AH45" s="150" t="s">
        <v>29</v>
      </c>
      <c r="AI45" s="150" t="s">
        <v>29</v>
      </c>
      <c r="AJ45" s="150" t="s">
        <v>29</v>
      </c>
      <c r="AK45" s="150" t="s">
        <v>29</v>
      </c>
      <c r="AL45" s="166" t="s">
        <v>29</v>
      </c>
    </row>
    <row r="46" spans="1:43" s="374" customFormat="1" x14ac:dyDescent="0.2">
      <c r="A46" s="122">
        <v>2017</v>
      </c>
      <c r="B46" s="97" t="s">
        <v>29</v>
      </c>
      <c r="C46" s="97" t="s">
        <v>29</v>
      </c>
      <c r="D46" s="97" t="s">
        <v>29</v>
      </c>
      <c r="E46" s="97" t="s">
        <v>29</v>
      </c>
      <c r="F46" s="97" t="s">
        <v>29</v>
      </c>
      <c r="G46" s="97" t="s">
        <v>29</v>
      </c>
      <c r="H46" s="97" t="s">
        <v>29</v>
      </c>
      <c r="I46" s="97" t="s">
        <v>29</v>
      </c>
      <c r="J46" s="163"/>
      <c r="K46" s="97" t="s">
        <v>29</v>
      </c>
      <c r="L46" s="97" t="s">
        <v>29</v>
      </c>
      <c r="M46" s="97" t="s">
        <v>29</v>
      </c>
      <c r="N46" s="97" t="s">
        <v>29</v>
      </c>
      <c r="O46" s="97" t="s">
        <v>29</v>
      </c>
      <c r="P46" s="97" t="s">
        <v>29</v>
      </c>
      <c r="Q46" s="97" t="s">
        <v>29</v>
      </c>
      <c r="R46" s="97" t="s">
        <v>29</v>
      </c>
      <c r="T46" s="164"/>
      <c r="U46" s="72"/>
      <c r="V46" s="72"/>
      <c r="W46" s="72"/>
      <c r="X46" s="72"/>
      <c r="Y46" s="72"/>
      <c r="Z46" s="72"/>
      <c r="AA46" s="72"/>
      <c r="AB46" s="165"/>
      <c r="AD46" s="164"/>
      <c r="AE46" s="150" t="s">
        <v>29</v>
      </c>
      <c r="AF46" s="150" t="s">
        <v>29</v>
      </c>
      <c r="AG46" s="150" t="s">
        <v>29</v>
      </c>
      <c r="AH46" s="150" t="s">
        <v>29</v>
      </c>
      <c r="AI46" s="150" t="s">
        <v>29</v>
      </c>
      <c r="AJ46" s="150" t="s">
        <v>29</v>
      </c>
      <c r="AK46" s="150" t="s">
        <v>29</v>
      </c>
      <c r="AL46" s="166" t="s">
        <v>29</v>
      </c>
    </row>
    <row r="47" spans="1:43" s="374" customFormat="1" x14ac:dyDescent="0.2">
      <c r="A47" s="122">
        <v>2018</v>
      </c>
      <c r="B47" s="97" t="s">
        <v>29</v>
      </c>
      <c r="C47" s="97">
        <v>241</v>
      </c>
      <c r="D47" s="97">
        <v>1497</v>
      </c>
      <c r="E47" s="97">
        <v>775</v>
      </c>
      <c r="F47" s="97">
        <v>1899</v>
      </c>
      <c r="G47" s="97" t="s">
        <v>29</v>
      </c>
      <c r="H47" s="97" t="s">
        <v>29</v>
      </c>
      <c r="I47" s="97">
        <f t="shared" si="6"/>
        <v>4412</v>
      </c>
      <c r="J47" s="163"/>
      <c r="K47" s="97" t="s">
        <v>29</v>
      </c>
      <c r="L47" s="97" t="s">
        <v>29</v>
      </c>
      <c r="M47" s="97" t="s">
        <v>29</v>
      </c>
      <c r="N47" s="97" t="s">
        <v>29</v>
      </c>
      <c r="O47" s="97" t="s">
        <v>29</v>
      </c>
      <c r="P47" s="97" t="s">
        <v>29</v>
      </c>
      <c r="Q47" s="97" t="s">
        <v>29</v>
      </c>
      <c r="R47" s="97" t="s">
        <v>29</v>
      </c>
      <c r="T47" s="164"/>
      <c r="U47" s="72"/>
      <c r="V47" s="72"/>
      <c r="W47" s="72"/>
      <c r="X47" s="72"/>
      <c r="Y47" s="72"/>
      <c r="Z47" s="72"/>
      <c r="AA47" s="72"/>
      <c r="AB47" s="165"/>
      <c r="AD47" s="164"/>
      <c r="AE47" s="150" t="s">
        <v>29</v>
      </c>
      <c r="AF47" s="150" t="s">
        <v>29</v>
      </c>
      <c r="AG47" s="150" t="s">
        <v>29</v>
      </c>
      <c r="AH47" s="150" t="s">
        <v>29</v>
      </c>
      <c r="AI47" s="150" t="s">
        <v>29</v>
      </c>
      <c r="AJ47" s="150" t="s">
        <v>29</v>
      </c>
      <c r="AK47" s="150" t="s">
        <v>29</v>
      </c>
      <c r="AL47" s="166" t="s">
        <v>29</v>
      </c>
    </row>
    <row r="48" spans="1:43" s="487" customFormat="1" x14ac:dyDescent="0.2">
      <c r="A48" s="497" t="s">
        <v>336</v>
      </c>
      <c r="B48" s="97" t="s">
        <v>29</v>
      </c>
      <c r="C48" s="97" t="s">
        <v>29</v>
      </c>
      <c r="D48" s="97">
        <v>114</v>
      </c>
      <c r="E48" s="97">
        <v>1311</v>
      </c>
      <c r="F48" s="97">
        <v>2810</v>
      </c>
      <c r="G48" s="97" t="s">
        <v>29</v>
      </c>
      <c r="H48" s="97" t="s">
        <v>29</v>
      </c>
      <c r="I48" s="97">
        <f t="shared" ref="I48" si="7">SUM(B48:H48)</f>
        <v>4235</v>
      </c>
      <c r="J48" s="163"/>
      <c r="K48" s="97" t="s">
        <v>29</v>
      </c>
      <c r="L48" s="97" t="s">
        <v>29</v>
      </c>
      <c r="M48" s="97" t="s">
        <v>29</v>
      </c>
      <c r="N48" s="97" t="s">
        <v>29</v>
      </c>
      <c r="O48" s="97" t="s">
        <v>29</v>
      </c>
      <c r="P48" s="97" t="s">
        <v>29</v>
      </c>
      <c r="Q48" s="97" t="s">
        <v>29</v>
      </c>
      <c r="R48" s="97" t="s">
        <v>29</v>
      </c>
      <c r="T48" s="164"/>
      <c r="U48" s="72"/>
      <c r="V48" s="72"/>
      <c r="W48" s="72"/>
      <c r="X48" s="72"/>
      <c r="Y48" s="72"/>
      <c r="Z48" s="72"/>
      <c r="AA48" s="72"/>
      <c r="AB48" s="165"/>
      <c r="AD48" s="164"/>
      <c r="AE48" s="150" t="s">
        <v>29</v>
      </c>
      <c r="AF48" s="150" t="s">
        <v>29</v>
      </c>
      <c r="AG48" s="150" t="s">
        <v>29</v>
      </c>
      <c r="AH48" s="150" t="s">
        <v>29</v>
      </c>
      <c r="AI48" s="150" t="s">
        <v>29</v>
      </c>
      <c r="AJ48" s="150" t="s">
        <v>29</v>
      </c>
      <c r="AK48" s="150" t="s">
        <v>29</v>
      </c>
      <c r="AL48" s="166" t="s">
        <v>29</v>
      </c>
    </row>
    <row r="49" spans="1:38" x14ac:dyDescent="0.2">
      <c r="A49" s="497">
        <v>2020</v>
      </c>
      <c r="B49" s="70" t="s">
        <v>29</v>
      </c>
      <c r="C49" s="70" t="s">
        <v>29</v>
      </c>
      <c r="D49" s="70" t="s">
        <v>29</v>
      </c>
      <c r="E49" s="70" t="s">
        <v>29</v>
      </c>
      <c r="F49" s="70" t="s">
        <v>29</v>
      </c>
      <c r="G49" s="70" t="s">
        <v>29</v>
      </c>
      <c r="H49" s="70" t="s">
        <v>29</v>
      </c>
      <c r="I49" s="70" t="s">
        <v>29</v>
      </c>
      <c r="J49" s="96"/>
      <c r="K49" s="70" t="s">
        <v>29</v>
      </c>
      <c r="L49" s="70" t="s">
        <v>29</v>
      </c>
      <c r="M49" s="70" t="s">
        <v>29</v>
      </c>
      <c r="N49" s="70" t="s">
        <v>29</v>
      </c>
      <c r="O49" s="70" t="s">
        <v>29</v>
      </c>
      <c r="P49" s="70" t="s">
        <v>29</v>
      </c>
      <c r="Q49" s="70" t="s">
        <v>29</v>
      </c>
      <c r="R49" s="70" t="s">
        <v>29</v>
      </c>
      <c r="T49" s="91"/>
      <c r="U49" s="21"/>
      <c r="V49" s="21"/>
      <c r="W49" s="21"/>
      <c r="X49" s="21"/>
      <c r="Y49" s="21"/>
      <c r="Z49" s="21"/>
      <c r="AA49" s="21"/>
      <c r="AB49" s="92"/>
      <c r="AD49" s="91"/>
      <c r="AE49" s="39" t="s">
        <v>29</v>
      </c>
      <c r="AF49" s="39" t="s">
        <v>29</v>
      </c>
      <c r="AG49" s="39" t="s">
        <v>29</v>
      </c>
      <c r="AH49" s="39" t="s">
        <v>29</v>
      </c>
      <c r="AI49" s="39" t="s">
        <v>29</v>
      </c>
      <c r="AJ49" s="39" t="s">
        <v>29</v>
      </c>
      <c r="AK49" s="39" t="s">
        <v>29</v>
      </c>
      <c r="AL49" s="156" t="s">
        <v>29</v>
      </c>
    </row>
    <row r="50" spans="1:38" x14ac:dyDescent="0.2">
      <c r="A50" s="123"/>
      <c r="B50" s="70"/>
      <c r="C50" s="70"/>
      <c r="D50" s="70"/>
      <c r="E50" s="70"/>
      <c r="F50" s="70"/>
      <c r="G50" s="70"/>
      <c r="H50" s="70"/>
      <c r="I50" s="70"/>
      <c r="J50" s="70"/>
      <c r="K50" s="70"/>
      <c r="L50" s="70"/>
      <c r="M50" s="70"/>
      <c r="N50" s="70"/>
      <c r="O50" s="70"/>
      <c r="P50" s="70"/>
      <c r="Q50" s="70"/>
      <c r="R50" s="70"/>
    </row>
    <row r="51" spans="1:38" x14ac:dyDescent="0.2">
      <c r="A51" s="228" t="s">
        <v>23</v>
      </c>
      <c r="B51" s="70"/>
      <c r="C51" s="70"/>
      <c r="D51" s="70"/>
      <c r="E51" s="70"/>
      <c r="F51" s="70"/>
      <c r="G51" s="70"/>
      <c r="H51" s="70"/>
      <c r="I51" s="70"/>
      <c r="J51" s="70"/>
      <c r="K51" s="70"/>
      <c r="L51" s="70"/>
      <c r="M51" s="70"/>
      <c r="N51" s="70"/>
      <c r="O51" s="70"/>
      <c r="P51" s="70"/>
      <c r="Q51" s="70"/>
      <c r="R51" s="70"/>
    </row>
    <row r="52" spans="1:38" x14ac:dyDescent="0.2">
      <c r="A52" s="123">
        <v>1976</v>
      </c>
      <c r="B52" s="70">
        <v>2608</v>
      </c>
      <c r="C52" s="70">
        <v>53950</v>
      </c>
      <c r="D52" s="70">
        <v>40957</v>
      </c>
      <c r="E52" s="70">
        <v>65896</v>
      </c>
      <c r="F52" s="70">
        <v>1040</v>
      </c>
      <c r="G52" s="70">
        <v>968</v>
      </c>
      <c r="H52" s="70" t="s">
        <v>29</v>
      </c>
      <c r="I52" s="70">
        <f t="shared" ref="I52:I60" si="8">SUM(B52:H52)</f>
        <v>165419</v>
      </c>
      <c r="J52" s="70"/>
      <c r="K52" s="70" t="s">
        <v>29</v>
      </c>
      <c r="L52" s="70">
        <v>105217</v>
      </c>
      <c r="M52" s="70">
        <v>83447</v>
      </c>
      <c r="N52" s="70">
        <v>9164</v>
      </c>
      <c r="O52" s="70">
        <v>7007</v>
      </c>
      <c r="P52" s="70">
        <v>0</v>
      </c>
      <c r="Q52" s="70" t="s">
        <v>29</v>
      </c>
      <c r="R52" s="70">
        <f t="shared" ref="R52:R60" si="9">SUM(K52:Q52)</f>
        <v>204835</v>
      </c>
    </row>
    <row r="53" spans="1:38" x14ac:dyDescent="0.2">
      <c r="A53" s="123">
        <v>1977</v>
      </c>
      <c r="B53" s="70">
        <v>22112</v>
      </c>
      <c r="C53" s="70">
        <v>56224</v>
      </c>
      <c r="D53" s="70">
        <v>32448</v>
      </c>
      <c r="E53" s="70">
        <v>40810</v>
      </c>
      <c r="F53" s="70">
        <v>9029</v>
      </c>
      <c r="G53" s="70">
        <v>552</v>
      </c>
      <c r="H53" s="70" t="s">
        <v>29</v>
      </c>
      <c r="I53" s="70">
        <f t="shared" si="8"/>
        <v>161175</v>
      </c>
      <c r="J53" s="70"/>
      <c r="K53" s="70" t="s">
        <v>29</v>
      </c>
      <c r="L53" s="70">
        <v>7929</v>
      </c>
      <c r="M53" s="70">
        <v>576</v>
      </c>
      <c r="N53" s="70">
        <v>4849</v>
      </c>
      <c r="O53" s="70">
        <v>5807</v>
      </c>
      <c r="P53" s="70">
        <v>97</v>
      </c>
      <c r="Q53" s="70" t="s">
        <v>29</v>
      </c>
      <c r="R53" s="70">
        <f t="shared" si="9"/>
        <v>19258</v>
      </c>
    </row>
    <row r="54" spans="1:38" x14ac:dyDescent="0.2">
      <c r="A54" s="123">
        <v>1978</v>
      </c>
      <c r="B54" s="70">
        <v>7734</v>
      </c>
      <c r="C54" s="70">
        <v>88448</v>
      </c>
      <c r="D54" s="70">
        <v>46945</v>
      </c>
      <c r="E54" s="70">
        <v>10305</v>
      </c>
      <c r="F54" s="70">
        <v>1279</v>
      </c>
      <c r="G54" s="70">
        <v>457</v>
      </c>
      <c r="H54" s="70" t="s">
        <v>29</v>
      </c>
      <c r="I54" s="70">
        <f t="shared" si="8"/>
        <v>155168</v>
      </c>
      <c r="J54" s="70"/>
      <c r="K54" s="70">
        <v>12</v>
      </c>
      <c r="L54" s="70">
        <v>34454</v>
      </c>
      <c r="M54" s="70">
        <v>84863</v>
      </c>
      <c r="N54" s="70">
        <v>18829</v>
      </c>
      <c r="O54" s="70">
        <v>1736</v>
      </c>
      <c r="P54" s="70">
        <v>387</v>
      </c>
      <c r="Q54" s="70" t="s">
        <v>29</v>
      </c>
      <c r="R54" s="70">
        <f t="shared" si="9"/>
        <v>140281</v>
      </c>
    </row>
    <row r="55" spans="1:38" x14ac:dyDescent="0.2">
      <c r="A55" s="123">
        <v>1979</v>
      </c>
      <c r="B55" s="70">
        <v>0</v>
      </c>
      <c r="C55" s="70">
        <v>101380</v>
      </c>
      <c r="D55" s="70">
        <v>22598</v>
      </c>
      <c r="E55" s="70">
        <v>35614</v>
      </c>
      <c r="F55" s="70">
        <v>42898</v>
      </c>
      <c r="G55" s="70">
        <v>15873</v>
      </c>
      <c r="H55" s="70" t="s">
        <v>29</v>
      </c>
      <c r="I55" s="70">
        <f t="shared" si="8"/>
        <v>218363</v>
      </c>
      <c r="J55" s="70"/>
      <c r="K55" s="70" t="s">
        <v>29</v>
      </c>
      <c r="L55" s="70">
        <v>6691</v>
      </c>
      <c r="M55" s="70">
        <v>29666</v>
      </c>
      <c r="N55" s="70">
        <v>23507</v>
      </c>
      <c r="O55" s="70">
        <v>5951</v>
      </c>
      <c r="P55" s="70">
        <v>138</v>
      </c>
      <c r="Q55" s="70" t="s">
        <v>29</v>
      </c>
      <c r="R55" s="70">
        <f t="shared" si="9"/>
        <v>65953</v>
      </c>
    </row>
    <row r="56" spans="1:38" x14ac:dyDescent="0.2">
      <c r="A56" s="123">
        <v>1980</v>
      </c>
      <c r="B56" s="70" t="s">
        <v>29</v>
      </c>
      <c r="C56" s="70">
        <v>89492</v>
      </c>
      <c r="D56" s="70" t="s">
        <v>29</v>
      </c>
      <c r="E56" s="70">
        <v>20264</v>
      </c>
      <c r="F56" s="70">
        <v>10846</v>
      </c>
      <c r="G56" s="70">
        <v>10681</v>
      </c>
      <c r="H56" s="70" t="s">
        <v>29</v>
      </c>
      <c r="I56" s="70">
        <f t="shared" si="8"/>
        <v>131283</v>
      </c>
      <c r="J56" s="70"/>
      <c r="K56" s="70" t="s">
        <v>29</v>
      </c>
      <c r="L56" s="70">
        <v>189</v>
      </c>
      <c r="M56" s="70" t="s">
        <v>29</v>
      </c>
      <c r="N56" s="70">
        <v>12070</v>
      </c>
      <c r="O56" s="70">
        <v>5140</v>
      </c>
      <c r="P56" s="70">
        <v>2392</v>
      </c>
      <c r="Q56" s="70" t="s">
        <v>29</v>
      </c>
      <c r="R56" s="70">
        <f t="shared" si="9"/>
        <v>19791</v>
      </c>
    </row>
    <row r="57" spans="1:38" x14ac:dyDescent="0.2">
      <c r="A57" s="123">
        <v>1981</v>
      </c>
      <c r="B57" s="70" t="s">
        <v>29</v>
      </c>
      <c r="C57" s="70">
        <v>49196</v>
      </c>
      <c r="D57" s="70">
        <v>4149</v>
      </c>
      <c r="E57" s="70">
        <v>10845</v>
      </c>
      <c r="F57" s="70">
        <v>28315</v>
      </c>
      <c r="G57" s="70">
        <v>7204</v>
      </c>
      <c r="H57" s="70" t="s">
        <v>29</v>
      </c>
      <c r="I57" s="70">
        <f t="shared" si="8"/>
        <v>99709</v>
      </c>
      <c r="J57" s="70"/>
      <c r="K57" s="70" t="s">
        <v>29</v>
      </c>
      <c r="L57" s="70">
        <v>6261</v>
      </c>
      <c r="M57" s="70">
        <v>2435</v>
      </c>
      <c r="N57" s="70">
        <v>12313</v>
      </c>
      <c r="O57" s="70">
        <v>13863</v>
      </c>
      <c r="P57" s="70">
        <v>986</v>
      </c>
      <c r="Q57" s="70" t="s">
        <v>29</v>
      </c>
      <c r="R57" s="70">
        <f t="shared" si="9"/>
        <v>35858</v>
      </c>
    </row>
    <row r="58" spans="1:38" x14ac:dyDescent="0.2">
      <c r="A58" s="123">
        <v>1982</v>
      </c>
      <c r="B58" s="70" t="s">
        <v>29</v>
      </c>
      <c r="C58" s="70">
        <v>39618</v>
      </c>
      <c r="D58" s="70">
        <v>9364</v>
      </c>
      <c r="E58" s="70">
        <v>24348</v>
      </c>
      <c r="F58" s="70">
        <v>15952</v>
      </c>
      <c r="G58" s="70">
        <v>6372</v>
      </c>
      <c r="H58" s="70" t="s">
        <v>29</v>
      </c>
      <c r="I58" s="70">
        <f t="shared" si="8"/>
        <v>95654</v>
      </c>
      <c r="J58" s="70"/>
      <c r="K58" s="70" t="s">
        <v>29</v>
      </c>
      <c r="L58" s="70">
        <v>475</v>
      </c>
      <c r="M58" s="70">
        <v>4295</v>
      </c>
      <c r="N58" s="70">
        <v>19027</v>
      </c>
      <c r="O58" s="70">
        <v>4460</v>
      </c>
      <c r="P58" s="70">
        <v>315</v>
      </c>
      <c r="Q58" s="70" t="s">
        <v>29</v>
      </c>
      <c r="R58" s="70">
        <f t="shared" si="9"/>
        <v>28572</v>
      </c>
    </row>
    <row r="59" spans="1:38" x14ac:dyDescent="0.2">
      <c r="A59" s="123">
        <v>1983</v>
      </c>
      <c r="B59" s="70" t="s">
        <v>29</v>
      </c>
      <c r="C59" s="70">
        <v>9292</v>
      </c>
      <c r="D59" s="70">
        <v>16381</v>
      </c>
      <c r="E59" s="70">
        <v>5841</v>
      </c>
      <c r="F59" s="70">
        <v>3663</v>
      </c>
      <c r="G59" s="70" t="s">
        <v>29</v>
      </c>
      <c r="H59" s="70" t="s">
        <v>29</v>
      </c>
      <c r="I59" s="70">
        <f t="shared" si="8"/>
        <v>35177</v>
      </c>
      <c r="J59" s="70"/>
      <c r="K59" s="70" t="s">
        <v>29</v>
      </c>
      <c r="L59" s="70">
        <v>1</v>
      </c>
      <c r="M59" s="70">
        <v>13544</v>
      </c>
      <c r="N59" s="70">
        <v>8044</v>
      </c>
      <c r="O59" s="70">
        <v>5008</v>
      </c>
      <c r="P59" s="70" t="s">
        <v>29</v>
      </c>
      <c r="Q59" s="70" t="s">
        <v>29</v>
      </c>
      <c r="R59" s="70">
        <f t="shared" si="9"/>
        <v>26597</v>
      </c>
    </row>
    <row r="60" spans="1:38" x14ac:dyDescent="0.2">
      <c r="A60" s="123">
        <v>1984</v>
      </c>
      <c r="B60" s="70" t="s">
        <v>29</v>
      </c>
      <c r="C60" s="70">
        <v>6203</v>
      </c>
      <c r="D60" s="70">
        <v>296</v>
      </c>
      <c r="E60" s="70">
        <v>4703</v>
      </c>
      <c r="F60" s="70">
        <v>2777</v>
      </c>
      <c r="G60" s="70" t="s">
        <v>29</v>
      </c>
      <c r="H60" s="70" t="s">
        <v>29</v>
      </c>
      <c r="I60" s="70">
        <f t="shared" si="8"/>
        <v>13979</v>
      </c>
      <c r="J60" s="70"/>
      <c r="K60" s="70" t="s">
        <v>29</v>
      </c>
      <c r="L60" s="70" t="s">
        <v>29</v>
      </c>
      <c r="M60" s="70" t="s">
        <v>29</v>
      </c>
      <c r="N60" s="70">
        <v>699</v>
      </c>
      <c r="O60" s="70">
        <v>2972</v>
      </c>
      <c r="P60" s="70" t="s">
        <v>29</v>
      </c>
      <c r="Q60" s="70" t="s">
        <v>29</v>
      </c>
      <c r="R60" s="70">
        <f t="shared" si="9"/>
        <v>3671</v>
      </c>
    </row>
    <row r="61" spans="1:38" x14ac:dyDescent="0.2">
      <c r="A61" s="123">
        <v>1985</v>
      </c>
      <c r="B61" s="70" t="s">
        <v>29</v>
      </c>
      <c r="C61" s="70" t="s">
        <v>29</v>
      </c>
      <c r="D61" s="70" t="s">
        <v>29</v>
      </c>
      <c r="E61" s="70" t="s">
        <v>29</v>
      </c>
      <c r="F61" s="70" t="s">
        <v>29</v>
      </c>
      <c r="G61" s="70" t="s">
        <v>29</v>
      </c>
      <c r="H61" s="70" t="s">
        <v>29</v>
      </c>
      <c r="I61" s="70" t="s">
        <v>29</v>
      </c>
      <c r="J61" s="70"/>
      <c r="K61" s="70" t="s">
        <v>29</v>
      </c>
      <c r="L61" s="70" t="s">
        <v>29</v>
      </c>
      <c r="M61" s="70" t="s">
        <v>29</v>
      </c>
      <c r="N61" s="70" t="s">
        <v>29</v>
      </c>
      <c r="O61" s="70" t="s">
        <v>29</v>
      </c>
      <c r="P61" s="70" t="s">
        <v>29</v>
      </c>
      <c r="Q61" s="70" t="s">
        <v>29</v>
      </c>
      <c r="R61" s="70" t="s">
        <v>29</v>
      </c>
    </row>
    <row r="62" spans="1:38" x14ac:dyDescent="0.2">
      <c r="A62" s="123">
        <v>1986</v>
      </c>
      <c r="B62" s="70" t="s">
        <v>29</v>
      </c>
      <c r="C62" s="70" t="s">
        <v>29</v>
      </c>
      <c r="D62" s="70">
        <v>15813.345976770221</v>
      </c>
      <c r="E62" s="70">
        <v>4315.7720730018882</v>
      </c>
      <c r="F62" s="70">
        <v>13802.504714984736</v>
      </c>
      <c r="G62" s="70">
        <v>2806</v>
      </c>
      <c r="H62" s="70" t="s">
        <v>29</v>
      </c>
      <c r="I62" s="70">
        <f t="shared" ref="I62:I67" si="10">SUM(B62:H62)</f>
        <v>36737.622764756845</v>
      </c>
      <c r="J62" s="70"/>
      <c r="K62" s="70" t="s">
        <v>29</v>
      </c>
      <c r="L62" s="70" t="s">
        <v>29</v>
      </c>
      <c r="M62" s="70">
        <v>3211.2267716204869</v>
      </c>
      <c r="N62" s="70">
        <v>823.07874638137184</v>
      </c>
      <c r="O62" s="70">
        <v>235.12255447283678</v>
      </c>
      <c r="P62" s="70">
        <v>48</v>
      </c>
      <c r="Q62" s="70" t="s">
        <v>29</v>
      </c>
      <c r="R62" s="70">
        <f t="shared" ref="R62:R67" si="11">SUM(K62:Q62)</f>
        <v>4317.428072474695</v>
      </c>
    </row>
    <row r="63" spans="1:38" x14ac:dyDescent="0.2">
      <c r="A63" s="123">
        <v>1987</v>
      </c>
      <c r="B63" s="70" t="s">
        <v>29</v>
      </c>
      <c r="C63" s="70" t="s">
        <v>29</v>
      </c>
      <c r="D63" s="70">
        <v>50278.875924284555</v>
      </c>
      <c r="E63" s="70" t="s">
        <v>29</v>
      </c>
      <c r="F63" s="70" t="s">
        <v>29</v>
      </c>
      <c r="G63" s="70">
        <v>4458.3667214012039</v>
      </c>
      <c r="H63" s="70" t="s">
        <v>29</v>
      </c>
      <c r="I63" s="70">
        <f t="shared" si="10"/>
        <v>54737.242645685757</v>
      </c>
      <c r="J63" s="70"/>
      <c r="K63" s="70" t="s">
        <v>29</v>
      </c>
      <c r="L63" s="70" t="s">
        <v>29</v>
      </c>
      <c r="M63" s="70">
        <v>9555.1567368050419</v>
      </c>
      <c r="N63" s="70">
        <v>193</v>
      </c>
      <c r="O63" s="70" t="s">
        <v>29</v>
      </c>
      <c r="P63" s="70">
        <v>1199.0738916256157</v>
      </c>
      <c r="Q63" s="70" t="s">
        <v>29</v>
      </c>
      <c r="R63" s="70">
        <f t="shared" si="11"/>
        <v>10947.230628430658</v>
      </c>
    </row>
    <row r="64" spans="1:38" x14ac:dyDescent="0.2">
      <c r="A64" s="123">
        <v>1988</v>
      </c>
      <c r="B64" s="70" t="s">
        <v>29</v>
      </c>
      <c r="C64" s="70" t="s">
        <v>29</v>
      </c>
      <c r="D64" s="70">
        <v>28794.685107555451</v>
      </c>
      <c r="E64" s="70" t="s">
        <v>29</v>
      </c>
      <c r="F64" s="70" t="s">
        <v>29</v>
      </c>
      <c r="G64" s="70">
        <v>17619.474224412872</v>
      </c>
      <c r="H64" s="70" t="s">
        <v>29</v>
      </c>
      <c r="I64" s="70">
        <f t="shared" si="10"/>
        <v>46414.159331968323</v>
      </c>
      <c r="J64" s="70"/>
      <c r="K64" s="70" t="s">
        <v>29</v>
      </c>
      <c r="L64" s="70" t="s">
        <v>29</v>
      </c>
      <c r="M64" s="70">
        <v>8588.2265651138532</v>
      </c>
      <c r="N64" s="70" t="s">
        <v>29</v>
      </c>
      <c r="O64" s="70" t="s">
        <v>29</v>
      </c>
      <c r="P64" s="70">
        <v>1502</v>
      </c>
      <c r="Q64" s="70" t="s">
        <v>29</v>
      </c>
      <c r="R64" s="70">
        <f t="shared" si="11"/>
        <v>10090.226565113853</v>
      </c>
    </row>
    <row r="65" spans="1:18" x14ac:dyDescent="0.2">
      <c r="A65" s="123">
        <v>1989</v>
      </c>
      <c r="B65" s="70" t="s">
        <v>29</v>
      </c>
      <c r="C65" s="70" t="s">
        <v>29</v>
      </c>
      <c r="D65" s="70">
        <v>9831.4281974080386</v>
      </c>
      <c r="E65" s="70" t="s">
        <v>29</v>
      </c>
      <c r="F65" s="70">
        <v>2027.9318369367884</v>
      </c>
      <c r="G65" s="70">
        <v>4702</v>
      </c>
      <c r="H65" s="70">
        <v>906</v>
      </c>
      <c r="I65" s="70">
        <f t="shared" si="10"/>
        <v>17467.360034344827</v>
      </c>
      <c r="J65" s="70"/>
      <c r="K65" s="70" t="s">
        <v>29</v>
      </c>
      <c r="L65" s="70" t="s">
        <v>29</v>
      </c>
      <c r="M65" s="70">
        <v>2436.3624820002619</v>
      </c>
      <c r="N65" s="70" t="s">
        <v>29</v>
      </c>
      <c r="O65" s="70">
        <v>337.91549760686581</v>
      </c>
      <c r="P65" s="70">
        <v>371</v>
      </c>
      <c r="Q65" s="70">
        <v>245</v>
      </c>
      <c r="R65" s="70">
        <f t="shared" si="11"/>
        <v>3390.2779796071277</v>
      </c>
    </row>
    <row r="66" spans="1:18" x14ac:dyDescent="0.2">
      <c r="A66" s="123">
        <v>1990</v>
      </c>
      <c r="B66" s="70" t="s">
        <v>29</v>
      </c>
      <c r="C66" s="70" t="s">
        <v>29</v>
      </c>
      <c r="D66" s="70" t="s">
        <v>29</v>
      </c>
      <c r="E66" s="70" t="s">
        <v>29</v>
      </c>
      <c r="F66" s="70">
        <v>4349</v>
      </c>
      <c r="G66" s="70">
        <v>1887</v>
      </c>
      <c r="H66" s="70">
        <v>53</v>
      </c>
      <c r="I66" s="70">
        <f t="shared" si="10"/>
        <v>6289</v>
      </c>
      <c r="J66" s="70"/>
      <c r="K66" s="70" t="s">
        <v>29</v>
      </c>
      <c r="L66" s="70" t="s">
        <v>29</v>
      </c>
      <c r="M66" s="70" t="s">
        <v>29</v>
      </c>
      <c r="N66" s="70" t="s">
        <v>29</v>
      </c>
      <c r="O66" s="70">
        <v>59</v>
      </c>
      <c r="P66" s="70">
        <v>1181</v>
      </c>
      <c r="Q66" s="70">
        <v>5</v>
      </c>
      <c r="R66" s="70">
        <f t="shared" si="11"/>
        <v>1245</v>
      </c>
    </row>
    <row r="67" spans="1:18" x14ac:dyDescent="0.2">
      <c r="A67" s="123">
        <v>1991</v>
      </c>
      <c r="B67" s="70" t="s">
        <v>29</v>
      </c>
      <c r="C67" s="70" t="s">
        <v>29</v>
      </c>
      <c r="D67" s="70" t="s">
        <v>29</v>
      </c>
      <c r="E67" s="70" t="s">
        <v>29</v>
      </c>
      <c r="F67" s="70" t="s">
        <v>29</v>
      </c>
      <c r="G67" s="70">
        <v>4300</v>
      </c>
      <c r="H67" s="70">
        <v>400</v>
      </c>
      <c r="I67" s="70">
        <f t="shared" si="10"/>
        <v>4700</v>
      </c>
      <c r="J67" s="70"/>
      <c r="K67" s="70" t="s">
        <v>29</v>
      </c>
      <c r="L67" s="70" t="s">
        <v>29</v>
      </c>
      <c r="M67" s="70" t="s">
        <v>29</v>
      </c>
      <c r="N67" s="70" t="s">
        <v>29</v>
      </c>
      <c r="O67" s="70" t="s">
        <v>29</v>
      </c>
      <c r="P67" s="70">
        <v>3000</v>
      </c>
      <c r="Q67" s="70">
        <v>100</v>
      </c>
      <c r="R67" s="70">
        <f t="shared" si="11"/>
        <v>3100</v>
      </c>
    </row>
    <row r="68" spans="1:18" x14ac:dyDescent="0.2">
      <c r="A68" s="123">
        <v>1992</v>
      </c>
      <c r="B68" s="70" t="s">
        <v>29</v>
      </c>
      <c r="C68" s="70" t="s">
        <v>29</v>
      </c>
      <c r="D68" s="70" t="s">
        <v>29</v>
      </c>
      <c r="E68" s="70" t="s">
        <v>29</v>
      </c>
      <c r="F68" s="70" t="s">
        <v>29</v>
      </c>
      <c r="G68" s="70" t="s">
        <v>29</v>
      </c>
      <c r="H68" s="70" t="s">
        <v>29</v>
      </c>
      <c r="I68" s="70" t="s">
        <v>29</v>
      </c>
      <c r="J68" s="70"/>
      <c r="K68" s="70" t="s">
        <v>29</v>
      </c>
      <c r="L68" s="70" t="s">
        <v>29</v>
      </c>
      <c r="M68" s="70" t="s">
        <v>29</v>
      </c>
      <c r="N68" s="70" t="s">
        <v>29</v>
      </c>
      <c r="O68" s="70" t="s">
        <v>29</v>
      </c>
      <c r="P68" s="70" t="s">
        <v>29</v>
      </c>
      <c r="Q68" s="70" t="s">
        <v>29</v>
      </c>
      <c r="R68" s="70" t="s">
        <v>29</v>
      </c>
    </row>
    <row r="69" spans="1:18" x14ac:dyDescent="0.2">
      <c r="A69" s="123">
        <v>1993</v>
      </c>
      <c r="B69" s="70" t="s">
        <v>29</v>
      </c>
      <c r="C69" s="70" t="s">
        <v>29</v>
      </c>
      <c r="D69" s="70" t="s">
        <v>29</v>
      </c>
      <c r="E69" s="70" t="s">
        <v>29</v>
      </c>
      <c r="F69" s="70" t="s">
        <v>29</v>
      </c>
      <c r="G69" s="70" t="s">
        <v>29</v>
      </c>
      <c r="H69" s="70" t="s">
        <v>29</v>
      </c>
      <c r="I69" s="70" t="s">
        <v>29</v>
      </c>
      <c r="J69" s="70"/>
      <c r="K69" s="70" t="s">
        <v>29</v>
      </c>
      <c r="L69" s="70" t="s">
        <v>29</v>
      </c>
      <c r="M69" s="70" t="s">
        <v>29</v>
      </c>
      <c r="N69" s="70" t="s">
        <v>29</v>
      </c>
      <c r="O69" s="70" t="s">
        <v>29</v>
      </c>
      <c r="P69" s="70" t="s">
        <v>29</v>
      </c>
      <c r="Q69" s="70" t="s">
        <v>29</v>
      </c>
      <c r="R69" s="70" t="s">
        <v>29</v>
      </c>
    </row>
    <row r="70" spans="1:18" x14ac:dyDescent="0.2">
      <c r="A70" s="123">
        <v>1994</v>
      </c>
      <c r="B70" s="70" t="s">
        <v>29</v>
      </c>
      <c r="C70" s="70" t="s">
        <v>29</v>
      </c>
      <c r="D70" s="70" t="s">
        <v>29</v>
      </c>
      <c r="E70" s="70" t="s">
        <v>29</v>
      </c>
      <c r="F70" s="70" t="s">
        <v>29</v>
      </c>
      <c r="G70" s="70" t="s">
        <v>29</v>
      </c>
      <c r="H70" s="70" t="s">
        <v>29</v>
      </c>
      <c r="I70" s="70" t="s">
        <v>29</v>
      </c>
      <c r="J70" s="70"/>
      <c r="K70" s="70" t="s">
        <v>29</v>
      </c>
      <c r="L70" s="70" t="s">
        <v>29</v>
      </c>
      <c r="M70" s="70" t="s">
        <v>29</v>
      </c>
      <c r="N70" s="70" t="s">
        <v>29</v>
      </c>
      <c r="O70" s="70" t="s">
        <v>29</v>
      </c>
      <c r="P70" s="70" t="s">
        <v>29</v>
      </c>
      <c r="Q70" s="70" t="s">
        <v>29</v>
      </c>
      <c r="R70" s="70" t="s">
        <v>29</v>
      </c>
    </row>
    <row r="71" spans="1:18" x14ac:dyDescent="0.2">
      <c r="A71" s="123">
        <v>1995</v>
      </c>
      <c r="B71" s="70" t="s">
        <v>29</v>
      </c>
      <c r="C71" s="70" t="s">
        <v>29</v>
      </c>
      <c r="D71" s="70" t="s">
        <v>29</v>
      </c>
      <c r="E71" s="70" t="s">
        <v>29</v>
      </c>
      <c r="F71" s="70" t="s">
        <v>29</v>
      </c>
      <c r="G71" s="70" t="s">
        <v>29</v>
      </c>
      <c r="H71" s="70" t="s">
        <v>29</v>
      </c>
      <c r="I71" s="70" t="s">
        <v>29</v>
      </c>
      <c r="J71" s="70"/>
      <c r="K71" s="70" t="s">
        <v>29</v>
      </c>
      <c r="L71" s="70" t="s">
        <v>29</v>
      </c>
      <c r="M71" s="70" t="s">
        <v>29</v>
      </c>
      <c r="N71" s="70" t="s">
        <v>29</v>
      </c>
      <c r="O71" s="70" t="s">
        <v>29</v>
      </c>
      <c r="P71" s="70" t="s">
        <v>29</v>
      </c>
      <c r="Q71" s="70" t="s">
        <v>29</v>
      </c>
      <c r="R71" s="70" t="s">
        <v>29</v>
      </c>
    </row>
    <row r="72" spans="1:18" x14ac:dyDescent="0.2">
      <c r="A72" s="123">
        <v>1996</v>
      </c>
      <c r="B72" s="70" t="s">
        <v>29</v>
      </c>
      <c r="C72" s="70" t="s">
        <v>29</v>
      </c>
      <c r="D72" s="70" t="s">
        <v>29</v>
      </c>
      <c r="E72" s="70" t="s">
        <v>29</v>
      </c>
      <c r="F72" s="70">
        <v>2599</v>
      </c>
      <c r="G72" s="70">
        <v>6222</v>
      </c>
      <c r="H72" s="70" t="s">
        <v>29</v>
      </c>
      <c r="I72" s="70">
        <f t="shared" ref="I72:I81" si="12">SUM(B72:H72)</f>
        <v>8821</v>
      </c>
      <c r="J72" s="70"/>
      <c r="K72" s="70" t="s">
        <v>29</v>
      </c>
      <c r="L72" s="70" t="s">
        <v>29</v>
      </c>
      <c r="M72" s="70" t="s">
        <v>29</v>
      </c>
      <c r="N72" s="70" t="s">
        <v>29</v>
      </c>
      <c r="O72" s="70" t="s">
        <v>29</v>
      </c>
      <c r="P72" s="70" t="s">
        <v>29</v>
      </c>
      <c r="Q72" s="70" t="s">
        <v>29</v>
      </c>
      <c r="R72" s="70" t="s">
        <v>29</v>
      </c>
    </row>
    <row r="73" spans="1:18" x14ac:dyDescent="0.2">
      <c r="A73" s="123">
        <v>1997</v>
      </c>
      <c r="B73" s="70" t="s">
        <v>29</v>
      </c>
      <c r="C73" s="70" t="s">
        <v>29</v>
      </c>
      <c r="D73" s="70" t="s">
        <v>29</v>
      </c>
      <c r="E73" s="70" t="s">
        <v>29</v>
      </c>
      <c r="F73" s="70" t="s">
        <v>29</v>
      </c>
      <c r="G73" s="70">
        <v>1424</v>
      </c>
      <c r="H73" s="70" t="s">
        <v>29</v>
      </c>
      <c r="I73" s="70">
        <f t="shared" si="12"/>
        <v>1424</v>
      </c>
      <c r="J73" s="70"/>
      <c r="K73" s="70" t="s">
        <v>29</v>
      </c>
      <c r="L73" s="70" t="s">
        <v>29</v>
      </c>
      <c r="M73" s="70" t="s">
        <v>29</v>
      </c>
      <c r="N73" s="70" t="s">
        <v>29</v>
      </c>
      <c r="O73" s="70" t="s">
        <v>29</v>
      </c>
      <c r="P73" s="70" t="s">
        <v>29</v>
      </c>
      <c r="Q73" s="70" t="s">
        <v>29</v>
      </c>
      <c r="R73" s="70" t="s">
        <v>29</v>
      </c>
    </row>
    <row r="74" spans="1:18" x14ac:dyDescent="0.2">
      <c r="A74" s="123">
        <v>1998</v>
      </c>
      <c r="B74" s="70" t="s">
        <v>29</v>
      </c>
      <c r="C74" s="70" t="s">
        <v>29</v>
      </c>
      <c r="D74" s="70" t="s">
        <v>29</v>
      </c>
      <c r="E74" s="70" t="s">
        <v>29</v>
      </c>
      <c r="F74" s="70" t="s">
        <v>29</v>
      </c>
      <c r="G74" s="70">
        <v>2501</v>
      </c>
      <c r="H74" s="70" t="s">
        <v>29</v>
      </c>
      <c r="I74" s="70">
        <f t="shared" si="12"/>
        <v>2501</v>
      </c>
      <c r="J74" s="70"/>
      <c r="K74" s="70" t="s">
        <v>29</v>
      </c>
      <c r="L74" s="70" t="s">
        <v>29</v>
      </c>
      <c r="M74" s="70" t="s">
        <v>29</v>
      </c>
      <c r="N74" s="70" t="s">
        <v>29</v>
      </c>
      <c r="O74" s="70" t="s">
        <v>29</v>
      </c>
      <c r="P74" s="70" t="s">
        <v>29</v>
      </c>
      <c r="Q74" s="70" t="s">
        <v>29</v>
      </c>
      <c r="R74" s="70" t="s">
        <v>29</v>
      </c>
    </row>
    <row r="75" spans="1:18" x14ac:dyDescent="0.2">
      <c r="A75" s="123">
        <v>1999</v>
      </c>
      <c r="B75" s="70" t="s">
        <v>29</v>
      </c>
      <c r="C75" s="70" t="s">
        <v>29</v>
      </c>
      <c r="D75" s="70" t="s">
        <v>29</v>
      </c>
      <c r="E75" s="70" t="s">
        <v>29</v>
      </c>
      <c r="F75" s="70" t="s">
        <v>29</v>
      </c>
      <c r="G75" s="70">
        <v>2375</v>
      </c>
      <c r="H75" s="70" t="s">
        <v>29</v>
      </c>
      <c r="I75" s="70">
        <f t="shared" si="12"/>
        <v>2375</v>
      </c>
      <c r="J75" s="70"/>
      <c r="K75" s="70" t="s">
        <v>29</v>
      </c>
      <c r="L75" s="70" t="s">
        <v>29</v>
      </c>
      <c r="M75" s="70" t="s">
        <v>29</v>
      </c>
      <c r="N75" s="70" t="s">
        <v>29</v>
      </c>
      <c r="O75" s="70" t="s">
        <v>29</v>
      </c>
      <c r="P75" s="70" t="s">
        <v>29</v>
      </c>
      <c r="Q75" s="70" t="s">
        <v>29</v>
      </c>
      <c r="R75" s="70" t="s">
        <v>29</v>
      </c>
    </row>
    <row r="76" spans="1:18" x14ac:dyDescent="0.2">
      <c r="A76" s="123">
        <v>2000</v>
      </c>
      <c r="B76" s="70" t="s">
        <v>29</v>
      </c>
      <c r="C76" s="70" t="s">
        <v>29</v>
      </c>
      <c r="D76" s="70" t="s">
        <v>29</v>
      </c>
      <c r="E76" s="70" t="s">
        <v>29</v>
      </c>
      <c r="F76" s="70" t="s">
        <v>29</v>
      </c>
      <c r="G76" s="70">
        <v>1776</v>
      </c>
      <c r="H76" s="70" t="s">
        <v>29</v>
      </c>
      <c r="I76" s="70">
        <f t="shared" si="12"/>
        <v>1776</v>
      </c>
      <c r="J76" s="70"/>
      <c r="K76" s="70" t="s">
        <v>29</v>
      </c>
      <c r="L76" s="70" t="s">
        <v>29</v>
      </c>
      <c r="M76" s="70" t="s">
        <v>29</v>
      </c>
      <c r="N76" s="70" t="s">
        <v>29</v>
      </c>
      <c r="O76" s="70" t="s">
        <v>29</v>
      </c>
      <c r="P76" s="70" t="s">
        <v>29</v>
      </c>
      <c r="Q76" s="70" t="s">
        <v>29</v>
      </c>
      <c r="R76" s="70" t="s">
        <v>29</v>
      </c>
    </row>
    <row r="77" spans="1:18" x14ac:dyDescent="0.2">
      <c r="A77" s="123">
        <v>2001</v>
      </c>
      <c r="B77" s="70" t="s">
        <v>29</v>
      </c>
      <c r="C77" s="70" t="s">
        <v>29</v>
      </c>
      <c r="D77" s="70" t="s">
        <v>29</v>
      </c>
      <c r="E77" s="70" t="s">
        <v>29</v>
      </c>
      <c r="F77" s="70" t="s">
        <v>29</v>
      </c>
      <c r="G77" s="70">
        <v>5300</v>
      </c>
      <c r="H77" s="70" t="s">
        <v>29</v>
      </c>
      <c r="I77" s="70">
        <f t="shared" si="12"/>
        <v>5300</v>
      </c>
      <c r="J77" s="70"/>
      <c r="K77" s="70" t="s">
        <v>29</v>
      </c>
      <c r="L77" s="70" t="s">
        <v>29</v>
      </c>
      <c r="M77" s="70" t="s">
        <v>29</v>
      </c>
      <c r="N77" s="70" t="s">
        <v>29</v>
      </c>
      <c r="O77" s="70" t="s">
        <v>29</v>
      </c>
      <c r="P77" s="70" t="s">
        <v>29</v>
      </c>
      <c r="Q77" s="70" t="s">
        <v>29</v>
      </c>
      <c r="R77" s="70" t="s">
        <v>29</v>
      </c>
    </row>
    <row r="78" spans="1:18" x14ac:dyDescent="0.2">
      <c r="A78" s="123">
        <v>2002</v>
      </c>
      <c r="B78" s="70" t="s">
        <v>29</v>
      </c>
      <c r="C78" s="70" t="s">
        <v>29</v>
      </c>
      <c r="D78" s="70" t="s">
        <v>29</v>
      </c>
      <c r="E78" s="70" t="s">
        <v>29</v>
      </c>
      <c r="F78" s="70">
        <v>1392</v>
      </c>
      <c r="G78" s="70">
        <v>7616</v>
      </c>
      <c r="H78" s="70" t="s">
        <v>29</v>
      </c>
      <c r="I78" s="70">
        <f t="shared" si="12"/>
        <v>9008</v>
      </c>
      <c r="J78" s="70"/>
      <c r="K78" s="70" t="s">
        <v>29</v>
      </c>
      <c r="L78" s="70" t="s">
        <v>29</v>
      </c>
      <c r="M78" s="70" t="s">
        <v>29</v>
      </c>
      <c r="N78" s="70" t="s">
        <v>29</v>
      </c>
      <c r="O78" s="70" t="s">
        <v>29</v>
      </c>
      <c r="P78" s="70" t="s">
        <v>29</v>
      </c>
      <c r="Q78" s="70" t="s">
        <v>29</v>
      </c>
      <c r="R78" s="70" t="s">
        <v>29</v>
      </c>
    </row>
    <row r="79" spans="1:18" x14ac:dyDescent="0.2">
      <c r="A79" s="123">
        <v>2003</v>
      </c>
      <c r="B79" s="70" t="s">
        <v>29</v>
      </c>
      <c r="C79" s="70" t="s">
        <v>29</v>
      </c>
      <c r="D79" s="70" t="s">
        <v>29</v>
      </c>
      <c r="E79" s="70" t="s">
        <v>29</v>
      </c>
      <c r="F79" s="70" t="s">
        <v>29</v>
      </c>
      <c r="G79" s="70">
        <v>688</v>
      </c>
      <c r="H79" s="70" t="s">
        <v>29</v>
      </c>
      <c r="I79" s="70">
        <f t="shared" si="12"/>
        <v>688</v>
      </c>
      <c r="J79" s="70"/>
      <c r="K79" s="70" t="s">
        <v>29</v>
      </c>
      <c r="L79" s="70" t="s">
        <v>29</v>
      </c>
      <c r="M79" s="70" t="s">
        <v>29</v>
      </c>
      <c r="N79" s="70" t="s">
        <v>29</v>
      </c>
      <c r="O79" s="70" t="s">
        <v>29</v>
      </c>
      <c r="P79" s="70" t="s">
        <v>29</v>
      </c>
      <c r="Q79" s="70" t="s">
        <v>29</v>
      </c>
      <c r="R79" s="70" t="s">
        <v>29</v>
      </c>
    </row>
    <row r="80" spans="1:18" x14ac:dyDescent="0.2">
      <c r="A80" s="123">
        <v>2004</v>
      </c>
      <c r="B80" s="70" t="s">
        <v>29</v>
      </c>
      <c r="C80" s="70" t="s">
        <v>29</v>
      </c>
      <c r="D80" s="70" t="s">
        <v>29</v>
      </c>
      <c r="E80" s="70" t="s">
        <v>29</v>
      </c>
      <c r="F80" s="70" t="s">
        <v>29</v>
      </c>
      <c r="G80" s="70">
        <v>5695</v>
      </c>
      <c r="H80" s="70" t="s">
        <v>29</v>
      </c>
      <c r="I80" s="70">
        <f t="shared" si="12"/>
        <v>5695</v>
      </c>
      <c r="J80" s="70"/>
      <c r="K80" s="70" t="s">
        <v>29</v>
      </c>
      <c r="L80" s="70" t="s">
        <v>29</v>
      </c>
      <c r="M80" s="70" t="s">
        <v>29</v>
      </c>
      <c r="N80" s="70" t="s">
        <v>29</v>
      </c>
      <c r="O80" s="70" t="s">
        <v>29</v>
      </c>
      <c r="P80" s="70" t="s">
        <v>29</v>
      </c>
      <c r="Q80" s="70" t="s">
        <v>29</v>
      </c>
      <c r="R80" s="70" t="s">
        <v>29</v>
      </c>
    </row>
    <row r="81" spans="1:18" x14ac:dyDescent="0.2">
      <c r="A81" s="123">
        <v>2005</v>
      </c>
      <c r="B81" s="70" t="s">
        <v>29</v>
      </c>
      <c r="C81" s="70" t="s">
        <v>29</v>
      </c>
      <c r="D81" s="70" t="s">
        <v>29</v>
      </c>
      <c r="E81" s="70" t="s">
        <v>29</v>
      </c>
      <c r="F81" s="70" t="s">
        <v>29</v>
      </c>
      <c r="G81" s="70">
        <v>5799</v>
      </c>
      <c r="H81" s="70" t="s">
        <v>29</v>
      </c>
      <c r="I81" s="70">
        <f t="shared" si="12"/>
        <v>5799</v>
      </c>
      <c r="J81" s="70"/>
      <c r="K81" s="70" t="s">
        <v>29</v>
      </c>
      <c r="L81" s="70" t="s">
        <v>29</v>
      </c>
      <c r="M81" s="70" t="s">
        <v>29</v>
      </c>
      <c r="N81" s="70" t="s">
        <v>29</v>
      </c>
      <c r="O81" s="70" t="s">
        <v>29</v>
      </c>
      <c r="P81" s="70" t="s">
        <v>29</v>
      </c>
      <c r="Q81" s="70" t="s">
        <v>29</v>
      </c>
      <c r="R81" s="70" t="s">
        <v>29</v>
      </c>
    </row>
    <row r="82" spans="1:18" x14ac:dyDescent="0.2">
      <c r="A82" s="123">
        <v>2006</v>
      </c>
      <c r="B82" s="70" t="s">
        <v>29</v>
      </c>
      <c r="C82" s="70" t="s">
        <v>29</v>
      </c>
      <c r="D82" s="70" t="s">
        <v>29</v>
      </c>
      <c r="E82" s="70" t="s">
        <v>29</v>
      </c>
      <c r="F82" s="70" t="s">
        <v>29</v>
      </c>
      <c r="G82" s="70" t="s">
        <v>29</v>
      </c>
      <c r="H82" s="70" t="s">
        <v>29</v>
      </c>
      <c r="I82" s="70" t="s">
        <v>29</v>
      </c>
      <c r="J82" s="70"/>
      <c r="K82" s="70" t="s">
        <v>29</v>
      </c>
      <c r="L82" s="70" t="s">
        <v>29</v>
      </c>
      <c r="M82" s="70" t="s">
        <v>29</v>
      </c>
      <c r="N82" s="70" t="s">
        <v>29</v>
      </c>
      <c r="O82" s="70" t="s">
        <v>29</v>
      </c>
      <c r="P82" s="70" t="s">
        <v>29</v>
      </c>
      <c r="Q82" s="70" t="s">
        <v>29</v>
      </c>
      <c r="R82" s="70" t="s">
        <v>29</v>
      </c>
    </row>
    <row r="83" spans="1:18" s="374" customFormat="1" x14ac:dyDescent="0.2">
      <c r="A83" s="122">
        <v>2007</v>
      </c>
      <c r="B83" s="97" t="s">
        <v>29</v>
      </c>
      <c r="C83" s="97" t="s">
        <v>29</v>
      </c>
      <c r="D83" s="97" t="s">
        <v>29</v>
      </c>
      <c r="E83" s="97" t="s">
        <v>29</v>
      </c>
      <c r="F83" s="97" t="s">
        <v>29</v>
      </c>
      <c r="G83" s="97">
        <v>6395</v>
      </c>
      <c r="H83" s="97" t="s">
        <v>29</v>
      </c>
      <c r="I83" s="97">
        <f>SUM(B83:H83)</f>
        <v>6395</v>
      </c>
      <c r="J83" s="97"/>
      <c r="K83" s="97" t="s">
        <v>29</v>
      </c>
      <c r="L83" s="97" t="s">
        <v>29</v>
      </c>
      <c r="M83" s="97" t="s">
        <v>29</v>
      </c>
      <c r="N83" s="97" t="s">
        <v>29</v>
      </c>
      <c r="O83" s="97" t="s">
        <v>29</v>
      </c>
      <c r="P83" s="97" t="s">
        <v>29</v>
      </c>
      <c r="Q83" s="97" t="s">
        <v>29</v>
      </c>
      <c r="R83" s="97" t="s">
        <v>29</v>
      </c>
    </row>
    <row r="84" spans="1:18" s="374" customFormat="1" x14ac:dyDescent="0.2">
      <c r="A84" s="122">
        <v>2008</v>
      </c>
      <c r="B84" s="97" t="s">
        <v>29</v>
      </c>
      <c r="C84" s="97" t="s">
        <v>29</v>
      </c>
      <c r="D84" s="97" t="s">
        <v>29</v>
      </c>
      <c r="E84" s="97" t="s">
        <v>29</v>
      </c>
      <c r="F84" s="97" t="s">
        <v>29</v>
      </c>
      <c r="G84" s="97" t="s">
        <v>29</v>
      </c>
      <c r="H84" s="97" t="s">
        <v>29</v>
      </c>
      <c r="I84" s="97" t="s">
        <v>29</v>
      </c>
      <c r="J84" s="97"/>
      <c r="K84" s="97" t="s">
        <v>29</v>
      </c>
      <c r="L84" s="97" t="s">
        <v>29</v>
      </c>
      <c r="M84" s="97" t="s">
        <v>29</v>
      </c>
      <c r="N84" s="97" t="s">
        <v>29</v>
      </c>
      <c r="O84" s="97" t="s">
        <v>29</v>
      </c>
      <c r="P84" s="97" t="s">
        <v>29</v>
      </c>
      <c r="Q84" s="97" t="s">
        <v>29</v>
      </c>
      <c r="R84" s="97" t="s">
        <v>29</v>
      </c>
    </row>
    <row r="85" spans="1:18" s="374" customFormat="1" x14ac:dyDescent="0.2">
      <c r="A85" s="122">
        <v>2009</v>
      </c>
      <c r="B85" s="97" t="s">
        <v>29</v>
      </c>
      <c r="C85" s="97" t="s">
        <v>29</v>
      </c>
      <c r="D85" s="97" t="s">
        <v>29</v>
      </c>
      <c r="E85" s="97" t="s">
        <v>29</v>
      </c>
      <c r="F85" s="97" t="s">
        <v>29</v>
      </c>
      <c r="G85" s="97" t="s">
        <v>29</v>
      </c>
      <c r="H85" s="97" t="s">
        <v>29</v>
      </c>
      <c r="I85" s="97" t="s">
        <v>29</v>
      </c>
      <c r="J85" s="97"/>
      <c r="K85" s="97" t="s">
        <v>29</v>
      </c>
      <c r="L85" s="97" t="s">
        <v>29</v>
      </c>
      <c r="M85" s="97" t="s">
        <v>29</v>
      </c>
      <c r="N85" s="97" t="s">
        <v>29</v>
      </c>
      <c r="O85" s="97" t="s">
        <v>29</v>
      </c>
      <c r="P85" s="97" t="s">
        <v>29</v>
      </c>
      <c r="Q85" s="97" t="s">
        <v>29</v>
      </c>
      <c r="R85" s="97" t="s">
        <v>29</v>
      </c>
    </row>
    <row r="86" spans="1:18" s="374" customFormat="1" x14ac:dyDescent="0.2">
      <c r="A86" s="122">
        <v>2010</v>
      </c>
      <c r="B86" s="97" t="s">
        <v>29</v>
      </c>
      <c r="C86" s="97" t="s">
        <v>29</v>
      </c>
      <c r="D86" s="97" t="s">
        <v>29</v>
      </c>
      <c r="E86" s="97" t="s">
        <v>29</v>
      </c>
      <c r="F86" s="97" t="s">
        <v>29</v>
      </c>
      <c r="G86" s="97" t="s">
        <v>29</v>
      </c>
      <c r="H86" s="97" t="s">
        <v>29</v>
      </c>
      <c r="I86" s="97" t="s">
        <v>29</v>
      </c>
      <c r="J86" s="97"/>
      <c r="K86" s="97" t="s">
        <v>29</v>
      </c>
      <c r="L86" s="97" t="s">
        <v>29</v>
      </c>
      <c r="M86" s="97" t="s">
        <v>29</v>
      </c>
      <c r="N86" s="97" t="s">
        <v>29</v>
      </c>
      <c r="O86" s="97" t="s">
        <v>29</v>
      </c>
      <c r="P86" s="97" t="s">
        <v>29</v>
      </c>
      <c r="Q86" s="97" t="s">
        <v>29</v>
      </c>
      <c r="R86" s="97" t="s">
        <v>29</v>
      </c>
    </row>
    <row r="87" spans="1:18" s="374" customFormat="1" x14ac:dyDescent="0.2">
      <c r="A87" s="122">
        <v>2011</v>
      </c>
      <c r="B87" s="97" t="s">
        <v>29</v>
      </c>
      <c r="C87" s="97" t="s">
        <v>29</v>
      </c>
      <c r="D87" s="97" t="s">
        <v>29</v>
      </c>
      <c r="E87" s="97">
        <v>1573</v>
      </c>
      <c r="F87" s="97">
        <v>401</v>
      </c>
      <c r="G87" s="97" t="s">
        <v>29</v>
      </c>
      <c r="H87" s="97" t="s">
        <v>29</v>
      </c>
      <c r="I87" s="97">
        <f t="shared" ref="I87:I94" si="13">SUM(B87:H87)</f>
        <v>1974</v>
      </c>
      <c r="J87" s="97"/>
      <c r="K87" s="97" t="s">
        <v>29</v>
      </c>
      <c r="L87" s="97" t="s">
        <v>29</v>
      </c>
      <c r="M87" s="97" t="s">
        <v>29</v>
      </c>
      <c r="N87" s="97" t="s">
        <v>29</v>
      </c>
      <c r="O87" s="97" t="s">
        <v>29</v>
      </c>
      <c r="P87" s="97" t="s">
        <v>29</v>
      </c>
      <c r="Q87" s="97" t="s">
        <v>29</v>
      </c>
      <c r="R87" s="97" t="s">
        <v>29</v>
      </c>
    </row>
    <row r="88" spans="1:18" s="374" customFormat="1" x14ac:dyDescent="0.2">
      <c r="A88" s="122">
        <v>2012</v>
      </c>
      <c r="B88" s="97" t="s">
        <v>29</v>
      </c>
      <c r="C88" s="97" t="s">
        <v>29</v>
      </c>
      <c r="D88" s="97" t="s">
        <v>29</v>
      </c>
      <c r="E88" s="97" t="s">
        <v>29</v>
      </c>
      <c r="F88" s="97" t="s">
        <v>29</v>
      </c>
      <c r="G88" s="97">
        <v>4831</v>
      </c>
      <c r="H88" s="97" t="s">
        <v>29</v>
      </c>
      <c r="I88" s="97">
        <f t="shared" si="13"/>
        <v>4831</v>
      </c>
      <c r="J88" s="97"/>
      <c r="K88" s="97" t="s">
        <v>29</v>
      </c>
      <c r="L88" s="97" t="s">
        <v>29</v>
      </c>
      <c r="M88" s="97" t="s">
        <v>29</v>
      </c>
      <c r="N88" s="97" t="s">
        <v>29</v>
      </c>
      <c r="O88" s="97" t="s">
        <v>29</v>
      </c>
      <c r="P88" s="97" t="s">
        <v>29</v>
      </c>
      <c r="Q88" s="97" t="s">
        <v>29</v>
      </c>
      <c r="R88" s="97" t="s">
        <v>29</v>
      </c>
    </row>
    <row r="89" spans="1:18" s="374" customFormat="1" x14ac:dyDescent="0.2">
      <c r="A89" s="122">
        <v>2013</v>
      </c>
      <c r="B89" s="97" t="s">
        <v>29</v>
      </c>
      <c r="C89" s="97">
        <v>2603</v>
      </c>
      <c r="D89" s="97">
        <v>2400</v>
      </c>
      <c r="E89" s="97">
        <v>1887</v>
      </c>
      <c r="F89" s="97">
        <v>1892</v>
      </c>
      <c r="G89" s="97">
        <v>171</v>
      </c>
      <c r="H89" s="97" t="s">
        <v>29</v>
      </c>
      <c r="I89" s="97">
        <f t="shared" si="13"/>
        <v>8953</v>
      </c>
      <c r="J89" s="97"/>
      <c r="K89" s="97" t="s">
        <v>29</v>
      </c>
      <c r="L89" s="97" t="s">
        <v>29</v>
      </c>
      <c r="M89" s="97" t="s">
        <v>29</v>
      </c>
      <c r="N89" s="97" t="s">
        <v>29</v>
      </c>
      <c r="O89" s="97" t="s">
        <v>29</v>
      </c>
      <c r="P89" s="97" t="s">
        <v>29</v>
      </c>
      <c r="Q89" s="97" t="s">
        <v>29</v>
      </c>
      <c r="R89" s="97" t="s">
        <v>29</v>
      </c>
    </row>
    <row r="90" spans="1:18" s="374" customFormat="1" x14ac:dyDescent="0.2">
      <c r="A90" s="122">
        <v>2014</v>
      </c>
      <c r="B90" s="97" t="s">
        <v>29</v>
      </c>
      <c r="C90" s="97" t="s">
        <v>29</v>
      </c>
      <c r="D90" s="97" t="s">
        <v>29</v>
      </c>
      <c r="E90" s="97" t="s">
        <v>29</v>
      </c>
      <c r="F90" s="97" t="s">
        <v>29</v>
      </c>
      <c r="G90" s="97">
        <v>599</v>
      </c>
      <c r="H90" s="97" t="s">
        <v>29</v>
      </c>
      <c r="I90" s="97">
        <f t="shared" si="13"/>
        <v>599</v>
      </c>
      <c r="J90" s="97"/>
      <c r="K90" s="97" t="s">
        <v>29</v>
      </c>
      <c r="L90" s="97" t="s">
        <v>29</v>
      </c>
      <c r="M90" s="97" t="s">
        <v>29</v>
      </c>
      <c r="N90" s="97" t="s">
        <v>29</v>
      </c>
      <c r="O90" s="97" t="s">
        <v>29</v>
      </c>
      <c r="P90" s="97" t="s">
        <v>29</v>
      </c>
      <c r="Q90" s="97" t="s">
        <v>29</v>
      </c>
      <c r="R90" s="97" t="s">
        <v>29</v>
      </c>
    </row>
    <row r="91" spans="1:18" s="374" customFormat="1" x14ac:dyDescent="0.2">
      <c r="A91" s="122">
        <v>2015</v>
      </c>
      <c r="B91" s="97" t="s">
        <v>29</v>
      </c>
      <c r="C91" s="97" t="s">
        <v>29</v>
      </c>
      <c r="D91" s="97" t="s">
        <v>29</v>
      </c>
      <c r="E91" s="97" t="s">
        <v>29</v>
      </c>
      <c r="F91" s="97" t="s">
        <v>29</v>
      </c>
      <c r="G91" s="97">
        <v>10</v>
      </c>
      <c r="H91" s="97" t="s">
        <v>29</v>
      </c>
      <c r="I91" s="97">
        <f t="shared" si="13"/>
        <v>10</v>
      </c>
      <c r="J91" s="97"/>
      <c r="K91" s="97" t="s">
        <v>29</v>
      </c>
      <c r="L91" s="97" t="s">
        <v>29</v>
      </c>
      <c r="M91" s="97" t="s">
        <v>29</v>
      </c>
      <c r="N91" s="97" t="s">
        <v>29</v>
      </c>
      <c r="O91" s="97" t="s">
        <v>29</v>
      </c>
      <c r="P91" s="97" t="s">
        <v>29</v>
      </c>
      <c r="Q91" s="97" t="s">
        <v>29</v>
      </c>
      <c r="R91" s="97" t="s">
        <v>29</v>
      </c>
    </row>
    <row r="92" spans="1:18" s="374" customFormat="1" x14ac:dyDescent="0.2">
      <c r="A92" s="122">
        <v>2016</v>
      </c>
      <c r="B92" s="97" t="s">
        <v>29</v>
      </c>
      <c r="C92" s="97" t="s">
        <v>29</v>
      </c>
      <c r="D92" s="97" t="s">
        <v>29</v>
      </c>
      <c r="E92" s="97" t="s">
        <v>29</v>
      </c>
      <c r="F92" s="97" t="s">
        <v>29</v>
      </c>
      <c r="G92" s="97">
        <v>190</v>
      </c>
      <c r="H92" s="97" t="s">
        <v>29</v>
      </c>
      <c r="I92" s="97">
        <f t="shared" si="13"/>
        <v>190</v>
      </c>
      <c r="J92" s="97"/>
      <c r="K92" s="97" t="s">
        <v>29</v>
      </c>
      <c r="L92" s="97" t="s">
        <v>29</v>
      </c>
      <c r="M92" s="97" t="s">
        <v>29</v>
      </c>
      <c r="N92" s="97" t="s">
        <v>29</v>
      </c>
      <c r="O92" s="97" t="s">
        <v>29</v>
      </c>
      <c r="P92" s="97" t="s">
        <v>29</v>
      </c>
      <c r="Q92" s="97" t="s">
        <v>29</v>
      </c>
      <c r="R92" s="97" t="s">
        <v>29</v>
      </c>
    </row>
    <row r="93" spans="1:18" s="374" customFormat="1" x14ac:dyDescent="0.2">
      <c r="A93" s="122">
        <v>2017</v>
      </c>
      <c r="B93" s="97" t="s">
        <v>29</v>
      </c>
      <c r="C93" s="97" t="s">
        <v>29</v>
      </c>
      <c r="D93" s="97" t="s">
        <v>29</v>
      </c>
      <c r="E93" s="97" t="s">
        <v>29</v>
      </c>
      <c r="F93" s="97" t="s">
        <v>29</v>
      </c>
      <c r="G93" s="97" t="s">
        <v>29</v>
      </c>
      <c r="H93" s="97" t="s">
        <v>29</v>
      </c>
      <c r="I93" s="97" t="s">
        <v>29</v>
      </c>
      <c r="J93" s="97"/>
      <c r="K93" s="97" t="s">
        <v>29</v>
      </c>
      <c r="L93" s="97" t="s">
        <v>29</v>
      </c>
      <c r="M93" s="97" t="s">
        <v>29</v>
      </c>
      <c r="N93" s="97" t="s">
        <v>29</v>
      </c>
      <c r="O93" s="97" t="s">
        <v>29</v>
      </c>
      <c r="P93" s="97" t="s">
        <v>29</v>
      </c>
      <c r="Q93" s="97" t="s">
        <v>29</v>
      </c>
      <c r="R93" s="97" t="s">
        <v>29</v>
      </c>
    </row>
    <row r="94" spans="1:18" s="374" customFormat="1" x14ac:dyDescent="0.2">
      <c r="A94" s="122">
        <v>2018</v>
      </c>
      <c r="B94" s="97" t="s">
        <v>29</v>
      </c>
      <c r="C94" s="97">
        <v>696</v>
      </c>
      <c r="D94" s="97">
        <v>980</v>
      </c>
      <c r="E94" s="97">
        <v>1045</v>
      </c>
      <c r="F94" s="97">
        <v>1878</v>
      </c>
      <c r="G94" s="97" t="s">
        <v>29</v>
      </c>
      <c r="H94" s="97" t="s">
        <v>29</v>
      </c>
      <c r="I94" s="97">
        <f t="shared" si="13"/>
        <v>4599</v>
      </c>
      <c r="J94" s="97"/>
      <c r="K94" s="97" t="s">
        <v>29</v>
      </c>
      <c r="L94" s="97" t="s">
        <v>29</v>
      </c>
      <c r="M94" s="97" t="s">
        <v>29</v>
      </c>
      <c r="N94" s="97" t="s">
        <v>29</v>
      </c>
      <c r="O94" s="97" t="s">
        <v>29</v>
      </c>
      <c r="P94" s="97" t="s">
        <v>29</v>
      </c>
      <c r="Q94" s="97" t="s">
        <v>29</v>
      </c>
      <c r="R94" s="97" t="s">
        <v>29</v>
      </c>
    </row>
    <row r="95" spans="1:18" s="487" customFormat="1" x14ac:dyDescent="0.2">
      <c r="A95" s="497" t="s">
        <v>336</v>
      </c>
      <c r="B95" s="97" t="s">
        <v>29</v>
      </c>
      <c r="C95" s="97" t="s">
        <v>29</v>
      </c>
      <c r="D95" s="97">
        <v>623</v>
      </c>
      <c r="E95" s="97">
        <v>164</v>
      </c>
      <c r="F95" s="97">
        <v>835</v>
      </c>
      <c r="G95" s="97" t="s">
        <v>29</v>
      </c>
      <c r="H95" s="97" t="s">
        <v>29</v>
      </c>
      <c r="I95" s="97">
        <f t="shared" ref="I95" si="14">SUM(B95:H95)</f>
        <v>1622</v>
      </c>
      <c r="J95" s="97"/>
      <c r="K95" s="97" t="s">
        <v>29</v>
      </c>
      <c r="L95" s="97" t="s">
        <v>29</v>
      </c>
      <c r="M95" s="97" t="s">
        <v>29</v>
      </c>
      <c r="N95" s="97" t="s">
        <v>29</v>
      </c>
      <c r="O95" s="97" t="s">
        <v>29</v>
      </c>
      <c r="P95" s="97" t="s">
        <v>29</v>
      </c>
      <c r="Q95" s="97" t="s">
        <v>29</v>
      </c>
      <c r="R95" s="97" t="s">
        <v>29</v>
      </c>
    </row>
    <row r="96" spans="1:18" x14ac:dyDescent="0.2">
      <c r="A96" s="497">
        <v>2020</v>
      </c>
      <c r="B96" s="70" t="s">
        <v>29</v>
      </c>
      <c r="C96" s="70" t="s">
        <v>29</v>
      </c>
      <c r="D96" s="70" t="s">
        <v>29</v>
      </c>
      <c r="E96" s="70" t="s">
        <v>29</v>
      </c>
      <c r="F96" s="70" t="s">
        <v>29</v>
      </c>
      <c r="G96" s="70" t="s">
        <v>29</v>
      </c>
      <c r="H96" s="70" t="s">
        <v>29</v>
      </c>
      <c r="I96" s="70" t="s">
        <v>29</v>
      </c>
      <c r="J96" s="70"/>
      <c r="K96" s="70" t="s">
        <v>29</v>
      </c>
      <c r="L96" s="70" t="s">
        <v>29</v>
      </c>
      <c r="M96" s="70" t="s">
        <v>29</v>
      </c>
      <c r="N96" s="70" t="s">
        <v>29</v>
      </c>
      <c r="O96" s="70" t="s">
        <v>29</v>
      </c>
      <c r="P96" s="70" t="s">
        <v>29</v>
      </c>
      <c r="Q96" s="70" t="s">
        <v>29</v>
      </c>
      <c r="R96" s="70" t="s">
        <v>29</v>
      </c>
    </row>
    <row r="97" spans="1:18" x14ac:dyDescent="0.2">
      <c r="A97" s="123"/>
      <c r="B97" s="70"/>
      <c r="C97" s="70"/>
      <c r="D97" s="70"/>
      <c r="E97" s="70"/>
      <c r="F97" s="70"/>
      <c r="G97" s="70"/>
      <c r="H97" s="70"/>
      <c r="I97" s="70"/>
      <c r="J97" s="70"/>
      <c r="K97" s="70"/>
      <c r="L97" s="70"/>
      <c r="M97" s="70"/>
      <c r="N97" s="70"/>
      <c r="O97" s="70"/>
      <c r="P97" s="70"/>
      <c r="Q97" s="70"/>
      <c r="R97" s="70"/>
    </row>
    <row r="98" spans="1:18" x14ac:dyDescent="0.2">
      <c r="A98" s="228" t="s">
        <v>24</v>
      </c>
      <c r="B98" s="70"/>
      <c r="C98" s="70"/>
      <c r="D98" s="70"/>
      <c r="E98" s="70"/>
      <c r="F98" s="70"/>
      <c r="G98" s="70"/>
      <c r="H98" s="70"/>
      <c r="I98" s="70"/>
      <c r="J98" s="70"/>
      <c r="K98" s="70"/>
      <c r="L98" s="70"/>
      <c r="M98" s="70"/>
      <c r="N98" s="70"/>
      <c r="O98" s="70"/>
      <c r="P98" s="70"/>
      <c r="Q98" s="70"/>
      <c r="R98" s="70"/>
    </row>
    <row r="99" spans="1:18" x14ac:dyDescent="0.2">
      <c r="A99" s="123">
        <v>1976</v>
      </c>
      <c r="B99" s="70">
        <v>1844</v>
      </c>
      <c r="C99" s="70">
        <v>13928</v>
      </c>
      <c r="D99" s="70">
        <v>31835</v>
      </c>
      <c r="E99" s="70">
        <v>53992</v>
      </c>
      <c r="F99" s="70">
        <v>9906</v>
      </c>
      <c r="G99" s="70">
        <v>4178</v>
      </c>
      <c r="H99" s="70" t="s">
        <v>29</v>
      </c>
      <c r="I99" s="70">
        <f t="shared" ref="I99:I114" si="15">SUM(B99:H99)</f>
        <v>115683</v>
      </c>
      <c r="J99" s="70"/>
      <c r="K99" s="70" t="s">
        <v>29</v>
      </c>
      <c r="L99" s="70">
        <v>21399</v>
      </c>
      <c r="M99" s="70">
        <v>101420</v>
      </c>
      <c r="N99" s="70">
        <v>29613</v>
      </c>
      <c r="O99" s="70">
        <v>6827</v>
      </c>
      <c r="P99" s="70">
        <v>0</v>
      </c>
      <c r="Q99" s="70" t="s">
        <v>29</v>
      </c>
      <c r="R99" s="70"/>
    </row>
    <row r="100" spans="1:18" x14ac:dyDescent="0.2">
      <c r="A100" s="123">
        <v>1977</v>
      </c>
      <c r="B100" s="70">
        <v>2943</v>
      </c>
      <c r="C100" s="70">
        <v>28357</v>
      </c>
      <c r="D100" s="70">
        <v>19284</v>
      </c>
      <c r="E100" s="70">
        <v>33689</v>
      </c>
      <c r="F100" s="70">
        <v>40283</v>
      </c>
      <c r="G100" s="70">
        <v>14330</v>
      </c>
      <c r="H100" s="70" t="s">
        <v>29</v>
      </c>
      <c r="I100" s="70">
        <f t="shared" si="15"/>
        <v>138886</v>
      </c>
      <c r="J100" s="70"/>
      <c r="K100" s="70" t="s">
        <v>29</v>
      </c>
      <c r="L100" s="70">
        <v>943</v>
      </c>
      <c r="M100" s="70">
        <v>3505</v>
      </c>
      <c r="N100" s="70">
        <v>841</v>
      </c>
      <c r="O100" s="70">
        <v>822</v>
      </c>
      <c r="P100" s="70">
        <v>22</v>
      </c>
      <c r="Q100" s="70" t="s">
        <v>29</v>
      </c>
      <c r="R100" s="70"/>
    </row>
    <row r="101" spans="1:18" x14ac:dyDescent="0.2">
      <c r="A101" s="123">
        <v>1978</v>
      </c>
      <c r="B101" s="70">
        <v>1916</v>
      </c>
      <c r="C101" s="70">
        <v>30980</v>
      </c>
      <c r="D101" s="70">
        <v>45602</v>
      </c>
      <c r="E101" s="70">
        <v>34587</v>
      </c>
      <c r="F101" s="70">
        <v>12330</v>
      </c>
      <c r="G101" s="70">
        <v>6439</v>
      </c>
      <c r="H101" s="70" t="s">
        <v>29</v>
      </c>
      <c r="I101" s="70">
        <f t="shared" si="15"/>
        <v>131854</v>
      </c>
      <c r="J101" s="70"/>
      <c r="K101" s="70">
        <v>8</v>
      </c>
      <c r="L101" s="70">
        <v>2700</v>
      </c>
      <c r="M101" s="70">
        <v>31839</v>
      </c>
      <c r="N101" s="70">
        <v>13015</v>
      </c>
      <c r="O101" s="70">
        <v>1419</v>
      </c>
      <c r="P101" s="70">
        <v>165</v>
      </c>
      <c r="Q101" s="70" t="s">
        <v>29</v>
      </c>
      <c r="R101" s="70">
        <f t="shared" ref="R101:R108" si="16">SUM(K101:Q101)</f>
        <v>49146</v>
      </c>
    </row>
    <row r="102" spans="1:18" x14ac:dyDescent="0.2">
      <c r="A102" s="123">
        <v>1979</v>
      </c>
      <c r="B102" s="70">
        <v>2</v>
      </c>
      <c r="C102" s="70">
        <v>30367</v>
      </c>
      <c r="D102" s="70">
        <v>7789</v>
      </c>
      <c r="E102" s="70">
        <v>80180</v>
      </c>
      <c r="F102" s="70">
        <v>57586</v>
      </c>
      <c r="G102" s="70">
        <v>26543</v>
      </c>
      <c r="H102" s="70" t="s">
        <v>29</v>
      </c>
      <c r="I102" s="70">
        <f t="shared" si="15"/>
        <v>202467</v>
      </c>
      <c r="J102" s="70"/>
      <c r="K102" s="70">
        <v>3</v>
      </c>
      <c r="L102" s="70">
        <v>793</v>
      </c>
      <c r="M102" s="70">
        <v>3399</v>
      </c>
      <c r="N102" s="70">
        <v>20822</v>
      </c>
      <c r="O102" s="70">
        <v>4067</v>
      </c>
      <c r="P102" s="70">
        <v>182</v>
      </c>
      <c r="Q102" s="70" t="s">
        <v>29</v>
      </c>
      <c r="R102" s="70">
        <f t="shared" si="16"/>
        <v>29266</v>
      </c>
    </row>
    <row r="103" spans="1:18" x14ac:dyDescent="0.2">
      <c r="A103" s="123">
        <v>1980</v>
      </c>
      <c r="B103" s="70" t="s">
        <v>29</v>
      </c>
      <c r="C103" s="70">
        <v>20268</v>
      </c>
      <c r="D103" s="70" t="s">
        <v>29</v>
      </c>
      <c r="E103" s="70">
        <v>82602</v>
      </c>
      <c r="F103" s="70">
        <v>14102</v>
      </c>
      <c r="G103" s="70">
        <v>13471</v>
      </c>
      <c r="H103" s="70" t="s">
        <v>29</v>
      </c>
      <c r="I103" s="70">
        <f t="shared" si="15"/>
        <v>130443</v>
      </c>
      <c r="J103" s="70"/>
      <c r="K103" s="70" t="s">
        <v>29</v>
      </c>
      <c r="L103" s="70">
        <v>216</v>
      </c>
      <c r="M103" s="70" t="s">
        <v>29</v>
      </c>
      <c r="N103" s="70">
        <v>8211</v>
      </c>
      <c r="O103" s="70">
        <v>2331</v>
      </c>
      <c r="P103" s="70">
        <v>584</v>
      </c>
      <c r="Q103" s="70" t="s">
        <v>29</v>
      </c>
      <c r="R103" s="70">
        <f t="shared" si="16"/>
        <v>11342</v>
      </c>
    </row>
    <row r="104" spans="1:18" x14ac:dyDescent="0.2">
      <c r="A104" s="123">
        <v>1981</v>
      </c>
      <c r="B104" s="70" t="s">
        <v>29</v>
      </c>
      <c r="C104" s="70">
        <v>22485</v>
      </c>
      <c r="D104" s="70">
        <v>31675</v>
      </c>
      <c r="E104" s="70">
        <v>36661</v>
      </c>
      <c r="F104" s="70">
        <v>19081</v>
      </c>
      <c r="G104" s="70">
        <v>6722</v>
      </c>
      <c r="H104" s="70" t="s">
        <v>29</v>
      </c>
      <c r="I104" s="70">
        <f t="shared" si="15"/>
        <v>116624</v>
      </c>
      <c r="J104" s="70"/>
      <c r="K104" s="70" t="s">
        <v>29</v>
      </c>
      <c r="L104" s="70">
        <v>692</v>
      </c>
      <c r="M104" s="70">
        <v>2412</v>
      </c>
      <c r="N104" s="70">
        <v>5674</v>
      </c>
      <c r="O104" s="70">
        <v>1814</v>
      </c>
      <c r="P104" s="70">
        <v>236</v>
      </c>
      <c r="Q104" s="70" t="s">
        <v>29</v>
      </c>
      <c r="R104" s="70">
        <f t="shared" si="16"/>
        <v>10828</v>
      </c>
    </row>
    <row r="105" spans="1:18" x14ac:dyDescent="0.2">
      <c r="A105" s="123">
        <v>1982</v>
      </c>
      <c r="B105" s="70" t="s">
        <v>29</v>
      </c>
      <c r="C105" s="70">
        <v>25005</v>
      </c>
      <c r="D105" s="70">
        <v>19140</v>
      </c>
      <c r="E105" s="70">
        <v>100081</v>
      </c>
      <c r="F105" s="70">
        <v>17822</v>
      </c>
      <c r="G105" s="70">
        <v>8001</v>
      </c>
      <c r="H105" s="70" t="s">
        <v>29</v>
      </c>
      <c r="I105" s="70">
        <f t="shared" si="15"/>
        <v>170049</v>
      </c>
      <c r="J105" s="70"/>
      <c r="K105" s="70" t="s">
        <v>29</v>
      </c>
      <c r="L105" s="70">
        <v>117</v>
      </c>
      <c r="M105" s="70">
        <v>2529</v>
      </c>
      <c r="N105" s="70">
        <v>22198</v>
      </c>
      <c r="O105" s="70">
        <v>2358</v>
      </c>
      <c r="P105" s="70">
        <v>335</v>
      </c>
      <c r="Q105" s="70" t="s">
        <v>29</v>
      </c>
      <c r="R105" s="70">
        <f t="shared" si="16"/>
        <v>27537</v>
      </c>
    </row>
    <row r="106" spans="1:18" x14ac:dyDescent="0.2">
      <c r="A106" s="123">
        <v>1983</v>
      </c>
      <c r="B106" s="70" t="s">
        <v>29</v>
      </c>
      <c r="C106" s="70">
        <v>8238</v>
      </c>
      <c r="D106" s="70">
        <v>21764</v>
      </c>
      <c r="E106" s="70">
        <v>18124</v>
      </c>
      <c r="F106" s="70">
        <v>7620</v>
      </c>
      <c r="G106" s="70">
        <v>140</v>
      </c>
      <c r="H106" s="70" t="s">
        <v>29</v>
      </c>
      <c r="I106" s="70">
        <f t="shared" si="15"/>
        <v>55886</v>
      </c>
      <c r="J106" s="70"/>
      <c r="K106" s="70" t="s">
        <v>29</v>
      </c>
      <c r="L106" s="70">
        <v>2</v>
      </c>
      <c r="M106" s="70">
        <v>6111</v>
      </c>
      <c r="N106" s="70">
        <v>4578</v>
      </c>
      <c r="O106" s="70">
        <v>2355</v>
      </c>
      <c r="P106" s="70">
        <v>31</v>
      </c>
      <c r="Q106" s="70" t="s">
        <v>29</v>
      </c>
      <c r="R106" s="70">
        <f t="shared" si="16"/>
        <v>13077</v>
      </c>
    </row>
    <row r="107" spans="1:18" x14ac:dyDescent="0.2">
      <c r="A107" s="123">
        <v>1984</v>
      </c>
      <c r="B107" s="70" t="s">
        <v>29</v>
      </c>
      <c r="C107" s="70">
        <v>4438</v>
      </c>
      <c r="D107" s="70">
        <v>3579</v>
      </c>
      <c r="E107" s="70">
        <v>24292</v>
      </c>
      <c r="F107" s="70">
        <v>4118</v>
      </c>
      <c r="G107" s="70">
        <v>13324</v>
      </c>
      <c r="H107" s="70" t="s">
        <v>29</v>
      </c>
      <c r="I107" s="70">
        <f t="shared" si="15"/>
        <v>49751</v>
      </c>
      <c r="J107" s="70"/>
      <c r="K107" s="70" t="s">
        <v>29</v>
      </c>
      <c r="L107" s="70" t="s">
        <v>29</v>
      </c>
      <c r="M107" s="70">
        <v>279</v>
      </c>
      <c r="N107" s="70">
        <v>10926</v>
      </c>
      <c r="O107" s="70">
        <v>556</v>
      </c>
      <c r="P107" s="70">
        <v>314</v>
      </c>
      <c r="Q107" s="70" t="s">
        <v>29</v>
      </c>
      <c r="R107" s="70">
        <f t="shared" si="16"/>
        <v>12075</v>
      </c>
    </row>
    <row r="108" spans="1:18" x14ac:dyDescent="0.2">
      <c r="A108" s="123">
        <v>1985</v>
      </c>
      <c r="B108" s="70" t="s">
        <v>29</v>
      </c>
      <c r="C108" s="70">
        <v>17269</v>
      </c>
      <c r="D108" s="70">
        <v>29524</v>
      </c>
      <c r="E108" s="70">
        <v>65724</v>
      </c>
      <c r="F108" s="70">
        <v>35816</v>
      </c>
      <c r="G108" s="70">
        <v>5647</v>
      </c>
      <c r="H108" s="70" t="s">
        <v>29</v>
      </c>
      <c r="I108" s="70">
        <f t="shared" si="15"/>
        <v>153980</v>
      </c>
      <c r="J108" s="70"/>
      <c r="K108" s="70" t="s">
        <v>29</v>
      </c>
      <c r="L108" s="70">
        <v>9</v>
      </c>
      <c r="M108" s="70">
        <v>2143</v>
      </c>
      <c r="N108" s="70">
        <v>6203</v>
      </c>
      <c r="O108" s="70">
        <v>1213</v>
      </c>
      <c r="P108" s="70">
        <v>53</v>
      </c>
      <c r="Q108" s="70" t="s">
        <v>29</v>
      </c>
      <c r="R108" s="70">
        <f t="shared" si="16"/>
        <v>9621</v>
      </c>
    </row>
    <row r="109" spans="1:18" x14ac:dyDescent="0.2">
      <c r="A109" s="123">
        <v>1986</v>
      </c>
      <c r="B109" s="70" t="s">
        <v>29</v>
      </c>
      <c r="C109" s="70">
        <v>57019</v>
      </c>
      <c r="D109" s="70">
        <v>96524.68</v>
      </c>
      <c r="E109" s="70">
        <v>90196.96</v>
      </c>
      <c r="F109" s="70">
        <v>28103.74</v>
      </c>
      <c r="G109" s="70">
        <v>574</v>
      </c>
      <c r="H109" s="70" t="s">
        <v>29</v>
      </c>
      <c r="I109" s="70">
        <f t="shared" si="15"/>
        <v>272418.38</v>
      </c>
      <c r="J109" s="70"/>
      <c r="K109" s="70" t="s">
        <v>29</v>
      </c>
      <c r="L109" s="70" t="s">
        <v>29</v>
      </c>
      <c r="M109" s="70">
        <v>6892.353226980129</v>
      </c>
      <c r="N109" s="70">
        <v>12355.44784896161</v>
      </c>
      <c r="O109" s="70">
        <v>1581.8774455271632</v>
      </c>
      <c r="P109" s="70">
        <v>8</v>
      </c>
      <c r="Q109" s="70" t="s">
        <v>29</v>
      </c>
      <c r="R109" s="70">
        <v>20800</v>
      </c>
    </row>
    <row r="110" spans="1:18" x14ac:dyDescent="0.2">
      <c r="A110" s="123">
        <v>1987</v>
      </c>
      <c r="B110" s="70" t="s">
        <v>29</v>
      </c>
      <c r="C110" s="70">
        <v>71544</v>
      </c>
      <c r="D110" s="70">
        <v>89448</v>
      </c>
      <c r="E110" s="70">
        <v>127588</v>
      </c>
      <c r="F110" s="70">
        <v>49204</v>
      </c>
      <c r="G110" s="70">
        <v>3432</v>
      </c>
      <c r="H110" s="70" t="s">
        <v>29</v>
      </c>
      <c r="I110" s="70">
        <f t="shared" si="15"/>
        <v>341216</v>
      </c>
      <c r="J110" s="70"/>
      <c r="K110" s="70" t="s">
        <v>29</v>
      </c>
      <c r="L110" s="70" t="s">
        <v>29</v>
      </c>
      <c r="M110" s="70">
        <v>9094.3236726120376</v>
      </c>
      <c r="N110" s="70">
        <v>16599.473434253487</v>
      </c>
      <c r="O110" s="70" t="s">
        <v>29</v>
      </c>
      <c r="P110" s="70">
        <v>176.69293924466345</v>
      </c>
      <c r="Q110" s="70" t="s">
        <v>29</v>
      </c>
      <c r="R110" s="70">
        <v>25900</v>
      </c>
    </row>
    <row r="111" spans="1:18" x14ac:dyDescent="0.2">
      <c r="A111" s="123">
        <v>1988</v>
      </c>
      <c r="B111" s="70" t="s">
        <v>29</v>
      </c>
      <c r="C111" s="70">
        <v>91548</v>
      </c>
      <c r="D111" s="70">
        <v>110116</v>
      </c>
      <c r="E111" s="70">
        <v>157350</v>
      </c>
      <c r="F111" s="70">
        <v>52196</v>
      </c>
      <c r="G111" s="70">
        <v>13453</v>
      </c>
      <c r="H111" s="70" t="s">
        <v>29</v>
      </c>
      <c r="I111" s="70">
        <f t="shared" si="15"/>
        <v>424663</v>
      </c>
      <c r="J111" s="70"/>
      <c r="K111" s="70" t="s">
        <v>29</v>
      </c>
      <c r="L111" s="70" t="s">
        <v>29</v>
      </c>
      <c r="M111" s="70">
        <v>8980.5948515085311</v>
      </c>
      <c r="N111" s="70">
        <v>20132</v>
      </c>
      <c r="O111" s="70">
        <v>1779</v>
      </c>
      <c r="P111" s="70">
        <v>54.785503044360688</v>
      </c>
      <c r="Q111" s="70" t="s">
        <v>29</v>
      </c>
      <c r="R111" s="70">
        <v>30900</v>
      </c>
    </row>
    <row r="112" spans="1:18" x14ac:dyDescent="0.2">
      <c r="A112" s="123">
        <v>1989</v>
      </c>
      <c r="B112" s="70" t="s">
        <v>29</v>
      </c>
      <c r="C112" s="70">
        <v>7445</v>
      </c>
      <c r="D112" s="70">
        <v>20453</v>
      </c>
      <c r="E112" s="70">
        <v>64369</v>
      </c>
      <c r="F112" s="70">
        <v>46334</v>
      </c>
      <c r="G112" s="70">
        <v>5628</v>
      </c>
      <c r="H112" s="70" t="s">
        <v>29</v>
      </c>
      <c r="I112" s="70">
        <f t="shared" si="15"/>
        <v>144229</v>
      </c>
      <c r="J112" s="70"/>
      <c r="K112" s="70" t="s">
        <v>29</v>
      </c>
      <c r="L112" s="70" t="s">
        <v>29</v>
      </c>
      <c r="M112" s="70">
        <v>3929.3661474014921</v>
      </c>
      <c r="N112" s="70">
        <v>13643</v>
      </c>
      <c r="O112" s="70">
        <v>7865.2571381416074</v>
      </c>
      <c r="P112" s="70">
        <v>321</v>
      </c>
      <c r="Q112" s="70" t="s">
        <v>29</v>
      </c>
      <c r="R112" s="70">
        <v>25800</v>
      </c>
    </row>
    <row r="113" spans="1:18" x14ac:dyDescent="0.2">
      <c r="A113" s="123">
        <v>1990</v>
      </c>
      <c r="B113" s="70" t="s">
        <v>29</v>
      </c>
      <c r="C113" s="70">
        <v>6782</v>
      </c>
      <c r="D113" s="70">
        <v>45549</v>
      </c>
      <c r="E113" s="70">
        <v>19802</v>
      </c>
      <c r="F113" s="70">
        <v>5030</v>
      </c>
      <c r="G113" s="70">
        <v>2390</v>
      </c>
      <c r="H113" s="70" t="s">
        <v>29</v>
      </c>
      <c r="I113" s="70">
        <f t="shared" si="15"/>
        <v>79553</v>
      </c>
      <c r="J113" s="70"/>
      <c r="K113" s="70" t="s">
        <v>29</v>
      </c>
      <c r="L113" s="70" t="s">
        <v>29</v>
      </c>
      <c r="M113" s="70">
        <v>16633</v>
      </c>
      <c r="N113" s="70">
        <v>7339</v>
      </c>
      <c r="O113" s="70">
        <v>2277</v>
      </c>
      <c r="P113" s="70">
        <v>389</v>
      </c>
      <c r="Q113" s="70" t="s">
        <v>29</v>
      </c>
      <c r="R113" s="70">
        <v>26600</v>
      </c>
    </row>
    <row r="114" spans="1:18" x14ac:dyDescent="0.2">
      <c r="A114" s="123">
        <v>1991</v>
      </c>
      <c r="B114" s="70" t="s">
        <v>29</v>
      </c>
      <c r="C114" s="70" t="s">
        <v>29</v>
      </c>
      <c r="D114" s="70" t="s">
        <v>29</v>
      </c>
      <c r="E114" s="70" t="s">
        <v>29</v>
      </c>
      <c r="F114" s="70">
        <v>34300</v>
      </c>
      <c r="G114" s="70">
        <v>1300</v>
      </c>
      <c r="H114" s="70" t="s">
        <v>29</v>
      </c>
      <c r="I114" s="70">
        <f t="shared" si="15"/>
        <v>35600</v>
      </c>
      <c r="J114" s="70"/>
      <c r="K114" s="70" t="s">
        <v>29</v>
      </c>
      <c r="L114" s="70" t="s">
        <v>29</v>
      </c>
      <c r="M114" s="70" t="s">
        <v>29</v>
      </c>
      <c r="N114" s="70" t="s">
        <v>29</v>
      </c>
      <c r="O114" s="70">
        <v>4500</v>
      </c>
      <c r="P114" s="70" t="s">
        <v>29</v>
      </c>
      <c r="Q114" s="70" t="s">
        <v>29</v>
      </c>
      <c r="R114" s="70">
        <v>4500</v>
      </c>
    </row>
    <row r="115" spans="1:18" x14ac:dyDescent="0.2">
      <c r="A115" s="123">
        <v>1992</v>
      </c>
      <c r="B115" s="70" t="s">
        <v>29</v>
      </c>
      <c r="C115" s="70" t="s">
        <v>29</v>
      </c>
      <c r="D115" s="70" t="s">
        <v>29</v>
      </c>
      <c r="E115" s="70" t="s">
        <v>29</v>
      </c>
      <c r="F115" s="70" t="s">
        <v>29</v>
      </c>
      <c r="G115" s="70" t="s">
        <v>29</v>
      </c>
      <c r="H115" s="70" t="s">
        <v>29</v>
      </c>
      <c r="I115" s="70" t="s">
        <v>29</v>
      </c>
      <c r="J115" s="70"/>
      <c r="K115" s="70" t="s">
        <v>29</v>
      </c>
      <c r="L115" s="70" t="s">
        <v>29</v>
      </c>
      <c r="M115" s="70" t="s">
        <v>29</v>
      </c>
      <c r="N115" s="70" t="s">
        <v>29</v>
      </c>
      <c r="O115" s="70" t="s">
        <v>29</v>
      </c>
      <c r="P115" s="70" t="s">
        <v>29</v>
      </c>
      <c r="Q115" s="70" t="s">
        <v>29</v>
      </c>
      <c r="R115" s="70" t="s">
        <v>29</v>
      </c>
    </row>
    <row r="116" spans="1:18" x14ac:dyDescent="0.2">
      <c r="A116" s="123">
        <v>1993</v>
      </c>
      <c r="B116" s="70" t="s">
        <v>29</v>
      </c>
      <c r="C116" s="70">
        <v>388</v>
      </c>
      <c r="D116" s="70" t="s">
        <v>29</v>
      </c>
      <c r="E116" s="70" t="s">
        <v>29</v>
      </c>
      <c r="F116" s="70" t="s">
        <v>29</v>
      </c>
      <c r="G116" s="70">
        <v>19503</v>
      </c>
      <c r="H116" s="70" t="s">
        <v>29</v>
      </c>
      <c r="I116" s="70">
        <f t="shared" ref="I116:I130" si="17">SUM(B116:H116)</f>
        <v>19891</v>
      </c>
      <c r="J116" s="70"/>
      <c r="K116" s="70" t="s">
        <v>29</v>
      </c>
      <c r="L116" s="70" t="s">
        <v>29</v>
      </c>
      <c r="M116" s="70" t="s">
        <v>29</v>
      </c>
      <c r="N116" s="70" t="s">
        <v>29</v>
      </c>
      <c r="O116" s="70" t="s">
        <v>29</v>
      </c>
      <c r="P116" s="70" t="s">
        <v>29</v>
      </c>
      <c r="Q116" s="70" t="s">
        <v>29</v>
      </c>
      <c r="R116" s="70" t="s">
        <v>29</v>
      </c>
    </row>
    <row r="117" spans="1:18" x14ac:dyDescent="0.2">
      <c r="A117" s="123">
        <v>1994</v>
      </c>
      <c r="B117" s="70" t="s">
        <v>29</v>
      </c>
      <c r="C117" s="70" t="s">
        <v>29</v>
      </c>
      <c r="D117" s="70" t="s">
        <v>29</v>
      </c>
      <c r="E117" s="70" t="s">
        <v>29</v>
      </c>
      <c r="F117" s="70" t="s">
        <v>29</v>
      </c>
      <c r="G117" s="70">
        <v>5210</v>
      </c>
      <c r="H117" s="70" t="s">
        <v>29</v>
      </c>
      <c r="I117" s="70">
        <f t="shared" si="17"/>
        <v>5210</v>
      </c>
      <c r="J117" s="70"/>
      <c r="K117" s="70" t="s">
        <v>29</v>
      </c>
      <c r="L117" s="70" t="s">
        <v>29</v>
      </c>
      <c r="M117" s="70" t="s">
        <v>29</v>
      </c>
      <c r="N117" s="70" t="s">
        <v>29</v>
      </c>
      <c r="O117" s="70" t="s">
        <v>29</v>
      </c>
      <c r="P117" s="70" t="s">
        <v>29</v>
      </c>
      <c r="Q117" s="70" t="s">
        <v>29</v>
      </c>
      <c r="R117" s="70" t="s">
        <v>29</v>
      </c>
    </row>
    <row r="118" spans="1:18" x14ac:dyDescent="0.2">
      <c r="A118" s="123">
        <v>1995</v>
      </c>
      <c r="B118" s="70" t="s">
        <v>29</v>
      </c>
      <c r="C118" s="70" t="s">
        <v>29</v>
      </c>
      <c r="D118" s="70" t="s">
        <v>29</v>
      </c>
      <c r="E118" s="70" t="s">
        <v>29</v>
      </c>
      <c r="F118" s="70" t="s">
        <v>29</v>
      </c>
      <c r="G118" s="70">
        <v>8714</v>
      </c>
      <c r="H118" s="70" t="s">
        <v>29</v>
      </c>
      <c r="I118" s="70">
        <f t="shared" si="17"/>
        <v>8714</v>
      </c>
      <c r="J118" s="70"/>
      <c r="K118" s="70" t="s">
        <v>29</v>
      </c>
      <c r="L118" s="70" t="s">
        <v>29</v>
      </c>
      <c r="M118" s="70" t="s">
        <v>29</v>
      </c>
      <c r="N118" s="70" t="s">
        <v>29</v>
      </c>
      <c r="O118" s="70" t="s">
        <v>29</v>
      </c>
      <c r="P118" s="70" t="s">
        <v>29</v>
      </c>
      <c r="Q118" s="70" t="s">
        <v>29</v>
      </c>
      <c r="R118" s="70" t="s">
        <v>29</v>
      </c>
    </row>
    <row r="119" spans="1:18" x14ac:dyDescent="0.2">
      <c r="A119" s="123">
        <v>1996</v>
      </c>
      <c r="B119" s="70" t="s">
        <v>29</v>
      </c>
      <c r="C119" s="70" t="s">
        <v>29</v>
      </c>
      <c r="D119" s="70" t="s">
        <v>29</v>
      </c>
      <c r="E119" s="70" t="s">
        <v>29</v>
      </c>
      <c r="F119" s="70">
        <v>14443</v>
      </c>
      <c r="G119" s="70">
        <v>8487</v>
      </c>
      <c r="H119" s="70" t="s">
        <v>29</v>
      </c>
      <c r="I119" s="70">
        <f t="shared" si="17"/>
        <v>22930</v>
      </c>
      <c r="J119" s="70"/>
      <c r="K119" s="70" t="s">
        <v>29</v>
      </c>
      <c r="L119" s="70" t="s">
        <v>29</v>
      </c>
      <c r="M119" s="70" t="s">
        <v>29</v>
      </c>
      <c r="N119" s="70" t="s">
        <v>29</v>
      </c>
      <c r="O119" s="70" t="s">
        <v>29</v>
      </c>
      <c r="P119" s="70" t="s">
        <v>29</v>
      </c>
      <c r="Q119" s="70" t="s">
        <v>29</v>
      </c>
      <c r="R119" s="70" t="s">
        <v>29</v>
      </c>
    </row>
    <row r="120" spans="1:18" x14ac:dyDescent="0.2">
      <c r="A120" s="123">
        <v>1997</v>
      </c>
      <c r="B120" s="70" t="s">
        <v>29</v>
      </c>
      <c r="C120" s="70" t="s">
        <v>29</v>
      </c>
      <c r="D120" s="70" t="s">
        <v>29</v>
      </c>
      <c r="E120" s="70" t="s">
        <v>29</v>
      </c>
      <c r="F120" s="70" t="s">
        <v>29</v>
      </c>
      <c r="G120" s="70">
        <v>3776</v>
      </c>
      <c r="H120" s="70" t="s">
        <v>29</v>
      </c>
      <c r="I120" s="70">
        <f t="shared" si="17"/>
        <v>3776</v>
      </c>
      <c r="J120" s="70"/>
      <c r="K120" s="70" t="s">
        <v>29</v>
      </c>
      <c r="L120" s="70" t="s">
        <v>29</v>
      </c>
      <c r="M120" s="70" t="s">
        <v>29</v>
      </c>
      <c r="N120" s="70" t="s">
        <v>29</v>
      </c>
      <c r="O120" s="70" t="s">
        <v>29</v>
      </c>
      <c r="P120" s="70" t="s">
        <v>29</v>
      </c>
      <c r="Q120" s="70" t="s">
        <v>29</v>
      </c>
      <c r="R120" s="70" t="s">
        <v>29</v>
      </c>
    </row>
    <row r="121" spans="1:18" x14ac:dyDescent="0.2">
      <c r="A121" s="123">
        <v>1998</v>
      </c>
      <c r="B121" s="70" t="s">
        <v>29</v>
      </c>
      <c r="C121" s="70" t="s">
        <v>29</v>
      </c>
      <c r="D121" s="70" t="s">
        <v>29</v>
      </c>
      <c r="E121" s="70" t="s">
        <v>29</v>
      </c>
      <c r="F121" s="70" t="s">
        <v>29</v>
      </c>
      <c r="G121" s="70">
        <v>2882</v>
      </c>
      <c r="H121" s="70" t="s">
        <v>29</v>
      </c>
      <c r="I121" s="70">
        <f t="shared" si="17"/>
        <v>2882</v>
      </c>
      <c r="J121" s="70"/>
      <c r="K121" s="70" t="s">
        <v>29</v>
      </c>
      <c r="L121" s="70" t="s">
        <v>29</v>
      </c>
      <c r="M121" s="70" t="s">
        <v>29</v>
      </c>
      <c r="N121" s="70" t="s">
        <v>29</v>
      </c>
      <c r="O121" s="70" t="s">
        <v>29</v>
      </c>
      <c r="P121" s="70" t="s">
        <v>29</v>
      </c>
      <c r="Q121" s="70" t="s">
        <v>29</v>
      </c>
      <c r="R121" s="70" t="s">
        <v>29</v>
      </c>
    </row>
    <row r="122" spans="1:18" x14ac:dyDescent="0.2">
      <c r="A122" s="123">
        <v>1999</v>
      </c>
      <c r="B122" s="70" t="s">
        <v>29</v>
      </c>
      <c r="C122" s="70" t="s">
        <v>29</v>
      </c>
      <c r="D122" s="70" t="s">
        <v>29</v>
      </c>
      <c r="E122" s="70" t="s">
        <v>29</v>
      </c>
      <c r="F122" s="70" t="s">
        <v>29</v>
      </c>
      <c r="G122" s="70">
        <v>2283</v>
      </c>
      <c r="H122" s="70" t="s">
        <v>29</v>
      </c>
      <c r="I122" s="70">
        <f t="shared" si="17"/>
        <v>2283</v>
      </c>
      <c r="J122" s="70"/>
      <c r="K122" s="70" t="s">
        <v>29</v>
      </c>
      <c r="L122" s="70" t="s">
        <v>29</v>
      </c>
      <c r="M122" s="70" t="s">
        <v>29</v>
      </c>
      <c r="N122" s="70" t="s">
        <v>29</v>
      </c>
      <c r="O122" s="70" t="s">
        <v>29</v>
      </c>
      <c r="P122" s="70" t="s">
        <v>29</v>
      </c>
      <c r="Q122" s="70" t="s">
        <v>29</v>
      </c>
      <c r="R122" s="70" t="s">
        <v>29</v>
      </c>
    </row>
    <row r="123" spans="1:18" x14ac:dyDescent="0.2">
      <c r="A123" s="123">
        <v>2000</v>
      </c>
      <c r="B123" s="70" t="s">
        <v>29</v>
      </c>
      <c r="C123" s="70" t="s">
        <v>29</v>
      </c>
      <c r="D123" s="70" t="s">
        <v>29</v>
      </c>
      <c r="E123" s="70" t="s">
        <v>29</v>
      </c>
      <c r="F123" s="70" t="s">
        <v>29</v>
      </c>
      <c r="G123" s="70">
        <v>30773</v>
      </c>
      <c r="H123" s="70" t="s">
        <v>29</v>
      </c>
      <c r="I123" s="70">
        <f t="shared" si="17"/>
        <v>30773</v>
      </c>
      <c r="J123" s="70"/>
      <c r="K123" s="70" t="s">
        <v>29</v>
      </c>
      <c r="L123" s="70" t="s">
        <v>29</v>
      </c>
      <c r="M123" s="70" t="s">
        <v>29</v>
      </c>
      <c r="N123" s="70" t="s">
        <v>29</v>
      </c>
      <c r="O123" s="70" t="s">
        <v>29</v>
      </c>
      <c r="P123" s="70" t="s">
        <v>29</v>
      </c>
      <c r="Q123" s="70" t="s">
        <v>29</v>
      </c>
      <c r="R123" s="70" t="s">
        <v>29</v>
      </c>
    </row>
    <row r="124" spans="1:18" x14ac:dyDescent="0.2">
      <c r="A124" s="123">
        <v>2001</v>
      </c>
      <c r="B124" s="70" t="s">
        <v>29</v>
      </c>
      <c r="C124" s="70">
        <v>4297</v>
      </c>
      <c r="D124" s="70" t="s">
        <v>29</v>
      </c>
      <c r="E124" s="70" t="s">
        <v>29</v>
      </c>
      <c r="F124" s="70" t="s">
        <v>29</v>
      </c>
      <c r="G124" s="70">
        <v>10696</v>
      </c>
      <c r="H124" s="70" t="s">
        <v>29</v>
      </c>
      <c r="I124" s="70">
        <f t="shared" si="17"/>
        <v>14993</v>
      </c>
      <c r="J124" s="70"/>
      <c r="K124" s="70" t="s">
        <v>29</v>
      </c>
      <c r="L124" s="70" t="s">
        <v>29</v>
      </c>
      <c r="M124" s="70" t="s">
        <v>29</v>
      </c>
      <c r="N124" s="70" t="s">
        <v>29</v>
      </c>
      <c r="O124" s="70" t="s">
        <v>29</v>
      </c>
      <c r="P124" s="70" t="s">
        <v>29</v>
      </c>
      <c r="Q124" s="70" t="s">
        <v>29</v>
      </c>
      <c r="R124" s="70" t="s">
        <v>29</v>
      </c>
    </row>
    <row r="125" spans="1:18" x14ac:dyDescent="0.2">
      <c r="A125" s="123">
        <v>2002</v>
      </c>
      <c r="B125" s="70" t="s">
        <v>29</v>
      </c>
      <c r="C125" s="70" t="s">
        <v>29</v>
      </c>
      <c r="D125" s="70" t="s">
        <v>29</v>
      </c>
      <c r="E125" s="70">
        <v>18627</v>
      </c>
      <c r="F125" s="70">
        <v>40788</v>
      </c>
      <c r="G125" s="70">
        <v>5921</v>
      </c>
      <c r="H125" s="70" t="s">
        <v>29</v>
      </c>
      <c r="I125" s="70">
        <f t="shared" si="17"/>
        <v>65336</v>
      </c>
      <c r="J125" s="70"/>
      <c r="K125" s="70" t="s">
        <v>29</v>
      </c>
      <c r="L125" s="70" t="s">
        <v>29</v>
      </c>
      <c r="M125" s="70" t="s">
        <v>29</v>
      </c>
      <c r="N125" s="70" t="s">
        <v>29</v>
      </c>
      <c r="O125" s="70" t="s">
        <v>29</v>
      </c>
      <c r="P125" s="70" t="s">
        <v>29</v>
      </c>
      <c r="Q125" s="70" t="s">
        <v>29</v>
      </c>
      <c r="R125" s="70" t="s">
        <v>29</v>
      </c>
    </row>
    <row r="126" spans="1:18" x14ac:dyDescent="0.2">
      <c r="A126" s="123">
        <v>2003</v>
      </c>
      <c r="B126" s="70" t="s">
        <v>29</v>
      </c>
      <c r="C126" s="70">
        <v>31132</v>
      </c>
      <c r="D126" s="70" t="s">
        <v>29</v>
      </c>
      <c r="E126" s="70">
        <v>70542</v>
      </c>
      <c r="F126" s="70">
        <v>84285</v>
      </c>
      <c r="G126" s="70">
        <v>62916</v>
      </c>
      <c r="H126" s="70" t="s">
        <v>29</v>
      </c>
      <c r="I126" s="70">
        <f t="shared" si="17"/>
        <v>248875</v>
      </c>
      <c r="J126" s="70"/>
      <c r="K126" s="70" t="s">
        <v>29</v>
      </c>
      <c r="L126" s="70" t="s">
        <v>29</v>
      </c>
      <c r="M126" s="70" t="s">
        <v>29</v>
      </c>
      <c r="N126" s="70" t="s">
        <v>29</v>
      </c>
      <c r="O126" s="70" t="s">
        <v>29</v>
      </c>
      <c r="P126" s="70" t="s">
        <v>29</v>
      </c>
      <c r="Q126" s="70" t="s">
        <v>29</v>
      </c>
      <c r="R126" s="70" t="s">
        <v>29</v>
      </c>
    </row>
    <row r="127" spans="1:18" x14ac:dyDescent="0.2">
      <c r="A127" s="123">
        <v>2004</v>
      </c>
      <c r="B127" s="70" t="s">
        <v>29</v>
      </c>
      <c r="C127" s="70" t="s">
        <v>29</v>
      </c>
      <c r="D127" s="70" t="s">
        <v>29</v>
      </c>
      <c r="E127" s="70">
        <v>65937</v>
      </c>
      <c r="F127" s="70">
        <v>30487</v>
      </c>
      <c r="G127" s="70">
        <v>10835</v>
      </c>
      <c r="H127" s="70" t="s">
        <v>29</v>
      </c>
      <c r="I127" s="70">
        <f t="shared" si="17"/>
        <v>107259</v>
      </c>
      <c r="J127" s="70"/>
      <c r="K127" s="70" t="s">
        <v>29</v>
      </c>
      <c r="L127" s="70" t="s">
        <v>29</v>
      </c>
      <c r="M127" s="70" t="s">
        <v>29</v>
      </c>
      <c r="N127" s="70" t="s">
        <v>29</v>
      </c>
      <c r="O127" s="70" t="s">
        <v>29</v>
      </c>
      <c r="P127" s="70" t="s">
        <v>29</v>
      </c>
      <c r="Q127" s="70" t="s">
        <v>29</v>
      </c>
      <c r="R127" s="70" t="s">
        <v>29</v>
      </c>
    </row>
    <row r="128" spans="1:18" x14ac:dyDescent="0.2">
      <c r="A128" s="123">
        <v>2005</v>
      </c>
      <c r="B128" s="70" t="s">
        <v>29</v>
      </c>
      <c r="C128" s="70" t="s">
        <v>29</v>
      </c>
      <c r="D128" s="70" t="s">
        <v>29</v>
      </c>
      <c r="E128" s="70" t="s">
        <v>29</v>
      </c>
      <c r="F128" s="70" t="s">
        <v>29</v>
      </c>
      <c r="G128" s="70">
        <v>45869</v>
      </c>
      <c r="H128" s="70" t="s">
        <v>29</v>
      </c>
      <c r="I128" s="70">
        <f t="shared" si="17"/>
        <v>45869</v>
      </c>
      <c r="J128" s="70"/>
      <c r="K128" s="70" t="s">
        <v>29</v>
      </c>
      <c r="L128" s="70" t="s">
        <v>29</v>
      </c>
      <c r="M128" s="70" t="s">
        <v>29</v>
      </c>
      <c r="N128" s="70" t="s">
        <v>29</v>
      </c>
      <c r="O128" s="70" t="s">
        <v>29</v>
      </c>
      <c r="P128" s="70" t="s">
        <v>29</v>
      </c>
      <c r="Q128" s="70" t="s">
        <v>29</v>
      </c>
      <c r="R128" s="70" t="s">
        <v>29</v>
      </c>
    </row>
    <row r="129" spans="1:18" x14ac:dyDescent="0.2">
      <c r="A129" s="123">
        <v>2006</v>
      </c>
      <c r="B129" s="70" t="s">
        <v>29</v>
      </c>
      <c r="C129" s="70" t="s">
        <v>29</v>
      </c>
      <c r="D129" s="70" t="s">
        <v>29</v>
      </c>
      <c r="E129" s="70" t="s">
        <v>29</v>
      </c>
      <c r="F129" s="70" t="s">
        <v>29</v>
      </c>
      <c r="G129" s="70">
        <v>10835</v>
      </c>
      <c r="H129" s="70" t="s">
        <v>29</v>
      </c>
      <c r="I129" s="70">
        <f t="shared" si="17"/>
        <v>10835</v>
      </c>
      <c r="J129" s="70"/>
      <c r="K129" s="70" t="s">
        <v>29</v>
      </c>
      <c r="L129" s="70" t="s">
        <v>29</v>
      </c>
      <c r="M129" s="70" t="s">
        <v>29</v>
      </c>
      <c r="N129" s="70" t="s">
        <v>29</v>
      </c>
      <c r="O129" s="70" t="s">
        <v>29</v>
      </c>
      <c r="P129" s="70" t="s">
        <v>29</v>
      </c>
      <c r="Q129" s="70" t="s">
        <v>29</v>
      </c>
      <c r="R129" s="70" t="s">
        <v>29</v>
      </c>
    </row>
    <row r="130" spans="1:18" s="374" customFormat="1" x14ac:dyDescent="0.2">
      <c r="A130" s="122">
        <v>2007</v>
      </c>
      <c r="B130" s="97">
        <v>748</v>
      </c>
      <c r="C130" s="97" t="s">
        <v>29</v>
      </c>
      <c r="D130" s="97" t="s">
        <v>29</v>
      </c>
      <c r="E130" s="97" t="s">
        <v>29</v>
      </c>
      <c r="F130" s="97">
        <v>15173</v>
      </c>
      <c r="G130" s="97">
        <v>195</v>
      </c>
      <c r="H130" s="97" t="s">
        <v>29</v>
      </c>
      <c r="I130" s="97">
        <f t="shared" si="17"/>
        <v>16116</v>
      </c>
      <c r="J130" s="97"/>
      <c r="K130" s="97" t="s">
        <v>29</v>
      </c>
      <c r="L130" s="97" t="s">
        <v>29</v>
      </c>
      <c r="M130" s="97" t="s">
        <v>29</v>
      </c>
      <c r="N130" s="97" t="s">
        <v>29</v>
      </c>
      <c r="O130" s="97" t="s">
        <v>29</v>
      </c>
      <c r="P130" s="97" t="s">
        <v>29</v>
      </c>
      <c r="Q130" s="97" t="s">
        <v>29</v>
      </c>
      <c r="R130" s="97" t="s">
        <v>29</v>
      </c>
    </row>
    <row r="131" spans="1:18" s="374" customFormat="1" x14ac:dyDescent="0.2">
      <c r="A131" s="122">
        <v>2008</v>
      </c>
      <c r="B131" s="97" t="s">
        <v>29</v>
      </c>
      <c r="C131" s="97" t="s">
        <v>29</v>
      </c>
      <c r="D131" s="97" t="s">
        <v>29</v>
      </c>
      <c r="E131" s="97" t="s">
        <v>29</v>
      </c>
      <c r="F131" s="97" t="s">
        <v>29</v>
      </c>
      <c r="G131" s="97" t="s">
        <v>29</v>
      </c>
      <c r="H131" s="97" t="s">
        <v>29</v>
      </c>
      <c r="I131" s="97" t="s">
        <v>29</v>
      </c>
      <c r="J131" s="97"/>
      <c r="K131" s="97" t="s">
        <v>29</v>
      </c>
      <c r="L131" s="97" t="s">
        <v>29</v>
      </c>
      <c r="M131" s="97" t="s">
        <v>29</v>
      </c>
      <c r="N131" s="97" t="s">
        <v>29</v>
      </c>
      <c r="O131" s="97" t="s">
        <v>29</v>
      </c>
      <c r="P131" s="97" t="s">
        <v>29</v>
      </c>
      <c r="Q131" s="97" t="s">
        <v>29</v>
      </c>
      <c r="R131" s="97" t="s">
        <v>29</v>
      </c>
    </row>
    <row r="132" spans="1:18" s="374" customFormat="1" x14ac:dyDescent="0.2">
      <c r="A132" s="122">
        <v>2009</v>
      </c>
      <c r="B132" s="97" t="s">
        <v>29</v>
      </c>
      <c r="C132" s="97" t="s">
        <v>29</v>
      </c>
      <c r="D132" s="97" t="s">
        <v>29</v>
      </c>
      <c r="E132" s="97" t="s">
        <v>29</v>
      </c>
      <c r="F132" s="97" t="s">
        <v>29</v>
      </c>
      <c r="G132" s="97" t="s">
        <v>29</v>
      </c>
      <c r="H132" s="97" t="s">
        <v>29</v>
      </c>
      <c r="I132" s="97" t="s">
        <v>29</v>
      </c>
      <c r="J132" s="97"/>
      <c r="K132" s="97" t="s">
        <v>29</v>
      </c>
      <c r="L132" s="97" t="s">
        <v>29</v>
      </c>
      <c r="M132" s="97" t="s">
        <v>29</v>
      </c>
      <c r="N132" s="97" t="s">
        <v>29</v>
      </c>
      <c r="O132" s="97" t="s">
        <v>29</v>
      </c>
      <c r="P132" s="97" t="s">
        <v>29</v>
      </c>
      <c r="Q132" s="97" t="s">
        <v>29</v>
      </c>
      <c r="R132" s="97" t="s">
        <v>29</v>
      </c>
    </row>
    <row r="133" spans="1:18" s="374" customFormat="1" x14ac:dyDescent="0.2">
      <c r="A133" s="122">
        <v>2010</v>
      </c>
      <c r="B133" s="97" t="s">
        <v>29</v>
      </c>
      <c r="C133" s="97" t="s">
        <v>29</v>
      </c>
      <c r="D133" s="97" t="s">
        <v>29</v>
      </c>
      <c r="E133" s="97">
        <v>6371</v>
      </c>
      <c r="F133" s="97">
        <v>6182</v>
      </c>
      <c r="G133" s="97" t="s">
        <v>29</v>
      </c>
      <c r="H133" s="97" t="s">
        <v>29</v>
      </c>
      <c r="I133" s="97">
        <f t="shared" ref="I133:I143" si="18">SUM(B133:H133)</f>
        <v>12553</v>
      </c>
      <c r="J133" s="97"/>
      <c r="K133" s="97" t="s">
        <v>29</v>
      </c>
      <c r="L133" s="97" t="s">
        <v>29</v>
      </c>
      <c r="M133" s="97" t="s">
        <v>29</v>
      </c>
      <c r="N133" s="97" t="s">
        <v>29</v>
      </c>
      <c r="O133" s="97" t="s">
        <v>29</v>
      </c>
      <c r="P133" s="97" t="s">
        <v>29</v>
      </c>
      <c r="Q133" s="97" t="s">
        <v>29</v>
      </c>
      <c r="R133" s="97" t="s">
        <v>29</v>
      </c>
    </row>
    <row r="134" spans="1:18" s="374" customFormat="1" x14ac:dyDescent="0.2">
      <c r="A134" s="122">
        <v>2011</v>
      </c>
      <c r="B134" s="97" t="s">
        <v>29</v>
      </c>
      <c r="C134" s="97" t="s">
        <v>29</v>
      </c>
      <c r="D134" s="97" t="s">
        <v>29</v>
      </c>
      <c r="E134" s="97">
        <v>21085</v>
      </c>
      <c r="F134" s="97">
        <v>17766</v>
      </c>
      <c r="G134" s="97">
        <v>460</v>
      </c>
      <c r="H134" s="97" t="s">
        <v>29</v>
      </c>
      <c r="I134" s="97">
        <f t="shared" si="18"/>
        <v>39311</v>
      </c>
      <c r="J134" s="97"/>
      <c r="K134" s="97" t="s">
        <v>29</v>
      </c>
      <c r="L134" s="97" t="s">
        <v>29</v>
      </c>
      <c r="M134" s="97" t="s">
        <v>29</v>
      </c>
      <c r="N134" s="97" t="s">
        <v>29</v>
      </c>
      <c r="O134" s="97" t="s">
        <v>29</v>
      </c>
      <c r="P134" s="97" t="s">
        <v>29</v>
      </c>
      <c r="Q134" s="97" t="s">
        <v>29</v>
      </c>
      <c r="R134" s="97" t="s">
        <v>29</v>
      </c>
    </row>
    <row r="135" spans="1:18" s="374" customFormat="1" x14ac:dyDescent="0.2">
      <c r="A135" s="122">
        <v>2012</v>
      </c>
      <c r="B135" s="97" t="s">
        <v>29</v>
      </c>
      <c r="C135" s="97" t="s">
        <v>29</v>
      </c>
      <c r="D135" s="97" t="s">
        <v>29</v>
      </c>
      <c r="E135" s="97">
        <v>24324</v>
      </c>
      <c r="F135" s="97">
        <v>12304</v>
      </c>
      <c r="G135" s="97">
        <v>1654</v>
      </c>
      <c r="H135" s="97" t="s">
        <v>29</v>
      </c>
      <c r="I135" s="97">
        <f t="shared" si="18"/>
        <v>38282</v>
      </c>
      <c r="J135" s="97"/>
      <c r="K135" s="97" t="s">
        <v>29</v>
      </c>
      <c r="L135" s="97" t="s">
        <v>29</v>
      </c>
      <c r="M135" s="97" t="s">
        <v>29</v>
      </c>
      <c r="N135" s="97" t="s">
        <v>29</v>
      </c>
      <c r="O135" s="97" t="s">
        <v>29</v>
      </c>
      <c r="P135" s="97" t="s">
        <v>29</v>
      </c>
      <c r="Q135" s="97" t="s">
        <v>29</v>
      </c>
      <c r="R135" s="97" t="s">
        <v>29</v>
      </c>
    </row>
    <row r="136" spans="1:18" s="374" customFormat="1" x14ac:dyDescent="0.2">
      <c r="A136" s="122">
        <v>2013</v>
      </c>
      <c r="B136" s="97" t="s">
        <v>29</v>
      </c>
      <c r="C136" s="97">
        <v>4352</v>
      </c>
      <c r="D136" s="97">
        <v>23785</v>
      </c>
      <c r="E136" s="97">
        <v>68781</v>
      </c>
      <c r="F136" s="97">
        <v>14916</v>
      </c>
      <c r="G136" s="97">
        <v>4324</v>
      </c>
      <c r="H136" s="97" t="s">
        <v>29</v>
      </c>
      <c r="I136" s="97">
        <f t="shared" si="18"/>
        <v>116158</v>
      </c>
      <c r="J136" s="97"/>
      <c r="K136" s="97" t="s">
        <v>29</v>
      </c>
      <c r="L136" s="97" t="s">
        <v>29</v>
      </c>
      <c r="M136" s="97" t="s">
        <v>29</v>
      </c>
      <c r="N136" s="97" t="s">
        <v>29</v>
      </c>
      <c r="O136" s="97" t="s">
        <v>29</v>
      </c>
      <c r="P136" s="97" t="s">
        <v>29</v>
      </c>
      <c r="Q136" s="97" t="s">
        <v>29</v>
      </c>
      <c r="R136" s="97" t="s">
        <v>29</v>
      </c>
    </row>
    <row r="137" spans="1:18" s="374" customFormat="1" x14ac:dyDescent="0.2">
      <c r="A137" s="122">
        <v>2014</v>
      </c>
      <c r="B137" s="97" t="s">
        <v>29</v>
      </c>
      <c r="C137" s="97" t="s">
        <v>29</v>
      </c>
      <c r="D137" s="97">
        <v>23126</v>
      </c>
      <c r="E137" s="97">
        <v>45563</v>
      </c>
      <c r="F137" s="97">
        <v>7788</v>
      </c>
      <c r="G137" s="97">
        <v>454</v>
      </c>
      <c r="H137" s="97" t="s">
        <v>29</v>
      </c>
      <c r="I137" s="97">
        <f t="shared" si="18"/>
        <v>76931</v>
      </c>
      <c r="J137" s="97"/>
      <c r="K137" s="97" t="s">
        <v>29</v>
      </c>
      <c r="L137" s="97" t="s">
        <v>29</v>
      </c>
      <c r="M137" s="97" t="s">
        <v>29</v>
      </c>
      <c r="N137" s="97" t="s">
        <v>29</v>
      </c>
      <c r="O137" s="97" t="s">
        <v>29</v>
      </c>
      <c r="P137" s="97" t="s">
        <v>29</v>
      </c>
      <c r="Q137" s="97" t="s">
        <v>29</v>
      </c>
      <c r="R137" s="97" t="s">
        <v>29</v>
      </c>
    </row>
    <row r="138" spans="1:18" s="374" customFormat="1" x14ac:dyDescent="0.2">
      <c r="A138" s="122">
        <v>2015</v>
      </c>
      <c r="B138" s="97" t="s">
        <v>29</v>
      </c>
      <c r="C138" s="97">
        <v>38546</v>
      </c>
      <c r="D138" s="97">
        <v>11317</v>
      </c>
      <c r="E138" s="97">
        <v>5333</v>
      </c>
      <c r="F138" s="97">
        <v>3848</v>
      </c>
      <c r="G138" s="97">
        <v>1008</v>
      </c>
      <c r="H138" s="97" t="s">
        <v>29</v>
      </c>
      <c r="I138" s="97">
        <f>SUM(B138:H138)</f>
        <v>60052</v>
      </c>
      <c r="J138" s="97"/>
      <c r="K138" s="97" t="s">
        <v>29</v>
      </c>
      <c r="L138" s="97" t="s">
        <v>29</v>
      </c>
      <c r="M138" s="97" t="s">
        <v>29</v>
      </c>
      <c r="N138" s="97" t="s">
        <v>29</v>
      </c>
      <c r="O138" s="97" t="s">
        <v>29</v>
      </c>
      <c r="P138" s="97" t="s">
        <v>29</v>
      </c>
      <c r="Q138" s="97" t="s">
        <v>29</v>
      </c>
      <c r="R138" s="97" t="s">
        <v>29</v>
      </c>
    </row>
    <row r="139" spans="1:18" s="374" customFormat="1" x14ac:dyDescent="0.2">
      <c r="A139" s="122">
        <v>2016</v>
      </c>
      <c r="B139" s="97" t="s">
        <v>29</v>
      </c>
      <c r="C139" s="97" t="s">
        <v>29</v>
      </c>
      <c r="D139" s="97">
        <v>9956</v>
      </c>
      <c r="E139" s="97" t="s">
        <v>29</v>
      </c>
      <c r="F139" s="97">
        <v>4515</v>
      </c>
      <c r="G139" s="97">
        <v>909</v>
      </c>
      <c r="H139" s="97" t="s">
        <v>29</v>
      </c>
      <c r="I139" s="97">
        <f>SUM(B139:H139)</f>
        <v>15380</v>
      </c>
      <c r="J139" s="97"/>
      <c r="K139" s="97" t="s">
        <v>29</v>
      </c>
      <c r="L139" s="97" t="s">
        <v>29</v>
      </c>
      <c r="M139" s="97" t="s">
        <v>29</v>
      </c>
      <c r="N139" s="97" t="s">
        <v>29</v>
      </c>
      <c r="O139" s="97" t="s">
        <v>29</v>
      </c>
      <c r="P139" s="97" t="s">
        <v>29</v>
      </c>
      <c r="Q139" s="97" t="s">
        <v>29</v>
      </c>
      <c r="R139" s="97" t="s">
        <v>29</v>
      </c>
    </row>
    <row r="140" spans="1:18" s="374" customFormat="1" x14ac:dyDescent="0.2">
      <c r="A140" s="122">
        <v>2017</v>
      </c>
      <c r="B140" s="97" t="s">
        <v>29</v>
      </c>
      <c r="C140" s="97" t="s">
        <v>29</v>
      </c>
      <c r="D140" s="97" t="s">
        <v>29</v>
      </c>
      <c r="E140" s="97" t="s">
        <v>29</v>
      </c>
      <c r="F140" s="97" t="s">
        <v>29</v>
      </c>
      <c r="G140" s="97">
        <v>1935</v>
      </c>
      <c r="H140" s="97" t="s">
        <v>29</v>
      </c>
      <c r="I140" s="97">
        <f>SUM(B140:H140)</f>
        <v>1935</v>
      </c>
      <c r="J140" s="97"/>
      <c r="K140" s="97" t="s">
        <v>29</v>
      </c>
      <c r="L140" s="97" t="s">
        <v>29</v>
      </c>
      <c r="M140" s="97" t="s">
        <v>29</v>
      </c>
      <c r="N140" s="97" t="s">
        <v>29</v>
      </c>
      <c r="O140" s="97" t="s">
        <v>29</v>
      </c>
      <c r="P140" s="97" t="s">
        <v>29</v>
      </c>
      <c r="Q140" s="97" t="s">
        <v>29</v>
      </c>
      <c r="R140" s="97" t="s">
        <v>29</v>
      </c>
    </row>
    <row r="141" spans="1:18" s="374" customFormat="1" x14ac:dyDescent="0.2">
      <c r="A141" s="122">
        <v>2018</v>
      </c>
      <c r="B141" s="97" t="s">
        <v>29</v>
      </c>
      <c r="C141" s="97" t="s">
        <v>29</v>
      </c>
      <c r="D141" s="97" t="s">
        <v>29</v>
      </c>
      <c r="E141" s="97">
        <v>6081</v>
      </c>
      <c r="F141" s="97">
        <v>4137</v>
      </c>
      <c r="G141" s="97">
        <v>333</v>
      </c>
      <c r="H141" s="97" t="s">
        <v>29</v>
      </c>
      <c r="I141" s="97">
        <f>SUM(B141:H141)</f>
        <v>10551</v>
      </c>
      <c r="J141" s="97"/>
      <c r="K141" s="97" t="s">
        <v>29</v>
      </c>
      <c r="L141" s="97" t="s">
        <v>29</v>
      </c>
      <c r="M141" s="97" t="s">
        <v>29</v>
      </c>
      <c r="N141" s="97" t="s">
        <v>29</v>
      </c>
      <c r="O141" s="97" t="s">
        <v>29</v>
      </c>
      <c r="P141" s="97" t="s">
        <v>29</v>
      </c>
      <c r="Q141" s="97" t="s">
        <v>29</v>
      </c>
      <c r="R141" s="97" t="s">
        <v>29</v>
      </c>
    </row>
    <row r="142" spans="1:18" s="487" customFormat="1" x14ac:dyDescent="0.2">
      <c r="A142" s="496" t="s">
        <v>336</v>
      </c>
      <c r="B142" s="97" t="s">
        <v>29</v>
      </c>
      <c r="C142" s="97" t="s">
        <v>29</v>
      </c>
      <c r="D142" s="97">
        <v>4141</v>
      </c>
      <c r="E142" s="97">
        <v>2894</v>
      </c>
      <c r="F142" s="97">
        <v>3432</v>
      </c>
      <c r="G142" s="97" t="s">
        <v>29</v>
      </c>
      <c r="H142" s="97" t="s">
        <v>29</v>
      </c>
      <c r="I142" s="97">
        <f t="shared" ref="I142" si="19">SUM(B142:H142)</f>
        <v>10467</v>
      </c>
      <c r="J142" s="97"/>
      <c r="K142" s="97" t="s">
        <v>29</v>
      </c>
      <c r="L142" s="97" t="s">
        <v>29</v>
      </c>
      <c r="M142" s="97" t="s">
        <v>29</v>
      </c>
      <c r="N142" s="97" t="s">
        <v>29</v>
      </c>
      <c r="O142" s="97" t="s">
        <v>29</v>
      </c>
      <c r="P142" s="97" t="s">
        <v>29</v>
      </c>
      <c r="Q142" s="97" t="s">
        <v>29</v>
      </c>
      <c r="R142" s="97" t="s">
        <v>29</v>
      </c>
    </row>
    <row r="143" spans="1:18" x14ac:dyDescent="0.2">
      <c r="A143" s="496" t="s">
        <v>391</v>
      </c>
      <c r="B143" s="70" t="s">
        <v>29</v>
      </c>
      <c r="C143" s="70" t="s">
        <v>29</v>
      </c>
      <c r="D143" s="70" t="s">
        <v>29</v>
      </c>
      <c r="E143" s="70" t="s">
        <v>29</v>
      </c>
      <c r="F143" s="70">
        <v>1617</v>
      </c>
      <c r="G143" s="70">
        <v>231</v>
      </c>
      <c r="H143" s="70" t="s">
        <v>29</v>
      </c>
      <c r="I143" s="97">
        <f t="shared" si="18"/>
        <v>1848</v>
      </c>
      <c r="J143" s="70"/>
      <c r="K143" s="70" t="s">
        <v>29</v>
      </c>
      <c r="L143" s="70" t="s">
        <v>29</v>
      </c>
      <c r="M143" s="70" t="s">
        <v>29</v>
      </c>
      <c r="N143" s="70" t="s">
        <v>29</v>
      </c>
      <c r="O143" s="70" t="s">
        <v>29</v>
      </c>
      <c r="P143" s="70" t="s">
        <v>29</v>
      </c>
      <c r="Q143" s="70" t="s">
        <v>29</v>
      </c>
      <c r="R143" s="70" t="s">
        <v>29</v>
      </c>
    </row>
    <row r="144" spans="1:18" x14ac:dyDescent="0.2">
      <c r="A144" s="123"/>
      <c r="B144" s="70"/>
      <c r="C144" s="70"/>
      <c r="D144" s="70"/>
      <c r="E144" s="70"/>
      <c r="F144" s="70"/>
      <c r="G144" s="70"/>
      <c r="H144" s="70"/>
      <c r="I144" s="70"/>
      <c r="J144" s="70"/>
      <c r="K144" s="70"/>
      <c r="L144" s="70"/>
      <c r="M144" s="70"/>
      <c r="N144" s="70"/>
      <c r="O144" s="70"/>
      <c r="P144" s="70"/>
      <c r="Q144" s="70"/>
      <c r="R144" s="70"/>
    </row>
    <row r="145" spans="1:18" x14ac:dyDescent="0.2">
      <c r="A145" s="228" t="s">
        <v>25</v>
      </c>
      <c r="B145" s="70"/>
      <c r="C145" s="70"/>
      <c r="D145" s="70"/>
      <c r="E145" s="70"/>
      <c r="F145" s="70"/>
      <c r="G145" s="70"/>
      <c r="H145" s="70"/>
      <c r="I145" s="70"/>
      <c r="J145" s="70"/>
      <c r="K145" s="70"/>
      <c r="L145" s="70"/>
      <c r="M145" s="70"/>
      <c r="N145" s="70"/>
      <c r="O145" s="70"/>
      <c r="P145" s="70"/>
      <c r="Q145" s="70"/>
      <c r="R145" s="70"/>
    </row>
    <row r="146" spans="1:18" x14ac:dyDescent="0.2">
      <c r="A146" s="123">
        <v>1976</v>
      </c>
      <c r="B146" s="70">
        <v>28918</v>
      </c>
      <c r="C146" s="70">
        <v>42226</v>
      </c>
      <c r="D146" s="70">
        <v>31434</v>
      </c>
      <c r="E146" s="70">
        <v>17022</v>
      </c>
      <c r="F146" s="70">
        <v>8195</v>
      </c>
      <c r="G146" s="70">
        <v>10436</v>
      </c>
      <c r="H146" s="70" t="s">
        <v>29</v>
      </c>
      <c r="I146" s="70">
        <f t="shared" ref="I146:I177" si="20">SUM(B146:H146)</f>
        <v>138231</v>
      </c>
      <c r="J146" s="70"/>
      <c r="K146" s="70" t="s">
        <v>29</v>
      </c>
      <c r="L146" s="70">
        <v>24802</v>
      </c>
      <c r="M146" s="70">
        <v>44596</v>
      </c>
      <c r="N146" s="70">
        <v>9727</v>
      </c>
      <c r="O146" s="70">
        <v>2980</v>
      </c>
      <c r="P146" s="70">
        <v>1141</v>
      </c>
      <c r="Q146" s="70" t="s">
        <v>29</v>
      </c>
      <c r="R146" s="70">
        <f t="shared" ref="R146:R162" si="21">SUM(K146:Q146)</f>
        <v>83246</v>
      </c>
    </row>
    <row r="147" spans="1:18" x14ac:dyDescent="0.2">
      <c r="A147" s="123">
        <v>1977</v>
      </c>
      <c r="B147" s="70">
        <v>41645</v>
      </c>
      <c r="C147" s="70">
        <v>47678</v>
      </c>
      <c r="D147" s="70">
        <v>28007</v>
      </c>
      <c r="E147" s="70">
        <v>45951</v>
      </c>
      <c r="F147" s="70">
        <v>13501</v>
      </c>
      <c r="G147" s="70">
        <v>8382</v>
      </c>
      <c r="H147" s="70" t="s">
        <v>29</v>
      </c>
      <c r="I147" s="70">
        <f t="shared" si="20"/>
        <v>185164</v>
      </c>
      <c r="J147" s="70"/>
      <c r="K147" s="70" t="s">
        <v>29</v>
      </c>
      <c r="L147" s="70">
        <v>75</v>
      </c>
      <c r="M147" s="70">
        <v>334</v>
      </c>
      <c r="N147" s="70">
        <v>347</v>
      </c>
      <c r="O147" s="70">
        <v>49</v>
      </c>
      <c r="P147" s="70">
        <v>37</v>
      </c>
      <c r="Q147" s="70" t="s">
        <v>29</v>
      </c>
      <c r="R147" s="70">
        <f t="shared" si="21"/>
        <v>842</v>
      </c>
    </row>
    <row r="148" spans="1:18" x14ac:dyDescent="0.2">
      <c r="A148" s="123">
        <v>1978</v>
      </c>
      <c r="B148" s="70">
        <v>10219</v>
      </c>
      <c r="C148" s="70">
        <v>50900</v>
      </c>
      <c r="D148" s="70">
        <v>46294</v>
      </c>
      <c r="E148" s="70">
        <v>31019</v>
      </c>
      <c r="F148" s="70">
        <v>11493</v>
      </c>
      <c r="G148" s="70">
        <v>8233</v>
      </c>
      <c r="H148" s="70" t="s">
        <v>29</v>
      </c>
      <c r="I148" s="70">
        <f t="shared" si="20"/>
        <v>158158</v>
      </c>
      <c r="J148" s="70"/>
      <c r="K148" s="70">
        <v>6</v>
      </c>
      <c r="L148" s="70">
        <v>850</v>
      </c>
      <c r="M148" s="70">
        <v>3898</v>
      </c>
      <c r="N148" s="70">
        <v>1732</v>
      </c>
      <c r="O148" s="70">
        <v>212</v>
      </c>
      <c r="P148" s="70">
        <v>72</v>
      </c>
      <c r="Q148" s="70" t="s">
        <v>29</v>
      </c>
      <c r="R148" s="70">
        <f t="shared" si="21"/>
        <v>6770</v>
      </c>
    </row>
    <row r="149" spans="1:18" x14ac:dyDescent="0.2">
      <c r="A149" s="123">
        <v>1979</v>
      </c>
      <c r="B149" s="70">
        <v>36</v>
      </c>
      <c r="C149" s="70">
        <v>52402</v>
      </c>
      <c r="D149" s="70">
        <v>42723</v>
      </c>
      <c r="E149" s="70">
        <v>57344</v>
      </c>
      <c r="F149" s="70">
        <v>15096</v>
      </c>
      <c r="G149" s="70">
        <v>12486</v>
      </c>
      <c r="H149" s="70" t="s">
        <v>29</v>
      </c>
      <c r="I149" s="70">
        <f t="shared" si="20"/>
        <v>180087</v>
      </c>
      <c r="J149" s="70"/>
      <c r="K149" s="70">
        <v>9</v>
      </c>
      <c r="L149" s="70">
        <v>315</v>
      </c>
      <c r="M149" s="70">
        <v>3634</v>
      </c>
      <c r="N149" s="70">
        <v>4616</v>
      </c>
      <c r="O149" s="70">
        <v>2289</v>
      </c>
      <c r="P149" s="70">
        <v>221</v>
      </c>
      <c r="Q149" s="70" t="s">
        <v>29</v>
      </c>
      <c r="R149" s="70">
        <f t="shared" si="21"/>
        <v>11084</v>
      </c>
    </row>
    <row r="150" spans="1:18" x14ac:dyDescent="0.2">
      <c r="A150" s="123">
        <v>1980</v>
      </c>
      <c r="B150" s="70" t="s">
        <v>29</v>
      </c>
      <c r="C150" s="70">
        <v>75287</v>
      </c>
      <c r="D150" s="70" t="s">
        <v>29</v>
      </c>
      <c r="E150" s="70">
        <v>115499</v>
      </c>
      <c r="F150" s="70">
        <v>12343</v>
      </c>
      <c r="G150" s="70">
        <v>8649</v>
      </c>
      <c r="H150" s="70" t="s">
        <v>29</v>
      </c>
      <c r="I150" s="70">
        <f t="shared" si="20"/>
        <v>211778</v>
      </c>
      <c r="J150" s="70"/>
      <c r="K150" s="70" t="s">
        <v>29</v>
      </c>
      <c r="L150" s="70">
        <v>153</v>
      </c>
      <c r="M150" s="70" t="s">
        <v>29</v>
      </c>
      <c r="N150" s="70">
        <v>1509</v>
      </c>
      <c r="O150" s="70">
        <v>179</v>
      </c>
      <c r="P150" s="70">
        <v>105</v>
      </c>
      <c r="Q150" s="70" t="s">
        <v>29</v>
      </c>
      <c r="R150" s="70">
        <f t="shared" si="21"/>
        <v>1946</v>
      </c>
    </row>
    <row r="151" spans="1:18" x14ac:dyDescent="0.2">
      <c r="A151" s="123">
        <v>1981</v>
      </c>
      <c r="B151" s="70" t="s">
        <v>29</v>
      </c>
      <c r="C151" s="70">
        <v>49499</v>
      </c>
      <c r="D151" s="70">
        <v>15908</v>
      </c>
      <c r="E151" s="70">
        <v>96108</v>
      </c>
      <c r="F151" s="70">
        <v>26918</v>
      </c>
      <c r="G151" s="70">
        <v>11477</v>
      </c>
      <c r="H151" s="70" t="s">
        <v>29</v>
      </c>
      <c r="I151" s="70">
        <f t="shared" si="20"/>
        <v>199910</v>
      </c>
      <c r="J151" s="70"/>
      <c r="K151" s="70" t="s">
        <v>29</v>
      </c>
      <c r="L151" s="70">
        <v>181</v>
      </c>
      <c r="M151" s="70">
        <v>133</v>
      </c>
      <c r="N151" s="70">
        <v>793</v>
      </c>
      <c r="O151" s="70">
        <v>470</v>
      </c>
      <c r="P151" s="70">
        <v>47</v>
      </c>
      <c r="Q151" s="70" t="s">
        <v>29</v>
      </c>
      <c r="R151" s="70">
        <f t="shared" si="21"/>
        <v>1624</v>
      </c>
    </row>
    <row r="152" spans="1:18" x14ac:dyDescent="0.2">
      <c r="A152" s="123">
        <v>1982</v>
      </c>
      <c r="B152" s="70">
        <f>22944+7701</f>
        <v>30645</v>
      </c>
      <c r="C152" s="70">
        <v>86013</v>
      </c>
      <c r="D152" s="70">
        <v>27919</v>
      </c>
      <c r="E152" s="70">
        <v>74276</v>
      </c>
      <c r="F152" s="70">
        <v>58215</v>
      </c>
      <c r="G152" s="70">
        <v>12394</v>
      </c>
      <c r="H152" s="70" t="s">
        <v>29</v>
      </c>
      <c r="I152" s="70">
        <f t="shared" si="20"/>
        <v>289462</v>
      </c>
      <c r="J152" s="70"/>
      <c r="K152" s="70">
        <v>11</v>
      </c>
      <c r="L152" s="70">
        <v>876</v>
      </c>
      <c r="M152" s="70">
        <v>2152</v>
      </c>
      <c r="N152" s="70">
        <v>3949</v>
      </c>
      <c r="O152" s="70">
        <v>1380</v>
      </c>
      <c r="P152" s="70">
        <v>203</v>
      </c>
      <c r="Q152" s="70" t="s">
        <v>29</v>
      </c>
      <c r="R152" s="70">
        <f t="shared" si="21"/>
        <v>8571</v>
      </c>
    </row>
    <row r="153" spans="1:18" x14ac:dyDescent="0.2">
      <c r="A153" s="123">
        <v>1983</v>
      </c>
      <c r="B153" s="70">
        <v>763</v>
      </c>
      <c r="C153" s="70">
        <v>30087</v>
      </c>
      <c r="D153" s="70">
        <v>5394</v>
      </c>
      <c r="E153" s="70">
        <v>25274</v>
      </c>
      <c r="F153" s="70">
        <v>10025</v>
      </c>
      <c r="G153" s="70">
        <v>3476</v>
      </c>
      <c r="H153" s="70" t="s">
        <v>29</v>
      </c>
      <c r="I153" s="70">
        <f t="shared" si="20"/>
        <v>75019</v>
      </c>
      <c r="J153" s="70"/>
      <c r="K153" s="70">
        <v>5</v>
      </c>
      <c r="L153" s="70">
        <v>183</v>
      </c>
      <c r="M153" s="70">
        <v>397</v>
      </c>
      <c r="N153" s="70">
        <v>1935</v>
      </c>
      <c r="O153" s="70">
        <v>327</v>
      </c>
      <c r="P153" s="70">
        <v>75</v>
      </c>
      <c r="Q153" s="70" t="s">
        <v>29</v>
      </c>
      <c r="R153" s="70">
        <f t="shared" si="21"/>
        <v>2922</v>
      </c>
    </row>
    <row r="154" spans="1:18" x14ac:dyDescent="0.2">
      <c r="A154" s="123">
        <v>1984</v>
      </c>
      <c r="B154" s="70" t="s">
        <v>29</v>
      </c>
      <c r="C154" s="70">
        <v>2642</v>
      </c>
      <c r="D154" s="70">
        <v>26439</v>
      </c>
      <c r="E154" s="70">
        <v>71452</v>
      </c>
      <c r="F154" s="70">
        <v>58590</v>
      </c>
      <c r="G154" s="70">
        <v>8545</v>
      </c>
      <c r="H154" s="70" t="s">
        <v>29</v>
      </c>
      <c r="I154" s="70">
        <f t="shared" si="20"/>
        <v>167668</v>
      </c>
      <c r="J154" s="70"/>
      <c r="K154" s="70" t="s">
        <v>29</v>
      </c>
      <c r="L154" s="70" t="s">
        <v>29</v>
      </c>
      <c r="M154" s="70">
        <v>7450</v>
      </c>
      <c r="N154" s="70">
        <v>16690</v>
      </c>
      <c r="O154" s="70">
        <v>231</v>
      </c>
      <c r="P154" s="70">
        <v>19</v>
      </c>
      <c r="Q154" s="70" t="s">
        <v>29</v>
      </c>
      <c r="R154" s="70">
        <f t="shared" si="21"/>
        <v>24390</v>
      </c>
    </row>
    <row r="155" spans="1:18" x14ac:dyDescent="0.2">
      <c r="A155" s="123">
        <v>1985</v>
      </c>
      <c r="B155" s="70" t="s">
        <v>29</v>
      </c>
      <c r="C155" s="70">
        <v>54983</v>
      </c>
      <c r="D155" s="70">
        <v>50384</v>
      </c>
      <c r="E155" s="70">
        <v>35644</v>
      </c>
      <c r="F155" s="70">
        <v>22455</v>
      </c>
      <c r="G155" s="70">
        <v>12215</v>
      </c>
      <c r="H155" s="70" t="s">
        <v>29</v>
      </c>
      <c r="I155" s="70">
        <f t="shared" si="20"/>
        <v>175681</v>
      </c>
      <c r="J155" s="70"/>
      <c r="K155" s="70" t="s">
        <v>29</v>
      </c>
      <c r="L155" s="70">
        <v>6</v>
      </c>
      <c r="M155" s="70">
        <v>739</v>
      </c>
      <c r="N155" s="70">
        <v>317</v>
      </c>
      <c r="O155" s="70">
        <v>65</v>
      </c>
      <c r="P155" s="70">
        <v>7</v>
      </c>
      <c r="Q155" s="70" t="s">
        <v>29</v>
      </c>
      <c r="R155" s="70">
        <f t="shared" si="21"/>
        <v>1134</v>
      </c>
    </row>
    <row r="156" spans="1:18" x14ac:dyDescent="0.2">
      <c r="A156" s="123">
        <v>1986</v>
      </c>
      <c r="B156" s="70" t="s">
        <v>29</v>
      </c>
      <c r="C156" s="70">
        <v>72877</v>
      </c>
      <c r="D156" s="70">
        <v>119597</v>
      </c>
      <c r="E156" s="70">
        <v>79771</v>
      </c>
      <c r="F156" s="70">
        <v>26983</v>
      </c>
      <c r="G156" s="70">
        <v>3074</v>
      </c>
      <c r="H156" s="70" t="s">
        <v>29</v>
      </c>
      <c r="I156" s="70">
        <f t="shared" si="20"/>
        <v>302302</v>
      </c>
      <c r="J156" s="70"/>
      <c r="K156" s="70" t="s">
        <v>29</v>
      </c>
      <c r="L156" s="70" t="s">
        <v>29</v>
      </c>
      <c r="M156" s="70">
        <v>1729</v>
      </c>
      <c r="N156" s="70">
        <v>3164</v>
      </c>
      <c r="O156" s="70">
        <v>138</v>
      </c>
      <c r="P156" s="70">
        <v>72</v>
      </c>
      <c r="Q156" s="70" t="s">
        <v>29</v>
      </c>
      <c r="R156" s="70">
        <f t="shared" si="21"/>
        <v>5103</v>
      </c>
    </row>
    <row r="157" spans="1:18" x14ac:dyDescent="0.2">
      <c r="A157" s="123">
        <v>1987</v>
      </c>
      <c r="B157" s="70" t="s">
        <v>29</v>
      </c>
      <c r="C157" s="70">
        <v>157648</v>
      </c>
      <c r="D157" s="70">
        <v>110099</v>
      </c>
      <c r="E157" s="70">
        <v>49824</v>
      </c>
      <c r="F157" s="70">
        <v>28544</v>
      </c>
      <c r="G157" s="70">
        <v>9500</v>
      </c>
      <c r="H157" s="70" t="s">
        <v>29</v>
      </c>
      <c r="I157" s="70">
        <f t="shared" si="20"/>
        <v>355615</v>
      </c>
      <c r="J157" s="70"/>
      <c r="K157" s="70" t="s">
        <v>29</v>
      </c>
      <c r="L157" s="70" t="s">
        <v>29</v>
      </c>
      <c r="M157" s="70">
        <v>700</v>
      </c>
      <c r="N157" s="70">
        <v>465</v>
      </c>
      <c r="O157" s="70" t="s">
        <v>29</v>
      </c>
      <c r="P157" s="70" t="s">
        <v>29</v>
      </c>
      <c r="Q157" s="70" t="s">
        <v>29</v>
      </c>
      <c r="R157" s="70">
        <f t="shared" si="21"/>
        <v>1165</v>
      </c>
    </row>
    <row r="158" spans="1:18" x14ac:dyDescent="0.2">
      <c r="A158" s="123">
        <v>1988</v>
      </c>
      <c r="B158" s="70" t="s">
        <v>29</v>
      </c>
      <c r="C158" s="70">
        <v>220664</v>
      </c>
      <c r="D158" s="70">
        <v>173728</v>
      </c>
      <c r="E158" s="70">
        <v>175382</v>
      </c>
      <c r="F158" s="70">
        <v>47103</v>
      </c>
      <c r="G158" s="70">
        <v>25816</v>
      </c>
      <c r="H158" s="70" t="s">
        <v>29</v>
      </c>
      <c r="I158" s="70">
        <f t="shared" si="20"/>
        <v>642693</v>
      </c>
      <c r="J158" s="70"/>
      <c r="K158" s="70" t="s">
        <v>29</v>
      </c>
      <c r="L158" s="70" t="s">
        <v>29</v>
      </c>
      <c r="M158" s="70">
        <v>2772</v>
      </c>
      <c r="N158" s="70">
        <v>3446</v>
      </c>
      <c r="O158" s="70">
        <v>480</v>
      </c>
      <c r="P158" s="70">
        <v>35</v>
      </c>
      <c r="Q158" s="70" t="s">
        <v>29</v>
      </c>
      <c r="R158" s="70">
        <f t="shared" si="21"/>
        <v>6733</v>
      </c>
    </row>
    <row r="159" spans="1:18" x14ac:dyDescent="0.2">
      <c r="A159" s="123">
        <v>1989</v>
      </c>
      <c r="B159" s="70" t="s">
        <v>29</v>
      </c>
      <c r="C159" s="70">
        <v>121304</v>
      </c>
      <c r="D159" s="70">
        <v>77751</v>
      </c>
      <c r="E159" s="70">
        <v>25550</v>
      </c>
      <c r="F159" s="70">
        <v>20889</v>
      </c>
      <c r="G159" s="70">
        <v>10323</v>
      </c>
      <c r="H159" s="70" t="s">
        <v>29</v>
      </c>
      <c r="I159" s="70">
        <f t="shared" si="20"/>
        <v>255817</v>
      </c>
      <c r="J159" s="70"/>
      <c r="K159" s="70" t="s">
        <v>29</v>
      </c>
      <c r="L159" s="70" t="s">
        <v>29</v>
      </c>
      <c r="M159" s="70">
        <v>3635</v>
      </c>
      <c r="N159" s="70">
        <v>2101</v>
      </c>
      <c r="O159" s="70">
        <v>588</v>
      </c>
      <c r="P159" s="70">
        <v>126</v>
      </c>
      <c r="Q159" s="70" t="s">
        <v>29</v>
      </c>
      <c r="R159" s="70">
        <f t="shared" si="21"/>
        <v>6450</v>
      </c>
    </row>
    <row r="160" spans="1:18" x14ac:dyDescent="0.2">
      <c r="A160" s="123">
        <v>1990</v>
      </c>
      <c r="B160" s="70" t="s">
        <v>29</v>
      </c>
      <c r="C160" s="70">
        <v>84317</v>
      </c>
      <c r="D160" s="70">
        <v>78515</v>
      </c>
      <c r="E160" s="70">
        <v>25545</v>
      </c>
      <c r="F160" s="70">
        <v>9233</v>
      </c>
      <c r="G160" s="70">
        <v>1537</v>
      </c>
      <c r="H160" s="70" t="s">
        <v>29</v>
      </c>
      <c r="I160" s="70">
        <f t="shared" si="20"/>
        <v>199147</v>
      </c>
      <c r="J160" s="70"/>
      <c r="K160" s="70" t="s">
        <v>29</v>
      </c>
      <c r="L160" s="70" t="s">
        <v>29</v>
      </c>
      <c r="M160" s="70">
        <v>18040</v>
      </c>
      <c r="N160" s="70">
        <v>7225</v>
      </c>
      <c r="O160" s="70">
        <v>2072</v>
      </c>
      <c r="P160" s="70">
        <v>96</v>
      </c>
      <c r="Q160" s="70" t="s">
        <v>29</v>
      </c>
      <c r="R160" s="70">
        <f t="shared" si="21"/>
        <v>27433</v>
      </c>
    </row>
    <row r="161" spans="1:18" x14ac:dyDescent="0.2">
      <c r="A161" s="123">
        <v>1991</v>
      </c>
      <c r="B161" s="70" t="s">
        <v>29</v>
      </c>
      <c r="C161" s="70">
        <v>58300</v>
      </c>
      <c r="D161" s="70">
        <v>52200</v>
      </c>
      <c r="E161" s="70">
        <v>30500</v>
      </c>
      <c r="F161" s="70">
        <v>28300</v>
      </c>
      <c r="G161" s="70">
        <v>5500</v>
      </c>
      <c r="H161" s="70" t="s">
        <v>29</v>
      </c>
      <c r="I161" s="70">
        <f t="shared" si="20"/>
        <v>174800</v>
      </c>
      <c r="J161" s="70"/>
      <c r="K161" s="70" t="s">
        <v>29</v>
      </c>
      <c r="L161" s="70" t="s">
        <v>29</v>
      </c>
      <c r="M161" s="70">
        <v>33100</v>
      </c>
      <c r="N161" s="70">
        <v>19700</v>
      </c>
      <c r="O161" s="70">
        <v>600</v>
      </c>
      <c r="P161" s="70" t="s">
        <v>29</v>
      </c>
      <c r="Q161" s="70" t="s">
        <v>29</v>
      </c>
      <c r="R161" s="70">
        <f t="shared" si="21"/>
        <v>53400</v>
      </c>
    </row>
    <row r="162" spans="1:18" x14ac:dyDescent="0.2">
      <c r="A162" s="123">
        <v>1992</v>
      </c>
      <c r="B162" s="70" t="s">
        <v>29</v>
      </c>
      <c r="C162" s="70">
        <v>16800</v>
      </c>
      <c r="D162" s="70">
        <v>4500</v>
      </c>
      <c r="E162" s="70">
        <v>10300</v>
      </c>
      <c r="F162" s="70">
        <v>37700</v>
      </c>
      <c r="G162" s="70">
        <v>26500</v>
      </c>
      <c r="H162" s="70" t="s">
        <v>29</v>
      </c>
      <c r="I162" s="70">
        <f t="shared" si="20"/>
        <v>95800</v>
      </c>
      <c r="J162" s="70"/>
      <c r="K162" s="70" t="s">
        <v>29</v>
      </c>
      <c r="L162" s="70" t="s">
        <v>29</v>
      </c>
      <c r="M162" s="70" t="s">
        <v>29</v>
      </c>
      <c r="N162" s="70" t="s">
        <v>29</v>
      </c>
      <c r="O162" s="70">
        <v>400</v>
      </c>
      <c r="P162" s="70" t="s">
        <v>29</v>
      </c>
      <c r="Q162" s="70" t="s">
        <v>29</v>
      </c>
      <c r="R162" s="70">
        <f t="shared" si="21"/>
        <v>400</v>
      </c>
    </row>
    <row r="163" spans="1:18" x14ac:dyDescent="0.2">
      <c r="A163" s="123">
        <v>1993</v>
      </c>
      <c r="B163" s="70" t="s">
        <v>29</v>
      </c>
      <c r="C163" s="70">
        <v>60823</v>
      </c>
      <c r="D163" s="70">
        <v>14827</v>
      </c>
      <c r="E163" s="70">
        <v>35500</v>
      </c>
      <c r="F163" s="70">
        <v>40253</v>
      </c>
      <c r="G163" s="70">
        <v>3596</v>
      </c>
      <c r="H163" s="70" t="s">
        <v>29</v>
      </c>
      <c r="I163" s="70">
        <f t="shared" si="20"/>
        <v>154999</v>
      </c>
      <c r="J163" s="70"/>
      <c r="K163" s="70" t="s">
        <v>29</v>
      </c>
      <c r="L163" s="70" t="s">
        <v>29</v>
      </c>
      <c r="M163" s="70" t="s">
        <v>29</v>
      </c>
      <c r="N163" s="70" t="s">
        <v>29</v>
      </c>
      <c r="O163" s="70" t="s">
        <v>29</v>
      </c>
      <c r="P163" s="70" t="s">
        <v>29</v>
      </c>
      <c r="Q163" s="70" t="s">
        <v>29</v>
      </c>
      <c r="R163" s="70" t="s">
        <v>29</v>
      </c>
    </row>
    <row r="164" spans="1:18" x14ac:dyDescent="0.2">
      <c r="A164" s="123">
        <v>1994</v>
      </c>
      <c r="B164" s="70" t="s">
        <v>29</v>
      </c>
      <c r="C164" s="70">
        <v>54498</v>
      </c>
      <c r="D164" s="70">
        <v>69505</v>
      </c>
      <c r="E164" s="70">
        <v>56963</v>
      </c>
      <c r="F164" s="70">
        <v>26272</v>
      </c>
      <c r="G164" s="70">
        <v>12618</v>
      </c>
      <c r="H164" s="70" t="s">
        <v>29</v>
      </c>
      <c r="I164" s="70">
        <f t="shared" si="20"/>
        <v>219856</v>
      </c>
      <c r="J164" s="70"/>
      <c r="K164" s="70" t="s">
        <v>29</v>
      </c>
      <c r="L164" s="70" t="s">
        <v>29</v>
      </c>
      <c r="M164" s="70" t="s">
        <v>29</v>
      </c>
      <c r="N164" s="70" t="s">
        <v>29</v>
      </c>
      <c r="O164" s="70" t="s">
        <v>29</v>
      </c>
      <c r="P164" s="70" t="s">
        <v>29</v>
      </c>
      <c r="Q164" s="70" t="s">
        <v>29</v>
      </c>
      <c r="R164" s="70" t="s">
        <v>29</v>
      </c>
    </row>
    <row r="165" spans="1:18" x14ac:dyDescent="0.2">
      <c r="A165" s="123">
        <v>1995</v>
      </c>
      <c r="B165" s="70" t="s">
        <v>29</v>
      </c>
      <c r="C165" s="70">
        <v>157026</v>
      </c>
      <c r="D165" s="70">
        <v>78024</v>
      </c>
      <c r="E165" s="70">
        <v>84257</v>
      </c>
      <c r="F165" s="70">
        <v>17030</v>
      </c>
      <c r="G165" s="70">
        <v>21149</v>
      </c>
      <c r="H165" s="70" t="s">
        <v>29</v>
      </c>
      <c r="I165" s="70">
        <f t="shared" si="20"/>
        <v>357486</v>
      </c>
      <c r="J165" s="70"/>
      <c r="K165" s="70" t="s">
        <v>29</v>
      </c>
      <c r="L165" s="70" t="s">
        <v>29</v>
      </c>
      <c r="M165" s="70" t="s">
        <v>29</v>
      </c>
      <c r="N165" s="70" t="s">
        <v>29</v>
      </c>
      <c r="O165" s="70" t="s">
        <v>29</v>
      </c>
      <c r="P165" s="70" t="s">
        <v>29</v>
      </c>
      <c r="Q165" s="70" t="s">
        <v>29</v>
      </c>
      <c r="R165" s="70" t="s">
        <v>29</v>
      </c>
    </row>
    <row r="166" spans="1:18" x14ac:dyDescent="0.2">
      <c r="A166" s="123">
        <v>1996</v>
      </c>
      <c r="B166" s="70" t="s">
        <v>29</v>
      </c>
      <c r="C166" s="70">
        <v>21978</v>
      </c>
      <c r="D166" s="70">
        <v>77988</v>
      </c>
      <c r="E166" s="70">
        <v>43546</v>
      </c>
      <c r="F166" s="70">
        <v>11979</v>
      </c>
      <c r="G166" s="70">
        <v>11888</v>
      </c>
      <c r="H166" s="70" t="s">
        <v>29</v>
      </c>
      <c r="I166" s="70">
        <f t="shared" si="20"/>
        <v>167379</v>
      </c>
      <c r="J166" s="70"/>
      <c r="K166" s="70" t="s">
        <v>29</v>
      </c>
      <c r="L166" s="70" t="s">
        <v>29</v>
      </c>
      <c r="M166" s="70" t="s">
        <v>29</v>
      </c>
      <c r="N166" s="70" t="s">
        <v>29</v>
      </c>
      <c r="O166" s="70" t="s">
        <v>29</v>
      </c>
      <c r="P166" s="70" t="s">
        <v>29</v>
      </c>
      <c r="Q166" s="70" t="s">
        <v>29</v>
      </c>
      <c r="R166" s="70" t="s">
        <v>29</v>
      </c>
    </row>
    <row r="167" spans="1:18" x14ac:dyDescent="0.2">
      <c r="A167" s="123">
        <v>1997</v>
      </c>
      <c r="B167" s="70" t="s">
        <v>29</v>
      </c>
      <c r="C167" s="70">
        <v>112347</v>
      </c>
      <c r="D167" s="70">
        <v>14225</v>
      </c>
      <c r="E167" s="70">
        <v>84230</v>
      </c>
      <c r="F167" s="70">
        <v>24737</v>
      </c>
      <c r="G167" s="70">
        <v>17945</v>
      </c>
      <c r="H167" s="70" t="s">
        <v>29</v>
      </c>
      <c r="I167" s="70">
        <f t="shared" si="20"/>
        <v>253484</v>
      </c>
      <c r="J167" s="70"/>
      <c r="K167" s="70" t="s">
        <v>29</v>
      </c>
      <c r="L167" s="70" t="s">
        <v>29</v>
      </c>
      <c r="M167" s="70" t="s">
        <v>29</v>
      </c>
      <c r="N167" s="70" t="s">
        <v>29</v>
      </c>
      <c r="O167" s="70" t="s">
        <v>29</v>
      </c>
      <c r="P167" s="70" t="s">
        <v>29</v>
      </c>
      <c r="Q167" s="70" t="s">
        <v>29</v>
      </c>
      <c r="R167" s="70" t="s">
        <v>29</v>
      </c>
    </row>
    <row r="168" spans="1:18" x14ac:dyDescent="0.2">
      <c r="A168" s="123">
        <v>1998</v>
      </c>
      <c r="B168" s="70" t="s">
        <v>29</v>
      </c>
      <c r="C168" s="70">
        <v>15215</v>
      </c>
      <c r="D168" s="70">
        <v>18849</v>
      </c>
      <c r="E168" s="70">
        <v>62242</v>
      </c>
      <c r="F168" s="70">
        <v>15307</v>
      </c>
      <c r="G168" s="70">
        <v>14507</v>
      </c>
      <c r="H168" s="70" t="s">
        <v>29</v>
      </c>
      <c r="I168" s="70">
        <f t="shared" si="20"/>
        <v>126120</v>
      </c>
      <c r="J168" s="70"/>
      <c r="K168" s="70" t="s">
        <v>29</v>
      </c>
      <c r="L168" s="70" t="s">
        <v>29</v>
      </c>
      <c r="M168" s="70" t="s">
        <v>29</v>
      </c>
      <c r="N168" s="70" t="s">
        <v>29</v>
      </c>
      <c r="O168" s="70" t="s">
        <v>29</v>
      </c>
      <c r="P168" s="70" t="s">
        <v>29</v>
      </c>
      <c r="Q168" s="70" t="s">
        <v>29</v>
      </c>
      <c r="R168" s="70" t="s">
        <v>29</v>
      </c>
    </row>
    <row r="169" spans="1:18" x14ac:dyDescent="0.2">
      <c r="A169" s="123">
        <v>1999</v>
      </c>
      <c r="B169" s="70">
        <v>3266</v>
      </c>
      <c r="C169" s="70">
        <v>16766</v>
      </c>
      <c r="D169" s="70">
        <v>71091</v>
      </c>
      <c r="E169" s="70">
        <v>62629</v>
      </c>
      <c r="F169" s="70">
        <v>23555</v>
      </c>
      <c r="G169" s="70">
        <v>3653</v>
      </c>
      <c r="H169" s="70" t="s">
        <v>29</v>
      </c>
      <c r="I169" s="70">
        <f t="shared" si="20"/>
        <v>180960</v>
      </c>
      <c r="J169" s="70"/>
      <c r="K169" s="70" t="s">
        <v>29</v>
      </c>
      <c r="L169" s="70" t="s">
        <v>29</v>
      </c>
      <c r="M169" s="70" t="s">
        <v>29</v>
      </c>
      <c r="N169" s="70" t="s">
        <v>29</v>
      </c>
      <c r="O169" s="70" t="s">
        <v>29</v>
      </c>
      <c r="P169" s="70" t="s">
        <v>29</v>
      </c>
      <c r="Q169" s="70" t="s">
        <v>29</v>
      </c>
      <c r="R169" s="70" t="s">
        <v>29</v>
      </c>
    </row>
    <row r="170" spans="1:18" x14ac:dyDescent="0.2">
      <c r="A170" s="123">
        <v>2000</v>
      </c>
      <c r="B170" s="70" t="s">
        <v>29</v>
      </c>
      <c r="C170" s="70">
        <v>83347</v>
      </c>
      <c r="D170" s="70">
        <v>76141</v>
      </c>
      <c r="E170" s="70">
        <v>36125</v>
      </c>
      <c r="F170" s="70">
        <v>25743</v>
      </c>
      <c r="G170" s="70">
        <v>29012</v>
      </c>
      <c r="H170" s="70" t="s">
        <v>29</v>
      </c>
      <c r="I170" s="70">
        <f t="shared" si="20"/>
        <v>250368</v>
      </c>
      <c r="J170" s="70"/>
      <c r="K170" s="70" t="s">
        <v>29</v>
      </c>
      <c r="L170" s="70" t="s">
        <v>29</v>
      </c>
      <c r="M170" s="70" t="s">
        <v>29</v>
      </c>
      <c r="N170" s="70" t="s">
        <v>29</v>
      </c>
      <c r="O170" s="70" t="s">
        <v>29</v>
      </c>
      <c r="P170" s="70" t="s">
        <v>29</v>
      </c>
      <c r="Q170" s="70" t="s">
        <v>29</v>
      </c>
      <c r="R170" s="70" t="s">
        <v>29</v>
      </c>
    </row>
    <row r="171" spans="1:18" x14ac:dyDescent="0.2">
      <c r="A171" s="123">
        <v>2001</v>
      </c>
      <c r="B171" s="70" t="s">
        <v>29</v>
      </c>
      <c r="C171" s="70">
        <v>38710</v>
      </c>
      <c r="D171" s="70">
        <v>8122</v>
      </c>
      <c r="E171" s="70">
        <v>60701</v>
      </c>
      <c r="F171" s="70">
        <v>14056</v>
      </c>
      <c r="G171" s="70">
        <v>11386</v>
      </c>
      <c r="H171" s="70">
        <v>3655</v>
      </c>
      <c r="I171" s="70">
        <f t="shared" si="20"/>
        <v>136630</v>
      </c>
      <c r="J171" s="70"/>
      <c r="K171" s="70" t="s">
        <v>29</v>
      </c>
      <c r="L171" s="70" t="s">
        <v>29</v>
      </c>
      <c r="M171" s="70" t="s">
        <v>29</v>
      </c>
      <c r="N171" s="70" t="s">
        <v>29</v>
      </c>
      <c r="O171" s="70" t="s">
        <v>29</v>
      </c>
      <c r="P171" s="70" t="s">
        <v>29</v>
      </c>
      <c r="Q171" s="70" t="s">
        <v>29</v>
      </c>
      <c r="R171" s="70" t="s">
        <v>29</v>
      </c>
    </row>
    <row r="172" spans="1:18" x14ac:dyDescent="0.2">
      <c r="A172" s="123">
        <v>2002</v>
      </c>
      <c r="B172" s="70" t="s">
        <v>29</v>
      </c>
      <c r="C172" s="70">
        <v>64569</v>
      </c>
      <c r="D172" s="70">
        <v>68773</v>
      </c>
      <c r="E172" s="70">
        <v>88077</v>
      </c>
      <c r="F172" s="70">
        <v>13584</v>
      </c>
      <c r="G172" s="70">
        <v>7399</v>
      </c>
      <c r="H172" s="70">
        <v>470</v>
      </c>
      <c r="I172" s="70">
        <f t="shared" si="20"/>
        <v>242872</v>
      </c>
      <c r="J172" s="70"/>
      <c r="K172" s="70" t="s">
        <v>29</v>
      </c>
      <c r="L172" s="70" t="s">
        <v>29</v>
      </c>
      <c r="M172" s="70" t="s">
        <v>29</v>
      </c>
      <c r="N172" s="70" t="s">
        <v>29</v>
      </c>
      <c r="O172" s="70" t="s">
        <v>29</v>
      </c>
      <c r="P172" s="70" t="s">
        <v>29</v>
      </c>
      <c r="Q172" s="70" t="s">
        <v>29</v>
      </c>
      <c r="R172" s="70" t="s">
        <v>29</v>
      </c>
    </row>
    <row r="173" spans="1:18" x14ac:dyDescent="0.2">
      <c r="A173" s="123">
        <v>2003</v>
      </c>
      <c r="B173" s="70" t="s">
        <v>29</v>
      </c>
      <c r="C173" s="70">
        <v>31148</v>
      </c>
      <c r="D173" s="70">
        <v>94684</v>
      </c>
      <c r="E173" s="70">
        <v>39442</v>
      </c>
      <c r="F173" s="70">
        <v>25978</v>
      </c>
      <c r="G173" s="70">
        <v>9742</v>
      </c>
      <c r="H173" s="70">
        <v>1882</v>
      </c>
      <c r="I173" s="70">
        <f t="shared" si="20"/>
        <v>202876</v>
      </c>
      <c r="J173" s="70"/>
      <c r="K173" s="70" t="s">
        <v>29</v>
      </c>
      <c r="L173" s="70" t="s">
        <v>29</v>
      </c>
      <c r="M173" s="70" t="s">
        <v>29</v>
      </c>
      <c r="N173" s="70" t="s">
        <v>29</v>
      </c>
      <c r="O173" s="70" t="s">
        <v>29</v>
      </c>
      <c r="P173" s="70" t="s">
        <v>29</v>
      </c>
      <c r="Q173" s="70" t="s">
        <v>29</v>
      </c>
      <c r="R173" s="70" t="s">
        <v>29</v>
      </c>
    </row>
    <row r="174" spans="1:18" x14ac:dyDescent="0.2">
      <c r="A174" s="123">
        <v>2004</v>
      </c>
      <c r="B174" s="70" t="s">
        <v>29</v>
      </c>
      <c r="C174" s="70">
        <v>75176</v>
      </c>
      <c r="D174" s="70">
        <v>127403</v>
      </c>
      <c r="E174" s="70">
        <v>77267</v>
      </c>
      <c r="F174" s="70">
        <v>12843</v>
      </c>
      <c r="G174" s="70">
        <v>4329</v>
      </c>
      <c r="H174" s="70">
        <v>1211</v>
      </c>
      <c r="I174" s="70">
        <f t="shared" si="20"/>
        <v>298229</v>
      </c>
      <c r="J174" s="70"/>
      <c r="K174" s="70" t="s">
        <v>29</v>
      </c>
      <c r="L174" s="70" t="s">
        <v>29</v>
      </c>
      <c r="M174" s="70" t="s">
        <v>29</v>
      </c>
      <c r="N174" s="70" t="s">
        <v>29</v>
      </c>
      <c r="O174" s="70" t="s">
        <v>29</v>
      </c>
      <c r="P174" s="70" t="s">
        <v>29</v>
      </c>
      <c r="Q174" s="70" t="s">
        <v>29</v>
      </c>
      <c r="R174" s="70" t="s">
        <v>29</v>
      </c>
    </row>
    <row r="175" spans="1:18" x14ac:dyDescent="0.2">
      <c r="A175" s="123">
        <v>2005</v>
      </c>
      <c r="B175" s="70" t="s">
        <v>29</v>
      </c>
      <c r="C175" s="70" t="s">
        <v>29</v>
      </c>
      <c r="D175" s="70" t="s">
        <v>29</v>
      </c>
      <c r="E175" s="70">
        <v>110823</v>
      </c>
      <c r="F175" s="70">
        <v>29468</v>
      </c>
      <c r="G175" s="70">
        <v>27935</v>
      </c>
      <c r="H175" s="70">
        <v>2305</v>
      </c>
      <c r="I175" s="70">
        <f t="shared" si="20"/>
        <v>170531</v>
      </c>
      <c r="J175" s="70"/>
      <c r="K175" s="70" t="s">
        <v>29</v>
      </c>
      <c r="L175" s="70" t="s">
        <v>29</v>
      </c>
      <c r="M175" s="70" t="s">
        <v>29</v>
      </c>
      <c r="N175" s="70" t="s">
        <v>29</v>
      </c>
      <c r="O175" s="70" t="s">
        <v>29</v>
      </c>
      <c r="P175" s="70" t="s">
        <v>29</v>
      </c>
      <c r="Q175" s="70" t="s">
        <v>29</v>
      </c>
      <c r="R175" s="70" t="s">
        <v>29</v>
      </c>
    </row>
    <row r="176" spans="1:18" x14ac:dyDescent="0.2">
      <c r="A176" s="123">
        <v>2006</v>
      </c>
      <c r="B176" s="70" t="s">
        <v>29</v>
      </c>
      <c r="C176" s="70" t="s">
        <v>29</v>
      </c>
      <c r="D176" s="70" t="s">
        <v>29</v>
      </c>
      <c r="E176" s="70">
        <v>16437</v>
      </c>
      <c r="F176" s="70">
        <v>18341</v>
      </c>
      <c r="G176" s="70">
        <v>11839</v>
      </c>
      <c r="H176" s="70">
        <v>1072</v>
      </c>
      <c r="I176" s="70">
        <f t="shared" si="20"/>
        <v>47689</v>
      </c>
      <c r="J176" s="70"/>
      <c r="K176" s="70" t="s">
        <v>29</v>
      </c>
      <c r="L176" s="70" t="s">
        <v>29</v>
      </c>
      <c r="M176" s="70" t="s">
        <v>29</v>
      </c>
      <c r="N176" s="70" t="s">
        <v>29</v>
      </c>
      <c r="O176" s="70" t="s">
        <v>29</v>
      </c>
      <c r="P176" s="70" t="s">
        <v>29</v>
      </c>
      <c r="Q176" s="70" t="s">
        <v>29</v>
      </c>
      <c r="R176" s="70" t="s">
        <v>29</v>
      </c>
    </row>
    <row r="177" spans="1:18" s="374" customFormat="1" x14ac:dyDescent="0.2">
      <c r="A177" s="122">
        <v>2007</v>
      </c>
      <c r="B177" s="97" t="s">
        <v>29</v>
      </c>
      <c r="C177" s="97">
        <v>25396</v>
      </c>
      <c r="D177" s="97" t="s">
        <v>29</v>
      </c>
      <c r="E177" s="97">
        <v>39878</v>
      </c>
      <c r="F177" s="97">
        <v>7434</v>
      </c>
      <c r="G177" s="97">
        <v>2194</v>
      </c>
      <c r="H177" s="97">
        <v>352</v>
      </c>
      <c r="I177" s="97">
        <f t="shared" si="20"/>
        <v>75254</v>
      </c>
      <c r="J177" s="97"/>
      <c r="K177" s="97" t="s">
        <v>29</v>
      </c>
      <c r="L177" s="97" t="s">
        <v>29</v>
      </c>
      <c r="M177" s="97" t="s">
        <v>29</v>
      </c>
      <c r="N177" s="97" t="s">
        <v>29</v>
      </c>
      <c r="O177" s="97" t="s">
        <v>29</v>
      </c>
      <c r="P177" s="97" t="s">
        <v>29</v>
      </c>
      <c r="Q177" s="97" t="s">
        <v>29</v>
      </c>
      <c r="R177" s="97" t="s">
        <v>29</v>
      </c>
    </row>
    <row r="178" spans="1:18" s="374" customFormat="1" x14ac:dyDescent="0.2">
      <c r="A178" s="122">
        <v>2008</v>
      </c>
      <c r="B178" s="97" t="s">
        <v>29</v>
      </c>
      <c r="C178" s="97" t="s">
        <v>29</v>
      </c>
      <c r="D178" s="97" t="s">
        <v>29</v>
      </c>
      <c r="E178" s="97" t="s">
        <v>29</v>
      </c>
      <c r="F178" s="97" t="s">
        <v>29</v>
      </c>
      <c r="G178" s="97" t="s">
        <v>29</v>
      </c>
      <c r="H178" s="97" t="s">
        <v>29</v>
      </c>
      <c r="I178" s="97" t="s">
        <v>29</v>
      </c>
      <c r="J178" s="97"/>
      <c r="K178" s="97" t="s">
        <v>29</v>
      </c>
      <c r="L178" s="97" t="s">
        <v>29</v>
      </c>
      <c r="M178" s="97" t="s">
        <v>29</v>
      </c>
      <c r="N178" s="97" t="s">
        <v>29</v>
      </c>
      <c r="O178" s="97" t="s">
        <v>29</v>
      </c>
      <c r="P178" s="97" t="s">
        <v>29</v>
      </c>
      <c r="Q178" s="97" t="s">
        <v>29</v>
      </c>
      <c r="R178" s="97" t="s">
        <v>29</v>
      </c>
    </row>
    <row r="179" spans="1:18" s="374" customFormat="1" x14ac:dyDescent="0.2">
      <c r="A179" s="122">
        <v>2009</v>
      </c>
      <c r="B179" s="97" t="s">
        <v>29</v>
      </c>
      <c r="C179" s="97" t="s">
        <v>29</v>
      </c>
      <c r="D179" s="97" t="s">
        <v>29</v>
      </c>
      <c r="E179" s="97" t="s">
        <v>29</v>
      </c>
      <c r="F179" s="97" t="s">
        <v>29</v>
      </c>
      <c r="G179" s="97" t="s">
        <v>29</v>
      </c>
      <c r="H179" s="97" t="s">
        <v>29</v>
      </c>
      <c r="I179" s="97" t="s">
        <v>29</v>
      </c>
      <c r="J179" s="97"/>
      <c r="K179" s="97" t="s">
        <v>29</v>
      </c>
      <c r="L179" s="97" t="s">
        <v>29</v>
      </c>
      <c r="M179" s="97" t="s">
        <v>29</v>
      </c>
      <c r="N179" s="97" t="s">
        <v>29</v>
      </c>
      <c r="O179" s="97" t="s">
        <v>29</v>
      </c>
      <c r="P179" s="97" t="s">
        <v>29</v>
      </c>
      <c r="Q179" s="97" t="s">
        <v>29</v>
      </c>
      <c r="R179" s="97" t="s">
        <v>29</v>
      </c>
    </row>
    <row r="180" spans="1:18" s="374" customFormat="1" x14ac:dyDescent="0.2">
      <c r="A180" s="122">
        <v>2010</v>
      </c>
      <c r="B180" s="97" t="s">
        <v>29</v>
      </c>
      <c r="C180" s="97" t="s">
        <v>29</v>
      </c>
      <c r="D180" s="97" t="s">
        <v>29</v>
      </c>
      <c r="E180" s="97">
        <v>1105</v>
      </c>
      <c r="F180" s="97" t="s">
        <v>29</v>
      </c>
      <c r="G180" s="97" t="s">
        <v>29</v>
      </c>
      <c r="H180" s="97" t="s">
        <v>29</v>
      </c>
      <c r="I180" s="97">
        <f t="shared" ref="I180:I190" si="22">SUM(B180:H180)</f>
        <v>1105</v>
      </c>
      <c r="J180" s="97"/>
      <c r="K180" s="97" t="s">
        <v>29</v>
      </c>
      <c r="L180" s="97" t="s">
        <v>29</v>
      </c>
      <c r="M180" s="97" t="s">
        <v>29</v>
      </c>
      <c r="N180" s="97" t="s">
        <v>29</v>
      </c>
      <c r="O180" s="97" t="s">
        <v>29</v>
      </c>
      <c r="P180" s="97" t="s">
        <v>29</v>
      </c>
      <c r="Q180" s="97" t="s">
        <v>29</v>
      </c>
      <c r="R180" s="97" t="s">
        <v>29</v>
      </c>
    </row>
    <row r="181" spans="1:18" s="374" customFormat="1" x14ac:dyDescent="0.2">
      <c r="A181" s="122">
        <v>2011</v>
      </c>
      <c r="B181" s="97" t="s">
        <v>29</v>
      </c>
      <c r="C181" s="97">
        <v>7753</v>
      </c>
      <c r="D181" s="97">
        <v>2830</v>
      </c>
      <c r="E181" s="97">
        <v>8305</v>
      </c>
      <c r="F181" s="97">
        <v>1395</v>
      </c>
      <c r="G181" s="97">
        <v>1312</v>
      </c>
      <c r="H181" s="97">
        <v>317</v>
      </c>
      <c r="I181" s="97">
        <f t="shared" si="22"/>
        <v>21912</v>
      </c>
      <c r="J181" s="97"/>
      <c r="K181" s="97" t="s">
        <v>29</v>
      </c>
      <c r="L181" s="97" t="s">
        <v>29</v>
      </c>
      <c r="M181" s="97" t="s">
        <v>29</v>
      </c>
      <c r="N181" s="97" t="s">
        <v>29</v>
      </c>
      <c r="O181" s="97" t="s">
        <v>29</v>
      </c>
      <c r="P181" s="97" t="s">
        <v>29</v>
      </c>
      <c r="Q181" s="97" t="s">
        <v>29</v>
      </c>
      <c r="R181" s="97" t="s">
        <v>29</v>
      </c>
    </row>
    <row r="182" spans="1:18" s="374" customFormat="1" x14ac:dyDescent="0.2">
      <c r="A182" s="122">
        <v>2012</v>
      </c>
      <c r="B182" s="97" t="s">
        <v>29</v>
      </c>
      <c r="C182" s="97">
        <v>34005</v>
      </c>
      <c r="D182" s="97">
        <v>10090</v>
      </c>
      <c r="E182" s="97">
        <v>51592</v>
      </c>
      <c r="F182" s="97">
        <v>14292</v>
      </c>
      <c r="G182" s="97">
        <v>5808</v>
      </c>
      <c r="H182" s="97">
        <v>3313</v>
      </c>
      <c r="I182" s="97">
        <f t="shared" si="22"/>
        <v>119100</v>
      </c>
      <c r="J182" s="97"/>
      <c r="K182" s="97" t="s">
        <v>29</v>
      </c>
      <c r="L182" s="97" t="s">
        <v>29</v>
      </c>
      <c r="M182" s="97" t="s">
        <v>29</v>
      </c>
      <c r="N182" s="97" t="s">
        <v>29</v>
      </c>
      <c r="O182" s="97" t="s">
        <v>29</v>
      </c>
      <c r="P182" s="97" t="s">
        <v>29</v>
      </c>
      <c r="Q182" s="97" t="s">
        <v>29</v>
      </c>
      <c r="R182" s="97" t="s">
        <v>29</v>
      </c>
    </row>
    <row r="183" spans="1:18" s="374" customFormat="1" x14ac:dyDescent="0.2">
      <c r="A183" s="122">
        <v>2013</v>
      </c>
      <c r="B183" s="97" t="s">
        <v>29</v>
      </c>
      <c r="C183" s="97">
        <v>56365</v>
      </c>
      <c r="D183" s="97">
        <v>47837</v>
      </c>
      <c r="E183" s="97">
        <v>24215</v>
      </c>
      <c r="F183" s="97">
        <v>7819</v>
      </c>
      <c r="G183" s="97">
        <v>6477</v>
      </c>
      <c r="H183" s="97">
        <v>941</v>
      </c>
      <c r="I183" s="97">
        <f t="shared" si="22"/>
        <v>143654</v>
      </c>
      <c r="J183" s="97"/>
      <c r="K183" s="97" t="s">
        <v>29</v>
      </c>
      <c r="L183" s="97" t="s">
        <v>29</v>
      </c>
      <c r="M183" s="97" t="s">
        <v>29</v>
      </c>
      <c r="N183" s="97" t="s">
        <v>29</v>
      </c>
      <c r="O183" s="97" t="s">
        <v>29</v>
      </c>
      <c r="P183" s="97" t="s">
        <v>29</v>
      </c>
      <c r="Q183" s="97" t="s">
        <v>29</v>
      </c>
      <c r="R183" s="97" t="s">
        <v>29</v>
      </c>
    </row>
    <row r="184" spans="1:18" s="374" customFormat="1" x14ac:dyDescent="0.2">
      <c r="A184" s="122">
        <v>2014</v>
      </c>
      <c r="B184" s="97" t="s">
        <v>29</v>
      </c>
      <c r="C184" s="97">
        <v>30605</v>
      </c>
      <c r="D184" s="97">
        <v>14917</v>
      </c>
      <c r="E184" s="97">
        <v>6994</v>
      </c>
      <c r="F184" s="97">
        <v>15879</v>
      </c>
      <c r="G184" s="97">
        <v>11044</v>
      </c>
      <c r="H184" s="97">
        <v>2985</v>
      </c>
      <c r="I184" s="97">
        <f t="shared" si="22"/>
        <v>82424</v>
      </c>
      <c r="J184" s="97"/>
      <c r="K184" s="97" t="s">
        <v>29</v>
      </c>
      <c r="L184" s="97" t="s">
        <v>29</v>
      </c>
      <c r="M184" s="97" t="s">
        <v>29</v>
      </c>
      <c r="N184" s="97" t="s">
        <v>29</v>
      </c>
      <c r="O184" s="97" t="s">
        <v>29</v>
      </c>
      <c r="P184" s="97" t="s">
        <v>29</v>
      </c>
      <c r="Q184" s="97" t="s">
        <v>29</v>
      </c>
      <c r="R184" s="97" t="s">
        <v>29</v>
      </c>
    </row>
    <row r="185" spans="1:18" s="374" customFormat="1" x14ac:dyDescent="0.2">
      <c r="A185" s="122">
        <v>2015</v>
      </c>
      <c r="B185" s="97" t="s">
        <v>29</v>
      </c>
      <c r="C185" s="97">
        <v>7407</v>
      </c>
      <c r="D185" s="97">
        <v>4762</v>
      </c>
      <c r="E185" s="97">
        <v>4456</v>
      </c>
      <c r="F185" s="97">
        <v>7055</v>
      </c>
      <c r="G185" s="97">
        <v>9399</v>
      </c>
      <c r="H185" s="97">
        <v>2617</v>
      </c>
      <c r="I185" s="97">
        <f>SUM(B185:H185)</f>
        <v>35696</v>
      </c>
      <c r="J185" s="97"/>
      <c r="K185" s="97" t="s">
        <v>29</v>
      </c>
      <c r="L185" s="97" t="s">
        <v>29</v>
      </c>
      <c r="M185" s="97" t="s">
        <v>29</v>
      </c>
      <c r="N185" s="97" t="s">
        <v>29</v>
      </c>
      <c r="O185" s="97" t="s">
        <v>29</v>
      </c>
      <c r="P185" s="97" t="s">
        <v>29</v>
      </c>
      <c r="Q185" s="97" t="s">
        <v>29</v>
      </c>
      <c r="R185" s="97" t="s">
        <v>29</v>
      </c>
    </row>
    <row r="186" spans="1:18" s="374" customFormat="1" x14ac:dyDescent="0.2">
      <c r="A186" s="122">
        <v>2016</v>
      </c>
      <c r="B186" s="97" t="s">
        <v>29</v>
      </c>
      <c r="C186" s="97">
        <v>3147</v>
      </c>
      <c r="D186" s="97">
        <v>446</v>
      </c>
      <c r="E186" s="97" t="s">
        <v>29</v>
      </c>
      <c r="F186" s="97">
        <v>13819</v>
      </c>
      <c r="G186" s="97">
        <v>8362</v>
      </c>
      <c r="H186" s="97">
        <v>589</v>
      </c>
      <c r="I186" s="97">
        <f>SUM(B186:H186)</f>
        <v>26363</v>
      </c>
      <c r="J186" s="97"/>
      <c r="K186" s="97" t="s">
        <v>29</v>
      </c>
      <c r="L186" s="97" t="s">
        <v>29</v>
      </c>
      <c r="M186" s="97" t="s">
        <v>29</v>
      </c>
      <c r="N186" s="97" t="s">
        <v>29</v>
      </c>
      <c r="O186" s="97" t="s">
        <v>29</v>
      </c>
      <c r="P186" s="97" t="s">
        <v>29</v>
      </c>
      <c r="Q186" s="97" t="s">
        <v>29</v>
      </c>
      <c r="R186" s="97" t="s">
        <v>29</v>
      </c>
    </row>
    <row r="187" spans="1:18" s="374" customFormat="1" x14ac:dyDescent="0.2">
      <c r="A187" s="122">
        <v>2017</v>
      </c>
      <c r="B187" s="97" t="s">
        <v>29</v>
      </c>
      <c r="C187" s="97" t="s">
        <v>29</v>
      </c>
      <c r="D187" s="97" t="s">
        <v>29</v>
      </c>
      <c r="E187" s="97" t="s">
        <v>29</v>
      </c>
      <c r="F187" s="97">
        <v>18336</v>
      </c>
      <c r="G187" s="97">
        <v>8297</v>
      </c>
      <c r="H187" s="97">
        <v>1279</v>
      </c>
      <c r="I187" s="97">
        <f>SUM(B187:H187)</f>
        <v>27912</v>
      </c>
      <c r="J187" s="97"/>
      <c r="K187" s="97" t="s">
        <v>29</v>
      </c>
      <c r="L187" s="97" t="s">
        <v>29</v>
      </c>
      <c r="M187" s="97" t="s">
        <v>29</v>
      </c>
      <c r="N187" s="97" t="s">
        <v>29</v>
      </c>
      <c r="O187" s="97" t="s">
        <v>29</v>
      </c>
      <c r="P187" s="97" t="s">
        <v>29</v>
      </c>
      <c r="Q187" s="97" t="s">
        <v>29</v>
      </c>
      <c r="R187" s="97" t="s">
        <v>29</v>
      </c>
    </row>
    <row r="188" spans="1:18" s="374" customFormat="1" x14ac:dyDescent="0.2">
      <c r="A188" s="122">
        <v>2018</v>
      </c>
      <c r="B188" s="97" t="s">
        <v>29</v>
      </c>
      <c r="C188" s="97" t="s">
        <v>29</v>
      </c>
      <c r="D188" s="97" t="s">
        <v>29</v>
      </c>
      <c r="E188" s="97">
        <v>7015</v>
      </c>
      <c r="F188" s="97">
        <v>19790</v>
      </c>
      <c r="G188" s="97">
        <v>10593</v>
      </c>
      <c r="H188" s="97">
        <v>2031</v>
      </c>
      <c r="I188" s="97">
        <f>SUM(B188:H188)</f>
        <v>39429</v>
      </c>
      <c r="J188" s="97"/>
      <c r="K188" s="97" t="s">
        <v>29</v>
      </c>
      <c r="L188" s="97" t="s">
        <v>29</v>
      </c>
      <c r="M188" s="97" t="s">
        <v>29</v>
      </c>
      <c r="N188" s="97" t="s">
        <v>29</v>
      </c>
      <c r="O188" s="97" t="s">
        <v>29</v>
      </c>
      <c r="P188" s="97" t="s">
        <v>29</v>
      </c>
      <c r="Q188" s="97" t="s">
        <v>29</v>
      </c>
      <c r="R188" s="97" t="s">
        <v>29</v>
      </c>
    </row>
    <row r="189" spans="1:18" s="487" customFormat="1" x14ac:dyDescent="0.2">
      <c r="A189" s="496" t="s">
        <v>336</v>
      </c>
      <c r="B189" s="97" t="s">
        <v>29</v>
      </c>
      <c r="C189" s="97">
        <v>16076</v>
      </c>
      <c r="D189" s="97">
        <v>61739</v>
      </c>
      <c r="E189" s="97">
        <v>24978</v>
      </c>
      <c r="F189" s="97">
        <v>49779</v>
      </c>
      <c r="G189" s="97">
        <v>6058</v>
      </c>
      <c r="H189" s="97">
        <v>801</v>
      </c>
      <c r="I189" s="97">
        <f t="shared" ref="I189" si="23">SUM(B189:H189)</f>
        <v>159431</v>
      </c>
      <c r="J189" s="97"/>
      <c r="K189" s="97" t="s">
        <v>29</v>
      </c>
      <c r="L189" s="97" t="s">
        <v>29</v>
      </c>
      <c r="M189" s="97" t="s">
        <v>29</v>
      </c>
      <c r="N189" s="97" t="s">
        <v>29</v>
      </c>
      <c r="O189" s="97" t="s">
        <v>29</v>
      </c>
      <c r="P189" s="97" t="s">
        <v>29</v>
      </c>
      <c r="Q189" s="97" t="s">
        <v>29</v>
      </c>
      <c r="R189" s="97" t="s">
        <v>29</v>
      </c>
    </row>
    <row r="190" spans="1:18" x14ac:dyDescent="0.2">
      <c r="A190" s="496" t="s">
        <v>391</v>
      </c>
      <c r="B190" s="70" t="s">
        <v>29</v>
      </c>
      <c r="C190" s="70">
        <v>12572</v>
      </c>
      <c r="D190" s="70">
        <v>41664</v>
      </c>
      <c r="E190" s="70">
        <v>62733</v>
      </c>
      <c r="F190" s="70">
        <v>17658</v>
      </c>
      <c r="G190" s="70">
        <v>8214</v>
      </c>
      <c r="H190" s="70">
        <v>2435</v>
      </c>
      <c r="I190" s="97">
        <f t="shared" si="22"/>
        <v>145276</v>
      </c>
      <c r="J190" s="70"/>
      <c r="K190" s="70" t="s">
        <v>29</v>
      </c>
      <c r="L190" s="70" t="s">
        <v>29</v>
      </c>
      <c r="M190" s="70" t="s">
        <v>29</v>
      </c>
      <c r="N190" s="70" t="s">
        <v>29</v>
      </c>
      <c r="O190" s="70" t="s">
        <v>29</v>
      </c>
      <c r="P190" s="70" t="s">
        <v>29</v>
      </c>
      <c r="Q190" s="70" t="s">
        <v>29</v>
      </c>
      <c r="R190" s="70" t="s">
        <v>29</v>
      </c>
    </row>
    <row r="191" spans="1:18" x14ac:dyDescent="0.2">
      <c r="A191" s="123"/>
      <c r="B191" s="70"/>
      <c r="C191" s="70"/>
      <c r="D191" s="70"/>
      <c r="E191" s="70"/>
      <c r="F191" s="70"/>
      <c r="G191" s="70"/>
      <c r="H191" s="70"/>
      <c r="I191" s="70"/>
      <c r="J191" s="70"/>
      <c r="K191" s="70"/>
      <c r="L191" s="70"/>
      <c r="M191" s="70"/>
      <c r="N191" s="70"/>
      <c r="O191" s="70"/>
      <c r="P191" s="70"/>
      <c r="Q191" s="70"/>
      <c r="R191" s="70"/>
    </row>
    <row r="192" spans="1:18" x14ac:dyDescent="0.2">
      <c r="A192" s="228" t="s">
        <v>26</v>
      </c>
      <c r="B192" s="70"/>
      <c r="C192" s="70"/>
      <c r="D192" s="70"/>
      <c r="E192" s="70"/>
      <c r="F192" s="70"/>
      <c r="G192" s="70"/>
      <c r="H192" s="70"/>
      <c r="I192" s="70"/>
      <c r="J192" s="70"/>
      <c r="K192" s="70"/>
      <c r="L192" s="70"/>
      <c r="M192" s="70"/>
      <c r="N192" s="70"/>
      <c r="O192" s="70"/>
      <c r="P192" s="70"/>
      <c r="Q192" s="70"/>
      <c r="R192" s="70"/>
    </row>
    <row r="193" spans="1:18" x14ac:dyDescent="0.2">
      <c r="A193" s="123">
        <v>1976</v>
      </c>
      <c r="B193" s="70">
        <v>23269</v>
      </c>
      <c r="C193" s="70">
        <v>30053</v>
      </c>
      <c r="D193" s="70">
        <v>18239</v>
      </c>
      <c r="E193" s="70">
        <v>9500</v>
      </c>
      <c r="F193" s="70">
        <v>14271</v>
      </c>
      <c r="G193" s="70">
        <v>4294</v>
      </c>
      <c r="H193" s="70" t="s">
        <v>29</v>
      </c>
      <c r="I193" s="70">
        <f t="shared" ref="I193:I224" si="24">SUM(B193:H193)</f>
        <v>99626</v>
      </c>
      <c r="J193" s="70"/>
      <c r="K193" s="70" t="s">
        <v>29</v>
      </c>
      <c r="L193" s="70">
        <v>16775</v>
      </c>
      <c r="M193" s="70">
        <v>16852</v>
      </c>
      <c r="N193" s="70">
        <v>7734</v>
      </c>
      <c r="O193" s="70">
        <v>23</v>
      </c>
      <c r="P193" s="70">
        <v>0</v>
      </c>
      <c r="Q193" s="70" t="s">
        <v>29</v>
      </c>
      <c r="R193" s="70">
        <f t="shared" ref="R193:R209" si="25">SUM(K193:Q193)</f>
        <v>41384</v>
      </c>
    </row>
    <row r="194" spans="1:18" x14ac:dyDescent="0.2">
      <c r="A194" s="123">
        <v>1977</v>
      </c>
      <c r="B194" s="70">
        <v>15385</v>
      </c>
      <c r="C194" s="70">
        <v>24660</v>
      </c>
      <c r="D194" s="70">
        <v>15958</v>
      </c>
      <c r="E194" s="70">
        <v>11148</v>
      </c>
      <c r="F194" s="70">
        <v>8278</v>
      </c>
      <c r="G194" s="70">
        <v>3246</v>
      </c>
      <c r="H194" s="70" t="s">
        <v>29</v>
      </c>
      <c r="I194" s="70">
        <f t="shared" si="24"/>
        <v>78675</v>
      </c>
      <c r="J194" s="70"/>
      <c r="K194" s="70" t="s">
        <v>29</v>
      </c>
      <c r="L194" s="70">
        <v>14</v>
      </c>
      <c r="M194" s="70">
        <v>110</v>
      </c>
      <c r="N194" s="70">
        <v>58</v>
      </c>
      <c r="O194" s="70">
        <v>10</v>
      </c>
      <c r="P194" s="70">
        <v>0</v>
      </c>
      <c r="Q194" s="70" t="s">
        <v>29</v>
      </c>
      <c r="R194" s="70">
        <f t="shared" si="25"/>
        <v>192</v>
      </c>
    </row>
    <row r="195" spans="1:18" x14ac:dyDescent="0.2">
      <c r="A195" s="123">
        <v>1978</v>
      </c>
      <c r="B195" s="70">
        <v>10600</v>
      </c>
      <c r="C195" s="70">
        <v>36146</v>
      </c>
      <c r="D195" s="70">
        <v>51010</v>
      </c>
      <c r="E195" s="70">
        <v>23440</v>
      </c>
      <c r="F195" s="70">
        <v>7189</v>
      </c>
      <c r="G195" s="70">
        <v>4457</v>
      </c>
      <c r="H195" s="70" t="s">
        <v>29</v>
      </c>
      <c r="I195" s="70">
        <f t="shared" si="24"/>
        <v>132842</v>
      </c>
      <c r="J195" s="70"/>
      <c r="K195" s="70">
        <v>37</v>
      </c>
      <c r="L195" s="70">
        <v>465</v>
      </c>
      <c r="M195" s="70">
        <v>2002</v>
      </c>
      <c r="N195" s="70">
        <v>555</v>
      </c>
      <c r="O195" s="70">
        <v>50</v>
      </c>
      <c r="P195" s="70">
        <v>133</v>
      </c>
      <c r="Q195" s="70" t="s">
        <v>29</v>
      </c>
      <c r="R195" s="70">
        <f t="shared" si="25"/>
        <v>3242</v>
      </c>
    </row>
    <row r="196" spans="1:18" x14ac:dyDescent="0.2">
      <c r="A196" s="123">
        <v>1979</v>
      </c>
      <c r="B196" s="70">
        <v>0</v>
      </c>
      <c r="C196" s="70">
        <v>24517</v>
      </c>
      <c r="D196" s="70">
        <v>10535</v>
      </c>
      <c r="E196" s="70">
        <v>12325</v>
      </c>
      <c r="F196" s="70">
        <v>4773</v>
      </c>
      <c r="G196" s="70">
        <v>1910</v>
      </c>
      <c r="H196" s="70" t="s">
        <v>29</v>
      </c>
      <c r="I196" s="70">
        <f t="shared" si="24"/>
        <v>54060</v>
      </c>
      <c r="J196" s="70"/>
      <c r="K196" s="70" t="s">
        <v>29</v>
      </c>
      <c r="L196" s="70">
        <v>395</v>
      </c>
      <c r="M196" s="70">
        <v>980</v>
      </c>
      <c r="N196" s="70">
        <v>427</v>
      </c>
      <c r="O196" s="70">
        <v>76</v>
      </c>
      <c r="P196" s="70">
        <v>8</v>
      </c>
      <c r="Q196" s="70" t="s">
        <v>29</v>
      </c>
      <c r="R196" s="70">
        <f t="shared" si="25"/>
        <v>1886</v>
      </c>
    </row>
    <row r="197" spans="1:18" x14ac:dyDescent="0.2">
      <c r="A197" s="123">
        <v>1980</v>
      </c>
      <c r="B197" s="70" t="s">
        <v>29</v>
      </c>
      <c r="C197" s="70">
        <v>32317</v>
      </c>
      <c r="D197" s="70" t="s">
        <v>29</v>
      </c>
      <c r="E197" s="70">
        <v>34172</v>
      </c>
      <c r="F197" s="70">
        <v>12395</v>
      </c>
      <c r="G197" s="70">
        <v>3640</v>
      </c>
      <c r="H197" s="70" t="s">
        <v>29</v>
      </c>
      <c r="I197" s="70">
        <f t="shared" si="24"/>
        <v>82524</v>
      </c>
      <c r="J197" s="70"/>
      <c r="K197" s="70" t="s">
        <v>29</v>
      </c>
      <c r="L197" s="70">
        <v>44</v>
      </c>
      <c r="M197" s="70" t="s">
        <v>29</v>
      </c>
      <c r="N197" s="70">
        <v>115</v>
      </c>
      <c r="O197" s="70">
        <v>199</v>
      </c>
      <c r="P197" s="70">
        <v>29</v>
      </c>
      <c r="Q197" s="70" t="s">
        <v>29</v>
      </c>
      <c r="R197" s="70">
        <f t="shared" si="25"/>
        <v>387</v>
      </c>
    </row>
    <row r="198" spans="1:18" x14ac:dyDescent="0.2">
      <c r="A198" s="123">
        <v>1981</v>
      </c>
      <c r="B198" s="70" t="s">
        <v>29</v>
      </c>
      <c r="C198" s="70">
        <v>53891</v>
      </c>
      <c r="D198" s="70">
        <v>4654</v>
      </c>
      <c r="E198" s="70">
        <v>25010</v>
      </c>
      <c r="F198" s="70">
        <v>5647</v>
      </c>
      <c r="G198" s="70">
        <v>793</v>
      </c>
      <c r="H198" s="70" t="s">
        <v>29</v>
      </c>
      <c r="I198" s="70">
        <f t="shared" si="24"/>
        <v>89995</v>
      </c>
      <c r="J198" s="70"/>
      <c r="K198" s="70" t="s">
        <v>29</v>
      </c>
      <c r="L198" s="70">
        <v>2</v>
      </c>
      <c r="M198" s="70">
        <v>1</v>
      </c>
      <c r="N198" s="70">
        <v>24</v>
      </c>
      <c r="O198" s="70">
        <v>148</v>
      </c>
      <c r="P198" s="70">
        <v>2</v>
      </c>
      <c r="Q198" s="70" t="s">
        <v>29</v>
      </c>
      <c r="R198" s="70">
        <f t="shared" si="25"/>
        <v>177</v>
      </c>
    </row>
    <row r="199" spans="1:18" x14ac:dyDescent="0.2">
      <c r="A199" s="123">
        <v>1982</v>
      </c>
      <c r="B199" s="70">
        <v>29199</v>
      </c>
      <c r="C199" s="70">
        <v>40888</v>
      </c>
      <c r="D199" s="70">
        <v>19686</v>
      </c>
      <c r="E199" s="70">
        <v>29902</v>
      </c>
      <c r="F199" s="70">
        <v>14340</v>
      </c>
      <c r="G199" s="70">
        <v>2663</v>
      </c>
      <c r="H199" s="70" t="s">
        <v>29</v>
      </c>
      <c r="I199" s="70">
        <f t="shared" si="24"/>
        <v>136678</v>
      </c>
      <c r="J199" s="70"/>
      <c r="K199" s="70">
        <v>104</v>
      </c>
      <c r="L199" s="70">
        <v>267</v>
      </c>
      <c r="M199" s="70">
        <v>99</v>
      </c>
      <c r="N199" s="70">
        <v>122</v>
      </c>
      <c r="O199" s="70">
        <v>99</v>
      </c>
      <c r="P199" s="70">
        <v>24</v>
      </c>
      <c r="Q199" s="70" t="s">
        <v>29</v>
      </c>
      <c r="R199" s="70">
        <f t="shared" si="25"/>
        <v>715</v>
      </c>
    </row>
    <row r="200" spans="1:18" x14ac:dyDescent="0.2">
      <c r="A200" s="123">
        <v>1983</v>
      </c>
      <c r="B200" s="70">
        <v>1424</v>
      </c>
      <c r="C200" s="70">
        <v>43216</v>
      </c>
      <c r="D200" s="70">
        <v>24628</v>
      </c>
      <c r="E200" s="70">
        <v>30282</v>
      </c>
      <c r="F200" s="70">
        <v>3469</v>
      </c>
      <c r="G200" s="70">
        <v>196</v>
      </c>
      <c r="H200" s="70" t="s">
        <v>29</v>
      </c>
      <c r="I200" s="70">
        <f t="shared" si="24"/>
        <v>103215</v>
      </c>
      <c r="J200" s="70"/>
      <c r="K200" s="70">
        <v>63</v>
      </c>
      <c r="L200" s="70">
        <v>179</v>
      </c>
      <c r="M200" s="70">
        <v>802</v>
      </c>
      <c r="N200" s="70">
        <v>188</v>
      </c>
      <c r="O200" s="70">
        <v>7</v>
      </c>
      <c r="P200" s="70">
        <v>30</v>
      </c>
      <c r="Q200" s="70" t="s">
        <v>29</v>
      </c>
      <c r="R200" s="70">
        <f t="shared" si="25"/>
        <v>1269</v>
      </c>
    </row>
    <row r="201" spans="1:18" x14ac:dyDescent="0.2">
      <c r="A201" s="123">
        <v>1984</v>
      </c>
      <c r="B201" s="70" t="s">
        <v>29</v>
      </c>
      <c r="C201" s="70">
        <v>16699</v>
      </c>
      <c r="D201" s="70">
        <v>26434</v>
      </c>
      <c r="E201" s="70">
        <v>6941</v>
      </c>
      <c r="F201" s="70">
        <v>3743</v>
      </c>
      <c r="G201" s="70">
        <v>175</v>
      </c>
      <c r="H201" s="70" t="s">
        <v>29</v>
      </c>
      <c r="I201" s="70">
        <f t="shared" si="24"/>
        <v>53992</v>
      </c>
      <c r="J201" s="70"/>
      <c r="K201" s="70" t="s">
        <v>29</v>
      </c>
      <c r="L201" s="70" t="s">
        <v>29</v>
      </c>
      <c r="M201" s="70">
        <v>3503</v>
      </c>
      <c r="N201" s="70">
        <v>856</v>
      </c>
      <c r="O201" s="70">
        <v>62</v>
      </c>
      <c r="P201" s="70">
        <v>0</v>
      </c>
      <c r="Q201" s="70" t="s">
        <v>29</v>
      </c>
      <c r="R201" s="70">
        <f t="shared" si="25"/>
        <v>4421</v>
      </c>
    </row>
    <row r="202" spans="1:18" x14ac:dyDescent="0.2">
      <c r="A202" s="123">
        <v>1985</v>
      </c>
      <c r="B202" s="70" t="s">
        <v>29</v>
      </c>
      <c r="C202" s="70">
        <v>20197</v>
      </c>
      <c r="D202" s="70">
        <v>8858</v>
      </c>
      <c r="E202" s="70">
        <v>4776</v>
      </c>
      <c r="F202" s="70">
        <v>895</v>
      </c>
      <c r="G202" s="70">
        <v>1911</v>
      </c>
      <c r="H202" s="70" t="s">
        <v>29</v>
      </c>
      <c r="I202" s="70">
        <f t="shared" si="24"/>
        <v>36637</v>
      </c>
      <c r="J202" s="70"/>
      <c r="K202" s="70" t="s">
        <v>29</v>
      </c>
      <c r="L202" s="70" t="s">
        <v>29</v>
      </c>
      <c r="M202" s="70">
        <v>75</v>
      </c>
      <c r="N202" s="70">
        <v>110</v>
      </c>
      <c r="O202" s="70">
        <v>8</v>
      </c>
      <c r="P202" s="70">
        <v>6</v>
      </c>
      <c r="Q202" s="70" t="s">
        <v>29</v>
      </c>
      <c r="R202" s="70">
        <f t="shared" si="25"/>
        <v>199</v>
      </c>
    </row>
    <row r="203" spans="1:18" x14ac:dyDescent="0.2">
      <c r="A203" s="123">
        <v>1986</v>
      </c>
      <c r="B203" s="70" t="s">
        <v>29</v>
      </c>
      <c r="C203" s="70">
        <v>93517</v>
      </c>
      <c r="D203" s="70">
        <v>56667</v>
      </c>
      <c r="E203" s="70">
        <v>38026</v>
      </c>
      <c r="F203" s="70">
        <v>10060</v>
      </c>
      <c r="G203" s="70">
        <v>1884</v>
      </c>
      <c r="H203" s="70" t="s">
        <v>29</v>
      </c>
      <c r="I203" s="70">
        <f t="shared" si="24"/>
        <v>200154</v>
      </c>
      <c r="J203" s="70"/>
      <c r="K203" s="70" t="s">
        <v>29</v>
      </c>
      <c r="L203" s="70" t="s">
        <v>29</v>
      </c>
      <c r="M203" s="70">
        <v>587</v>
      </c>
      <c r="N203" s="70">
        <v>589</v>
      </c>
      <c r="O203" s="70">
        <v>122</v>
      </c>
      <c r="P203" s="70">
        <v>1</v>
      </c>
      <c r="Q203" s="70" t="s">
        <v>29</v>
      </c>
      <c r="R203" s="70">
        <f t="shared" si="25"/>
        <v>1299</v>
      </c>
    </row>
    <row r="204" spans="1:18" x14ac:dyDescent="0.2">
      <c r="A204" s="123">
        <v>1987</v>
      </c>
      <c r="B204" s="70" t="s">
        <v>29</v>
      </c>
      <c r="C204" s="70">
        <v>34950</v>
      </c>
      <c r="D204" s="70">
        <v>22643</v>
      </c>
      <c r="E204" s="70">
        <v>24782</v>
      </c>
      <c r="F204" s="70">
        <v>6394</v>
      </c>
      <c r="G204" s="70">
        <v>2462</v>
      </c>
      <c r="H204" s="70" t="s">
        <v>29</v>
      </c>
      <c r="I204" s="70">
        <f t="shared" si="24"/>
        <v>91231</v>
      </c>
      <c r="J204" s="70"/>
      <c r="K204" s="70" t="s">
        <v>29</v>
      </c>
      <c r="L204" s="70" t="s">
        <v>29</v>
      </c>
      <c r="M204" s="70">
        <v>59</v>
      </c>
      <c r="N204" s="70">
        <v>51</v>
      </c>
      <c r="O204" s="70" t="s">
        <v>29</v>
      </c>
      <c r="P204" s="70">
        <v>8</v>
      </c>
      <c r="Q204" s="70" t="s">
        <v>29</v>
      </c>
      <c r="R204" s="70">
        <f t="shared" si="25"/>
        <v>118</v>
      </c>
    </row>
    <row r="205" spans="1:18" x14ac:dyDescent="0.2">
      <c r="A205" s="123">
        <v>1988</v>
      </c>
      <c r="B205" s="70" t="s">
        <v>29</v>
      </c>
      <c r="C205" s="70">
        <v>77845</v>
      </c>
      <c r="D205" s="70">
        <v>56377</v>
      </c>
      <c r="E205" s="70">
        <v>38210</v>
      </c>
      <c r="F205" s="70">
        <v>12582</v>
      </c>
      <c r="G205" s="70">
        <v>2804</v>
      </c>
      <c r="H205" s="70" t="s">
        <v>29</v>
      </c>
      <c r="I205" s="70">
        <f t="shared" si="24"/>
        <v>187818</v>
      </c>
      <c r="J205" s="70"/>
      <c r="K205" s="70" t="s">
        <v>29</v>
      </c>
      <c r="L205" s="70" t="s">
        <v>29</v>
      </c>
      <c r="M205" s="70">
        <v>331</v>
      </c>
      <c r="N205" s="70">
        <v>34</v>
      </c>
      <c r="O205" s="70">
        <v>35</v>
      </c>
      <c r="P205" s="70" t="s">
        <v>29</v>
      </c>
      <c r="Q205" s="70" t="s">
        <v>29</v>
      </c>
      <c r="R205" s="70">
        <f t="shared" si="25"/>
        <v>400</v>
      </c>
    </row>
    <row r="206" spans="1:18" x14ac:dyDescent="0.2">
      <c r="A206" s="123">
        <v>1989</v>
      </c>
      <c r="B206" s="70" t="s">
        <v>29</v>
      </c>
      <c r="C206" s="70">
        <v>47011</v>
      </c>
      <c r="D206" s="70">
        <v>25101</v>
      </c>
      <c r="E206" s="70">
        <v>22547</v>
      </c>
      <c r="F206" s="70">
        <v>10632</v>
      </c>
      <c r="G206" s="70">
        <v>2664</v>
      </c>
      <c r="H206" s="70" t="s">
        <v>29</v>
      </c>
      <c r="I206" s="70">
        <f t="shared" si="24"/>
        <v>107955</v>
      </c>
      <c r="J206" s="70"/>
      <c r="K206" s="70" t="s">
        <v>29</v>
      </c>
      <c r="L206" s="70" t="s">
        <v>29</v>
      </c>
      <c r="M206" s="70">
        <v>228</v>
      </c>
      <c r="N206" s="70">
        <v>169</v>
      </c>
      <c r="O206" s="70">
        <v>130</v>
      </c>
      <c r="P206" s="70">
        <v>11</v>
      </c>
      <c r="Q206" s="70" t="s">
        <v>29</v>
      </c>
      <c r="R206" s="70">
        <f t="shared" si="25"/>
        <v>538</v>
      </c>
    </row>
    <row r="207" spans="1:18" x14ac:dyDescent="0.2">
      <c r="A207" s="123">
        <v>1990</v>
      </c>
      <c r="B207" s="70" t="s">
        <v>29</v>
      </c>
      <c r="C207" s="70">
        <v>54098</v>
      </c>
      <c r="D207" s="70">
        <v>49907</v>
      </c>
      <c r="E207" s="70">
        <v>26396</v>
      </c>
      <c r="F207" s="70">
        <v>5386</v>
      </c>
      <c r="G207" s="70">
        <v>1285</v>
      </c>
      <c r="H207" s="70" t="s">
        <v>29</v>
      </c>
      <c r="I207" s="70">
        <f t="shared" si="24"/>
        <v>137072</v>
      </c>
      <c r="J207" s="70"/>
      <c r="K207" s="70" t="s">
        <v>29</v>
      </c>
      <c r="L207" s="70" t="s">
        <v>29</v>
      </c>
      <c r="M207" s="70">
        <v>3915</v>
      </c>
      <c r="N207" s="70">
        <v>1696</v>
      </c>
      <c r="O207" s="70">
        <v>69</v>
      </c>
      <c r="P207" s="70">
        <v>18</v>
      </c>
      <c r="Q207" s="70" t="s">
        <v>29</v>
      </c>
      <c r="R207" s="70">
        <f t="shared" si="25"/>
        <v>5698</v>
      </c>
    </row>
    <row r="208" spans="1:18" x14ac:dyDescent="0.2">
      <c r="A208" s="123">
        <v>1991</v>
      </c>
      <c r="B208" s="70" t="s">
        <v>29</v>
      </c>
      <c r="C208" s="70">
        <v>21800</v>
      </c>
      <c r="D208" s="70">
        <v>34900</v>
      </c>
      <c r="E208" s="70">
        <v>19100</v>
      </c>
      <c r="F208" s="70">
        <v>3000</v>
      </c>
      <c r="G208" s="70">
        <v>1000</v>
      </c>
      <c r="H208" s="70" t="s">
        <v>29</v>
      </c>
      <c r="I208" s="70">
        <f t="shared" si="24"/>
        <v>79800</v>
      </c>
      <c r="J208" s="70"/>
      <c r="K208" s="70" t="s">
        <v>29</v>
      </c>
      <c r="L208" s="70" t="s">
        <v>29</v>
      </c>
      <c r="M208" s="70">
        <v>17100</v>
      </c>
      <c r="N208" s="70">
        <v>4300</v>
      </c>
      <c r="O208" s="70">
        <v>100</v>
      </c>
      <c r="P208" s="70" t="s">
        <v>29</v>
      </c>
      <c r="Q208" s="70" t="s">
        <v>29</v>
      </c>
      <c r="R208" s="70">
        <f t="shared" si="25"/>
        <v>21500</v>
      </c>
    </row>
    <row r="209" spans="1:18" x14ac:dyDescent="0.2">
      <c r="A209" s="123">
        <v>1992</v>
      </c>
      <c r="B209" s="70" t="s">
        <v>29</v>
      </c>
      <c r="C209" s="70">
        <v>34600</v>
      </c>
      <c r="D209" s="70">
        <v>14400</v>
      </c>
      <c r="E209" s="70">
        <v>10300</v>
      </c>
      <c r="F209" s="70">
        <v>3600</v>
      </c>
      <c r="G209" s="70">
        <v>1600</v>
      </c>
      <c r="H209" s="70" t="s">
        <v>29</v>
      </c>
      <c r="I209" s="70">
        <f t="shared" si="24"/>
        <v>64500</v>
      </c>
      <c r="J209" s="70"/>
      <c r="K209" s="70" t="s">
        <v>29</v>
      </c>
      <c r="L209" s="70" t="s">
        <v>29</v>
      </c>
      <c r="M209" s="70">
        <v>1500</v>
      </c>
      <c r="N209" s="70">
        <v>500</v>
      </c>
      <c r="O209" s="70">
        <v>50</v>
      </c>
      <c r="P209" s="70" t="s">
        <v>29</v>
      </c>
      <c r="Q209" s="70" t="s">
        <v>29</v>
      </c>
      <c r="R209" s="70">
        <f t="shared" si="25"/>
        <v>2050</v>
      </c>
    </row>
    <row r="210" spans="1:18" x14ac:dyDescent="0.2">
      <c r="A210" s="123">
        <v>1993</v>
      </c>
      <c r="B210" s="70" t="s">
        <v>29</v>
      </c>
      <c r="C210" s="70">
        <v>49867</v>
      </c>
      <c r="D210" s="70">
        <v>25526</v>
      </c>
      <c r="E210" s="70">
        <v>20255</v>
      </c>
      <c r="F210" s="70">
        <v>8124</v>
      </c>
      <c r="G210" s="70">
        <v>891</v>
      </c>
      <c r="H210" s="70" t="s">
        <v>29</v>
      </c>
      <c r="I210" s="70">
        <f t="shared" si="24"/>
        <v>104663</v>
      </c>
      <c r="J210" s="70"/>
      <c r="K210" s="70" t="s">
        <v>29</v>
      </c>
      <c r="L210" s="70" t="s">
        <v>29</v>
      </c>
      <c r="M210" s="70" t="s">
        <v>29</v>
      </c>
      <c r="N210" s="70" t="s">
        <v>29</v>
      </c>
      <c r="O210" s="70" t="s">
        <v>29</v>
      </c>
      <c r="P210" s="70" t="s">
        <v>29</v>
      </c>
      <c r="Q210" s="70" t="s">
        <v>29</v>
      </c>
      <c r="R210" s="70" t="s">
        <v>29</v>
      </c>
    </row>
    <row r="211" spans="1:18" x14ac:dyDescent="0.2">
      <c r="A211" s="123">
        <v>1994</v>
      </c>
      <c r="B211" s="70" t="s">
        <v>29</v>
      </c>
      <c r="C211" s="70">
        <v>24331</v>
      </c>
      <c r="D211" s="70">
        <v>11614</v>
      </c>
      <c r="E211" s="70">
        <v>32212</v>
      </c>
      <c r="F211" s="70">
        <v>1107</v>
      </c>
      <c r="G211" s="70">
        <v>1244</v>
      </c>
      <c r="H211" s="70" t="s">
        <v>29</v>
      </c>
      <c r="I211" s="70">
        <f t="shared" si="24"/>
        <v>70508</v>
      </c>
      <c r="J211" s="70"/>
      <c r="K211" s="70" t="s">
        <v>29</v>
      </c>
      <c r="L211" s="70" t="s">
        <v>29</v>
      </c>
      <c r="M211" s="70" t="s">
        <v>29</v>
      </c>
      <c r="N211" s="70" t="s">
        <v>29</v>
      </c>
      <c r="O211" s="70" t="s">
        <v>29</v>
      </c>
      <c r="P211" s="70" t="s">
        <v>29</v>
      </c>
      <c r="Q211" s="70" t="s">
        <v>29</v>
      </c>
      <c r="R211" s="70" t="s">
        <v>29</v>
      </c>
    </row>
    <row r="212" spans="1:18" x14ac:dyDescent="0.2">
      <c r="A212" s="123">
        <v>1995</v>
      </c>
      <c r="B212" s="70" t="s">
        <v>29</v>
      </c>
      <c r="C212" s="70">
        <v>128431</v>
      </c>
      <c r="D212" s="70">
        <v>64203</v>
      </c>
      <c r="E212" s="70">
        <v>105365</v>
      </c>
      <c r="F212" s="70">
        <v>13850</v>
      </c>
      <c r="G212" s="70">
        <v>1263</v>
      </c>
      <c r="H212" s="70" t="s">
        <v>29</v>
      </c>
      <c r="I212" s="70">
        <f t="shared" si="24"/>
        <v>313112</v>
      </c>
      <c r="J212" s="70"/>
      <c r="K212" s="70" t="s">
        <v>29</v>
      </c>
      <c r="L212" s="70" t="s">
        <v>29</v>
      </c>
      <c r="M212" s="70" t="s">
        <v>29</v>
      </c>
      <c r="N212" s="70" t="s">
        <v>29</v>
      </c>
      <c r="O212" s="70" t="s">
        <v>29</v>
      </c>
      <c r="P212" s="70" t="s">
        <v>29</v>
      </c>
      <c r="Q212" s="70" t="s">
        <v>29</v>
      </c>
      <c r="R212" s="70" t="s">
        <v>29</v>
      </c>
    </row>
    <row r="213" spans="1:18" x14ac:dyDescent="0.2">
      <c r="A213" s="123">
        <v>1996</v>
      </c>
      <c r="B213" s="70" t="s">
        <v>29</v>
      </c>
      <c r="C213" s="70">
        <v>75097</v>
      </c>
      <c r="D213" s="70">
        <v>52296</v>
      </c>
      <c r="E213" s="70">
        <v>51871</v>
      </c>
      <c r="F213" s="70">
        <v>2159</v>
      </c>
      <c r="G213" s="70">
        <v>44</v>
      </c>
      <c r="H213" s="70" t="s">
        <v>29</v>
      </c>
      <c r="I213" s="70">
        <f t="shared" si="24"/>
        <v>181467</v>
      </c>
      <c r="J213" s="70"/>
      <c r="K213" s="70" t="s">
        <v>29</v>
      </c>
      <c r="L213" s="70" t="s">
        <v>29</v>
      </c>
      <c r="M213" s="70" t="s">
        <v>29</v>
      </c>
      <c r="N213" s="70" t="s">
        <v>29</v>
      </c>
      <c r="O213" s="70" t="s">
        <v>29</v>
      </c>
      <c r="P213" s="70" t="s">
        <v>29</v>
      </c>
      <c r="Q213" s="70" t="s">
        <v>29</v>
      </c>
      <c r="R213" s="70" t="s">
        <v>29</v>
      </c>
    </row>
    <row r="214" spans="1:18" x14ac:dyDescent="0.2">
      <c r="A214" s="123">
        <v>1997</v>
      </c>
      <c r="B214" s="70">
        <v>11891</v>
      </c>
      <c r="C214" s="70">
        <v>86710</v>
      </c>
      <c r="D214" s="70">
        <v>60351</v>
      </c>
      <c r="E214" s="70">
        <v>69710</v>
      </c>
      <c r="F214" s="70" t="s">
        <v>29</v>
      </c>
      <c r="G214" s="70">
        <v>69</v>
      </c>
      <c r="H214" s="70" t="s">
        <v>29</v>
      </c>
      <c r="I214" s="70">
        <f t="shared" si="24"/>
        <v>228731</v>
      </c>
      <c r="J214" s="70"/>
      <c r="K214" s="70" t="s">
        <v>29</v>
      </c>
      <c r="L214" s="70" t="s">
        <v>29</v>
      </c>
      <c r="M214" s="70" t="s">
        <v>29</v>
      </c>
      <c r="N214" s="70" t="s">
        <v>29</v>
      </c>
      <c r="O214" s="70" t="s">
        <v>29</v>
      </c>
      <c r="P214" s="70" t="s">
        <v>29</v>
      </c>
      <c r="Q214" s="70" t="s">
        <v>29</v>
      </c>
      <c r="R214" s="70" t="s">
        <v>29</v>
      </c>
    </row>
    <row r="215" spans="1:18" x14ac:dyDescent="0.2">
      <c r="A215" s="123">
        <v>1998</v>
      </c>
      <c r="B215" s="70" t="s">
        <v>29</v>
      </c>
      <c r="C215" s="70">
        <v>61051</v>
      </c>
      <c r="D215" s="70">
        <v>20589</v>
      </c>
      <c r="E215" s="70">
        <v>12689</v>
      </c>
      <c r="F215" s="70">
        <v>593</v>
      </c>
      <c r="G215" s="70">
        <v>511</v>
      </c>
      <c r="H215" s="70" t="s">
        <v>29</v>
      </c>
      <c r="I215" s="70">
        <f t="shared" si="24"/>
        <v>95433</v>
      </c>
      <c r="J215" s="70"/>
      <c r="K215" s="70" t="s">
        <v>29</v>
      </c>
      <c r="L215" s="70" t="s">
        <v>29</v>
      </c>
      <c r="M215" s="70" t="s">
        <v>29</v>
      </c>
      <c r="N215" s="70" t="s">
        <v>29</v>
      </c>
      <c r="O215" s="70" t="s">
        <v>29</v>
      </c>
      <c r="P215" s="70" t="s">
        <v>29</v>
      </c>
      <c r="Q215" s="70" t="s">
        <v>29</v>
      </c>
      <c r="R215" s="70" t="s">
        <v>29</v>
      </c>
    </row>
    <row r="216" spans="1:18" x14ac:dyDescent="0.2">
      <c r="A216" s="123">
        <v>1999</v>
      </c>
      <c r="B216" s="70">
        <v>2</v>
      </c>
      <c r="C216" s="70">
        <v>13788</v>
      </c>
      <c r="D216" s="70">
        <v>54538</v>
      </c>
      <c r="E216" s="70">
        <v>8840</v>
      </c>
      <c r="F216" s="70">
        <v>480</v>
      </c>
      <c r="G216" s="70">
        <v>1061</v>
      </c>
      <c r="H216" s="70" t="s">
        <v>29</v>
      </c>
      <c r="I216" s="70">
        <f t="shared" si="24"/>
        <v>78709</v>
      </c>
      <c r="J216" s="70"/>
      <c r="K216" s="70" t="s">
        <v>29</v>
      </c>
      <c r="L216" s="70" t="s">
        <v>29</v>
      </c>
      <c r="M216" s="70" t="s">
        <v>29</v>
      </c>
      <c r="N216" s="70" t="s">
        <v>29</v>
      </c>
      <c r="O216" s="70" t="s">
        <v>29</v>
      </c>
      <c r="P216" s="70" t="s">
        <v>29</v>
      </c>
      <c r="Q216" s="70" t="s">
        <v>29</v>
      </c>
      <c r="R216" s="70" t="s">
        <v>29</v>
      </c>
    </row>
    <row r="217" spans="1:18" x14ac:dyDescent="0.2">
      <c r="A217" s="123">
        <v>2000</v>
      </c>
      <c r="B217" s="70" t="s">
        <v>29</v>
      </c>
      <c r="C217" s="70">
        <v>122287</v>
      </c>
      <c r="D217" s="70">
        <v>62329</v>
      </c>
      <c r="E217" s="70">
        <v>11278</v>
      </c>
      <c r="F217" s="70">
        <v>1290</v>
      </c>
      <c r="G217" s="70" t="s">
        <v>29</v>
      </c>
      <c r="H217" s="70" t="s">
        <v>29</v>
      </c>
      <c r="I217" s="70">
        <f t="shared" si="24"/>
        <v>197184</v>
      </c>
      <c r="J217" s="70"/>
      <c r="K217" s="70" t="s">
        <v>29</v>
      </c>
      <c r="L217" s="70" t="s">
        <v>29</v>
      </c>
      <c r="M217" s="70" t="s">
        <v>29</v>
      </c>
      <c r="N217" s="70" t="s">
        <v>29</v>
      </c>
      <c r="O217" s="70" t="s">
        <v>29</v>
      </c>
      <c r="P217" s="70" t="s">
        <v>29</v>
      </c>
      <c r="Q217" s="70" t="s">
        <v>29</v>
      </c>
      <c r="R217" s="70" t="s">
        <v>29</v>
      </c>
    </row>
    <row r="218" spans="1:18" x14ac:dyDescent="0.2">
      <c r="A218" s="123">
        <v>2001</v>
      </c>
      <c r="B218" s="70" t="s">
        <v>29</v>
      </c>
      <c r="C218" s="70">
        <v>30037</v>
      </c>
      <c r="D218" s="70">
        <v>3375</v>
      </c>
      <c r="E218" s="70">
        <v>2383</v>
      </c>
      <c r="F218" s="70">
        <v>116</v>
      </c>
      <c r="G218" s="70">
        <v>29</v>
      </c>
      <c r="H218" s="70" t="s">
        <v>29</v>
      </c>
      <c r="I218" s="70">
        <f t="shared" si="24"/>
        <v>35940</v>
      </c>
      <c r="J218" s="70"/>
      <c r="K218" s="70" t="s">
        <v>29</v>
      </c>
      <c r="L218" s="70" t="s">
        <v>29</v>
      </c>
      <c r="M218" s="70" t="s">
        <v>29</v>
      </c>
      <c r="N218" s="70" t="s">
        <v>29</v>
      </c>
      <c r="O218" s="70" t="s">
        <v>29</v>
      </c>
      <c r="P218" s="70" t="s">
        <v>29</v>
      </c>
      <c r="Q218" s="70" t="s">
        <v>29</v>
      </c>
      <c r="R218" s="70" t="s">
        <v>29</v>
      </c>
    </row>
    <row r="219" spans="1:18" x14ac:dyDescent="0.2">
      <c r="A219" s="123">
        <v>2002</v>
      </c>
      <c r="B219" s="70" t="s">
        <v>29</v>
      </c>
      <c r="C219" s="70">
        <v>21551</v>
      </c>
      <c r="D219" s="70">
        <v>24441</v>
      </c>
      <c r="E219" s="70">
        <v>21328</v>
      </c>
      <c r="F219" s="70">
        <v>2524</v>
      </c>
      <c r="G219" s="70">
        <v>136</v>
      </c>
      <c r="H219" s="70" t="s">
        <v>29</v>
      </c>
      <c r="I219" s="70">
        <f t="shared" si="24"/>
        <v>69980</v>
      </c>
      <c r="J219" s="70"/>
      <c r="K219" s="70" t="s">
        <v>29</v>
      </c>
      <c r="L219" s="70" t="s">
        <v>29</v>
      </c>
      <c r="M219" s="70" t="s">
        <v>29</v>
      </c>
      <c r="N219" s="70" t="s">
        <v>29</v>
      </c>
      <c r="O219" s="70" t="s">
        <v>29</v>
      </c>
      <c r="P219" s="70" t="s">
        <v>29</v>
      </c>
      <c r="Q219" s="70" t="s">
        <v>29</v>
      </c>
      <c r="R219" s="70" t="s">
        <v>29</v>
      </c>
    </row>
    <row r="220" spans="1:18" x14ac:dyDescent="0.2">
      <c r="A220" s="123">
        <v>2003</v>
      </c>
      <c r="B220" s="70" t="s">
        <v>29</v>
      </c>
      <c r="C220" s="70">
        <v>10954</v>
      </c>
      <c r="D220" s="70">
        <v>9517</v>
      </c>
      <c r="E220" s="70">
        <v>13728</v>
      </c>
      <c r="F220" s="70">
        <v>823</v>
      </c>
      <c r="G220" s="70">
        <v>1077</v>
      </c>
      <c r="H220" s="70" t="s">
        <v>29</v>
      </c>
      <c r="I220" s="70">
        <f t="shared" si="24"/>
        <v>36099</v>
      </c>
      <c r="J220" s="70"/>
      <c r="K220" s="70" t="s">
        <v>29</v>
      </c>
      <c r="L220" s="70" t="s">
        <v>29</v>
      </c>
      <c r="M220" s="70" t="s">
        <v>29</v>
      </c>
      <c r="N220" s="70" t="s">
        <v>29</v>
      </c>
      <c r="O220" s="70" t="s">
        <v>29</v>
      </c>
      <c r="P220" s="70" t="s">
        <v>29</v>
      </c>
      <c r="Q220" s="70" t="s">
        <v>29</v>
      </c>
      <c r="R220" s="70" t="s">
        <v>29</v>
      </c>
    </row>
    <row r="221" spans="1:18" x14ac:dyDescent="0.2">
      <c r="A221" s="123">
        <v>2004</v>
      </c>
      <c r="B221" s="70" t="s">
        <v>29</v>
      </c>
      <c r="C221" s="70">
        <v>22420</v>
      </c>
      <c r="D221" s="70">
        <v>26772</v>
      </c>
      <c r="E221" s="70">
        <v>14033</v>
      </c>
      <c r="F221" s="70">
        <v>1195</v>
      </c>
      <c r="G221" s="70">
        <v>287</v>
      </c>
      <c r="H221" s="70" t="s">
        <v>29</v>
      </c>
      <c r="I221" s="70">
        <f t="shared" si="24"/>
        <v>64707</v>
      </c>
      <c r="J221" s="70"/>
      <c r="K221" s="70" t="s">
        <v>29</v>
      </c>
      <c r="L221" s="70" t="s">
        <v>29</v>
      </c>
      <c r="M221" s="70" t="s">
        <v>29</v>
      </c>
      <c r="N221" s="70" t="s">
        <v>29</v>
      </c>
      <c r="O221" s="70" t="s">
        <v>29</v>
      </c>
      <c r="P221" s="70" t="s">
        <v>29</v>
      </c>
      <c r="Q221" s="70" t="s">
        <v>29</v>
      </c>
      <c r="R221" s="70" t="s">
        <v>29</v>
      </c>
    </row>
    <row r="222" spans="1:18" x14ac:dyDescent="0.2">
      <c r="A222" s="123">
        <v>2005</v>
      </c>
      <c r="B222" s="70" t="s">
        <v>29</v>
      </c>
      <c r="C222" s="70">
        <v>76855</v>
      </c>
      <c r="D222" s="70">
        <v>5001</v>
      </c>
      <c r="E222" s="70">
        <v>29105</v>
      </c>
      <c r="F222" s="70">
        <v>5578</v>
      </c>
      <c r="G222" s="70">
        <v>869</v>
      </c>
      <c r="H222" s="70" t="s">
        <v>29</v>
      </c>
      <c r="I222" s="70">
        <f t="shared" si="24"/>
        <v>117408</v>
      </c>
      <c r="J222" s="70"/>
      <c r="K222" s="70" t="s">
        <v>29</v>
      </c>
      <c r="L222" s="70" t="s">
        <v>29</v>
      </c>
      <c r="M222" s="70" t="s">
        <v>29</v>
      </c>
      <c r="N222" s="70" t="s">
        <v>29</v>
      </c>
      <c r="O222" s="70" t="s">
        <v>29</v>
      </c>
      <c r="P222" s="70" t="s">
        <v>29</v>
      </c>
      <c r="Q222" s="70" t="s">
        <v>29</v>
      </c>
      <c r="R222" s="70" t="s">
        <v>29</v>
      </c>
    </row>
    <row r="223" spans="1:18" x14ac:dyDescent="0.2">
      <c r="A223" s="123">
        <v>2006</v>
      </c>
      <c r="B223" s="70" t="s">
        <v>29</v>
      </c>
      <c r="C223" s="70">
        <v>9911</v>
      </c>
      <c r="D223" s="70">
        <v>391</v>
      </c>
      <c r="E223" s="70">
        <v>346</v>
      </c>
      <c r="F223" s="70">
        <v>248</v>
      </c>
      <c r="G223" s="70">
        <v>308</v>
      </c>
      <c r="H223" s="70" t="s">
        <v>29</v>
      </c>
      <c r="I223" s="70">
        <f t="shared" si="24"/>
        <v>11204</v>
      </c>
      <c r="J223" s="70"/>
      <c r="K223" s="70" t="s">
        <v>29</v>
      </c>
      <c r="L223" s="70" t="s">
        <v>29</v>
      </c>
      <c r="M223" s="70" t="s">
        <v>29</v>
      </c>
      <c r="N223" s="70" t="s">
        <v>29</v>
      </c>
      <c r="O223" s="70" t="s">
        <v>29</v>
      </c>
      <c r="P223" s="70" t="s">
        <v>29</v>
      </c>
      <c r="Q223" s="70" t="s">
        <v>29</v>
      </c>
      <c r="R223" s="70" t="s">
        <v>29</v>
      </c>
    </row>
    <row r="224" spans="1:18" s="374" customFormat="1" x14ac:dyDescent="0.2">
      <c r="A224" s="122">
        <v>2007</v>
      </c>
      <c r="B224" s="97" t="s">
        <v>29</v>
      </c>
      <c r="C224" s="97">
        <v>11202</v>
      </c>
      <c r="D224" s="97">
        <v>156</v>
      </c>
      <c r="E224" s="97">
        <v>1930</v>
      </c>
      <c r="F224" s="97">
        <v>605</v>
      </c>
      <c r="G224" s="97">
        <v>116</v>
      </c>
      <c r="H224" s="97" t="s">
        <v>29</v>
      </c>
      <c r="I224" s="97">
        <f t="shared" si="24"/>
        <v>14009</v>
      </c>
      <c r="J224" s="97"/>
      <c r="K224" s="97" t="s">
        <v>29</v>
      </c>
      <c r="L224" s="97" t="s">
        <v>29</v>
      </c>
      <c r="M224" s="97" t="s">
        <v>29</v>
      </c>
      <c r="N224" s="97" t="s">
        <v>29</v>
      </c>
      <c r="O224" s="97" t="s">
        <v>29</v>
      </c>
      <c r="P224" s="97" t="s">
        <v>29</v>
      </c>
      <c r="Q224" s="97" t="s">
        <v>29</v>
      </c>
      <c r="R224" s="97" t="s">
        <v>29</v>
      </c>
    </row>
    <row r="225" spans="1:18" s="374" customFormat="1" x14ac:dyDescent="0.2">
      <c r="A225" s="122">
        <v>2008</v>
      </c>
      <c r="B225" s="97" t="s">
        <v>29</v>
      </c>
      <c r="C225" s="97" t="s">
        <v>29</v>
      </c>
      <c r="D225" s="97" t="s">
        <v>29</v>
      </c>
      <c r="E225" s="97" t="s">
        <v>29</v>
      </c>
      <c r="F225" s="97" t="s">
        <v>29</v>
      </c>
      <c r="G225" s="97" t="s">
        <v>29</v>
      </c>
      <c r="H225" s="97" t="s">
        <v>29</v>
      </c>
      <c r="I225" s="97" t="s">
        <v>29</v>
      </c>
      <c r="J225" s="97"/>
      <c r="K225" s="97" t="s">
        <v>29</v>
      </c>
      <c r="L225" s="97" t="s">
        <v>29</v>
      </c>
      <c r="M225" s="97" t="s">
        <v>29</v>
      </c>
      <c r="N225" s="97" t="s">
        <v>29</v>
      </c>
      <c r="O225" s="97" t="s">
        <v>29</v>
      </c>
      <c r="P225" s="97" t="s">
        <v>29</v>
      </c>
      <c r="Q225" s="97" t="s">
        <v>29</v>
      </c>
      <c r="R225" s="97" t="s">
        <v>29</v>
      </c>
    </row>
    <row r="226" spans="1:18" s="374" customFormat="1" x14ac:dyDescent="0.2">
      <c r="A226" s="122">
        <v>2009</v>
      </c>
      <c r="B226" s="97" t="s">
        <v>29</v>
      </c>
      <c r="C226" s="97" t="s">
        <v>29</v>
      </c>
      <c r="D226" s="97" t="s">
        <v>29</v>
      </c>
      <c r="E226" s="97" t="s">
        <v>29</v>
      </c>
      <c r="F226" s="97" t="s">
        <v>29</v>
      </c>
      <c r="G226" s="97" t="s">
        <v>29</v>
      </c>
      <c r="H226" s="97" t="s">
        <v>29</v>
      </c>
      <c r="I226" s="97" t="s">
        <v>29</v>
      </c>
      <c r="J226" s="97"/>
      <c r="K226" s="97" t="s">
        <v>29</v>
      </c>
      <c r="L226" s="97" t="s">
        <v>29</v>
      </c>
      <c r="M226" s="97" t="s">
        <v>29</v>
      </c>
      <c r="N226" s="97" t="s">
        <v>29</v>
      </c>
      <c r="O226" s="97" t="s">
        <v>29</v>
      </c>
      <c r="P226" s="97" t="s">
        <v>29</v>
      </c>
      <c r="Q226" s="97" t="s">
        <v>29</v>
      </c>
      <c r="R226" s="97" t="s">
        <v>29</v>
      </c>
    </row>
    <row r="227" spans="1:18" s="374" customFormat="1" x14ac:dyDescent="0.2">
      <c r="A227" s="122">
        <v>2010</v>
      </c>
      <c r="B227" s="97" t="s">
        <v>29</v>
      </c>
      <c r="C227" s="97" t="s">
        <v>29</v>
      </c>
      <c r="D227" s="97" t="s">
        <v>29</v>
      </c>
      <c r="E227" s="97">
        <v>1430</v>
      </c>
      <c r="F227" s="97" t="s">
        <v>29</v>
      </c>
      <c r="G227" s="97" t="s">
        <v>29</v>
      </c>
      <c r="H227" s="97" t="s">
        <v>29</v>
      </c>
      <c r="I227" s="97">
        <f t="shared" ref="I227:I237" si="26">SUM(B227:H227)</f>
        <v>1430</v>
      </c>
      <c r="J227" s="97"/>
      <c r="K227" s="97" t="s">
        <v>29</v>
      </c>
      <c r="L227" s="97" t="s">
        <v>29</v>
      </c>
      <c r="M227" s="97" t="s">
        <v>29</v>
      </c>
      <c r="N227" s="97" t="s">
        <v>29</v>
      </c>
      <c r="O227" s="97" t="s">
        <v>29</v>
      </c>
      <c r="P227" s="97" t="s">
        <v>29</v>
      </c>
      <c r="Q227" s="97" t="s">
        <v>29</v>
      </c>
      <c r="R227" s="97" t="s">
        <v>29</v>
      </c>
    </row>
    <row r="228" spans="1:18" s="374" customFormat="1" x14ac:dyDescent="0.2">
      <c r="A228" s="122">
        <v>2011</v>
      </c>
      <c r="B228" s="97" t="s">
        <v>29</v>
      </c>
      <c r="C228" s="97">
        <v>3979</v>
      </c>
      <c r="D228" s="97">
        <v>1359</v>
      </c>
      <c r="E228" s="97">
        <v>695</v>
      </c>
      <c r="F228" s="97">
        <v>333</v>
      </c>
      <c r="G228" s="97">
        <v>48</v>
      </c>
      <c r="H228" s="97" t="s">
        <v>29</v>
      </c>
      <c r="I228" s="97">
        <f t="shared" si="26"/>
        <v>6414</v>
      </c>
      <c r="J228" s="97"/>
      <c r="K228" s="97" t="s">
        <v>29</v>
      </c>
      <c r="L228" s="97" t="s">
        <v>29</v>
      </c>
      <c r="M228" s="97" t="s">
        <v>29</v>
      </c>
      <c r="N228" s="97" t="s">
        <v>29</v>
      </c>
      <c r="O228" s="97" t="s">
        <v>29</v>
      </c>
      <c r="P228" s="97" t="s">
        <v>29</v>
      </c>
      <c r="Q228" s="97" t="s">
        <v>29</v>
      </c>
      <c r="R228" s="97" t="s">
        <v>29</v>
      </c>
    </row>
    <row r="229" spans="1:18" s="374" customFormat="1" x14ac:dyDescent="0.2">
      <c r="A229" s="122">
        <v>2012</v>
      </c>
      <c r="B229" s="97" t="s">
        <v>29</v>
      </c>
      <c r="C229" s="97">
        <v>24852</v>
      </c>
      <c r="D229" s="97">
        <v>9295</v>
      </c>
      <c r="E229" s="97">
        <v>16926</v>
      </c>
      <c r="F229" s="97">
        <v>1670</v>
      </c>
      <c r="G229" s="97">
        <v>229</v>
      </c>
      <c r="H229" s="97" t="s">
        <v>29</v>
      </c>
      <c r="I229" s="97">
        <f t="shared" si="26"/>
        <v>52972</v>
      </c>
      <c r="J229" s="97"/>
      <c r="K229" s="97" t="s">
        <v>29</v>
      </c>
      <c r="L229" s="97" t="s">
        <v>29</v>
      </c>
      <c r="M229" s="97" t="s">
        <v>29</v>
      </c>
      <c r="N229" s="97" t="s">
        <v>29</v>
      </c>
      <c r="O229" s="97" t="s">
        <v>29</v>
      </c>
      <c r="P229" s="97" t="s">
        <v>29</v>
      </c>
      <c r="Q229" s="97" t="s">
        <v>29</v>
      </c>
      <c r="R229" s="97" t="s">
        <v>29</v>
      </c>
    </row>
    <row r="230" spans="1:18" s="374" customFormat="1" x14ac:dyDescent="0.2">
      <c r="A230" s="122">
        <v>2013</v>
      </c>
      <c r="B230" s="97" t="s">
        <v>29</v>
      </c>
      <c r="C230" s="97">
        <v>14111</v>
      </c>
      <c r="D230" s="97">
        <v>10003</v>
      </c>
      <c r="E230" s="97">
        <v>2900</v>
      </c>
      <c r="F230" s="97">
        <v>514</v>
      </c>
      <c r="G230" s="97">
        <v>109</v>
      </c>
      <c r="H230" s="97" t="s">
        <v>29</v>
      </c>
      <c r="I230" s="97">
        <f t="shared" si="26"/>
        <v>27637</v>
      </c>
      <c r="J230" s="97"/>
      <c r="K230" s="97" t="s">
        <v>29</v>
      </c>
      <c r="L230" s="97" t="s">
        <v>29</v>
      </c>
      <c r="M230" s="97" t="s">
        <v>29</v>
      </c>
      <c r="N230" s="97" t="s">
        <v>29</v>
      </c>
      <c r="O230" s="97" t="s">
        <v>29</v>
      </c>
      <c r="P230" s="97" t="s">
        <v>29</v>
      </c>
      <c r="Q230" s="97" t="s">
        <v>29</v>
      </c>
      <c r="R230" s="97" t="s">
        <v>29</v>
      </c>
    </row>
    <row r="231" spans="1:18" s="374" customFormat="1" x14ac:dyDescent="0.2">
      <c r="A231" s="122">
        <v>2014</v>
      </c>
      <c r="B231" s="97" t="s">
        <v>29</v>
      </c>
      <c r="C231" s="97">
        <v>4341</v>
      </c>
      <c r="D231" s="97">
        <v>1538</v>
      </c>
      <c r="E231" s="97">
        <v>2011</v>
      </c>
      <c r="F231" s="97">
        <v>418</v>
      </c>
      <c r="G231" s="97" t="s">
        <v>29</v>
      </c>
      <c r="H231" s="97" t="s">
        <v>29</v>
      </c>
      <c r="I231" s="97">
        <f t="shared" si="26"/>
        <v>8308</v>
      </c>
      <c r="J231" s="97"/>
      <c r="K231" s="97" t="s">
        <v>29</v>
      </c>
      <c r="L231" s="97" t="s">
        <v>29</v>
      </c>
      <c r="M231" s="97" t="s">
        <v>29</v>
      </c>
      <c r="N231" s="97" t="s">
        <v>29</v>
      </c>
      <c r="O231" s="97" t="s">
        <v>29</v>
      </c>
      <c r="P231" s="97" t="s">
        <v>29</v>
      </c>
      <c r="Q231" s="97" t="s">
        <v>29</v>
      </c>
      <c r="R231" s="97" t="s">
        <v>29</v>
      </c>
    </row>
    <row r="232" spans="1:18" s="374" customFormat="1" x14ac:dyDescent="0.2">
      <c r="A232" s="122">
        <v>2015</v>
      </c>
      <c r="B232" s="97" t="s">
        <v>29</v>
      </c>
      <c r="C232" s="97">
        <v>7608</v>
      </c>
      <c r="D232" s="97">
        <v>3410</v>
      </c>
      <c r="E232" s="97">
        <v>3131</v>
      </c>
      <c r="F232" s="97">
        <v>564</v>
      </c>
      <c r="G232" s="97" t="s">
        <v>29</v>
      </c>
      <c r="H232" s="97" t="s">
        <v>29</v>
      </c>
      <c r="I232" s="97">
        <f>SUM(B232:H232)</f>
        <v>14713</v>
      </c>
      <c r="J232" s="97"/>
      <c r="K232" s="97" t="s">
        <v>29</v>
      </c>
      <c r="L232" s="97" t="s">
        <v>29</v>
      </c>
      <c r="M232" s="97" t="s">
        <v>29</v>
      </c>
      <c r="N232" s="97" t="s">
        <v>29</v>
      </c>
      <c r="O232" s="97" t="s">
        <v>29</v>
      </c>
      <c r="P232" s="97" t="s">
        <v>29</v>
      </c>
      <c r="Q232" s="97" t="s">
        <v>29</v>
      </c>
      <c r="R232" s="97" t="s">
        <v>29</v>
      </c>
    </row>
    <row r="233" spans="1:18" s="374" customFormat="1" x14ac:dyDescent="0.2">
      <c r="A233" s="122">
        <v>2016</v>
      </c>
      <c r="B233" s="97" t="s">
        <v>29</v>
      </c>
      <c r="C233" s="97">
        <v>10220</v>
      </c>
      <c r="D233" s="97">
        <v>3026</v>
      </c>
      <c r="E233" s="97" t="s">
        <v>29</v>
      </c>
      <c r="F233" s="97" t="s">
        <v>29</v>
      </c>
      <c r="G233" s="97" t="s">
        <v>29</v>
      </c>
      <c r="H233" s="97" t="s">
        <v>29</v>
      </c>
      <c r="I233" s="97">
        <f>SUM(B233:H233)</f>
        <v>13246</v>
      </c>
      <c r="J233" s="97"/>
      <c r="K233" s="97" t="s">
        <v>29</v>
      </c>
      <c r="L233" s="97" t="s">
        <v>29</v>
      </c>
      <c r="M233" s="97" t="s">
        <v>29</v>
      </c>
      <c r="N233" s="97" t="s">
        <v>29</v>
      </c>
      <c r="O233" s="97" t="s">
        <v>29</v>
      </c>
      <c r="P233" s="97" t="s">
        <v>29</v>
      </c>
      <c r="Q233" s="97" t="s">
        <v>29</v>
      </c>
      <c r="R233" s="97" t="s">
        <v>29</v>
      </c>
    </row>
    <row r="234" spans="1:18" s="374" customFormat="1" x14ac:dyDescent="0.2">
      <c r="A234" s="122">
        <v>2017</v>
      </c>
      <c r="B234" s="97" t="s">
        <v>29</v>
      </c>
      <c r="C234" s="97">
        <v>5588</v>
      </c>
      <c r="D234" s="97">
        <v>6891</v>
      </c>
      <c r="E234" s="97" t="s">
        <v>29</v>
      </c>
      <c r="F234" s="97" t="s">
        <v>29</v>
      </c>
      <c r="G234" s="97" t="s">
        <v>29</v>
      </c>
      <c r="H234" s="97" t="s">
        <v>29</v>
      </c>
      <c r="I234" s="97">
        <f>SUM(B234:H234)</f>
        <v>12479</v>
      </c>
      <c r="J234" s="97"/>
      <c r="K234" s="97" t="s">
        <v>29</v>
      </c>
      <c r="L234" s="97" t="s">
        <v>29</v>
      </c>
      <c r="M234" s="97" t="s">
        <v>29</v>
      </c>
      <c r="N234" s="97" t="s">
        <v>29</v>
      </c>
      <c r="O234" s="97" t="s">
        <v>29</v>
      </c>
      <c r="P234" s="97" t="s">
        <v>29</v>
      </c>
      <c r="Q234" s="97" t="s">
        <v>29</v>
      </c>
      <c r="R234" s="97" t="s">
        <v>29</v>
      </c>
    </row>
    <row r="235" spans="1:18" s="374" customFormat="1" x14ac:dyDescent="0.2">
      <c r="A235" s="122">
        <v>2018</v>
      </c>
      <c r="B235" s="97" t="s">
        <v>29</v>
      </c>
      <c r="C235" s="97">
        <v>4566</v>
      </c>
      <c r="D235" s="97">
        <v>14859</v>
      </c>
      <c r="E235" s="97" t="s">
        <v>29</v>
      </c>
      <c r="F235" s="97" t="s">
        <v>29</v>
      </c>
      <c r="G235" s="97" t="s">
        <v>29</v>
      </c>
      <c r="H235" s="97" t="s">
        <v>29</v>
      </c>
      <c r="I235" s="97">
        <f>SUM(B235:H235)</f>
        <v>19425</v>
      </c>
      <c r="J235" s="97"/>
      <c r="K235" s="97" t="s">
        <v>29</v>
      </c>
      <c r="L235" s="97" t="s">
        <v>29</v>
      </c>
      <c r="M235" s="97" t="s">
        <v>29</v>
      </c>
      <c r="N235" s="97" t="s">
        <v>29</v>
      </c>
      <c r="O235" s="97" t="s">
        <v>29</v>
      </c>
      <c r="P235" s="97" t="s">
        <v>29</v>
      </c>
      <c r="Q235" s="97" t="s">
        <v>29</v>
      </c>
      <c r="R235" s="97" t="s">
        <v>29</v>
      </c>
    </row>
    <row r="236" spans="1:18" s="487" customFormat="1" x14ac:dyDescent="0.2">
      <c r="A236" s="496" t="s">
        <v>336</v>
      </c>
      <c r="B236" s="97" t="s">
        <v>29</v>
      </c>
      <c r="C236" s="97">
        <v>54926</v>
      </c>
      <c r="D236" s="97">
        <v>31542</v>
      </c>
      <c r="E236" s="97">
        <v>9474</v>
      </c>
      <c r="F236" s="97" t="s">
        <v>29</v>
      </c>
      <c r="G236" s="97" t="s">
        <v>29</v>
      </c>
      <c r="H236" s="97" t="s">
        <v>29</v>
      </c>
      <c r="I236" s="97">
        <f t="shared" ref="I236" si="27">SUM(B236:H236)</f>
        <v>95942</v>
      </c>
      <c r="J236" s="97"/>
      <c r="K236" s="97" t="s">
        <v>29</v>
      </c>
      <c r="L236" s="97" t="s">
        <v>29</v>
      </c>
      <c r="M236" s="97" t="s">
        <v>29</v>
      </c>
      <c r="N236" s="97" t="s">
        <v>29</v>
      </c>
      <c r="O236" s="97" t="s">
        <v>29</v>
      </c>
      <c r="P236" s="97" t="s">
        <v>29</v>
      </c>
      <c r="Q236" s="97" t="s">
        <v>29</v>
      </c>
      <c r="R236" s="97" t="s">
        <v>29</v>
      </c>
    </row>
    <row r="237" spans="1:18" x14ac:dyDescent="0.2">
      <c r="A237" s="496" t="s">
        <v>391</v>
      </c>
      <c r="B237" s="70" t="s">
        <v>29</v>
      </c>
      <c r="C237" s="70">
        <v>19944</v>
      </c>
      <c r="D237" s="70">
        <v>7559</v>
      </c>
      <c r="E237" s="70">
        <v>2367</v>
      </c>
      <c r="F237" s="70">
        <v>340</v>
      </c>
      <c r="G237" s="70" t="s">
        <v>29</v>
      </c>
      <c r="H237" s="70" t="s">
        <v>29</v>
      </c>
      <c r="I237" s="97">
        <f t="shared" si="26"/>
        <v>30210</v>
      </c>
      <c r="J237" s="70"/>
      <c r="K237" s="70" t="s">
        <v>29</v>
      </c>
      <c r="L237" s="70" t="s">
        <v>29</v>
      </c>
      <c r="M237" s="70" t="s">
        <v>29</v>
      </c>
      <c r="N237" s="70" t="s">
        <v>29</v>
      </c>
      <c r="O237" s="70" t="s">
        <v>29</v>
      </c>
      <c r="P237" s="70" t="s">
        <v>29</v>
      </c>
      <c r="Q237" s="70" t="s">
        <v>29</v>
      </c>
      <c r="R237" s="70" t="s">
        <v>29</v>
      </c>
    </row>
    <row r="238" spans="1:18" x14ac:dyDescent="0.2">
      <c r="A238" s="123"/>
      <c r="B238" s="70"/>
      <c r="C238" s="70"/>
      <c r="D238" s="70"/>
      <c r="E238" s="70"/>
      <c r="F238" s="70"/>
      <c r="G238" s="70"/>
      <c r="H238" s="70"/>
      <c r="I238" s="70"/>
      <c r="J238" s="70"/>
      <c r="K238" s="70"/>
      <c r="L238" s="70"/>
      <c r="M238" s="70"/>
      <c r="N238" s="70"/>
      <c r="O238" s="70"/>
      <c r="P238" s="70"/>
      <c r="Q238" s="70"/>
      <c r="R238" s="70"/>
    </row>
    <row r="239" spans="1:18" x14ac:dyDescent="0.2">
      <c r="A239" s="230" t="s">
        <v>322</v>
      </c>
      <c r="B239" s="70"/>
      <c r="C239" s="70"/>
      <c r="D239" s="70"/>
      <c r="E239" s="70"/>
      <c r="F239" s="70"/>
      <c r="G239" s="70"/>
      <c r="H239" s="70"/>
      <c r="I239" s="70"/>
      <c r="J239" s="70"/>
      <c r="K239" s="70"/>
      <c r="L239" s="70"/>
      <c r="M239" s="70"/>
      <c r="N239" s="70"/>
      <c r="O239" s="70"/>
      <c r="P239" s="70"/>
      <c r="Q239" s="70"/>
      <c r="R239" s="70"/>
    </row>
    <row r="240" spans="1:18" x14ac:dyDescent="0.2">
      <c r="A240" s="123">
        <v>1976</v>
      </c>
      <c r="B240" s="70">
        <f t="shared" ref="B240:I249" si="28">IF(AND(B193="-",B146="-",B99="-",B52="-",B5="-"),"-",SUM(B193,B146,B99,B52,B5))</f>
        <v>56694</v>
      </c>
      <c r="C240" s="70">
        <f t="shared" si="28"/>
        <v>144286</v>
      </c>
      <c r="D240" s="70">
        <f t="shared" si="28"/>
        <v>132359</v>
      </c>
      <c r="E240" s="70">
        <f t="shared" si="28"/>
        <v>149387</v>
      </c>
      <c r="F240" s="70">
        <f t="shared" si="28"/>
        <v>36794</v>
      </c>
      <c r="G240" s="70">
        <f t="shared" si="28"/>
        <v>20410</v>
      </c>
      <c r="H240" s="70" t="str">
        <f t="shared" si="28"/>
        <v>-</v>
      </c>
      <c r="I240" s="70">
        <f t="shared" si="28"/>
        <v>539930</v>
      </c>
      <c r="J240" s="70"/>
      <c r="K240" s="70" t="str">
        <f t="shared" ref="K240:R249" si="29">IF(AND(K193="-",K146="-",K99="-",K52="-",K5="-"),"-",SUM(K193,K146,K99,K52,K5))</f>
        <v>-</v>
      </c>
      <c r="L240" s="70">
        <f t="shared" si="29"/>
        <v>193157</v>
      </c>
      <c r="M240" s="70">
        <f t="shared" si="29"/>
        <v>323608</v>
      </c>
      <c r="N240" s="70">
        <f t="shared" si="29"/>
        <v>82698</v>
      </c>
      <c r="O240" s="70">
        <f t="shared" si="29"/>
        <v>20566</v>
      </c>
      <c r="P240" s="70">
        <f t="shared" si="29"/>
        <v>1749</v>
      </c>
      <c r="Q240" s="70" t="str">
        <f t="shared" si="29"/>
        <v>-</v>
      </c>
      <c r="R240" s="70">
        <f t="shared" si="29"/>
        <v>462519</v>
      </c>
    </row>
    <row r="241" spans="1:18" x14ac:dyDescent="0.2">
      <c r="A241" s="123">
        <v>1977</v>
      </c>
      <c r="B241" s="70">
        <f t="shared" si="28"/>
        <v>82641</v>
      </c>
      <c r="C241" s="70">
        <f t="shared" si="28"/>
        <v>169527</v>
      </c>
      <c r="D241" s="70">
        <f t="shared" si="28"/>
        <v>101533</v>
      </c>
      <c r="E241" s="70">
        <f t="shared" si="28"/>
        <v>140548</v>
      </c>
      <c r="F241" s="70">
        <f t="shared" si="28"/>
        <v>78189</v>
      </c>
      <c r="G241" s="70">
        <f t="shared" si="28"/>
        <v>27747</v>
      </c>
      <c r="H241" s="70" t="str">
        <f t="shared" si="28"/>
        <v>-</v>
      </c>
      <c r="I241" s="70">
        <f t="shared" si="28"/>
        <v>600185</v>
      </c>
      <c r="J241" s="70"/>
      <c r="K241" s="70" t="str">
        <f t="shared" si="29"/>
        <v>-</v>
      </c>
      <c r="L241" s="70">
        <f t="shared" si="29"/>
        <v>11690</v>
      </c>
      <c r="M241" s="70">
        <f t="shared" si="29"/>
        <v>9132</v>
      </c>
      <c r="N241" s="70">
        <f t="shared" si="29"/>
        <v>14614</v>
      </c>
      <c r="O241" s="70">
        <f t="shared" si="29"/>
        <v>9511</v>
      </c>
      <c r="P241" s="70">
        <f t="shared" si="29"/>
        <v>203</v>
      </c>
      <c r="Q241" s="70" t="str">
        <f t="shared" si="29"/>
        <v>-</v>
      </c>
      <c r="R241" s="70">
        <f t="shared" si="29"/>
        <v>39017</v>
      </c>
    </row>
    <row r="242" spans="1:18" x14ac:dyDescent="0.2">
      <c r="A242" s="123">
        <v>1978</v>
      </c>
      <c r="B242" s="70">
        <f t="shared" si="28"/>
        <v>31522</v>
      </c>
      <c r="C242" s="70">
        <f t="shared" si="28"/>
        <v>231946</v>
      </c>
      <c r="D242" s="70">
        <f t="shared" si="28"/>
        <v>218193</v>
      </c>
      <c r="E242" s="70">
        <f t="shared" si="28"/>
        <v>101789</v>
      </c>
      <c r="F242" s="70">
        <f t="shared" si="28"/>
        <v>33940</v>
      </c>
      <c r="G242" s="70">
        <f t="shared" si="28"/>
        <v>20268</v>
      </c>
      <c r="H242" s="70" t="str">
        <f t="shared" si="28"/>
        <v>-</v>
      </c>
      <c r="I242" s="70">
        <f t="shared" si="28"/>
        <v>637658</v>
      </c>
      <c r="J242" s="70"/>
      <c r="K242" s="70">
        <f t="shared" si="29"/>
        <v>63</v>
      </c>
      <c r="L242" s="70">
        <f t="shared" si="29"/>
        <v>52488</v>
      </c>
      <c r="M242" s="70">
        <f t="shared" si="29"/>
        <v>209662</v>
      </c>
      <c r="N242" s="70">
        <f t="shared" si="29"/>
        <v>46294</v>
      </c>
      <c r="O242" s="70">
        <f t="shared" si="29"/>
        <v>6009</v>
      </c>
      <c r="P242" s="70">
        <f t="shared" si="29"/>
        <v>1247</v>
      </c>
      <c r="Q242" s="70" t="str">
        <f t="shared" si="29"/>
        <v>-</v>
      </c>
      <c r="R242" s="70">
        <f t="shared" si="29"/>
        <v>315763</v>
      </c>
    </row>
    <row r="243" spans="1:18" x14ac:dyDescent="0.2">
      <c r="A243" s="123">
        <v>1979</v>
      </c>
      <c r="B243" s="70">
        <f t="shared" si="28"/>
        <v>38</v>
      </c>
      <c r="C243" s="70">
        <f t="shared" si="28"/>
        <v>220130</v>
      </c>
      <c r="D243" s="70">
        <f t="shared" si="28"/>
        <v>94688</v>
      </c>
      <c r="E243" s="70">
        <f t="shared" si="28"/>
        <v>217652</v>
      </c>
      <c r="F243" s="70">
        <f t="shared" si="28"/>
        <v>135674</v>
      </c>
      <c r="G243" s="70">
        <f t="shared" si="28"/>
        <v>58578</v>
      </c>
      <c r="H243" s="70" t="str">
        <f t="shared" si="28"/>
        <v>-</v>
      </c>
      <c r="I243" s="70">
        <f t="shared" si="28"/>
        <v>726760</v>
      </c>
      <c r="J243" s="70"/>
      <c r="K243" s="70">
        <f t="shared" si="29"/>
        <v>12</v>
      </c>
      <c r="L243" s="70">
        <f t="shared" si="29"/>
        <v>15804</v>
      </c>
      <c r="M243" s="70">
        <f t="shared" si="29"/>
        <v>55228</v>
      </c>
      <c r="N243" s="70">
        <f t="shared" si="29"/>
        <v>95400</v>
      </c>
      <c r="O243" s="70">
        <f t="shared" si="29"/>
        <v>17167</v>
      </c>
      <c r="P243" s="70">
        <f t="shared" si="29"/>
        <v>794</v>
      </c>
      <c r="Q243" s="70" t="str">
        <f t="shared" si="29"/>
        <v>-</v>
      </c>
      <c r="R243" s="70">
        <f t="shared" si="29"/>
        <v>184405</v>
      </c>
    </row>
    <row r="244" spans="1:18" x14ac:dyDescent="0.2">
      <c r="A244" s="123">
        <v>1980</v>
      </c>
      <c r="B244" s="70" t="str">
        <f t="shared" si="28"/>
        <v>-</v>
      </c>
      <c r="C244" s="70">
        <f t="shared" si="28"/>
        <v>234283</v>
      </c>
      <c r="D244" s="70" t="str">
        <f t="shared" si="28"/>
        <v>-</v>
      </c>
      <c r="E244" s="70">
        <f t="shared" si="28"/>
        <v>257386</v>
      </c>
      <c r="F244" s="70">
        <f t="shared" si="28"/>
        <v>54963</v>
      </c>
      <c r="G244" s="70">
        <f t="shared" si="28"/>
        <v>42018</v>
      </c>
      <c r="H244" s="70" t="str">
        <f t="shared" si="28"/>
        <v>-</v>
      </c>
      <c r="I244" s="70">
        <f t="shared" si="28"/>
        <v>588650</v>
      </c>
      <c r="J244" s="70"/>
      <c r="K244" s="70" t="str">
        <f t="shared" si="29"/>
        <v>-</v>
      </c>
      <c r="L244" s="70">
        <f t="shared" si="29"/>
        <v>1347</v>
      </c>
      <c r="M244" s="70" t="str">
        <f t="shared" si="29"/>
        <v>-</v>
      </c>
      <c r="N244" s="70">
        <f t="shared" si="29"/>
        <v>30930</v>
      </c>
      <c r="O244" s="70">
        <f t="shared" si="29"/>
        <v>11353</v>
      </c>
      <c r="P244" s="70">
        <f t="shared" si="29"/>
        <v>6181</v>
      </c>
      <c r="Q244" s="70" t="str">
        <f t="shared" si="29"/>
        <v>-</v>
      </c>
      <c r="R244" s="70">
        <f t="shared" si="29"/>
        <v>49811</v>
      </c>
    </row>
    <row r="245" spans="1:18" x14ac:dyDescent="0.2">
      <c r="A245" s="123">
        <v>1981</v>
      </c>
      <c r="B245" s="70" t="str">
        <f t="shared" si="28"/>
        <v>-</v>
      </c>
      <c r="C245" s="70">
        <f t="shared" si="28"/>
        <v>202939</v>
      </c>
      <c r="D245" s="70">
        <f t="shared" si="28"/>
        <v>59062</v>
      </c>
      <c r="E245" s="70">
        <f t="shared" si="28"/>
        <v>175247</v>
      </c>
      <c r="F245" s="70">
        <f t="shared" si="28"/>
        <v>111191</v>
      </c>
      <c r="G245" s="70">
        <f t="shared" si="28"/>
        <v>39620</v>
      </c>
      <c r="H245" s="70" t="str">
        <f t="shared" si="28"/>
        <v>-</v>
      </c>
      <c r="I245" s="70">
        <f t="shared" si="28"/>
        <v>588059</v>
      </c>
      <c r="J245" s="70"/>
      <c r="K245" s="70" t="str">
        <f t="shared" si="29"/>
        <v>-</v>
      </c>
      <c r="L245" s="70">
        <f t="shared" si="29"/>
        <v>17963</v>
      </c>
      <c r="M245" s="70">
        <f t="shared" si="29"/>
        <v>8060</v>
      </c>
      <c r="N245" s="70">
        <f t="shared" si="29"/>
        <v>24375</v>
      </c>
      <c r="O245" s="70">
        <f t="shared" si="29"/>
        <v>30418</v>
      </c>
      <c r="P245" s="70">
        <f t="shared" si="29"/>
        <v>3061</v>
      </c>
      <c r="Q245" s="70" t="str">
        <f t="shared" si="29"/>
        <v>-</v>
      </c>
      <c r="R245" s="70">
        <f t="shared" si="29"/>
        <v>83877</v>
      </c>
    </row>
    <row r="246" spans="1:18" x14ac:dyDescent="0.2">
      <c r="A246" s="123">
        <v>1982</v>
      </c>
      <c r="B246" s="70">
        <f t="shared" si="28"/>
        <v>59844</v>
      </c>
      <c r="C246" s="70">
        <f t="shared" si="28"/>
        <v>201249</v>
      </c>
      <c r="D246" s="70">
        <f t="shared" si="28"/>
        <v>84193</v>
      </c>
      <c r="E246" s="70">
        <f t="shared" si="28"/>
        <v>247387</v>
      </c>
      <c r="F246" s="70">
        <f t="shared" si="28"/>
        <v>139373</v>
      </c>
      <c r="G246" s="70">
        <f t="shared" si="28"/>
        <v>33114</v>
      </c>
      <c r="H246" s="70" t="str">
        <f t="shared" si="28"/>
        <v>-</v>
      </c>
      <c r="I246" s="70">
        <f t="shared" si="28"/>
        <v>765160</v>
      </c>
      <c r="J246" s="70"/>
      <c r="K246" s="70">
        <f t="shared" si="29"/>
        <v>115</v>
      </c>
      <c r="L246" s="70">
        <f t="shared" si="29"/>
        <v>1804</v>
      </c>
      <c r="M246" s="70">
        <f t="shared" si="29"/>
        <v>12897</v>
      </c>
      <c r="N246" s="70">
        <f t="shared" si="29"/>
        <v>60254</v>
      </c>
      <c r="O246" s="70">
        <f t="shared" si="29"/>
        <v>15015</v>
      </c>
      <c r="P246" s="70">
        <f t="shared" si="29"/>
        <v>1800</v>
      </c>
      <c r="Q246" s="70" t="str">
        <f t="shared" si="29"/>
        <v>-</v>
      </c>
      <c r="R246" s="70">
        <f t="shared" si="29"/>
        <v>91885</v>
      </c>
    </row>
    <row r="247" spans="1:18" x14ac:dyDescent="0.2">
      <c r="A247" s="123">
        <v>1983</v>
      </c>
      <c r="B247" s="70">
        <f t="shared" si="28"/>
        <v>2187</v>
      </c>
      <c r="C247" s="70">
        <f t="shared" si="28"/>
        <v>93452</v>
      </c>
      <c r="D247" s="70">
        <f t="shared" si="28"/>
        <v>84076</v>
      </c>
      <c r="E247" s="70">
        <f t="shared" si="28"/>
        <v>83615</v>
      </c>
      <c r="F247" s="70">
        <f t="shared" si="28"/>
        <v>26841</v>
      </c>
      <c r="G247" s="70">
        <f t="shared" si="28"/>
        <v>3812</v>
      </c>
      <c r="H247" s="70" t="str">
        <f t="shared" si="28"/>
        <v>-</v>
      </c>
      <c r="I247" s="70">
        <f t="shared" si="28"/>
        <v>293983</v>
      </c>
      <c r="J247" s="70"/>
      <c r="K247" s="70">
        <f t="shared" si="29"/>
        <v>68</v>
      </c>
      <c r="L247" s="70">
        <f t="shared" si="29"/>
        <v>365</v>
      </c>
      <c r="M247" s="70">
        <f t="shared" si="29"/>
        <v>29593</v>
      </c>
      <c r="N247" s="70">
        <f t="shared" si="29"/>
        <v>20390</v>
      </c>
      <c r="O247" s="70">
        <f t="shared" si="29"/>
        <v>9342</v>
      </c>
      <c r="P247" s="70">
        <f t="shared" si="29"/>
        <v>136</v>
      </c>
      <c r="Q247" s="70" t="str">
        <f t="shared" si="29"/>
        <v>-</v>
      </c>
      <c r="R247" s="70">
        <f t="shared" si="29"/>
        <v>59894</v>
      </c>
    </row>
    <row r="248" spans="1:18" x14ac:dyDescent="0.2">
      <c r="A248" s="123">
        <v>1984</v>
      </c>
      <c r="B248" s="70" t="str">
        <f t="shared" si="28"/>
        <v>-</v>
      </c>
      <c r="C248" s="70">
        <f t="shared" si="28"/>
        <v>32854</v>
      </c>
      <c r="D248" s="70">
        <f t="shared" si="28"/>
        <v>57516</v>
      </c>
      <c r="E248" s="70">
        <f t="shared" si="28"/>
        <v>113257</v>
      </c>
      <c r="F248" s="70">
        <f t="shared" si="28"/>
        <v>74088</v>
      </c>
      <c r="G248" s="70">
        <f t="shared" si="28"/>
        <v>22044</v>
      </c>
      <c r="H248" s="70" t="str">
        <f t="shared" si="28"/>
        <v>-</v>
      </c>
      <c r="I248" s="70">
        <f t="shared" si="28"/>
        <v>299759</v>
      </c>
      <c r="J248" s="70"/>
      <c r="K248" s="70" t="str">
        <f t="shared" si="29"/>
        <v>-</v>
      </c>
      <c r="L248" s="70" t="str">
        <f t="shared" si="29"/>
        <v>-</v>
      </c>
      <c r="M248" s="70">
        <f t="shared" si="29"/>
        <v>11232</v>
      </c>
      <c r="N248" s="70">
        <f t="shared" si="29"/>
        <v>29171</v>
      </c>
      <c r="O248" s="70">
        <f t="shared" si="29"/>
        <v>6286</v>
      </c>
      <c r="P248" s="70">
        <f t="shared" si="29"/>
        <v>333</v>
      </c>
      <c r="Q248" s="70" t="str">
        <f t="shared" si="29"/>
        <v>-</v>
      </c>
      <c r="R248" s="70">
        <f t="shared" si="29"/>
        <v>47022</v>
      </c>
    </row>
    <row r="249" spans="1:18" x14ac:dyDescent="0.2">
      <c r="A249" s="123">
        <v>1985</v>
      </c>
      <c r="B249" s="70" t="str">
        <f t="shared" si="28"/>
        <v>-</v>
      </c>
      <c r="C249" s="70">
        <f t="shared" si="28"/>
        <v>92449</v>
      </c>
      <c r="D249" s="70">
        <f t="shared" si="28"/>
        <v>88766</v>
      </c>
      <c r="E249" s="70">
        <f t="shared" si="28"/>
        <v>106144</v>
      </c>
      <c r="F249" s="70">
        <f t="shared" si="28"/>
        <v>59166</v>
      </c>
      <c r="G249" s="70">
        <f t="shared" si="28"/>
        <v>19773</v>
      </c>
      <c r="H249" s="70" t="str">
        <f t="shared" si="28"/>
        <v>-</v>
      </c>
      <c r="I249" s="70">
        <f t="shared" si="28"/>
        <v>366298</v>
      </c>
      <c r="J249" s="70"/>
      <c r="K249" s="70" t="str">
        <f t="shared" si="29"/>
        <v>-</v>
      </c>
      <c r="L249" s="70">
        <f t="shared" si="29"/>
        <v>15</v>
      </c>
      <c r="M249" s="70">
        <f t="shared" si="29"/>
        <v>2957</v>
      </c>
      <c r="N249" s="70">
        <f t="shared" si="29"/>
        <v>6630</v>
      </c>
      <c r="O249" s="70">
        <f t="shared" si="29"/>
        <v>1286</v>
      </c>
      <c r="P249" s="70">
        <f t="shared" si="29"/>
        <v>66</v>
      </c>
      <c r="Q249" s="70" t="str">
        <f t="shared" si="29"/>
        <v>-</v>
      </c>
      <c r="R249" s="70">
        <f t="shared" si="29"/>
        <v>10954</v>
      </c>
    </row>
    <row r="250" spans="1:18" x14ac:dyDescent="0.2">
      <c r="A250" s="123">
        <v>1986</v>
      </c>
      <c r="B250" s="70" t="str">
        <f t="shared" ref="B250:I259" si="30">IF(AND(B203="-",B156="-",B109="-",B62="-",B15="-"),"-",SUM(B203,B156,B109,B62,B15))</f>
        <v>-</v>
      </c>
      <c r="C250" s="70">
        <f t="shared" si="30"/>
        <v>223621</v>
      </c>
      <c r="D250" s="70">
        <f t="shared" si="30"/>
        <v>293200</v>
      </c>
      <c r="E250" s="70">
        <f t="shared" si="30"/>
        <v>215133.00000000003</v>
      </c>
      <c r="F250" s="70">
        <f t="shared" si="30"/>
        <v>84533.000000000015</v>
      </c>
      <c r="G250" s="70">
        <f t="shared" si="30"/>
        <v>9101</v>
      </c>
      <c r="H250" s="70" t="str">
        <f t="shared" si="30"/>
        <v>-</v>
      </c>
      <c r="I250" s="70">
        <f t="shared" si="30"/>
        <v>825588</v>
      </c>
      <c r="J250" s="70"/>
      <c r="K250" s="70" t="str">
        <f t="shared" ref="K250:R259" si="31">IF(AND(K203="-",K156="-",K109="-",K62="-",K15="-"),"-",SUM(K203,K156,K109,K62,K15))</f>
        <v>-</v>
      </c>
      <c r="L250" s="70" t="str">
        <f t="shared" si="31"/>
        <v>-</v>
      </c>
      <c r="M250" s="70">
        <f t="shared" si="31"/>
        <v>15955</v>
      </c>
      <c r="N250" s="70">
        <f t="shared" si="31"/>
        <v>18193.999999999996</v>
      </c>
      <c r="O250" s="70">
        <f t="shared" si="31"/>
        <v>2077</v>
      </c>
      <c r="P250" s="70">
        <f t="shared" si="31"/>
        <v>129</v>
      </c>
      <c r="Q250" s="70" t="str">
        <f t="shared" si="31"/>
        <v>-</v>
      </c>
      <c r="R250" s="70">
        <f t="shared" si="31"/>
        <v>36317.321478531092</v>
      </c>
    </row>
    <row r="251" spans="1:18" x14ac:dyDescent="0.2">
      <c r="A251" s="123">
        <v>1987</v>
      </c>
      <c r="B251" s="70" t="str">
        <f t="shared" si="30"/>
        <v>-</v>
      </c>
      <c r="C251" s="70">
        <f t="shared" si="30"/>
        <v>264923</v>
      </c>
      <c r="D251" s="70">
        <f t="shared" si="30"/>
        <v>301634</v>
      </c>
      <c r="E251" s="70">
        <f t="shared" si="30"/>
        <v>205405</v>
      </c>
      <c r="F251" s="70">
        <f t="shared" si="30"/>
        <v>84142</v>
      </c>
      <c r="G251" s="70">
        <f t="shared" si="30"/>
        <v>20229.999999999996</v>
      </c>
      <c r="H251" s="70" t="str">
        <f t="shared" si="30"/>
        <v>-</v>
      </c>
      <c r="I251" s="70">
        <f t="shared" si="30"/>
        <v>876334</v>
      </c>
      <c r="J251" s="70"/>
      <c r="K251" s="70" t="str">
        <f t="shared" si="31"/>
        <v>-</v>
      </c>
      <c r="L251" s="70" t="str">
        <f t="shared" si="31"/>
        <v>-</v>
      </c>
      <c r="M251" s="70">
        <f t="shared" si="31"/>
        <v>24923</v>
      </c>
      <c r="N251" s="70">
        <f t="shared" si="31"/>
        <v>17308.473434253487</v>
      </c>
      <c r="O251" s="70" t="str">
        <f t="shared" si="31"/>
        <v>-</v>
      </c>
      <c r="P251" s="70">
        <f t="shared" si="31"/>
        <v>1442</v>
      </c>
      <c r="Q251" s="70" t="str">
        <f t="shared" si="31"/>
        <v>-</v>
      </c>
      <c r="R251" s="70">
        <f t="shared" si="31"/>
        <v>43702.983388143293</v>
      </c>
    </row>
    <row r="252" spans="1:18" x14ac:dyDescent="0.2">
      <c r="A252" s="123">
        <v>1988</v>
      </c>
      <c r="B252" s="70" t="str">
        <f t="shared" si="30"/>
        <v>-</v>
      </c>
      <c r="C252" s="70">
        <f t="shared" si="30"/>
        <v>390784</v>
      </c>
      <c r="D252" s="70">
        <f t="shared" si="30"/>
        <v>382786</v>
      </c>
      <c r="E252" s="70">
        <f t="shared" si="30"/>
        <v>370942</v>
      </c>
      <c r="F252" s="70">
        <f t="shared" si="30"/>
        <v>111881</v>
      </c>
      <c r="G252" s="70">
        <f t="shared" si="30"/>
        <v>60814</v>
      </c>
      <c r="H252" s="70" t="str">
        <f t="shared" si="30"/>
        <v>-</v>
      </c>
      <c r="I252" s="70">
        <f t="shared" si="30"/>
        <v>1317207</v>
      </c>
      <c r="J252" s="70"/>
      <c r="K252" s="70" t="str">
        <f t="shared" si="31"/>
        <v>-</v>
      </c>
      <c r="L252" s="70" t="str">
        <f t="shared" si="31"/>
        <v>-</v>
      </c>
      <c r="M252" s="70">
        <f t="shared" si="31"/>
        <v>23448</v>
      </c>
      <c r="N252" s="70">
        <f t="shared" si="31"/>
        <v>23612</v>
      </c>
      <c r="O252" s="70">
        <f t="shared" si="31"/>
        <v>2294</v>
      </c>
      <c r="P252" s="70">
        <f t="shared" si="31"/>
        <v>1607</v>
      </c>
      <c r="Q252" s="70" t="str">
        <f t="shared" si="31"/>
        <v>-</v>
      </c>
      <c r="R252" s="70">
        <f t="shared" si="31"/>
        <v>50914.619645447106</v>
      </c>
    </row>
    <row r="253" spans="1:18" x14ac:dyDescent="0.2">
      <c r="A253" s="123">
        <v>1989</v>
      </c>
      <c r="B253" s="70" t="str">
        <f t="shared" si="30"/>
        <v>-</v>
      </c>
      <c r="C253" s="70">
        <f t="shared" si="30"/>
        <v>176152</v>
      </c>
      <c r="D253" s="70">
        <f t="shared" si="30"/>
        <v>137583</v>
      </c>
      <c r="E253" s="70">
        <f t="shared" si="30"/>
        <v>112466</v>
      </c>
      <c r="F253" s="70">
        <f t="shared" si="30"/>
        <v>80514</v>
      </c>
      <c r="G253" s="70">
        <f t="shared" si="30"/>
        <v>23317</v>
      </c>
      <c r="H253" s="70">
        <f t="shared" si="30"/>
        <v>906</v>
      </c>
      <c r="I253" s="70">
        <f t="shared" si="30"/>
        <v>530938</v>
      </c>
      <c r="J253" s="70"/>
      <c r="K253" s="70" t="str">
        <f t="shared" si="31"/>
        <v>-</v>
      </c>
      <c r="L253" s="70" t="str">
        <f t="shared" si="31"/>
        <v>-</v>
      </c>
      <c r="M253" s="70">
        <f t="shared" si="31"/>
        <v>16036</v>
      </c>
      <c r="N253" s="70">
        <f t="shared" si="31"/>
        <v>15913</v>
      </c>
      <c r="O253" s="70">
        <f t="shared" si="31"/>
        <v>8926</v>
      </c>
      <c r="P253" s="70">
        <f t="shared" si="31"/>
        <v>829</v>
      </c>
      <c r="Q253" s="70">
        <f t="shared" si="31"/>
        <v>245</v>
      </c>
      <c r="R253" s="70">
        <f t="shared" si="31"/>
        <v>41990.376714456899</v>
      </c>
    </row>
    <row r="254" spans="1:18" x14ac:dyDescent="0.2">
      <c r="A254" s="123">
        <v>1990</v>
      </c>
      <c r="B254" s="70" t="str">
        <f t="shared" si="30"/>
        <v>-</v>
      </c>
      <c r="C254" s="70">
        <f t="shared" si="30"/>
        <v>145197</v>
      </c>
      <c r="D254" s="70">
        <f t="shared" si="30"/>
        <v>173971</v>
      </c>
      <c r="E254" s="70">
        <f t="shared" si="30"/>
        <v>71743</v>
      </c>
      <c r="F254" s="70">
        <f t="shared" si="30"/>
        <v>25384</v>
      </c>
      <c r="G254" s="70">
        <f t="shared" si="30"/>
        <v>7099</v>
      </c>
      <c r="H254" s="70">
        <f t="shared" si="30"/>
        <v>53</v>
      </c>
      <c r="I254" s="70">
        <f t="shared" si="30"/>
        <v>423447</v>
      </c>
      <c r="J254" s="70"/>
      <c r="K254" s="70" t="str">
        <f t="shared" si="31"/>
        <v>-</v>
      </c>
      <c r="L254" s="70" t="str">
        <f t="shared" si="31"/>
        <v>-</v>
      </c>
      <c r="M254" s="70">
        <f t="shared" si="31"/>
        <v>38588</v>
      </c>
      <c r="N254" s="70">
        <f t="shared" si="31"/>
        <v>16260</v>
      </c>
      <c r="O254" s="70">
        <f t="shared" si="31"/>
        <v>4477</v>
      </c>
      <c r="P254" s="70">
        <f t="shared" si="31"/>
        <v>1684</v>
      </c>
      <c r="Q254" s="70">
        <f t="shared" si="31"/>
        <v>5</v>
      </c>
      <c r="R254" s="70">
        <f t="shared" si="31"/>
        <v>60976</v>
      </c>
    </row>
    <row r="255" spans="1:18" x14ac:dyDescent="0.2">
      <c r="A255" s="123">
        <v>1991</v>
      </c>
      <c r="B255" s="70" t="str">
        <f t="shared" si="30"/>
        <v>-</v>
      </c>
      <c r="C255" s="70">
        <f t="shared" si="30"/>
        <v>80100</v>
      </c>
      <c r="D255" s="70">
        <f t="shared" si="30"/>
        <v>87100</v>
      </c>
      <c r="E255" s="70">
        <f t="shared" si="30"/>
        <v>49600</v>
      </c>
      <c r="F255" s="70">
        <f t="shared" si="30"/>
        <v>65600</v>
      </c>
      <c r="G255" s="70">
        <f t="shared" si="30"/>
        <v>12100</v>
      </c>
      <c r="H255" s="70">
        <f t="shared" si="30"/>
        <v>400</v>
      </c>
      <c r="I255" s="70">
        <f t="shared" si="30"/>
        <v>294900</v>
      </c>
      <c r="J255" s="70"/>
      <c r="K255" s="70" t="str">
        <f t="shared" si="31"/>
        <v>-</v>
      </c>
      <c r="L255" s="70" t="str">
        <f t="shared" si="31"/>
        <v>-</v>
      </c>
      <c r="M255" s="70">
        <f t="shared" si="31"/>
        <v>50200</v>
      </c>
      <c r="N255" s="70">
        <f t="shared" si="31"/>
        <v>24000</v>
      </c>
      <c r="O255" s="70">
        <f t="shared" si="31"/>
        <v>5200</v>
      </c>
      <c r="P255" s="70">
        <f t="shared" si="31"/>
        <v>3000</v>
      </c>
      <c r="Q255" s="70">
        <f t="shared" si="31"/>
        <v>100</v>
      </c>
      <c r="R255" s="70">
        <f t="shared" si="31"/>
        <v>82500</v>
      </c>
    </row>
    <row r="256" spans="1:18" x14ac:dyDescent="0.2">
      <c r="A256" s="123">
        <v>1992</v>
      </c>
      <c r="B256" s="70" t="str">
        <f t="shared" si="30"/>
        <v>-</v>
      </c>
      <c r="C256" s="70">
        <f t="shared" si="30"/>
        <v>51400</v>
      </c>
      <c r="D256" s="70">
        <f t="shared" si="30"/>
        <v>18900</v>
      </c>
      <c r="E256" s="70">
        <f t="shared" si="30"/>
        <v>20600</v>
      </c>
      <c r="F256" s="70">
        <f t="shared" si="30"/>
        <v>41300</v>
      </c>
      <c r="G256" s="70">
        <f t="shared" si="30"/>
        <v>28100</v>
      </c>
      <c r="H256" s="70" t="str">
        <f t="shared" si="30"/>
        <v>-</v>
      </c>
      <c r="I256" s="70">
        <f t="shared" si="30"/>
        <v>160300</v>
      </c>
      <c r="J256" s="70"/>
      <c r="K256" s="70" t="str">
        <f t="shared" si="31"/>
        <v>-</v>
      </c>
      <c r="L256" s="70" t="str">
        <f t="shared" si="31"/>
        <v>-</v>
      </c>
      <c r="M256" s="70">
        <f t="shared" si="31"/>
        <v>1500</v>
      </c>
      <c r="N256" s="70">
        <f t="shared" si="31"/>
        <v>500</v>
      </c>
      <c r="O256" s="70">
        <f t="shared" si="31"/>
        <v>450</v>
      </c>
      <c r="P256" s="70" t="str">
        <f t="shared" si="31"/>
        <v>-</v>
      </c>
      <c r="Q256" s="70" t="str">
        <f t="shared" si="31"/>
        <v>-</v>
      </c>
      <c r="R256" s="70">
        <f t="shared" si="31"/>
        <v>2450</v>
      </c>
    </row>
    <row r="257" spans="1:18" x14ac:dyDescent="0.2">
      <c r="A257" s="123">
        <v>1993</v>
      </c>
      <c r="B257" s="70" t="str">
        <f t="shared" si="30"/>
        <v>-</v>
      </c>
      <c r="C257" s="70">
        <f t="shared" si="30"/>
        <v>111078</v>
      </c>
      <c r="D257" s="70">
        <f t="shared" si="30"/>
        <v>40353</v>
      </c>
      <c r="E257" s="70">
        <f t="shared" si="30"/>
        <v>55755</v>
      </c>
      <c r="F257" s="70">
        <f t="shared" si="30"/>
        <v>48377</v>
      </c>
      <c r="G257" s="70">
        <f t="shared" si="30"/>
        <v>23990</v>
      </c>
      <c r="H257" s="70" t="str">
        <f t="shared" si="30"/>
        <v>-</v>
      </c>
      <c r="I257" s="70">
        <f t="shared" si="30"/>
        <v>279553</v>
      </c>
      <c r="J257" s="70"/>
      <c r="K257" s="70" t="str">
        <f t="shared" si="31"/>
        <v>-</v>
      </c>
      <c r="L257" s="70" t="str">
        <f t="shared" si="31"/>
        <v>-</v>
      </c>
      <c r="M257" s="70" t="str">
        <f t="shared" si="31"/>
        <v>-</v>
      </c>
      <c r="N257" s="70" t="str">
        <f t="shared" si="31"/>
        <v>-</v>
      </c>
      <c r="O257" s="70" t="str">
        <f t="shared" si="31"/>
        <v>-</v>
      </c>
      <c r="P257" s="70" t="str">
        <f t="shared" si="31"/>
        <v>-</v>
      </c>
      <c r="Q257" s="70" t="str">
        <f t="shared" si="31"/>
        <v>-</v>
      </c>
      <c r="R257" s="70" t="str">
        <f t="shared" si="31"/>
        <v>-</v>
      </c>
    </row>
    <row r="258" spans="1:18" x14ac:dyDescent="0.2">
      <c r="A258" s="123">
        <v>1994</v>
      </c>
      <c r="B258" s="70" t="str">
        <f t="shared" si="30"/>
        <v>-</v>
      </c>
      <c r="C258" s="70">
        <f t="shared" si="30"/>
        <v>78829</v>
      </c>
      <c r="D258" s="70">
        <f t="shared" si="30"/>
        <v>81119</v>
      </c>
      <c r="E258" s="70">
        <f t="shared" si="30"/>
        <v>89175</v>
      </c>
      <c r="F258" s="70">
        <f t="shared" si="30"/>
        <v>27379</v>
      </c>
      <c r="G258" s="70">
        <f t="shared" si="30"/>
        <v>19072</v>
      </c>
      <c r="H258" s="70" t="str">
        <f t="shared" si="30"/>
        <v>-</v>
      </c>
      <c r="I258" s="70">
        <f t="shared" si="30"/>
        <v>295574</v>
      </c>
      <c r="J258" s="70"/>
      <c r="K258" s="70" t="str">
        <f t="shared" si="31"/>
        <v>-</v>
      </c>
      <c r="L258" s="70" t="str">
        <f t="shared" si="31"/>
        <v>-</v>
      </c>
      <c r="M258" s="70" t="str">
        <f t="shared" si="31"/>
        <v>-</v>
      </c>
      <c r="N258" s="70" t="str">
        <f t="shared" si="31"/>
        <v>-</v>
      </c>
      <c r="O258" s="70" t="str">
        <f t="shared" si="31"/>
        <v>-</v>
      </c>
      <c r="P258" s="70" t="str">
        <f t="shared" si="31"/>
        <v>-</v>
      </c>
      <c r="Q258" s="70" t="str">
        <f t="shared" si="31"/>
        <v>-</v>
      </c>
      <c r="R258" s="70" t="str">
        <f t="shared" si="31"/>
        <v>-</v>
      </c>
    </row>
    <row r="259" spans="1:18" x14ac:dyDescent="0.2">
      <c r="A259" s="123">
        <v>1995</v>
      </c>
      <c r="B259" s="70" t="str">
        <f t="shared" si="30"/>
        <v>-</v>
      </c>
      <c r="C259" s="70">
        <f t="shared" si="30"/>
        <v>285457</v>
      </c>
      <c r="D259" s="70">
        <f t="shared" si="30"/>
        <v>142227</v>
      </c>
      <c r="E259" s="70">
        <f t="shared" si="30"/>
        <v>189622</v>
      </c>
      <c r="F259" s="70">
        <f t="shared" si="30"/>
        <v>30880</v>
      </c>
      <c r="G259" s="70">
        <f t="shared" si="30"/>
        <v>31126</v>
      </c>
      <c r="H259" s="70" t="str">
        <f t="shared" si="30"/>
        <v>-</v>
      </c>
      <c r="I259" s="70">
        <f t="shared" si="30"/>
        <v>679312</v>
      </c>
      <c r="J259" s="70"/>
      <c r="K259" s="70" t="str">
        <f t="shared" si="31"/>
        <v>-</v>
      </c>
      <c r="L259" s="70" t="str">
        <f t="shared" si="31"/>
        <v>-</v>
      </c>
      <c r="M259" s="70" t="str">
        <f t="shared" si="31"/>
        <v>-</v>
      </c>
      <c r="N259" s="70" t="str">
        <f t="shared" si="31"/>
        <v>-</v>
      </c>
      <c r="O259" s="70" t="str">
        <f t="shared" si="31"/>
        <v>-</v>
      </c>
      <c r="P259" s="70" t="str">
        <f t="shared" si="31"/>
        <v>-</v>
      </c>
      <c r="Q259" s="70" t="str">
        <f t="shared" si="31"/>
        <v>-</v>
      </c>
      <c r="R259" s="70" t="str">
        <f t="shared" si="31"/>
        <v>-</v>
      </c>
    </row>
    <row r="260" spans="1:18" x14ac:dyDescent="0.2">
      <c r="A260" s="123">
        <v>1996</v>
      </c>
      <c r="B260" s="70" t="str">
        <f t="shared" ref="B260:I269" si="32">IF(AND(B213="-",B166="-",B119="-",B72="-",B25="-"),"-",SUM(B213,B166,B119,B72,B25))</f>
        <v>-</v>
      </c>
      <c r="C260" s="70">
        <f t="shared" si="32"/>
        <v>97075</v>
      </c>
      <c r="D260" s="70">
        <f t="shared" si="32"/>
        <v>130284</v>
      </c>
      <c r="E260" s="70">
        <f t="shared" si="32"/>
        <v>95417</v>
      </c>
      <c r="F260" s="70">
        <f t="shared" si="32"/>
        <v>31278</v>
      </c>
      <c r="G260" s="70">
        <f t="shared" si="32"/>
        <v>26797</v>
      </c>
      <c r="H260" s="70" t="str">
        <f t="shared" si="32"/>
        <v>-</v>
      </c>
      <c r="I260" s="70">
        <f t="shared" si="32"/>
        <v>380851</v>
      </c>
      <c r="J260" s="70"/>
      <c r="K260" s="70" t="str">
        <f t="shared" ref="K260:R269" si="33">IF(AND(K213="-",K166="-",K119="-",K72="-",K25="-"),"-",SUM(K213,K166,K119,K72,K25))</f>
        <v>-</v>
      </c>
      <c r="L260" s="70" t="str">
        <f t="shared" si="33"/>
        <v>-</v>
      </c>
      <c r="M260" s="70" t="str">
        <f t="shared" si="33"/>
        <v>-</v>
      </c>
      <c r="N260" s="70" t="str">
        <f t="shared" si="33"/>
        <v>-</v>
      </c>
      <c r="O260" s="70" t="str">
        <f t="shared" si="33"/>
        <v>-</v>
      </c>
      <c r="P260" s="70" t="str">
        <f t="shared" si="33"/>
        <v>-</v>
      </c>
      <c r="Q260" s="70" t="str">
        <f t="shared" si="33"/>
        <v>-</v>
      </c>
      <c r="R260" s="70" t="str">
        <f t="shared" si="33"/>
        <v>-</v>
      </c>
    </row>
    <row r="261" spans="1:18" x14ac:dyDescent="0.2">
      <c r="A261" s="123">
        <v>1997</v>
      </c>
      <c r="B261" s="70">
        <f t="shared" si="32"/>
        <v>11891</v>
      </c>
      <c r="C261" s="70">
        <f t="shared" si="32"/>
        <v>199057</v>
      </c>
      <c r="D261" s="70">
        <f t="shared" si="32"/>
        <v>74576</v>
      </c>
      <c r="E261" s="70">
        <f t="shared" si="32"/>
        <v>153940</v>
      </c>
      <c r="F261" s="70">
        <f t="shared" si="32"/>
        <v>24737</v>
      </c>
      <c r="G261" s="70">
        <f t="shared" si="32"/>
        <v>23214</v>
      </c>
      <c r="H261" s="70" t="str">
        <f t="shared" si="32"/>
        <v>-</v>
      </c>
      <c r="I261" s="70">
        <f t="shared" si="32"/>
        <v>487415</v>
      </c>
      <c r="J261" s="70"/>
      <c r="K261" s="70" t="str">
        <f t="shared" si="33"/>
        <v>-</v>
      </c>
      <c r="L261" s="70" t="str">
        <f t="shared" si="33"/>
        <v>-</v>
      </c>
      <c r="M261" s="70" t="str">
        <f t="shared" si="33"/>
        <v>-</v>
      </c>
      <c r="N261" s="70" t="str">
        <f t="shared" si="33"/>
        <v>-</v>
      </c>
      <c r="O261" s="70" t="str">
        <f t="shared" si="33"/>
        <v>-</v>
      </c>
      <c r="P261" s="70" t="str">
        <f t="shared" si="33"/>
        <v>-</v>
      </c>
      <c r="Q261" s="70" t="str">
        <f t="shared" si="33"/>
        <v>-</v>
      </c>
      <c r="R261" s="70" t="str">
        <f t="shared" si="33"/>
        <v>-</v>
      </c>
    </row>
    <row r="262" spans="1:18" x14ac:dyDescent="0.2">
      <c r="A262" s="123">
        <v>1998</v>
      </c>
      <c r="B262" s="70" t="str">
        <f t="shared" si="32"/>
        <v>-</v>
      </c>
      <c r="C262" s="70">
        <f t="shared" si="32"/>
        <v>76266</v>
      </c>
      <c r="D262" s="70">
        <f t="shared" si="32"/>
        <v>39438</v>
      </c>
      <c r="E262" s="70">
        <f t="shared" si="32"/>
        <v>74931</v>
      </c>
      <c r="F262" s="70">
        <f t="shared" si="32"/>
        <v>15900</v>
      </c>
      <c r="G262" s="70">
        <f t="shared" si="32"/>
        <v>20401</v>
      </c>
      <c r="H262" s="70" t="str">
        <f t="shared" si="32"/>
        <v>-</v>
      </c>
      <c r="I262" s="70">
        <f t="shared" si="32"/>
        <v>226936</v>
      </c>
      <c r="J262" s="70"/>
      <c r="K262" s="70" t="str">
        <f t="shared" si="33"/>
        <v>-</v>
      </c>
      <c r="L262" s="70" t="str">
        <f t="shared" si="33"/>
        <v>-</v>
      </c>
      <c r="M262" s="70" t="str">
        <f t="shared" si="33"/>
        <v>-</v>
      </c>
      <c r="N262" s="70" t="str">
        <f t="shared" si="33"/>
        <v>-</v>
      </c>
      <c r="O262" s="70" t="str">
        <f t="shared" si="33"/>
        <v>-</v>
      </c>
      <c r="P262" s="70" t="str">
        <f t="shared" si="33"/>
        <v>-</v>
      </c>
      <c r="Q262" s="70" t="str">
        <f t="shared" si="33"/>
        <v>-</v>
      </c>
      <c r="R262" s="70" t="str">
        <f t="shared" si="33"/>
        <v>-</v>
      </c>
    </row>
    <row r="263" spans="1:18" x14ac:dyDescent="0.2">
      <c r="A263" s="123">
        <v>1999</v>
      </c>
      <c r="B263" s="70">
        <f t="shared" si="32"/>
        <v>3268</v>
      </c>
      <c r="C263" s="70">
        <f t="shared" si="32"/>
        <v>30554</v>
      </c>
      <c r="D263" s="70">
        <f t="shared" si="32"/>
        <v>125629</v>
      </c>
      <c r="E263" s="70">
        <f t="shared" si="32"/>
        <v>71469</v>
      </c>
      <c r="F263" s="70">
        <f t="shared" si="32"/>
        <v>24035</v>
      </c>
      <c r="G263" s="70">
        <f t="shared" si="32"/>
        <v>9497</v>
      </c>
      <c r="H263" s="70" t="str">
        <f t="shared" si="32"/>
        <v>-</v>
      </c>
      <c r="I263" s="70">
        <f t="shared" si="32"/>
        <v>264452</v>
      </c>
      <c r="J263" s="70"/>
      <c r="K263" s="70" t="str">
        <f t="shared" si="33"/>
        <v>-</v>
      </c>
      <c r="L263" s="70" t="str">
        <f t="shared" si="33"/>
        <v>-</v>
      </c>
      <c r="M263" s="70" t="str">
        <f t="shared" si="33"/>
        <v>-</v>
      </c>
      <c r="N263" s="70" t="str">
        <f t="shared" si="33"/>
        <v>-</v>
      </c>
      <c r="O263" s="70" t="str">
        <f t="shared" si="33"/>
        <v>-</v>
      </c>
      <c r="P263" s="70" t="str">
        <f t="shared" si="33"/>
        <v>-</v>
      </c>
      <c r="Q263" s="70" t="str">
        <f t="shared" si="33"/>
        <v>-</v>
      </c>
      <c r="R263" s="70" t="str">
        <f t="shared" si="33"/>
        <v>-</v>
      </c>
    </row>
    <row r="264" spans="1:18" x14ac:dyDescent="0.2">
      <c r="A264" s="123">
        <v>2000</v>
      </c>
      <c r="B264" s="70" t="str">
        <f t="shared" si="32"/>
        <v>-</v>
      </c>
      <c r="C264" s="70">
        <f t="shared" si="32"/>
        <v>205634</v>
      </c>
      <c r="D264" s="70">
        <f t="shared" si="32"/>
        <v>138470</v>
      </c>
      <c r="E264" s="70">
        <f t="shared" si="32"/>
        <v>47403</v>
      </c>
      <c r="F264" s="70">
        <f t="shared" si="32"/>
        <v>27033</v>
      </c>
      <c r="G264" s="70">
        <f t="shared" si="32"/>
        <v>61812</v>
      </c>
      <c r="H264" s="70" t="str">
        <f t="shared" si="32"/>
        <v>-</v>
      </c>
      <c r="I264" s="70">
        <f t="shared" si="32"/>
        <v>480352</v>
      </c>
      <c r="J264" s="70"/>
      <c r="K264" s="70" t="str">
        <f t="shared" si="33"/>
        <v>-</v>
      </c>
      <c r="L264" s="70" t="str">
        <f t="shared" si="33"/>
        <v>-</v>
      </c>
      <c r="M264" s="70" t="str">
        <f t="shared" si="33"/>
        <v>-</v>
      </c>
      <c r="N264" s="70" t="str">
        <f t="shared" si="33"/>
        <v>-</v>
      </c>
      <c r="O264" s="70" t="str">
        <f t="shared" si="33"/>
        <v>-</v>
      </c>
      <c r="P264" s="70" t="str">
        <f t="shared" si="33"/>
        <v>-</v>
      </c>
      <c r="Q264" s="70" t="str">
        <f t="shared" si="33"/>
        <v>-</v>
      </c>
      <c r="R264" s="70" t="str">
        <f t="shared" si="33"/>
        <v>-</v>
      </c>
    </row>
    <row r="265" spans="1:18" x14ac:dyDescent="0.2">
      <c r="A265" s="123">
        <v>2001</v>
      </c>
      <c r="B265" s="70" t="str">
        <f t="shared" si="32"/>
        <v>-</v>
      </c>
      <c r="C265" s="70">
        <f t="shared" si="32"/>
        <v>73044</v>
      </c>
      <c r="D265" s="70">
        <f t="shared" si="32"/>
        <v>11497</v>
      </c>
      <c r="E265" s="70">
        <f t="shared" si="32"/>
        <v>63084</v>
      </c>
      <c r="F265" s="70">
        <f t="shared" si="32"/>
        <v>14172</v>
      </c>
      <c r="G265" s="70">
        <f t="shared" si="32"/>
        <v>27634</v>
      </c>
      <c r="H265" s="70">
        <f t="shared" si="32"/>
        <v>3655</v>
      </c>
      <c r="I265" s="70">
        <f t="shared" si="32"/>
        <v>193086</v>
      </c>
      <c r="K265" s="70" t="str">
        <f t="shared" si="33"/>
        <v>-</v>
      </c>
      <c r="L265" s="70">
        <f t="shared" si="33"/>
        <v>0</v>
      </c>
      <c r="M265" s="70" t="str">
        <f t="shared" si="33"/>
        <v>-</v>
      </c>
      <c r="N265" s="70" t="str">
        <f t="shared" si="33"/>
        <v>-</v>
      </c>
      <c r="O265" s="70" t="str">
        <f t="shared" si="33"/>
        <v>-</v>
      </c>
      <c r="P265" s="70" t="str">
        <f t="shared" si="33"/>
        <v>-</v>
      </c>
      <c r="Q265" s="70" t="str">
        <f t="shared" si="33"/>
        <v>-</v>
      </c>
      <c r="R265" s="70" t="str">
        <f t="shared" si="33"/>
        <v>-</v>
      </c>
    </row>
    <row r="266" spans="1:18" x14ac:dyDescent="0.2">
      <c r="A266" s="123">
        <v>2002</v>
      </c>
      <c r="B266" s="70" t="str">
        <f t="shared" si="32"/>
        <v>-</v>
      </c>
      <c r="C266" s="70">
        <f t="shared" si="32"/>
        <v>86120</v>
      </c>
      <c r="D266" s="70">
        <f t="shared" si="32"/>
        <v>93214</v>
      </c>
      <c r="E266" s="70">
        <f t="shared" si="32"/>
        <v>128032</v>
      </c>
      <c r="F266" s="70">
        <f t="shared" si="32"/>
        <v>58969</v>
      </c>
      <c r="G266" s="70">
        <f t="shared" si="32"/>
        <v>24426</v>
      </c>
      <c r="H266" s="70">
        <f t="shared" si="32"/>
        <v>894</v>
      </c>
      <c r="I266" s="70">
        <f t="shared" si="32"/>
        <v>391655</v>
      </c>
      <c r="K266" s="70" t="str">
        <f t="shared" si="33"/>
        <v>-</v>
      </c>
      <c r="L266" s="70" t="str">
        <f t="shared" si="33"/>
        <v>-</v>
      </c>
      <c r="M266" s="70" t="str">
        <f t="shared" si="33"/>
        <v>-</v>
      </c>
      <c r="N266" s="70" t="str">
        <f t="shared" si="33"/>
        <v>-</v>
      </c>
      <c r="O266" s="70" t="str">
        <f t="shared" si="33"/>
        <v>-</v>
      </c>
      <c r="P266" s="70" t="str">
        <f t="shared" si="33"/>
        <v>-</v>
      </c>
      <c r="Q266" s="70" t="str">
        <f t="shared" si="33"/>
        <v>-</v>
      </c>
      <c r="R266" s="70" t="str">
        <f t="shared" si="33"/>
        <v>-</v>
      </c>
    </row>
    <row r="267" spans="1:18" x14ac:dyDescent="0.2">
      <c r="A267" s="123">
        <v>2003</v>
      </c>
      <c r="B267" s="70">
        <f t="shared" si="32"/>
        <v>1654</v>
      </c>
      <c r="C267" s="70">
        <f t="shared" si="32"/>
        <v>73318</v>
      </c>
      <c r="D267" s="70">
        <f t="shared" si="32"/>
        <v>104301</v>
      </c>
      <c r="E267" s="70">
        <f t="shared" si="32"/>
        <v>123712</v>
      </c>
      <c r="F267" s="70">
        <f t="shared" si="32"/>
        <v>111086</v>
      </c>
      <c r="G267" s="70">
        <f t="shared" si="32"/>
        <v>75779</v>
      </c>
      <c r="H267" s="70">
        <f t="shared" si="32"/>
        <v>2044</v>
      </c>
      <c r="I267" s="70">
        <f t="shared" si="32"/>
        <v>491894</v>
      </c>
      <c r="J267" s="199"/>
      <c r="K267" s="70" t="str">
        <f t="shared" si="33"/>
        <v>-</v>
      </c>
      <c r="L267" s="70" t="str">
        <f t="shared" si="33"/>
        <v>-</v>
      </c>
      <c r="M267" s="70" t="str">
        <f t="shared" si="33"/>
        <v>-</v>
      </c>
      <c r="N267" s="70" t="str">
        <f t="shared" si="33"/>
        <v>-</v>
      </c>
      <c r="O267" s="70" t="str">
        <f t="shared" si="33"/>
        <v>-</v>
      </c>
      <c r="P267" s="70" t="str">
        <f t="shared" si="33"/>
        <v>-</v>
      </c>
      <c r="Q267" s="70" t="str">
        <f t="shared" si="33"/>
        <v>-</v>
      </c>
      <c r="R267" s="70" t="str">
        <f t="shared" si="33"/>
        <v>-</v>
      </c>
    </row>
    <row r="268" spans="1:18" x14ac:dyDescent="0.2">
      <c r="A268" s="123">
        <v>2004</v>
      </c>
      <c r="B268" s="70">
        <f t="shared" si="32"/>
        <v>718</v>
      </c>
      <c r="C268" s="70">
        <f t="shared" si="32"/>
        <v>97596</v>
      </c>
      <c r="D268" s="70">
        <f t="shared" si="32"/>
        <v>154181</v>
      </c>
      <c r="E268" s="70">
        <f t="shared" si="32"/>
        <v>162482</v>
      </c>
      <c r="F268" s="70">
        <f t="shared" si="32"/>
        <v>64211</v>
      </c>
      <c r="G268" s="70">
        <f t="shared" si="32"/>
        <v>21711</v>
      </c>
      <c r="H268" s="70">
        <f t="shared" si="32"/>
        <v>1211</v>
      </c>
      <c r="I268" s="70">
        <f t="shared" si="32"/>
        <v>502110</v>
      </c>
      <c r="J268" s="97"/>
      <c r="K268" s="70" t="str">
        <f t="shared" si="33"/>
        <v>-</v>
      </c>
      <c r="L268" s="70" t="str">
        <f t="shared" si="33"/>
        <v>-</v>
      </c>
      <c r="M268" s="70" t="str">
        <f t="shared" si="33"/>
        <v>-</v>
      </c>
      <c r="N268" s="70" t="str">
        <f t="shared" si="33"/>
        <v>-</v>
      </c>
      <c r="O268" s="70" t="str">
        <f t="shared" si="33"/>
        <v>-</v>
      </c>
      <c r="P268" s="70" t="str">
        <f t="shared" si="33"/>
        <v>-</v>
      </c>
      <c r="Q268" s="70" t="str">
        <f t="shared" si="33"/>
        <v>-</v>
      </c>
      <c r="R268" s="70" t="str">
        <f t="shared" si="33"/>
        <v>-</v>
      </c>
    </row>
    <row r="269" spans="1:18" x14ac:dyDescent="0.2">
      <c r="A269" s="123">
        <v>2005</v>
      </c>
      <c r="B269" s="70" t="str">
        <f t="shared" si="32"/>
        <v>-</v>
      </c>
      <c r="C269" s="70">
        <f t="shared" si="32"/>
        <v>76855</v>
      </c>
      <c r="D269" s="70">
        <f t="shared" si="32"/>
        <v>5001</v>
      </c>
      <c r="E269" s="70">
        <f t="shared" si="32"/>
        <v>139928</v>
      </c>
      <c r="F269" s="70">
        <f t="shared" si="32"/>
        <v>35046</v>
      </c>
      <c r="G269" s="70">
        <f t="shared" si="32"/>
        <v>81727</v>
      </c>
      <c r="H269" s="70">
        <f t="shared" si="32"/>
        <v>2305</v>
      </c>
      <c r="I269" s="70">
        <f t="shared" si="32"/>
        <v>340862</v>
      </c>
      <c r="J269" s="97"/>
      <c r="K269" s="70" t="str">
        <f t="shared" si="33"/>
        <v>-</v>
      </c>
      <c r="L269" s="70" t="str">
        <f t="shared" si="33"/>
        <v>-</v>
      </c>
      <c r="M269" s="70" t="str">
        <f t="shared" si="33"/>
        <v>-</v>
      </c>
      <c r="N269" s="70" t="str">
        <f t="shared" si="33"/>
        <v>-</v>
      </c>
      <c r="O269" s="70" t="str">
        <f t="shared" si="33"/>
        <v>-</v>
      </c>
      <c r="P269" s="70" t="str">
        <f t="shared" si="33"/>
        <v>-</v>
      </c>
      <c r="Q269" s="70" t="str">
        <f t="shared" si="33"/>
        <v>-</v>
      </c>
      <c r="R269" s="70" t="str">
        <f t="shared" si="33"/>
        <v>-</v>
      </c>
    </row>
    <row r="270" spans="1:18" x14ac:dyDescent="0.2">
      <c r="A270" s="123">
        <v>2006</v>
      </c>
      <c r="B270" s="70" t="str">
        <f t="shared" ref="B270:I279" si="34">IF(AND(B223="-",B176="-",B129="-",B82="-",B35="-"),"-",SUM(B223,B176,B129,B82,B35))</f>
        <v>-</v>
      </c>
      <c r="C270" s="70">
        <f t="shared" si="34"/>
        <v>9911</v>
      </c>
      <c r="D270" s="70">
        <f t="shared" si="34"/>
        <v>391</v>
      </c>
      <c r="E270" s="70">
        <f t="shared" si="34"/>
        <v>16783</v>
      </c>
      <c r="F270" s="70">
        <f t="shared" si="34"/>
        <v>18589</v>
      </c>
      <c r="G270" s="70">
        <f t="shared" si="34"/>
        <v>22982</v>
      </c>
      <c r="H270" s="70">
        <f t="shared" si="34"/>
        <v>1072</v>
      </c>
      <c r="I270" s="70">
        <f t="shared" si="34"/>
        <v>69728</v>
      </c>
      <c r="J270" s="97"/>
      <c r="K270" s="70" t="str">
        <f t="shared" ref="K270:R279" si="35">IF(AND(K223="-",K176="-",K129="-",K82="-",K35="-"),"-",SUM(K223,K176,K129,K82,K35))</f>
        <v>-</v>
      </c>
      <c r="L270" s="70" t="str">
        <f t="shared" si="35"/>
        <v>-</v>
      </c>
      <c r="M270" s="70" t="str">
        <f t="shared" si="35"/>
        <v>-</v>
      </c>
      <c r="N270" s="70" t="str">
        <f t="shared" si="35"/>
        <v>-</v>
      </c>
      <c r="O270" s="70" t="str">
        <f t="shared" si="35"/>
        <v>-</v>
      </c>
      <c r="P270" s="70" t="str">
        <f t="shared" si="35"/>
        <v>-</v>
      </c>
      <c r="Q270" s="70" t="str">
        <f t="shared" si="35"/>
        <v>-</v>
      </c>
      <c r="R270" s="70" t="str">
        <f t="shared" si="35"/>
        <v>-</v>
      </c>
    </row>
    <row r="271" spans="1:18" s="374" customFormat="1" x14ac:dyDescent="0.2">
      <c r="A271" s="122">
        <v>2007</v>
      </c>
      <c r="B271" s="97">
        <f t="shared" si="34"/>
        <v>748</v>
      </c>
      <c r="C271" s="97">
        <f t="shared" si="34"/>
        <v>36598</v>
      </c>
      <c r="D271" s="97">
        <f t="shared" si="34"/>
        <v>156</v>
      </c>
      <c r="E271" s="97">
        <f t="shared" si="34"/>
        <v>41808</v>
      </c>
      <c r="F271" s="97">
        <f t="shared" si="34"/>
        <v>23212</v>
      </c>
      <c r="G271" s="97">
        <f t="shared" si="34"/>
        <v>11267</v>
      </c>
      <c r="H271" s="97">
        <f t="shared" si="34"/>
        <v>352</v>
      </c>
      <c r="I271" s="97">
        <f t="shared" si="34"/>
        <v>114141</v>
      </c>
      <c r="J271" s="97"/>
      <c r="K271" s="97" t="str">
        <f t="shared" si="35"/>
        <v>-</v>
      </c>
      <c r="L271" s="97" t="str">
        <f t="shared" si="35"/>
        <v>-</v>
      </c>
      <c r="M271" s="97" t="str">
        <f t="shared" si="35"/>
        <v>-</v>
      </c>
      <c r="N271" s="97" t="str">
        <f t="shared" si="35"/>
        <v>-</v>
      </c>
      <c r="O271" s="97" t="str">
        <f t="shared" si="35"/>
        <v>-</v>
      </c>
      <c r="P271" s="97" t="str">
        <f t="shared" si="35"/>
        <v>-</v>
      </c>
      <c r="Q271" s="97" t="str">
        <f t="shared" si="35"/>
        <v>-</v>
      </c>
      <c r="R271" s="97" t="str">
        <f t="shared" si="35"/>
        <v>-</v>
      </c>
    </row>
    <row r="272" spans="1:18" s="374" customFormat="1" x14ac:dyDescent="0.2">
      <c r="A272" s="122">
        <v>2008</v>
      </c>
      <c r="B272" s="97" t="str">
        <f t="shared" si="34"/>
        <v>-</v>
      </c>
      <c r="C272" s="97" t="str">
        <f t="shared" si="34"/>
        <v>-</v>
      </c>
      <c r="D272" s="97" t="str">
        <f t="shared" si="34"/>
        <v>-</v>
      </c>
      <c r="E272" s="97" t="str">
        <f t="shared" si="34"/>
        <v>-</v>
      </c>
      <c r="F272" s="97" t="str">
        <f t="shared" si="34"/>
        <v>-</v>
      </c>
      <c r="G272" s="97" t="str">
        <f t="shared" si="34"/>
        <v>-</v>
      </c>
      <c r="H272" s="97" t="str">
        <f t="shared" si="34"/>
        <v>-</v>
      </c>
      <c r="I272" s="97" t="str">
        <f t="shared" si="34"/>
        <v>-</v>
      </c>
      <c r="J272" s="97"/>
      <c r="K272" s="97" t="str">
        <f t="shared" si="35"/>
        <v>-</v>
      </c>
      <c r="L272" s="97" t="str">
        <f t="shared" si="35"/>
        <v>-</v>
      </c>
      <c r="M272" s="97" t="str">
        <f t="shared" si="35"/>
        <v>-</v>
      </c>
      <c r="N272" s="97" t="str">
        <f t="shared" si="35"/>
        <v>-</v>
      </c>
      <c r="O272" s="97" t="str">
        <f t="shared" si="35"/>
        <v>-</v>
      </c>
      <c r="P272" s="97" t="str">
        <f t="shared" si="35"/>
        <v>-</v>
      </c>
      <c r="Q272" s="97" t="str">
        <f t="shared" si="35"/>
        <v>-</v>
      </c>
      <c r="R272" s="97" t="str">
        <f t="shared" si="35"/>
        <v>-</v>
      </c>
    </row>
    <row r="273" spans="1:18" s="374" customFormat="1" x14ac:dyDescent="0.2">
      <c r="A273" s="122">
        <v>2009</v>
      </c>
      <c r="B273" s="97" t="str">
        <f t="shared" si="34"/>
        <v>-</v>
      </c>
      <c r="C273" s="97" t="str">
        <f t="shared" si="34"/>
        <v>-</v>
      </c>
      <c r="D273" s="97" t="str">
        <f t="shared" si="34"/>
        <v>-</v>
      </c>
      <c r="E273" s="97" t="str">
        <f t="shared" si="34"/>
        <v>-</v>
      </c>
      <c r="F273" s="97" t="str">
        <f t="shared" si="34"/>
        <v>-</v>
      </c>
      <c r="G273" s="97" t="str">
        <f t="shared" si="34"/>
        <v>-</v>
      </c>
      <c r="H273" s="97" t="str">
        <f t="shared" si="34"/>
        <v>-</v>
      </c>
      <c r="I273" s="97" t="str">
        <f t="shared" si="34"/>
        <v>-</v>
      </c>
      <c r="J273" s="97"/>
      <c r="K273" s="97" t="str">
        <f t="shared" si="35"/>
        <v>-</v>
      </c>
      <c r="L273" s="97" t="str">
        <f t="shared" si="35"/>
        <v>-</v>
      </c>
      <c r="M273" s="97" t="str">
        <f t="shared" si="35"/>
        <v>-</v>
      </c>
      <c r="N273" s="97" t="str">
        <f t="shared" si="35"/>
        <v>-</v>
      </c>
      <c r="O273" s="97" t="str">
        <f t="shared" si="35"/>
        <v>-</v>
      </c>
      <c r="P273" s="97" t="str">
        <f t="shared" si="35"/>
        <v>-</v>
      </c>
      <c r="Q273" s="97" t="str">
        <f t="shared" si="35"/>
        <v>-</v>
      </c>
      <c r="R273" s="97" t="str">
        <f t="shared" si="35"/>
        <v>-</v>
      </c>
    </row>
    <row r="274" spans="1:18" s="374" customFormat="1" x14ac:dyDescent="0.2">
      <c r="A274" s="122">
        <v>2010</v>
      </c>
      <c r="B274" s="97" t="str">
        <f t="shared" si="34"/>
        <v>-</v>
      </c>
      <c r="C274" s="97" t="str">
        <f t="shared" si="34"/>
        <v>-</v>
      </c>
      <c r="D274" s="97" t="str">
        <f t="shared" si="34"/>
        <v>-</v>
      </c>
      <c r="E274" s="97">
        <f t="shared" si="34"/>
        <v>8906</v>
      </c>
      <c r="F274" s="97">
        <f t="shared" si="34"/>
        <v>6182</v>
      </c>
      <c r="G274" s="97" t="str">
        <f t="shared" si="34"/>
        <v>-</v>
      </c>
      <c r="H274" s="97" t="str">
        <f t="shared" si="34"/>
        <v>-</v>
      </c>
      <c r="I274" s="97">
        <f t="shared" si="34"/>
        <v>15088</v>
      </c>
      <c r="J274" s="97"/>
      <c r="K274" s="97" t="str">
        <f t="shared" si="35"/>
        <v>-</v>
      </c>
      <c r="L274" s="97" t="str">
        <f t="shared" si="35"/>
        <v>-</v>
      </c>
      <c r="M274" s="97" t="str">
        <f t="shared" si="35"/>
        <v>-</v>
      </c>
      <c r="N274" s="97" t="str">
        <f t="shared" si="35"/>
        <v>-</v>
      </c>
      <c r="O274" s="97" t="str">
        <f t="shared" si="35"/>
        <v>-</v>
      </c>
      <c r="P274" s="97" t="str">
        <f t="shared" si="35"/>
        <v>-</v>
      </c>
      <c r="Q274" s="97" t="str">
        <f t="shared" si="35"/>
        <v>-</v>
      </c>
      <c r="R274" s="97" t="str">
        <f t="shared" si="35"/>
        <v>-</v>
      </c>
    </row>
    <row r="275" spans="1:18" s="374" customFormat="1" x14ac:dyDescent="0.2">
      <c r="A275" s="122">
        <v>2011</v>
      </c>
      <c r="B275" s="97" t="str">
        <f t="shared" si="34"/>
        <v>-</v>
      </c>
      <c r="C275" s="97">
        <f t="shared" si="34"/>
        <v>11732</v>
      </c>
      <c r="D275" s="97">
        <f t="shared" si="34"/>
        <v>4189</v>
      </c>
      <c r="E275" s="97">
        <f t="shared" si="34"/>
        <v>31669</v>
      </c>
      <c r="F275" s="97">
        <f t="shared" si="34"/>
        <v>20301</v>
      </c>
      <c r="G275" s="97">
        <f t="shared" si="34"/>
        <v>1820</v>
      </c>
      <c r="H275" s="97">
        <f t="shared" si="34"/>
        <v>317</v>
      </c>
      <c r="I275" s="97">
        <f t="shared" si="34"/>
        <v>70028</v>
      </c>
      <c r="J275" s="97"/>
      <c r="K275" s="97" t="str">
        <f t="shared" si="35"/>
        <v>-</v>
      </c>
      <c r="L275" s="97" t="str">
        <f t="shared" si="35"/>
        <v>-</v>
      </c>
      <c r="M275" s="97" t="str">
        <f t="shared" si="35"/>
        <v>-</v>
      </c>
      <c r="N275" s="97" t="str">
        <f t="shared" si="35"/>
        <v>-</v>
      </c>
      <c r="O275" s="97" t="str">
        <f t="shared" si="35"/>
        <v>-</v>
      </c>
      <c r="P275" s="97" t="str">
        <f t="shared" si="35"/>
        <v>-</v>
      </c>
      <c r="Q275" s="97" t="str">
        <f t="shared" si="35"/>
        <v>-</v>
      </c>
      <c r="R275" s="97" t="str">
        <f t="shared" si="35"/>
        <v>-</v>
      </c>
    </row>
    <row r="276" spans="1:18" s="374" customFormat="1" x14ac:dyDescent="0.2">
      <c r="A276" s="122">
        <v>2012</v>
      </c>
      <c r="B276" s="97" t="str">
        <f t="shared" si="34"/>
        <v>-</v>
      </c>
      <c r="C276" s="97">
        <f t="shared" si="34"/>
        <v>58857</v>
      </c>
      <c r="D276" s="97">
        <f t="shared" si="34"/>
        <v>19385</v>
      </c>
      <c r="E276" s="97">
        <f t="shared" si="34"/>
        <v>92842</v>
      </c>
      <c r="F276" s="97">
        <f t="shared" si="34"/>
        <v>28266</v>
      </c>
      <c r="G276" s="97">
        <f t="shared" si="34"/>
        <v>12922</v>
      </c>
      <c r="H276" s="97">
        <f t="shared" si="34"/>
        <v>3313</v>
      </c>
      <c r="I276" s="97">
        <f t="shared" si="34"/>
        <v>215585</v>
      </c>
      <c r="J276" s="97"/>
      <c r="K276" s="97" t="str">
        <f t="shared" si="35"/>
        <v>-</v>
      </c>
      <c r="L276" s="97" t="str">
        <f t="shared" si="35"/>
        <v>-</v>
      </c>
      <c r="M276" s="97" t="str">
        <f t="shared" si="35"/>
        <v>-</v>
      </c>
      <c r="N276" s="97" t="str">
        <f t="shared" si="35"/>
        <v>-</v>
      </c>
      <c r="O276" s="97" t="str">
        <f t="shared" si="35"/>
        <v>-</v>
      </c>
      <c r="P276" s="97" t="str">
        <f t="shared" si="35"/>
        <v>-</v>
      </c>
      <c r="Q276" s="97" t="str">
        <f t="shared" si="35"/>
        <v>-</v>
      </c>
      <c r="R276" s="97" t="str">
        <f t="shared" si="35"/>
        <v>-</v>
      </c>
    </row>
    <row r="277" spans="1:18" s="374" customFormat="1" x14ac:dyDescent="0.2">
      <c r="A277" s="122">
        <v>2013</v>
      </c>
      <c r="B277" s="97" t="str">
        <f t="shared" si="34"/>
        <v>-</v>
      </c>
      <c r="C277" s="97">
        <f t="shared" si="34"/>
        <v>77516</v>
      </c>
      <c r="D277" s="97">
        <f t="shared" si="34"/>
        <v>84549</v>
      </c>
      <c r="E277" s="97">
        <f t="shared" si="34"/>
        <v>98270</v>
      </c>
      <c r="F277" s="97">
        <f t="shared" si="34"/>
        <v>25257</v>
      </c>
      <c r="G277" s="97">
        <f t="shared" si="34"/>
        <v>11094</v>
      </c>
      <c r="H277" s="97">
        <f t="shared" si="34"/>
        <v>941</v>
      </c>
      <c r="I277" s="97">
        <f t="shared" si="34"/>
        <v>297627</v>
      </c>
      <c r="J277" s="97"/>
      <c r="K277" s="97" t="str">
        <f t="shared" si="35"/>
        <v>-</v>
      </c>
      <c r="L277" s="97" t="str">
        <f t="shared" si="35"/>
        <v>-</v>
      </c>
      <c r="M277" s="97" t="str">
        <f t="shared" si="35"/>
        <v>-</v>
      </c>
      <c r="N277" s="97" t="str">
        <f t="shared" si="35"/>
        <v>-</v>
      </c>
      <c r="O277" s="97" t="str">
        <f t="shared" si="35"/>
        <v>-</v>
      </c>
      <c r="P277" s="97" t="str">
        <f t="shared" si="35"/>
        <v>-</v>
      </c>
      <c r="Q277" s="97" t="str">
        <f t="shared" si="35"/>
        <v>-</v>
      </c>
      <c r="R277" s="97" t="str">
        <f t="shared" si="35"/>
        <v>-</v>
      </c>
    </row>
    <row r="278" spans="1:18" s="374" customFormat="1" x14ac:dyDescent="0.2">
      <c r="A278" s="122">
        <v>2014</v>
      </c>
      <c r="B278" s="97" t="str">
        <f t="shared" si="34"/>
        <v>-</v>
      </c>
      <c r="C278" s="97">
        <f t="shared" si="34"/>
        <v>34946</v>
      </c>
      <c r="D278" s="97">
        <f t="shared" si="34"/>
        <v>39581</v>
      </c>
      <c r="E278" s="97">
        <f t="shared" si="34"/>
        <v>54568</v>
      </c>
      <c r="F278" s="97">
        <f t="shared" si="34"/>
        <v>24085</v>
      </c>
      <c r="G278" s="97">
        <f t="shared" si="34"/>
        <v>12118</v>
      </c>
      <c r="H278" s="97">
        <f t="shared" si="34"/>
        <v>2985</v>
      </c>
      <c r="I278" s="97">
        <f t="shared" si="34"/>
        <v>168283</v>
      </c>
      <c r="J278" s="97"/>
      <c r="K278" s="97" t="str">
        <f t="shared" si="35"/>
        <v>-</v>
      </c>
      <c r="L278" s="97" t="str">
        <f t="shared" si="35"/>
        <v>-</v>
      </c>
      <c r="M278" s="97" t="str">
        <f t="shared" si="35"/>
        <v>-</v>
      </c>
      <c r="N278" s="97" t="str">
        <f t="shared" si="35"/>
        <v>-</v>
      </c>
      <c r="O278" s="97" t="str">
        <f t="shared" si="35"/>
        <v>-</v>
      </c>
      <c r="P278" s="97" t="str">
        <f t="shared" si="35"/>
        <v>-</v>
      </c>
      <c r="Q278" s="97" t="str">
        <f t="shared" si="35"/>
        <v>-</v>
      </c>
      <c r="R278" s="97" t="str">
        <f t="shared" si="35"/>
        <v>-</v>
      </c>
    </row>
    <row r="279" spans="1:18" s="374" customFormat="1" x14ac:dyDescent="0.2">
      <c r="A279" s="122">
        <v>2015</v>
      </c>
      <c r="B279" s="97" t="str">
        <f t="shared" si="34"/>
        <v>-</v>
      </c>
      <c r="C279" s="97">
        <f t="shared" si="34"/>
        <v>53561</v>
      </c>
      <c r="D279" s="97">
        <f t="shared" si="34"/>
        <v>19489</v>
      </c>
      <c r="E279" s="97">
        <f t="shared" si="34"/>
        <v>12920</v>
      </c>
      <c r="F279" s="97">
        <f t="shared" si="34"/>
        <v>11467</v>
      </c>
      <c r="G279" s="97">
        <f t="shared" si="34"/>
        <v>10453</v>
      </c>
      <c r="H279" s="97">
        <f t="shared" si="34"/>
        <v>2617</v>
      </c>
      <c r="I279" s="97">
        <f t="shared" si="34"/>
        <v>110507</v>
      </c>
      <c r="J279" s="97"/>
      <c r="K279" s="97" t="str">
        <f t="shared" si="35"/>
        <v>-</v>
      </c>
      <c r="L279" s="97" t="str">
        <f t="shared" si="35"/>
        <v>-</v>
      </c>
      <c r="M279" s="97" t="str">
        <f t="shared" si="35"/>
        <v>-</v>
      </c>
      <c r="N279" s="97" t="str">
        <f t="shared" si="35"/>
        <v>-</v>
      </c>
      <c r="O279" s="97" t="str">
        <f t="shared" si="35"/>
        <v>-</v>
      </c>
      <c r="P279" s="97" t="str">
        <f t="shared" si="35"/>
        <v>-</v>
      </c>
      <c r="Q279" s="97" t="str">
        <f t="shared" si="35"/>
        <v>-</v>
      </c>
      <c r="R279" s="97" t="str">
        <f t="shared" si="35"/>
        <v>-</v>
      </c>
    </row>
    <row r="280" spans="1:18" s="374" customFormat="1" x14ac:dyDescent="0.2">
      <c r="A280" s="122">
        <v>2016</v>
      </c>
      <c r="B280" s="97" t="str">
        <f t="shared" ref="B280:I280" si="36">IF(AND(B233="-",B186="-",B139="-",B92="-",B45="-"),"-",SUM(B233,B186,B139,B92,B45))</f>
        <v>-</v>
      </c>
      <c r="C280" s="97">
        <f t="shared" si="36"/>
        <v>13367</v>
      </c>
      <c r="D280" s="97">
        <f t="shared" si="36"/>
        <v>13428</v>
      </c>
      <c r="E280" s="97" t="str">
        <f t="shared" si="36"/>
        <v>-</v>
      </c>
      <c r="F280" s="97">
        <f t="shared" si="36"/>
        <v>18334</v>
      </c>
      <c r="G280" s="97">
        <f t="shared" si="36"/>
        <v>9467</v>
      </c>
      <c r="H280" s="97">
        <f t="shared" si="36"/>
        <v>589</v>
      </c>
      <c r="I280" s="97">
        <f t="shared" si="36"/>
        <v>55185</v>
      </c>
      <c r="J280" s="97"/>
      <c r="K280" s="97" t="str">
        <f t="shared" ref="K280:R280" si="37">IF(AND(K233="-",K186="-",K139="-",K92="-",K45="-"),"-",SUM(K233,K186,K139,K92,K45))</f>
        <v>-</v>
      </c>
      <c r="L280" s="97" t="str">
        <f t="shared" si="37"/>
        <v>-</v>
      </c>
      <c r="M280" s="97" t="str">
        <f t="shared" si="37"/>
        <v>-</v>
      </c>
      <c r="N280" s="97" t="str">
        <f t="shared" si="37"/>
        <v>-</v>
      </c>
      <c r="O280" s="97" t="str">
        <f t="shared" si="37"/>
        <v>-</v>
      </c>
      <c r="P280" s="97" t="str">
        <f t="shared" si="37"/>
        <v>-</v>
      </c>
      <c r="Q280" s="97" t="str">
        <f t="shared" si="37"/>
        <v>-</v>
      </c>
      <c r="R280" s="97" t="str">
        <f t="shared" si="37"/>
        <v>-</v>
      </c>
    </row>
    <row r="281" spans="1:18" s="374" customFormat="1" x14ac:dyDescent="0.2">
      <c r="A281" s="122">
        <v>2017</v>
      </c>
      <c r="B281" s="97" t="str">
        <f t="shared" ref="B281:I281" si="38">IF(AND(B234="-",B187="-",B140="-",B93="-",B46="-"),"-",SUM(B234,B187,B140,B93,B46))</f>
        <v>-</v>
      </c>
      <c r="C281" s="97">
        <f t="shared" si="38"/>
        <v>5588</v>
      </c>
      <c r="D281" s="97">
        <f t="shared" si="38"/>
        <v>6891</v>
      </c>
      <c r="E281" s="97" t="str">
        <f t="shared" si="38"/>
        <v>-</v>
      </c>
      <c r="F281" s="97">
        <f t="shared" si="38"/>
        <v>18336</v>
      </c>
      <c r="G281" s="97">
        <f t="shared" si="38"/>
        <v>10232</v>
      </c>
      <c r="H281" s="97">
        <f t="shared" si="38"/>
        <v>1279</v>
      </c>
      <c r="I281" s="97">
        <f t="shared" si="38"/>
        <v>42326</v>
      </c>
      <c r="J281" s="97"/>
      <c r="K281" s="97" t="str">
        <f t="shared" ref="K281:R281" si="39">IF(AND(K234="-",K187="-",K140="-",K93="-",K46="-"),"-",SUM(K234,K187,K140,K93,K46))</f>
        <v>-</v>
      </c>
      <c r="L281" s="97" t="str">
        <f t="shared" si="39"/>
        <v>-</v>
      </c>
      <c r="M281" s="97" t="str">
        <f t="shared" si="39"/>
        <v>-</v>
      </c>
      <c r="N281" s="97" t="str">
        <f t="shared" si="39"/>
        <v>-</v>
      </c>
      <c r="O281" s="97" t="str">
        <f t="shared" si="39"/>
        <v>-</v>
      </c>
      <c r="P281" s="97" t="str">
        <f t="shared" si="39"/>
        <v>-</v>
      </c>
      <c r="Q281" s="97" t="str">
        <f t="shared" si="39"/>
        <v>-</v>
      </c>
      <c r="R281" s="97" t="str">
        <f t="shared" si="39"/>
        <v>-</v>
      </c>
    </row>
    <row r="282" spans="1:18" s="374" customFormat="1" x14ac:dyDescent="0.2">
      <c r="A282" s="122">
        <v>2018</v>
      </c>
      <c r="B282" s="97" t="str">
        <f t="shared" ref="B282:I282" si="40">IF(AND(B235="-",B188="-",B141="-",B94="-",B47="-"),"-",SUM(B235,B188,B141,B94,B47))</f>
        <v>-</v>
      </c>
      <c r="C282" s="97">
        <f t="shared" si="40"/>
        <v>5503</v>
      </c>
      <c r="D282" s="97">
        <f t="shared" si="40"/>
        <v>17336</v>
      </c>
      <c r="E282" s="97">
        <f t="shared" si="40"/>
        <v>14916</v>
      </c>
      <c r="F282" s="97">
        <f t="shared" si="40"/>
        <v>27704</v>
      </c>
      <c r="G282" s="97">
        <f t="shared" si="40"/>
        <v>10926</v>
      </c>
      <c r="H282" s="97">
        <f t="shared" si="40"/>
        <v>2031</v>
      </c>
      <c r="I282" s="97">
        <f t="shared" si="40"/>
        <v>78416</v>
      </c>
      <c r="J282" s="97"/>
      <c r="K282" s="97" t="str">
        <f t="shared" ref="K282:R282" si="41">IF(AND(K235="-",K188="-",K141="-",K94="-",K47="-"),"-",SUM(K235,K188,K141,K94,K47))</f>
        <v>-</v>
      </c>
      <c r="L282" s="97" t="str">
        <f t="shared" si="41"/>
        <v>-</v>
      </c>
      <c r="M282" s="97" t="str">
        <f t="shared" si="41"/>
        <v>-</v>
      </c>
      <c r="N282" s="97" t="str">
        <f t="shared" si="41"/>
        <v>-</v>
      </c>
      <c r="O282" s="97" t="str">
        <f t="shared" si="41"/>
        <v>-</v>
      </c>
      <c r="P282" s="97" t="str">
        <f t="shared" si="41"/>
        <v>-</v>
      </c>
      <c r="Q282" s="97" t="str">
        <f t="shared" si="41"/>
        <v>-</v>
      </c>
      <c r="R282" s="97" t="str">
        <f t="shared" si="41"/>
        <v>-</v>
      </c>
    </row>
    <row r="283" spans="1:18" s="487" customFormat="1" x14ac:dyDescent="0.2">
      <c r="A283" s="496" t="s">
        <v>336</v>
      </c>
      <c r="B283" s="97" t="str">
        <f t="shared" ref="B283:I284" si="42">IF(AND(B236="-",B189="-",B142="-",B95="-",B48="-"),"-",SUM(B236,B189,B142,B95,B48))</f>
        <v>-</v>
      </c>
      <c r="C283" s="97">
        <f t="shared" si="42"/>
        <v>71002</v>
      </c>
      <c r="D283" s="97">
        <f t="shared" si="42"/>
        <v>98159</v>
      </c>
      <c r="E283" s="97">
        <f t="shared" si="42"/>
        <v>38821</v>
      </c>
      <c r="F283" s="97">
        <f t="shared" si="42"/>
        <v>56856</v>
      </c>
      <c r="G283" s="97">
        <f t="shared" si="42"/>
        <v>6058</v>
      </c>
      <c r="H283" s="97">
        <f t="shared" si="42"/>
        <v>801</v>
      </c>
      <c r="I283" s="97">
        <f t="shared" si="42"/>
        <v>271697</v>
      </c>
      <c r="J283" s="97"/>
      <c r="K283" s="97" t="str">
        <f t="shared" ref="K283:R284" si="43">IF(AND(K236="-",K189="-",K142="-",K95="-",K48="-"),"-",SUM(K236,K189,K142,K95,K48))</f>
        <v>-</v>
      </c>
      <c r="L283" s="97" t="str">
        <f t="shared" si="43"/>
        <v>-</v>
      </c>
      <c r="M283" s="97" t="str">
        <f t="shared" si="43"/>
        <v>-</v>
      </c>
      <c r="N283" s="97" t="str">
        <f t="shared" si="43"/>
        <v>-</v>
      </c>
      <c r="O283" s="97" t="str">
        <f t="shared" si="43"/>
        <v>-</v>
      </c>
      <c r="P283" s="97" t="str">
        <f t="shared" si="43"/>
        <v>-</v>
      </c>
      <c r="Q283" s="97" t="str">
        <f t="shared" si="43"/>
        <v>-</v>
      </c>
      <c r="R283" s="97" t="str">
        <f t="shared" si="43"/>
        <v>-</v>
      </c>
    </row>
    <row r="284" spans="1:18" x14ac:dyDescent="0.2">
      <c r="A284" s="496" t="s">
        <v>391</v>
      </c>
      <c r="B284" s="70" t="str">
        <f t="shared" si="42"/>
        <v>-</v>
      </c>
      <c r="C284" s="70">
        <f t="shared" si="42"/>
        <v>32516</v>
      </c>
      <c r="D284" s="70">
        <f t="shared" si="42"/>
        <v>49223</v>
      </c>
      <c r="E284" s="70">
        <f t="shared" si="42"/>
        <v>65100</v>
      </c>
      <c r="F284" s="70">
        <f t="shared" si="42"/>
        <v>19615</v>
      </c>
      <c r="G284" s="70">
        <f t="shared" si="42"/>
        <v>8445</v>
      </c>
      <c r="H284" s="70">
        <f t="shared" si="42"/>
        <v>2435</v>
      </c>
      <c r="I284" s="70">
        <f t="shared" si="42"/>
        <v>177334</v>
      </c>
      <c r="J284" s="98"/>
      <c r="K284" s="70" t="str">
        <f t="shared" si="43"/>
        <v>-</v>
      </c>
      <c r="L284" s="70" t="str">
        <f t="shared" si="43"/>
        <v>-</v>
      </c>
      <c r="M284" s="70" t="str">
        <f t="shared" si="43"/>
        <v>-</v>
      </c>
      <c r="N284" s="70" t="str">
        <f t="shared" si="43"/>
        <v>-</v>
      </c>
      <c r="O284" s="70" t="str">
        <f t="shared" si="43"/>
        <v>-</v>
      </c>
      <c r="P284" s="70" t="str">
        <f t="shared" si="43"/>
        <v>-</v>
      </c>
      <c r="Q284" s="70" t="str">
        <f t="shared" si="43"/>
        <v>-</v>
      </c>
      <c r="R284" s="70" t="str">
        <f t="shared" si="43"/>
        <v>-</v>
      </c>
    </row>
    <row r="285" spans="1:18" x14ac:dyDescent="0.2">
      <c r="A285" s="525" t="s">
        <v>13</v>
      </c>
      <c r="B285" s="525"/>
      <c r="C285" s="525"/>
      <c r="D285" s="525"/>
      <c r="E285" s="525"/>
      <c r="F285" s="525"/>
      <c r="G285" s="525"/>
      <c r="H285" s="525"/>
      <c r="I285" s="525"/>
      <c r="J285" s="525"/>
      <c r="K285" s="525"/>
      <c r="L285" s="525"/>
      <c r="M285" s="525"/>
      <c r="N285" s="525"/>
      <c r="O285" s="525"/>
      <c r="P285" s="525"/>
      <c r="Q285" s="525"/>
      <c r="R285" s="525"/>
    </row>
    <row r="286" spans="1:18" x14ac:dyDescent="0.2">
      <c r="A286" s="526" t="s">
        <v>258</v>
      </c>
      <c r="B286" s="526"/>
      <c r="C286" s="526"/>
      <c r="D286" s="526"/>
      <c r="E286" s="526"/>
      <c r="F286" s="526"/>
      <c r="G286" s="526"/>
      <c r="H286" s="526"/>
      <c r="I286" s="526"/>
      <c r="J286" s="526"/>
      <c r="K286" s="526"/>
      <c r="L286" s="526"/>
      <c r="M286" s="526"/>
      <c r="N286" s="526"/>
      <c r="O286" s="526"/>
      <c r="P286" s="526"/>
      <c r="Q286" s="526"/>
      <c r="R286" s="526"/>
    </row>
    <row r="287" spans="1:18" x14ac:dyDescent="0.2">
      <c r="A287" s="526" t="s">
        <v>47</v>
      </c>
      <c r="B287" s="526"/>
      <c r="C287" s="526"/>
      <c r="D287" s="526"/>
      <c r="E287" s="526"/>
      <c r="F287" s="526"/>
      <c r="G287" s="526"/>
      <c r="H287" s="526"/>
      <c r="I287" s="526"/>
      <c r="J287" s="526"/>
      <c r="K287" s="526"/>
      <c r="L287" s="526"/>
      <c r="M287" s="526"/>
      <c r="N287" s="526"/>
      <c r="O287" s="526"/>
      <c r="P287" s="526"/>
      <c r="Q287" s="526"/>
      <c r="R287" s="526"/>
    </row>
    <row r="288" spans="1:18" x14ac:dyDescent="0.2">
      <c r="A288" s="123"/>
    </row>
    <row r="289" spans="1:18" x14ac:dyDescent="0.2">
      <c r="A289" s="123"/>
    </row>
    <row r="290" spans="1:18" x14ac:dyDescent="0.2">
      <c r="A290" s="123"/>
    </row>
    <row r="291" spans="1:18" x14ac:dyDescent="0.2">
      <c r="A291" s="123"/>
    </row>
    <row r="292" spans="1:18" x14ac:dyDescent="0.2">
      <c r="A292" s="123"/>
    </row>
    <row r="293" spans="1:18" x14ac:dyDescent="0.2">
      <c r="A293" s="123"/>
    </row>
    <row r="294" spans="1:18" x14ac:dyDescent="0.2">
      <c r="A294" s="123"/>
    </row>
    <row r="295" spans="1:18" x14ac:dyDescent="0.2">
      <c r="A295" s="123"/>
    </row>
    <row r="298" spans="1:18" s="310" customFormat="1" x14ac:dyDescent="0.2">
      <c r="A298" s="240"/>
      <c r="B298" s="241"/>
      <c r="C298" s="241"/>
      <c r="D298" s="241"/>
      <c r="E298" s="241"/>
      <c r="F298" s="241"/>
      <c r="G298" s="241"/>
      <c r="H298" s="241"/>
      <c r="I298" s="241"/>
      <c r="J298" s="241"/>
      <c r="K298" s="241"/>
      <c r="L298" s="241"/>
      <c r="M298" s="241"/>
      <c r="N298" s="241"/>
      <c r="O298" s="241"/>
      <c r="P298" s="241"/>
      <c r="Q298" s="241"/>
      <c r="R298" s="241"/>
    </row>
    <row r="305" spans="1:18" x14ac:dyDescent="0.2">
      <c r="A305" s="523" t="s">
        <v>230</v>
      </c>
      <c r="B305" s="523"/>
      <c r="C305" s="523"/>
      <c r="D305" s="523"/>
      <c r="E305" s="523"/>
      <c r="F305" s="523"/>
      <c r="G305" s="523"/>
      <c r="H305" s="523"/>
      <c r="I305" s="523"/>
      <c r="J305" s="523"/>
      <c r="K305" s="523"/>
      <c r="L305" s="523"/>
      <c r="M305" s="523"/>
      <c r="N305" s="523"/>
      <c r="O305" s="523"/>
      <c r="P305" s="523"/>
      <c r="Q305" s="523"/>
      <c r="R305" s="523"/>
    </row>
    <row r="306" spans="1:18" x14ac:dyDescent="0.2">
      <c r="A306" s="389" t="s">
        <v>33</v>
      </c>
      <c r="B306" s="99" t="s">
        <v>34</v>
      </c>
      <c r="C306" s="99" t="s">
        <v>35</v>
      </c>
      <c r="D306" s="99" t="s">
        <v>36</v>
      </c>
      <c r="E306" s="99" t="s">
        <v>37</v>
      </c>
      <c r="F306" s="99" t="s">
        <v>38</v>
      </c>
      <c r="G306" s="99" t="s">
        <v>39</v>
      </c>
      <c r="H306" s="99" t="s">
        <v>40</v>
      </c>
      <c r="I306" s="520" t="s">
        <v>28</v>
      </c>
      <c r="J306" s="520"/>
      <c r="K306" s="99" t="s">
        <v>34</v>
      </c>
      <c r="L306" s="99" t="s">
        <v>35</v>
      </c>
      <c r="M306" s="99" t="s">
        <v>36</v>
      </c>
      <c r="N306" s="99" t="s">
        <v>37</v>
      </c>
      <c r="O306" s="99" t="s">
        <v>38</v>
      </c>
      <c r="P306" s="99" t="s">
        <v>39</v>
      </c>
      <c r="Q306" s="99" t="s">
        <v>40</v>
      </c>
      <c r="R306" s="99" t="s">
        <v>28</v>
      </c>
    </row>
    <row r="307" spans="1:18" x14ac:dyDescent="0.2">
      <c r="A307" s="402"/>
      <c r="B307" s="521" t="s">
        <v>67</v>
      </c>
      <c r="C307" s="521"/>
      <c r="D307" s="521"/>
      <c r="E307" s="521"/>
      <c r="F307" s="521"/>
      <c r="G307" s="521"/>
      <c r="H307" s="521"/>
      <c r="I307" s="521"/>
      <c r="J307" s="449"/>
      <c r="K307" s="521" t="s">
        <v>68</v>
      </c>
      <c r="L307" s="521"/>
      <c r="M307" s="521"/>
      <c r="N307" s="521"/>
      <c r="O307" s="521"/>
      <c r="P307" s="521"/>
      <c r="Q307" s="521"/>
      <c r="R307" s="521"/>
    </row>
    <row r="308" spans="1:18" ht="13.5" customHeight="1" x14ac:dyDescent="0.2">
      <c r="A308" s="486" t="s">
        <v>389</v>
      </c>
      <c r="B308" s="199"/>
      <c r="C308" s="199"/>
      <c r="D308" s="199"/>
      <c r="E308" s="199"/>
      <c r="F308" s="199"/>
      <c r="G308" s="199"/>
      <c r="H308" s="199"/>
      <c r="I308" s="199"/>
      <c r="J308" s="199"/>
      <c r="K308" s="199"/>
      <c r="L308" s="199"/>
      <c r="M308" s="199"/>
      <c r="N308" s="199"/>
      <c r="O308" s="199"/>
      <c r="P308" s="199"/>
      <c r="Q308" s="199"/>
      <c r="R308" s="199"/>
    </row>
    <row r="309" spans="1:18" x14ac:dyDescent="0.2">
      <c r="A309" s="402" t="s">
        <v>87</v>
      </c>
      <c r="B309" s="97" t="s">
        <v>29</v>
      </c>
      <c r="C309" s="199">
        <f>AVERAGE(C15:C19)</f>
        <v>527</v>
      </c>
      <c r="D309" s="199">
        <f>AVERAGE(D15:D19)</f>
        <v>12994.996198495435</v>
      </c>
      <c r="E309" s="199">
        <f>AVERAGE(E15:E19)</f>
        <v>3017.1339634990559</v>
      </c>
      <c r="F309" s="199">
        <f>AVERAGE(F15:F19)</f>
        <v>2533.6078160261591</v>
      </c>
      <c r="G309" s="199">
        <f>AVERAGE(G15:G19)</f>
        <v>452.43181083718446</v>
      </c>
      <c r="H309" s="97" t="s">
        <v>29</v>
      </c>
      <c r="I309" s="199">
        <f>AVERAGE(I15:I19)</f>
        <v>13997.047044648851</v>
      </c>
      <c r="J309" s="199"/>
      <c r="K309" s="97" t="s">
        <v>29</v>
      </c>
      <c r="L309" s="97" t="s">
        <v>29</v>
      </c>
      <c r="M309" s="199">
        <f>AVERAGE(M15:M19)</f>
        <v>4408.3473864895423</v>
      </c>
      <c r="N309" s="199">
        <f>AVERAGE(N15:N19)</f>
        <v>1262.473404657017</v>
      </c>
      <c r="O309" s="199">
        <f>AVERAGE(O15:O19)</f>
        <v>4.8273642515266548</v>
      </c>
      <c r="P309" s="199">
        <f>AVERAGE(P15:P19)</f>
        <v>18.361916521340042</v>
      </c>
      <c r="Q309" s="97" t="s">
        <v>29</v>
      </c>
      <c r="R309" s="199">
        <f>AVERAGE(R15:R19)</f>
        <v>3794.8275961904137</v>
      </c>
    </row>
    <row r="310" spans="1:18" x14ac:dyDescent="0.2">
      <c r="A310" s="402" t="s">
        <v>14</v>
      </c>
      <c r="B310" s="97" t="s">
        <v>29</v>
      </c>
      <c r="C310" s="97" t="s">
        <v>29</v>
      </c>
      <c r="D310" s="97" t="s">
        <v>29</v>
      </c>
      <c r="E310" s="97" t="s">
        <v>29</v>
      </c>
      <c r="F310" s="97" t="s">
        <v>29</v>
      </c>
      <c r="G310" s="97" t="s">
        <v>29</v>
      </c>
      <c r="H310" s="97" t="s">
        <v>29</v>
      </c>
      <c r="I310" s="97" t="s">
        <v>29</v>
      </c>
      <c r="J310" s="199"/>
      <c r="K310" s="97" t="s">
        <v>29</v>
      </c>
      <c r="L310" s="97" t="s">
        <v>29</v>
      </c>
      <c r="M310" s="97" t="s">
        <v>29</v>
      </c>
      <c r="N310" s="97" t="s">
        <v>29</v>
      </c>
      <c r="O310" s="97" t="s">
        <v>29</v>
      </c>
      <c r="P310" s="97" t="s">
        <v>29</v>
      </c>
      <c r="Q310" s="97" t="s">
        <v>29</v>
      </c>
      <c r="R310" s="97" t="s">
        <v>29</v>
      </c>
    </row>
    <row r="311" spans="1:18" x14ac:dyDescent="0.2">
      <c r="A311" s="402" t="s">
        <v>207</v>
      </c>
      <c r="B311" s="97" t="s">
        <v>29</v>
      </c>
      <c r="C311" s="97" t="s">
        <v>29</v>
      </c>
      <c r="D311" s="97" t="s">
        <v>29</v>
      </c>
      <c r="E311" s="97" t="s">
        <v>29</v>
      </c>
      <c r="F311" s="199">
        <f>AVERAGE(F25:F29)</f>
        <v>98</v>
      </c>
      <c r="G311" s="199">
        <f>AVERAGE(G25:G29)</f>
        <v>106.4</v>
      </c>
      <c r="H311" s="97" t="s">
        <v>29</v>
      </c>
      <c r="I311" s="199">
        <f>AVERAGE(I25:I29)</f>
        <v>126</v>
      </c>
      <c r="J311" s="199"/>
      <c r="K311" s="97" t="s">
        <v>29</v>
      </c>
      <c r="L311" s="97" t="s">
        <v>29</v>
      </c>
      <c r="M311" s="97" t="s">
        <v>29</v>
      </c>
      <c r="N311" s="97" t="s">
        <v>29</v>
      </c>
      <c r="O311" s="97" t="s">
        <v>29</v>
      </c>
      <c r="P311" s="97" t="s">
        <v>29</v>
      </c>
      <c r="Q311" s="97" t="s">
        <v>29</v>
      </c>
      <c r="R311" s="97" t="s">
        <v>29</v>
      </c>
    </row>
    <row r="312" spans="1:18" x14ac:dyDescent="0.2">
      <c r="A312" s="383" t="s">
        <v>369</v>
      </c>
      <c r="B312" s="199">
        <f t="shared" ref="B312:I312" si="44">AVERAGE(B30:B34)</f>
        <v>1186</v>
      </c>
      <c r="C312" s="199">
        <f t="shared" si="44"/>
        <v>84</v>
      </c>
      <c r="D312" s="199">
        <f t="shared" si="44"/>
        <v>53</v>
      </c>
      <c r="E312" s="199">
        <f t="shared" si="44"/>
        <v>5245</v>
      </c>
      <c r="F312" s="199">
        <f t="shared" si="44"/>
        <v>10183.5</v>
      </c>
      <c r="G312" s="199">
        <f t="shared" si="44"/>
        <v>1350.6</v>
      </c>
      <c r="H312" s="199">
        <f t="shared" si="44"/>
        <v>293</v>
      </c>
      <c r="I312" s="199">
        <f t="shared" si="44"/>
        <v>7102.6</v>
      </c>
      <c r="J312" s="199"/>
      <c r="K312" s="199" t="str">
        <f t="shared" ref="K312:R312" si="45">K30</f>
        <v>-</v>
      </c>
      <c r="L312" s="199">
        <f t="shared" si="45"/>
        <v>0</v>
      </c>
      <c r="M312" s="199" t="str">
        <f t="shared" si="45"/>
        <v>-</v>
      </c>
      <c r="N312" s="199" t="str">
        <f t="shared" si="45"/>
        <v>-</v>
      </c>
      <c r="O312" s="199" t="str">
        <f t="shared" si="45"/>
        <v>-</v>
      </c>
      <c r="P312" s="199" t="str">
        <f t="shared" si="45"/>
        <v>-</v>
      </c>
      <c r="Q312" s="199" t="str">
        <f t="shared" si="45"/>
        <v>-</v>
      </c>
      <c r="R312" s="199" t="str">
        <f t="shared" si="45"/>
        <v>-</v>
      </c>
    </row>
    <row r="313" spans="1:18" x14ac:dyDescent="0.2">
      <c r="A313" s="402">
        <v>2006</v>
      </c>
      <c r="B313" s="199" t="str">
        <f t="shared" ref="B313:I325" si="46">B35</f>
        <v>-</v>
      </c>
      <c r="C313" s="199" t="str">
        <f t="shared" si="46"/>
        <v>-</v>
      </c>
      <c r="D313" s="199" t="str">
        <f t="shared" si="46"/>
        <v>-</v>
      </c>
      <c r="E313" s="199" t="str">
        <f t="shared" si="46"/>
        <v>-</v>
      </c>
      <c r="F313" s="199" t="str">
        <f t="shared" si="46"/>
        <v>-</v>
      </c>
      <c r="G313" s="199" t="str">
        <f t="shared" si="46"/>
        <v>-</v>
      </c>
      <c r="H313" s="199" t="str">
        <f t="shared" si="46"/>
        <v>-</v>
      </c>
      <c r="I313" s="199" t="str">
        <f t="shared" si="46"/>
        <v>-</v>
      </c>
      <c r="J313" s="450"/>
      <c r="K313" s="199" t="str">
        <f t="shared" ref="K313:R325" si="47">K35</f>
        <v>-</v>
      </c>
      <c r="L313" s="199" t="str">
        <f t="shared" si="47"/>
        <v>-</v>
      </c>
      <c r="M313" s="199" t="str">
        <f t="shared" si="47"/>
        <v>-</v>
      </c>
      <c r="N313" s="199" t="str">
        <f t="shared" si="47"/>
        <v>-</v>
      </c>
      <c r="O313" s="199" t="str">
        <f t="shared" si="47"/>
        <v>-</v>
      </c>
      <c r="P313" s="199" t="str">
        <f t="shared" si="47"/>
        <v>-</v>
      </c>
      <c r="Q313" s="199" t="str">
        <f t="shared" si="47"/>
        <v>-</v>
      </c>
      <c r="R313" s="199" t="str">
        <f t="shared" si="47"/>
        <v>-</v>
      </c>
    </row>
    <row r="314" spans="1:18" s="374" customFormat="1" x14ac:dyDescent="0.2">
      <c r="A314" s="402">
        <v>2007</v>
      </c>
      <c r="B314" s="199" t="str">
        <f t="shared" si="46"/>
        <v>-</v>
      </c>
      <c r="C314" s="199" t="str">
        <f t="shared" si="46"/>
        <v>-</v>
      </c>
      <c r="D314" s="199" t="str">
        <f t="shared" si="46"/>
        <v>-</v>
      </c>
      <c r="E314" s="199" t="str">
        <f t="shared" si="46"/>
        <v>-</v>
      </c>
      <c r="F314" s="199" t="str">
        <f t="shared" si="46"/>
        <v>-</v>
      </c>
      <c r="G314" s="199">
        <f t="shared" si="46"/>
        <v>2367</v>
      </c>
      <c r="H314" s="199" t="str">
        <f t="shared" si="46"/>
        <v>-</v>
      </c>
      <c r="I314" s="199">
        <f t="shared" si="46"/>
        <v>2367</v>
      </c>
      <c r="J314" s="450"/>
      <c r="K314" s="199" t="str">
        <f t="shared" si="47"/>
        <v>-</v>
      </c>
      <c r="L314" s="199" t="str">
        <f t="shared" si="47"/>
        <v>-</v>
      </c>
      <c r="M314" s="199" t="str">
        <f t="shared" si="47"/>
        <v>-</v>
      </c>
      <c r="N314" s="199" t="str">
        <f t="shared" si="47"/>
        <v>-</v>
      </c>
      <c r="O314" s="199" t="str">
        <f t="shared" si="47"/>
        <v>-</v>
      </c>
      <c r="P314" s="199" t="str">
        <f t="shared" si="47"/>
        <v>-</v>
      </c>
      <c r="Q314" s="199" t="str">
        <f t="shared" si="47"/>
        <v>-</v>
      </c>
      <c r="R314" s="199" t="str">
        <f t="shared" si="47"/>
        <v>-</v>
      </c>
    </row>
    <row r="315" spans="1:18" s="374" customFormat="1" x14ac:dyDescent="0.2">
      <c r="A315" s="402">
        <v>2008</v>
      </c>
      <c r="B315" s="199" t="str">
        <f t="shared" si="46"/>
        <v>-</v>
      </c>
      <c r="C315" s="199" t="str">
        <f t="shared" si="46"/>
        <v>-</v>
      </c>
      <c r="D315" s="199" t="str">
        <f t="shared" si="46"/>
        <v>-</v>
      </c>
      <c r="E315" s="199" t="str">
        <f t="shared" si="46"/>
        <v>-</v>
      </c>
      <c r="F315" s="199" t="str">
        <f t="shared" si="46"/>
        <v>-</v>
      </c>
      <c r="G315" s="199" t="str">
        <f t="shared" si="46"/>
        <v>-</v>
      </c>
      <c r="H315" s="199" t="str">
        <f t="shared" si="46"/>
        <v>-</v>
      </c>
      <c r="I315" s="199" t="str">
        <f t="shared" si="46"/>
        <v>-</v>
      </c>
      <c r="J315" s="450"/>
      <c r="K315" s="199" t="str">
        <f t="shared" si="47"/>
        <v>-</v>
      </c>
      <c r="L315" s="199" t="str">
        <f t="shared" si="47"/>
        <v>-</v>
      </c>
      <c r="M315" s="199" t="str">
        <f t="shared" si="47"/>
        <v>-</v>
      </c>
      <c r="N315" s="199" t="str">
        <f t="shared" si="47"/>
        <v>-</v>
      </c>
      <c r="O315" s="199" t="str">
        <f t="shared" si="47"/>
        <v>-</v>
      </c>
      <c r="P315" s="199" t="str">
        <f t="shared" si="47"/>
        <v>-</v>
      </c>
      <c r="Q315" s="199" t="str">
        <f t="shared" si="47"/>
        <v>-</v>
      </c>
      <c r="R315" s="199" t="str">
        <f t="shared" si="47"/>
        <v>-</v>
      </c>
    </row>
    <row r="316" spans="1:18" s="374" customFormat="1" x14ac:dyDescent="0.2">
      <c r="A316" s="402">
        <v>2009</v>
      </c>
      <c r="B316" s="199" t="str">
        <f t="shared" si="46"/>
        <v>-</v>
      </c>
      <c r="C316" s="199" t="str">
        <f t="shared" si="46"/>
        <v>-</v>
      </c>
      <c r="D316" s="199" t="str">
        <f t="shared" si="46"/>
        <v>-</v>
      </c>
      <c r="E316" s="199" t="str">
        <f t="shared" si="46"/>
        <v>-</v>
      </c>
      <c r="F316" s="199" t="str">
        <f t="shared" si="46"/>
        <v>-</v>
      </c>
      <c r="G316" s="199" t="str">
        <f t="shared" si="46"/>
        <v>-</v>
      </c>
      <c r="H316" s="199" t="str">
        <f t="shared" si="46"/>
        <v>-</v>
      </c>
      <c r="I316" s="199" t="str">
        <f t="shared" si="46"/>
        <v>-</v>
      </c>
      <c r="J316" s="450"/>
      <c r="K316" s="199" t="str">
        <f t="shared" si="47"/>
        <v>-</v>
      </c>
      <c r="L316" s="199" t="str">
        <f t="shared" si="47"/>
        <v>-</v>
      </c>
      <c r="M316" s="199" t="str">
        <f t="shared" si="47"/>
        <v>-</v>
      </c>
      <c r="N316" s="199" t="str">
        <f t="shared" si="47"/>
        <v>-</v>
      </c>
      <c r="O316" s="199" t="str">
        <f t="shared" si="47"/>
        <v>-</v>
      </c>
      <c r="P316" s="199" t="str">
        <f t="shared" si="47"/>
        <v>-</v>
      </c>
      <c r="Q316" s="199" t="str">
        <f t="shared" si="47"/>
        <v>-</v>
      </c>
      <c r="R316" s="199" t="str">
        <f t="shared" si="47"/>
        <v>-</v>
      </c>
    </row>
    <row r="317" spans="1:18" s="374" customFormat="1" x14ac:dyDescent="0.2">
      <c r="A317" s="122">
        <v>2010</v>
      </c>
      <c r="B317" s="199" t="str">
        <f t="shared" si="46"/>
        <v>-</v>
      </c>
      <c r="C317" s="199" t="str">
        <f t="shared" si="46"/>
        <v>-</v>
      </c>
      <c r="D317" s="199" t="str">
        <f t="shared" si="46"/>
        <v>-</v>
      </c>
      <c r="E317" s="199" t="str">
        <f t="shared" si="46"/>
        <v>-</v>
      </c>
      <c r="F317" s="199" t="str">
        <f t="shared" si="46"/>
        <v>-</v>
      </c>
      <c r="G317" s="199" t="str">
        <f t="shared" si="46"/>
        <v>-</v>
      </c>
      <c r="H317" s="199" t="str">
        <f t="shared" si="46"/>
        <v>-</v>
      </c>
      <c r="I317" s="199" t="str">
        <f t="shared" si="46"/>
        <v>-</v>
      </c>
      <c r="J317" s="450"/>
      <c r="K317" s="199" t="str">
        <f t="shared" si="47"/>
        <v>-</v>
      </c>
      <c r="L317" s="199" t="str">
        <f t="shared" si="47"/>
        <v>-</v>
      </c>
      <c r="M317" s="199" t="str">
        <f t="shared" si="47"/>
        <v>-</v>
      </c>
      <c r="N317" s="199" t="str">
        <f t="shared" si="47"/>
        <v>-</v>
      </c>
      <c r="O317" s="199" t="str">
        <f t="shared" si="47"/>
        <v>-</v>
      </c>
      <c r="P317" s="199" t="str">
        <f t="shared" si="47"/>
        <v>-</v>
      </c>
      <c r="Q317" s="199" t="str">
        <f t="shared" si="47"/>
        <v>-</v>
      </c>
      <c r="R317" s="199" t="str">
        <f t="shared" si="47"/>
        <v>-</v>
      </c>
    </row>
    <row r="318" spans="1:18" s="374" customFormat="1" x14ac:dyDescent="0.2">
      <c r="A318" s="402">
        <v>2011</v>
      </c>
      <c r="B318" s="199" t="str">
        <f t="shared" si="46"/>
        <v>-</v>
      </c>
      <c r="C318" s="199" t="str">
        <f t="shared" si="46"/>
        <v>-</v>
      </c>
      <c r="D318" s="199" t="str">
        <f t="shared" si="46"/>
        <v>-</v>
      </c>
      <c r="E318" s="199">
        <f t="shared" si="46"/>
        <v>11</v>
      </c>
      <c r="F318" s="199">
        <f t="shared" si="46"/>
        <v>406</v>
      </c>
      <c r="G318" s="199" t="str">
        <f t="shared" si="46"/>
        <v>-</v>
      </c>
      <c r="H318" s="199" t="str">
        <f t="shared" si="46"/>
        <v>-</v>
      </c>
      <c r="I318" s="199">
        <f t="shared" si="46"/>
        <v>417</v>
      </c>
      <c r="J318" s="450"/>
      <c r="K318" s="199" t="str">
        <f t="shared" si="47"/>
        <v>-</v>
      </c>
      <c r="L318" s="199" t="str">
        <f t="shared" si="47"/>
        <v>-</v>
      </c>
      <c r="M318" s="199" t="str">
        <f t="shared" si="47"/>
        <v>-</v>
      </c>
      <c r="N318" s="199" t="str">
        <f t="shared" si="47"/>
        <v>-</v>
      </c>
      <c r="O318" s="199" t="str">
        <f t="shared" si="47"/>
        <v>-</v>
      </c>
      <c r="P318" s="199" t="str">
        <f t="shared" si="47"/>
        <v>-</v>
      </c>
      <c r="Q318" s="199" t="str">
        <f t="shared" si="47"/>
        <v>-</v>
      </c>
      <c r="R318" s="199" t="str">
        <f t="shared" si="47"/>
        <v>-</v>
      </c>
    </row>
    <row r="319" spans="1:18" s="374" customFormat="1" x14ac:dyDescent="0.2">
      <c r="A319" s="402">
        <v>2012</v>
      </c>
      <c r="B319" s="199" t="str">
        <f t="shared" si="46"/>
        <v>-</v>
      </c>
      <c r="C319" s="199" t="str">
        <f t="shared" si="46"/>
        <v>-</v>
      </c>
      <c r="D319" s="199" t="str">
        <f t="shared" si="46"/>
        <v>-</v>
      </c>
      <c r="E319" s="199" t="str">
        <f t="shared" si="46"/>
        <v>-</v>
      </c>
      <c r="F319" s="199" t="str">
        <f t="shared" si="46"/>
        <v>-</v>
      </c>
      <c r="G319" s="199">
        <f t="shared" si="46"/>
        <v>400</v>
      </c>
      <c r="H319" s="199" t="str">
        <f t="shared" si="46"/>
        <v>-</v>
      </c>
      <c r="I319" s="199">
        <f t="shared" si="46"/>
        <v>400</v>
      </c>
      <c r="J319" s="450"/>
      <c r="K319" s="199" t="str">
        <f t="shared" si="47"/>
        <v>-</v>
      </c>
      <c r="L319" s="199" t="str">
        <f t="shared" si="47"/>
        <v>-</v>
      </c>
      <c r="M319" s="199" t="str">
        <f t="shared" si="47"/>
        <v>-</v>
      </c>
      <c r="N319" s="199" t="str">
        <f t="shared" si="47"/>
        <v>-</v>
      </c>
      <c r="O319" s="199" t="str">
        <f t="shared" si="47"/>
        <v>-</v>
      </c>
      <c r="P319" s="199" t="str">
        <f t="shared" si="47"/>
        <v>-</v>
      </c>
      <c r="Q319" s="199" t="str">
        <f t="shared" si="47"/>
        <v>-</v>
      </c>
      <c r="R319" s="199" t="str">
        <f t="shared" si="47"/>
        <v>-</v>
      </c>
    </row>
    <row r="320" spans="1:18" s="374" customFormat="1" x14ac:dyDescent="0.2">
      <c r="A320" s="402">
        <v>2013</v>
      </c>
      <c r="B320" s="199" t="str">
        <f t="shared" si="46"/>
        <v>-</v>
      </c>
      <c r="C320" s="199">
        <f t="shared" si="46"/>
        <v>85</v>
      </c>
      <c r="D320" s="199">
        <f t="shared" si="46"/>
        <v>524</v>
      </c>
      <c r="E320" s="199">
        <f t="shared" si="46"/>
        <v>487</v>
      </c>
      <c r="F320" s="199">
        <f t="shared" si="46"/>
        <v>116</v>
      </c>
      <c r="G320" s="199">
        <f t="shared" si="46"/>
        <v>13</v>
      </c>
      <c r="H320" s="199" t="str">
        <f t="shared" si="46"/>
        <v>-</v>
      </c>
      <c r="I320" s="199">
        <f t="shared" si="46"/>
        <v>1225</v>
      </c>
      <c r="J320" s="450"/>
      <c r="K320" s="199" t="str">
        <f t="shared" si="47"/>
        <v>-</v>
      </c>
      <c r="L320" s="199" t="str">
        <f t="shared" si="47"/>
        <v>-</v>
      </c>
      <c r="M320" s="199" t="str">
        <f t="shared" si="47"/>
        <v>-</v>
      </c>
      <c r="N320" s="199" t="str">
        <f t="shared" si="47"/>
        <v>-</v>
      </c>
      <c r="O320" s="199" t="str">
        <f t="shared" si="47"/>
        <v>-</v>
      </c>
      <c r="P320" s="199" t="str">
        <f t="shared" si="47"/>
        <v>-</v>
      </c>
      <c r="Q320" s="199" t="str">
        <f t="shared" si="47"/>
        <v>-</v>
      </c>
      <c r="R320" s="199" t="str">
        <f t="shared" si="47"/>
        <v>-</v>
      </c>
    </row>
    <row r="321" spans="1:18" s="374" customFormat="1" x14ac:dyDescent="0.2">
      <c r="A321" s="402">
        <v>2014</v>
      </c>
      <c r="B321" s="199" t="str">
        <f t="shared" si="46"/>
        <v>-</v>
      </c>
      <c r="C321" s="199" t="str">
        <f t="shared" si="46"/>
        <v>-</v>
      </c>
      <c r="D321" s="199" t="str">
        <f t="shared" si="46"/>
        <v>-</v>
      </c>
      <c r="E321" s="199" t="str">
        <f t="shared" si="46"/>
        <v>-</v>
      </c>
      <c r="F321" s="199" t="str">
        <f t="shared" si="46"/>
        <v>-</v>
      </c>
      <c r="G321" s="199">
        <f t="shared" si="46"/>
        <v>21</v>
      </c>
      <c r="H321" s="199" t="str">
        <f t="shared" si="46"/>
        <v>-</v>
      </c>
      <c r="I321" s="199">
        <f t="shared" si="46"/>
        <v>21</v>
      </c>
      <c r="J321" s="450"/>
      <c r="K321" s="199" t="str">
        <f t="shared" si="47"/>
        <v>-</v>
      </c>
      <c r="L321" s="199" t="str">
        <f t="shared" si="47"/>
        <v>-</v>
      </c>
      <c r="M321" s="199" t="str">
        <f t="shared" si="47"/>
        <v>-</v>
      </c>
      <c r="N321" s="199" t="str">
        <f t="shared" si="47"/>
        <v>-</v>
      </c>
      <c r="O321" s="199" t="str">
        <f t="shared" si="47"/>
        <v>-</v>
      </c>
      <c r="P321" s="199" t="str">
        <f t="shared" si="47"/>
        <v>-</v>
      </c>
      <c r="Q321" s="199" t="str">
        <f t="shared" si="47"/>
        <v>-</v>
      </c>
      <c r="R321" s="199" t="str">
        <f t="shared" si="47"/>
        <v>-</v>
      </c>
    </row>
    <row r="322" spans="1:18" s="374" customFormat="1" x14ac:dyDescent="0.2">
      <c r="A322" s="402">
        <v>2015</v>
      </c>
      <c r="B322" s="199" t="str">
        <f t="shared" si="46"/>
        <v>-</v>
      </c>
      <c r="C322" s="199" t="str">
        <f t="shared" si="46"/>
        <v>-</v>
      </c>
      <c r="D322" s="199" t="str">
        <f t="shared" si="46"/>
        <v>-</v>
      </c>
      <c r="E322" s="199" t="str">
        <f t="shared" si="46"/>
        <v>-</v>
      </c>
      <c r="F322" s="199" t="str">
        <f t="shared" si="46"/>
        <v>-</v>
      </c>
      <c r="G322" s="199">
        <f t="shared" si="46"/>
        <v>36</v>
      </c>
      <c r="H322" s="199" t="str">
        <f t="shared" si="46"/>
        <v>-</v>
      </c>
      <c r="I322" s="199">
        <f t="shared" si="46"/>
        <v>36</v>
      </c>
      <c r="J322" s="450"/>
      <c r="K322" s="199" t="str">
        <f t="shared" si="47"/>
        <v>-</v>
      </c>
      <c r="L322" s="199" t="str">
        <f t="shared" si="47"/>
        <v>-</v>
      </c>
      <c r="M322" s="199" t="str">
        <f t="shared" si="47"/>
        <v>-</v>
      </c>
      <c r="N322" s="199" t="str">
        <f t="shared" si="47"/>
        <v>-</v>
      </c>
      <c r="O322" s="199" t="str">
        <f t="shared" si="47"/>
        <v>-</v>
      </c>
      <c r="P322" s="199" t="str">
        <f t="shared" si="47"/>
        <v>-</v>
      </c>
      <c r="Q322" s="199" t="str">
        <f t="shared" si="47"/>
        <v>-</v>
      </c>
      <c r="R322" s="199" t="str">
        <f t="shared" si="47"/>
        <v>-</v>
      </c>
    </row>
    <row r="323" spans="1:18" s="374" customFormat="1" x14ac:dyDescent="0.2">
      <c r="A323" s="122">
        <v>2016</v>
      </c>
      <c r="B323" s="199" t="str">
        <f t="shared" si="46"/>
        <v>-</v>
      </c>
      <c r="C323" s="199" t="str">
        <f t="shared" si="46"/>
        <v>-</v>
      </c>
      <c r="D323" s="199" t="str">
        <f t="shared" si="46"/>
        <v>-</v>
      </c>
      <c r="E323" s="199" t="str">
        <f t="shared" si="46"/>
        <v>-</v>
      </c>
      <c r="F323" s="199" t="str">
        <f t="shared" si="46"/>
        <v>-</v>
      </c>
      <c r="G323" s="199">
        <f t="shared" si="46"/>
        <v>6</v>
      </c>
      <c r="H323" s="199" t="str">
        <f t="shared" si="46"/>
        <v>-</v>
      </c>
      <c r="I323" s="199">
        <f t="shared" si="46"/>
        <v>6</v>
      </c>
      <c r="J323" s="450"/>
      <c r="K323" s="199" t="str">
        <f t="shared" si="47"/>
        <v>-</v>
      </c>
      <c r="L323" s="199" t="str">
        <f t="shared" si="47"/>
        <v>-</v>
      </c>
      <c r="M323" s="199" t="str">
        <f t="shared" si="47"/>
        <v>-</v>
      </c>
      <c r="N323" s="199" t="str">
        <f t="shared" si="47"/>
        <v>-</v>
      </c>
      <c r="O323" s="199" t="str">
        <f t="shared" si="47"/>
        <v>-</v>
      </c>
      <c r="P323" s="199" t="str">
        <f t="shared" si="47"/>
        <v>-</v>
      </c>
      <c r="Q323" s="199" t="str">
        <f t="shared" si="47"/>
        <v>-</v>
      </c>
      <c r="R323" s="199" t="str">
        <f t="shared" si="47"/>
        <v>-</v>
      </c>
    </row>
    <row r="324" spans="1:18" s="374" customFormat="1" x14ac:dyDescent="0.2">
      <c r="A324" s="122">
        <v>2017</v>
      </c>
      <c r="B324" s="199" t="str">
        <f t="shared" si="46"/>
        <v>-</v>
      </c>
      <c r="C324" s="199" t="str">
        <f t="shared" si="46"/>
        <v>-</v>
      </c>
      <c r="D324" s="199" t="str">
        <f t="shared" si="46"/>
        <v>-</v>
      </c>
      <c r="E324" s="199" t="str">
        <f t="shared" si="46"/>
        <v>-</v>
      </c>
      <c r="F324" s="199" t="str">
        <f t="shared" si="46"/>
        <v>-</v>
      </c>
      <c r="G324" s="199" t="str">
        <f t="shared" si="46"/>
        <v>-</v>
      </c>
      <c r="H324" s="199" t="str">
        <f t="shared" si="46"/>
        <v>-</v>
      </c>
      <c r="I324" s="199" t="str">
        <f t="shared" si="46"/>
        <v>-</v>
      </c>
      <c r="J324" s="450"/>
      <c r="K324" s="199" t="str">
        <f t="shared" si="47"/>
        <v>-</v>
      </c>
      <c r="L324" s="199" t="str">
        <f t="shared" si="47"/>
        <v>-</v>
      </c>
      <c r="M324" s="199" t="str">
        <f t="shared" si="47"/>
        <v>-</v>
      </c>
      <c r="N324" s="199" t="str">
        <f t="shared" si="47"/>
        <v>-</v>
      </c>
      <c r="O324" s="199" t="str">
        <f t="shared" si="47"/>
        <v>-</v>
      </c>
      <c r="P324" s="199" t="str">
        <f t="shared" si="47"/>
        <v>-</v>
      </c>
      <c r="Q324" s="199" t="str">
        <f t="shared" si="47"/>
        <v>-</v>
      </c>
      <c r="R324" s="199" t="str">
        <f t="shared" si="47"/>
        <v>-</v>
      </c>
    </row>
    <row r="325" spans="1:18" s="374" customFormat="1" x14ac:dyDescent="0.2">
      <c r="A325" s="122">
        <v>2018</v>
      </c>
      <c r="B325" s="199" t="str">
        <f t="shared" si="46"/>
        <v>-</v>
      </c>
      <c r="C325" s="199">
        <f t="shared" si="46"/>
        <v>241</v>
      </c>
      <c r="D325" s="199">
        <f t="shared" si="46"/>
        <v>1497</v>
      </c>
      <c r="E325" s="199">
        <f t="shared" si="46"/>
        <v>775</v>
      </c>
      <c r="F325" s="199">
        <f t="shared" si="46"/>
        <v>1899</v>
      </c>
      <c r="G325" s="199" t="str">
        <f t="shared" si="46"/>
        <v>-</v>
      </c>
      <c r="H325" s="199" t="str">
        <f t="shared" si="46"/>
        <v>-</v>
      </c>
      <c r="I325" s="199">
        <f t="shared" si="46"/>
        <v>4412</v>
      </c>
      <c r="J325" s="450"/>
      <c r="K325" s="199" t="str">
        <f t="shared" si="47"/>
        <v>-</v>
      </c>
      <c r="L325" s="199" t="str">
        <f t="shared" si="47"/>
        <v>-</v>
      </c>
      <c r="M325" s="199" t="str">
        <f t="shared" si="47"/>
        <v>-</v>
      </c>
      <c r="N325" s="199" t="str">
        <f t="shared" si="47"/>
        <v>-</v>
      </c>
      <c r="O325" s="199" t="str">
        <f t="shared" si="47"/>
        <v>-</v>
      </c>
      <c r="P325" s="199" t="str">
        <f t="shared" si="47"/>
        <v>-</v>
      </c>
      <c r="Q325" s="199" t="str">
        <f t="shared" si="47"/>
        <v>-</v>
      </c>
      <c r="R325" s="199" t="str">
        <f t="shared" si="47"/>
        <v>-</v>
      </c>
    </row>
    <row r="326" spans="1:18" s="487" customFormat="1" x14ac:dyDescent="0.2">
      <c r="A326" s="497" t="s">
        <v>336</v>
      </c>
      <c r="B326" s="199" t="str">
        <f t="shared" ref="B326:I327" si="48">B48</f>
        <v>-</v>
      </c>
      <c r="C326" s="199" t="str">
        <f t="shared" si="48"/>
        <v>-</v>
      </c>
      <c r="D326" s="199">
        <f t="shared" si="48"/>
        <v>114</v>
      </c>
      <c r="E326" s="199">
        <f t="shared" si="48"/>
        <v>1311</v>
      </c>
      <c r="F326" s="199">
        <f t="shared" si="48"/>
        <v>2810</v>
      </c>
      <c r="G326" s="199" t="str">
        <f t="shared" si="48"/>
        <v>-</v>
      </c>
      <c r="H326" s="199" t="str">
        <f t="shared" si="48"/>
        <v>-</v>
      </c>
      <c r="I326" s="199">
        <f t="shared" si="48"/>
        <v>4235</v>
      </c>
      <c r="J326" s="450"/>
      <c r="K326" s="199" t="str">
        <f t="shared" ref="K326:R327" si="49">K48</f>
        <v>-</v>
      </c>
      <c r="L326" s="199" t="str">
        <f t="shared" si="49"/>
        <v>-</v>
      </c>
      <c r="M326" s="199" t="str">
        <f t="shared" si="49"/>
        <v>-</v>
      </c>
      <c r="N326" s="199" t="str">
        <f t="shared" si="49"/>
        <v>-</v>
      </c>
      <c r="O326" s="199" t="str">
        <f t="shared" si="49"/>
        <v>-</v>
      </c>
      <c r="P326" s="199" t="str">
        <f t="shared" si="49"/>
        <v>-</v>
      </c>
      <c r="Q326" s="199" t="str">
        <f t="shared" si="49"/>
        <v>-</v>
      </c>
      <c r="R326" s="199" t="str">
        <f t="shared" si="49"/>
        <v>-</v>
      </c>
    </row>
    <row r="327" spans="1:18" x14ac:dyDescent="0.2">
      <c r="A327" s="497">
        <v>2020</v>
      </c>
      <c r="B327" s="199" t="str">
        <f t="shared" si="48"/>
        <v>-</v>
      </c>
      <c r="C327" s="199" t="str">
        <f t="shared" si="48"/>
        <v>-</v>
      </c>
      <c r="D327" s="199" t="str">
        <f t="shared" si="48"/>
        <v>-</v>
      </c>
      <c r="E327" s="199" t="str">
        <f t="shared" si="48"/>
        <v>-</v>
      </c>
      <c r="F327" s="199" t="str">
        <f t="shared" si="48"/>
        <v>-</v>
      </c>
      <c r="G327" s="199" t="str">
        <f t="shared" si="48"/>
        <v>-</v>
      </c>
      <c r="H327" s="199" t="str">
        <f t="shared" si="48"/>
        <v>-</v>
      </c>
      <c r="I327" s="199" t="str">
        <f t="shared" si="48"/>
        <v>-</v>
      </c>
      <c r="J327" s="450"/>
      <c r="K327" s="199" t="str">
        <f t="shared" si="49"/>
        <v>-</v>
      </c>
      <c r="L327" s="199" t="str">
        <f t="shared" si="49"/>
        <v>-</v>
      </c>
      <c r="M327" s="199" t="str">
        <f t="shared" si="49"/>
        <v>-</v>
      </c>
      <c r="N327" s="199" t="str">
        <f t="shared" si="49"/>
        <v>-</v>
      </c>
      <c r="O327" s="199" t="str">
        <f t="shared" si="49"/>
        <v>-</v>
      </c>
      <c r="P327" s="199" t="str">
        <f t="shared" si="49"/>
        <v>-</v>
      </c>
      <c r="Q327" s="199" t="str">
        <f t="shared" si="49"/>
        <v>-</v>
      </c>
      <c r="R327" s="199" t="str">
        <f t="shared" si="49"/>
        <v>-</v>
      </c>
    </row>
    <row r="328" spans="1:18" ht="8.1" customHeight="1" x14ac:dyDescent="0.2">
      <c r="A328" s="402"/>
      <c r="B328" s="199"/>
      <c r="C328" s="199"/>
      <c r="D328" s="199"/>
      <c r="E328" s="199"/>
      <c r="F328" s="199"/>
      <c r="G328" s="199"/>
      <c r="H328" s="199"/>
      <c r="I328" s="199"/>
      <c r="J328" s="199"/>
      <c r="K328" s="199"/>
      <c r="L328" s="199"/>
      <c r="M328" s="199"/>
      <c r="N328" s="199"/>
      <c r="O328" s="199"/>
      <c r="P328" s="199"/>
      <c r="Q328" s="199"/>
      <c r="R328" s="199"/>
    </row>
    <row r="329" spans="1:18" x14ac:dyDescent="0.2">
      <c r="A329" s="159" t="str">
        <f>A51</f>
        <v>Eureka</v>
      </c>
      <c r="B329" s="199"/>
      <c r="C329" s="199"/>
      <c r="D329" s="199"/>
      <c r="E329" s="199"/>
      <c r="F329" s="199"/>
      <c r="G329" s="199"/>
      <c r="H329" s="199"/>
      <c r="I329" s="199"/>
      <c r="J329" s="199"/>
      <c r="K329" s="199"/>
      <c r="L329" s="199"/>
      <c r="M329" s="199"/>
      <c r="N329" s="199"/>
      <c r="O329" s="199"/>
      <c r="P329" s="199"/>
      <c r="Q329" s="199"/>
      <c r="R329" s="199"/>
    </row>
    <row r="330" spans="1:18" x14ac:dyDescent="0.2">
      <c r="A330" s="402" t="s">
        <v>87</v>
      </c>
      <c r="B330" s="97" t="s">
        <v>29</v>
      </c>
      <c r="C330" s="97" t="s">
        <v>29</v>
      </c>
      <c r="D330" s="199">
        <f t="shared" ref="D330:I330" si="50">AVERAGE(D62:D66)</f>
        <v>26179.583801504567</v>
      </c>
      <c r="E330" s="199">
        <f t="shared" si="50"/>
        <v>4315.7720730018882</v>
      </c>
      <c r="F330" s="199">
        <f t="shared" si="50"/>
        <v>6726.4788506405084</v>
      </c>
      <c r="G330" s="199">
        <f t="shared" si="50"/>
        <v>6294.5681891628146</v>
      </c>
      <c r="H330" s="199">
        <f t="shared" si="50"/>
        <v>479.5</v>
      </c>
      <c r="I330" s="199">
        <f t="shared" si="50"/>
        <v>32329.076955351153</v>
      </c>
      <c r="J330" s="199"/>
      <c r="K330" s="97" t="s">
        <v>29</v>
      </c>
      <c r="L330" s="97" t="s">
        <v>29</v>
      </c>
      <c r="M330" s="199">
        <f t="shared" ref="M330:R330" si="51">AVERAGE(M62:M66)</f>
        <v>5947.7431388849118</v>
      </c>
      <c r="N330" s="199">
        <f t="shared" si="51"/>
        <v>508.03937319068592</v>
      </c>
      <c r="O330" s="199">
        <f t="shared" si="51"/>
        <v>210.67935069323417</v>
      </c>
      <c r="P330" s="199">
        <f t="shared" si="51"/>
        <v>860.21477832512323</v>
      </c>
      <c r="Q330" s="199">
        <f t="shared" si="51"/>
        <v>125</v>
      </c>
      <c r="R330" s="199">
        <f t="shared" si="51"/>
        <v>5998.0326491252663</v>
      </c>
    </row>
    <row r="331" spans="1:18" x14ac:dyDescent="0.2">
      <c r="A331" s="402" t="s">
        <v>14</v>
      </c>
      <c r="B331" s="97" t="s">
        <v>29</v>
      </c>
      <c r="C331" s="97" t="s">
        <v>29</v>
      </c>
      <c r="D331" s="97" t="s">
        <v>29</v>
      </c>
      <c r="E331" s="97" t="s">
        <v>29</v>
      </c>
      <c r="F331" s="97" t="s">
        <v>29</v>
      </c>
      <c r="G331" s="199">
        <f>AVERAGE(G67:G71)</f>
        <v>4300</v>
      </c>
      <c r="H331" s="199">
        <f>AVERAGE(H67:H71)</f>
        <v>400</v>
      </c>
      <c r="I331" s="199">
        <f>AVERAGE(I67:I71)</f>
        <v>4700</v>
      </c>
      <c r="J331" s="199"/>
      <c r="K331" s="97" t="s">
        <v>29</v>
      </c>
      <c r="L331" s="97" t="s">
        <v>29</v>
      </c>
      <c r="M331" s="97" t="s">
        <v>29</v>
      </c>
      <c r="N331" s="97" t="s">
        <v>29</v>
      </c>
      <c r="O331" s="97" t="s">
        <v>29</v>
      </c>
      <c r="P331" s="199">
        <f>AVERAGE(P67:P71)</f>
        <v>3000</v>
      </c>
      <c r="Q331" s="199">
        <f>AVERAGE(Q67:Q71)</f>
        <v>100</v>
      </c>
      <c r="R331" s="199">
        <f>AVERAGE(R67:R71)</f>
        <v>3100</v>
      </c>
    </row>
    <row r="332" spans="1:18" x14ac:dyDescent="0.2">
      <c r="A332" s="402" t="s">
        <v>207</v>
      </c>
      <c r="B332" s="97" t="s">
        <v>29</v>
      </c>
      <c r="C332" s="97" t="s">
        <v>29</v>
      </c>
      <c r="D332" s="97" t="s">
        <v>29</v>
      </c>
      <c r="E332" s="97" t="s">
        <v>29</v>
      </c>
      <c r="F332" s="97" t="s">
        <v>29</v>
      </c>
      <c r="G332" s="199">
        <f>AVERAGE(G72:G76)</f>
        <v>2859.6</v>
      </c>
      <c r="H332" s="199" t="s">
        <v>29</v>
      </c>
      <c r="I332" s="199">
        <f>AVERAGE(I72:I76)</f>
        <v>3379.4</v>
      </c>
      <c r="J332" s="199"/>
      <c r="K332" s="97" t="s">
        <v>29</v>
      </c>
      <c r="L332" s="97" t="s">
        <v>29</v>
      </c>
      <c r="M332" s="97" t="s">
        <v>29</v>
      </c>
      <c r="N332" s="97" t="s">
        <v>29</v>
      </c>
      <c r="O332" s="97" t="s">
        <v>29</v>
      </c>
      <c r="P332" s="199" t="s">
        <v>29</v>
      </c>
      <c r="Q332" s="199" t="s">
        <v>29</v>
      </c>
      <c r="R332" s="199" t="s">
        <v>29</v>
      </c>
    </row>
    <row r="333" spans="1:18" x14ac:dyDescent="0.2">
      <c r="A333" s="383" t="s">
        <v>238</v>
      </c>
      <c r="B333" s="199" t="str">
        <f>B77</f>
        <v>-</v>
      </c>
      <c r="C333" s="199" t="str">
        <f>C77</f>
        <v>-</v>
      </c>
      <c r="D333" s="199" t="str">
        <f>D77</f>
        <v>-</v>
      </c>
      <c r="E333" s="199" t="str">
        <f>E77</f>
        <v>-</v>
      </c>
      <c r="F333" s="199">
        <f>AVERAGE(F77:F81)</f>
        <v>1392</v>
      </c>
      <c r="G333" s="199">
        <f>AVERAGE(G77:G81)</f>
        <v>5019.6000000000004</v>
      </c>
      <c r="H333" s="199" t="str">
        <f>H77</f>
        <v>-</v>
      </c>
      <c r="I333" s="199">
        <f>AVERAGE(I77:I81)</f>
        <v>5298</v>
      </c>
      <c r="J333" s="199"/>
      <c r="K333" s="199" t="str">
        <f t="shared" ref="K333:R333" si="52">K77</f>
        <v>-</v>
      </c>
      <c r="L333" s="199" t="str">
        <f t="shared" si="52"/>
        <v>-</v>
      </c>
      <c r="M333" s="199" t="str">
        <f t="shared" si="52"/>
        <v>-</v>
      </c>
      <c r="N333" s="199" t="str">
        <f t="shared" si="52"/>
        <v>-</v>
      </c>
      <c r="O333" s="199" t="str">
        <f t="shared" si="52"/>
        <v>-</v>
      </c>
      <c r="P333" s="199" t="str">
        <f t="shared" si="52"/>
        <v>-</v>
      </c>
      <c r="Q333" s="199" t="str">
        <f t="shared" si="52"/>
        <v>-</v>
      </c>
      <c r="R333" s="199" t="str">
        <f t="shared" si="52"/>
        <v>-</v>
      </c>
    </row>
    <row r="334" spans="1:18" x14ac:dyDescent="0.2">
      <c r="A334" s="402">
        <v>2006</v>
      </c>
      <c r="B334" s="199" t="str">
        <f t="shared" ref="B334:I346" si="53">B82</f>
        <v>-</v>
      </c>
      <c r="C334" s="199" t="str">
        <f t="shared" si="53"/>
        <v>-</v>
      </c>
      <c r="D334" s="199" t="str">
        <f t="shared" si="53"/>
        <v>-</v>
      </c>
      <c r="E334" s="199" t="str">
        <f t="shared" si="53"/>
        <v>-</v>
      </c>
      <c r="F334" s="199" t="str">
        <f t="shared" si="53"/>
        <v>-</v>
      </c>
      <c r="G334" s="199" t="str">
        <f t="shared" si="53"/>
        <v>-</v>
      </c>
      <c r="H334" s="199" t="str">
        <f t="shared" si="53"/>
        <v>-</v>
      </c>
      <c r="I334" s="199" t="str">
        <f t="shared" si="53"/>
        <v>-</v>
      </c>
      <c r="J334" s="199"/>
      <c r="K334" s="199" t="str">
        <f t="shared" ref="K334:R346" si="54">K82</f>
        <v>-</v>
      </c>
      <c r="L334" s="199" t="str">
        <f t="shared" si="54"/>
        <v>-</v>
      </c>
      <c r="M334" s="199" t="str">
        <f t="shared" si="54"/>
        <v>-</v>
      </c>
      <c r="N334" s="199" t="str">
        <f t="shared" si="54"/>
        <v>-</v>
      </c>
      <c r="O334" s="199" t="str">
        <f t="shared" si="54"/>
        <v>-</v>
      </c>
      <c r="P334" s="199" t="str">
        <f t="shared" si="54"/>
        <v>-</v>
      </c>
      <c r="Q334" s="199" t="str">
        <f t="shared" si="54"/>
        <v>-</v>
      </c>
      <c r="R334" s="199" t="str">
        <f t="shared" si="54"/>
        <v>-</v>
      </c>
    </row>
    <row r="335" spans="1:18" s="374" customFormat="1" x14ac:dyDescent="0.2">
      <c r="A335" s="402">
        <v>2007</v>
      </c>
      <c r="B335" s="199" t="str">
        <f t="shared" si="53"/>
        <v>-</v>
      </c>
      <c r="C335" s="199" t="str">
        <f t="shared" si="53"/>
        <v>-</v>
      </c>
      <c r="D335" s="199" t="str">
        <f t="shared" si="53"/>
        <v>-</v>
      </c>
      <c r="E335" s="199" t="str">
        <f t="shared" si="53"/>
        <v>-</v>
      </c>
      <c r="F335" s="199" t="str">
        <f t="shared" si="53"/>
        <v>-</v>
      </c>
      <c r="G335" s="199">
        <f t="shared" si="53"/>
        <v>6395</v>
      </c>
      <c r="H335" s="199" t="str">
        <f t="shared" si="53"/>
        <v>-</v>
      </c>
      <c r="I335" s="199">
        <f t="shared" si="53"/>
        <v>6395</v>
      </c>
      <c r="J335" s="199"/>
      <c r="K335" s="199" t="str">
        <f t="shared" si="54"/>
        <v>-</v>
      </c>
      <c r="L335" s="199" t="str">
        <f t="shared" si="54"/>
        <v>-</v>
      </c>
      <c r="M335" s="199" t="str">
        <f t="shared" si="54"/>
        <v>-</v>
      </c>
      <c r="N335" s="199" t="str">
        <f t="shared" si="54"/>
        <v>-</v>
      </c>
      <c r="O335" s="199" t="str">
        <f t="shared" si="54"/>
        <v>-</v>
      </c>
      <c r="P335" s="199" t="str">
        <f t="shared" si="54"/>
        <v>-</v>
      </c>
      <c r="Q335" s="199" t="str">
        <f t="shared" si="54"/>
        <v>-</v>
      </c>
      <c r="R335" s="199" t="str">
        <f t="shared" si="54"/>
        <v>-</v>
      </c>
    </row>
    <row r="336" spans="1:18" s="374" customFormat="1" x14ac:dyDescent="0.2">
      <c r="A336" s="402">
        <v>2008</v>
      </c>
      <c r="B336" s="199" t="str">
        <f t="shared" si="53"/>
        <v>-</v>
      </c>
      <c r="C336" s="199" t="str">
        <f t="shared" si="53"/>
        <v>-</v>
      </c>
      <c r="D336" s="199" t="str">
        <f t="shared" si="53"/>
        <v>-</v>
      </c>
      <c r="E336" s="199" t="str">
        <f t="shared" si="53"/>
        <v>-</v>
      </c>
      <c r="F336" s="199" t="str">
        <f t="shared" si="53"/>
        <v>-</v>
      </c>
      <c r="G336" s="199" t="str">
        <f t="shared" si="53"/>
        <v>-</v>
      </c>
      <c r="H336" s="199" t="str">
        <f t="shared" si="53"/>
        <v>-</v>
      </c>
      <c r="I336" s="199" t="str">
        <f t="shared" si="53"/>
        <v>-</v>
      </c>
      <c r="J336" s="199"/>
      <c r="K336" s="199" t="str">
        <f t="shared" si="54"/>
        <v>-</v>
      </c>
      <c r="L336" s="199" t="str">
        <f t="shared" si="54"/>
        <v>-</v>
      </c>
      <c r="M336" s="199" t="str">
        <f t="shared" si="54"/>
        <v>-</v>
      </c>
      <c r="N336" s="199" t="str">
        <f t="shared" si="54"/>
        <v>-</v>
      </c>
      <c r="O336" s="199" t="str">
        <f t="shared" si="54"/>
        <v>-</v>
      </c>
      <c r="P336" s="199" t="str">
        <f t="shared" si="54"/>
        <v>-</v>
      </c>
      <c r="Q336" s="199" t="str">
        <f t="shared" si="54"/>
        <v>-</v>
      </c>
      <c r="R336" s="199" t="str">
        <f t="shared" si="54"/>
        <v>-</v>
      </c>
    </row>
    <row r="337" spans="1:18" s="374" customFormat="1" x14ac:dyDescent="0.2">
      <c r="A337" s="402">
        <v>2009</v>
      </c>
      <c r="B337" s="199" t="str">
        <f t="shared" si="53"/>
        <v>-</v>
      </c>
      <c r="C337" s="199" t="str">
        <f t="shared" si="53"/>
        <v>-</v>
      </c>
      <c r="D337" s="199" t="str">
        <f t="shared" si="53"/>
        <v>-</v>
      </c>
      <c r="E337" s="199" t="str">
        <f t="shared" si="53"/>
        <v>-</v>
      </c>
      <c r="F337" s="199" t="str">
        <f t="shared" si="53"/>
        <v>-</v>
      </c>
      <c r="G337" s="199" t="str">
        <f t="shared" si="53"/>
        <v>-</v>
      </c>
      <c r="H337" s="199" t="str">
        <f t="shared" si="53"/>
        <v>-</v>
      </c>
      <c r="I337" s="199" t="str">
        <f t="shared" si="53"/>
        <v>-</v>
      </c>
      <c r="J337" s="199"/>
      <c r="K337" s="199" t="str">
        <f t="shared" si="54"/>
        <v>-</v>
      </c>
      <c r="L337" s="199" t="str">
        <f t="shared" si="54"/>
        <v>-</v>
      </c>
      <c r="M337" s="199" t="str">
        <f t="shared" si="54"/>
        <v>-</v>
      </c>
      <c r="N337" s="199" t="str">
        <f t="shared" si="54"/>
        <v>-</v>
      </c>
      <c r="O337" s="199" t="str">
        <f t="shared" si="54"/>
        <v>-</v>
      </c>
      <c r="P337" s="199" t="str">
        <f t="shared" si="54"/>
        <v>-</v>
      </c>
      <c r="Q337" s="199" t="str">
        <f t="shared" si="54"/>
        <v>-</v>
      </c>
      <c r="R337" s="199" t="str">
        <f t="shared" si="54"/>
        <v>-</v>
      </c>
    </row>
    <row r="338" spans="1:18" s="374" customFormat="1" x14ac:dyDescent="0.2">
      <c r="A338" s="122">
        <v>2010</v>
      </c>
      <c r="B338" s="199" t="str">
        <f t="shared" si="53"/>
        <v>-</v>
      </c>
      <c r="C338" s="199" t="str">
        <f t="shared" si="53"/>
        <v>-</v>
      </c>
      <c r="D338" s="199" t="str">
        <f t="shared" si="53"/>
        <v>-</v>
      </c>
      <c r="E338" s="199" t="str">
        <f t="shared" si="53"/>
        <v>-</v>
      </c>
      <c r="F338" s="199" t="str">
        <f t="shared" si="53"/>
        <v>-</v>
      </c>
      <c r="G338" s="199" t="str">
        <f t="shared" si="53"/>
        <v>-</v>
      </c>
      <c r="H338" s="199" t="str">
        <f t="shared" si="53"/>
        <v>-</v>
      </c>
      <c r="I338" s="199" t="str">
        <f t="shared" si="53"/>
        <v>-</v>
      </c>
      <c r="J338" s="199"/>
      <c r="K338" s="199" t="str">
        <f t="shared" si="54"/>
        <v>-</v>
      </c>
      <c r="L338" s="199" t="str">
        <f t="shared" si="54"/>
        <v>-</v>
      </c>
      <c r="M338" s="199" t="str">
        <f t="shared" si="54"/>
        <v>-</v>
      </c>
      <c r="N338" s="199" t="str">
        <f t="shared" si="54"/>
        <v>-</v>
      </c>
      <c r="O338" s="199" t="str">
        <f t="shared" si="54"/>
        <v>-</v>
      </c>
      <c r="P338" s="199" t="str">
        <f t="shared" si="54"/>
        <v>-</v>
      </c>
      <c r="Q338" s="199" t="str">
        <f t="shared" si="54"/>
        <v>-</v>
      </c>
      <c r="R338" s="199" t="str">
        <f t="shared" si="54"/>
        <v>-</v>
      </c>
    </row>
    <row r="339" spans="1:18" s="374" customFormat="1" x14ac:dyDescent="0.2">
      <c r="A339" s="402">
        <v>2011</v>
      </c>
      <c r="B339" s="199" t="str">
        <f t="shared" si="53"/>
        <v>-</v>
      </c>
      <c r="C339" s="199" t="str">
        <f t="shared" si="53"/>
        <v>-</v>
      </c>
      <c r="D339" s="199" t="str">
        <f t="shared" si="53"/>
        <v>-</v>
      </c>
      <c r="E339" s="199">
        <f t="shared" si="53"/>
        <v>1573</v>
      </c>
      <c r="F339" s="199">
        <f t="shared" si="53"/>
        <v>401</v>
      </c>
      <c r="G339" s="199" t="str">
        <f t="shared" si="53"/>
        <v>-</v>
      </c>
      <c r="H339" s="199" t="str">
        <f t="shared" si="53"/>
        <v>-</v>
      </c>
      <c r="I339" s="199">
        <f t="shared" si="53"/>
        <v>1974</v>
      </c>
      <c r="J339" s="199"/>
      <c r="K339" s="199" t="str">
        <f t="shared" si="54"/>
        <v>-</v>
      </c>
      <c r="L339" s="199" t="str">
        <f t="shared" si="54"/>
        <v>-</v>
      </c>
      <c r="M339" s="199" t="str">
        <f t="shared" si="54"/>
        <v>-</v>
      </c>
      <c r="N339" s="199" t="str">
        <f t="shared" si="54"/>
        <v>-</v>
      </c>
      <c r="O339" s="199" t="str">
        <f t="shared" si="54"/>
        <v>-</v>
      </c>
      <c r="P339" s="199" t="str">
        <f t="shared" si="54"/>
        <v>-</v>
      </c>
      <c r="Q339" s="199" t="str">
        <f t="shared" si="54"/>
        <v>-</v>
      </c>
      <c r="R339" s="199" t="str">
        <f t="shared" si="54"/>
        <v>-</v>
      </c>
    </row>
    <row r="340" spans="1:18" s="374" customFormat="1" x14ac:dyDescent="0.2">
      <c r="A340" s="402">
        <v>2012</v>
      </c>
      <c r="B340" s="199" t="str">
        <f t="shared" si="53"/>
        <v>-</v>
      </c>
      <c r="C340" s="199" t="str">
        <f t="shared" si="53"/>
        <v>-</v>
      </c>
      <c r="D340" s="199" t="str">
        <f t="shared" si="53"/>
        <v>-</v>
      </c>
      <c r="E340" s="199" t="str">
        <f t="shared" si="53"/>
        <v>-</v>
      </c>
      <c r="F340" s="199" t="str">
        <f t="shared" si="53"/>
        <v>-</v>
      </c>
      <c r="G340" s="199">
        <f t="shared" si="53"/>
        <v>4831</v>
      </c>
      <c r="H340" s="199" t="str">
        <f t="shared" si="53"/>
        <v>-</v>
      </c>
      <c r="I340" s="199">
        <f t="shared" si="53"/>
        <v>4831</v>
      </c>
      <c r="J340" s="199"/>
      <c r="K340" s="199" t="str">
        <f t="shared" si="54"/>
        <v>-</v>
      </c>
      <c r="L340" s="199" t="str">
        <f t="shared" si="54"/>
        <v>-</v>
      </c>
      <c r="M340" s="199" t="str">
        <f t="shared" si="54"/>
        <v>-</v>
      </c>
      <c r="N340" s="199" t="str">
        <f t="shared" si="54"/>
        <v>-</v>
      </c>
      <c r="O340" s="199" t="str">
        <f t="shared" si="54"/>
        <v>-</v>
      </c>
      <c r="P340" s="199" t="str">
        <f t="shared" si="54"/>
        <v>-</v>
      </c>
      <c r="Q340" s="199" t="str">
        <f t="shared" si="54"/>
        <v>-</v>
      </c>
      <c r="R340" s="199" t="str">
        <f t="shared" si="54"/>
        <v>-</v>
      </c>
    </row>
    <row r="341" spans="1:18" s="374" customFormat="1" x14ac:dyDescent="0.2">
      <c r="A341" s="402">
        <v>2013</v>
      </c>
      <c r="B341" s="199" t="str">
        <f t="shared" si="53"/>
        <v>-</v>
      </c>
      <c r="C341" s="199">
        <f t="shared" si="53"/>
        <v>2603</v>
      </c>
      <c r="D341" s="199">
        <f t="shared" si="53"/>
        <v>2400</v>
      </c>
      <c r="E341" s="199">
        <f t="shared" si="53"/>
        <v>1887</v>
      </c>
      <c r="F341" s="199">
        <f t="shared" si="53"/>
        <v>1892</v>
      </c>
      <c r="G341" s="199">
        <f t="shared" si="53"/>
        <v>171</v>
      </c>
      <c r="H341" s="199" t="str">
        <f t="shared" si="53"/>
        <v>-</v>
      </c>
      <c r="I341" s="199">
        <f t="shared" si="53"/>
        <v>8953</v>
      </c>
      <c r="J341" s="199"/>
      <c r="K341" s="199" t="str">
        <f t="shared" si="54"/>
        <v>-</v>
      </c>
      <c r="L341" s="199" t="str">
        <f t="shared" si="54"/>
        <v>-</v>
      </c>
      <c r="M341" s="199" t="str">
        <f t="shared" si="54"/>
        <v>-</v>
      </c>
      <c r="N341" s="199" t="str">
        <f t="shared" si="54"/>
        <v>-</v>
      </c>
      <c r="O341" s="199" t="str">
        <f t="shared" si="54"/>
        <v>-</v>
      </c>
      <c r="P341" s="199" t="str">
        <f t="shared" si="54"/>
        <v>-</v>
      </c>
      <c r="Q341" s="199" t="str">
        <f t="shared" si="54"/>
        <v>-</v>
      </c>
      <c r="R341" s="199" t="str">
        <f t="shared" si="54"/>
        <v>-</v>
      </c>
    </row>
    <row r="342" spans="1:18" s="374" customFormat="1" x14ac:dyDescent="0.2">
      <c r="A342" s="402">
        <v>2014</v>
      </c>
      <c r="B342" s="199" t="str">
        <f t="shared" si="53"/>
        <v>-</v>
      </c>
      <c r="C342" s="199" t="str">
        <f t="shared" si="53"/>
        <v>-</v>
      </c>
      <c r="D342" s="199" t="str">
        <f t="shared" si="53"/>
        <v>-</v>
      </c>
      <c r="E342" s="199" t="str">
        <f t="shared" si="53"/>
        <v>-</v>
      </c>
      <c r="F342" s="199" t="str">
        <f t="shared" si="53"/>
        <v>-</v>
      </c>
      <c r="G342" s="199">
        <f t="shared" si="53"/>
        <v>599</v>
      </c>
      <c r="H342" s="199" t="str">
        <f t="shared" si="53"/>
        <v>-</v>
      </c>
      <c r="I342" s="199">
        <f t="shared" si="53"/>
        <v>599</v>
      </c>
      <c r="J342" s="199"/>
      <c r="K342" s="199" t="str">
        <f t="shared" si="54"/>
        <v>-</v>
      </c>
      <c r="L342" s="199" t="str">
        <f t="shared" si="54"/>
        <v>-</v>
      </c>
      <c r="M342" s="199" t="str">
        <f t="shared" si="54"/>
        <v>-</v>
      </c>
      <c r="N342" s="199" t="str">
        <f t="shared" si="54"/>
        <v>-</v>
      </c>
      <c r="O342" s="199" t="str">
        <f t="shared" si="54"/>
        <v>-</v>
      </c>
      <c r="P342" s="199" t="str">
        <f t="shared" si="54"/>
        <v>-</v>
      </c>
      <c r="Q342" s="199" t="str">
        <f t="shared" si="54"/>
        <v>-</v>
      </c>
      <c r="R342" s="199" t="str">
        <f t="shared" si="54"/>
        <v>-</v>
      </c>
    </row>
    <row r="343" spans="1:18" s="374" customFormat="1" x14ac:dyDescent="0.2">
      <c r="A343" s="122">
        <v>2015</v>
      </c>
      <c r="B343" s="199" t="str">
        <f t="shared" si="53"/>
        <v>-</v>
      </c>
      <c r="C343" s="199" t="str">
        <f t="shared" si="53"/>
        <v>-</v>
      </c>
      <c r="D343" s="199" t="str">
        <f t="shared" si="53"/>
        <v>-</v>
      </c>
      <c r="E343" s="199" t="str">
        <f t="shared" si="53"/>
        <v>-</v>
      </c>
      <c r="F343" s="199" t="str">
        <f t="shared" si="53"/>
        <v>-</v>
      </c>
      <c r="G343" s="199">
        <f t="shared" si="53"/>
        <v>10</v>
      </c>
      <c r="H343" s="199" t="str">
        <f t="shared" si="53"/>
        <v>-</v>
      </c>
      <c r="I343" s="199">
        <f t="shared" si="53"/>
        <v>10</v>
      </c>
      <c r="J343" s="199"/>
      <c r="K343" s="199" t="str">
        <f t="shared" si="54"/>
        <v>-</v>
      </c>
      <c r="L343" s="199" t="str">
        <f t="shared" si="54"/>
        <v>-</v>
      </c>
      <c r="M343" s="199" t="str">
        <f t="shared" si="54"/>
        <v>-</v>
      </c>
      <c r="N343" s="199" t="str">
        <f t="shared" si="54"/>
        <v>-</v>
      </c>
      <c r="O343" s="199" t="str">
        <f t="shared" si="54"/>
        <v>-</v>
      </c>
      <c r="P343" s="199" t="str">
        <f t="shared" si="54"/>
        <v>-</v>
      </c>
      <c r="Q343" s="199" t="str">
        <f t="shared" si="54"/>
        <v>-</v>
      </c>
      <c r="R343" s="199" t="str">
        <f t="shared" si="54"/>
        <v>-</v>
      </c>
    </row>
    <row r="344" spans="1:18" s="374" customFormat="1" x14ac:dyDescent="0.2">
      <c r="A344" s="122">
        <v>2016</v>
      </c>
      <c r="B344" s="199" t="str">
        <f t="shared" si="53"/>
        <v>-</v>
      </c>
      <c r="C344" s="199" t="str">
        <f t="shared" si="53"/>
        <v>-</v>
      </c>
      <c r="D344" s="199" t="str">
        <f t="shared" si="53"/>
        <v>-</v>
      </c>
      <c r="E344" s="199" t="str">
        <f t="shared" si="53"/>
        <v>-</v>
      </c>
      <c r="F344" s="199" t="str">
        <f t="shared" si="53"/>
        <v>-</v>
      </c>
      <c r="G344" s="199">
        <f t="shared" si="53"/>
        <v>190</v>
      </c>
      <c r="H344" s="199" t="str">
        <f t="shared" si="53"/>
        <v>-</v>
      </c>
      <c r="I344" s="199">
        <f t="shared" si="53"/>
        <v>190</v>
      </c>
      <c r="J344" s="199"/>
      <c r="K344" s="199" t="str">
        <f t="shared" si="54"/>
        <v>-</v>
      </c>
      <c r="L344" s="199" t="str">
        <f t="shared" si="54"/>
        <v>-</v>
      </c>
      <c r="M344" s="199" t="str">
        <f t="shared" si="54"/>
        <v>-</v>
      </c>
      <c r="N344" s="199" t="str">
        <f t="shared" si="54"/>
        <v>-</v>
      </c>
      <c r="O344" s="199" t="str">
        <f t="shared" si="54"/>
        <v>-</v>
      </c>
      <c r="P344" s="199" t="str">
        <f t="shared" si="54"/>
        <v>-</v>
      </c>
      <c r="Q344" s="199" t="str">
        <f t="shared" si="54"/>
        <v>-</v>
      </c>
      <c r="R344" s="199" t="str">
        <f t="shared" si="54"/>
        <v>-</v>
      </c>
    </row>
    <row r="345" spans="1:18" s="374" customFormat="1" x14ac:dyDescent="0.2">
      <c r="A345" s="122">
        <v>2017</v>
      </c>
      <c r="B345" s="199" t="str">
        <f t="shared" si="53"/>
        <v>-</v>
      </c>
      <c r="C345" s="199" t="str">
        <f t="shared" si="53"/>
        <v>-</v>
      </c>
      <c r="D345" s="199" t="str">
        <f t="shared" si="53"/>
        <v>-</v>
      </c>
      <c r="E345" s="199" t="str">
        <f t="shared" si="53"/>
        <v>-</v>
      </c>
      <c r="F345" s="199" t="str">
        <f t="shared" si="53"/>
        <v>-</v>
      </c>
      <c r="G345" s="199" t="str">
        <f t="shared" si="53"/>
        <v>-</v>
      </c>
      <c r="H345" s="199" t="str">
        <f t="shared" si="53"/>
        <v>-</v>
      </c>
      <c r="I345" s="199" t="str">
        <f t="shared" si="53"/>
        <v>-</v>
      </c>
      <c r="J345" s="199"/>
      <c r="K345" s="199" t="str">
        <f t="shared" si="54"/>
        <v>-</v>
      </c>
      <c r="L345" s="199" t="str">
        <f t="shared" si="54"/>
        <v>-</v>
      </c>
      <c r="M345" s="199" t="str">
        <f t="shared" si="54"/>
        <v>-</v>
      </c>
      <c r="N345" s="199" t="str">
        <f t="shared" si="54"/>
        <v>-</v>
      </c>
      <c r="O345" s="199" t="str">
        <f t="shared" si="54"/>
        <v>-</v>
      </c>
      <c r="P345" s="199" t="str">
        <f t="shared" si="54"/>
        <v>-</v>
      </c>
      <c r="Q345" s="199" t="str">
        <f t="shared" si="54"/>
        <v>-</v>
      </c>
      <c r="R345" s="199" t="str">
        <f t="shared" si="54"/>
        <v>-</v>
      </c>
    </row>
    <row r="346" spans="1:18" s="374" customFormat="1" x14ac:dyDescent="0.2">
      <c r="A346" s="122">
        <v>2018</v>
      </c>
      <c r="B346" s="199" t="str">
        <f t="shared" si="53"/>
        <v>-</v>
      </c>
      <c r="C346" s="199">
        <f t="shared" si="53"/>
        <v>696</v>
      </c>
      <c r="D346" s="199">
        <f t="shared" si="53"/>
        <v>980</v>
      </c>
      <c r="E346" s="199">
        <f t="shared" si="53"/>
        <v>1045</v>
      </c>
      <c r="F346" s="199">
        <f t="shared" si="53"/>
        <v>1878</v>
      </c>
      <c r="G346" s="199" t="str">
        <f t="shared" si="53"/>
        <v>-</v>
      </c>
      <c r="H346" s="199" t="str">
        <f t="shared" si="53"/>
        <v>-</v>
      </c>
      <c r="I346" s="199">
        <f t="shared" si="53"/>
        <v>4599</v>
      </c>
      <c r="J346" s="199"/>
      <c r="K346" s="199" t="str">
        <f t="shared" si="54"/>
        <v>-</v>
      </c>
      <c r="L346" s="199" t="str">
        <f t="shared" si="54"/>
        <v>-</v>
      </c>
      <c r="M346" s="199" t="str">
        <f t="shared" si="54"/>
        <v>-</v>
      </c>
      <c r="N346" s="199" t="str">
        <f t="shared" si="54"/>
        <v>-</v>
      </c>
      <c r="O346" s="199" t="str">
        <f t="shared" si="54"/>
        <v>-</v>
      </c>
      <c r="P346" s="199" t="str">
        <f t="shared" si="54"/>
        <v>-</v>
      </c>
      <c r="Q346" s="199" t="str">
        <f t="shared" si="54"/>
        <v>-</v>
      </c>
      <c r="R346" s="199" t="str">
        <f t="shared" si="54"/>
        <v>-</v>
      </c>
    </row>
    <row r="347" spans="1:18" s="487" customFormat="1" x14ac:dyDescent="0.2">
      <c r="A347" s="497" t="s">
        <v>336</v>
      </c>
      <c r="B347" s="199" t="str">
        <f t="shared" ref="B347:I348" si="55">B95</f>
        <v>-</v>
      </c>
      <c r="C347" s="199" t="str">
        <f t="shared" si="55"/>
        <v>-</v>
      </c>
      <c r="D347" s="199">
        <f t="shared" si="55"/>
        <v>623</v>
      </c>
      <c r="E347" s="199">
        <f t="shared" si="55"/>
        <v>164</v>
      </c>
      <c r="F347" s="199">
        <f t="shared" si="55"/>
        <v>835</v>
      </c>
      <c r="G347" s="199" t="str">
        <f t="shared" si="55"/>
        <v>-</v>
      </c>
      <c r="H347" s="199" t="str">
        <f t="shared" si="55"/>
        <v>-</v>
      </c>
      <c r="I347" s="199">
        <f t="shared" si="55"/>
        <v>1622</v>
      </c>
      <c r="J347" s="199"/>
      <c r="K347" s="199" t="str">
        <f t="shared" ref="K347:R348" si="56">K95</f>
        <v>-</v>
      </c>
      <c r="L347" s="199" t="str">
        <f t="shared" si="56"/>
        <v>-</v>
      </c>
      <c r="M347" s="199" t="str">
        <f t="shared" si="56"/>
        <v>-</v>
      </c>
      <c r="N347" s="199" t="str">
        <f t="shared" si="56"/>
        <v>-</v>
      </c>
      <c r="O347" s="199" t="str">
        <f t="shared" si="56"/>
        <v>-</v>
      </c>
      <c r="P347" s="199" t="str">
        <f t="shared" si="56"/>
        <v>-</v>
      </c>
      <c r="Q347" s="199" t="str">
        <f t="shared" si="56"/>
        <v>-</v>
      </c>
      <c r="R347" s="199" t="str">
        <f t="shared" si="56"/>
        <v>-</v>
      </c>
    </row>
    <row r="348" spans="1:18" x14ac:dyDescent="0.2">
      <c r="A348" s="497">
        <v>2020</v>
      </c>
      <c r="B348" s="199" t="str">
        <f t="shared" si="55"/>
        <v>-</v>
      </c>
      <c r="C348" s="199" t="str">
        <f t="shared" si="55"/>
        <v>-</v>
      </c>
      <c r="D348" s="199" t="str">
        <f t="shared" si="55"/>
        <v>-</v>
      </c>
      <c r="E348" s="199" t="str">
        <f t="shared" si="55"/>
        <v>-</v>
      </c>
      <c r="F348" s="199" t="str">
        <f t="shared" si="55"/>
        <v>-</v>
      </c>
      <c r="G348" s="199" t="str">
        <f t="shared" si="55"/>
        <v>-</v>
      </c>
      <c r="H348" s="199" t="str">
        <f t="shared" si="55"/>
        <v>-</v>
      </c>
      <c r="I348" s="199" t="str">
        <f t="shared" si="55"/>
        <v>-</v>
      </c>
      <c r="J348" s="199"/>
      <c r="K348" s="199" t="str">
        <f t="shared" si="56"/>
        <v>-</v>
      </c>
      <c r="L348" s="199" t="str">
        <f t="shared" si="56"/>
        <v>-</v>
      </c>
      <c r="M348" s="199" t="str">
        <f t="shared" si="56"/>
        <v>-</v>
      </c>
      <c r="N348" s="199" t="str">
        <f t="shared" si="56"/>
        <v>-</v>
      </c>
      <c r="O348" s="199" t="str">
        <f t="shared" si="56"/>
        <v>-</v>
      </c>
      <c r="P348" s="199" t="str">
        <f t="shared" si="56"/>
        <v>-</v>
      </c>
      <c r="Q348" s="199" t="str">
        <f t="shared" si="56"/>
        <v>-</v>
      </c>
      <c r="R348" s="199" t="str">
        <f t="shared" si="56"/>
        <v>-</v>
      </c>
    </row>
    <row r="350" spans="1:18" x14ac:dyDescent="0.2">
      <c r="A350" s="522" t="s">
        <v>231</v>
      </c>
      <c r="B350" s="522"/>
      <c r="C350" s="522"/>
      <c r="D350" s="522"/>
      <c r="E350" s="522"/>
      <c r="F350" s="522"/>
      <c r="G350" s="522"/>
      <c r="H350" s="522"/>
      <c r="I350" s="522"/>
      <c r="J350" s="522"/>
      <c r="K350" s="522"/>
      <c r="L350" s="522"/>
      <c r="M350" s="522"/>
      <c r="N350" s="522"/>
      <c r="O350" s="522"/>
      <c r="P350" s="522"/>
      <c r="Q350" s="522"/>
      <c r="R350" s="522"/>
    </row>
    <row r="351" spans="1:18" x14ac:dyDescent="0.2">
      <c r="A351" s="389" t="s">
        <v>33</v>
      </c>
      <c r="B351" s="99" t="s">
        <v>34</v>
      </c>
      <c r="C351" s="99" t="s">
        <v>35</v>
      </c>
      <c r="D351" s="99" t="s">
        <v>36</v>
      </c>
      <c r="E351" s="99" t="s">
        <v>37</v>
      </c>
      <c r="F351" s="99" t="s">
        <v>38</v>
      </c>
      <c r="G351" s="99" t="s">
        <v>39</v>
      </c>
      <c r="H351" s="99" t="s">
        <v>40</v>
      </c>
      <c r="I351" s="520" t="s">
        <v>28</v>
      </c>
      <c r="J351" s="520"/>
      <c r="K351" s="99" t="s">
        <v>34</v>
      </c>
      <c r="L351" s="99" t="s">
        <v>35</v>
      </c>
      <c r="M351" s="99" t="s">
        <v>36</v>
      </c>
      <c r="N351" s="99" t="s">
        <v>37</v>
      </c>
      <c r="O351" s="99" t="s">
        <v>38</v>
      </c>
      <c r="P351" s="99" t="s">
        <v>39</v>
      </c>
      <c r="Q351" s="99" t="s">
        <v>40</v>
      </c>
      <c r="R351" s="99" t="s">
        <v>28</v>
      </c>
    </row>
    <row r="352" spans="1:18" x14ac:dyDescent="0.2">
      <c r="B352" s="521" t="s">
        <v>67</v>
      </c>
      <c r="C352" s="521"/>
      <c r="D352" s="521"/>
      <c r="E352" s="521"/>
      <c r="F352" s="521"/>
      <c r="G352" s="521"/>
      <c r="H352" s="521"/>
      <c r="I352" s="521"/>
      <c r="J352" s="95"/>
      <c r="K352" s="521" t="s">
        <v>68</v>
      </c>
      <c r="L352" s="521"/>
      <c r="M352" s="521"/>
      <c r="N352" s="521"/>
      <c r="O352" s="521"/>
      <c r="P352" s="521"/>
      <c r="Q352" s="521"/>
      <c r="R352" s="521"/>
    </row>
    <row r="353" spans="1:18" x14ac:dyDescent="0.2">
      <c r="A353" s="418" t="str">
        <f>A98</f>
        <v>Fort Bragg</v>
      </c>
    </row>
    <row r="354" spans="1:18" x14ac:dyDescent="0.2">
      <c r="A354" s="383" t="s">
        <v>87</v>
      </c>
      <c r="B354" s="70" t="s">
        <v>29</v>
      </c>
      <c r="C354" s="198">
        <f>AVERAGE(C109:C113)</f>
        <v>46867.6</v>
      </c>
      <c r="D354" s="198">
        <f>AVERAGE(D109:D113)</f>
        <v>72418.135999999999</v>
      </c>
      <c r="E354" s="198">
        <f>AVERAGE(E109:E113)</f>
        <v>91861.19200000001</v>
      </c>
      <c r="F354" s="198">
        <f>AVERAGE(F109:F113)</f>
        <v>36173.547999999995</v>
      </c>
      <c r="G354" s="198">
        <f>AVERAGE(G109:G113)</f>
        <v>5095.3999999999996</v>
      </c>
      <c r="H354" s="70" t="s">
        <v>29</v>
      </c>
      <c r="I354" s="198">
        <f>AVERAGE(I109:I113)</f>
        <v>252415.87599999999</v>
      </c>
      <c r="K354" s="70" t="s">
        <v>29</v>
      </c>
      <c r="L354" s="70" t="s">
        <v>29</v>
      </c>
      <c r="M354" s="198">
        <f>AVERAGE(M109:M113)</f>
        <v>9105.9275797004375</v>
      </c>
      <c r="N354" s="198">
        <f>AVERAGE(N109:N113)</f>
        <v>14013.784256643019</v>
      </c>
      <c r="O354" s="198">
        <f>AVERAGE(O109:O113)</f>
        <v>3375.7836459171926</v>
      </c>
      <c r="P354" s="198">
        <f>AVERAGE(P109:P113)</f>
        <v>189.89568845780482</v>
      </c>
      <c r="Q354" s="70" t="s">
        <v>29</v>
      </c>
      <c r="R354" s="198">
        <f>AVERAGE(R109:R113)</f>
        <v>26000</v>
      </c>
    </row>
    <row r="355" spans="1:18" x14ac:dyDescent="0.2">
      <c r="A355" s="383" t="s">
        <v>14</v>
      </c>
      <c r="B355" s="70" t="s">
        <v>29</v>
      </c>
      <c r="C355" s="198">
        <f>AVERAGE(C114:C118)</f>
        <v>388</v>
      </c>
      <c r="D355" s="70" t="s">
        <v>29</v>
      </c>
      <c r="E355" s="70" t="s">
        <v>29</v>
      </c>
      <c r="F355" s="198">
        <f>AVERAGE(F114:F118)</f>
        <v>34300</v>
      </c>
      <c r="G355" s="198">
        <f>AVERAGE(G114:G118)</f>
        <v>8681.75</v>
      </c>
      <c r="H355" s="70" t="s">
        <v>29</v>
      </c>
      <c r="I355" s="198">
        <f>AVERAGE(I114:I118)</f>
        <v>17353.75</v>
      </c>
      <c r="K355" s="70" t="s">
        <v>29</v>
      </c>
      <c r="L355" s="70" t="s">
        <v>29</v>
      </c>
      <c r="M355" s="70" t="s">
        <v>29</v>
      </c>
      <c r="N355" s="70" t="s">
        <v>29</v>
      </c>
      <c r="O355" s="198">
        <f>AVERAGE(O114:O118)</f>
        <v>4500</v>
      </c>
      <c r="P355" s="70" t="s">
        <v>29</v>
      </c>
      <c r="Q355" s="70" t="s">
        <v>29</v>
      </c>
      <c r="R355" s="198">
        <f>AVERAGE(R114:R118)</f>
        <v>4500</v>
      </c>
    </row>
    <row r="356" spans="1:18" x14ac:dyDescent="0.2">
      <c r="A356" s="383" t="s">
        <v>207</v>
      </c>
      <c r="B356" s="70" t="s">
        <v>29</v>
      </c>
      <c r="C356" s="198" t="s">
        <v>29</v>
      </c>
      <c r="D356" s="70" t="s">
        <v>29</v>
      </c>
      <c r="E356" s="70" t="s">
        <v>29</v>
      </c>
      <c r="F356" s="198">
        <f>AVERAGE(F119:F123)</f>
        <v>14443</v>
      </c>
      <c r="G356" s="198">
        <f>AVERAGE(G119:G123)</f>
        <v>9640.2000000000007</v>
      </c>
      <c r="H356" s="70" t="s">
        <v>29</v>
      </c>
      <c r="I356" s="198">
        <f>AVERAGE(I119:I123)</f>
        <v>12528.8</v>
      </c>
      <c r="K356" s="70" t="s">
        <v>29</v>
      </c>
      <c r="L356" s="70" t="s">
        <v>29</v>
      </c>
      <c r="M356" s="70" t="s">
        <v>29</v>
      </c>
      <c r="N356" s="70" t="s">
        <v>29</v>
      </c>
      <c r="O356" s="198" t="s">
        <v>29</v>
      </c>
      <c r="P356" s="70" t="s">
        <v>29</v>
      </c>
      <c r="Q356" s="70" t="s">
        <v>29</v>
      </c>
      <c r="R356" s="198" t="s">
        <v>29</v>
      </c>
    </row>
    <row r="357" spans="1:18" x14ac:dyDescent="0.2">
      <c r="A357" s="383" t="s">
        <v>238</v>
      </c>
      <c r="B357" s="198" t="str">
        <f>B124</f>
        <v>-</v>
      </c>
      <c r="C357" s="198">
        <f>AVERAGE(C124:C128)</f>
        <v>17714.5</v>
      </c>
      <c r="D357" s="198" t="str">
        <f>D124</f>
        <v>-</v>
      </c>
      <c r="E357" s="198">
        <f>AVERAGE(E124:E128)</f>
        <v>51702</v>
      </c>
      <c r="F357" s="198">
        <f>AVERAGE(F124:F128)</f>
        <v>51853.333333333336</v>
      </c>
      <c r="G357" s="198">
        <f>AVERAGE(G124:G128)</f>
        <v>27247.4</v>
      </c>
      <c r="H357" s="198" t="str">
        <f>H124</f>
        <v>-</v>
      </c>
      <c r="I357" s="198">
        <f>AVERAGE(I124:I128)</f>
        <v>96466.4</v>
      </c>
      <c r="K357" s="198" t="str">
        <f t="shared" ref="K357:R357" si="57">K124</f>
        <v>-</v>
      </c>
      <c r="L357" s="198" t="str">
        <f t="shared" si="57"/>
        <v>-</v>
      </c>
      <c r="M357" s="198" t="str">
        <f t="shared" si="57"/>
        <v>-</v>
      </c>
      <c r="N357" s="198" t="str">
        <f t="shared" si="57"/>
        <v>-</v>
      </c>
      <c r="O357" s="198" t="str">
        <f t="shared" si="57"/>
        <v>-</v>
      </c>
      <c r="P357" s="198" t="str">
        <f t="shared" si="57"/>
        <v>-</v>
      </c>
      <c r="Q357" s="198" t="str">
        <f t="shared" si="57"/>
        <v>-</v>
      </c>
      <c r="R357" s="198" t="str">
        <f t="shared" si="57"/>
        <v>-</v>
      </c>
    </row>
    <row r="358" spans="1:18" x14ac:dyDescent="0.2">
      <c r="A358" s="383">
        <v>2006</v>
      </c>
      <c r="B358" s="198" t="str">
        <f t="shared" ref="B358:I370" si="58">B129</f>
        <v>-</v>
      </c>
      <c r="C358" s="198" t="str">
        <f t="shared" si="58"/>
        <v>-</v>
      </c>
      <c r="D358" s="198" t="str">
        <f t="shared" si="58"/>
        <v>-</v>
      </c>
      <c r="E358" s="198" t="str">
        <f t="shared" si="58"/>
        <v>-</v>
      </c>
      <c r="F358" s="198" t="str">
        <f t="shared" si="58"/>
        <v>-</v>
      </c>
      <c r="G358" s="198">
        <f t="shared" si="58"/>
        <v>10835</v>
      </c>
      <c r="H358" s="198" t="str">
        <f t="shared" si="58"/>
        <v>-</v>
      </c>
      <c r="I358" s="198">
        <f t="shared" si="58"/>
        <v>10835</v>
      </c>
      <c r="K358" s="198" t="str">
        <f t="shared" ref="K358:R370" si="59">K129</f>
        <v>-</v>
      </c>
      <c r="L358" s="198" t="str">
        <f t="shared" si="59"/>
        <v>-</v>
      </c>
      <c r="M358" s="198" t="str">
        <f t="shared" si="59"/>
        <v>-</v>
      </c>
      <c r="N358" s="198" t="str">
        <f t="shared" si="59"/>
        <v>-</v>
      </c>
      <c r="O358" s="198" t="str">
        <f t="shared" si="59"/>
        <v>-</v>
      </c>
      <c r="P358" s="198" t="str">
        <f t="shared" si="59"/>
        <v>-</v>
      </c>
      <c r="Q358" s="198" t="str">
        <f t="shared" si="59"/>
        <v>-</v>
      </c>
      <c r="R358" s="198" t="str">
        <f t="shared" si="59"/>
        <v>-</v>
      </c>
    </row>
    <row r="359" spans="1:18" s="374" customFormat="1" x14ac:dyDescent="0.2">
      <c r="A359" s="402">
        <v>2007</v>
      </c>
      <c r="B359" s="199">
        <f t="shared" si="58"/>
        <v>748</v>
      </c>
      <c r="C359" s="199" t="str">
        <f t="shared" si="58"/>
        <v>-</v>
      </c>
      <c r="D359" s="199" t="str">
        <f t="shared" si="58"/>
        <v>-</v>
      </c>
      <c r="E359" s="199" t="str">
        <f t="shared" si="58"/>
        <v>-</v>
      </c>
      <c r="F359" s="199">
        <f t="shared" si="58"/>
        <v>15173</v>
      </c>
      <c r="G359" s="199">
        <f t="shared" si="58"/>
        <v>195</v>
      </c>
      <c r="H359" s="199" t="str">
        <f t="shared" si="58"/>
        <v>-</v>
      </c>
      <c r="I359" s="199">
        <f t="shared" si="58"/>
        <v>16116</v>
      </c>
      <c r="J359" s="199"/>
      <c r="K359" s="199" t="str">
        <f t="shared" si="59"/>
        <v>-</v>
      </c>
      <c r="L359" s="199" t="str">
        <f t="shared" si="59"/>
        <v>-</v>
      </c>
      <c r="M359" s="199" t="str">
        <f t="shared" si="59"/>
        <v>-</v>
      </c>
      <c r="N359" s="199" t="str">
        <f t="shared" si="59"/>
        <v>-</v>
      </c>
      <c r="O359" s="199" t="str">
        <f t="shared" si="59"/>
        <v>-</v>
      </c>
      <c r="P359" s="199" t="str">
        <f t="shared" si="59"/>
        <v>-</v>
      </c>
      <c r="Q359" s="199" t="str">
        <f t="shared" si="59"/>
        <v>-</v>
      </c>
      <c r="R359" s="199" t="str">
        <f t="shared" si="59"/>
        <v>-</v>
      </c>
    </row>
    <row r="360" spans="1:18" s="374" customFormat="1" x14ac:dyDescent="0.2">
      <c r="A360" s="402">
        <v>2008</v>
      </c>
      <c r="B360" s="199" t="str">
        <f t="shared" si="58"/>
        <v>-</v>
      </c>
      <c r="C360" s="199" t="str">
        <f t="shared" si="58"/>
        <v>-</v>
      </c>
      <c r="D360" s="199" t="str">
        <f t="shared" si="58"/>
        <v>-</v>
      </c>
      <c r="E360" s="199" t="str">
        <f t="shared" si="58"/>
        <v>-</v>
      </c>
      <c r="F360" s="199" t="str">
        <f t="shared" si="58"/>
        <v>-</v>
      </c>
      <c r="G360" s="199" t="str">
        <f t="shared" si="58"/>
        <v>-</v>
      </c>
      <c r="H360" s="199" t="str">
        <f t="shared" si="58"/>
        <v>-</v>
      </c>
      <c r="I360" s="199" t="str">
        <f t="shared" si="58"/>
        <v>-</v>
      </c>
      <c r="J360" s="199"/>
      <c r="K360" s="199" t="str">
        <f t="shared" si="59"/>
        <v>-</v>
      </c>
      <c r="L360" s="199" t="str">
        <f t="shared" si="59"/>
        <v>-</v>
      </c>
      <c r="M360" s="199" t="str">
        <f t="shared" si="59"/>
        <v>-</v>
      </c>
      <c r="N360" s="199" t="str">
        <f t="shared" si="59"/>
        <v>-</v>
      </c>
      <c r="O360" s="199" t="str">
        <f t="shared" si="59"/>
        <v>-</v>
      </c>
      <c r="P360" s="199" t="str">
        <f t="shared" si="59"/>
        <v>-</v>
      </c>
      <c r="Q360" s="199" t="str">
        <f t="shared" si="59"/>
        <v>-</v>
      </c>
      <c r="R360" s="199" t="str">
        <f t="shared" si="59"/>
        <v>-</v>
      </c>
    </row>
    <row r="361" spans="1:18" s="374" customFormat="1" x14ac:dyDescent="0.2">
      <c r="A361" s="402">
        <v>2009</v>
      </c>
      <c r="B361" s="199" t="str">
        <f t="shared" si="58"/>
        <v>-</v>
      </c>
      <c r="C361" s="199" t="str">
        <f t="shared" si="58"/>
        <v>-</v>
      </c>
      <c r="D361" s="199" t="str">
        <f t="shared" si="58"/>
        <v>-</v>
      </c>
      <c r="E361" s="199" t="str">
        <f t="shared" si="58"/>
        <v>-</v>
      </c>
      <c r="F361" s="199" t="str">
        <f t="shared" si="58"/>
        <v>-</v>
      </c>
      <c r="G361" s="199" t="str">
        <f t="shared" si="58"/>
        <v>-</v>
      </c>
      <c r="H361" s="199" t="str">
        <f t="shared" si="58"/>
        <v>-</v>
      </c>
      <c r="I361" s="199" t="str">
        <f t="shared" si="58"/>
        <v>-</v>
      </c>
      <c r="J361" s="199"/>
      <c r="K361" s="199" t="str">
        <f t="shared" si="59"/>
        <v>-</v>
      </c>
      <c r="L361" s="199" t="str">
        <f t="shared" si="59"/>
        <v>-</v>
      </c>
      <c r="M361" s="199" t="str">
        <f t="shared" si="59"/>
        <v>-</v>
      </c>
      <c r="N361" s="199" t="str">
        <f t="shared" si="59"/>
        <v>-</v>
      </c>
      <c r="O361" s="199" t="str">
        <f t="shared" si="59"/>
        <v>-</v>
      </c>
      <c r="P361" s="199" t="str">
        <f t="shared" si="59"/>
        <v>-</v>
      </c>
      <c r="Q361" s="199" t="str">
        <f t="shared" si="59"/>
        <v>-</v>
      </c>
      <c r="R361" s="199" t="str">
        <f t="shared" si="59"/>
        <v>-</v>
      </c>
    </row>
    <row r="362" spans="1:18" s="374" customFormat="1" x14ac:dyDescent="0.2">
      <c r="A362" s="122">
        <v>2010</v>
      </c>
      <c r="B362" s="199" t="str">
        <f t="shared" si="58"/>
        <v>-</v>
      </c>
      <c r="C362" s="199" t="str">
        <f t="shared" si="58"/>
        <v>-</v>
      </c>
      <c r="D362" s="199" t="str">
        <f t="shared" si="58"/>
        <v>-</v>
      </c>
      <c r="E362" s="199">
        <f t="shared" si="58"/>
        <v>6371</v>
      </c>
      <c r="F362" s="199">
        <f t="shared" si="58"/>
        <v>6182</v>
      </c>
      <c r="G362" s="199" t="str">
        <f t="shared" si="58"/>
        <v>-</v>
      </c>
      <c r="H362" s="199" t="str">
        <f t="shared" si="58"/>
        <v>-</v>
      </c>
      <c r="I362" s="199">
        <f t="shared" si="58"/>
        <v>12553</v>
      </c>
      <c r="J362" s="199"/>
      <c r="K362" s="199" t="str">
        <f t="shared" si="59"/>
        <v>-</v>
      </c>
      <c r="L362" s="199" t="str">
        <f t="shared" si="59"/>
        <v>-</v>
      </c>
      <c r="M362" s="199" t="str">
        <f t="shared" si="59"/>
        <v>-</v>
      </c>
      <c r="N362" s="199" t="str">
        <f t="shared" si="59"/>
        <v>-</v>
      </c>
      <c r="O362" s="199" t="str">
        <f t="shared" si="59"/>
        <v>-</v>
      </c>
      <c r="P362" s="199" t="str">
        <f t="shared" si="59"/>
        <v>-</v>
      </c>
      <c r="Q362" s="199" t="str">
        <f t="shared" si="59"/>
        <v>-</v>
      </c>
      <c r="R362" s="199" t="str">
        <f t="shared" si="59"/>
        <v>-</v>
      </c>
    </row>
    <row r="363" spans="1:18" s="374" customFormat="1" x14ac:dyDescent="0.2">
      <c r="A363" s="402">
        <v>2011</v>
      </c>
      <c r="B363" s="199" t="str">
        <f t="shared" si="58"/>
        <v>-</v>
      </c>
      <c r="C363" s="199" t="str">
        <f t="shared" si="58"/>
        <v>-</v>
      </c>
      <c r="D363" s="199" t="str">
        <f t="shared" si="58"/>
        <v>-</v>
      </c>
      <c r="E363" s="199">
        <f t="shared" si="58"/>
        <v>21085</v>
      </c>
      <c r="F363" s="199">
        <f t="shared" si="58"/>
        <v>17766</v>
      </c>
      <c r="G363" s="199">
        <f t="shared" si="58"/>
        <v>460</v>
      </c>
      <c r="H363" s="199" t="str">
        <f t="shared" si="58"/>
        <v>-</v>
      </c>
      <c r="I363" s="199">
        <f t="shared" si="58"/>
        <v>39311</v>
      </c>
      <c r="J363" s="199"/>
      <c r="K363" s="199" t="str">
        <f t="shared" si="59"/>
        <v>-</v>
      </c>
      <c r="L363" s="199" t="str">
        <f t="shared" si="59"/>
        <v>-</v>
      </c>
      <c r="M363" s="199" t="str">
        <f t="shared" si="59"/>
        <v>-</v>
      </c>
      <c r="N363" s="199" t="str">
        <f t="shared" si="59"/>
        <v>-</v>
      </c>
      <c r="O363" s="199" t="str">
        <f t="shared" si="59"/>
        <v>-</v>
      </c>
      <c r="P363" s="199" t="str">
        <f t="shared" si="59"/>
        <v>-</v>
      </c>
      <c r="Q363" s="199" t="str">
        <f t="shared" si="59"/>
        <v>-</v>
      </c>
      <c r="R363" s="199" t="str">
        <f t="shared" si="59"/>
        <v>-</v>
      </c>
    </row>
    <row r="364" spans="1:18" s="374" customFormat="1" x14ac:dyDescent="0.2">
      <c r="A364" s="402">
        <v>2012</v>
      </c>
      <c r="B364" s="199" t="str">
        <f t="shared" si="58"/>
        <v>-</v>
      </c>
      <c r="C364" s="199" t="str">
        <f t="shared" si="58"/>
        <v>-</v>
      </c>
      <c r="D364" s="199" t="str">
        <f t="shared" si="58"/>
        <v>-</v>
      </c>
      <c r="E364" s="199">
        <f t="shared" si="58"/>
        <v>24324</v>
      </c>
      <c r="F364" s="199">
        <f t="shared" si="58"/>
        <v>12304</v>
      </c>
      <c r="G364" s="199">
        <f t="shared" si="58"/>
        <v>1654</v>
      </c>
      <c r="H364" s="199" t="str">
        <f t="shared" si="58"/>
        <v>-</v>
      </c>
      <c r="I364" s="199">
        <f t="shared" si="58"/>
        <v>38282</v>
      </c>
      <c r="J364" s="199"/>
      <c r="K364" s="199" t="str">
        <f t="shared" si="59"/>
        <v>-</v>
      </c>
      <c r="L364" s="199" t="str">
        <f t="shared" si="59"/>
        <v>-</v>
      </c>
      <c r="M364" s="199" t="str">
        <f t="shared" si="59"/>
        <v>-</v>
      </c>
      <c r="N364" s="199" t="str">
        <f t="shared" si="59"/>
        <v>-</v>
      </c>
      <c r="O364" s="199" t="str">
        <f t="shared" si="59"/>
        <v>-</v>
      </c>
      <c r="P364" s="199" t="str">
        <f t="shared" si="59"/>
        <v>-</v>
      </c>
      <c r="Q364" s="199" t="str">
        <f t="shared" si="59"/>
        <v>-</v>
      </c>
      <c r="R364" s="199" t="str">
        <f t="shared" si="59"/>
        <v>-</v>
      </c>
    </row>
    <row r="365" spans="1:18" s="374" customFormat="1" x14ac:dyDescent="0.2">
      <c r="A365" s="402">
        <v>2013</v>
      </c>
      <c r="B365" s="199" t="str">
        <f t="shared" si="58"/>
        <v>-</v>
      </c>
      <c r="C365" s="199">
        <f t="shared" si="58"/>
        <v>4352</v>
      </c>
      <c r="D365" s="199">
        <f t="shared" si="58"/>
        <v>23785</v>
      </c>
      <c r="E365" s="199">
        <f t="shared" si="58"/>
        <v>68781</v>
      </c>
      <c r="F365" s="199">
        <f t="shared" si="58"/>
        <v>14916</v>
      </c>
      <c r="G365" s="199">
        <f t="shared" si="58"/>
        <v>4324</v>
      </c>
      <c r="H365" s="199" t="str">
        <f t="shared" si="58"/>
        <v>-</v>
      </c>
      <c r="I365" s="199">
        <f t="shared" si="58"/>
        <v>116158</v>
      </c>
      <c r="J365" s="199"/>
      <c r="K365" s="199" t="str">
        <f t="shared" si="59"/>
        <v>-</v>
      </c>
      <c r="L365" s="199" t="str">
        <f t="shared" si="59"/>
        <v>-</v>
      </c>
      <c r="M365" s="199" t="str">
        <f t="shared" si="59"/>
        <v>-</v>
      </c>
      <c r="N365" s="199" t="str">
        <f t="shared" si="59"/>
        <v>-</v>
      </c>
      <c r="O365" s="199" t="str">
        <f t="shared" si="59"/>
        <v>-</v>
      </c>
      <c r="P365" s="199" t="str">
        <f t="shared" si="59"/>
        <v>-</v>
      </c>
      <c r="Q365" s="199" t="str">
        <f t="shared" si="59"/>
        <v>-</v>
      </c>
      <c r="R365" s="199" t="str">
        <f t="shared" si="59"/>
        <v>-</v>
      </c>
    </row>
    <row r="366" spans="1:18" s="374" customFormat="1" x14ac:dyDescent="0.2">
      <c r="A366" s="402">
        <v>2014</v>
      </c>
      <c r="B366" s="199" t="str">
        <f t="shared" si="58"/>
        <v>-</v>
      </c>
      <c r="C366" s="199" t="str">
        <f t="shared" si="58"/>
        <v>-</v>
      </c>
      <c r="D366" s="199">
        <f t="shared" si="58"/>
        <v>23126</v>
      </c>
      <c r="E366" s="199">
        <f t="shared" si="58"/>
        <v>45563</v>
      </c>
      <c r="F366" s="199">
        <f t="shared" si="58"/>
        <v>7788</v>
      </c>
      <c r="G366" s="199">
        <f t="shared" si="58"/>
        <v>454</v>
      </c>
      <c r="H366" s="199" t="str">
        <f t="shared" si="58"/>
        <v>-</v>
      </c>
      <c r="I366" s="199">
        <f t="shared" si="58"/>
        <v>76931</v>
      </c>
      <c r="J366" s="199"/>
      <c r="K366" s="199" t="str">
        <f t="shared" si="59"/>
        <v>-</v>
      </c>
      <c r="L366" s="199" t="str">
        <f t="shared" si="59"/>
        <v>-</v>
      </c>
      <c r="M366" s="199" t="str">
        <f t="shared" si="59"/>
        <v>-</v>
      </c>
      <c r="N366" s="199" t="str">
        <f t="shared" si="59"/>
        <v>-</v>
      </c>
      <c r="O366" s="199" t="str">
        <f t="shared" si="59"/>
        <v>-</v>
      </c>
      <c r="P366" s="199" t="str">
        <f t="shared" si="59"/>
        <v>-</v>
      </c>
      <c r="Q366" s="199" t="str">
        <f t="shared" si="59"/>
        <v>-</v>
      </c>
      <c r="R366" s="199" t="str">
        <f t="shared" si="59"/>
        <v>-</v>
      </c>
    </row>
    <row r="367" spans="1:18" s="374" customFormat="1" x14ac:dyDescent="0.2">
      <c r="A367" s="122">
        <v>2015</v>
      </c>
      <c r="B367" s="199" t="str">
        <f t="shared" si="58"/>
        <v>-</v>
      </c>
      <c r="C367" s="199">
        <f t="shared" si="58"/>
        <v>38546</v>
      </c>
      <c r="D367" s="199">
        <f t="shared" si="58"/>
        <v>11317</v>
      </c>
      <c r="E367" s="199">
        <f t="shared" si="58"/>
        <v>5333</v>
      </c>
      <c r="F367" s="199">
        <f t="shared" si="58"/>
        <v>3848</v>
      </c>
      <c r="G367" s="199">
        <f t="shared" si="58"/>
        <v>1008</v>
      </c>
      <c r="H367" s="199" t="str">
        <f t="shared" si="58"/>
        <v>-</v>
      </c>
      <c r="I367" s="199">
        <f t="shared" si="58"/>
        <v>60052</v>
      </c>
      <c r="J367" s="199"/>
      <c r="K367" s="199" t="str">
        <f t="shared" si="59"/>
        <v>-</v>
      </c>
      <c r="L367" s="199" t="str">
        <f t="shared" si="59"/>
        <v>-</v>
      </c>
      <c r="M367" s="199" t="str">
        <f t="shared" si="59"/>
        <v>-</v>
      </c>
      <c r="N367" s="199" t="str">
        <f t="shared" si="59"/>
        <v>-</v>
      </c>
      <c r="O367" s="199" t="str">
        <f t="shared" si="59"/>
        <v>-</v>
      </c>
      <c r="P367" s="199" t="str">
        <f t="shared" si="59"/>
        <v>-</v>
      </c>
      <c r="Q367" s="199" t="str">
        <f t="shared" si="59"/>
        <v>-</v>
      </c>
      <c r="R367" s="199" t="str">
        <f t="shared" si="59"/>
        <v>-</v>
      </c>
    </row>
    <row r="368" spans="1:18" s="374" customFormat="1" x14ac:dyDescent="0.2">
      <c r="A368" s="122">
        <v>2016</v>
      </c>
      <c r="B368" s="199" t="str">
        <f t="shared" si="58"/>
        <v>-</v>
      </c>
      <c r="C368" s="199" t="str">
        <f t="shared" si="58"/>
        <v>-</v>
      </c>
      <c r="D368" s="199">
        <f t="shared" si="58"/>
        <v>9956</v>
      </c>
      <c r="E368" s="199" t="str">
        <f t="shared" si="58"/>
        <v>-</v>
      </c>
      <c r="F368" s="199">
        <f t="shared" si="58"/>
        <v>4515</v>
      </c>
      <c r="G368" s="199">
        <f t="shared" si="58"/>
        <v>909</v>
      </c>
      <c r="H368" s="199" t="str">
        <f t="shared" si="58"/>
        <v>-</v>
      </c>
      <c r="I368" s="199">
        <f t="shared" si="58"/>
        <v>15380</v>
      </c>
      <c r="J368" s="199"/>
      <c r="K368" s="199" t="str">
        <f t="shared" si="59"/>
        <v>-</v>
      </c>
      <c r="L368" s="199" t="str">
        <f t="shared" si="59"/>
        <v>-</v>
      </c>
      <c r="M368" s="199" t="str">
        <f t="shared" si="59"/>
        <v>-</v>
      </c>
      <c r="N368" s="199" t="str">
        <f t="shared" si="59"/>
        <v>-</v>
      </c>
      <c r="O368" s="199" t="str">
        <f t="shared" si="59"/>
        <v>-</v>
      </c>
      <c r="P368" s="199" t="str">
        <f t="shared" si="59"/>
        <v>-</v>
      </c>
      <c r="Q368" s="199" t="str">
        <f t="shared" si="59"/>
        <v>-</v>
      </c>
      <c r="R368" s="199" t="str">
        <f t="shared" si="59"/>
        <v>-</v>
      </c>
    </row>
    <row r="369" spans="1:18" s="374" customFormat="1" x14ac:dyDescent="0.2">
      <c r="A369" s="122">
        <v>2017</v>
      </c>
      <c r="B369" s="199" t="str">
        <f t="shared" si="58"/>
        <v>-</v>
      </c>
      <c r="C369" s="199" t="str">
        <f t="shared" si="58"/>
        <v>-</v>
      </c>
      <c r="D369" s="199" t="str">
        <f t="shared" si="58"/>
        <v>-</v>
      </c>
      <c r="E369" s="199" t="str">
        <f t="shared" si="58"/>
        <v>-</v>
      </c>
      <c r="F369" s="199" t="str">
        <f t="shared" si="58"/>
        <v>-</v>
      </c>
      <c r="G369" s="199">
        <f t="shared" si="58"/>
        <v>1935</v>
      </c>
      <c r="H369" s="199" t="str">
        <f t="shared" si="58"/>
        <v>-</v>
      </c>
      <c r="I369" s="199">
        <f t="shared" si="58"/>
        <v>1935</v>
      </c>
      <c r="J369" s="199"/>
      <c r="K369" s="199" t="str">
        <f t="shared" si="59"/>
        <v>-</v>
      </c>
      <c r="L369" s="199" t="str">
        <f t="shared" si="59"/>
        <v>-</v>
      </c>
      <c r="M369" s="199" t="str">
        <f t="shared" si="59"/>
        <v>-</v>
      </c>
      <c r="N369" s="199" t="str">
        <f t="shared" si="59"/>
        <v>-</v>
      </c>
      <c r="O369" s="199" t="str">
        <f t="shared" si="59"/>
        <v>-</v>
      </c>
      <c r="P369" s="199" t="str">
        <f t="shared" si="59"/>
        <v>-</v>
      </c>
      <c r="Q369" s="199" t="str">
        <f t="shared" si="59"/>
        <v>-</v>
      </c>
      <c r="R369" s="199" t="str">
        <f t="shared" si="59"/>
        <v>-</v>
      </c>
    </row>
    <row r="370" spans="1:18" s="374" customFormat="1" x14ac:dyDescent="0.2">
      <c r="A370" s="122">
        <v>2018</v>
      </c>
      <c r="B370" s="199" t="str">
        <f t="shared" si="58"/>
        <v>-</v>
      </c>
      <c r="C370" s="199" t="str">
        <f t="shared" si="58"/>
        <v>-</v>
      </c>
      <c r="D370" s="199" t="str">
        <f t="shared" si="58"/>
        <v>-</v>
      </c>
      <c r="E370" s="199">
        <f t="shared" si="58"/>
        <v>6081</v>
      </c>
      <c r="F370" s="199">
        <f t="shared" si="58"/>
        <v>4137</v>
      </c>
      <c r="G370" s="199">
        <f t="shared" si="58"/>
        <v>333</v>
      </c>
      <c r="H370" s="199" t="str">
        <f t="shared" si="58"/>
        <v>-</v>
      </c>
      <c r="I370" s="199">
        <f t="shared" si="58"/>
        <v>10551</v>
      </c>
      <c r="J370" s="199"/>
      <c r="K370" s="199" t="str">
        <f t="shared" si="59"/>
        <v>-</v>
      </c>
      <c r="L370" s="199" t="str">
        <f t="shared" si="59"/>
        <v>-</v>
      </c>
      <c r="M370" s="199" t="str">
        <f t="shared" si="59"/>
        <v>-</v>
      </c>
      <c r="N370" s="199" t="str">
        <f t="shared" si="59"/>
        <v>-</v>
      </c>
      <c r="O370" s="199" t="str">
        <f t="shared" si="59"/>
        <v>-</v>
      </c>
      <c r="P370" s="199" t="str">
        <f t="shared" si="59"/>
        <v>-</v>
      </c>
      <c r="Q370" s="199" t="str">
        <f t="shared" si="59"/>
        <v>-</v>
      </c>
      <c r="R370" s="199" t="str">
        <f t="shared" si="59"/>
        <v>-</v>
      </c>
    </row>
    <row r="371" spans="1:18" s="487" customFormat="1" x14ac:dyDescent="0.2">
      <c r="A371" s="497" t="s">
        <v>336</v>
      </c>
      <c r="B371" s="199" t="str">
        <f t="shared" ref="B371:I372" si="60">B142</f>
        <v>-</v>
      </c>
      <c r="C371" s="199" t="str">
        <f t="shared" si="60"/>
        <v>-</v>
      </c>
      <c r="D371" s="199">
        <f t="shared" si="60"/>
        <v>4141</v>
      </c>
      <c r="E371" s="199">
        <f t="shared" si="60"/>
        <v>2894</v>
      </c>
      <c r="F371" s="199">
        <f t="shared" si="60"/>
        <v>3432</v>
      </c>
      <c r="G371" s="199" t="str">
        <f t="shared" si="60"/>
        <v>-</v>
      </c>
      <c r="H371" s="199" t="str">
        <f t="shared" si="60"/>
        <v>-</v>
      </c>
      <c r="I371" s="199">
        <f t="shared" si="60"/>
        <v>10467</v>
      </c>
      <c r="J371" s="199"/>
      <c r="K371" s="199" t="str">
        <f t="shared" ref="K371:R372" si="61">K142</f>
        <v>-</v>
      </c>
      <c r="L371" s="199" t="str">
        <f t="shared" si="61"/>
        <v>-</v>
      </c>
      <c r="M371" s="199" t="str">
        <f t="shared" si="61"/>
        <v>-</v>
      </c>
      <c r="N371" s="199" t="str">
        <f t="shared" si="61"/>
        <v>-</v>
      </c>
      <c r="O371" s="199" t="str">
        <f t="shared" si="61"/>
        <v>-</v>
      </c>
      <c r="P371" s="199" t="str">
        <f t="shared" si="61"/>
        <v>-</v>
      </c>
      <c r="Q371" s="199" t="str">
        <f t="shared" si="61"/>
        <v>-</v>
      </c>
      <c r="R371" s="199" t="str">
        <f t="shared" si="61"/>
        <v>-</v>
      </c>
    </row>
    <row r="372" spans="1:18" x14ac:dyDescent="0.2">
      <c r="A372" s="497" t="s">
        <v>391</v>
      </c>
      <c r="B372" s="198" t="str">
        <f t="shared" si="60"/>
        <v>-</v>
      </c>
      <c r="C372" s="198" t="str">
        <f t="shared" si="60"/>
        <v>-</v>
      </c>
      <c r="D372" s="198" t="str">
        <f t="shared" si="60"/>
        <v>-</v>
      </c>
      <c r="E372" s="198" t="str">
        <f t="shared" si="60"/>
        <v>-</v>
      </c>
      <c r="F372" s="198">
        <f t="shared" si="60"/>
        <v>1617</v>
      </c>
      <c r="G372" s="198">
        <f t="shared" si="60"/>
        <v>231</v>
      </c>
      <c r="H372" s="198" t="str">
        <f t="shared" si="60"/>
        <v>-</v>
      </c>
      <c r="I372" s="198">
        <f t="shared" si="60"/>
        <v>1848</v>
      </c>
      <c r="K372" s="198" t="str">
        <f t="shared" si="61"/>
        <v>-</v>
      </c>
      <c r="L372" s="198" t="str">
        <f t="shared" si="61"/>
        <v>-</v>
      </c>
      <c r="M372" s="198" t="str">
        <f t="shared" si="61"/>
        <v>-</v>
      </c>
      <c r="N372" s="198" t="str">
        <f t="shared" si="61"/>
        <v>-</v>
      </c>
      <c r="O372" s="198" t="str">
        <f t="shared" si="61"/>
        <v>-</v>
      </c>
      <c r="P372" s="198" t="str">
        <f t="shared" si="61"/>
        <v>-</v>
      </c>
      <c r="Q372" s="198" t="str">
        <f t="shared" si="61"/>
        <v>-</v>
      </c>
      <c r="R372" s="198" t="str">
        <f t="shared" si="61"/>
        <v>-</v>
      </c>
    </row>
    <row r="373" spans="1:18" ht="8.1" customHeight="1" x14ac:dyDescent="0.2"/>
    <row r="374" spans="1:18" x14ac:dyDescent="0.2">
      <c r="A374" s="418" t="str">
        <f>A145</f>
        <v>San Francisco</v>
      </c>
    </row>
    <row r="375" spans="1:18" x14ac:dyDescent="0.2">
      <c r="A375" s="383" t="s">
        <v>87</v>
      </c>
      <c r="B375" s="70" t="s">
        <v>29</v>
      </c>
      <c r="C375" s="198">
        <f>AVERAGE(C156:C160)</f>
        <v>131362</v>
      </c>
      <c r="D375" s="198">
        <f>AVERAGE(D156:D160)</f>
        <v>111938</v>
      </c>
      <c r="E375" s="198">
        <f>AVERAGE(E156:E160)</f>
        <v>71214.399999999994</v>
      </c>
      <c r="F375" s="198">
        <f>AVERAGE(F156:F160)</f>
        <v>26550.400000000001</v>
      </c>
      <c r="G375" s="198">
        <f>AVERAGE(G156:G160)</f>
        <v>10050</v>
      </c>
      <c r="H375" s="70" t="s">
        <v>29</v>
      </c>
      <c r="I375" s="198">
        <f>AVERAGE(I156:I160)</f>
        <v>351114.8</v>
      </c>
      <c r="K375" s="70" t="s">
        <v>29</v>
      </c>
      <c r="L375" s="70" t="s">
        <v>29</v>
      </c>
      <c r="M375" s="198">
        <f>AVERAGE(M156:M160)</f>
        <v>5375.2</v>
      </c>
      <c r="N375" s="198">
        <f>AVERAGE(N156:N160)</f>
        <v>3280.2</v>
      </c>
      <c r="O375" s="198">
        <f>AVERAGE(O156:O160)</f>
        <v>819.5</v>
      </c>
      <c r="P375" s="198">
        <f>AVERAGE(P156:P160)</f>
        <v>82.25</v>
      </c>
      <c r="Q375" s="70" t="s">
        <v>29</v>
      </c>
      <c r="R375" s="198">
        <f>AVERAGE(R156:R160)</f>
        <v>9376.7999999999993</v>
      </c>
    </row>
    <row r="376" spans="1:18" x14ac:dyDescent="0.2">
      <c r="A376" s="383" t="s">
        <v>14</v>
      </c>
      <c r="B376" s="70" t="s">
        <v>29</v>
      </c>
      <c r="C376" s="198">
        <f>AVERAGE(C161:C165)</f>
        <v>69489.399999999994</v>
      </c>
      <c r="D376" s="198">
        <f>AVERAGE(D161:D165)</f>
        <v>43811.199999999997</v>
      </c>
      <c r="E376" s="198">
        <f>AVERAGE(E161:E165)</f>
        <v>43504</v>
      </c>
      <c r="F376" s="198">
        <f>AVERAGE(F161:F165)</f>
        <v>29911</v>
      </c>
      <c r="G376" s="198">
        <f>AVERAGE(G161:G165)</f>
        <v>13872.6</v>
      </c>
      <c r="H376" s="70" t="s">
        <v>29</v>
      </c>
      <c r="I376" s="198">
        <f>AVERAGE(I161:I165)</f>
        <v>200588.2</v>
      </c>
      <c r="K376" s="70" t="s">
        <v>29</v>
      </c>
      <c r="L376" s="70" t="s">
        <v>29</v>
      </c>
      <c r="M376" s="198">
        <f>AVERAGE(M161:M165)</f>
        <v>33100</v>
      </c>
      <c r="N376" s="198">
        <f>AVERAGE(N161:N165)</f>
        <v>19700</v>
      </c>
      <c r="O376" s="198">
        <f>AVERAGE(O161:O165)</f>
        <v>500</v>
      </c>
      <c r="P376" s="70" t="s">
        <v>29</v>
      </c>
      <c r="Q376" s="70" t="s">
        <v>29</v>
      </c>
      <c r="R376" s="198">
        <f>AVERAGE(R161:R165)</f>
        <v>26900</v>
      </c>
    </row>
    <row r="377" spans="1:18" x14ac:dyDescent="0.2">
      <c r="A377" s="383" t="s">
        <v>207</v>
      </c>
      <c r="B377" s="198">
        <f t="shared" ref="B377:G377" si="62">AVERAGE(B166:B170)</f>
        <v>3266</v>
      </c>
      <c r="C377" s="198">
        <f t="shared" si="62"/>
        <v>49930.6</v>
      </c>
      <c r="D377" s="198">
        <f t="shared" si="62"/>
        <v>51658.8</v>
      </c>
      <c r="E377" s="198">
        <f t="shared" si="62"/>
        <v>57754.400000000001</v>
      </c>
      <c r="F377" s="198">
        <f t="shared" si="62"/>
        <v>20264.2</v>
      </c>
      <c r="G377" s="198">
        <f t="shared" si="62"/>
        <v>15401</v>
      </c>
      <c r="H377" s="70" t="s">
        <v>29</v>
      </c>
      <c r="I377" s="198">
        <f>AVERAGE(I166:I170)</f>
        <v>195662.2</v>
      </c>
      <c r="K377" s="70" t="s">
        <v>29</v>
      </c>
      <c r="L377" s="70" t="s">
        <v>29</v>
      </c>
      <c r="M377" s="70" t="s">
        <v>29</v>
      </c>
      <c r="N377" s="70" t="s">
        <v>29</v>
      </c>
      <c r="O377" s="70" t="s">
        <v>29</v>
      </c>
      <c r="P377" s="70" t="s">
        <v>29</v>
      </c>
      <c r="Q377" s="70" t="s">
        <v>29</v>
      </c>
      <c r="R377" s="70" t="s">
        <v>29</v>
      </c>
    </row>
    <row r="378" spans="1:18" x14ac:dyDescent="0.2">
      <c r="A378" s="383" t="s">
        <v>238</v>
      </c>
      <c r="B378" s="198" t="str">
        <f>B171</f>
        <v>-</v>
      </c>
      <c r="C378" s="198">
        <f t="shared" ref="C378:I378" si="63">AVERAGE(C171:C175)</f>
        <v>52400.75</v>
      </c>
      <c r="D378" s="198">
        <f t="shared" si="63"/>
        <v>74745.5</v>
      </c>
      <c r="E378" s="198">
        <f t="shared" si="63"/>
        <v>75262</v>
      </c>
      <c r="F378" s="198">
        <f t="shared" si="63"/>
        <v>19185.8</v>
      </c>
      <c r="G378" s="198">
        <f t="shared" si="63"/>
        <v>12158.2</v>
      </c>
      <c r="H378" s="198">
        <f t="shared" si="63"/>
        <v>1904.6</v>
      </c>
      <c r="I378" s="198">
        <f t="shared" si="63"/>
        <v>210227.6</v>
      </c>
      <c r="K378" s="198" t="str">
        <f t="shared" ref="K378:R378" si="64">K171</f>
        <v>-</v>
      </c>
      <c r="L378" s="198" t="str">
        <f t="shared" si="64"/>
        <v>-</v>
      </c>
      <c r="M378" s="198" t="str">
        <f t="shared" si="64"/>
        <v>-</v>
      </c>
      <c r="N378" s="198" t="str">
        <f t="shared" si="64"/>
        <v>-</v>
      </c>
      <c r="O378" s="198" t="str">
        <f t="shared" si="64"/>
        <v>-</v>
      </c>
      <c r="P378" s="198" t="str">
        <f t="shared" si="64"/>
        <v>-</v>
      </c>
      <c r="Q378" s="198" t="str">
        <f t="shared" si="64"/>
        <v>-</v>
      </c>
      <c r="R378" s="198" t="str">
        <f t="shared" si="64"/>
        <v>-</v>
      </c>
    </row>
    <row r="379" spans="1:18" x14ac:dyDescent="0.2">
      <c r="A379" s="383">
        <v>2006</v>
      </c>
      <c r="B379" s="198" t="str">
        <f t="shared" ref="B379:I391" si="65">B176</f>
        <v>-</v>
      </c>
      <c r="C379" s="198" t="str">
        <f t="shared" si="65"/>
        <v>-</v>
      </c>
      <c r="D379" s="198" t="str">
        <f t="shared" si="65"/>
        <v>-</v>
      </c>
      <c r="E379" s="198">
        <f t="shared" si="65"/>
        <v>16437</v>
      </c>
      <c r="F379" s="198">
        <f t="shared" si="65"/>
        <v>18341</v>
      </c>
      <c r="G379" s="198">
        <f t="shared" si="65"/>
        <v>11839</v>
      </c>
      <c r="H379" s="198">
        <f t="shared" si="65"/>
        <v>1072</v>
      </c>
      <c r="I379" s="198">
        <f t="shared" si="65"/>
        <v>47689</v>
      </c>
      <c r="K379" s="198" t="str">
        <f t="shared" ref="K379:R391" si="66">K176</f>
        <v>-</v>
      </c>
      <c r="L379" s="198" t="str">
        <f t="shared" si="66"/>
        <v>-</v>
      </c>
      <c r="M379" s="198" t="str">
        <f t="shared" si="66"/>
        <v>-</v>
      </c>
      <c r="N379" s="198" t="str">
        <f t="shared" si="66"/>
        <v>-</v>
      </c>
      <c r="O379" s="198" t="str">
        <f t="shared" si="66"/>
        <v>-</v>
      </c>
      <c r="P379" s="198" t="str">
        <f t="shared" si="66"/>
        <v>-</v>
      </c>
      <c r="Q379" s="198" t="str">
        <f t="shared" si="66"/>
        <v>-</v>
      </c>
      <c r="R379" s="198" t="str">
        <f t="shared" si="66"/>
        <v>-</v>
      </c>
    </row>
    <row r="380" spans="1:18" s="374" customFormat="1" x14ac:dyDescent="0.2">
      <c r="A380" s="402">
        <v>2007</v>
      </c>
      <c r="B380" s="199" t="str">
        <f t="shared" si="65"/>
        <v>-</v>
      </c>
      <c r="C380" s="199">
        <f t="shared" si="65"/>
        <v>25396</v>
      </c>
      <c r="D380" s="199" t="str">
        <f t="shared" si="65"/>
        <v>-</v>
      </c>
      <c r="E380" s="199">
        <f t="shared" si="65"/>
        <v>39878</v>
      </c>
      <c r="F380" s="199">
        <f t="shared" si="65"/>
        <v>7434</v>
      </c>
      <c r="G380" s="199">
        <f t="shared" si="65"/>
        <v>2194</v>
      </c>
      <c r="H380" s="199">
        <f t="shared" si="65"/>
        <v>352</v>
      </c>
      <c r="I380" s="199">
        <f t="shared" si="65"/>
        <v>75254</v>
      </c>
      <c r="J380" s="199"/>
      <c r="K380" s="199" t="str">
        <f t="shared" si="66"/>
        <v>-</v>
      </c>
      <c r="L380" s="199" t="str">
        <f t="shared" si="66"/>
        <v>-</v>
      </c>
      <c r="M380" s="199" t="str">
        <f t="shared" si="66"/>
        <v>-</v>
      </c>
      <c r="N380" s="199" t="str">
        <f t="shared" si="66"/>
        <v>-</v>
      </c>
      <c r="O380" s="199" t="str">
        <f t="shared" si="66"/>
        <v>-</v>
      </c>
      <c r="P380" s="199" t="str">
        <f t="shared" si="66"/>
        <v>-</v>
      </c>
      <c r="Q380" s="199" t="str">
        <f t="shared" si="66"/>
        <v>-</v>
      </c>
      <c r="R380" s="199" t="str">
        <f t="shared" si="66"/>
        <v>-</v>
      </c>
    </row>
    <row r="381" spans="1:18" s="374" customFormat="1" x14ac:dyDescent="0.2">
      <c r="A381" s="402">
        <v>2008</v>
      </c>
      <c r="B381" s="199" t="str">
        <f t="shared" si="65"/>
        <v>-</v>
      </c>
      <c r="C381" s="199" t="str">
        <f t="shared" si="65"/>
        <v>-</v>
      </c>
      <c r="D381" s="199" t="str">
        <f t="shared" si="65"/>
        <v>-</v>
      </c>
      <c r="E381" s="199" t="str">
        <f t="shared" si="65"/>
        <v>-</v>
      </c>
      <c r="F381" s="199" t="str">
        <f t="shared" si="65"/>
        <v>-</v>
      </c>
      <c r="G381" s="199" t="str">
        <f t="shared" si="65"/>
        <v>-</v>
      </c>
      <c r="H381" s="199" t="str">
        <f t="shared" si="65"/>
        <v>-</v>
      </c>
      <c r="I381" s="199" t="str">
        <f t="shared" si="65"/>
        <v>-</v>
      </c>
      <c r="J381" s="199"/>
      <c r="K381" s="199" t="str">
        <f t="shared" si="66"/>
        <v>-</v>
      </c>
      <c r="L381" s="199" t="str">
        <f t="shared" si="66"/>
        <v>-</v>
      </c>
      <c r="M381" s="199" t="str">
        <f t="shared" si="66"/>
        <v>-</v>
      </c>
      <c r="N381" s="199" t="str">
        <f t="shared" si="66"/>
        <v>-</v>
      </c>
      <c r="O381" s="199" t="str">
        <f t="shared" si="66"/>
        <v>-</v>
      </c>
      <c r="P381" s="199" t="str">
        <f t="shared" si="66"/>
        <v>-</v>
      </c>
      <c r="Q381" s="199" t="str">
        <f t="shared" si="66"/>
        <v>-</v>
      </c>
      <c r="R381" s="199" t="str">
        <f t="shared" si="66"/>
        <v>-</v>
      </c>
    </row>
    <row r="382" spans="1:18" s="374" customFormat="1" x14ac:dyDescent="0.2">
      <c r="A382" s="402">
        <v>2009</v>
      </c>
      <c r="B382" s="199" t="str">
        <f t="shared" si="65"/>
        <v>-</v>
      </c>
      <c r="C382" s="199" t="str">
        <f t="shared" si="65"/>
        <v>-</v>
      </c>
      <c r="D382" s="199" t="str">
        <f t="shared" si="65"/>
        <v>-</v>
      </c>
      <c r="E382" s="199" t="str">
        <f t="shared" si="65"/>
        <v>-</v>
      </c>
      <c r="F382" s="199" t="str">
        <f t="shared" si="65"/>
        <v>-</v>
      </c>
      <c r="G382" s="199" t="str">
        <f t="shared" si="65"/>
        <v>-</v>
      </c>
      <c r="H382" s="199" t="str">
        <f t="shared" si="65"/>
        <v>-</v>
      </c>
      <c r="I382" s="199" t="str">
        <f t="shared" si="65"/>
        <v>-</v>
      </c>
      <c r="J382" s="199"/>
      <c r="K382" s="199" t="str">
        <f t="shared" si="66"/>
        <v>-</v>
      </c>
      <c r="L382" s="199" t="str">
        <f t="shared" si="66"/>
        <v>-</v>
      </c>
      <c r="M382" s="199" t="str">
        <f t="shared" si="66"/>
        <v>-</v>
      </c>
      <c r="N382" s="199" t="str">
        <f t="shared" si="66"/>
        <v>-</v>
      </c>
      <c r="O382" s="199" t="str">
        <f t="shared" si="66"/>
        <v>-</v>
      </c>
      <c r="P382" s="199" t="str">
        <f t="shared" si="66"/>
        <v>-</v>
      </c>
      <c r="Q382" s="199" t="str">
        <f t="shared" si="66"/>
        <v>-</v>
      </c>
      <c r="R382" s="199" t="str">
        <f t="shared" si="66"/>
        <v>-</v>
      </c>
    </row>
    <row r="383" spans="1:18" s="374" customFormat="1" x14ac:dyDescent="0.2">
      <c r="A383" s="122">
        <v>2010</v>
      </c>
      <c r="B383" s="199" t="str">
        <f t="shared" si="65"/>
        <v>-</v>
      </c>
      <c r="C383" s="199" t="str">
        <f t="shared" si="65"/>
        <v>-</v>
      </c>
      <c r="D383" s="199" t="str">
        <f t="shared" si="65"/>
        <v>-</v>
      </c>
      <c r="E383" s="199">
        <f t="shared" si="65"/>
        <v>1105</v>
      </c>
      <c r="F383" s="199" t="str">
        <f t="shared" si="65"/>
        <v>-</v>
      </c>
      <c r="G383" s="199" t="str">
        <f t="shared" si="65"/>
        <v>-</v>
      </c>
      <c r="H383" s="199" t="str">
        <f t="shared" si="65"/>
        <v>-</v>
      </c>
      <c r="I383" s="199">
        <f t="shared" si="65"/>
        <v>1105</v>
      </c>
      <c r="J383" s="199"/>
      <c r="K383" s="199" t="str">
        <f t="shared" si="66"/>
        <v>-</v>
      </c>
      <c r="L383" s="199" t="str">
        <f t="shared" si="66"/>
        <v>-</v>
      </c>
      <c r="M383" s="199" t="str">
        <f t="shared" si="66"/>
        <v>-</v>
      </c>
      <c r="N383" s="199" t="str">
        <f t="shared" si="66"/>
        <v>-</v>
      </c>
      <c r="O383" s="199" t="str">
        <f t="shared" si="66"/>
        <v>-</v>
      </c>
      <c r="P383" s="199" t="str">
        <f t="shared" si="66"/>
        <v>-</v>
      </c>
      <c r="Q383" s="199" t="str">
        <f t="shared" si="66"/>
        <v>-</v>
      </c>
      <c r="R383" s="199" t="str">
        <f t="shared" si="66"/>
        <v>-</v>
      </c>
    </row>
    <row r="384" spans="1:18" s="374" customFormat="1" x14ac:dyDescent="0.2">
      <c r="A384" s="402">
        <v>2011</v>
      </c>
      <c r="B384" s="199" t="str">
        <f t="shared" si="65"/>
        <v>-</v>
      </c>
      <c r="C384" s="199">
        <f t="shared" si="65"/>
        <v>7753</v>
      </c>
      <c r="D384" s="199">
        <f t="shared" si="65"/>
        <v>2830</v>
      </c>
      <c r="E384" s="199">
        <f t="shared" si="65"/>
        <v>8305</v>
      </c>
      <c r="F384" s="199">
        <f t="shared" si="65"/>
        <v>1395</v>
      </c>
      <c r="G384" s="199">
        <f t="shared" si="65"/>
        <v>1312</v>
      </c>
      <c r="H384" s="199">
        <f t="shared" si="65"/>
        <v>317</v>
      </c>
      <c r="I384" s="199">
        <f t="shared" si="65"/>
        <v>21912</v>
      </c>
      <c r="J384" s="199"/>
      <c r="K384" s="199" t="str">
        <f t="shared" si="66"/>
        <v>-</v>
      </c>
      <c r="L384" s="199" t="str">
        <f t="shared" si="66"/>
        <v>-</v>
      </c>
      <c r="M384" s="199" t="str">
        <f t="shared" si="66"/>
        <v>-</v>
      </c>
      <c r="N384" s="199" t="str">
        <f t="shared" si="66"/>
        <v>-</v>
      </c>
      <c r="O384" s="199" t="str">
        <f t="shared" si="66"/>
        <v>-</v>
      </c>
      <c r="P384" s="199" t="str">
        <f t="shared" si="66"/>
        <v>-</v>
      </c>
      <c r="Q384" s="199" t="str">
        <f t="shared" si="66"/>
        <v>-</v>
      </c>
      <c r="R384" s="199" t="str">
        <f t="shared" si="66"/>
        <v>-</v>
      </c>
    </row>
    <row r="385" spans="1:18" s="374" customFormat="1" x14ac:dyDescent="0.2">
      <c r="A385" s="402">
        <v>2012</v>
      </c>
      <c r="B385" s="199" t="str">
        <f t="shared" si="65"/>
        <v>-</v>
      </c>
      <c r="C385" s="199">
        <f t="shared" si="65"/>
        <v>34005</v>
      </c>
      <c r="D385" s="199">
        <f t="shared" si="65"/>
        <v>10090</v>
      </c>
      <c r="E385" s="199">
        <f t="shared" si="65"/>
        <v>51592</v>
      </c>
      <c r="F385" s="199">
        <f t="shared" si="65"/>
        <v>14292</v>
      </c>
      <c r="G385" s="199">
        <f t="shared" si="65"/>
        <v>5808</v>
      </c>
      <c r="H385" s="199">
        <f t="shared" si="65"/>
        <v>3313</v>
      </c>
      <c r="I385" s="199">
        <f t="shared" si="65"/>
        <v>119100</v>
      </c>
      <c r="J385" s="199"/>
      <c r="K385" s="199" t="str">
        <f t="shared" si="66"/>
        <v>-</v>
      </c>
      <c r="L385" s="199" t="str">
        <f t="shared" si="66"/>
        <v>-</v>
      </c>
      <c r="M385" s="199" t="str">
        <f t="shared" si="66"/>
        <v>-</v>
      </c>
      <c r="N385" s="199" t="str">
        <f t="shared" si="66"/>
        <v>-</v>
      </c>
      <c r="O385" s="199" t="str">
        <f t="shared" si="66"/>
        <v>-</v>
      </c>
      <c r="P385" s="199" t="str">
        <f t="shared" si="66"/>
        <v>-</v>
      </c>
      <c r="Q385" s="199" t="str">
        <f t="shared" si="66"/>
        <v>-</v>
      </c>
      <c r="R385" s="199" t="str">
        <f t="shared" si="66"/>
        <v>-</v>
      </c>
    </row>
    <row r="386" spans="1:18" s="374" customFormat="1" x14ac:dyDescent="0.2">
      <c r="A386" s="402">
        <v>2013</v>
      </c>
      <c r="B386" s="199" t="str">
        <f t="shared" si="65"/>
        <v>-</v>
      </c>
      <c r="C386" s="199">
        <f t="shared" si="65"/>
        <v>56365</v>
      </c>
      <c r="D386" s="199">
        <f t="shared" si="65"/>
        <v>47837</v>
      </c>
      <c r="E386" s="199">
        <f t="shared" si="65"/>
        <v>24215</v>
      </c>
      <c r="F386" s="199">
        <f t="shared" si="65"/>
        <v>7819</v>
      </c>
      <c r="G386" s="199">
        <f t="shared" si="65"/>
        <v>6477</v>
      </c>
      <c r="H386" s="199">
        <f t="shared" si="65"/>
        <v>941</v>
      </c>
      <c r="I386" s="199">
        <f t="shared" si="65"/>
        <v>143654</v>
      </c>
      <c r="J386" s="199"/>
      <c r="K386" s="199" t="str">
        <f t="shared" si="66"/>
        <v>-</v>
      </c>
      <c r="L386" s="199" t="str">
        <f t="shared" si="66"/>
        <v>-</v>
      </c>
      <c r="M386" s="199" t="str">
        <f t="shared" si="66"/>
        <v>-</v>
      </c>
      <c r="N386" s="199" t="str">
        <f t="shared" si="66"/>
        <v>-</v>
      </c>
      <c r="O386" s="199" t="str">
        <f t="shared" si="66"/>
        <v>-</v>
      </c>
      <c r="P386" s="199" t="str">
        <f t="shared" si="66"/>
        <v>-</v>
      </c>
      <c r="Q386" s="199" t="str">
        <f t="shared" si="66"/>
        <v>-</v>
      </c>
      <c r="R386" s="199" t="str">
        <f t="shared" si="66"/>
        <v>-</v>
      </c>
    </row>
    <row r="387" spans="1:18" s="374" customFormat="1" x14ac:dyDescent="0.2">
      <c r="A387" s="402">
        <v>2014</v>
      </c>
      <c r="B387" s="199" t="str">
        <f t="shared" si="65"/>
        <v>-</v>
      </c>
      <c r="C387" s="199">
        <f t="shared" si="65"/>
        <v>30605</v>
      </c>
      <c r="D387" s="199">
        <f t="shared" si="65"/>
        <v>14917</v>
      </c>
      <c r="E387" s="199">
        <f t="shared" si="65"/>
        <v>6994</v>
      </c>
      <c r="F387" s="199">
        <f t="shared" si="65"/>
        <v>15879</v>
      </c>
      <c r="G387" s="199">
        <f t="shared" si="65"/>
        <v>11044</v>
      </c>
      <c r="H387" s="199">
        <f t="shared" si="65"/>
        <v>2985</v>
      </c>
      <c r="I387" s="199">
        <f t="shared" si="65"/>
        <v>82424</v>
      </c>
      <c r="J387" s="199"/>
      <c r="K387" s="199" t="str">
        <f t="shared" si="66"/>
        <v>-</v>
      </c>
      <c r="L387" s="199" t="str">
        <f t="shared" si="66"/>
        <v>-</v>
      </c>
      <c r="M387" s="199" t="str">
        <f t="shared" si="66"/>
        <v>-</v>
      </c>
      <c r="N387" s="199" t="str">
        <f t="shared" si="66"/>
        <v>-</v>
      </c>
      <c r="O387" s="199" t="str">
        <f t="shared" si="66"/>
        <v>-</v>
      </c>
      <c r="P387" s="199" t="str">
        <f t="shared" si="66"/>
        <v>-</v>
      </c>
      <c r="Q387" s="199" t="str">
        <f t="shared" si="66"/>
        <v>-</v>
      </c>
      <c r="R387" s="199" t="str">
        <f t="shared" si="66"/>
        <v>-</v>
      </c>
    </row>
    <row r="388" spans="1:18" s="374" customFormat="1" x14ac:dyDescent="0.2">
      <c r="A388" s="122">
        <v>2015</v>
      </c>
      <c r="B388" s="199" t="str">
        <f t="shared" si="65"/>
        <v>-</v>
      </c>
      <c r="C388" s="199">
        <f t="shared" si="65"/>
        <v>7407</v>
      </c>
      <c r="D388" s="199">
        <f t="shared" si="65"/>
        <v>4762</v>
      </c>
      <c r="E388" s="199">
        <f t="shared" si="65"/>
        <v>4456</v>
      </c>
      <c r="F388" s="199">
        <f t="shared" si="65"/>
        <v>7055</v>
      </c>
      <c r="G388" s="199">
        <f t="shared" si="65"/>
        <v>9399</v>
      </c>
      <c r="H388" s="199">
        <f t="shared" si="65"/>
        <v>2617</v>
      </c>
      <c r="I388" s="199">
        <f t="shared" si="65"/>
        <v>35696</v>
      </c>
      <c r="J388" s="199"/>
      <c r="K388" s="199" t="str">
        <f t="shared" si="66"/>
        <v>-</v>
      </c>
      <c r="L388" s="199" t="str">
        <f t="shared" si="66"/>
        <v>-</v>
      </c>
      <c r="M388" s="199" t="str">
        <f t="shared" si="66"/>
        <v>-</v>
      </c>
      <c r="N388" s="199" t="str">
        <f t="shared" si="66"/>
        <v>-</v>
      </c>
      <c r="O388" s="199" t="str">
        <f t="shared" si="66"/>
        <v>-</v>
      </c>
      <c r="P388" s="199" t="str">
        <f t="shared" si="66"/>
        <v>-</v>
      </c>
      <c r="Q388" s="199" t="str">
        <f t="shared" si="66"/>
        <v>-</v>
      </c>
      <c r="R388" s="199" t="str">
        <f t="shared" si="66"/>
        <v>-</v>
      </c>
    </row>
    <row r="389" spans="1:18" s="374" customFormat="1" x14ac:dyDescent="0.2">
      <c r="A389" s="122">
        <v>2016</v>
      </c>
      <c r="B389" s="199" t="str">
        <f t="shared" si="65"/>
        <v>-</v>
      </c>
      <c r="C389" s="199">
        <f t="shared" si="65"/>
        <v>3147</v>
      </c>
      <c r="D389" s="199">
        <f t="shared" si="65"/>
        <v>446</v>
      </c>
      <c r="E389" s="199" t="str">
        <f t="shared" si="65"/>
        <v>-</v>
      </c>
      <c r="F389" s="199">
        <f t="shared" si="65"/>
        <v>13819</v>
      </c>
      <c r="G389" s="199">
        <f t="shared" si="65"/>
        <v>8362</v>
      </c>
      <c r="H389" s="199">
        <f t="shared" si="65"/>
        <v>589</v>
      </c>
      <c r="I389" s="199">
        <f t="shared" si="65"/>
        <v>26363</v>
      </c>
      <c r="J389" s="199"/>
      <c r="K389" s="199" t="str">
        <f t="shared" si="66"/>
        <v>-</v>
      </c>
      <c r="L389" s="199" t="str">
        <f t="shared" si="66"/>
        <v>-</v>
      </c>
      <c r="M389" s="199" t="str">
        <f t="shared" si="66"/>
        <v>-</v>
      </c>
      <c r="N389" s="199" t="str">
        <f t="shared" si="66"/>
        <v>-</v>
      </c>
      <c r="O389" s="199" t="str">
        <f t="shared" si="66"/>
        <v>-</v>
      </c>
      <c r="P389" s="199" t="str">
        <f t="shared" si="66"/>
        <v>-</v>
      </c>
      <c r="Q389" s="199" t="str">
        <f t="shared" si="66"/>
        <v>-</v>
      </c>
      <c r="R389" s="199" t="str">
        <f t="shared" si="66"/>
        <v>-</v>
      </c>
    </row>
    <row r="390" spans="1:18" s="374" customFormat="1" x14ac:dyDescent="0.2">
      <c r="A390" s="122">
        <v>2017</v>
      </c>
      <c r="B390" s="199" t="str">
        <f t="shared" si="65"/>
        <v>-</v>
      </c>
      <c r="C390" s="199" t="str">
        <f t="shared" si="65"/>
        <v>-</v>
      </c>
      <c r="D390" s="199" t="str">
        <f t="shared" si="65"/>
        <v>-</v>
      </c>
      <c r="E390" s="199" t="str">
        <f t="shared" si="65"/>
        <v>-</v>
      </c>
      <c r="F390" s="199">
        <f t="shared" si="65"/>
        <v>18336</v>
      </c>
      <c r="G390" s="199">
        <f t="shared" si="65"/>
        <v>8297</v>
      </c>
      <c r="H390" s="199">
        <f t="shared" si="65"/>
        <v>1279</v>
      </c>
      <c r="I390" s="199">
        <f t="shared" si="65"/>
        <v>27912</v>
      </c>
      <c r="J390" s="199"/>
      <c r="K390" s="199" t="str">
        <f t="shared" si="66"/>
        <v>-</v>
      </c>
      <c r="L390" s="199" t="str">
        <f t="shared" si="66"/>
        <v>-</v>
      </c>
      <c r="M390" s="199" t="str">
        <f t="shared" si="66"/>
        <v>-</v>
      </c>
      <c r="N390" s="199" t="str">
        <f t="shared" si="66"/>
        <v>-</v>
      </c>
      <c r="O390" s="199" t="str">
        <f t="shared" si="66"/>
        <v>-</v>
      </c>
      <c r="P390" s="199" t="str">
        <f t="shared" si="66"/>
        <v>-</v>
      </c>
      <c r="Q390" s="199" t="str">
        <f t="shared" si="66"/>
        <v>-</v>
      </c>
      <c r="R390" s="199" t="str">
        <f t="shared" si="66"/>
        <v>-</v>
      </c>
    </row>
    <row r="391" spans="1:18" s="374" customFormat="1" x14ac:dyDescent="0.2">
      <c r="A391" s="122">
        <v>2018</v>
      </c>
      <c r="B391" s="199" t="str">
        <f t="shared" si="65"/>
        <v>-</v>
      </c>
      <c r="C391" s="199" t="str">
        <f t="shared" si="65"/>
        <v>-</v>
      </c>
      <c r="D391" s="199" t="str">
        <f t="shared" si="65"/>
        <v>-</v>
      </c>
      <c r="E391" s="199">
        <f t="shared" si="65"/>
        <v>7015</v>
      </c>
      <c r="F391" s="199">
        <f t="shared" si="65"/>
        <v>19790</v>
      </c>
      <c r="G391" s="199">
        <f t="shared" si="65"/>
        <v>10593</v>
      </c>
      <c r="H391" s="199">
        <f t="shared" si="65"/>
        <v>2031</v>
      </c>
      <c r="I391" s="199">
        <f t="shared" si="65"/>
        <v>39429</v>
      </c>
      <c r="J391" s="199"/>
      <c r="K391" s="199" t="str">
        <f t="shared" si="66"/>
        <v>-</v>
      </c>
      <c r="L391" s="199" t="str">
        <f t="shared" si="66"/>
        <v>-</v>
      </c>
      <c r="M391" s="199" t="str">
        <f t="shared" si="66"/>
        <v>-</v>
      </c>
      <c r="N391" s="199" t="str">
        <f t="shared" si="66"/>
        <v>-</v>
      </c>
      <c r="O391" s="199" t="str">
        <f t="shared" si="66"/>
        <v>-</v>
      </c>
      <c r="P391" s="199" t="str">
        <f t="shared" si="66"/>
        <v>-</v>
      </c>
      <c r="Q391" s="199" t="str">
        <f t="shared" si="66"/>
        <v>-</v>
      </c>
      <c r="R391" s="199" t="str">
        <f t="shared" si="66"/>
        <v>-</v>
      </c>
    </row>
    <row r="392" spans="1:18" s="487" customFormat="1" x14ac:dyDescent="0.2">
      <c r="A392" s="497" t="s">
        <v>336</v>
      </c>
      <c r="B392" s="199" t="str">
        <f t="shared" ref="B392:I393" si="67">B189</f>
        <v>-</v>
      </c>
      <c r="C392" s="199">
        <f t="shared" si="67"/>
        <v>16076</v>
      </c>
      <c r="D392" s="199">
        <f t="shared" si="67"/>
        <v>61739</v>
      </c>
      <c r="E392" s="199">
        <f t="shared" si="67"/>
        <v>24978</v>
      </c>
      <c r="F392" s="199">
        <f t="shared" si="67"/>
        <v>49779</v>
      </c>
      <c r="G392" s="199">
        <f t="shared" si="67"/>
        <v>6058</v>
      </c>
      <c r="H392" s="199">
        <f t="shared" si="67"/>
        <v>801</v>
      </c>
      <c r="I392" s="199">
        <f t="shared" si="67"/>
        <v>159431</v>
      </c>
      <c r="J392" s="199"/>
      <c r="K392" s="199" t="str">
        <f t="shared" ref="K392:R393" si="68">K189</f>
        <v>-</v>
      </c>
      <c r="L392" s="199" t="str">
        <f t="shared" si="68"/>
        <v>-</v>
      </c>
      <c r="M392" s="199" t="str">
        <f t="shared" si="68"/>
        <v>-</v>
      </c>
      <c r="N392" s="199" t="str">
        <f t="shared" si="68"/>
        <v>-</v>
      </c>
      <c r="O392" s="199" t="str">
        <f t="shared" si="68"/>
        <v>-</v>
      </c>
      <c r="P392" s="199" t="str">
        <f t="shared" si="68"/>
        <v>-</v>
      </c>
      <c r="Q392" s="199" t="str">
        <f t="shared" si="68"/>
        <v>-</v>
      </c>
      <c r="R392" s="199" t="str">
        <f t="shared" si="68"/>
        <v>-</v>
      </c>
    </row>
    <row r="393" spans="1:18" x14ac:dyDescent="0.2">
      <c r="A393" s="497" t="s">
        <v>391</v>
      </c>
      <c r="B393" s="198" t="str">
        <f t="shared" si="67"/>
        <v>-</v>
      </c>
      <c r="C393" s="198">
        <f t="shared" si="67"/>
        <v>12572</v>
      </c>
      <c r="D393" s="198">
        <f t="shared" si="67"/>
        <v>41664</v>
      </c>
      <c r="E393" s="198">
        <f t="shared" si="67"/>
        <v>62733</v>
      </c>
      <c r="F393" s="198">
        <f t="shared" si="67"/>
        <v>17658</v>
      </c>
      <c r="G393" s="198">
        <f t="shared" si="67"/>
        <v>8214</v>
      </c>
      <c r="H393" s="198">
        <f t="shared" si="67"/>
        <v>2435</v>
      </c>
      <c r="I393" s="198">
        <f t="shared" si="67"/>
        <v>145276</v>
      </c>
      <c r="K393" s="198" t="str">
        <f t="shared" si="68"/>
        <v>-</v>
      </c>
      <c r="L393" s="198" t="str">
        <f t="shared" si="68"/>
        <v>-</v>
      </c>
      <c r="M393" s="198" t="str">
        <f t="shared" si="68"/>
        <v>-</v>
      </c>
      <c r="N393" s="198" t="str">
        <f t="shared" si="68"/>
        <v>-</v>
      </c>
      <c r="O393" s="198" t="str">
        <f t="shared" si="68"/>
        <v>-</v>
      </c>
      <c r="P393" s="198" t="str">
        <f t="shared" si="68"/>
        <v>-</v>
      </c>
      <c r="Q393" s="198" t="str">
        <f t="shared" si="68"/>
        <v>-</v>
      </c>
      <c r="R393" s="198" t="str">
        <f t="shared" si="68"/>
        <v>-</v>
      </c>
    </row>
    <row r="395" spans="1:18" x14ac:dyDescent="0.2">
      <c r="A395" s="522" t="s">
        <v>228</v>
      </c>
      <c r="B395" s="522"/>
      <c r="C395" s="522"/>
      <c r="D395" s="522"/>
      <c r="E395" s="522"/>
      <c r="F395" s="522"/>
      <c r="G395" s="522"/>
      <c r="H395" s="522"/>
      <c r="I395" s="522"/>
      <c r="J395" s="522"/>
      <c r="K395" s="522"/>
      <c r="L395" s="522"/>
      <c r="M395" s="522"/>
      <c r="N395" s="522"/>
      <c r="O395" s="522"/>
      <c r="P395" s="522"/>
      <c r="Q395" s="522"/>
      <c r="R395" s="522"/>
    </row>
    <row r="396" spans="1:18" x14ac:dyDescent="0.2">
      <c r="A396" s="389" t="s">
        <v>33</v>
      </c>
      <c r="B396" s="99" t="s">
        <v>34</v>
      </c>
      <c r="C396" s="99" t="s">
        <v>35</v>
      </c>
      <c r="D396" s="99" t="s">
        <v>36</v>
      </c>
      <c r="E396" s="99" t="s">
        <v>37</v>
      </c>
      <c r="F396" s="99" t="s">
        <v>38</v>
      </c>
      <c r="G396" s="99" t="s">
        <v>39</v>
      </c>
      <c r="H396" s="99" t="s">
        <v>40</v>
      </c>
      <c r="I396" s="520" t="s">
        <v>28</v>
      </c>
      <c r="J396" s="520"/>
      <c r="K396" s="99" t="s">
        <v>34</v>
      </c>
      <c r="L396" s="99" t="s">
        <v>35</v>
      </c>
      <c r="M396" s="99" t="s">
        <v>36</v>
      </c>
      <c r="N396" s="99" t="s">
        <v>37</v>
      </c>
      <c r="O396" s="99" t="s">
        <v>38</v>
      </c>
      <c r="P396" s="99" t="s">
        <v>39</v>
      </c>
      <c r="Q396" s="99" t="s">
        <v>40</v>
      </c>
      <c r="R396" s="99" t="s">
        <v>28</v>
      </c>
    </row>
    <row r="397" spans="1:18" x14ac:dyDescent="0.2">
      <c r="B397" s="521" t="s">
        <v>67</v>
      </c>
      <c r="C397" s="521"/>
      <c r="D397" s="521"/>
      <c r="E397" s="521"/>
      <c r="F397" s="521"/>
      <c r="G397" s="521"/>
      <c r="H397" s="521"/>
      <c r="I397" s="521"/>
      <c r="J397" s="95"/>
      <c r="K397" s="521" t="s">
        <v>68</v>
      </c>
      <c r="L397" s="521"/>
      <c r="M397" s="521"/>
      <c r="N397" s="521"/>
      <c r="O397" s="521"/>
      <c r="P397" s="521"/>
      <c r="Q397" s="521"/>
      <c r="R397" s="521"/>
    </row>
    <row r="398" spans="1:18" x14ac:dyDescent="0.2">
      <c r="A398" s="418" t="str">
        <f>A192</f>
        <v>Monterey</v>
      </c>
    </row>
    <row r="399" spans="1:18" x14ac:dyDescent="0.2">
      <c r="A399" s="383" t="s">
        <v>87</v>
      </c>
      <c r="B399" s="70" t="s">
        <v>29</v>
      </c>
      <c r="C399" s="198">
        <f>AVERAGE(C203:C207)</f>
        <v>61484.2</v>
      </c>
      <c r="D399" s="198">
        <f>AVERAGE(D203:D207)</f>
        <v>42139</v>
      </c>
      <c r="E399" s="198">
        <f>AVERAGE(E203:E207)</f>
        <v>29992.2</v>
      </c>
      <c r="F399" s="198">
        <f>AVERAGE(F203:F207)</f>
        <v>9010.7999999999993</v>
      </c>
      <c r="G399" s="198">
        <f>AVERAGE(G203:G207)</f>
        <v>2219.8000000000002</v>
      </c>
      <c r="H399" s="70" t="s">
        <v>29</v>
      </c>
      <c r="I399" s="198">
        <f>AVERAGE(I203:I207)</f>
        <v>144846</v>
      </c>
      <c r="K399" s="70" t="s">
        <v>29</v>
      </c>
      <c r="L399" s="70" t="s">
        <v>29</v>
      </c>
      <c r="M399" s="198">
        <f>AVERAGE(M203:M207)</f>
        <v>1024</v>
      </c>
      <c r="N399" s="198">
        <f>AVERAGE(N203:N207)</f>
        <v>507.8</v>
      </c>
      <c r="O399" s="198">
        <f>AVERAGE(O203:O207)</f>
        <v>89</v>
      </c>
      <c r="P399" s="198">
        <f>AVERAGE(P203:P207)</f>
        <v>9.5</v>
      </c>
      <c r="Q399" s="70" t="s">
        <v>29</v>
      </c>
      <c r="R399" s="198">
        <f>AVERAGE(R203:R207)</f>
        <v>1610.6</v>
      </c>
    </row>
    <row r="400" spans="1:18" x14ac:dyDescent="0.2">
      <c r="A400" s="383" t="s">
        <v>14</v>
      </c>
      <c r="B400" s="70" t="s">
        <v>29</v>
      </c>
      <c r="C400" s="198">
        <f>AVERAGE(C208:C212)</f>
        <v>51805.8</v>
      </c>
      <c r="D400" s="198">
        <f>AVERAGE(D208:D212)</f>
        <v>30128.6</v>
      </c>
      <c r="E400" s="198">
        <f>AVERAGE(E208:E212)</f>
        <v>37446.400000000001</v>
      </c>
      <c r="F400" s="198">
        <f>AVERAGE(F208:F212)</f>
        <v>5936.2</v>
      </c>
      <c r="G400" s="198">
        <f>AVERAGE(G208:G212)</f>
        <v>1199.5999999999999</v>
      </c>
      <c r="H400" s="70" t="s">
        <v>29</v>
      </c>
      <c r="I400" s="198">
        <f>AVERAGE(I208:I212)</f>
        <v>126516.6</v>
      </c>
      <c r="K400" s="70" t="s">
        <v>29</v>
      </c>
      <c r="L400" s="70" t="s">
        <v>29</v>
      </c>
      <c r="M400" s="198">
        <f>AVERAGE(M208:M212)</f>
        <v>9300</v>
      </c>
      <c r="N400" s="198">
        <f>AVERAGE(N208:N212)</f>
        <v>2400</v>
      </c>
      <c r="O400" s="198">
        <f>AVERAGE(O208:O212)</f>
        <v>75</v>
      </c>
      <c r="P400" s="70" t="s">
        <v>29</v>
      </c>
      <c r="Q400" s="70" t="s">
        <v>29</v>
      </c>
      <c r="R400" s="198">
        <f>AVERAGE(R208:R212)</f>
        <v>11775</v>
      </c>
    </row>
    <row r="401" spans="1:18" x14ac:dyDescent="0.2">
      <c r="A401" s="383" t="s">
        <v>207</v>
      </c>
      <c r="B401" s="198">
        <f t="shared" ref="B401:G401" si="69">AVERAGE(B213:B217)</f>
        <v>5946.5</v>
      </c>
      <c r="C401" s="198">
        <f t="shared" si="69"/>
        <v>71786.600000000006</v>
      </c>
      <c r="D401" s="198">
        <f t="shared" si="69"/>
        <v>50020.6</v>
      </c>
      <c r="E401" s="198">
        <f t="shared" si="69"/>
        <v>30877.599999999999</v>
      </c>
      <c r="F401" s="198">
        <f t="shared" si="69"/>
        <v>1130.5</v>
      </c>
      <c r="G401" s="198">
        <f t="shared" si="69"/>
        <v>421.25</v>
      </c>
      <c r="H401" s="70" t="s">
        <v>29</v>
      </c>
      <c r="I401" s="198">
        <f>AVERAGE(I213:I217)</f>
        <v>156304.79999999999</v>
      </c>
      <c r="K401" s="70" t="s">
        <v>29</v>
      </c>
      <c r="L401" s="70" t="s">
        <v>29</v>
      </c>
      <c r="M401" s="198" t="s">
        <v>29</v>
      </c>
      <c r="N401" s="198" t="s">
        <v>29</v>
      </c>
      <c r="O401" s="198" t="s">
        <v>29</v>
      </c>
      <c r="P401" s="70" t="s">
        <v>29</v>
      </c>
      <c r="Q401" s="70" t="s">
        <v>29</v>
      </c>
      <c r="R401" s="198" t="s">
        <v>29</v>
      </c>
    </row>
    <row r="402" spans="1:18" x14ac:dyDescent="0.2">
      <c r="A402" s="383" t="s">
        <v>238</v>
      </c>
      <c r="B402" s="198" t="str">
        <f>B218</f>
        <v>-</v>
      </c>
      <c r="C402" s="198">
        <f>AVERAGE(C218:C222)</f>
        <v>32363.4</v>
      </c>
      <c r="D402" s="198">
        <f>AVERAGE(D218:D222)</f>
        <v>13821.2</v>
      </c>
      <c r="E402" s="198">
        <f>AVERAGE(E218:E222)</f>
        <v>16115.4</v>
      </c>
      <c r="F402" s="198">
        <f>AVERAGE(F218:F222)</f>
        <v>2047.2</v>
      </c>
      <c r="G402" s="198">
        <f>AVERAGE(G218:G222)</f>
        <v>479.6</v>
      </c>
      <c r="H402" s="198" t="str">
        <f>H218</f>
        <v>-</v>
      </c>
      <c r="I402" s="198">
        <f>AVERAGE(I218:I222)</f>
        <v>64826.8</v>
      </c>
      <c r="K402" s="198" t="str">
        <f t="shared" ref="K402:R402" si="70">K218</f>
        <v>-</v>
      </c>
      <c r="L402" s="198" t="str">
        <f t="shared" si="70"/>
        <v>-</v>
      </c>
      <c r="M402" s="198" t="str">
        <f t="shared" si="70"/>
        <v>-</v>
      </c>
      <c r="N402" s="198" t="str">
        <f t="shared" si="70"/>
        <v>-</v>
      </c>
      <c r="O402" s="198" t="str">
        <f t="shared" si="70"/>
        <v>-</v>
      </c>
      <c r="P402" s="198" t="str">
        <f t="shared" si="70"/>
        <v>-</v>
      </c>
      <c r="Q402" s="198" t="str">
        <f t="shared" si="70"/>
        <v>-</v>
      </c>
      <c r="R402" s="198" t="str">
        <f t="shared" si="70"/>
        <v>-</v>
      </c>
    </row>
    <row r="403" spans="1:18" x14ac:dyDescent="0.2">
      <c r="A403" s="383">
        <v>2006</v>
      </c>
      <c r="B403" s="198" t="str">
        <f t="shared" ref="B403:I415" si="71">B223</f>
        <v>-</v>
      </c>
      <c r="C403" s="198">
        <f t="shared" si="71"/>
        <v>9911</v>
      </c>
      <c r="D403" s="198">
        <f t="shared" si="71"/>
        <v>391</v>
      </c>
      <c r="E403" s="198">
        <f t="shared" si="71"/>
        <v>346</v>
      </c>
      <c r="F403" s="198">
        <f t="shared" si="71"/>
        <v>248</v>
      </c>
      <c r="G403" s="198">
        <f t="shared" si="71"/>
        <v>308</v>
      </c>
      <c r="H403" s="198" t="str">
        <f t="shared" si="71"/>
        <v>-</v>
      </c>
      <c r="I403" s="198">
        <f t="shared" si="71"/>
        <v>11204</v>
      </c>
      <c r="K403" s="198" t="str">
        <f t="shared" ref="K403:R415" si="72">K223</f>
        <v>-</v>
      </c>
      <c r="L403" s="198" t="str">
        <f t="shared" si="72"/>
        <v>-</v>
      </c>
      <c r="M403" s="198" t="str">
        <f t="shared" si="72"/>
        <v>-</v>
      </c>
      <c r="N403" s="198" t="str">
        <f t="shared" si="72"/>
        <v>-</v>
      </c>
      <c r="O403" s="198" t="str">
        <f t="shared" si="72"/>
        <v>-</v>
      </c>
      <c r="P403" s="198" t="str">
        <f t="shared" si="72"/>
        <v>-</v>
      </c>
      <c r="Q403" s="198" t="str">
        <f t="shared" si="72"/>
        <v>-</v>
      </c>
      <c r="R403" s="198" t="str">
        <f t="shared" si="72"/>
        <v>-</v>
      </c>
    </row>
    <row r="404" spans="1:18" s="374" customFormat="1" x14ac:dyDescent="0.2">
      <c r="A404" s="402">
        <v>2007</v>
      </c>
      <c r="B404" s="199" t="str">
        <f t="shared" si="71"/>
        <v>-</v>
      </c>
      <c r="C404" s="199">
        <f t="shared" si="71"/>
        <v>11202</v>
      </c>
      <c r="D404" s="199">
        <f t="shared" si="71"/>
        <v>156</v>
      </c>
      <c r="E404" s="199">
        <f t="shared" si="71"/>
        <v>1930</v>
      </c>
      <c r="F404" s="199">
        <f t="shared" si="71"/>
        <v>605</v>
      </c>
      <c r="G404" s="199">
        <f t="shared" si="71"/>
        <v>116</v>
      </c>
      <c r="H404" s="199" t="str">
        <f t="shared" si="71"/>
        <v>-</v>
      </c>
      <c r="I404" s="199">
        <f t="shared" si="71"/>
        <v>14009</v>
      </c>
      <c r="J404" s="199"/>
      <c r="K404" s="199" t="str">
        <f t="shared" si="72"/>
        <v>-</v>
      </c>
      <c r="L404" s="199" t="str">
        <f t="shared" si="72"/>
        <v>-</v>
      </c>
      <c r="M404" s="199" t="str">
        <f t="shared" si="72"/>
        <v>-</v>
      </c>
      <c r="N404" s="199" t="str">
        <f t="shared" si="72"/>
        <v>-</v>
      </c>
      <c r="O404" s="199" t="str">
        <f t="shared" si="72"/>
        <v>-</v>
      </c>
      <c r="P404" s="199" t="str">
        <f t="shared" si="72"/>
        <v>-</v>
      </c>
      <c r="Q404" s="199" t="str">
        <f t="shared" si="72"/>
        <v>-</v>
      </c>
      <c r="R404" s="199" t="str">
        <f t="shared" si="72"/>
        <v>-</v>
      </c>
    </row>
    <row r="405" spans="1:18" s="374" customFormat="1" x14ac:dyDescent="0.2">
      <c r="A405" s="402">
        <v>2008</v>
      </c>
      <c r="B405" s="199" t="str">
        <f t="shared" si="71"/>
        <v>-</v>
      </c>
      <c r="C405" s="199" t="str">
        <f t="shared" si="71"/>
        <v>-</v>
      </c>
      <c r="D405" s="199" t="str">
        <f t="shared" si="71"/>
        <v>-</v>
      </c>
      <c r="E405" s="199" t="str">
        <f t="shared" si="71"/>
        <v>-</v>
      </c>
      <c r="F405" s="199" t="str">
        <f t="shared" si="71"/>
        <v>-</v>
      </c>
      <c r="G405" s="199" t="str">
        <f t="shared" si="71"/>
        <v>-</v>
      </c>
      <c r="H405" s="199" t="str">
        <f t="shared" si="71"/>
        <v>-</v>
      </c>
      <c r="I405" s="199" t="str">
        <f t="shared" si="71"/>
        <v>-</v>
      </c>
      <c r="J405" s="199"/>
      <c r="K405" s="199" t="str">
        <f t="shared" si="72"/>
        <v>-</v>
      </c>
      <c r="L405" s="199" t="str">
        <f t="shared" si="72"/>
        <v>-</v>
      </c>
      <c r="M405" s="199" t="str">
        <f t="shared" si="72"/>
        <v>-</v>
      </c>
      <c r="N405" s="199" t="str">
        <f t="shared" si="72"/>
        <v>-</v>
      </c>
      <c r="O405" s="199" t="str">
        <f t="shared" si="72"/>
        <v>-</v>
      </c>
      <c r="P405" s="199" t="str">
        <f t="shared" si="72"/>
        <v>-</v>
      </c>
      <c r="Q405" s="199" t="str">
        <f t="shared" si="72"/>
        <v>-</v>
      </c>
      <c r="R405" s="199" t="str">
        <f t="shared" si="72"/>
        <v>-</v>
      </c>
    </row>
    <row r="406" spans="1:18" s="374" customFormat="1" x14ac:dyDescent="0.2">
      <c r="A406" s="402">
        <v>2009</v>
      </c>
      <c r="B406" s="199" t="str">
        <f t="shared" si="71"/>
        <v>-</v>
      </c>
      <c r="C406" s="199" t="str">
        <f t="shared" si="71"/>
        <v>-</v>
      </c>
      <c r="D406" s="199" t="str">
        <f t="shared" si="71"/>
        <v>-</v>
      </c>
      <c r="E406" s="199" t="str">
        <f t="shared" si="71"/>
        <v>-</v>
      </c>
      <c r="F406" s="199" t="str">
        <f t="shared" si="71"/>
        <v>-</v>
      </c>
      <c r="G406" s="199" t="str">
        <f t="shared" si="71"/>
        <v>-</v>
      </c>
      <c r="H406" s="199" t="str">
        <f t="shared" si="71"/>
        <v>-</v>
      </c>
      <c r="I406" s="199" t="str">
        <f t="shared" si="71"/>
        <v>-</v>
      </c>
      <c r="J406" s="199"/>
      <c r="K406" s="199" t="str">
        <f t="shared" si="72"/>
        <v>-</v>
      </c>
      <c r="L406" s="199" t="str">
        <f t="shared" si="72"/>
        <v>-</v>
      </c>
      <c r="M406" s="199" t="str">
        <f t="shared" si="72"/>
        <v>-</v>
      </c>
      <c r="N406" s="199" t="str">
        <f t="shared" si="72"/>
        <v>-</v>
      </c>
      <c r="O406" s="199" t="str">
        <f t="shared" si="72"/>
        <v>-</v>
      </c>
      <c r="P406" s="199" t="str">
        <f t="shared" si="72"/>
        <v>-</v>
      </c>
      <c r="Q406" s="199" t="str">
        <f t="shared" si="72"/>
        <v>-</v>
      </c>
      <c r="R406" s="199" t="str">
        <f t="shared" si="72"/>
        <v>-</v>
      </c>
    </row>
    <row r="407" spans="1:18" s="374" customFormat="1" x14ac:dyDescent="0.2">
      <c r="A407" s="122">
        <v>2010</v>
      </c>
      <c r="B407" s="199" t="str">
        <f t="shared" si="71"/>
        <v>-</v>
      </c>
      <c r="C407" s="199" t="str">
        <f t="shared" si="71"/>
        <v>-</v>
      </c>
      <c r="D407" s="199" t="str">
        <f t="shared" si="71"/>
        <v>-</v>
      </c>
      <c r="E407" s="199">
        <f t="shared" si="71"/>
        <v>1430</v>
      </c>
      <c r="F407" s="199" t="str">
        <f t="shared" si="71"/>
        <v>-</v>
      </c>
      <c r="G407" s="199" t="str">
        <f t="shared" si="71"/>
        <v>-</v>
      </c>
      <c r="H407" s="199" t="str">
        <f t="shared" si="71"/>
        <v>-</v>
      </c>
      <c r="I407" s="199">
        <f t="shared" si="71"/>
        <v>1430</v>
      </c>
      <c r="J407" s="199"/>
      <c r="K407" s="199" t="str">
        <f t="shared" si="72"/>
        <v>-</v>
      </c>
      <c r="L407" s="199" t="str">
        <f t="shared" si="72"/>
        <v>-</v>
      </c>
      <c r="M407" s="199" t="str">
        <f t="shared" si="72"/>
        <v>-</v>
      </c>
      <c r="N407" s="199" t="str">
        <f t="shared" si="72"/>
        <v>-</v>
      </c>
      <c r="O407" s="199" t="str">
        <f t="shared" si="72"/>
        <v>-</v>
      </c>
      <c r="P407" s="199" t="str">
        <f t="shared" si="72"/>
        <v>-</v>
      </c>
      <c r="Q407" s="199" t="str">
        <f t="shared" si="72"/>
        <v>-</v>
      </c>
      <c r="R407" s="199" t="str">
        <f t="shared" si="72"/>
        <v>-</v>
      </c>
    </row>
    <row r="408" spans="1:18" s="374" customFormat="1" x14ac:dyDescent="0.2">
      <c r="A408" s="402">
        <v>2011</v>
      </c>
      <c r="B408" s="199" t="str">
        <f t="shared" si="71"/>
        <v>-</v>
      </c>
      <c r="C408" s="199">
        <f t="shared" si="71"/>
        <v>3979</v>
      </c>
      <c r="D408" s="199">
        <f t="shared" si="71"/>
        <v>1359</v>
      </c>
      <c r="E408" s="199">
        <f t="shared" si="71"/>
        <v>695</v>
      </c>
      <c r="F408" s="199">
        <f t="shared" si="71"/>
        <v>333</v>
      </c>
      <c r="G408" s="199">
        <f t="shared" si="71"/>
        <v>48</v>
      </c>
      <c r="H408" s="199" t="str">
        <f t="shared" si="71"/>
        <v>-</v>
      </c>
      <c r="I408" s="199">
        <f t="shared" si="71"/>
        <v>6414</v>
      </c>
      <c r="J408" s="199"/>
      <c r="K408" s="199" t="str">
        <f t="shared" si="72"/>
        <v>-</v>
      </c>
      <c r="L408" s="199" t="str">
        <f t="shared" si="72"/>
        <v>-</v>
      </c>
      <c r="M408" s="199" t="str">
        <f t="shared" si="72"/>
        <v>-</v>
      </c>
      <c r="N408" s="199" t="str">
        <f t="shared" si="72"/>
        <v>-</v>
      </c>
      <c r="O408" s="199" t="str">
        <f t="shared" si="72"/>
        <v>-</v>
      </c>
      <c r="P408" s="199" t="str">
        <f t="shared" si="72"/>
        <v>-</v>
      </c>
      <c r="Q408" s="199" t="str">
        <f t="shared" si="72"/>
        <v>-</v>
      </c>
      <c r="R408" s="199" t="str">
        <f t="shared" si="72"/>
        <v>-</v>
      </c>
    </row>
    <row r="409" spans="1:18" s="374" customFormat="1" x14ac:dyDescent="0.2">
      <c r="A409" s="402">
        <v>2012</v>
      </c>
      <c r="B409" s="199" t="str">
        <f t="shared" si="71"/>
        <v>-</v>
      </c>
      <c r="C409" s="199">
        <f t="shared" si="71"/>
        <v>24852</v>
      </c>
      <c r="D409" s="199">
        <f t="shared" si="71"/>
        <v>9295</v>
      </c>
      <c r="E409" s="199">
        <f t="shared" si="71"/>
        <v>16926</v>
      </c>
      <c r="F409" s="199">
        <f t="shared" si="71"/>
        <v>1670</v>
      </c>
      <c r="G409" s="199">
        <f t="shared" si="71"/>
        <v>229</v>
      </c>
      <c r="H409" s="199" t="str">
        <f t="shared" si="71"/>
        <v>-</v>
      </c>
      <c r="I409" s="199">
        <f t="shared" si="71"/>
        <v>52972</v>
      </c>
      <c r="J409" s="199"/>
      <c r="K409" s="199" t="str">
        <f t="shared" si="72"/>
        <v>-</v>
      </c>
      <c r="L409" s="199" t="str">
        <f t="shared" si="72"/>
        <v>-</v>
      </c>
      <c r="M409" s="199" t="str">
        <f t="shared" si="72"/>
        <v>-</v>
      </c>
      <c r="N409" s="199" t="str">
        <f t="shared" si="72"/>
        <v>-</v>
      </c>
      <c r="O409" s="199" t="str">
        <f t="shared" si="72"/>
        <v>-</v>
      </c>
      <c r="P409" s="199" t="str">
        <f t="shared" si="72"/>
        <v>-</v>
      </c>
      <c r="Q409" s="199" t="str">
        <f t="shared" si="72"/>
        <v>-</v>
      </c>
      <c r="R409" s="199" t="str">
        <f t="shared" si="72"/>
        <v>-</v>
      </c>
    </row>
    <row r="410" spans="1:18" s="374" customFormat="1" x14ac:dyDescent="0.2">
      <c r="A410" s="402">
        <v>2013</v>
      </c>
      <c r="B410" s="199" t="str">
        <f t="shared" si="71"/>
        <v>-</v>
      </c>
      <c r="C410" s="199">
        <f t="shared" si="71"/>
        <v>14111</v>
      </c>
      <c r="D410" s="199">
        <f t="shared" si="71"/>
        <v>10003</v>
      </c>
      <c r="E410" s="199">
        <f t="shared" si="71"/>
        <v>2900</v>
      </c>
      <c r="F410" s="199">
        <f t="shared" si="71"/>
        <v>514</v>
      </c>
      <c r="G410" s="199">
        <f t="shared" si="71"/>
        <v>109</v>
      </c>
      <c r="H410" s="199" t="str">
        <f t="shared" si="71"/>
        <v>-</v>
      </c>
      <c r="I410" s="199">
        <f t="shared" si="71"/>
        <v>27637</v>
      </c>
      <c r="J410" s="199"/>
      <c r="K410" s="199" t="str">
        <f t="shared" si="72"/>
        <v>-</v>
      </c>
      <c r="L410" s="199" t="str">
        <f t="shared" si="72"/>
        <v>-</v>
      </c>
      <c r="M410" s="199" t="str">
        <f t="shared" si="72"/>
        <v>-</v>
      </c>
      <c r="N410" s="199" t="str">
        <f t="shared" si="72"/>
        <v>-</v>
      </c>
      <c r="O410" s="199" t="str">
        <f t="shared" si="72"/>
        <v>-</v>
      </c>
      <c r="P410" s="199" t="str">
        <f t="shared" si="72"/>
        <v>-</v>
      </c>
      <c r="Q410" s="199" t="str">
        <f t="shared" si="72"/>
        <v>-</v>
      </c>
      <c r="R410" s="199" t="str">
        <f t="shared" si="72"/>
        <v>-</v>
      </c>
    </row>
    <row r="411" spans="1:18" s="374" customFormat="1" x14ac:dyDescent="0.2">
      <c r="A411" s="402">
        <v>2014</v>
      </c>
      <c r="B411" s="199" t="str">
        <f t="shared" si="71"/>
        <v>-</v>
      </c>
      <c r="C411" s="199">
        <f t="shared" si="71"/>
        <v>4341</v>
      </c>
      <c r="D411" s="199">
        <f t="shared" si="71"/>
        <v>1538</v>
      </c>
      <c r="E411" s="199">
        <f t="shared" si="71"/>
        <v>2011</v>
      </c>
      <c r="F411" s="199">
        <f t="shared" si="71"/>
        <v>418</v>
      </c>
      <c r="G411" s="199" t="str">
        <f t="shared" si="71"/>
        <v>-</v>
      </c>
      <c r="H411" s="199" t="str">
        <f t="shared" si="71"/>
        <v>-</v>
      </c>
      <c r="I411" s="199">
        <f t="shared" si="71"/>
        <v>8308</v>
      </c>
      <c r="J411" s="199"/>
      <c r="K411" s="199" t="str">
        <f t="shared" si="72"/>
        <v>-</v>
      </c>
      <c r="L411" s="199" t="str">
        <f t="shared" si="72"/>
        <v>-</v>
      </c>
      <c r="M411" s="199" t="str">
        <f t="shared" si="72"/>
        <v>-</v>
      </c>
      <c r="N411" s="199" t="str">
        <f t="shared" si="72"/>
        <v>-</v>
      </c>
      <c r="O411" s="199" t="str">
        <f t="shared" si="72"/>
        <v>-</v>
      </c>
      <c r="P411" s="199" t="str">
        <f t="shared" si="72"/>
        <v>-</v>
      </c>
      <c r="Q411" s="199" t="str">
        <f t="shared" si="72"/>
        <v>-</v>
      </c>
      <c r="R411" s="199" t="str">
        <f t="shared" si="72"/>
        <v>-</v>
      </c>
    </row>
    <row r="412" spans="1:18" s="374" customFormat="1" x14ac:dyDescent="0.2">
      <c r="A412" s="122">
        <v>2015</v>
      </c>
      <c r="B412" s="199" t="str">
        <f t="shared" si="71"/>
        <v>-</v>
      </c>
      <c r="C412" s="199">
        <f t="shared" si="71"/>
        <v>7608</v>
      </c>
      <c r="D412" s="199">
        <f t="shared" si="71"/>
        <v>3410</v>
      </c>
      <c r="E412" s="199">
        <f t="shared" si="71"/>
        <v>3131</v>
      </c>
      <c r="F412" s="199">
        <f t="shared" si="71"/>
        <v>564</v>
      </c>
      <c r="G412" s="199" t="str">
        <f t="shared" si="71"/>
        <v>-</v>
      </c>
      <c r="H412" s="199" t="str">
        <f t="shared" si="71"/>
        <v>-</v>
      </c>
      <c r="I412" s="199">
        <f t="shared" si="71"/>
        <v>14713</v>
      </c>
      <c r="J412" s="199"/>
      <c r="K412" s="199" t="str">
        <f t="shared" si="72"/>
        <v>-</v>
      </c>
      <c r="L412" s="199" t="str">
        <f t="shared" si="72"/>
        <v>-</v>
      </c>
      <c r="M412" s="199" t="str">
        <f t="shared" si="72"/>
        <v>-</v>
      </c>
      <c r="N412" s="199" t="str">
        <f t="shared" si="72"/>
        <v>-</v>
      </c>
      <c r="O412" s="199" t="str">
        <f t="shared" si="72"/>
        <v>-</v>
      </c>
      <c r="P412" s="199" t="str">
        <f t="shared" si="72"/>
        <v>-</v>
      </c>
      <c r="Q412" s="199" t="str">
        <f t="shared" si="72"/>
        <v>-</v>
      </c>
      <c r="R412" s="199" t="str">
        <f t="shared" si="72"/>
        <v>-</v>
      </c>
    </row>
    <row r="413" spans="1:18" s="374" customFormat="1" x14ac:dyDescent="0.2">
      <c r="A413" s="122">
        <v>2016</v>
      </c>
      <c r="B413" s="199" t="str">
        <f t="shared" si="71"/>
        <v>-</v>
      </c>
      <c r="C413" s="199">
        <f t="shared" si="71"/>
        <v>10220</v>
      </c>
      <c r="D413" s="199">
        <f t="shared" si="71"/>
        <v>3026</v>
      </c>
      <c r="E413" s="199" t="str">
        <f t="shared" si="71"/>
        <v>-</v>
      </c>
      <c r="F413" s="199" t="str">
        <f t="shared" si="71"/>
        <v>-</v>
      </c>
      <c r="G413" s="199" t="str">
        <f t="shared" si="71"/>
        <v>-</v>
      </c>
      <c r="H413" s="199" t="str">
        <f t="shared" si="71"/>
        <v>-</v>
      </c>
      <c r="I413" s="199">
        <f t="shared" si="71"/>
        <v>13246</v>
      </c>
      <c r="J413" s="199"/>
      <c r="K413" s="199" t="str">
        <f t="shared" si="72"/>
        <v>-</v>
      </c>
      <c r="L413" s="199" t="str">
        <f t="shared" si="72"/>
        <v>-</v>
      </c>
      <c r="M413" s="199" t="str">
        <f t="shared" si="72"/>
        <v>-</v>
      </c>
      <c r="N413" s="199" t="str">
        <f t="shared" si="72"/>
        <v>-</v>
      </c>
      <c r="O413" s="199" t="str">
        <f t="shared" si="72"/>
        <v>-</v>
      </c>
      <c r="P413" s="199" t="str">
        <f t="shared" si="72"/>
        <v>-</v>
      </c>
      <c r="Q413" s="199" t="str">
        <f t="shared" si="72"/>
        <v>-</v>
      </c>
      <c r="R413" s="199" t="str">
        <f t="shared" si="72"/>
        <v>-</v>
      </c>
    </row>
    <row r="414" spans="1:18" s="374" customFormat="1" x14ac:dyDescent="0.2">
      <c r="A414" s="122">
        <v>2017</v>
      </c>
      <c r="B414" s="199" t="str">
        <f t="shared" si="71"/>
        <v>-</v>
      </c>
      <c r="C414" s="199">
        <f t="shared" si="71"/>
        <v>5588</v>
      </c>
      <c r="D414" s="199">
        <f t="shared" si="71"/>
        <v>6891</v>
      </c>
      <c r="E414" s="199" t="str">
        <f t="shared" si="71"/>
        <v>-</v>
      </c>
      <c r="F414" s="199" t="str">
        <f t="shared" si="71"/>
        <v>-</v>
      </c>
      <c r="G414" s="199" t="str">
        <f t="shared" si="71"/>
        <v>-</v>
      </c>
      <c r="H414" s="199" t="str">
        <f t="shared" si="71"/>
        <v>-</v>
      </c>
      <c r="I414" s="199">
        <f t="shared" si="71"/>
        <v>12479</v>
      </c>
      <c r="J414" s="199"/>
      <c r="K414" s="199" t="str">
        <f t="shared" si="72"/>
        <v>-</v>
      </c>
      <c r="L414" s="199" t="str">
        <f t="shared" si="72"/>
        <v>-</v>
      </c>
      <c r="M414" s="199" t="str">
        <f t="shared" si="72"/>
        <v>-</v>
      </c>
      <c r="N414" s="199" t="str">
        <f t="shared" si="72"/>
        <v>-</v>
      </c>
      <c r="O414" s="199" t="str">
        <f t="shared" si="72"/>
        <v>-</v>
      </c>
      <c r="P414" s="199" t="str">
        <f t="shared" si="72"/>
        <v>-</v>
      </c>
      <c r="Q414" s="199" t="str">
        <f t="shared" si="72"/>
        <v>-</v>
      </c>
      <c r="R414" s="199" t="str">
        <f t="shared" si="72"/>
        <v>-</v>
      </c>
    </row>
    <row r="415" spans="1:18" s="374" customFormat="1" x14ac:dyDescent="0.2">
      <c r="A415" s="122">
        <v>2018</v>
      </c>
      <c r="B415" s="199" t="str">
        <f t="shared" si="71"/>
        <v>-</v>
      </c>
      <c r="C415" s="199">
        <f t="shared" si="71"/>
        <v>4566</v>
      </c>
      <c r="D415" s="199">
        <f t="shared" si="71"/>
        <v>14859</v>
      </c>
      <c r="E415" s="199" t="str">
        <f t="shared" si="71"/>
        <v>-</v>
      </c>
      <c r="F415" s="199" t="str">
        <f t="shared" si="71"/>
        <v>-</v>
      </c>
      <c r="G415" s="199" t="str">
        <f t="shared" si="71"/>
        <v>-</v>
      </c>
      <c r="H415" s="199" t="str">
        <f t="shared" si="71"/>
        <v>-</v>
      </c>
      <c r="I415" s="199">
        <f t="shared" si="71"/>
        <v>19425</v>
      </c>
      <c r="J415" s="199"/>
      <c r="K415" s="199" t="str">
        <f t="shared" si="72"/>
        <v>-</v>
      </c>
      <c r="L415" s="199" t="str">
        <f t="shared" si="72"/>
        <v>-</v>
      </c>
      <c r="M415" s="199" t="str">
        <f t="shared" si="72"/>
        <v>-</v>
      </c>
      <c r="N415" s="199" t="str">
        <f t="shared" si="72"/>
        <v>-</v>
      </c>
      <c r="O415" s="199" t="str">
        <f t="shared" si="72"/>
        <v>-</v>
      </c>
      <c r="P415" s="199" t="str">
        <f t="shared" si="72"/>
        <v>-</v>
      </c>
      <c r="Q415" s="199" t="str">
        <f t="shared" si="72"/>
        <v>-</v>
      </c>
      <c r="R415" s="199" t="str">
        <f t="shared" si="72"/>
        <v>-</v>
      </c>
    </row>
    <row r="416" spans="1:18" s="487" customFormat="1" x14ac:dyDescent="0.2">
      <c r="A416" s="497" t="s">
        <v>336</v>
      </c>
      <c r="B416" s="199" t="str">
        <f t="shared" ref="B416:I417" si="73">B236</f>
        <v>-</v>
      </c>
      <c r="C416" s="199">
        <f t="shared" si="73"/>
        <v>54926</v>
      </c>
      <c r="D416" s="199">
        <f t="shared" si="73"/>
        <v>31542</v>
      </c>
      <c r="E416" s="199">
        <f t="shared" si="73"/>
        <v>9474</v>
      </c>
      <c r="F416" s="199" t="str">
        <f t="shared" si="73"/>
        <v>-</v>
      </c>
      <c r="G416" s="199" t="str">
        <f t="shared" si="73"/>
        <v>-</v>
      </c>
      <c r="H416" s="199" t="str">
        <f t="shared" si="73"/>
        <v>-</v>
      </c>
      <c r="I416" s="199">
        <f t="shared" si="73"/>
        <v>95942</v>
      </c>
      <c r="J416" s="199"/>
      <c r="K416" s="199" t="str">
        <f t="shared" ref="K416:R417" si="74">K236</f>
        <v>-</v>
      </c>
      <c r="L416" s="199" t="str">
        <f t="shared" si="74"/>
        <v>-</v>
      </c>
      <c r="M416" s="199" t="str">
        <f t="shared" si="74"/>
        <v>-</v>
      </c>
      <c r="N416" s="199" t="str">
        <f t="shared" si="74"/>
        <v>-</v>
      </c>
      <c r="O416" s="199" t="str">
        <f t="shared" si="74"/>
        <v>-</v>
      </c>
      <c r="P416" s="199" t="str">
        <f t="shared" si="74"/>
        <v>-</v>
      </c>
      <c r="Q416" s="199" t="str">
        <f t="shared" si="74"/>
        <v>-</v>
      </c>
      <c r="R416" s="199" t="str">
        <f t="shared" si="74"/>
        <v>-</v>
      </c>
    </row>
    <row r="417" spans="1:18" x14ac:dyDescent="0.2">
      <c r="A417" s="497" t="s">
        <v>391</v>
      </c>
      <c r="B417" s="198" t="str">
        <f t="shared" si="73"/>
        <v>-</v>
      </c>
      <c r="C417" s="198">
        <f t="shared" si="73"/>
        <v>19944</v>
      </c>
      <c r="D417" s="198">
        <f t="shared" si="73"/>
        <v>7559</v>
      </c>
      <c r="E417" s="198">
        <f t="shared" si="73"/>
        <v>2367</v>
      </c>
      <c r="F417" s="198">
        <f t="shared" si="73"/>
        <v>340</v>
      </c>
      <c r="G417" s="198" t="str">
        <f t="shared" si="73"/>
        <v>-</v>
      </c>
      <c r="H417" s="198" t="str">
        <f t="shared" si="73"/>
        <v>-</v>
      </c>
      <c r="I417" s="198">
        <f t="shared" si="73"/>
        <v>30210</v>
      </c>
      <c r="K417" s="198" t="str">
        <f t="shared" si="74"/>
        <v>-</v>
      </c>
      <c r="L417" s="198" t="str">
        <f t="shared" si="74"/>
        <v>-</v>
      </c>
      <c r="M417" s="198" t="str">
        <f t="shared" si="74"/>
        <v>-</v>
      </c>
      <c r="N417" s="198" t="str">
        <f t="shared" si="74"/>
        <v>-</v>
      </c>
      <c r="O417" s="198" t="str">
        <f t="shared" si="74"/>
        <v>-</v>
      </c>
      <c r="P417" s="198" t="str">
        <f t="shared" si="74"/>
        <v>-</v>
      </c>
      <c r="Q417" s="198" t="str">
        <f t="shared" si="74"/>
        <v>-</v>
      </c>
      <c r="R417" s="198" t="str">
        <f t="shared" si="74"/>
        <v>-</v>
      </c>
    </row>
    <row r="418" spans="1:18" ht="8.1" customHeight="1" x14ac:dyDescent="0.2"/>
    <row r="419" spans="1:18" x14ac:dyDescent="0.2">
      <c r="A419" s="230" t="s">
        <v>322</v>
      </c>
    </row>
    <row r="420" spans="1:18" x14ac:dyDescent="0.2">
      <c r="A420" s="383" t="s">
        <v>87</v>
      </c>
      <c r="B420" s="70" t="s">
        <v>29</v>
      </c>
      <c r="C420" s="198">
        <f t="shared" ref="C420:I420" si="75">AVERAGE(C250:C254)</f>
        <v>240135.4</v>
      </c>
      <c r="D420" s="198">
        <f t="shared" si="75"/>
        <v>257834.8</v>
      </c>
      <c r="E420" s="198">
        <f t="shared" si="75"/>
        <v>195137.8</v>
      </c>
      <c r="F420" s="198">
        <f t="shared" si="75"/>
        <v>77290.8</v>
      </c>
      <c r="G420" s="198">
        <f t="shared" si="75"/>
        <v>24112.2</v>
      </c>
      <c r="H420" s="198">
        <f t="shared" si="75"/>
        <v>479.5</v>
      </c>
      <c r="I420" s="198">
        <f t="shared" si="75"/>
        <v>794702.8</v>
      </c>
      <c r="K420" s="70" t="s">
        <v>29</v>
      </c>
      <c r="L420" s="70" t="s">
        <v>29</v>
      </c>
      <c r="M420" s="198">
        <f t="shared" ref="M420:R420" si="76">AVERAGE(M250:M254)</f>
        <v>23790</v>
      </c>
      <c r="N420" s="198">
        <f t="shared" si="76"/>
        <v>18257.494686850696</v>
      </c>
      <c r="O420" s="198">
        <f t="shared" si="76"/>
        <v>4443.5</v>
      </c>
      <c r="P420" s="198">
        <f t="shared" si="76"/>
        <v>1138.2</v>
      </c>
      <c r="Q420" s="198">
        <f t="shared" si="76"/>
        <v>125</v>
      </c>
      <c r="R420" s="198">
        <f t="shared" si="76"/>
        <v>46780.26024531568</v>
      </c>
    </row>
    <row r="421" spans="1:18" x14ac:dyDescent="0.2">
      <c r="A421" s="383" t="s">
        <v>15</v>
      </c>
      <c r="B421" s="70" t="s">
        <v>29</v>
      </c>
      <c r="C421" s="198">
        <f t="shared" ref="C421:I421" si="77">AVERAGE(C255:C259)</f>
        <v>121372.8</v>
      </c>
      <c r="D421" s="198">
        <f t="shared" si="77"/>
        <v>73939.8</v>
      </c>
      <c r="E421" s="198">
        <f t="shared" si="77"/>
        <v>80950.399999999994</v>
      </c>
      <c r="F421" s="198">
        <f t="shared" si="77"/>
        <v>42707.199999999997</v>
      </c>
      <c r="G421" s="198">
        <f t="shared" si="77"/>
        <v>22877.599999999999</v>
      </c>
      <c r="H421" s="198">
        <f t="shared" si="77"/>
        <v>400</v>
      </c>
      <c r="I421" s="198">
        <f t="shared" si="77"/>
        <v>341927.8</v>
      </c>
      <c r="K421" s="70" t="s">
        <v>29</v>
      </c>
      <c r="L421" s="70" t="s">
        <v>29</v>
      </c>
      <c r="M421" s="198">
        <f t="shared" ref="M421:R421" si="78">AVERAGE(M255:M259)</f>
        <v>25850</v>
      </c>
      <c r="N421" s="198">
        <f t="shared" si="78"/>
        <v>12250</v>
      </c>
      <c r="O421" s="198">
        <f t="shared" si="78"/>
        <v>2825</v>
      </c>
      <c r="P421" s="198">
        <f t="shared" si="78"/>
        <v>3000</v>
      </c>
      <c r="Q421" s="198">
        <f t="shared" si="78"/>
        <v>100</v>
      </c>
      <c r="R421" s="198">
        <f t="shared" si="78"/>
        <v>42475</v>
      </c>
    </row>
    <row r="422" spans="1:18" x14ac:dyDescent="0.2">
      <c r="A422" s="383" t="s">
        <v>207</v>
      </c>
      <c r="B422" s="198">
        <f t="shared" ref="B422:G422" si="79">AVERAGE(B260:B264)</f>
        <v>7579.5</v>
      </c>
      <c r="C422" s="198">
        <f t="shared" si="79"/>
        <v>121717.2</v>
      </c>
      <c r="D422" s="198">
        <f t="shared" si="79"/>
        <v>101679.4</v>
      </c>
      <c r="E422" s="198">
        <f t="shared" si="79"/>
        <v>88632</v>
      </c>
      <c r="F422" s="198">
        <f t="shared" si="79"/>
        <v>24596.6</v>
      </c>
      <c r="G422" s="198">
        <f t="shared" si="79"/>
        <v>28344.2</v>
      </c>
      <c r="H422" s="198" t="s">
        <v>29</v>
      </c>
      <c r="I422" s="198">
        <f>AVERAGE(I260:I264)</f>
        <v>368001.2</v>
      </c>
      <c r="K422" s="70" t="s">
        <v>29</v>
      </c>
      <c r="L422" s="70" t="s">
        <v>29</v>
      </c>
      <c r="M422" s="70" t="s">
        <v>29</v>
      </c>
      <c r="N422" s="70" t="s">
        <v>29</v>
      </c>
      <c r="O422" s="70" t="s">
        <v>29</v>
      </c>
      <c r="P422" s="70" t="s">
        <v>29</v>
      </c>
      <c r="Q422" s="70" t="s">
        <v>29</v>
      </c>
      <c r="R422" s="70" t="s">
        <v>29</v>
      </c>
    </row>
    <row r="423" spans="1:18" x14ac:dyDescent="0.2">
      <c r="A423" s="383" t="s">
        <v>238</v>
      </c>
      <c r="B423" s="198">
        <f t="shared" ref="B423:I423" si="80">AVERAGE(B265:B269)</f>
        <v>1186</v>
      </c>
      <c r="C423" s="198">
        <f t="shared" si="80"/>
        <v>81386.600000000006</v>
      </c>
      <c r="D423" s="198">
        <f t="shared" si="80"/>
        <v>73638.8</v>
      </c>
      <c r="E423" s="198">
        <f t="shared" si="80"/>
        <v>123447.6</v>
      </c>
      <c r="F423" s="198">
        <f t="shared" si="80"/>
        <v>56696.800000000003</v>
      </c>
      <c r="G423" s="198">
        <f t="shared" si="80"/>
        <v>46255.4</v>
      </c>
      <c r="H423" s="198">
        <f t="shared" si="80"/>
        <v>2021.8</v>
      </c>
      <c r="I423" s="198">
        <f t="shared" si="80"/>
        <v>383921.4</v>
      </c>
      <c r="K423" s="198" t="str">
        <f t="shared" ref="K423:Q423" si="81">K265</f>
        <v>-</v>
      </c>
      <c r="L423" s="198">
        <f t="shared" si="81"/>
        <v>0</v>
      </c>
      <c r="M423" s="198" t="str">
        <f t="shared" si="81"/>
        <v>-</v>
      </c>
      <c r="N423" s="198" t="str">
        <f t="shared" si="81"/>
        <v>-</v>
      </c>
      <c r="O423" s="198" t="str">
        <f t="shared" si="81"/>
        <v>-</v>
      </c>
      <c r="P423" s="198" t="str">
        <f t="shared" si="81"/>
        <v>-</v>
      </c>
      <c r="Q423" s="198" t="str">
        <f t="shared" si="81"/>
        <v>-</v>
      </c>
      <c r="R423" s="198" t="str">
        <f>R265</f>
        <v>-</v>
      </c>
    </row>
    <row r="424" spans="1:18" x14ac:dyDescent="0.2">
      <c r="A424" s="383">
        <v>2006</v>
      </c>
      <c r="B424" s="199" t="str">
        <f t="shared" ref="B424:I436" si="82">B270</f>
        <v>-</v>
      </c>
      <c r="C424" s="199">
        <f t="shared" si="82"/>
        <v>9911</v>
      </c>
      <c r="D424" s="199">
        <f t="shared" si="82"/>
        <v>391</v>
      </c>
      <c r="E424" s="199">
        <f t="shared" si="82"/>
        <v>16783</v>
      </c>
      <c r="F424" s="199">
        <f t="shared" si="82"/>
        <v>18589</v>
      </c>
      <c r="G424" s="199">
        <f t="shared" si="82"/>
        <v>22982</v>
      </c>
      <c r="H424" s="199">
        <f t="shared" si="82"/>
        <v>1072</v>
      </c>
      <c r="I424" s="199">
        <f t="shared" si="82"/>
        <v>69728</v>
      </c>
      <c r="J424" s="199"/>
      <c r="K424" s="199" t="str">
        <f t="shared" ref="K424:R436" si="83">K270</f>
        <v>-</v>
      </c>
      <c r="L424" s="199" t="str">
        <f t="shared" si="83"/>
        <v>-</v>
      </c>
      <c r="M424" s="199" t="str">
        <f t="shared" si="83"/>
        <v>-</v>
      </c>
      <c r="N424" s="199" t="str">
        <f t="shared" si="83"/>
        <v>-</v>
      </c>
      <c r="O424" s="199" t="str">
        <f t="shared" si="83"/>
        <v>-</v>
      </c>
      <c r="P424" s="199" t="str">
        <f t="shared" si="83"/>
        <v>-</v>
      </c>
      <c r="Q424" s="199" t="str">
        <f t="shared" si="83"/>
        <v>-</v>
      </c>
      <c r="R424" s="199" t="str">
        <f t="shared" si="83"/>
        <v>-</v>
      </c>
    </row>
    <row r="425" spans="1:18" s="374" customFormat="1" x14ac:dyDescent="0.2">
      <c r="A425" s="402">
        <v>2007</v>
      </c>
      <c r="B425" s="199">
        <f t="shared" si="82"/>
        <v>748</v>
      </c>
      <c r="C425" s="199">
        <f t="shared" si="82"/>
        <v>36598</v>
      </c>
      <c r="D425" s="199">
        <f t="shared" si="82"/>
        <v>156</v>
      </c>
      <c r="E425" s="199">
        <f t="shared" si="82"/>
        <v>41808</v>
      </c>
      <c r="F425" s="199">
        <f t="shared" si="82"/>
        <v>23212</v>
      </c>
      <c r="G425" s="199">
        <f t="shared" si="82"/>
        <v>11267</v>
      </c>
      <c r="H425" s="199">
        <f t="shared" si="82"/>
        <v>352</v>
      </c>
      <c r="I425" s="199">
        <f t="shared" si="82"/>
        <v>114141</v>
      </c>
      <c r="J425" s="199"/>
      <c r="K425" s="199" t="str">
        <f t="shared" si="83"/>
        <v>-</v>
      </c>
      <c r="L425" s="199" t="str">
        <f t="shared" si="83"/>
        <v>-</v>
      </c>
      <c r="M425" s="199" t="str">
        <f t="shared" si="83"/>
        <v>-</v>
      </c>
      <c r="N425" s="199" t="str">
        <f t="shared" si="83"/>
        <v>-</v>
      </c>
      <c r="O425" s="199" t="str">
        <f t="shared" si="83"/>
        <v>-</v>
      </c>
      <c r="P425" s="199" t="str">
        <f t="shared" si="83"/>
        <v>-</v>
      </c>
      <c r="Q425" s="199" t="str">
        <f t="shared" si="83"/>
        <v>-</v>
      </c>
      <c r="R425" s="199" t="str">
        <f t="shared" si="83"/>
        <v>-</v>
      </c>
    </row>
    <row r="426" spans="1:18" s="374" customFormat="1" x14ac:dyDescent="0.2">
      <c r="A426" s="402">
        <v>2008</v>
      </c>
      <c r="B426" s="199" t="str">
        <f t="shared" si="82"/>
        <v>-</v>
      </c>
      <c r="C426" s="199" t="str">
        <f t="shared" si="82"/>
        <v>-</v>
      </c>
      <c r="D426" s="199" t="str">
        <f t="shared" si="82"/>
        <v>-</v>
      </c>
      <c r="E426" s="199" t="str">
        <f t="shared" si="82"/>
        <v>-</v>
      </c>
      <c r="F426" s="199" t="str">
        <f t="shared" si="82"/>
        <v>-</v>
      </c>
      <c r="G426" s="199" t="str">
        <f t="shared" si="82"/>
        <v>-</v>
      </c>
      <c r="H426" s="199" t="str">
        <f t="shared" si="82"/>
        <v>-</v>
      </c>
      <c r="I426" s="199" t="str">
        <f t="shared" si="82"/>
        <v>-</v>
      </c>
      <c r="J426" s="199"/>
      <c r="K426" s="199" t="str">
        <f t="shared" si="83"/>
        <v>-</v>
      </c>
      <c r="L426" s="199" t="str">
        <f t="shared" si="83"/>
        <v>-</v>
      </c>
      <c r="M426" s="199" t="str">
        <f t="shared" si="83"/>
        <v>-</v>
      </c>
      <c r="N426" s="199" t="str">
        <f t="shared" si="83"/>
        <v>-</v>
      </c>
      <c r="O426" s="199" t="str">
        <f t="shared" si="83"/>
        <v>-</v>
      </c>
      <c r="P426" s="199" t="str">
        <f t="shared" si="83"/>
        <v>-</v>
      </c>
      <c r="Q426" s="199" t="str">
        <f t="shared" si="83"/>
        <v>-</v>
      </c>
      <c r="R426" s="199" t="str">
        <f t="shared" si="83"/>
        <v>-</v>
      </c>
    </row>
    <row r="427" spans="1:18" s="374" customFormat="1" x14ac:dyDescent="0.2">
      <c r="A427" s="402">
        <v>2009</v>
      </c>
      <c r="B427" s="199" t="str">
        <f t="shared" si="82"/>
        <v>-</v>
      </c>
      <c r="C427" s="199" t="str">
        <f t="shared" si="82"/>
        <v>-</v>
      </c>
      <c r="D427" s="199" t="str">
        <f t="shared" si="82"/>
        <v>-</v>
      </c>
      <c r="E427" s="199" t="str">
        <f t="shared" si="82"/>
        <v>-</v>
      </c>
      <c r="F427" s="199" t="str">
        <f t="shared" si="82"/>
        <v>-</v>
      </c>
      <c r="G427" s="199" t="str">
        <f t="shared" si="82"/>
        <v>-</v>
      </c>
      <c r="H427" s="199" t="str">
        <f t="shared" si="82"/>
        <v>-</v>
      </c>
      <c r="I427" s="199" t="str">
        <f t="shared" si="82"/>
        <v>-</v>
      </c>
      <c r="J427" s="199"/>
      <c r="K427" s="199" t="str">
        <f t="shared" si="83"/>
        <v>-</v>
      </c>
      <c r="L427" s="199" t="str">
        <f t="shared" si="83"/>
        <v>-</v>
      </c>
      <c r="M427" s="199" t="str">
        <f t="shared" si="83"/>
        <v>-</v>
      </c>
      <c r="N427" s="199" t="str">
        <f t="shared" si="83"/>
        <v>-</v>
      </c>
      <c r="O427" s="199" t="str">
        <f t="shared" si="83"/>
        <v>-</v>
      </c>
      <c r="P427" s="199" t="str">
        <f t="shared" si="83"/>
        <v>-</v>
      </c>
      <c r="Q427" s="199" t="str">
        <f t="shared" si="83"/>
        <v>-</v>
      </c>
      <c r="R427" s="199" t="str">
        <f t="shared" si="83"/>
        <v>-</v>
      </c>
    </row>
    <row r="428" spans="1:18" s="374" customFormat="1" x14ac:dyDescent="0.2">
      <c r="A428" s="122">
        <v>2010</v>
      </c>
      <c r="B428" s="199" t="str">
        <f t="shared" si="82"/>
        <v>-</v>
      </c>
      <c r="C428" s="199" t="str">
        <f t="shared" si="82"/>
        <v>-</v>
      </c>
      <c r="D428" s="199" t="str">
        <f t="shared" si="82"/>
        <v>-</v>
      </c>
      <c r="E428" s="199">
        <f t="shared" si="82"/>
        <v>8906</v>
      </c>
      <c r="F428" s="199">
        <f t="shared" si="82"/>
        <v>6182</v>
      </c>
      <c r="G428" s="199" t="str">
        <f t="shared" si="82"/>
        <v>-</v>
      </c>
      <c r="H428" s="199" t="str">
        <f t="shared" si="82"/>
        <v>-</v>
      </c>
      <c r="I428" s="199">
        <f t="shared" si="82"/>
        <v>15088</v>
      </c>
      <c r="J428" s="199"/>
      <c r="K428" s="199" t="str">
        <f t="shared" si="83"/>
        <v>-</v>
      </c>
      <c r="L428" s="199" t="str">
        <f t="shared" si="83"/>
        <v>-</v>
      </c>
      <c r="M428" s="199" t="str">
        <f t="shared" si="83"/>
        <v>-</v>
      </c>
      <c r="N428" s="199" t="str">
        <f t="shared" si="83"/>
        <v>-</v>
      </c>
      <c r="O428" s="199" t="str">
        <f t="shared" si="83"/>
        <v>-</v>
      </c>
      <c r="P428" s="199" t="str">
        <f t="shared" si="83"/>
        <v>-</v>
      </c>
      <c r="Q428" s="199" t="str">
        <f t="shared" si="83"/>
        <v>-</v>
      </c>
      <c r="R428" s="199" t="str">
        <f t="shared" si="83"/>
        <v>-</v>
      </c>
    </row>
    <row r="429" spans="1:18" s="374" customFormat="1" x14ac:dyDescent="0.2">
      <c r="A429" s="402">
        <v>2011</v>
      </c>
      <c r="B429" s="199" t="str">
        <f t="shared" si="82"/>
        <v>-</v>
      </c>
      <c r="C429" s="199">
        <f t="shared" si="82"/>
        <v>11732</v>
      </c>
      <c r="D429" s="199">
        <f t="shared" si="82"/>
        <v>4189</v>
      </c>
      <c r="E429" s="199">
        <f t="shared" si="82"/>
        <v>31669</v>
      </c>
      <c r="F429" s="199">
        <f t="shared" si="82"/>
        <v>20301</v>
      </c>
      <c r="G429" s="199">
        <f t="shared" si="82"/>
        <v>1820</v>
      </c>
      <c r="H429" s="199">
        <f t="shared" si="82"/>
        <v>317</v>
      </c>
      <c r="I429" s="199">
        <f t="shared" si="82"/>
        <v>70028</v>
      </c>
      <c r="J429" s="199"/>
      <c r="K429" s="199" t="str">
        <f t="shared" si="83"/>
        <v>-</v>
      </c>
      <c r="L429" s="199" t="str">
        <f t="shared" si="83"/>
        <v>-</v>
      </c>
      <c r="M429" s="199" t="str">
        <f t="shared" si="83"/>
        <v>-</v>
      </c>
      <c r="N429" s="199" t="str">
        <f t="shared" si="83"/>
        <v>-</v>
      </c>
      <c r="O429" s="199" t="str">
        <f t="shared" si="83"/>
        <v>-</v>
      </c>
      <c r="P429" s="199" t="str">
        <f t="shared" si="83"/>
        <v>-</v>
      </c>
      <c r="Q429" s="199" t="str">
        <f t="shared" si="83"/>
        <v>-</v>
      </c>
      <c r="R429" s="199" t="str">
        <f t="shared" si="83"/>
        <v>-</v>
      </c>
    </row>
    <row r="430" spans="1:18" s="374" customFormat="1" x14ac:dyDescent="0.2">
      <c r="A430" s="402">
        <v>2012</v>
      </c>
      <c r="B430" s="199" t="str">
        <f t="shared" si="82"/>
        <v>-</v>
      </c>
      <c r="C430" s="199">
        <f t="shared" si="82"/>
        <v>58857</v>
      </c>
      <c r="D430" s="199">
        <f t="shared" si="82"/>
        <v>19385</v>
      </c>
      <c r="E430" s="199">
        <f t="shared" si="82"/>
        <v>92842</v>
      </c>
      <c r="F430" s="199">
        <f t="shared" si="82"/>
        <v>28266</v>
      </c>
      <c r="G430" s="199">
        <f t="shared" si="82"/>
        <v>12922</v>
      </c>
      <c r="H430" s="199">
        <f t="shared" si="82"/>
        <v>3313</v>
      </c>
      <c r="I430" s="199">
        <f t="shared" si="82"/>
        <v>215585</v>
      </c>
      <c r="J430" s="199"/>
      <c r="K430" s="199" t="str">
        <f t="shared" si="83"/>
        <v>-</v>
      </c>
      <c r="L430" s="199" t="str">
        <f t="shared" si="83"/>
        <v>-</v>
      </c>
      <c r="M430" s="199" t="str">
        <f t="shared" si="83"/>
        <v>-</v>
      </c>
      <c r="N430" s="199" t="str">
        <f t="shared" si="83"/>
        <v>-</v>
      </c>
      <c r="O430" s="199" t="str">
        <f t="shared" si="83"/>
        <v>-</v>
      </c>
      <c r="P430" s="199" t="str">
        <f t="shared" si="83"/>
        <v>-</v>
      </c>
      <c r="Q430" s="199" t="str">
        <f t="shared" si="83"/>
        <v>-</v>
      </c>
      <c r="R430" s="199" t="str">
        <f t="shared" si="83"/>
        <v>-</v>
      </c>
    </row>
    <row r="431" spans="1:18" s="374" customFormat="1" x14ac:dyDescent="0.2">
      <c r="A431" s="402">
        <v>2013</v>
      </c>
      <c r="B431" s="199" t="str">
        <f t="shared" si="82"/>
        <v>-</v>
      </c>
      <c r="C431" s="199">
        <f t="shared" si="82"/>
        <v>77516</v>
      </c>
      <c r="D431" s="199">
        <f t="shared" si="82"/>
        <v>84549</v>
      </c>
      <c r="E431" s="199">
        <f t="shared" si="82"/>
        <v>98270</v>
      </c>
      <c r="F431" s="199">
        <f t="shared" si="82"/>
        <v>25257</v>
      </c>
      <c r="G431" s="199">
        <f t="shared" si="82"/>
        <v>11094</v>
      </c>
      <c r="H431" s="199">
        <f t="shared" si="82"/>
        <v>941</v>
      </c>
      <c r="I431" s="199">
        <f t="shared" si="82"/>
        <v>297627</v>
      </c>
      <c r="J431" s="199"/>
      <c r="K431" s="199" t="str">
        <f t="shared" si="83"/>
        <v>-</v>
      </c>
      <c r="L431" s="199" t="str">
        <f t="shared" si="83"/>
        <v>-</v>
      </c>
      <c r="M431" s="199" t="str">
        <f t="shared" si="83"/>
        <v>-</v>
      </c>
      <c r="N431" s="199" t="str">
        <f t="shared" si="83"/>
        <v>-</v>
      </c>
      <c r="O431" s="199" t="str">
        <f t="shared" si="83"/>
        <v>-</v>
      </c>
      <c r="P431" s="199" t="str">
        <f t="shared" si="83"/>
        <v>-</v>
      </c>
      <c r="Q431" s="199" t="str">
        <f t="shared" si="83"/>
        <v>-</v>
      </c>
      <c r="R431" s="199" t="str">
        <f t="shared" si="83"/>
        <v>-</v>
      </c>
    </row>
    <row r="432" spans="1:18" s="374" customFormat="1" x14ac:dyDescent="0.2">
      <c r="A432" s="402">
        <v>2014</v>
      </c>
      <c r="B432" s="199" t="str">
        <f t="shared" si="82"/>
        <v>-</v>
      </c>
      <c r="C432" s="199">
        <f t="shared" si="82"/>
        <v>34946</v>
      </c>
      <c r="D432" s="199">
        <f t="shared" si="82"/>
        <v>39581</v>
      </c>
      <c r="E432" s="199">
        <f t="shared" si="82"/>
        <v>54568</v>
      </c>
      <c r="F432" s="199">
        <f t="shared" si="82"/>
        <v>24085</v>
      </c>
      <c r="G432" s="199">
        <f t="shared" si="82"/>
        <v>12118</v>
      </c>
      <c r="H432" s="199">
        <f t="shared" si="82"/>
        <v>2985</v>
      </c>
      <c r="I432" s="199">
        <f t="shared" si="82"/>
        <v>168283</v>
      </c>
      <c r="J432" s="199"/>
      <c r="K432" s="199" t="str">
        <f t="shared" si="83"/>
        <v>-</v>
      </c>
      <c r="L432" s="199" t="str">
        <f t="shared" si="83"/>
        <v>-</v>
      </c>
      <c r="M432" s="199" t="str">
        <f t="shared" si="83"/>
        <v>-</v>
      </c>
      <c r="N432" s="199" t="str">
        <f t="shared" si="83"/>
        <v>-</v>
      </c>
      <c r="O432" s="199" t="str">
        <f t="shared" si="83"/>
        <v>-</v>
      </c>
      <c r="P432" s="199" t="str">
        <f t="shared" si="83"/>
        <v>-</v>
      </c>
      <c r="Q432" s="199" t="str">
        <f t="shared" si="83"/>
        <v>-</v>
      </c>
      <c r="R432" s="199" t="str">
        <f t="shared" si="83"/>
        <v>-</v>
      </c>
    </row>
    <row r="433" spans="1:18" s="374" customFormat="1" x14ac:dyDescent="0.2">
      <c r="A433" s="122">
        <v>2015</v>
      </c>
      <c r="B433" s="199" t="str">
        <f t="shared" si="82"/>
        <v>-</v>
      </c>
      <c r="C433" s="199">
        <f t="shared" si="82"/>
        <v>53561</v>
      </c>
      <c r="D433" s="199">
        <f t="shared" si="82"/>
        <v>19489</v>
      </c>
      <c r="E433" s="199">
        <f t="shared" si="82"/>
        <v>12920</v>
      </c>
      <c r="F433" s="199">
        <f t="shared" si="82"/>
        <v>11467</v>
      </c>
      <c r="G433" s="199">
        <f t="shared" si="82"/>
        <v>10453</v>
      </c>
      <c r="H433" s="199">
        <f t="shared" si="82"/>
        <v>2617</v>
      </c>
      <c r="I433" s="199">
        <f t="shared" si="82"/>
        <v>110507</v>
      </c>
      <c r="J433" s="199"/>
      <c r="K433" s="199" t="str">
        <f t="shared" si="83"/>
        <v>-</v>
      </c>
      <c r="L433" s="199" t="str">
        <f t="shared" si="83"/>
        <v>-</v>
      </c>
      <c r="M433" s="199" t="str">
        <f t="shared" si="83"/>
        <v>-</v>
      </c>
      <c r="N433" s="199" t="str">
        <f t="shared" si="83"/>
        <v>-</v>
      </c>
      <c r="O433" s="199" t="str">
        <f t="shared" si="83"/>
        <v>-</v>
      </c>
      <c r="P433" s="199" t="str">
        <f t="shared" si="83"/>
        <v>-</v>
      </c>
      <c r="Q433" s="199" t="str">
        <f t="shared" si="83"/>
        <v>-</v>
      </c>
      <c r="R433" s="199" t="str">
        <f t="shared" si="83"/>
        <v>-</v>
      </c>
    </row>
    <row r="434" spans="1:18" s="374" customFormat="1" x14ac:dyDescent="0.2">
      <c r="A434" s="122">
        <v>2016</v>
      </c>
      <c r="B434" s="199" t="str">
        <f t="shared" si="82"/>
        <v>-</v>
      </c>
      <c r="C434" s="199">
        <f t="shared" si="82"/>
        <v>13367</v>
      </c>
      <c r="D434" s="199">
        <f t="shared" si="82"/>
        <v>13428</v>
      </c>
      <c r="E434" s="199" t="str">
        <f t="shared" si="82"/>
        <v>-</v>
      </c>
      <c r="F434" s="199">
        <f t="shared" si="82"/>
        <v>18334</v>
      </c>
      <c r="G434" s="199">
        <f t="shared" si="82"/>
        <v>9467</v>
      </c>
      <c r="H434" s="199">
        <f t="shared" si="82"/>
        <v>589</v>
      </c>
      <c r="I434" s="199">
        <f t="shared" si="82"/>
        <v>55185</v>
      </c>
      <c r="J434" s="199"/>
      <c r="K434" s="199" t="str">
        <f t="shared" si="83"/>
        <v>-</v>
      </c>
      <c r="L434" s="199" t="str">
        <f t="shared" si="83"/>
        <v>-</v>
      </c>
      <c r="M434" s="199" t="str">
        <f t="shared" si="83"/>
        <v>-</v>
      </c>
      <c r="N434" s="199" t="str">
        <f t="shared" si="83"/>
        <v>-</v>
      </c>
      <c r="O434" s="199" t="str">
        <f t="shared" si="83"/>
        <v>-</v>
      </c>
      <c r="P434" s="199" t="str">
        <f t="shared" si="83"/>
        <v>-</v>
      </c>
      <c r="Q434" s="199" t="str">
        <f t="shared" si="83"/>
        <v>-</v>
      </c>
      <c r="R434" s="199" t="str">
        <f t="shared" si="83"/>
        <v>-</v>
      </c>
    </row>
    <row r="435" spans="1:18" s="374" customFormat="1" x14ac:dyDescent="0.2">
      <c r="A435" s="122">
        <v>2017</v>
      </c>
      <c r="B435" s="199" t="str">
        <f t="shared" si="82"/>
        <v>-</v>
      </c>
      <c r="C435" s="199">
        <f t="shared" si="82"/>
        <v>5588</v>
      </c>
      <c r="D435" s="199">
        <f t="shared" si="82"/>
        <v>6891</v>
      </c>
      <c r="E435" s="199" t="str">
        <f t="shared" si="82"/>
        <v>-</v>
      </c>
      <c r="F435" s="199">
        <f t="shared" si="82"/>
        <v>18336</v>
      </c>
      <c r="G435" s="199">
        <f t="shared" si="82"/>
        <v>10232</v>
      </c>
      <c r="H435" s="199">
        <f t="shared" si="82"/>
        <v>1279</v>
      </c>
      <c r="I435" s="199">
        <f t="shared" si="82"/>
        <v>42326</v>
      </c>
      <c r="J435" s="199"/>
      <c r="K435" s="199" t="str">
        <f t="shared" si="83"/>
        <v>-</v>
      </c>
      <c r="L435" s="199" t="str">
        <f t="shared" si="83"/>
        <v>-</v>
      </c>
      <c r="M435" s="199" t="str">
        <f t="shared" si="83"/>
        <v>-</v>
      </c>
      <c r="N435" s="199" t="str">
        <f t="shared" si="83"/>
        <v>-</v>
      </c>
      <c r="O435" s="199" t="str">
        <f t="shared" si="83"/>
        <v>-</v>
      </c>
      <c r="P435" s="199" t="str">
        <f t="shared" si="83"/>
        <v>-</v>
      </c>
      <c r="Q435" s="199" t="str">
        <f t="shared" si="83"/>
        <v>-</v>
      </c>
      <c r="R435" s="199" t="str">
        <f t="shared" si="83"/>
        <v>-</v>
      </c>
    </row>
    <row r="436" spans="1:18" s="374" customFormat="1" x14ac:dyDescent="0.2">
      <c r="A436" s="122">
        <v>2018</v>
      </c>
      <c r="B436" s="199" t="str">
        <f t="shared" si="82"/>
        <v>-</v>
      </c>
      <c r="C436" s="199">
        <f t="shared" si="82"/>
        <v>5503</v>
      </c>
      <c r="D436" s="199">
        <f t="shared" si="82"/>
        <v>17336</v>
      </c>
      <c r="E436" s="199">
        <f t="shared" si="82"/>
        <v>14916</v>
      </c>
      <c r="F436" s="199">
        <f t="shared" si="82"/>
        <v>27704</v>
      </c>
      <c r="G436" s="199">
        <f t="shared" si="82"/>
        <v>10926</v>
      </c>
      <c r="H436" s="199">
        <f t="shared" si="82"/>
        <v>2031</v>
      </c>
      <c r="I436" s="199">
        <f t="shared" si="82"/>
        <v>78416</v>
      </c>
      <c r="J436" s="199"/>
      <c r="K436" s="199" t="str">
        <f t="shared" si="83"/>
        <v>-</v>
      </c>
      <c r="L436" s="199" t="str">
        <f t="shared" si="83"/>
        <v>-</v>
      </c>
      <c r="M436" s="199" t="str">
        <f t="shared" si="83"/>
        <v>-</v>
      </c>
      <c r="N436" s="199" t="str">
        <f t="shared" si="83"/>
        <v>-</v>
      </c>
      <c r="O436" s="199" t="str">
        <f t="shared" si="83"/>
        <v>-</v>
      </c>
      <c r="P436" s="199" t="str">
        <f t="shared" si="83"/>
        <v>-</v>
      </c>
      <c r="Q436" s="199" t="str">
        <f t="shared" si="83"/>
        <v>-</v>
      </c>
      <c r="R436" s="199" t="str">
        <f t="shared" si="83"/>
        <v>-</v>
      </c>
    </row>
    <row r="437" spans="1:18" s="487" customFormat="1" x14ac:dyDescent="0.2">
      <c r="A437" s="497" t="s">
        <v>336</v>
      </c>
      <c r="B437" s="199" t="str">
        <f t="shared" ref="B437:I438" si="84">B283</f>
        <v>-</v>
      </c>
      <c r="C437" s="199">
        <f t="shared" si="84"/>
        <v>71002</v>
      </c>
      <c r="D437" s="199">
        <f t="shared" si="84"/>
        <v>98159</v>
      </c>
      <c r="E437" s="199">
        <f t="shared" si="84"/>
        <v>38821</v>
      </c>
      <c r="F437" s="199">
        <f t="shared" si="84"/>
        <v>56856</v>
      </c>
      <c r="G437" s="199">
        <f t="shared" si="84"/>
        <v>6058</v>
      </c>
      <c r="H437" s="199">
        <f t="shared" si="84"/>
        <v>801</v>
      </c>
      <c r="I437" s="199">
        <f t="shared" si="84"/>
        <v>271697</v>
      </c>
      <c r="J437" s="199"/>
      <c r="K437" s="199" t="str">
        <f t="shared" ref="K437:R438" si="85">K283</f>
        <v>-</v>
      </c>
      <c r="L437" s="199" t="str">
        <f t="shared" si="85"/>
        <v>-</v>
      </c>
      <c r="M437" s="199" t="str">
        <f t="shared" si="85"/>
        <v>-</v>
      </c>
      <c r="N437" s="199" t="str">
        <f t="shared" si="85"/>
        <v>-</v>
      </c>
      <c r="O437" s="199" t="str">
        <f t="shared" si="85"/>
        <v>-</v>
      </c>
      <c r="P437" s="199" t="str">
        <f t="shared" si="85"/>
        <v>-</v>
      </c>
      <c r="Q437" s="199" t="str">
        <f t="shared" si="85"/>
        <v>-</v>
      </c>
      <c r="R437" s="199" t="str">
        <f t="shared" si="85"/>
        <v>-</v>
      </c>
    </row>
    <row r="438" spans="1:18" x14ac:dyDescent="0.2">
      <c r="A438" s="497" t="s">
        <v>391</v>
      </c>
      <c r="B438" s="451" t="str">
        <f t="shared" si="84"/>
        <v>-</v>
      </c>
      <c r="C438" s="451">
        <f t="shared" si="84"/>
        <v>32516</v>
      </c>
      <c r="D438" s="451">
        <f t="shared" si="84"/>
        <v>49223</v>
      </c>
      <c r="E438" s="451">
        <f t="shared" si="84"/>
        <v>65100</v>
      </c>
      <c r="F438" s="451">
        <f t="shared" si="84"/>
        <v>19615</v>
      </c>
      <c r="G438" s="451">
        <f t="shared" si="84"/>
        <v>8445</v>
      </c>
      <c r="H438" s="451">
        <f t="shared" si="84"/>
        <v>2435</v>
      </c>
      <c r="I438" s="451">
        <f t="shared" si="84"/>
        <v>177334</v>
      </c>
      <c r="K438" s="451" t="str">
        <f t="shared" si="85"/>
        <v>-</v>
      </c>
      <c r="L438" s="451" t="str">
        <f t="shared" si="85"/>
        <v>-</v>
      </c>
      <c r="M438" s="451" t="str">
        <f t="shared" si="85"/>
        <v>-</v>
      </c>
      <c r="N438" s="451" t="str">
        <f t="shared" si="85"/>
        <v>-</v>
      </c>
      <c r="O438" s="451" t="str">
        <f t="shared" si="85"/>
        <v>-</v>
      </c>
      <c r="P438" s="451" t="str">
        <f t="shared" si="85"/>
        <v>-</v>
      </c>
      <c r="Q438" s="451" t="str">
        <f t="shared" si="85"/>
        <v>-</v>
      </c>
      <c r="R438" s="451" t="str">
        <f t="shared" si="85"/>
        <v>-</v>
      </c>
    </row>
    <row r="439" spans="1:18" x14ac:dyDescent="0.2">
      <c r="A439" s="518" t="str">
        <f>A285</f>
        <v>a/  Includes minor catches made off Oregon and landed in California prior to 2005.</v>
      </c>
      <c r="B439" s="518"/>
      <c r="C439" s="518"/>
      <c r="D439" s="518"/>
      <c r="E439" s="518"/>
      <c r="F439" s="518"/>
      <c r="G439" s="518"/>
      <c r="H439" s="518"/>
      <c r="I439" s="518"/>
      <c r="J439" s="518"/>
      <c r="K439" s="518"/>
      <c r="L439" s="518"/>
      <c r="M439" s="518"/>
      <c r="N439" s="518"/>
      <c r="O439" s="518"/>
      <c r="P439" s="518"/>
      <c r="Q439" s="518"/>
      <c r="R439" s="518"/>
    </row>
    <row r="440" spans="1:18" x14ac:dyDescent="0.2">
      <c r="A440" s="519" t="str">
        <f>A286</f>
        <v>b/  Commercial fishery closed all months except Aug. 2002 (681 Chinook) and Sept. 2001-2005;  all other harvest occurred in Oregon waters but was landed in Crescent City.</v>
      </c>
      <c r="B440" s="519"/>
      <c r="C440" s="519"/>
      <c r="D440" s="519"/>
      <c r="E440" s="519"/>
      <c r="F440" s="519"/>
      <c r="G440" s="519"/>
      <c r="H440" s="519"/>
      <c r="I440" s="519"/>
      <c r="J440" s="519"/>
      <c r="K440" s="519"/>
      <c r="L440" s="519"/>
      <c r="M440" s="519"/>
      <c r="N440" s="519"/>
      <c r="O440" s="519"/>
      <c r="P440" s="519"/>
      <c r="Q440" s="519"/>
      <c r="R440" s="519"/>
    </row>
    <row r="441" spans="1:18" x14ac:dyDescent="0.2">
      <c r="A441" s="519" t="str">
        <f>A287</f>
        <v>c/  Preliminary.</v>
      </c>
      <c r="B441" s="519"/>
      <c r="C441" s="519"/>
      <c r="D441" s="519"/>
      <c r="E441" s="519"/>
      <c r="F441" s="519"/>
      <c r="G441" s="519"/>
      <c r="H441" s="519"/>
      <c r="I441" s="519"/>
      <c r="J441" s="519"/>
      <c r="K441" s="519"/>
      <c r="L441" s="519"/>
      <c r="M441" s="519"/>
      <c r="N441" s="519"/>
      <c r="O441" s="519"/>
      <c r="P441" s="519"/>
      <c r="Q441" s="519"/>
      <c r="R441" s="519"/>
    </row>
  </sheetData>
  <mergeCells count="22">
    <mergeCell ref="A350:R350"/>
    <mergeCell ref="A1:R1"/>
    <mergeCell ref="I2:J2"/>
    <mergeCell ref="B3:I3"/>
    <mergeCell ref="K3:R3"/>
    <mergeCell ref="A285:R285"/>
    <mergeCell ref="A286:R286"/>
    <mergeCell ref="A287:R287"/>
    <mergeCell ref="A305:R305"/>
    <mergeCell ref="I306:J306"/>
    <mergeCell ref="B307:I307"/>
    <mergeCell ref="K307:R307"/>
    <mergeCell ref="A439:R439"/>
    <mergeCell ref="A440:R440"/>
    <mergeCell ref="A441:R441"/>
    <mergeCell ref="I351:J351"/>
    <mergeCell ref="B352:I352"/>
    <mergeCell ref="K352:R352"/>
    <mergeCell ref="A395:R395"/>
    <mergeCell ref="I396:J396"/>
    <mergeCell ref="B397:I397"/>
    <mergeCell ref="K397:R397"/>
  </mergeCells>
  <pageMargins left="0.7" right="0.7" top="0.75" bottom="0.75" header="0.3" footer="0.3"/>
  <pageSetup scale="99" orientation="landscape" r:id="rId1"/>
  <rowBreaks count="2" manualBreakCount="2">
    <brk id="349" max="16383" man="1"/>
    <brk id="394" max="16383" man="1"/>
  </rowBreak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7"/>
  <dimension ref="A2:V426"/>
  <sheetViews>
    <sheetView showGridLines="0" topLeftCell="A286" zoomScale="90" zoomScaleNormal="90" zoomScaleSheetLayoutView="90" workbookViewId="0">
      <selection sqref="A1:L2"/>
    </sheetView>
  </sheetViews>
  <sheetFormatPr defaultColWidth="9" defaultRowHeight="11.25" x14ac:dyDescent="0.2"/>
  <cols>
    <col min="1" max="1" width="8.875" style="383" customWidth="1"/>
    <col min="2" max="9" width="8.875" style="193" customWidth="1"/>
    <col min="10" max="10" width="8.125" style="193" customWidth="1"/>
    <col min="11" max="11" width="8" style="193" customWidth="1"/>
    <col min="12" max="12" width="8.875" style="193" customWidth="1"/>
    <col min="13" max="16384" width="9" style="1"/>
  </cols>
  <sheetData>
    <row r="2" spans="1:22" ht="11.25" customHeight="1" x14ac:dyDescent="0.2">
      <c r="A2" s="528" t="s">
        <v>237</v>
      </c>
      <c r="B2" s="528"/>
      <c r="C2" s="528"/>
      <c r="D2" s="528"/>
      <c r="E2" s="528"/>
      <c r="F2" s="528"/>
      <c r="G2" s="528"/>
      <c r="H2" s="528"/>
      <c r="I2" s="528"/>
      <c r="J2" s="528"/>
      <c r="K2" s="528"/>
      <c r="L2" s="528"/>
    </row>
    <row r="3" spans="1:22" s="380" customFormat="1" x14ac:dyDescent="0.2">
      <c r="A3" s="2" t="s">
        <v>33</v>
      </c>
      <c r="B3" s="381" t="s">
        <v>42</v>
      </c>
      <c r="C3" s="381" t="s">
        <v>43</v>
      </c>
      <c r="D3" s="381" t="s">
        <v>34</v>
      </c>
      <c r="E3" s="381" t="s">
        <v>35</v>
      </c>
      <c r="F3" s="381" t="s">
        <v>36</v>
      </c>
      <c r="G3" s="381" t="s">
        <v>37</v>
      </c>
      <c r="H3" s="381" t="s">
        <v>38</v>
      </c>
      <c r="I3" s="381" t="s">
        <v>39</v>
      </c>
      <c r="J3" s="381" t="s">
        <v>40</v>
      </c>
      <c r="K3" s="381" t="s">
        <v>44</v>
      </c>
      <c r="L3" s="381" t="s">
        <v>28</v>
      </c>
    </row>
    <row r="4" spans="1:22" x14ac:dyDescent="0.2">
      <c r="A4" s="116" t="s">
        <v>22</v>
      </c>
      <c r="B4" s="31"/>
      <c r="C4" s="31"/>
      <c r="D4" s="31"/>
      <c r="E4" s="31"/>
      <c r="F4" s="31"/>
      <c r="G4" s="31"/>
      <c r="H4" s="31"/>
      <c r="I4" s="31"/>
      <c r="J4" s="31"/>
      <c r="K4" s="31"/>
    </row>
    <row r="5" spans="1:22" x14ac:dyDescent="0.2">
      <c r="A5" s="383">
        <v>1976</v>
      </c>
      <c r="B5" s="194" t="s">
        <v>116</v>
      </c>
      <c r="C5" s="194" t="s">
        <v>116</v>
      </c>
      <c r="D5" s="194">
        <v>0</v>
      </c>
      <c r="E5" s="195">
        <v>32</v>
      </c>
      <c r="F5" s="195">
        <v>4682</v>
      </c>
      <c r="G5" s="195">
        <v>13016</v>
      </c>
      <c r="H5" s="195">
        <v>8248</v>
      </c>
      <c r="I5" s="195">
        <v>2768</v>
      </c>
      <c r="J5" s="194">
        <v>0</v>
      </c>
      <c r="K5" s="194">
        <v>0</v>
      </c>
      <c r="L5" s="31">
        <f t="shared" ref="L5:L34" si="0">SUM(B5:K5)</f>
        <v>28746</v>
      </c>
    </row>
    <row r="6" spans="1:22" x14ac:dyDescent="0.2">
      <c r="A6" s="383">
        <v>1977</v>
      </c>
      <c r="B6" s="194" t="s">
        <v>116</v>
      </c>
      <c r="C6" s="194" t="s">
        <v>116</v>
      </c>
      <c r="D6" s="194">
        <v>0</v>
      </c>
      <c r="E6" s="195">
        <v>0</v>
      </c>
      <c r="F6" s="195">
        <v>2003</v>
      </c>
      <c r="G6" s="195">
        <v>11446</v>
      </c>
      <c r="H6" s="195">
        <v>8284</v>
      </c>
      <c r="I6" s="195">
        <v>1063</v>
      </c>
      <c r="J6" s="194">
        <v>0</v>
      </c>
      <c r="K6" s="194">
        <v>0</v>
      </c>
      <c r="L6" s="31">
        <f t="shared" si="0"/>
        <v>22796</v>
      </c>
    </row>
    <row r="7" spans="1:22" x14ac:dyDescent="0.2">
      <c r="A7" s="383">
        <v>1978</v>
      </c>
      <c r="B7" s="194" t="s">
        <v>116</v>
      </c>
      <c r="C7" s="194" t="s">
        <v>116</v>
      </c>
      <c r="D7" s="195">
        <v>3</v>
      </c>
      <c r="E7" s="195">
        <v>50</v>
      </c>
      <c r="F7" s="195">
        <v>6169</v>
      </c>
      <c r="G7" s="195">
        <v>8335</v>
      </c>
      <c r="H7" s="195">
        <v>2711</v>
      </c>
      <c r="I7" s="195">
        <v>130</v>
      </c>
      <c r="J7" s="194">
        <v>0</v>
      </c>
      <c r="K7" s="194">
        <v>0</v>
      </c>
      <c r="L7" s="31">
        <f t="shared" si="0"/>
        <v>17398</v>
      </c>
    </row>
    <row r="8" spans="1:22" x14ac:dyDescent="0.2">
      <c r="A8" s="383">
        <v>1979</v>
      </c>
      <c r="B8" s="194" t="s">
        <v>116</v>
      </c>
      <c r="C8" s="194" t="s">
        <v>116</v>
      </c>
      <c r="D8" s="194">
        <v>0</v>
      </c>
      <c r="E8" s="195">
        <v>125</v>
      </c>
      <c r="F8" s="195">
        <v>2077</v>
      </c>
      <c r="G8" s="195">
        <v>6059</v>
      </c>
      <c r="H8" s="195">
        <v>2826</v>
      </c>
      <c r="I8" s="195">
        <v>648</v>
      </c>
      <c r="J8" s="195">
        <v>0</v>
      </c>
      <c r="K8" s="195" t="s">
        <v>29</v>
      </c>
      <c r="L8" s="31">
        <f t="shared" si="0"/>
        <v>11735</v>
      </c>
    </row>
    <row r="9" spans="1:22" x14ac:dyDescent="0.2">
      <c r="A9" s="383">
        <v>1980</v>
      </c>
      <c r="B9" s="194" t="s">
        <v>116</v>
      </c>
      <c r="C9" s="194" t="s">
        <v>116</v>
      </c>
      <c r="D9" s="194">
        <v>0</v>
      </c>
      <c r="E9" s="195">
        <v>0</v>
      </c>
      <c r="F9" s="195">
        <v>3462</v>
      </c>
      <c r="G9" s="195">
        <v>9426</v>
      </c>
      <c r="H9" s="195">
        <v>4853</v>
      </c>
      <c r="I9" s="195">
        <v>1447</v>
      </c>
      <c r="J9" s="195">
        <v>0</v>
      </c>
      <c r="K9" s="195" t="s">
        <v>29</v>
      </c>
      <c r="L9" s="31">
        <f t="shared" si="0"/>
        <v>19188</v>
      </c>
    </row>
    <row r="10" spans="1:22" x14ac:dyDescent="0.2">
      <c r="A10" s="383">
        <v>1981</v>
      </c>
      <c r="B10" s="194" t="s">
        <v>116</v>
      </c>
      <c r="C10" s="194" t="s">
        <v>116</v>
      </c>
      <c r="D10" s="194">
        <v>0</v>
      </c>
      <c r="E10" s="195">
        <v>18</v>
      </c>
      <c r="F10" s="195">
        <v>3378</v>
      </c>
      <c r="G10" s="195">
        <v>5999</v>
      </c>
      <c r="H10" s="195">
        <v>4665</v>
      </c>
      <c r="I10" s="195">
        <v>0</v>
      </c>
      <c r="J10" s="195">
        <v>0</v>
      </c>
      <c r="K10" s="195">
        <v>0</v>
      </c>
      <c r="L10" s="31">
        <f t="shared" si="0"/>
        <v>14060</v>
      </c>
    </row>
    <row r="11" spans="1:22" x14ac:dyDescent="0.2">
      <c r="A11" s="383">
        <v>1982</v>
      </c>
      <c r="B11" s="194" t="s">
        <v>116</v>
      </c>
      <c r="C11" s="194" t="s">
        <v>116</v>
      </c>
      <c r="D11" s="194">
        <v>0</v>
      </c>
      <c r="E11" s="195">
        <v>18</v>
      </c>
      <c r="F11" s="195">
        <v>3138</v>
      </c>
      <c r="G11" s="195">
        <v>12449</v>
      </c>
      <c r="H11" s="195">
        <v>8878</v>
      </c>
      <c r="I11" s="195">
        <v>604</v>
      </c>
      <c r="J11" s="195">
        <v>0</v>
      </c>
      <c r="K11" s="195">
        <v>0</v>
      </c>
      <c r="L11" s="31">
        <f t="shared" si="0"/>
        <v>25087</v>
      </c>
    </row>
    <row r="12" spans="1:22" x14ac:dyDescent="0.2">
      <c r="A12" s="383">
        <v>1983</v>
      </c>
      <c r="B12" s="194" t="s">
        <v>116</v>
      </c>
      <c r="C12" s="194" t="s">
        <v>116</v>
      </c>
      <c r="D12" s="194">
        <v>0</v>
      </c>
      <c r="E12" s="195">
        <v>0</v>
      </c>
      <c r="F12" s="195">
        <v>4713</v>
      </c>
      <c r="G12" s="195">
        <v>10929</v>
      </c>
      <c r="H12" s="195">
        <v>5299</v>
      </c>
      <c r="I12" s="195">
        <v>734</v>
      </c>
      <c r="J12" s="195">
        <v>0</v>
      </c>
      <c r="K12" s="195">
        <v>0</v>
      </c>
      <c r="L12" s="31">
        <f t="shared" si="0"/>
        <v>21675</v>
      </c>
    </row>
    <row r="13" spans="1:22" x14ac:dyDescent="0.2">
      <c r="A13" s="383">
        <v>1984</v>
      </c>
      <c r="B13" s="194" t="s">
        <v>116</v>
      </c>
      <c r="C13" s="194" t="s">
        <v>116</v>
      </c>
      <c r="D13" s="194">
        <v>0</v>
      </c>
      <c r="E13" s="195">
        <v>12</v>
      </c>
      <c r="F13" s="195">
        <v>654</v>
      </c>
      <c r="G13" s="195">
        <v>15222</v>
      </c>
      <c r="H13" s="195">
        <v>7740</v>
      </c>
      <c r="I13" s="195">
        <v>209</v>
      </c>
      <c r="J13" s="195">
        <v>0</v>
      </c>
      <c r="K13" s="195">
        <v>0</v>
      </c>
      <c r="L13" s="31">
        <f t="shared" si="0"/>
        <v>23837</v>
      </c>
    </row>
    <row r="14" spans="1:22" x14ac:dyDescent="0.2">
      <c r="A14" s="383">
        <v>1985</v>
      </c>
      <c r="B14" s="194" t="s">
        <v>116</v>
      </c>
      <c r="C14" s="194" t="s">
        <v>116</v>
      </c>
      <c r="D14" s="194">
        <v>0</v>
      </c>
      <c r="E14" s="195">
        <v>2811</v>
      </c>
      <c r="F14" s="195">
        <v>7676</v>
      </c>
      <c r="G14" s="195">
        <v>13025</v>
      </c>
      <c r="H14" s="195">
        <v>6520</v>
      </c>
      <c r="I14" s="195">
        <v>975</v>
      </c>
      <c r="J14" s="195">
        <v>0</v>
      </c>
      <c r="K14" s="195">
        <v>0</v>
      </c>
      <c r="L14" s="31">
        <f t="shared" si="0"/>
        <v>31007</v>
      </c>
    </row>
    <row r="15" spans="1:22" x14ac:dyDescent="0.2">
      <c r="A15" s="383">
        <v>1986</v>
      </c>
      <c r="B15" s="194" t="s">
        <v>116</v>
      </c>
      <c r="C15" s="194" t="s">
        <v>116</v>
      </c>
      <c r="D15" s="195" t="s">
        <v>29</v>
      </c>
      <c r="E15" s="195">
        <v>1104</v>
      </c>
      <c r="F15" s="195">
        <v>7257</v>
      </c>
      <c r="G15" s="195">
        <v>10636</v>
      </c>
      <c r="H15" s="195">
        <v>6382</v>
      </c>
      <c r="I15" s="195">
        <v>174</v>
      </c>
      <c r="J15" s="195" t="s">
        <v>29</v>
      </c>
      <c r="K15" s="195" t="s">
        <v>29</v>
      </c>
      <c r="L15" s="31">
        <f t="shared" si="0"/>
        <v>25553</v>
      </c>
      <c r="M15" s="8"/>
      <c r="N15" s="8"/>
      <c r="O15" s="8"/>
      <c r="U15" s="8"/>
      <c r="V15" s="8"/>
    </row>
    <row r="16" spans="1:22" x14ac:dyDescent="0.2">
      <c r="A16" s="383">
        <v>1987</v>
      </c>
      <c r="B16" s="195" t="s">
        <v>29</v>
      </c>
      <c r="C16" s="195" t="s">
        <v>29</v>
      </c>
      <c r="D16" s="195" t="s">
        <v>29</v>
      </c>
      <c r="E16" s="195">
        <v>1980</v>
      </c>
      <c r="F16" s="195">
        <v>13756</v>
      </c>
      <c r="G16" s="195">
        <v>22618</v>
      </c>
      <c r="H16" s="195">
        <v>10745</v>
      </c>
      <c r="I16" s="195">
        <v>2975</v>
      </c>
      <c r="J16" s="195" t="s">
        <v>29</v>
      </c>
      <c r="K16" s="195" t="s">
        <v>29</v>
      </c>
      <c r="L16" s="31">
        <f t="shared" si="0"/>
        <v>52074</v>
      </c>
      <c r="M16" s="8"/>
      <c r="N16" s="8"/>
      <c r="O16" s="8"/>
      <c r="U16" s="8"/>
      <c r="V16" s="8"/>
    </row>
    <row r="17" spans="1:22" x14ac:dyDescent="0.2">
      <c r="A17" s="383">
        <v>1988</v>
      </c>
      <c r="B17" s="195" t="s">
        <v>29</v>
      </c>
      <c r="C17" s="195" t="s">
        <v>29</v>
      </c>
      <c r="D17" s="195" t="s">
        <v>29</v>
      </c>
      <c r="E17" s="195">
        <v>2390</v>
      </c>
      <c r="F17" s="195">
        <v>13253</v>
      </c>
      <c r="G17" s="195">
        <v>20744</v>
      </c>
      <c r="H17" s="195">
        <v>6648</v>
      </c>
      <c r="I17" s="195">
        <v>832</v>
      </c>
      <c r="J17" s="195" t="s">
        <v>29</v>
      </c>
      <c r="K17" s="195" t="s">
        <v>29</v>
      </c>
      <c r="L17" s="31">
        <f t="shared" si="0"/>
        <v>43867</v>
      </c>
      <c r="M17" s="8"/>
      <c r="N17" s="8"/>
      <c r="O17" s="8"/>
      <c r="U17" s="8"/>
      <c r="V17" s="8"/>
    </row>
    <row r="18" spans="1:22" x14ac:dyDescent="0.2">
      <c r="A18" s="383">
        <v>1989</v>
      </c>
      <c r="B18" s="195" t="s">
        <v>29</v>
      </c>
      <c r="C18" s="195" t="s">
        <v>29</v>
      </c>
      <c r="D18" s="195" t="s">
        <v>29</v>
      </c>
      <c r="E18" s="195">
        <v>1058</v>
      </c>
      <c r="F18" s="195">
        <v>7385</v>
      </c>
      <c r="G18" s="195">
        <v>18647</v>
      </c>
      <c r="H18" s="195">
        <v>6183</v>
      </c>
      <c r="I18" s="195">
        <v>332</v>
      </c>
      <c r="J18" s="195" t="s">
        <v>29</v>
      </c>
      <c r="K18" s="195" t="s">
        <v>29</v>
      </c>
      <c r="L18" s="31">
        <f t="shared" si="0"/>
        <v>33605</v>
      </c>
      <c r="M18" s="8"/>
      <c r="N18" s="8"/>
      <c r="O18" s="8"/>
      <c r="U18" s="8"/>
      <c r="V18" s="8"/>
    </row>
    <row r="19" spans="1:22" x14ac:dyDescent="0.2">
      <c r="A19" s="383">
        <v>1990</v>
      </c>
      <c r="B19" s="195" t="s">
        <v>29</v>
      </c>
      <c r="C19" s="195" t="s">
        <v>29</v>
      </c>
      <c r="D19" s="195" t="s">
        <v>29</v>
      </c>
      <c r="E19" s="195">
        <v>554</v>
      </c>
      <c r="F19" s="195">
        <v>13783</v>
      </c>
      <c r="G19" s="195">
        <v>23936</v>
      </c>
      <c r="H19" s="195">
        <v>3832</v>
      </c>
      <c r="I19" s="195">
        <v>594</v>
      </c>
      <c r="J19" s="195" t="s">
        <v>29</v>
      </c>
      <c r="K19" s="195" t="s">
        <v>29</v>
      </c>
      <c r="L19" s="31">
        <f t="shared" si="0"/>
        <v>42699</v>
      </c>
      <c r="M19" s="8"/>
      <c r="N19" s="8"/>
      <c r="O19" s="8"/>
      <c r="U19" s="8"/>
      <c r="V19" s="8"/>
    </row>
    <row r="20" spans="1:22" x14ac:dyDescent="0.2">
      <c r="A20" s="383">
        <v>1991</v>
      </c>
      <c r="B20" s="195" t="s">
        <v>29</v>
      </c>
      <c r="C20" s="195" t="s">
        <v>29</v>
      </c>
      <c r="D20" s="195" t="s">
        <v>29</v>
      </c>
      <c r="E20" s="195">
        <v>643</v>
      </c>
      <c r="F20" s="195">
        <v>8504</v>
      </c>
      <c r="G20" s="195">
        <v>14015</v>
      </c>
      <c r="H20" s="195">
        <v>748</v>
      </c>
      <c r="I20" s="195">
        <v>1661</v>
      </c>
      <c r="J20" s="195" t="s">
        <v>29</v>
      </c>
      <c r="K20" s="195" t="s">
        <v>29</v>
      </c>
      <c r="L20" s="31">
        <f t="shared" si="0"/>
        <v>25571</v>
      </c>
      <c r="M20" s="8"/>
      <c r="N20" s="8"/>
      <c r="O20" s="8"/>
      <c r="U20" s="8"/>
      <c r="V20" s="8"/>
    </row>
    <row r="21" spans="1:22" x14ac:dyDescent="0.2">
      <c r="A21" s="383">
        <v>1992</v>
      </c>
      <c r="B21" s="195" t="s">
        <v>29</v>
      </c>
      <c r="C21" s="195" t="s">
        <v>29</v>
      </c>
      <c r="D21" s="195" t="s">
        <v>29</v>
      </c>
      <c r="E21" s="195" t="s">
        <v>29</v>
      </c>
      <c r="F21" s="195" t="s">
        <v>29</v>
      </c>
      <c r="G21" s="195">
        <v>7231</v>
      </c>
      <c r="H21" s="195" t="s">
        <v>29</v>
      </c>
      <c r="I21" s="195">
        <v>1833</v>
      </c>
      <c r="J21" s="195" t="s">
        <v>29</v>
      </c>
      <c r="K21" s="195" t="s">
        <v>29</v>
      </c>
      <c r="L21" s="31">
        <f t="shared" si="0"/>
        <v>9064</v>
      </c>
      <c r="M21" s="8"/>
      <c r="N21" s="8"/>
      <c r="O21" s="8"/>
      <c r="P21" s="8"/>
      <c r="Q21" s="8"/>
      <c r="S21" s="8"/>
      <c r="U21" s="8"/>
      <c r="V21" s="8"/>
    </row>
    <row r="22" spans="1:22" x14ac:dyDescent="0.2">
      <c r="A22" s="383">
        <v>1993</v>
      </c>
      <c r="B22" s="195" t="s">
        <v>29</v>
      </c>
      <c r="C22" s="195" t="s">
        <v>29</v>
      </c>
      <c r="D22" s="195" t="s">
        <v>29</v>
      </c>
      <c r="E22" s="195">
        <v>1018</v>
      </c>
      <c r="F22" s="195">
        <v>979</v>
      </c>
      <c r="G22" s="195">
        <v>6503</v>
      </c>
      <c r="H22" s="195">
        <v>5836</v>
      </c>
      <c r="I22" s="195">
        <v>1066</v>
      </c>
      <c r="J22" s="195" t="s">
        <v>29</v>
      </c>
      <c r="K22" s="195" t="s">
        <v>29</v>
      </c>
      <c r="L22" s="31">
        <f t="shared" si="0"/>
        <v>15402</v>
      </c>
      <c r="M22" s="8"/>
      <c r="N22" s="8"/>
      <c r="O22" s="8"/>
      <c r="U22" s="8"/>
      <c r="V22" s="8"/>
    </row>
    <row r="23" spans="1:22" x14ac:dyDescent="0.2">
      <c r="A23" s="383">
        <v>1994</v>
      </c>
      <c r="B23" s="195" t="s">
        <v>29</v>
      </c>
      <c r="C23" s="195" t="s">
        <v>29</v>
      </c>
      <c r="D23" s="195" t="s">
        <v>29</v>
      </c>
      <c r="E23" s="195">
        <v>5048</v>
      </c>
      <c r="F23" s="195">
        <v>2181</v>
      </c>
      <c r="G23" s="195" t="s">
        <v>29</v>
      </c>
      <c r="H23" s="195">
        <v>1591</v>
      </c>
      <c r="I23" s="195">
        <v>877</v>
      </c>
      <c r="J23" s="195" t="s">
        <v>29</v>
      </c>
      <c r="K23" s="195" t="s">
        <v>29</v>
      </c>
      <c r="L23" s="31">
        <f t="shared" si="0"/>
        <v>9697</v>
      </c>
      <c r="M23" s="8"/>
      <c r="N23" s="8"/>
      <c r="O23" s="8"/>
      <c r="R23" s="8"/>
      <c r="U23" s="8"/>
      <c r="V23" s="8"/>
    </row>
    <row r="24" spans="1:22" x14ac:dyDescent="0.2">
      <c r="A24" s="383">
        <v>1995</v>
      </c>
      <c r="B24" s="195" t="s">
        <v>29</v>
      </c>
      <c r="C24" s="195" t="s">
        <v>29</v>
      </c>
      <c r="D24" s="195" t="s">
        <v>29</v>
      </c>
      <c r="E24" s="195">
        <v>2793</v>
      </c>
      <c r="F24" s="195">
        <v>5668</v>
      </c>
      <c r="G24" s="195" t="s">
        <v>29</v>
      </c>
      <c r="H24" s="195">
        <v>1099</v>
      </c>
      <c r="I24" s="195">
        <v>2376</v>
      </c>
      <c r="J24" s="195" t="s">
        <v>29</v>
      </c>
      <c r="K24" s="195" t="s">
        <v>29</v>
      </c>
      <c r="L24" s="31">
        <f t="shared" si="0"/>
        <v>11936</v>
      </c>
      <c r="M24" s="8"/>
      <c r="N24" s="8"/>
      <c r="O24" s="8"/>
      <c r="R24" s="8"/>
      <c r="U24" s="8"/>
      <c r="V24" s="8"/>
    </row>
    <row r="25" spans="1:22" x14ac:dyDescent="0.2">
      <c r="A25" s="383">
        <v>1996</v>
      </c>
      <c r="B25" s="195" t="s">
        <v>29</v>
      </c>
      <c r="C25" s="195" t="s">
        <v>29</v>
      </c>
      <c r="D25" s="195" t="s">
        <v>29</v>
      </c>
      <c r="E25" s="195">
        <v>993</v>
      </c>
      <c r="F25" s="195">
        <v>5054</v>
      </c>
      <c r="G25" s="195">
        <v>2405</v>
      </c>
      <c r="H25" s="195">
        <v>2056</v>
      </c>
      <c r="I25" s="195">
        <v>806</v>
      </c>
      <c r="J25" s="195" t="s">
        <v>29</v>
      </c>
      <c r="K25" s="195" t="s">
        <v>29</v>
      </c>
      <c r="L25" s="31">
        <f t="shared" si="0"/>
        <v>11314</v>
      </c>
      <c r="M25" s="8"/>
      <c r="N25" s="8"/>
      <c r="O25" s="8"/>
      <c r="U25" s="8"/>
      <c r="V25" s="8"/>
    </row>
    <row r="26" spans="1:22" x14ac:dyDescent="0.2">
      <c r="A26" s="383">
        <v>1997</v>
      </c>
      <c r="B26" s="195" t="s">
        <v>29</v>
      </c>
      <c r="C26" s="195" t="s">
        <v>29</v>
      </c>
      <c r="D26" s="195" t="s">
        <v>29</v>
      </c>
      <c r="E26" s="195">
        <v>920</v>
      </c>
      <c r="F26" s="195">
        <v>1724</v>
      </c>
      <c r="G26" s="195">
        <v>1533</v>
      </c>
      <c r="H26" s="195">
        <v>2242</v>
      </c>
      <c r="I26" s="195">
        <v>157</v>
      </c>
      <c r="J26" s="195" t="s">
        <v>29</v>
      </c>
      <c r="K26" s="195" t="s">
        <v>29</v>
      </c>
      <c r="L26" s="31">
        <f t="shared" si="0"/>
        <v>6576</v>
      </c>
      <c r="M26" s="8"/>
      <c r="N26" s="8"/>
      <c r="O26" s="8"/>
      <c r="U26" s="8"/>
      <c r="V26" s="8"/>
    </row>
    <row r="27" spans="1:22" x14ac:dyDescent="0.2">
      <c r="A27" s="383">
        <v>1998</v>
      </c>
      <c r="B27" s="195" t="s">
        <v>29</v>
      </c>
      <c r="C27" s="195" t="s">
        <v>29</v>
      </c>
      <c r="D27" s="195" t="s">
        <v>29</v>
      </c>
      <c r="E27" s="195">
        <v>705</v>
      </c>
      <c r="F27" s="195">
        <v>1527</v>
      </c>
      <c r="G27" s="195">
        <v>455</v>
      </c>
      <c r="H27" s="195">
        <v>565</v>
      </c>
      <c r="I27" s="195">
        <v>50</v>
      </c>
      <c r="J27" s="195" t="s">
        <v>29</v>
      </c>
      <c r="K27" s="195" t="s">
        <v>29</v>
      </c>
      <c r="L27" s="31">
        <f t="shared" si="0"/>
        <v>3302</v>
      </c>
      <c r="M27" s="8"/>
      <c r="N27" s="8"/>
      <c r="O27" s="8"/>
      <c r="U27" s="8"/>
      <c r="V27" s="8"/>
    </row>
    <row r="28" spans="1:22" x14ac:dyDescent="0.2">
      <c r="A28" s="383">
        <v>1999</v>
      </c>
      <c r="B28" s="195" t="s">
        <v>29</v>
      </c>
      <c r="C28" s="195" t="s">
        <v>29</v>
      </c>
      <c r="D28" s="195" t="s">
        <v>29</v>
      </c>
      <c r="E28" s="195">
        <v>12</v>
      </c>
      <c r="F28" s="195">
        <v>1532</v>
      </c>
      <c r="G28" s="195">
        <v>802</v>
      </c>
      <c r="H28" s="195">
        <v>3068</v>
      </c>
      <c r="I28" s="195">
        <v>428</v>
      </c>
      <c r="J28" s="195" t="s">
        <v>29</v>
      </c>
      <c r="K28" s="195" t="s">
        <v>29</v>
      </c>
      <c r="L28" s="31">
        <f t="shared" si="0"/>
        <v>5842</v>
      </c>
      <c r="M28" s="8"/>
      <c r="N28" s="8"/>
      <c r="O28" s="8"/>
      <c r="P28" s="8"/>
      <c r="U28" s="8"/>
      <c r="V28" s="8"/>
    </row>
    <row r="29" spans="1:22" x14ac:dyDescent="0.2">
      <c r="A29" s="383">
        <v>2000</v>
      </c>
      <c r="B29" s="195" t="s">
        <v>29</v>
      </c>
      <c r="C29" s="195" t="s">
        <v>29</v>
      </c>
      <c r="D29" s="195" t="s">
        <v>29</v>
      </c>
      <c r="E29" s="195">
        <v>144</v>
      </c>
      <c r="F29" s="195">
        <v>1762</v>
      </c>
      <c r="G29" s="195">
        <v>2103</v>
      </c>
      <c r="H29" s="195">
        <v>2988</v>
      </c>
      <c r="I29" s="195">
        <v>213</v>
      </c>
      <c r="J29" s="195" t="s">
        <v>29</v>
      </c>
      <c r="K29" s="195" t="s">
        <v>29</v>
      </c>
      <c r="L29" s="31">
        <f t="shared" si="0"/>
        <v>7210</v>
      </c>
      <c r="M29" s="8"/>
      <c r="N29" s="8"/>
      <c r="O29" s="8"/>
      <c r="U29" s="8"/>
      <c r="V29" s="8"/>
    </row>
    <row r="30" spans="1:22" x14ac:dyDescent="0.2">
      <c r="A30" s="383">
        <v>2001</v>
      </c>
      <c r="B30" s="195" t="s">
        <v>29</v>
      </c>
      <c r="C30" s="195" t="s">
        <v>29</v>
      </c>
      <c r="D30" s="195" t="s">
        <v>29</v>
      </c>
      <c r="E30" s="195">
        <v>881</v>
      </c>
      <c r="F30" s="195">
        <v>2141</v>
      </c>
      <c r="G30" s="195">
        <v>3011</v>
      </c>
      <c r="H30" s="195">
        <v>2339</v>
      </c>
      <c r="I30" s="195">
        <v>273</v>
      </c>
      <c r="J30" s="195" t="s">
        <v>29</v>
      </c>
      <c r="K30" s="195" t="s">
        <v>29</v>
      </c>
      <c r="L30" s="31"/>
      <c r="M30" s="8"/>
      <c r="N30" s="8"/>
      <c r="O30" s="8"/>
      <c r="U30" s="8"/>
      <c r="V30" s="8"/>
    </row>
    <row r="31" spans="1:22" x14ac:dyDescent="0.2">
      <c r="A31" s="383">
        <v>2002</v>
      </c>
      <c r="B31" s="195" t="s">
        <v>29</v>
      </c>
      <c r="C31" s="195" t="s">
        <v>29</v>
      </c>
      <c r="D31" s="195" t="s">
        <v>29</v>
      </c>
      <c r="E31" s="195">
        <v>1036</v>
      </c>
      <c r="F31" s="195">
        <v>1131</v>
      </c>
      <c r="G31" s="195">
        <v>132</v>
      </c>
      <c r="H31" s="195">
        <v>1333</v>
      </c>
      <c r="I31" s="195">
        <v>237</v>
      </c>
      <c r="J31" s="195" t="s">
        <v>29</v>
      </c>
      <c r="K31" s="195" t="s">
        <v>29</v>
      </c>
      <c r="L31" s="31">
        <f t="shared" si="0"/>
        <v>3869</v>
      </c>
      <c r="M31" s="8"/>
      <c r="N31" s="8"/>
      <c r="O31" s="8"/>
      <c r="U31" s="8"/>
      <c r="V31" s="8"/>
    </row>
    <row r="32" spans="1:22" x14ac:dyDescent="0.2">
      <c r="A32" s="383">
        <v>2003</v>
      </c>
      <c r="B32" s="195" t="s">
        <v>29</v>
      </c>
      <c r="C32" s="195" t="s">
        <v>29</v>
      </c>
      <c r="D32" s="195" t="s">
        <v>29</v>
      </c>
      <c r="E32" s="195">
        <v>319</v>
      </c>
      <c r="F32" s="195">
        <v>521</v>
      </c>
      <c r="G32" s="195">
        <v>521</v>
      </c>
      <c r="H32" s="195">
        <v>493</v>
      </c>
      <c r="I32" s="195">
        <v>340</v>
      </c>
      <c r="J32" s="195" t="s">
        <v>29</v>
      </c>
      <c r="K32" s="195" t="s">
        <v>29</v>
      </c>
      <c r="L32" s="31">
        <f t="shared" si="0"/>
        <v>2194</v>
      </c>
      <c r="M32" s="8"/>
      <c r="N32" s="8"/>
      <c r="O32" s="8"/>
      <c r="U32" s="8"/>
      <c r="V32" s="8"/>
    </row>
    <row r="33" spans="1:22" x14ac:dyDescent="0.2">
      <c r="A33" s="383">
        <v>2004</v>
      </c>
      <c r="B33" s="195" t="s">
        <v>29</v>
      </c>
      <c r="C33" s="195" t="s">
        <v>29</v>
      </c>
      <c r="D33" s="195" t="s">
        <v>29</v>
      </c>
      <c r="E33" s="195">
        <v>603</v>
      </c>
      <c r="F33" s="195">
        <v>604</v>
      </c>
      <c r="G33" s="195">
        <v>689</v>
      </c>
      <c r="H33" s="195">
        <v>843</v>
      </c>
      <c r="I33" s="195">
        <v>413</v>
      </c>
      <c r="J33" s="194" t="s">
        <v>241</v>
      </c>
      <c r="K33" s="195" t="s">
        <v>29</v>
      </c>
      <c r="L33" s="31">
        <f t="shared" si="0"/>
        <v>3152</v>
      </c>
      <c r="M33" s="8"/>
      <c r="N33" s="8"/>
      <c r="O33" s="8"/>
      <c r="U33" s="8"/>
      <c r="V33" s="8"/>
    </row>
    <row r="34" spans="1:22" x14ac:dyDescent="0.2">
      <c r="A34" s="383">
        <v>2005</v>
      </c>
      <c r="B34" s="195" t="s">
        <v>29</v>
      </c>
      <c r="C34" s="195" t="s">
        <v>29</v>
      </c>
      <c r="D34" s="195" t="s">
        <v>29</v>
      </c>
      <c r="E34" s="195">
        <v>131</v>
      </c>
      <c r="F34" s="195">
        <v>794</v>
      </c>
      <c r="G34" s="195">
        <v>492</v>
      </c>
      <c r="H34" s="195">
        <v>904</v>
      </c>
      <c r="I34" s="195">
        <v>181</v>
      </c>
      <c r="J34" s="195" t="s">
        <v>29</v>
      </c>
      <c r="K34" s="195" t="s">
        <v>29</v>
      </c>
      <c r="L34" s="31">
        <f t="shared" si="0"/>
        <v>2502</v>
      </c>
      <c r="M34" s="8"/>
      <c r="N34" s="8"/>
      <c r="O34" s="8"/>
      <c r="U34" s="8"/>
      <c r="V34" s="8"/>
    </row>
    <row r="35" spans="1:22" x14ac:dyDescent="0.2">
      <c r="A35" s="383">
        <v>2006</v>
      </c>
      <c r="B35" s="195" t="s">
        <v>29</v>
      </c>
      <c r="C35" s="195" t="s">
        <v>29</v>
      </c>
      <c r="D35" s="195" t="s">
        <v>29</v>
      </c>
      <c r="E35" s="195">
        <v>325</v>
      </c>
      <c r="F35" s="195">
        <v>754</v>
      </c>
      <c r="G35" s="195">
        <v>312</v>
      </c>
      <c r="H35" s="195" t="s">
        <v>29</v>
      </c>
      <c r="I35" s="195">
        <v>87</v>
      </c>
      <c r="J35" s="195" t="s">
        <v>29</v>
      </c>
      <c r="K35" s="195" t="s">
        <v>29</v>
      </c>
      <c r="L35" s="31">
        <v>1478</v>
      </c>
      <c r="M35" s="8"/>
      <c r="N35" s="8"/>
      <c r="O35" s="8"/>
      <c r="U35" s="8"/>
      <c r="V35" s="8"/>
    </row>
    <row r="36" spans="1:22" s="374" customFormat="1" x14ac:dyDescent="0.2">
      <c r="A36" s="402">
        <v>2007</v>
      </c>
      <c r="B36" s="196" t="s">
        <v>29</v>
      </c>
      <c r="C36" s="196" t="s">
        <v>29</v>
      </c>
      <c r="D36" s="196" t="s">
        <v>29</v>
      </c>
      <c r="E36" s="196">
        <v>277</v>
      </c>
      <c r="F36" s="196">
        <v>484</v>
      </c>
      <c r="G36" s="196">
        <v>1027</v>
      </c>
      <c r="H36" s="196">
        <v>225</v>
      </c>
      <c r="I36" s="196">
        <v>69</v>
      </c>
      <c r="J36" s="196" t="s">
        <v>29</v>
      </c>
      <c r="K36" s="196" t="s">
        <v>29</v>
      </c>
      <c r="L36" s="52">
        <f>SUM(B36:K36)</f>
        <v>2082</v>
      </c>
      <c r="M36" s="9"/>
      <c r="N36" s="9"/>
      <c r="O36" s="9"/>
      <c r="U36" s="9"/>
      <c r="V36" s="9"/>
    </row>
    <row r="37" spans="1:22" s="374" customFormat="1" x14ac:dyDescent="0.2">
      <c r="A37" s="402">
        <v>2008</v>
      </c>
      <c r="B37" s="196" t="s">
        <v>29</v>
      </c>
      <c r="C37" s="196" t="s">
        <v>29</v>
      </c>
      <c r="D37" s="196" t="s">
        <v>29</v>
      </c>
      <c r="E37" s="196" t="s">
        <v>29</v>
      </c>
      <c r="F37" s="196" t="s">
        <v>29</v>
      </c>
      <c r="G37" s="196" t="s">
        <v>29</v>
      </c>
      <c r="H37" s="196" t="s">
        <v>29</v>
      </c>
      <c r="I37" s="196" t="s">
        <v>29</v>
      </c>
      <c r="J37" s="196" t="s">
        <v>29</v>
      </c>
      <c r="K37" s="196" t="s">
        <v>29</v>
      </c>
      <c r="L37" s="52" t="s">
        <v>29</v>
      </c>
      <c r="M37" s="9"/>
      <c r="N37" s="9"/>
      <c r="O37" s="9"/>
      <c r="U37" s="9"/>
      <c r="V37" s="9"/>
    </row>
    <row r="38" spans="1:22" s="374" customFormat="1" x14ac:dyDescent="0.2">
      <c r="A38" s="402">
        <v>2009</v>
      </c>
      <c r="B38" s="196" t="s">
        <v>29</v>
      </c>
      <c r="C38" s="196" t="s">
        <v>29</v>
      </c>
      <c r="D38" s="196" t="s">
        <v>29</v>
      </c>
      <c r="E38" s="196" t="s">
        <v>29</v>
      </c>
      <c r="F38" s="196" t="s">
        <v>29</v>
      </c>
      <c r="G38" s="196" t="s">
        <v>29</v>
      </c>
      <c r="H38" s="196">
        <v>498</v>
      </c>
      <c r="I38" s="196">
        <v>607</v>
      </c>
      <c r="J38" s="196" t="s">
        <v>29</v>
      </c>
      <c r="K38" s="196" t="s">
        <v>29</v>
      </c>
      <c r="L38" s="52">
        <f t="shared" ref="L38:L43" si="1">SUM(B38:K38)</f>
        <v>1105</v>
      </c>
      <c r="M38" s="9"/>
      <c r="N38" s="9"/>
      <c r="O38" s="9"/>
      <c r="U38" s="9"/>
      <c r="V38" s="9"/>
    </row>
    <row r="39" spans="1:22" s="374" customFormat="1" x14ac:dyDescent="0.2">
      <c r="A39" s="122">
        <v>2010</v>
      </c>
      <c r="B39" s="196" t="s">
        <v>29</v>
      </c>
      <c r="C39" s="196" t="s">
        <v>29</v>
      </c>
      <c r="D39" s="196" t="s">
        <v>29</v>
      </c>
      <c r="E39" s="196">
        <v>72</v>
      </c>
      <c r="F39" s="196">
        <v>38</v>
      </c>
      <c r="G39" s="196">
        <v>48</v>
      </c>
      <c r="H39" s="196">
        <v>33</v>
      </c>
      <c r="I39" s="196">
        <v>15</v>
      </c>
      <c r="J39" s="196" t="s">
        <v>29</v>
      </c>
      <c r="K39" s="196" t="s">
        <v>29</v>
      </c>
      <c r="L39" s="52">
        <f t="shared" si="1"/>
        <v>206</v>
      </c>
      <c r="M39" s="9"/>
      <c r="N39" s="9"/>
      <c r="O39" s="9"/>
      <c r="U39" s="9"/>
      <c r="V39" s="9"/>
    </row>
    <row r="40" spans="1:22" s="374" customFormat="1" x14ac:dyDescent="0.2">
      <c r="A40" s="402">
        <v>2011</v>
      </c>
      <c r="B40" s="196" t="s">
        <v>29</v>
      </c>
      <c r="C40" s="196" t="s">
        <v>29</v>
      </c>
      <c r="D40" s="196" t="s">
        <v>29</v>
      </c>
      <c r="E40" s="196">
        <v>187</v>
      </c>
      <c r="F40" s="196">
        <v>104</v>
      </c>
      <c r="G40" s="196">
        <v>245</v>
      </c>
      <c r="H40" s="196">
        <v>185</v>
      </c>
      <c r="I40" s="196">
        <v>45</v>
      </c>
      <c r="J40" s="196" t="s">
        <v>29</v>
      </c>
      <c r="K40" s="196" t="s">
        <v>29</v>
      </c>
      <c r="L40" s="52">
        <f t="shared" si="1"/>
        <v>766</v>
      </c>
      <c r="M40" s="9"/>
      <c r="N40" s="9"/>
      <c r="O40" s="9"/>
      <c r="U40" s="9"/>
      <c r="V40" s="9"/>
    </row>
    <row r="41" spans="1:22" s="374" customFormat="1" x14ac:dyDescent="0.2">
      <c r="A41" s="402">
        <v>2012</v>
      </c>
      <c r="B41" s="196" t="s">
        <v>29</v>
      </c>
      <c r="C41" s="196" t="s">
        <v>29</v>
      </c>
      <c r="D41" s="196" t="s">
        <v>29</v>
      </c>
      <c r="E41" s="196">
        <v>455</v>
      </c>
      <c r="F41" s="196">
        <v>1018</v>
      </c>
      <c r="G41" s="196">
        <v>4134</v>
      </c>
      <c r="H41" s="196">
        <v>1702</v>
      </c>
      <c r="I41" s="196">
        <v>502</v>
      </c>
      <c r="J41" s="196" t="s">
        <v>29</v>
      </c>
      <c r="K41" s="196" t="s">
        <v>29</v>
      </c>
      <c r="L41" s="52">
        <f t="shared" si="1"/>
        <v>7811</v>
      </c>
      <c r="M41" s="9"/>
      <c r="N41" s="9"/>
      <c r="O41" s="9"/>
      <c r="U41" s="9"/>
      <c r="V41" s="9"/>
    </row>
    <row r="42" spans="1:22" s="374" customFormat="1" x14ac:dyDescent="0.2">
      <c r="A42" s="402">
        <v>2013</v>
      </c>
      <c r="B42" s="196" t="s">
        <v>29</v>
      </c>
      <c r="C42" s="196" t="s">
        <v>29</v>
      </c>
      <c r="D42" s="196" t="s">
        <v>29</v>
      </c>
      <c r="E42" s="196">
        <v>456</v>
      </c>
      <c r="F42" s="196">
        <v>2538</v>
      </c>
      <c r="G42" s="196">
        <v>3228</v>
      </c>
      <c r="H42" s="196">
        <v>816</v>
      </c>
      <c r="I42" s="196">
        <v>0</v>
      </c>
      <c r="J42" s="196" t="s">
        <v>29</v>
      </c>
      <c r="K42" s="196" t="s">
        <v>29</v>
      </c>
      <c r="L42" s="52">
        <f t="shared" si="1"/>
        <v>7038</v>
      </c>
      <c r="O42" s="9"/>
      <c r="U42" s="9"/>
      <c r="V42" s="9"/>
    </row>
    <row r="43" spans="1:22" s="374" customFormat="1" x14ac:dyDescent="0.2">
      <c r="A43" s="402">
        <v>2014</v>
      </c>
      <c r="B43" s="196" t="s">
        <v>29</v>
      </c>
      <c r="C43" s="196" t="s">
        <v>29</v>
      </c>
      <c r="D43" s="196" t="s">
        <v>29</v>
      </c>
      <c r="E43" s="196">
        <v>1441</v>
      </c>
      <c r="F43" s="196">
        <v>786</v>
      </c>
      <c r="G43" s="196">
        <v>1996</v>
      </c>
      <c r="H43" s="196">
        <v>172</v>
      </c>
      <c r="I43" s="196">
        <v>10</v>
      </c>
      <c r="J43" s="196" t="s">
        <v>29</v>
      </c>
      <c r="K43" s="196" t="s">
        <v>29</v>
      </c>
      <c r="L43" s="52">
        <f t="shared" si="1"/>
        <v>4405</v>
      </c>
      <c r="O43" s="9"/>
      <c r="U43" s="9"/>
      <c r="V43" s="9"/>
    </row>
    <row r="44" spans="1:22" s="374" customFormat="1" x14ac:dyDescent="0.2">
      <c r="A44" s="122">
        <v>2015</v>
      </c>
      <c r="B44" s="196" t="s">
        <v>29</v>
      </c>
      <c r="C44" s="196" t="s">
        <v>29</v>
      </c>
      <c r="D44" s="196" t="s">
        <v>29</v>
      </c>
      <c r="E44" s="196">
        <v>210</v>
      </c>
      <c r="F44" s="196">
        <v>89</v>
      </c>
      <c r="G44" s="196">
        <v>161</v>
      </c>
      <c r="H44" s="196">
        <v>137</v>
      </c>
      <c r="I44" s="196">
        <v>44</v>
      </c>
      <c r="J44" s="196" t="s">
        <v>29</v>
      </c>
      <c r="K44" s="196" t="s">
        <v>29</v>
      </c>
      <c r="L44" s="52">
        <f>SUM(B44:K44)</f>
        <v>641</v>
      </c>
      <c r="O44" s="9"/>
      <c r="U44" s="9"/>
      <c r="V44" s="9"/>
    </row>
    <row r="45" spans="1:22" s="374" customFormat="1" x14ac:dyDescent="0.2">
      <c r="A45" s="122">
        <v>2016</v>
      </c>
      <c r="B45" s="196" t="s">
        <v>29</v>
      </c>
      <c r="C45" s="196" t="s">
        <v>29</v>
      </c>
      <c r="D45" s="196" t="s">
        <v>29</v>
      </c>
      <c r="E45" s="196">
        <v>59</v>
      </c>
      <c r="F45" s="196">
        <v>222</v>
      </c>
      <c r="G45" s="196">
        <v>176</v>
      </c>
      <c r="H45" s="196">
        <v>56</v>
      </c>
      <c r="I45" s="196">
        <v>50</v>
      </c>
      <c r="J45" s="196" t="s">
        <v>29</v>
      </c>
      <c r="K45" s="196" t="s">
        <v>29</v>
      </c>
      <c r="L45" s="52">
        <f>SUM(B45:K45)</f>
        <v>563</v>
      </c>
      <c r="O45" s="9"/>
      <c r="U45" s="9"/>
      <c r="V45" s="9"/>
    </row>
    <row r="46" spans="1:22" s="374" customFormat="1" x14ac:dyDescent="0.2">
      <c r="A46" s="122">
        <v>2017</v>
      </c>
      <c r="B46" s="196" t="s">
        <v>29</v>
      </c>
      <c r="C46" s="196" t="s">
        <v>29</v>
      </c>
      <c r="D46" s="196" t="s">
        <v>29</v>
      </c>
      <c r="E46" s="196" t="s">
        <v>29</v>
      </c>
      <c r="F46" s="196" t="s">
        <v>29</v>
      </c>
      <c r="G46" s="196" t="s">
        <v>29</v>
      </c>
      <c r="H46" s="196" t="s">
        <v>29</v>
      </c>
      <c r="I46" s="196" t="s">
        <v>29</v>
      </c>
      <c r="J46" s="196" t="s">
        <v>29</v>
      </c>
      <c r="K46" s="196" t="s">
        <v>29</v>
      </c>
      <c r="L46" s="196" t="s">
        <v>29</v>
      </c>
      <c r="O46" s="9"/>
      <c r="U46" s="9"/>
      <c r="V46" s="9"/>
    </row>
    <row r="47" spans="1:22" s="374" customFormat="1" x14ac:dyDescent="0.2">
      <c r="A47" s="122">
        <v>2018</v>
      </c>
      <c r="B47" s="196" t="s">
        <v>29</v>
      </c>
      <c r="C47" s="196" t="s">
        <v>29</v>
      </c>
      <c r="D47" s="196" t="s">
        <v>29</v>
      </c>
      <c r="E47" s="196" t="s">
        <v>29</v>
      </c>
      <c r="F47" s="196">
        <v>359</v>
      </c>
      <c r="G47" s="196">
        <v>673</v>
      </c>
      <c r="H47" s="196">
        <v>328</v>
      </c>
      <c r="I47" s="196">
        <v>3</v>
      </c>
      <c r="J47" s="196" t="s">
        <v>29</v>
      </c>
      <c r="K47" s="196" t="s">
        <v>29</v>
      </c>
      <c r="L47" s="52">
        <f>SUM(B47:K47)</f>
        <v>1363</v>
      </c>
      <c r="O47" s="9"/>
      <c r="U47" s="9"/>
      <c r="V47" s="9"/>
    </row>
    <row r="48" spans="1:22" s="487" customFormat="1" x14ac:dyDescent="0.2">
      <c r="A48" s="496" t="s">
        <v>398</v>
      </c>
      <c r="B48" s="196" t="s">
        <v>29</v>
      </c>
      <c r="C48" s="196" t="s">
        <v>29</v>
      </c>
      <c r="D48" s="196" t="s">
        <v>29</v>
      </c>
      <c r="E48" s="196">
        <v>15</v>
      </c>
      <c r="F48" s="196">
        <v>137</v>
      </c>
      <c r="G48" s="196">
        <v>279</v>
      </c>
      <c r="H48" s="196">
        <v>56</v>
      </c>
      <c r="I48" s="196">
        <v>24</v>
      </c>
      <c r="J48" s="196" t="s">
        <v>29</v>
      </c>
      <c r="K48" s="196" t="s">
        <v>29</v>
      </c>
      <c r="L48" s="52">
        <f>SUM(B48:K48)</f>
        <v>511</v>
      </c>
      <c r="O48" s="9"/>
      <c r="U48" s="9"/>
      <c r="V48" s="9"/>
    </row>
    <row r="49" spans="1:22" x14ac:dyDescent="0.2">
      <c r="A49" s="496" t="s">
        <v>399</v>
      </c>
      <c r="B49" s="195" t="s">
        <v>29</v>
      </c>
      <c r="C49" s="195" t="s">
        <v>29</v>
      </c>
      <c r="D49" s="195" t="s">
        <v>29</v>
      </c>
      <c r="E49" s="195" t="s">
        <v>29</v>
      </c>
      <c r="F49" s="195" t="s">
        <v>116</v>
      </c>
      <c r="G49" s="195">
        <v>801</v>
      </c>
      <c r="H49" s="195">
        <v>386</v>
      </c>
      <c r="I49" s="195" t="s">
        <v>29</v>
      </c>
      <c r="J49" s="195" t="s">
        <v>29</v>
      </c>
      <c r="K49" s="195" t="s">
        <v>29</v>
      </c>
      <c r="L49" s="52">
        <f>SUM(B49:K49)</f>
        <v>1187</v>
      </c>
      <c r="O49" s="8"/>
      <c r="U49" s="8"/>
      <c r="V49" s="8"/>
    </row>
    <row r="50" spans="1:22" x14ac:dyDescent="0.2">
      <c r="B50" s="195"/>
      <c r="C50" s="195"/>
      <c r="D50" s="195"/>
      <c r="E50" s="195"/>
      <c r="F50" s="195"/>
      <c r="G50" s="195"/>
      <c r="H50" s="195"/>
      <c r="I50" s="195"/>
      <c r="J50" s="195"/>
      <c r="K50" s="195"/>
      <c r="L50" s="31"/>
    </row>
    <row r="51" spans="1:22" x14ac:dyDescent="0.2">
      <c r="A51" s="116" t="s">
        <v>23</v>
      </c>
      <c r="B51" s="195"/>
      <c r="C51" s="195"/>
      <c r="D51" s="195"/>
      <c r="E51" s="195"/>
      <c r="F51" s="195"/>
      <c r="G51" s="195"/>
      <c r="H51" s="195"/>
      <c r="I51" s="195"/>
      <c r="J51" s="195"/>
      <c r="K51" s="195"/>
      <c r="L51" s="31"/>
    </row>
    <row r="52" spans="1:22" x14ac:dyDescent="0.2">
      <c r="A52" s="383">
        <v>1976</v>
      </c>
      <c r="B52" s="194" t="s">
        <v>116</v>
      </c>
      <c r="C52" s="194" t="s">
        <v>116</v>
      </c>
      <c r="D52" s="195">
        <v>0</v>
      </c>
      <c r="E52" s="195">
        <v>67</v>
      </c>
      <c r="F52" s="195">
        <v>9950</v>
      </c>
      <c r="G52" s="195">
        <v>13662</v>
      </c>
      <c r="H52" s="195">
        <v>6276</v>
      </c>
      <c r="I52" s="195">
        <v>535</v>
      </c>
      <c r="J52" s="195">
        <v>0</v>
      </c>
      <c r="K52" s="195">
        <v>0</v>
      </c>
      <c r="L52" s="31">
        <f t="shared" ref="L52:L81" si="2">SUM(B52:K52)</f>
        <v>30490</v>
      </c>
    </row>
    <row r="53" spans="1:22" x14ac:dyDescent="0.2">
      <c r="A53" s="383">
        <v>1977</v>
      </c>
      <c r="B53" s="194" t="s">
        <v>116</v>
      </c>
      <c r="C53" s="194" t="s">
        <v>116</v>
      </c>
      <c r="D53" s="195">
        <v>0</v>
      </c>
      <c r="E53" s="195">
        <v>1404</v>
      </c>
      <c r="F53" s="195">
        <v>3240</v>
      </c>
      <c r="G53" s="195">
        <v>13538</v>
      </c>
      <c r="H53" s="195">
        <v>8144</v>
      </c>
      <c r="I53" s="195">
        <v>378</v>
      </c>
      <c r="J53" s="195">
        <v>1</v>
      </c>
      <c r="K53" s="195">
        <v>0</v>
      </c>
      <c r="L53" s="31">
        <f t="shared" si="2"/>
        <v>26705</v>
      </c>
    </row>
    <row r="54" spans="1:22" x14ac:dyDescent="0.2">
      <c r="A54" s="383">
        <v>1978</v>
      </c>
      <c r="B54" s="194" t="s">
        <v>116</v>
      </c>
      <c r="C54" s="194" t="s">
        <v>116</v>
      </c>
      <c r="D54" s="195">
        <v>0</v>
      </c>
      <c r="E54" s="195">
        <v>0</v>
      </c>
      <c r="F54" s="195">
        <v>4929</v>
      </c>
      <c r="G54" s="195">
        <v>11565</v>
      </c>
      <c r="H54" s="195">
        <v>4524</v>
      </c>
      <c r="I54" s="195">
        <v>148</v>
      </c>
      <c r="J54" s="195">
        <v>0</v>
      </c>
      <c r="K54" s="195">
        <v>0</v>
      </c>
      <c r="L54" s="31">
        <f t="shared" si="2"/>
        <v>21166</v>
      </c>
    </row>
    <row r="55" spans="1:22" x14ac:dyDescent="0.2">
      <c r="A55" s="383">
        <v>1979</v>
      </c>
      <c r="B55" s="194" t="s">
        <v>116</v>
      </c>
      <c r="C55" s="194" t="s">
        <v>116</v>
      </c>
      <c r="D55" s="195">
        <v>15</v>
      </c>
      <c r="E55" s="195">
        <v>105</v>
      </c>
      <c r="F55" s="195">
        <v>4594</v>
      </c>
      <c r="G55" s="195">
        <v>8346</v>
      </c>
      <c r="H55" s="195">
        <v>4788</v>
      </c>
      <c r="I55" s="195">
        <v>100</v>
      </c>
      <c r="J55" s="195">
        <v>60</v>
      </c>
      <c r="K55" s="195" t="s">
        <v>29</v>
      </c>
      <c r="L55" s="31">
        <f t="shared" si="2"/>
        <v>18008</v>
      </c>
    </row>
    <row r="56" spans="1:22" x14ac:dyDescent="0.2">
      <c r="A56" s="383">
        <v>1980</v>
      </c>
      <c r="B56" s="194" t="s">
        <v>116</v>
      </c>
      <c r="C56" s="194" t="s">
        <v>116</v>
      </c>
      <c r="D56" s="195">
        <v>0</v>
      </c>
      <c r="E56" s="195">
        <v>0</v>
      </c>
      <c r="F56" s="195">
        <v>3746</v>
      </c>
      <c r="G56" s="195">
        <v>15762</v>
      </c>
      <c r="H56" s="195">
        <v>2997</v>
      </c>
      <c r="I56" s="195">
        <v>589</v>
      </c>
      <c r="J56" s="195">
        <v>0</v>
      </c>
      <c r="K56" s="195" t="s">
        <v>29</v>
      </c>
      <c r="L56" s="31">
        <f t="shared" si="2"/>
        <v>23094</v>
      </c>
    </row>
    <row r="57" spans="1:22" x14ac:dyDescent="0.2">
      <c r="A57" s="383">
        <v>1981</v>
      </c>
      <c r="B57" s="194" t="s">
        <v>116</v>
      </c>
      <c r="C57" s="194" t="s">
        <v>116</v>
      </c>
      <c r="D57" s="195">
        <v>0</v>
      </c>
      <c r="E57" s="195">
        <v>10</v>
      </c>
      <c r="F57" s="195">
        <v>2667</v>
      </c>
      <c r="G57" s="195">
        <v>8591</v>
      </c>
      <c r="H57" s="195">
        <v>4934</v>
      </c>
      <c r="I57" s="195">
        <v>77</v>
      </c>
      <c r="J57" s="195">
        <v>0</v>
      </c>
      <c r="K57" s="195">
        <v>0</v>
      </c>
      <c r="L57" s="31">
        <f t="shared" si="2"/>
        <v>16279</v>
      </c>
    </row>
    <row r="58" spans="1:22" x14ac:dyDescent="0.2">
      <c r="A58" s="383">
        <v>1982</v>
      </c>
      <c r="B58" s="194" t="s">
        <v>116</v>
      </c>
      <c r="C58" s="194" t="s">
        <v>116</v>
      </c>
      <c r="D58" s="195">
        <v>0</v>
      </c>
      <c r="E58" s="195">
        <v>0</v>
      </c>
      <c r="F58" s="195">
        <v>7415</v>
      </c>
      <c r="G58" s="195">
        <v>10584</v>
      </c>
      <c r="H58" s="195">
        <v>4493</v>
      </c>
      <c r="I58" s="195">
        <v>275</v>
      </c>
      <c r="J58" s="195">
        <v>0</v>
      </c>
      <c r="K58" s="195">
        <v>0</v>
      </c>
      <c r="L58" s="31">
        <f t="shared" si="2"/>
        <v>22767</v>
      </c>
    </row>
    <row r="59" spans="1:22" x14ac:dyDescent="0.2">
      <c r="A59" s="383">
        <v>1983</v>
      </c>
      <c r="B59" s="194" t="s">
        <v>116</v>
      </c>
      <c r="C59" s="194" t="s">
        <v>116</v>
      </c>
      <c r="D59" s="195">
        <v>0</v>
      </c>
      <c r="E59" s="195">
        <v>13</v>
      </c>
      <c r="F59" s="195">
        <v>6344</v>
      </c>
      <c r="G59" s="195">
        <v>11019</v>
      </c>
      <c r="H59" s="195">
        <v>4447</v>
      </c>
      <c r="I59" s="195">
        <v>966</v>
      </c>
      <c r="J59" s="195">
        <v>59</v>
      </c>
      <c r="K59" s="195">
        <v>0</v>
      </c>
      <c r="L59" s="31">
        <f t="shared" si="2"/>
        <v>22848</v>
      </c>
    </row>
    <row r="60" spans="1:22" x14ac:dyDescent="0.2">
      <c r="A60" s="383">
        <v>1984</v>
      </c>
      <c r="B60" s="194" t="s">
        <v>116</v>
      </c>
      <c r="C60" s="194" t="s">
        <v>116</v>
      </c>
      <c r="D60" s="195">
        <v>0</v>
      </c>
      <c r="E60" s="195">
        <v>4</v>
      </c>
      <c r="F60" s="195">
        <v>920</v>
      </c>
      <c r="G60" s="195">
        <v>13153</v>
      </c>
      <c r="H60" s="195">
        <v>4176</v>
      </c>
      <c r="I60" s="195">
        <v>512</v>
      </c>
      <c r="J60" s="195">
        <v>10</v>
      </c>
      <c r="K60" s="195">
        <v>0</v>
      </c>
      <c r="L60" s="31">
        <f t="shared" si="2"/>
        <v>18775</v>
      </c>
    </row>
    <row r="61" spans="1:22" x14ac:dyDescent="0.2">
      <c r="A61" s="383">
        <v>1985</v>
      </c>
      <c r="B61" s="194" t="s">
        <v>116</v>
      </c>
      <c r="C61" s="194" t="s">
        <v>116</v>
      </c>
      <c r="D61" s="195">
        <v>3</v>
      </c>
      <c r="E61" s="195">
        <v>6083</v>
      </c>
      <c r="F61" s="195">
        <v>6354</v>
      </c>
      <c r="G61" s="195">
        <v>15275</v>
      </c>
      <c r="H61" s="195">
        <v>6522</v>
      </c>
      <c r="I61" s="195">
        <v>635</v>
      </c>
      <c r="J61" s="195">
        <v>0</v>
      </c>
      <c r="K61" s="195">
        <v>0</v>
      </c>
      <c r="L61" s="31">
        <f t="shared" si="2"/>
        <v>34872</v>
      </c>
    </row>
    <row r="62" spans="1:22" x14ac:dyDescent="0.2">
      <c r="A62" s="383">
        <v>1986</v>
      </c>
      <c r="B62" s="194" t="s">
        <v>116</v>
      </c>
      <c r="C62" s="194" t="s">
        <v>116</v>
      </c>
      <c r="D62" s="195" t="s">
        <v>29</v>
      </c>
      <c r="E62" s="195">
        <v>1115</v>
      </c>
      <c r="F62" s="195">
        <v>7529</v>
      </c>
      <c r="G62" s="195">
        <v>12689</v>
      </c>
      <c r="H62" s="195">
        <v>7227</v>
      </c>
      <c r="I62" s="195">
        <v>340</v>
      </c>
      <c r="J62" s="195" t="s">
        <v>29</v>
      </c>
      <c r="K62" s="195" t="s">
        <v>29</v>
      </c>
      <c r="L62" s="31">
        <f t="shared" si="2"/>
        <v>28900</v>
      </c>
    </row>
    <row r="63" spans="1:22" x14ac:dyDescent="0.2">
      <c r="A63" s="383">
        <v>1987</v>
      </c>
      <c r="B63" s="195" t="s">
        <v>29</v>
      </c>
      <c r="C63" s="195" t="s">
        <v>29</v>
      </c>
      <c r="D63" s="195" t="s">
        <v>29</v>
      </c>
      <c r="E63" s="195">
        <v>1666</v>
      </c>
      <c r="F63" s="195">
        <v>9535</v>
      </c>
      <c r="G63" s="195">
        <v>23213</v>
      </c>
      <c r="H63" s="195">
        <v>9817</v>
      </c>
      <c r="I63" s="195">
        <v>1903</v>
      </c>
      <c r="J63" s="195" t="s">
        <v>29</v>
      </c>
      <c r="K63" s="195" t="s">
        <v>29</v>
      </c>
      <c r="L63" s="31">
        <f t="shared" si="2"/>
        <v>46134</v>
      </c>
    </row>
    <row r="64" spans="1:22" x14ac:dyDescent="0.2">
      <c r="A64" s="383">
        <v>1988</v>
      </c>
      <c r="B64" s="195" t="s">
        <v>29</v>
      </c>
      <c r="C64" s="195" t="s">
        <v>29</v>
      </c>
      <c r="D64" s="195" t="s">
        <v>29</v>
      </c>
      <c r="E64" s="195">
        <v>1469</v>
      </c>
      <c r="F64" s="195">
        <v>6795</v>
      </c>
      <c r="G64" s="195">
        <v>16993</v>
      </c>
      <c r="H64" s="195">
        <v>6064</v>
      </c>
      <c r="I64" s="195">
        <v>1466</v>
      </c>
      <c r="J64" s="195" t="s">
        <v>29</v>
      </c>
      <c r="K64" s="195" t="s">
        <v>29</v>
      </c>
      <c r="L64" s="31">
        <f t="shared" si="2"/>
        <v>32787</v>
      </c>
    </row>
    <row r="65" spans="1:16" x14ac:dyDescent="0.2">
      <c r="A65" s="383">
        <v>1989</v>
      </c>
      <c r="B65" s="195" t="s">
        <v>29</v>
      </c>
      <c r="C65" s="195" t="s">
        <v>29</v>
      </c>
      <c r="D65" s="195" t="s">
        <v>29</v>
      </c>
      <c r="E65" s="195">
        <v>2420</v>
      </c>
      <c r="F65" s="195">
        <v>11090</v>
      </c>
      <c r="G65" s="195">
        <v>21420</v>
      </c>
      <c r="H65" s="195">
        <v>7819</v>
      </c>
      <c r="I65" s="195">
        <v>270</v>
      </c>
      <c r="J65" s="195" t="s">
        <v>29</v>
      </c>
      <c r="K65" s="195" t="s">
        <v>29</v>
      </c>
      <c r="L65" s="31">
        <f t="shared" si="2"/>
        <v>43019</v>
      </c>
    </row>
    <row r="66" spans="1:16" x14ac:dyDescent="0.2">
      <c r="A66" s="383">
        <v>1990</v>
      </c>
      <c r="B66" s="195" t="s">
        <v>29</v>
      </c>
      <c r="C66" s="195" t="s">
        <v>29</v>
      </c>
      <c r="D66" s="195" t="s">
        <v>29</v>
      </c>
      <c r="E66" s="195">
        <v>1569</v>
      </c>
      <c r="F66" s="195">
        <v>12485</v>
      </c>
      <c r="G66" s="195">
        <v>19057</v>
      </c>
      <c r="H66" s="195">
        <v>4705</v>
      </c>
      <c r="I66" s="195">
        <v>834</v>
      </c>
      <c r="J66" s="195">
        <v>0</v>
      </c>
      <c r="K66" s="195" t="s">
        <v>29</v>
      </c>
      <c r="L66" s="31">
        <f t="shared" si="2"/>
        <v>38650</v>
      </c>
    </row>
    <row r="67" spans="1:16" x14ac:dyDescent="0.2">
      <c r="A67" s="383">
        <v>1991</v>
      </c>
      <c r="B67" s="195" t="s">
        <v>29</v>
      </c>
      <c r="C67" s="195" t="s">
        <v>29</v>
      </c>
      <c r="D67" s="195" t="s">
        <v>29</v>
      </c>
      <c r="E67" s="195">
        <v>327</v>
      </c>
      <c r="F67" s="195">
        <v>13206</v>
      </c>
      <c r="G67" s="195">
        <v>12992</v>
      </c>
      <c r="H67" s="195">
        <v>269</v>
      </c>
      <c r="I67" s="195">
        <v>632</v>
      </c>
      <c r="J67" s="195">
        <v>21</v>
      </c>
      <c r="K67" s="195" t="s">
        <v>29</v>
      </c>
      <c r="L67" s="31">
        <f t="shared" si="2"/>
        <v>27447</v>
      </c>
    </row>
    <row r="68" spans="1:16" x14ac:dyDescent="0.2">
      <c r="A68" s="383">
        <v>1992</v>
      </c>
      <c r="B68" s="195" t="s">
        <v>29</v>
      </c>
      <c r="C68" s="195" t="s">
        <v>29</v>
      </c>
      <c r="D68" s="195" t="s">
        <v>29</v>
      </c>
      <c r="E68" s="195" t="s">
        <v>29</v>
      </c>
      <c r="F68" s="195" t="s">
        <v>29</v>
      </c>
      <c r="G68" s="195">
        <v>5783</v>
      </c>
      <c r="H68" s="195" t="s">
        <v>29</v>
      </c>
      <c r="I68" s="195">
        <v>3319</v>
      </c>
      <c r="J68" s="195" t="s">
        <v>29</v>
      </c>
      <c r="K68" s="195" t="s">
        <v>29</v>
      </c>
      <c r="L68" s="31">
        <f t="shared" si="2"/>
        <v>9102</v>
      </c>
      <c r="M68" s="8"/>
      <c r="N68" s="8"/>
      <c r="P68" s="8"/>
    </row>
    <row r="69" spans="1:16" x14ac:dyDescent="0.2">
      <c r="A69" s="383">
        <v>1993</v>
      </c>
      <c r="B69" s="195" t="s">
        <v>29</v>
      </c>
      <c r="C69" s="195" t="s">
        <v>29</v>
      </c>
      <c r="D69" s="195" t="s">
        <v>29</v>
      </c>
      <c r="E69" s="195">
        <v>1644</v>
      </c>
      <c r="F69" s="195">
        <v>2210</v>
      </c>
      <c r="G69" s="195">
        <v>6129</v>
      </c>
      <c r="H69" s="195">
        <v>5992</v>
      </c>
      <c r="I69" s="195">
        <v>2292</v>
      </c>
      <c r="J69" s="195" t="s">
        <v>29</v>
      </c>
      <c r="K69" s="195" t="s">
        <v>29</v>
      </c>
      <c r="L69" s="31">
        <f t="shared" si="2"/>
        <v>18267</v>
      </c>
    </row>
    <row r="70" spans="1:16" x14ac:dyDescent="0.2">
      <c r="A70" s="383">
        <v>1994</v>
      </c>
      <c r="B70" s="195" t="s">
        <v>29</v>
      </c>
      <c r="C70" s="195" t="s">
        <v>29</v>
      </c>
      <c r="D70" s="195" t="s">
        <v>29</v>
      </c>
      <c r="E70" s="195">
        <v>2553</v>
      </c>
      <c r="F70" s="195">
        <v>1773</v>
      </c>
      <c r="G70" s="195" t="s">
        <v>29</v>
      </c>
      <c r="H70" s="195">
        <v>1259</v>
      </c>
      <c r="I70" s="195">
        <v>785</v>
      </c>
      <c r="J70" s="195" t="s">
        <v>29</v>
      </c>
      <c r="K70" s="195" t="s">
        <v>29</v>
      </c>
      <c r="L70" s="31">
        <f t="shared" si="2"/>
        <v>6370</v>
      </c>
      <c r="O70" s="8"/>
    </row>
    <row r="71" spans="1:16" x14ac:dyDescent="0.2">
      <c r="A71" s="383">
        <v>1995</v>
      </c>
      <c r="B71" s="195" t="s">
        <v>29</v>
      </c>
      <c r="C71" s="195" t="s">
        <v>29</v>
      </c>
      <c r="D71" s="195" t="s">
        <v>29</v>
      </c>
      <c r="E71" s="195">
        <v>1397</v>
      </c>
      <c r="F71" s="195">
        <v>6158</v>
      </c>
      <c r="G71" s="195" t="s">
        <v>29</v>
      </c>
      <c r="H71" s="195">
        <v>1477</v>
      </c>
      <c r="I71" s="195">
        <v>3725</v>
      </c>
      <c r="J71" s="195" t="s">
        <v>29</v>
      </c>
      <c r="K71" s="195" t="s">
        <v>29</v>
      </c>
      <c r="L71" s="31">
        <f t="shared" si="2"/>
        <v>12757</v>
      </c>
      <c r="O71" s="8"/>
    </row>
    <row r="72" spans="1:16" x14ac:dyDescent="0.2">
      <c r="A72" s="383">
        <v>1996</v>
      </c>
      <c r="B72" s="195" t="s">
        <v>29</v>
      </c>
      <c r="C72" s="195" t="s">
        <v>29</v>
      </c>
      <c r="D72" s="195" t="s">
        <v>29</v>
      </c>
      <c r="E72" s="195">
        <v>2415</v>
      </c>
      <c r="F72" s="195">
        <v>6491</v>
      </c>
      <c r="G72" s="195">
        <v>973</v>
      </c>
      <c r="H72" s="195">
        <v>2574</v>
      </c>
      <c r="I72" s="195">
        <v>1558</v>
      </c>
      <c r="J72" s="195" t="s">
        <v>29</v>
      </c>
      <c r="K72" s="195" t="s">
        <v>29</v>
      </c>
      <c r="L72" s="31">
        <f t="shared" si="2"/>
        <v>14011</v>
      </c>
    </row>
    <row r="73" spans="1:16" x14ac:dyDescent="0.2">
      <c r="A73" s="383">
        <v>1997</v>
      </c>
      <c r="B73" s="195" t="s">
        <v>29</v>
      </c>
      <c r="C73" s="195" t="s">
        <v>29</v>
      </c>
      <c r="D73" s="195" t="s">
        <v>29</v>
      </c>
      <c r="E73" s="195">
        <v>2452</v>
      </c>
      <c r="F73" s="195">
        <v>3445</v>
      </c>
      <c r="G73" s="195">
        <v>2113</v>
      </c>
      <c r="H73" s="195">
        <v>3990</v>
      </c>
      <c r="I73" s="195">
        <v>375</v>
      </c>
      <c r="J73" s="195" t="s">
        <v>29</v>
      </c>
      <c r="K73" s="195" t="s">
        <v>29</v>
      </c>
      <c r="L73" s="31">
        <f t="shared" si="2"/>
        <v>12375</v>
      </c>
    </row>
    <row r="74" spans="1:16" x14ac:dyDescent="0.2">
      <c r="A74" s="383">
        <v>1998</v>
      </c>
      <c r="B74" s="195" t="s">
        <v>29</v>
      </c>
      <c r="C74" s="195" t="s">
        <v>29</v>
      </c>
      <c r="D74" s="195" t="s">
        <v>29</v>
      </c>
      <c r="E74" s="195">
        <v>1885</v>
      </c>
      <c r="F74" s="195">
        <v>1789</v>
      </c>
      <c r="G74" s="195">
        <v>570</v>
      </c>
      <c r="H74" s="195">
        <v>2041</v>
      </c>
      <c r="I74" s="195">
        <v>445</v>
      </c>
      <c r="J74" s="195" t="s">
        <v>29</v>
      </c>
      <c r="K74" s="195" t="s">
        <v>29</v>
      </c>
      <c r="L74" s="31">
        <f t="shared" si="2"/>
        <v>6730</v>
      </c>
    </row>
    <row r="75" spans="1:16" x14ac:dyDescent="0.2">
      <c r="A75" s="383">
        <v>1999</v>
      </c>
      <c r="B75" s="195" t="s">
        <v>29</v>
      </c>
      <c r="C75" s="195" t="s">
        <v>29</v>
      </c>
      <c r="D75" s="195" t="s">
        <v>29</v>
      </c>
      <c r="E75" s="195">
        <v>105</v>
      </c>
      <c r="F75" s="195">
        <v>4136</v>
      </c>
      <c r="G75" s="195">
        <v>2126</v>
      </c>
      <c r="H75" s="195">
        <v>5242</v>
      </c>
      <c r="I75" s="195">
        <v>376</v>
      </c>
      <c r="J75" s="195" t="s">
        <v>29</v>
      </c>
      <c r="K75" s="195" t="s">
        <v>29</v>
      </c>
      <c r="L75" s="31">
        <f t="shared" si="2"/>
        <v>11985</v>
      </c>
    </row>
    <row r="76" spans="1:16" x14ac:dyDescent="0.2">
      <c r="A76" s="383">
        <v>2000</v>
      </c>
      <c r="B76" s="195" t="s">
        <v>29</v>
      </c>
      <c r="C76" s="195" t="s">
        <v>29</v>
      </c>
      <c r="D76" s="195" t="s">
        <v>29</v>
      </c>
      <c r="E76" s="195">
        <v>840</v>
      </c>
      <c r="F76" s="195">
        <v>3179</v>
      </c>
      <c r="G76" s="195">
        <v>3007</v>
      </c>
      <c r="H76" s="195">
        <v>5226</v>
      </c>
      <c r="I76" s="195">
        <v>860</v>
      </c>
      <c r="J76" s="195" t="s">
        <v>29</v>
      </c>
      <c r="K76" s="195" t="s">
        <v>29</v>
      </c>
      <c r="L76" s="31">
        <f t="shared" si="2"/>
        <v>13112</v>
      </c>
    </row>
    <row r="77" spans="1:16" x14ac:dyDescent="0.2">
      <c r="A77" s="383">
        <v>2001</v>
      </c>
      <c r="B77" s="195" t="s">
        <v>29</v>
      </c>
      <c r="C77" s="195" t="s">
        <v>29</v>
      </c>
      <c r="D77" s="195" t="s">
        <v>29</v>
      </c>
      <c r="E77" s="195">
        <v>1994</v>
      </c>
      <c r="F77" s="195">
        <v>5297</v>
      </c>
      <c r="G77" s="195">
        <v>3854</v>
      </c>
      <c r="H77" s="195">
        <v>3855</v>
      </c>
      <c r="I77" s="195">
        <v>1048</v>
      </c>
      <c r="J77" s="195" t="s">
        <v>29</v>
      </c>
      <c r="K77" s="195" t="s">
        <v>29</v>
      </c>
      <c r="L77" s="31">
        <f t="shared" si="2"/>
        <v>16048</v>
      </c>
    </row>
    <row r="78" spans="1:16" x14ac:dyDescent="0.2">
      <c r="A78" s="383">
        <v>2002</v>
      </c>
      <c r="B78" s="195" t="s">
        <v>29</v>
      </c>
      <c r="C78" s="195" t="s">
        <v>29</v>
      </c>
      <c r="D78" s="195" t="s">
        <v>29</v>
      </c>
      <c r="E78" s="195">
        <v>2186</v>
      </c>
      <c r="F78" s="195">
        <v>5379</v>
      </c>
      <c r="G78" s="195">
        <v>599</v>
      </c>
      <c r="H78" s="195">
        <v>7428</v>
      </c>
      <c r="I78" s="195">
        <v>2082</v>
      </c>
      <c r="J78" s="195" t="s">
        <v>29</v>
      </c>
      <c r="K78" s="195" t="s">
        <v>29</v>
      </c>
      <c r="L78" s="31">
        <f t="shared" si="2"/>
        <v>17674</v>
      </c>
    </row>
    <row r="79" spans="1:16" x14ac:dyDescent="0.2">
      <c r="A79" s="383">
        <v>2003</v>
      </c>
      <c r="B79" s="195" t="s">
        <v>29</v>
      </c>
      <c r="C79" s="195" t="s">
        <v>29</v>
      </c>
      <c r="D79" s="195" t="s">
        <v>29</v>
      </c>
      <c r="E79" s="195">
        <v>2226</v>
      </c>
      <c r="F79" s="195">
        <v>3102</v>
      </c>
      <c r="G79" s="195">
        <v>2915</v>
      </c>
      <c r="H79" s="195">
        <v>4176</v>
      </c>
      <c r="I79" s="195">
        <v>1164</v>
      </c>
      <c r="J79" s="195" t="s">
        <v>29</v>
      </c>
      <c r="K79" s="195" t="s">
        <v>29</v>
      </c>
      <c r="L79" s="31">
        <f t="shared" si="2"/>
        <v>13583</v>
      </c>
    </row>
    <row r="80" spans="1:16" x14ac:dyDescent="0.2">
      <c r="A80" s="383">
        <v>2004</v>
      </c>
      <c r="B80" s="195" t="s">
        <v>29</v>
      </c>
      <c r="C80" s="195" t="s">
        <v>29</v>
      </c>
      <c r="D80" s="195" t="s">
        <v>29</v>
      </c>
      <c r="E80" s="195">
        <v>3995</v>
      </c>
      <c r="F80" s="195">
        <v>3367</v>
      </c>
      <c r="G80" s="195">
        <v>4725</v>
      </c>
      <c r="H80" s="195">
        <v>8211</v>
      </c>
      <c r="I80" s="195">
        <v>2147</v>
      </c>
      <c r="J80" s="195" t="s">
        <v>29</v>
      </c>
      <c r="K80" s="195" t="s">
        <v>29</v>
      </c>
      <c r="L80" s="31">
        <f t="shared" si="2"/>
        <v>22445</v>
      </c>
    </row>
    <row r="81" spans="1:12" x14ac:dyDescent="0.2">
      <c r="A81" s="383">
        <v>2005</v>
      </c>
      <c r="B81" s="195" t="s">
        <v>29</v>
      </c>
      <c r="C81" s="195" t="s">
        <v>29</v>
      </c>
      <c r="D81" s="195" t="s">
        <v>29</v>
      </c>
      <c r="E81" s="195">
        <v>1143</v>
      </c>
      <c r="F81" s="195">
        <v>4795</v>
      </c>
      <c r="G81" s="195">
        <v>1160</v>
      </c>
      <c r="H81" s="195">
        <v>5075</v>
      </c>
      <c r="I81" s="195">
        <v>2654</v>
      </c>
      <c r="J81" s="195" t="s">
        <v>29</v>
      </c>
      <c r="K81" s="195" t="s">
        <v>29</v>
      </c>
      <c r="L81" s="31">
        <f t="shared" si="2"/>
        <v>14827</v>
      </c>
    </row>
    <row r="82" spans="1:12" x14ac:dyDescent="0.2">
      <c r="A82" s="383">
        <v>2006</v>
      </c>
      <c r="B82" s="195" t="s">
        <v>29</v>
      </c>
      <c r="C82" s="195" t="s">
        <v>29</v>
      </c>
      <c r="D82" s="195" t="s">
        <v>29</v>
      </c>
      <c r="E82" s="195">
        <v>3951</v>
      </c>
      <c r="F82" s="195">
        <v>5208</v>
      </c>
      <c r="G82" s="195">
        <v>2146</v>
      </c>
      <c r="H82" s="195" t="s">
        <v>29</v>
      </c>
      <c r="I82" s="195">
        <v>3668</v>
      </c>
      <c r="J82" s="195" t="s">
        <v>29</v>
      </c>
      <c r="K82" s="195" t="s">
        <v>29</v>
      </c>
      <c r="L82" s="31">
        <v>14973</v>
      </c>
    </row>
    <row r="83" spans="1:12" s="374" customFormat="1" x14ac:dyDescent="0.2">
      <c r="A83" s="402">
        <v>2007</v>
      </c>
      <c r="B83" s="196" t="s">
        <v>29</v>
      </c>
      <c r="C83" s="196" t="s">
        <v>29</v>
      </c>
      <c r="D83" s="196" t="s">
        <v>29</v>
      </c>
      <c r="E83" s="196">
        <v>1737</v>
      </c>
      <c r="F83" s="196">
        <v>4987</v>
      </c>
      <c r="G83" s="196">
        <v>4914</v>
      </c>
      <c r="H83" s="196">
        <v>5212</v>
      </c>
      <c r="I83" s="196">
        <v>1511</v>
      </c>
      <c r="J83" s="196" t="s">
        <v>29</v>
      </c>
      <c r="K83" s="196" t="s">
        <v>29</v>
      </c>
      <c r="L83" s="52">
        <f>SUM(B83:K83)</f>
        <v>18361</v>
      </c>
    </row>
    <row r="84" spans="1:12" s="374" customFormat="1" x14ac:dyDescent="0.2">
      <c r="A84" s="402">
        <v>2008</v>
      </c>
      <c r="B84" s="196" t="s">
        <v>29</v>
      </c>
      <c r="C84" s="196" t="s">
        <v>29</v>
      </c>
      <c r="D84" s="196" t="s">
        <v>29</v>
      </c>
      <c r="E84" s="196" t="s">
        <v>29</v>
      </c>
      <c r="F84" s="196" t="s">
        <v>29</v>
      </c>
      <c r="G84" s="196" t="s">
        <v>29</v>
      </c>
      <c r="H84" s="196" t="s">
        <v>29</v>
      </c>
      <c r="I84" s="196" t="s">
        <v>29</v>
      </c>
      <c r="J84" s="196" t="s">
        <v>29</v>
      </c>
      <c r="K84" s="196" t="s">
        <v>29</v>
      </c>
      <c r="L84" s="52" t="s">
        <v>29</v>
      </c>
    </row>
    <row r="85" spans="1:12" s="374" customFormat="1" x14ac:dyDescent="0.2">
      <c r="A85" s="402">
        <v>2009</v>
      </c>
      <c r="B85" s="196" t="s">
        <v>29</v>
      </c>
      <c r="C85" s="196" t="s">
        <v>29</v>
      </c>
      <c r="D85" s="196" t="s">
        <v>29</v>
      </c>
      <c r="E85" s="196" t="s">
        <v>29</v>
      </c>
      <c r="F85" s="196" t="s">
        <v>29</v>
      </c>
      <c r="G85" s="196" t="s">
        <v>29</v>
      </c>
      <c r="H85" s="196">
        <v>2017</v>
      </c>
      <c r="I85" s="196">
        <v>2237</v>
      </c>
      <c r="J85" s="196" t="s">
        <v>29</v>
      </c>
      <c r="K85" s="196" t="s">
        <v>29</v>
      </c>
      <c r="L85" s="52">
        <f t="shared" ref="L85:L90" si="3">SUM(B85:K85)</f>
        <v>4254</v>
      </c>
    </row>
    <row r="86" spans="1:12" s="374" customFormat="1" x14ac:dyDescent="0.2">
      <c r="A86" s="122">
        <v>2010</v>
      </c>
      <c r="B86" s="196" t="s">
        <v>29</v>
      </c>
      <c r="C86" s="196" t="s">
        <v>29</v>
      </c>
      <c r="D86" s="196" t="s">
        <v>29</v>
      </c>
      <c r="E86" s="196">
        <v>464</v>
      </c>
      <c r="F86" s="196">
        <v>638</v>
      </c>
      <c r="G86" s="196">
        <v>897</v>
      </c>
      <c r="H86" s="196">
        <v>1841</v>
      </c>
      <c r="I86" s="196">
        <v>183</v>
      </c>
      <c r="J86" s="196" t="s">
        <v>29</v>
      </c>
      <c r="K86" s="196" t="s">
        <v>29</v>
      </c>
      <c r="L86" s="52">
        <f t="shared" si="3"/>
        <v>4023</v>
      </c>
    </row>
    <row r="87" spans="1:12" s="374" customFormat="1" x14ac:dyDescent="0.2">
      <c r="A87" s="402">
        <v>2011</v>
      </c>
      <c r="B87" s="196" t="s">
        <v>29</v>
      </c>
      <c r="C87" s="196" t="s">
        <v>29</v>
      </c>
      <c r="D87" s="196" t="s">
        <v>29</v>
      </c>
      <c r="E87" s="196">
        <v>1664</v>
      </c>
      <c r="F87" s="196">
        <v>2574</v>
      </c>
      <c r="G87" s="196">
        <v>4625</v>
      </c>
      <c r="H87" s="196">
        <v>4597</v>
      </c>
      <c r="I87" s="196">
        <v>723</v>
      </c>
      <c r="J87" s="196" t="s">
        <v>29</v>
      </c>
      <c r="K87" s="196" t="s">
        <v>29</v>
      </c>
      <c r="L87" s="52">
        <f t="shared" si="3"/>
        <v>14183</v>
      </c>
    </row>
    <row r="88" spans="1:12" s="374" customFormat="1" x14ac:dyDescent="0.2">
      <c r="A88" s="402">
        <v>2012</v>
      </c>
      <c r="B88" s="196" t="s">
        <v>29</v>
      </c>
      <c r="C88" s="196" t="s">
        <v>29</v>
      </c>
      <c r="D88" s="196" t="s">
        <v>29</v>
      </c>
      <c r="E88" s="196">
        <v>2680</v>
      </c>
      <c r="F88" s="196">
        <v>6514</v>
      </c>
      <c r="G88" s="196">
        <v>5833</v>
      </c>
      <c r="H88" s="196">
        <v>6671</v>
      </c>
      <c r="I88" s="196">
        <v>1873</v>
      </c>
      <c r="J88" s="196" t="s">
        <v>29</v>
      </c>
      <c r="K88" s="196" t="s">
        <v>29</v>
      </c>
      <c r="L88" s="52">
        <f t="shared" si="3"/>
        <v>23571</v>
      </c>
    </row>
    <row r="89" spans="1:12" s="374" customFormat="1" x14ac:dyDescent="0.2">
      <c r="A89" s="402">
        <v>2013</v>
      </c>
      <c r="B89" s="196" t="s">
        <v>29</v>
      </c>
      <c r="C89" s="196" t="s">
        <v>29</v>
      </c>
      <c r="D89" s="196" t="s">
        <v>29</v>
      </c>
      <c r="E89" s="196">
        <v>2756</v>
      </c>
      <c r="F89" s="196">
        <v>5976</v>
      </c>
      <c r="G89" s="196">
        <v>6028</v>
      </c>
      <c r="H89" s="196">
        <v>7416</v>
      </c>
      <c r="I89" s="196">
        <v>614</v>
      </c>
      <c r="J89" s="196" t="s">
        <v>29</v>
      </c>
      <c r="K89" s="196" t="s">
        <v>29</v>
      </c>
      <c r="L89" s="52">
        <f t="shared" si="3"/>
        <v>22790</v>
      </c>
    </row>
    <row r="90" spans="1:12" s="374" customFormat="1" x14ac:dyDescent="0.2">
      <c r="A90" s="402">
        <v>2014</v>
      </c>
      <c r="B90" s="196" t="s">
        <v>29</v>
      </c>
      <c r="C90" s="196" t="s">
        <v>29</v>
      </c>
      <c r="D90" s="196" t="s">
        <v>29</v>
      </c>
      <c r="E90" s="196">
        <v>2710</v>
      </c>
      <c r="F90" s="196">
        <v>4157</v>
      </c>
      <c r="G90" s="196">
        <v>5170</v>
      </c>
      <c r="H90" s="196">
        <v>3580</v>
      </c>
      <c r="I90" s="196">
        <v>612</v>
      </c>
      <c r="J90" s="196" t="s">
        <v>29</v>
      </c>
      <c r="K90" s="196" t="s">
        <v>29</v>
      </c>
      <c r="L90" s="52">
        <f t="shared" si="3"/>
        <v>16229</v>
      </c>
    </row>
    <row r="91" spans="1:12" s="374" customFormat="1" x14ac:dyDescent="0.2">
      <c r="A91" s="122">
        <v>2015</v>
      </c>
      <c r="B91" s="196" t="s">
        <v>29</v>
      </c>
      <c r="C91" s="196" t="s">
        <v>29</v>
      </c>
      <c r="D91" s="196" t="s">
        <v>29</v>
      </c>
      <c r="E91" s="196">
        <v>2431</v>
      </c>
      <c r="F91" s="196">
        <v>1166</v>
      </c>
      <c r="G91" s="196">
        <v>2321</v>
      </c>
      <c r="H91" s="196">
        <v>2216</v>
      </c>
      <c r="I91" s="196">
        <v>164</v>
      </c>
      <c r="J91" s="196" t="s">
        <v>29</v>
      </c>
      <c r="K91" s="196" t="s">
        <v>29</v>
      </c>
      <c r="L91" s="52">
        <f>SUM(B91:K91)</f>
        <v>8298</v>
      </c>
    </row>
    <row r="92" spans="1:12" s="374" customFormat="1" x14ac:dyDescent="0.2">
      <c r="A92" s="122">
        <v>2016</v>
      </c>
      <c r="B92" s="196" t="s">
        <v>29</v>
      </c>
      <c r="C92" s="196" t="s">
        <v>29</v>
      </c>
      <c r="D92" s="196" t="s">
        <v>29</v>
      </c>
      <c r="E92" s="196">
        <v>1579</v>
      </c>
      <c r="F92" s="196">
        <v>1933</v>
      </c>
      <c r="G92" s="196">
        <v>2380</v>
      </c>
      <c r="H92" s="196">
        <v>1888</v>
      </c>
      <c r="I92" s="196">
        <v>610</v>
      </c>
      <c r="J92" s="196" t="s">
        <v>29</v>
      </c>
      <c r="K92" s="196" t="s">
        <v>29</v>
      </c>
      <c r="L92" s="52">
        <f>SUM(B92:K92)</f>
        <v>8390</v>
      </c>
    </row>
    <row r="93" spans="1:12" s="374" customFormat="1" x14ac:dyDescent="0.2">
      <c r="A93" s="122">
        <v>2017</v>
      </c>
      <c r="B93" s="196" t="s">
        <v>29</v>
      </c>
      <c r="C93" s="196" t="s">
        <v>29</v>
      </c>
      <c r="D93" s="196" t="s">
        <v>29</v>
      </c>
      <c r="E93" s="196" t="s">
        <v>29</v>
      </c>
      <c r="F93" s="196" t="s">
        <v>29</v>
      </c>
      <c r="G93" s="196" t="s">
        <v>29</v>
      </c>
      <c r="H93" s="196" t="s">
        <v>29</v>
      </c>
      <c r="I93" s="196" t="s">
        <v>29</v>
      </c>
      <c r="J93" s="196" t="s">
        <v>29</v>
      </c>
      <c r="K93" s="196" t="s">
        <v>29</v>
      </c>
      <c r="L93" s="196" t="s">
        <v>29</v>
      </c>
    </row>
    <row r="94" spans="1:12" s="374" customFormat="1" x14ac:dyDescent="0.2">
      <c r="A94" s="122">
        <v>2018</v>
      </c>
      <c r="B94" s="196" t="s">
        <v>29</v>
      </c>
      <c r="C94" s="196" t="s">
        <v>29</v>
      </c>
      <c r="D94" s="196" t="s">
        <v>29</v>
      </c>
      <c r="E94" s="196" t="s">
        <v>29</v>
      </c>
      <c r="F94" s="196">
        <v>2298</v>
      </c>
      <c r="G94" s="196">
        <v>2067</v>
      </c>
      <c r="H94" s="196">
        <v>1593</v>
      </c>
      <c r="I94" s="196">
        <v>48</v>
      </c>
      <c r="J94" s="196" t="s">
        <v>29</v>
      </c>
      <c r="K94" s="196" t="s">
        <v>29</v>
      </c>
      <c r="L94" s="52">
        <f>SUM(B94:K94)</f>
        <v>6006</v>
      </c>
    </row>
    <row r="95" spans="1:12" s="487" customFormat="1" x14ac:dyDescent="0.2">
      <c r="A95" s="496" t="s">
        <v>398</v>
      </c>
      <c r="B95" s="196" t="s">
        <v>29</v>
      </c>
      <c r="C95" s="196" t="s">
        <v>29</v>
      </c>
      <c r="D95" s="196" t="s">
        <v>29</v>
      </c>
      <c r="E95" s="196">
        <v>349</v>
      </c>
      <c r="F95" s="196">
        <v>2601</v>
      </c>
      <c r="G95" s="196">
        <v>2535</v>
      </c>
      <c r="H95" s="196">
        <v>1617</v>
      </c>
      <c r="I95" s="196">
        <v>99</v>
      </c>
      <c r="J95" s="196" t="s">
        <v>29</v>
      </c>
      <c r="K95" s="196" t="s">
        <v>29</v>
      </c>
      <c r="L95" s="52">
        <f>SUM(B95:K95)</f>
        <v>7201</v>
      </c>
    </row>
    <row r="96" spans="1:12" x14ac:dyDescent="0.2">
      <c r="A96" s="496" t="s">
        <v>399</v>
      </c>
      <c r="B96" s="195" t="s">
        <v>29</v>
      </c>
      <c r="C96" s="195" t="s">
        <v>29</v>
      </c>
      <c r="D96" s="196" t="s">
        <v>29</v>
      </c>
      <c r="E96" s="196" t="s">
        <v>29</v>
      </c>
      <c r="F96" s="196" t="s">
        <v>116</v>
      </c>
      <c r="G96" s="196">
        <v>2939</v>
      </c>
      <c r="H96" s="196">
        <v>847</v>
      </c>
      <c r="I96" s="196" t="s">
        <v>29</v>
      </c>
      <c r="J96" s="196" t="s">
        <v>29</v>
      </c>
      <c r="K96" s="196" t="s">
        <v>29</v>
      </c>
      <c r="L96" s="52">
        <f>SUM(B96:K96)</f>
        <v>3786</v>
      </c>
    </row>
    <row r="97" spans="1:22" x14ac:dyDescent="0.2">
      <c r="B97" s="195"/>
      <c r="C97" s="195"/>
      <c r="D97" s="195"/>
      <c r="E97" s="195"/>
      <c r="F97" s="195"/>
      <c r="G97" s="195"/>
      <c r="H97" s="195"/>
      <c r="I97" s="195"/>
      <c r="J97" s="195"/>
      <c r="K97" s="195"/>
      <c r="L97" s="31"/>
    </row>
    <row r="98" spans="1:22" x14ac:dyDescent="0.2">
      <c r="A98" s="116" t="s">
        <v>24</v>
      </c>
      <c r="B98" s="195"/>
      <c r="C98" s="195"/>
      <c r="D98" s="195"/>
      <c r="E98" s="195"/>
      <c r="F98" s="195"/>
      <c r="G98" s="195"/>
      <c r="H98" s="195"/>
      <c r="I98" s="195"/>
      <c r="J98" s="195"/>
      <c r="K98" s="195"/>
      <c r="L98" s="31"/>
    </row>
    <row r="99" spans="1:22" x14ac:dyDescent="0.2">
      <c r="A99" s="383">
        <v>1976</v>
      </c>
      <c r="B99" s="194" t="s">
        <v>116</v>
      </c>
      <c r="C99" s="194" t="s">
        <v>116</v>
      </c>
      <c r="D99" s="195">
        <v>0</v>
      </c>
      <c r="E99" s="195">
        <v>210</v>
      </c>
      <c r="F99" s="195">
        <v>2614</v>
      </c>
      <c r="G99" s="195">
        <v>9773</v>
      </c>
      <c r="H99" s="195">
        <v>4409</v>
      </c>
      <c r="I99" s="195">
        <v>22</v>
      </c>
      <c r="J99" s="195">
        <v>4</v>
      </c>
      <c r="K99" s="195">
        <v>0</v>
      </c>
      <c r="L99" s="31">
        <f t="shared" ref="L99:L128" si="4">SUM(B99:K99)</f>
        <v>17032</v>
      </c>
    </row>
    <row r="100" spans="1:22" x14ac:dyDescent="0.2">
      <c r="A100" s="383">
        <v>1977</v>
      </c>
      <c r="B100" s="194" t="s">
        <v>116</v>
      </c>
      <c r="C100" s="194" t="s">
        <v>116</v>
      </c>
      <c r="D100" s="195">
        <v>0</v>
      </c>
      <c r="E100" s="195">
        <v>314</v>
      </c>
      <c r="F100" s="195">
        <v>812</v>
      </c>
      <c r="G100" s="195">
        <v>5304</v>
      </c>
      <c r="H100" s="195">
        <v>7452</v>
      </c>
      <c r="I100" s="195">
        <v>1788</v>
      </c>
      <c r="J100" s="195">
        <v>0</v>
      </c>
      <c r="K100" s="195">
        <v>0</v>
      </c>
      <c r="L100" s="31">
        <f t="shared" si="4"/>
        <v>15670</v>
      </c>
    </row>
    <row r="101" spans="1:22" x14ac:dyDescent="0.2">
      <c r="A101" s="383">
        <v>1978</v>
      </c>
      <c r="B101" s="194" t="s">
        <v>116</v>
      </c>
      <c r="C101" s="194" t="s">
        <v>116</v>
      </c>
      <c r="D101" s="195">
        <v>2</v>
      </c>
      <c r="E101" s="195">
        <v>63</v>
      </c>
      <c r="F101" s="195">
        <v>1928</v>
      </c>
      <c r="G101" s="195">
        <v>5224</v>
      </c>
      <c r="H101" s="195">
        <v>2256</v>
      </c>
      <c r="I101" s="195">
        <v>0</v>
      </c>
      <c r="J101" s="195">
        <v>0</v>
      </c>
      <c r="K101" s="195">
        <v>0</v>
      </c>
      <c r="L101" s="31">
        <f t="shared" si="4"/>
        <v>9473</v>
      </c>
    </row>
    <row r="102" spans="1:22" x14ac:dyDescent="0.2">
      <c r="A102" s="383">
        <v>1979</v>
      </c>
      <c r="B102" s="194" t="s">
        <v>116</v>
      </c>
      <c r="C102" s="194" t="s">
        <v>116</v>
      </c>
      <c r="D102" s="195">
        <v>0</v>
      </c>
      <c r="E102" s="195">
        <v>0</v>
      </c>
      <c r="F102" s="195">
        <v>1358</v>
      </c>
      <c r="G102" s="195">
        <v>4223</v>
      </c>
      <c r="H102" s="195">
        <v>3387</v>
      </c>
      <c r="I102" s="195">
        <v>852</v>
      </c>
      <c r="J102" s="195">
        <v>0</v>
      </c>
      <c r="K102" s="195" t="s">
        <v>29</v>
      </c>
      <c r="L102" s="31">
        <f t="shared" si="4"/>
        <v>9820</v>
      </c>
    </row>
    <row r="103" spans="1:22" x14ac:dyDescent="0.2">
      <c r="A103" s="383">
        <v>1980</v>
      </c>
      <c r="B103" s="194" t="s">
        <v>116</v>
      </c>
      <c r="C103" s="194" t="s">
        <v>116</v>
      </c>
      <c r="D103" s="195">
        <v>0</v>
      </c>
      <c r="E103" s="195">
        <v>0</v>
      </c>
      <c r="F103" s="195">
        <v>1550</v>
      </c>
      <c r="G103" s="195">
        <v>3525</v>
      </c>
      <c r="H103" s="195">
        <v>1010</v>
      </c>
      <c r="I103" s="195">
        <v>316</v>
      </c>
      <c r="J103" s="195">
        <v>0</v>
      </c>
      <c r="K103" s="195" t="s">
        <v>29</v>
      </c>
      <c r="L103" s="31">
        <f t="shared" si="4"/>
        <v>6401</v>
      </c>
    </row>
    <row r="104" spans="1:22" x14ac:dyDescent="0.2">
      <c r="A104" s="383">
        <v>1981</v>
      </c>
      <c r="B104" s="194" t="s">
        <v>116</v>
      </c>
      <c r="C104" s="194" t="s">
        <v>116</v>
      </c>
      <c r="D104" s="195">
        <v>4</v>
      </c>
      <c r="E104" s="195">
        <v>111</v>
      </c>
      <c r="F104" s="195">
        <v>1838</v>
      </c>
      <c r="G104" s="195">
        <v>3668</v>
      </c>
      <c r="H104" s="195">
        <v>2416</v>
      </c>
      <c r="I104" s="195">
        <v>48</v>
      </c>
      <c r="J104" s="195">
        <v>12</v>
      </c>
      <c r="K104" s="195">
        <v>0</v>
      </c>
      <c r="L104" s="31">
        <f t="shared" si="4"/>
        <v>8097</v>
      </c>
    </row>
    <row r="105" spans="1:22" x14ac:dyDescent="0.2">
      <c r="A105" s="383">
        <v>1982</v>
      </c>
      <c r="B105" s="194" t="s">
        <v>116</v>
      </c>
      <c r="C105" s="194" t="s">
        <v>116</v>
      </c>
      <c r="D105" s="195">
        <v>0</v>
      </c>
      <c r="E105" s="195">
        <v>85</v>
      </c>
      <c r="F105" s="195">
        <v>2633</v>
      </c>
      <c r="G105" s="195">
        <v>4312</v>
      </c>
      <c r="H105" s="195">
        <v>3120</v>
      </c>
      <c r="I105" s="195">
        <v>205</v>
      </c>
      <c r="J105" s="195">
        <v>0</v>
      </c>
      <c r="K105" s="195">
        <v>0</v>
      </c>
      <c r="L105" s="31">
        <f t="shared" si="4"/>
        <v>10355</v>
      </c>
    </row>
    <row r="106" spans="1:22" x14ac:dyDescent="0.2">
      <c r="A106" s="383">
        <v>1983</v>
      </c>
      <c r="B106" s="194" t="s">
        <v>116</v>
      </c>
      <c r="C106" s="194" t="s">
        <v>116</v>
      </c>
      <c r="D106" s="195">
        <v>0</v>
      </c>
      <c r="E106" s="195">
        <v>11</v>
      </c>
      <c r="F106" s="195">
        <v>1819</v>
      </c>
      <c r="G106" s="195">
        <v>4914</v>
      </c>
      <c r="H106" s="195">
        <v>1556</v>
      </c>
      <c r="I106" s="195">
        <v>61</v>
      </c>
      <c r="J106" s="195">
        <v>0</v>
      </c>
      <c r="K106" s="195">
        <v>0</v>
      </c>
      <c r="L106" s="31">
        <f t="shared" si="4"/>
        <v>8361</v>
      </c>
    </row>
    <row r="107" spans="1:22" x14ac:dyDescent="0.2">
      <c r="A107" s="383">
        <v>1984</v>
      </c>
      <c r="B107" s="194" t="s">
        <v>116</v>
      </c>
      <c r="C107" s="194" t="s">
        <v>116</v>
      </c>
      <c r="D107" s="195">
        <v>2</v>
      </c>
      <c r="E107" s="195">
        <v>3</v>
      </c>
      <c r="F107" s="195">
        <v>1138</v>
      </c>
      <c r="G107" s="195">
        <v>3349</v>
      </c>
      <c r="H107" s="195">
        <v>1462</v>
      </c>
      <c r="I107" s="195">
        <v>61</v>
      </c>
      <c r="J107" s="195">
        <v>0</v>
      </c>
      <c r="K107" s="195">
        <v>0</v>
      </c>
      <c r="L107" s="31">
        <f t="shared" si="4"/>
        <v>6015</v>
      </c>
    </row>
    <row r="108" spans="1:22" x14ac:dyDescent="0.2">
      <c r="A108" s="383">
        <v>1985</v>
      </c>
      <c r="B108" s="194" t="s">
        <v>116</v>
      </c>
      <c r="C108" s="194" t="s">
        <v>116</v>
      </c>
      <c r="D108" s="195">
        <v>6</v>
      </c>
      <c r="E108" s="195">
        <v>55</v>
      </c>
      <c r="F108" s="195">
        <v>3800</v>
      </c>
      <c r="G108" s="195">
        <v>8951</v>
      </c>
      <c r="H108" s="195">
        <v>1817</v>
      </c>
      <c r="I108" s="195">
        <v>317</v>
      </c>
      <c r="J108" s="195">
        <v>9</v>
      </c>
      <c r="K108" s="195">
        <v>0</v>
      </c>
      <c r="L108" s="31">
        <f t="shared" si="4"/>
        <v>14955</v>
      </c>
    </row>
    <row r="109" spans="1:22" x14ac:dyDescent="0.2">
      <c r="A109" s="383">
        <v>1986</v>
      </c>
      <c r="B109" s="194" t="s">
        <v>116</v>
      </c>
      <c r="C109" s="194" t="s">
        <v>116</v>
      </c>
      <c r="D109" s="195">
        <v>10</v>
      </c>
      <c r="E109" s="195">
        <v>233</v>
      </c>
      <c r="F109" s="195">
        <v>3874</v>
      </c>
      <c r="G109" s="195">
        <v>6561</v>
      </c>
      <c r="H109" s="195">
        <v>2584</v>
      </c>
      <c r="I109" s="195">
        <v>12</v>
      </c>
      <c r="J109" s="195">
        <v>0</v>
      </c>
      <c r="K109" s="195">
        <v>0</v>
      </c>
      <c r="L109" s="31">
        <f t="shared" si="4"/>
        <v>13274</v>
      </c>
      <c r="M109" s="8"/>
      <c r="N109" s="8"/>
      <c r="U109" s="8"/>
      <c r="V109" s="8"/>
    </row>
    <row r="110" spans="1:22" x14ac:dyDescent="0.2">
      <c r="A110" s="383">
        <v>1987</v>
      </c>
      <c r="B110" s="195">
        <v>0</v>
      </c>
      <c r="C110" s="195">
        <v>6</v>
      </c>
      <c r="D110" s="195">
        <v>79</v>
      </c>
      <c r="E110" s="195">
        <v>231</v>
      </c>
      <c r="F110" s="195">
        <v>2904</v>
      </c>
      <c r="G110" s="195">
        <v>7248</v>
      </c>
      <c r="H110" s="195">
        <v>2362</v>
      </c>
      <c r="I110" s="195">
        <v>1146</v>
      </c>
      <c r="J110" s="195">
        <v>0</v>
      </c>
      <c r="K110" s="195">
        <v>0</v>
      </c>
      <c r="L110" s="31">
        <f t="shared" si="4"/>
        <v>13976</v>
      </c>
      <c r="M110" s="8"/>
      <c r="U110" s="8"/>
      <c r="V110" s="8"/>
    </row>
    <row r="111" spans="1:22" x14ac:dyDescent="0.2">
      <c r="A111" s="383">
        <v>1988</v>
      </c>
      <c r="B111" s="195">
        <v>0</v>
      </c>
      <c r="C111" s="195">
        <v>0</v>
      </c>
      <c r="D111" s="195">
        <v>205</v>
      </c>
      <c r="E111" s="195">
        <v>1505</v>
      </c>
      <c r="F111" s="195">
        <v>4543</v>
      </c>
      <c r="G111" s="195">
        <v>8010</v>
      </c>
      <c r="H111" s="195">
        <v>2714</v>
      </c>
      <c r="I111" s="195">
        <v>789</v>
      </c>
      <c r="J111" s="195">
        <v>0</v>
      </c>
      <c r="K111" s="195">
        <v>0</v>
      </c>
      <c r="L111" s="31">
        <f t="shared" si="4"/>
        <v>17766</v>
      </c>
      <c r="M111" s="8"/>
      <c r="N111" s="8"/>
      <c r="U111" s="8"/>
      <c r="V111" s="8"/>
    </row>
    <row r="112" spans="1:22" x14ac:dyDescent="0.2">
      <c r="A112" s="383">
        <v>1989</v>
      </c>
      <c r="B112" s="195">
        <v>0</v>
      </c>
      <c r="C112" s="195">
        <v>0</v>
      </c>
      <c r="D112" s="195">
        <v>106</v>
      </c>
      <c r="E112" s="195">
        <v>1388</v>
      </c>
      <c r="F112" s="195">
        <v>5705</v>
      </c>
      <c r="G112" s="195">
        <v>6459</v>
      </c>
      <c r="H112" s="195">
        <v>2830</v>
      </c>
      <c r="I112" s="195">
        <v>1036</v>
      </c>
      <c r="J112" s="195">
        <v>21</v>
      </c>
      <c r="K112" s="195">
        <v>0</v>
      </c>
      <c r="L112" s="31">
        <f t="shared" si="4"/>
        <v>17545</v>
      </c>
      <c r="M112" s="8"/>
      <c r="N112" s="8"/>
      <c r="V112" s="8"/>
    </row>
    <row r="113" spans="1:22" x14ac:dyDescent="0.2">
      <c r="A113" s="383">
        <v>1990</v>
      </c>
      <c r="B113" s="195">
        <v>0</v>
      </c>
      <c r="C113" s="195">
        <v>0</v>
      </c>
      <c r="D113" s="195">
        <v>1</v>
      </c>
      <c r="E113" s="195">
        <v>168</v>
      </c>
      <c r="F113" s="195">
        <v>5389</v>
      </c>
      <c r="G113" s="195">
        <v>6995</v>
      </c>
      <c r="H113" s="195">
        <v>1828</v>
      </c>
      <c r="I113" s="195">
        <v>265</v>
      </c>
      <c r="J113" s="195">
        <v>0</v>
      </c>
      <c r="K113" s="195">
        <v>0</v>
      </c>
      <c r="L113" s="31">
        <f t="shared" si="4"/>
        <v>14646</v>
      </c>
      <c r="M113" s="8"/>
      <c r="N113" s="8"/>
      <c r="U113" s="8"/>
      <c r="V113" s="8"/>
    </row>
    <row r="114" spans="1:22" x14ac:dyDescent="0.2">
      <c r="A114" s="383">
        <v>1991</v>
      </c>
      <c r="B114" s="194" t="s">
        <v>116</v>
      </c>
      <c r="C114" s="194" t="s">
        <v>116</v>
      </c>
      <c r="D114" s="195">
        <v>21</v>
      </c>
      <c r="E114" s="195">
        <v>859</v>
      </c>
      <c r="F114" s="195">
        <v>6994</v>
      </c>
      <c r="G114" s="195">
        <v>11611</v>
      </c>
      <c r="H114" s="195">
        <v>3024</v>
      </c>
      <c r="I114" s="195">
        <v>116</v>
      </c>
      <c r="J114" s="194" t="s">
        <v>116</v>
      </c>
      <c r="K114" s="194" t="s">
        <v>116</v>
      </c>
      <c r="L114" s="31">
        <f t="shared" si="4"/>
        <v>22625</v>
      </c>
      <c r="M114" s="8"/>
      <c r="N114" s="8"/>
      <c r="U114" s="8"/>
      <c r="V114" s="8"/>
    </row>
    <row r="115" spans="1:22" x14ac:dyDescent="0.2">
      <c r="A115" s="383">
        <v>1992</v>
      </c>
      <c r="B115" s="194" t="s">
        <v>116</v>
      </c>
      <c r="C115" s="195">
        <v>49</v>
      </c>
      <c r="D115" s="195">
        <v>291</v>
      </c>
      <c r="E115" s="195">
        <v>2191</v>
      </c>
      <c r="F115" s="195">
        <v>340</v>
      </c>
      <c r="G115" s="195">
        <v>6271</v>
      </c>
      <c r="H115" s="195" t="s">
        <v>29</v>
      </c>
      <c r="I115" s="195">
        <v>1722</v>
      </c>
      <c r="J115" s="195">
        <v>369</v>
      </c>
      <c r="K115" s="195">
        <v>12</v>
      </c>
      <c r="L115" s="31">
        <f t="shared" si="4"/>
        <v>11245</v>
      </c>
      <c r="M115" s="8"/>
      <c r="S115" s="8"/>
    </row>
    <row r="116" spans="1:22" x14ac:dyDescent="0.2">
      <c r="A116" s="383">
        <v>1993</v>
      </c>
      <c r="B116" s="195">
        <v>47</v>
      </c>
      <c r="C116" s="195">
        <v>232</v>
      </c>
      <c r="D116" s="195">
        <v>449</v>
      </c>
      <c r="E116" s="195">
        <v>1291</v>
      </c>
      <c r="F116" s="195">
        <v>1964</v>
      </c>
      <c r="G116" s="195">
        <v>9428</v>
      </c>
      <c r="H116" s="195">
        <v>4641</v>
      </c>
      <c r="I116" s="195">
        <v>1206</v>
      </c>
      <c r="J116" s="195">
        <v>82</v>
      </c>
      <c r="K116" s="195">
        <v>0</v>
      </c>
      <c r="L116" s="31">
        <f t="shared" si="4"/>
        <v>19340</v>
      </c>
      <c r="V116" s="8"/>
    </row>
    <row r="117" spans="1:22" x14ac:dyDescent="0.2">
      <c r="A117" s="383">
        <v>1994</v>
      </c>
      <c r="B117" s="195">
        <v>76</v>
      </c>
      <c r="C117" s="195">
        <v>443</v>
      </c>
      <c r="D117" s="195">
        <v>1324</v>
      </c>
      <c r="E117" s="195">
        <v>4173</v>
      </c>
      <c r="F117" s="195">
        <v>8401</v>
      </c>
      <c r="G117" s="195" t="s">
        <v>29</v>
      </c>
      <c r="H117" s="195">
        <v>5051</v>
      </c>
      <c r="I117" s="195">
        <v>895</v>
      </c>
      <c r="J117" s="195">
        <v>40</v>
      </c>
      <c r="K117" s="194" t="s">
        <v>116</v>
      </c>
      <c r="L117" s="31">
        <f t="shared" si="4"/>
        <v>20403</v>
      </c>
      <c r="R117" s="8"/>
      <c r="V117" s="8"/>
    </row>
    <row r="118" spans="1:22" x14ac:dyDescent="0.2">
      <c r="A118" s="383">
        <v>1995</v>
      </c>
      <c r="B118" s="195">
        <v>360</v>
      </c>
      <c r="C118" s="195">
        <v>529</v>
      </c>
      <c r="D118" s="195">
        <v>1639</v>
      </c>
      <c r="E118" s="195">
        <v>1489</v>
      </c>
      <c r="F118" s="195">
        <v>12988</v>
      </c>
      <c r="G118" s="195" t="s">
        <v>29</v>
      </c>
      <c r="H118" s="195">
        <v>8993</v>
      </c>
      <c r="I118" s="195">
        <v>2639</v>
      </c>
      <c r="J118" s="195">
        <v>614</v>
      </c>
      <c r="K118" s="194" t="s">
        <v>116</v>
      </c>
      <c r="L118" s="31">
        <f t="shared" si="4"/>
        <v>29251</v>
      </c>
      <c r="R118" s="8"/>
      <c r="V118" s="8"/>
    </row>
    <row r="119" spans="1:22" x14ac:dyDescent="0.2">
      <c r="A119" s="383">
        <v>1996</v>
      </c>
      <c r="B119" s="195">
        <v>49</v>
      </c>
      <c r="C119" s="195">
        <v>947</v>
      </c>
      <c r="D119" s="195">
        <v>1938</v>
      </c>
      <c r="E119" s="195">
        <v>2857</v>
      </c>
      <c r="F119" s="195">
        <v>12018</v>
      </c>
      <c r="G119" s="195">
        <v>2960</v>
      </c>
      <c r="H119" s="195">
        <v>6982</v>
      </c>
      <c r="I119" s="195">
        <v>2794</v>
      </c>
      <c r="J119" s="195">
        <v>744</v>
      </c>
      <c r="K119" s="194" t="s">
        <v>116</v>
      </c>
      <c r="L119" s="31">
        <f t="shared" si="4"/>
        <v>31289</v>
      </c>
    </row>
    <row r="120" spans="1:22" x14ac:dyDescent="0.2">
      <c r="A120" s="383">
        <v>1997</v>
      </c>
      <c r="B120" s="194" t="s">
        <v>116</v>
      </c>
      <c r="C120" s="195">
        <v>430</v>
      </c>
      <c r="D120" s="195">
        <v>1131</v>
      </c>
      <c r="E120" s="195">
        <v>4003</v>
      </c>
      <c r="F120" s="195">
        <v>6813</v>
      </c>
      <c r="G120" s="195">
        <v>3476</v>
      </c>
      <c r="H120" s="195">
        <v>4089</v>
      </c>
      <c r="I120" s="195">
        <v>268</v>
      </c>
      <c r="J120" s="194" t="s">
        <v>116</v>
      </c>
      <c r="K120" s="194" t="s">
        <v>116</v>
      </c>
      <c r="L120" s="31">
        <f t="shared" si="4"/>
        <v>20210</v>
      </c>
      <c r="M120" s="8"/>
      <c r="U120" s="8"/>
      <c r="V120" s="8"/>
    </row>
    <row r="121" spans="1:22" x14ac:dyDescent="0.2">
      <c r="A121" s="383">
        <v>1998</v>
      </c>
      <c r="B121" s="194" t="s">
        <v>116</v>
      </c>
      <c r="C121" s="195">
        <v>58</v>
      </c>
      <c r="D121" s="195">
        <v>0</v>
      </c>
      <c r="E121" s="195">
        <v>976</v>
      </c>
      <c r="F121" s="195">
        <v>2344</v>
      </c>
      <c r="G121" s="195">
        <v>542</v>
      </c>
      <c r="H121" s="195">
        <v>3272</v>
      </c>
      <c r="I121" s="195">
        <v>1137</v>
      </c>
      <c r="J121" s="195">
        <v>15</v>
      </c>
      <c r="K121" s="194" t="s">
        <v>116</v>
      </c>
      <c r="L121" s="31">
        <f t="shared" si="4"/>
        <v>8344</v>
      </c>
      <c r="M121" s="8"/>
      <c r="O121" s="8"/>
      <c r="V121" s="8"/>
    </row>
    <row r="122" spans="1:22" x14ac:dyDescent="0.2">
      <c r="A122" s="383">
        <v>1999</v>
      </c>
      <c r="B122" s="195">
        <v>14</v>
      </c>
      <c r="C122" s="195">
        <v>60</v>
      </c>
      <c r="D122" s="195">
        <v>195</v>
      </c>
      <c r="E122" s="195">
        <v>382</v>
      </c>
      <c r="F122" s="195">
        <v>1726</v>
      </c>
      <c r="G122" s="195">
        <v>2985</v>
      </c>
      <c r="H122" s="195">
        <v>4336</v>
      </c>
      <c r="I122" s="195">
        <v>488</v>
      </c>
      <c r="J122" s="194" t="s">
        <v>116</v>
      </c>
      <c r="K122" s="194" t="s">
        <v>116</v>
      </c>
      <c r="L122" s="31">
        <f t="shared" si="4"/>
        <v>10186</v>
      </c>
      <c r="U122" s="8"/>
      <c r="V122" s="8"/>
    </row>
    <row r="123" spans="1:22" x14ac:dyDescent="0.2">
      <c r="A123" s="383">
        <v>2000</v>
      </c>
      <c r="B123" s="194" t="s">
        <v>116</v>
      </c>
      <c r="C123" s="194" t="s">
        <v>116</v>
      </c>
      <c r="D123" s="195">
        <v>1288</v>
      </c>
      <c r="E123" s="195">
        <v>3125</v>
      </c>
      <c r="F123" s="195">
        <v>7154</v>
      </c>
      <c r="G123" s="195">
        <v>5635</v>
      </c>
      <c r="H123" s="195">
        <v>6618</v>
      </c>
      <c r="I123" s="195">
        <v>1698</v>
      </c>
      <c r="J123" s="195">
        <v>36</v>
      </c>
      <c r="K123" s="194" t="s">
        <v>116</v>
      </c>
      <c r="L123" s="31">
        <f t="shared" si="4"/>
        <v>25554</v>
      </c>
      <c r="M123" s="8"/>
      <c r="N123" s="8"/>
      <c r="V123" s="8"/>
    </row>
    <row r="124" spans="1:22" x14ac:dyDescent="0.2">
      <c r="A124" s="383">
        <v>2001</v>
      </c>
      <c r="B124" s="194" t="s">
        <v>116</v>
      </c>
      <c r="C124" s="195">
        <v>690</v>
      </c>
      <c r="D124" s="195">
        <v>1269</v>
      </c>
      <c r="E124" s="195">
        <v>3402</v>
      </c>
      <c r="F124" s="195">
        <v>7228</v>
      </c>
      <c r="G124" s="195">
        <v>9454</v>
      </c>
      <c r="H124" s="195">
        <v>6879</v>
      </c>
      <c r="I124" s="195">
        <v>1754</v>
      </c>
      <c r="J124" s="195">
        <v>107</v>
      </c>
      <c r="K124" s="195">
        <v>15</v>
      </c>
      <c r="L124" s="31">
        <f t="shared" si="4"/>
        <v>30798</v>
      </c>
      <c r="M124" s="8"/>
    </row>
    <row r="125" spans="1:22" x14ac:dyDescent="0.2">
      <c r="A125" s="383">
        <v>2002</v>
      </c>
      <c r="B125" s="195">
        <v>194</v>
      </c>
      <c r="C125" s="195">
        <v>897</v>
      </c>
      <c r="D125" s="195">
        <v>2428</v>
      </c>
      <c r="E125" s="195">
        <v>4889</v>
      </c>
      <c r="F125" s="195">
        <v>7004</v>
      </c>
      <c r="G125" s="195">
        <v>8494</v>
      </c>
      <c r="H125" s="195">
        <v>7458</v>
      </c>
      <c r="I125" s="195">
        <v>435</v>
      </c>
      <c r="J125" s="195">
        <v>3</v>
      </c>
      <c r="K125" s="195">
        <v>0</v>
      </c>
      <c r="L125" s="31">
        <f t="shared" si="4"/>
        <v>31802</v>
      </c>
      <c r="V125" s="8"/>
    </row>
    <row r="126" spans="1:22" x14ac:dyDescent="0.2">
      <c r="A126" s="122">
        <v>2003</v>
      </c>
      <c r="B126" s="195">
        <v>607</v>
      </c>
      <c r="C126" s="195">
        <v>1282</v>
      </c>
      <c r="D126" s="195">
        <v>938</v>
      </c>
      <c r="E126" s="195">
        <v>2662</v>
      </c>
      <c r="F126" s="195">
        <v>5729</v>
      </c>
      <c r="G126" s="195">
        <v>8252</v>
      </c>
      <c r="H126" s="195">
        <v>3466</v>
      </c>
      <c r="I126" s="195">
        <v>768</v>
      </c>
      <c r="J126" s="195">
        <v>5</v>
      </c>
      <c r="K126" s="195">
        <v>0</v>
      </c>
      <c r="L126" s="31">
        <f t="shared" si="4"/>
        <v>23709</v>
      </c>
      <c r="V126" s="8"/>
    </row>
    <row r="127" spans="1:22" x14ac:dyDescent="0.2">
      <c r="A127" s="383">
        <v>2004</v>
      </c>
      <c r="B127" s="195">
        <v>183</v>
      </c>
      <c r="C127" s="195">
        <v>999</v>
      </c>
      <c r="D127" s="195">
        <v>1069</v>
      </c>
      <c r="E127" s="195">
        <v>2408</v>
      </c>
      <c r="F127" s="195">
        <v>8760</v>
      </c>
      <c r="G127" s="195">
        <v>11560</v>
      </c>
      <c r="H127" s="195">
        <v>4266</v>
      </c>
      <c r="I127" s="195">
        <v>1061</v>
      </c>
      <c r="J127" s="195">
        <v>240</v>
      </c>
      <c r="K127" s="195">
        <v>27</v>
      </c>
      <c r="L127" s="31">
        <f t="shared" si="4"/>
        <v>30573</v>
      </c>
      <c r="U127" s="8"/>
      <c r="V127" s="8"/>
    </row>
    <row r="128" spans="1:22" x14ac:dyDescent="0.2">
      <c r="A128" s="383">
        <v>2005</v>
      </c>
      <c r="B128" s="195">
        <v>869</v>
      </c>
      <c r="C128" s="195">
        <v>521</v>
      </c>
      <c r="D128" s="195">
        <v>841</v>
      </c>
      <c r="E128" s="195">
        <v>1910</v>
      </c>
      <c r="F128" s="195">
        <v>4525</v>
      </c>
      <c r="G128" s="195">
        <v>6666</v>
      </c>
      <c r="H128" s="195">
        <v>7994</v>
      </c>
      <c r="I128" s="195">
        <v>964</v>
      </c>
      <c r="J128" s="195">
        <v>22</v>
      </c>
      <c r="K128" s="195">
        <v>0</v>
      </c>
      <c r="L128" s="31">
        <f t="shared" si="4"/>
        <v>24312</v>
      </c>
      <c r="U128" s="8"/>
      <c r="V128" s="8"/>
    </row>
    <row r="129" spans="1:22" x14ac:dyDescent="0.2">
      <c r="A129" s="383">
        <v>2006</v>
      </c>
      <c r="B129" s="195">
        <v>289</v>
      </c>
      <c r="C129" s="195">
        <v>298</v>
      </c>
      <c r="D129" s="195">
        <v>800</v>
      </c>
      <c r="E129" s="195">
        <v>2327</v>
      </c>
      <c r="F129" s="195">
        <v>5917</v>
      </c>
      <c r="G129" s="195">
        <v>6655</v>
      </c>
      <c r="H129" s="195">
        <v>4051</v>
      </c>
      <c r="I129" s="195">
        <v>631</v>
      </c>
      <c r="J129" s="195">
        <v>0</v>
      </c>
      <c r="K129" s="195">
        <v>0</v>
      </c>
      <c r="L129" s="31">
        <v>20968</v>
      </c>
      <c r="U129" s="8"/>
      <c r="V129" s="8"/>
    </row>
    <row r="130" spans="1:22" s="374" customFormat="1" x14ac:dyDescent="0.2">
      <c r="A130" s="402">
        <v>2007</v>
      </c>
      <c r="B130" s="196">
        <v>249</v>
      </c>
      <c r="C130" s="196">
        <v>855</v>
      </c>
      <c r="D130" s="196">
        <v>692</v>
      </c>
      <c r="E130" s="196">
        <v>2280</v>
      </c>
      <c r="F130" s="196">
        <v>5593</v>
      </c>
      <c r="G130" s="196">
        <v>5271</v>
      </c>
      <c r="H130" s="196">
        <v>2013</v>
      </c>
      <c r="I130" s="196">
        <v>146</v>
      </c>
      <c r="J130" s="196">
        <v>25</v>
      </c>
      <c r="K130" s="196">
        <v>0</v>
      </c>
      <c r="L130" s="52">
        <f>SUM(B130:K130)</f>
        <v>17124</v>
      </c>
      <c r="U130" s="9"/>
      <c r="V130" s="9"/>
    </row>
    <row r="131" spans="1:22" s="374" customFormat="1" x14ac:dyDescent="0.2">
      <c r="A131" s="402">
        <v>2008</v>
      </c>
      <c r="B131" s="196">
        <v>206</v>
      </c>
      <c r="C131" s="196">
        <v>185</v>
      </c>
      <c r="D131" s="196" t="s">
        <v>29</v>
      </c>
      <c r="E131" s="196" t="s">
        <v>29</v>
      </c>
      <c r="F131" s="196" t="s">
        <v>29</v>
      </c>
      <c r="G131" s="196" t="s">
        <v>29</v>
      </c>
      <c r="H131" s="196" t="s">
        <v>29</v>
      </c>
      <c r="I131" s="196" t="s">
        <v>29</v>
      </c>
      <c r="J131" s="196" t="s">
        <v>29</v>
      </c>
      <c r="K131" s="196" t="s">
        <v>29</v>
      </c>
      <c r="L131" s="52">
        <f>SUM(B131:K131)</f>
        <v>391</v>
      </c>
      <c r="U131" s="9"/>
      <c r="V131" s="9"/>
    </row>
    <row r="132" spans="1:22" s="374" customFormat="1" x14ac:dyDescent="0.2">
      <c r="A132" s="402">
        <v>2009</v>
      </c>
      <c r="B132" s="196" t="s">
        <v>29</v>
      </c>
      <c r="C132" s="196" t="s">
        <v>29</v>
      </c>
      <c r="D132" s="196" t="s">
        <v>29</v>
      </c>
      <c r="E132" s="196" t="s">
        <v>29</v>
      </c>
      <c r="F132" s="196" t="s">
        <v>29</v>
      </c>
      <c r="G132" s="196" t="s">
        <v>29</v>
      </c>
      <c r="H132" s="196" t="s">
        <v>29</v>
      </c>
      <c r="I132" s="196" t="s">
        <v>29</v>
      </c>
      <c r="J132" s="196" t="s">
        <v>29</v>
      </c>
      <c r="K132" s="196" t="s">
        <v>29</v>
      </c>
      <c r="L132" s="52" t="s">
        <v>29</v>
      </c>
      <c r="U132" s="9"/>
      <c r="V132" s="9"/>
    </row>
    <row r="133" spans="1:22" s="374" customFormat="1" x14ac:dyDescent="0.2">
      <c r="A133" s="122">
        <v>2010</v>
      </c>
      <c r="B133" s="196" t="s">
        <v>29</v>
      </c>
      <c r="C133" s="196" t="s">
        <v>29</v>
      </c>
      <c r="D133" s="196">
        <v>1269</v>
      </c>
      <c r="E133" s="196">
        <v>1230</v>
      </c>
      <c r="F133" s="196">
        <v>743</v>
      </c>
      <c r="G133" s="196">
        <v>1460</v>
      </c>
      <c r="H133" s="196">
        <v>1625</v>
      </c>
      <c r="I133" s="196">
        <v>232</v>
      </c>
      <c r="J133" s="196" t="s">
        <v>29</v>
      </c>
      <c r="K133" s="196" t="s">
        <v>29</v>
      </c>
      <c r="L133" s="52">
        <f t="shared" ref="L133:L143" si="5">SUM(B133:K133)</f>
        <v>6559</v>
      </c>
      <c r="U133" s="9"/>
      <c r="V133" s="9"/>
    </row>
    <row r="134" spans="1:22" s="374" customFormat="1" x14ac:dyDescent="0.2">
      <c r="A134" s="402">
        <v>2011</v>
      </c>
      <c r="B134" s="196" t="s">
        <v>29</v>
      </c>
      <c r="C134" s="196" t="s">
        <v>29</v>
      </c>
      <c r="D134" s="196">
        <v>1532</v>
      </c>
      <c r="E134" s="196">
        <v>1522</v>
      </c>
      <c r="F134" s="196">
        <v>2294</v>
      </c>
      <c r="G134" s="196">
        <v>6234</v>
      </c>
      <c r="H134" s="196">
        <v>1975</v>
      </c>
      <c r="I134" s="196">
        <v>650</v>
      </c>
      <c r="J134" s="196">
        <v>182</v>
      </c>
      <c r="K134" s="196" t="s">
        <v>29</v>
      </c>
      <c r="L134" s="52">
        <f t="shared" si="5"/>
        <v>14389</v>
      </c>
      <c r="U134" s="9"/>
      <c r="V134" s="9"/>
    </row>
    <row r="135" spans="1:22" s="374" customFormat="1" x14ac:dyDescent="0.2">
      <c r="A135" s="402">
        <v>2012</v>
      </c>
      <c r="B135" s="196" t="s">
        <v>29</v>
      </c>
      <c r="C135" s="196" t="s">
        <v>29</v>
      </c>
      <c r="D135" s="196">
        <v>1230</v>
      </c>
      <c r="E135" s="196">
        <v>2088</v>
      </c>
      <c r="F135" s="196">
        <v>2975</v>
      </c>
      <c r="G135" s="196">
        <v>4076</v>
      </c>
      <c r="H135" s="196">
        <v>2890</v>
      </c>
      <c r="I135" s="196">
        <v>1069</v>
      </c>
      <c r="J135" s="196">
        <v>334</v>
      </c>
      <c r="K135" s="196">
        <v>151</v>
      </c>
      <c r="L135" s="52">
        <f t="shared" si="5"/>
        <v>14813</v>
      </c>
      <c r="U135" s="9"/>
      <c r="V135" s="9"/>
    </row>
    <row r="136" spans="1:22" s="374" customFormat="1" x14ac:dyDescent="0.2">
      <c r="A136" s="402">
        <v>2013</v>
      </c>
      <c r="B136" s="196" t="s">
        <v>29</v>
      </c>
      <c r="C136" s="196" t="s">
        <v>29</v>
      </c>
      <c r="D136" s="196">
        <v>934</v>
      </c>
      <c r="E136" s="196">
        <v>1666</v>
      </c>
      <c r="F136" s="196">
        <v>3519</v>
      </c>
      <c r="G136" s="196">
        <v>7136</v>
      </c>
      <c r="H136" s="196">
        <v>3076</v>
      </c>
      <c r="I136" s="196">
        <v>667</v>
      </c>
      <c r="J136" s="196">
        <v>220</v>
      </c>
      <c r="K136" s="196">
        <v>47</v>
      </c>
      <c r="L136" s="52">
        <f t="shared" si="5"/>
        <v>17265</v>
      </c>
      <c r="U136" s="9"/>
      <c r="V136" s="9"/>
    </row>
    <row r="137" spans="1:22" s="374" customFormat="1" x14ac:dyDescent="0.2">
      <c r="A137" s="402">
        <v>2014</v>
      </c>
      <c r="B137" s="196" t="s">
        <v>29</v>
      </c>
      <c r="C137" s="196" t="s">
        <v>29</v>
      </c>
      <c r="D137" s="196">
        <v>1049</v>
      </c>
      <c r="E137" s="196">
        <v>1371</v>
      </c>
      <c r="F137" s="196">
        <v>2538</v>
      </c>
      <c r="G137" s="196">
        <v>9435</v>
      </c>
      <c r="H137" s="196">
        <v>2554</v>
      </c>
      <c r="I137" s="196">
        <v>373</v>
      </c>
      <c r="J137" s="196">
        <v>102</v>
      </c>
      <c r="K137" s="196">
        <v>48</v>
      </c>
      <c r="L137" s="52">
        <f t="shared" si="5"/>
        <v>17470</v>
      </c>
      <c r="U137" s="9"/>
      <c r="V137" s="9"/>
    </row>
    <row r="138" spans="1:22" s="374" customFormat="1" x14ac:dyDescent="0.2">
      <c r="A138" s="122">
        <v>2015</v>
      </c>
      <c r="B138" s="196" t="s">
        <v>29</v>
      </c>
      <c r="C138" s="196" t="s">
        <v>29</v>
      </c>
      <c r="D138" s="196">
        <v>1051</v>
      </c>
      <c r="E138" s="196">
        <v>1321</v>
      </c>
      <c r="F138" s="196">
        <v>1615</v>
      </c>
      <c r="G138" s="196">
        <v>5002</v>
      </c>
      <c r="H138" s="196">
        <v>2278</v>
      </c>
      <c r="I138" s="196">
        <v>423</v>
      </c>
      <c r="J138" s="196">
        <v>94</v>
      </c>
      <c r="K138" s="196">
        <v>5</v>
      </c>
      <c r="L138" s="52">
        <f t="shared" si="5"/>
        <v>11789</v>
      </c>
      <c r="U138" s="9"/>
      <c r="V138" s="9"/>
    </row>
    <row r="139" spans="1:22" s="374" customFormat="1" x14ac:dyDescent="0.2">
      <c r="A139" s="122">
        <v>2016</v>
      </c>
      <c r="B139" s="196" t="s">
        <v>29</v>
      </c>
      <c r="C139" s="196" t="s">
        <v>29</v>
      </c>
      <c r="D139" s="196">
        <v>706</v>
      </c>
      <c r="E139" s="196">
        <v>934</v>
      </c>
      <c r="F139" s="196">
        <v>1003</v>
      </c>
      <c r="G139" s="196">
        <v>4817</v>
      </c>
      <c r="H139" s="196">
        <v>1751</v>
      </c>
      <c r="I139" s="196">
        <v>295</v>
      </c>
      <c r="J139" s="196">
        <v>68</v>
      </c>
      <c r="K139" s="196">
        <v>0</v>
      </c>
      <c r="L139" s="52">
        <f t="shared" si="5"/>
        <v>9574</v>
      </c>
      <c r="U139" s="9"/>
      <c r="V139" s="9"/>
    </row>
    <row r="140" spans="1:22" s="374" customFormat="1" x14ac:dyDescent="0.2">
      <c r="A140" s="122">
        <v>2017</v>
      </c>
      <c r="B140" s="196" t="s">
        <v>29</v>
      </c>
      <c r="C140" s="196" t="s">
        <v>29</v>
      </c>
      <c r="D140" s="196">
        <v>403</v>
      </c>
      <c r="E140" s="196">
        <v>1101</v>
      </c>
      <c r="F140" s="196" t="s">
        <v>29</v>
      </c>
      <c r="G140" s="196" t="s">
        <v>29</v>
      </c>
      <c r="H140" s="196">
        <v>1869</v>
      </c>
      <c r="I140" s="196">
        <v>1286</v>
      </c>
      <c r="J140" s="196">
        <v>17</v>
      </c>
      <c r="K140" s="196">
        <v>0</v>
      </c>
      <c r="L140" s="52">
        <f t="shared" si="5"/>
        <v>4676</v>
      </c>
      <c r="U140" s="9"/>
      <c r="V140" s="9"/>
    </row>
    <row r="141" spans="1:22" s="374" customFormat="1" x14ac:dyDescent="0.2">
      <c r="A141" s="122">
        <v>2018</v>
      </c>
      <c r="B141" s="196" t="s">
        <v>29</v>
      </c>
      <c r="C141" s="196" t="s">
        <v>29</v>
      </c>
      <c r="D141" s="196" t="s">
        <v>29</v>
      </c>
      <c r="E141" s="196" t="s">
        <v>29</v>
      </c>
      <c r="F141" s="196">
        <v>1009</v>
      </c>
      <c r="G141" s="196">
        <v>5523</v>
      </c>
      <c r="H141" s="196">
        <v>2897</v>
      </c>
      <c r="I141" s="196">
        <v>423</v>
      </c>
      <c r="J141" s="196">
        <v>39</v>
      </c>
      <c r="K141" s="196" t="s">
        <v>29</v>
      </c>
      <c r="L141" s="52">
        <f t="shared" si="5"/>
        <v>9891</v>
      </c>
      <c r="U141" s="9"/>
      <c r="V141" s="9"/>
    </row>
    <row r="142" spans="1:22" s="487" customFormat="1" x14ac:dyDescent="0.2">
      <c r="A142" s="496" t="s">
        <v>398</v>
      </c>
      <c r="B142" s="196" t="s">
        <v>29</v>
      </c>
      <c r="C142" s="196" t="s">
        <v>29</v>
      </c>
      <c r="D142" s="196">
        <v>606</v>
      </c>
      <c r="E142" s="196">
        <v>166</v>
      </c>
      <c r="F142" s="196">
        <v>1646</v>
      </c>
      <c r="G142" s="196">
        <v>3180</v>
      </c>
      <c r="H142" s="196">
        <v>1735</v>
      </c>
      <c r="I142" s="196">
        <v>228</v>
      </c>
      <c r="J142" s="196">
        <v>52</v>
      </c>
      <c r="K142" s="196" t="s">
        <v>29</v>
      </c>
      <c r="L142" s="52">
        <f t="shared" ref="L142" si="6">SUM(B142:K142)</f>
        <v>7613</v>
      </c>
      <c r="U142" s="9"/>
      <c r="V142" s="9"/>
    </row>
    <row r="143" spans="1:22" x14ac:dyDescent="0.2">
      <c r="A143" s="496" t="s">
        <v>399</v>
      </c>
      <c r="B143" s="196" t="s">
        <v>29</v>
      </c>
      <c r="C143" s="196" t="s">
        <v>29</v>
      </c>
      <c r="D143" s="196" t="s">
        <v>29</v>
      </c>
      <c r="E143" s="196" t="s">
        <v>116</v>
      </c>
      <c r="F143" s="196" t="s">
        <v>116</v>
      </c>
      <c r="G143" s="196">
        <v>2637</v>
      </c>
      <c r="H143" s="196">
        <v>2062</v>
      </c>
      <c r="I143" s="196">
        <v>481</v>
      </c>
      <c r="J143" s="196">
        <v>0</v>
      </c>
      <c r="K143" s="196">
        <v>0</v>
      </c>
      <c r="L143" s="52">
        <f t="shared" si="5"/>
        <v>5180</v>
      </c>
      <c r="U143" s="8"/>
      <c r="V143" s="8"/>
    </row>
    <row r="144" spans="1:22" x14ac:dyDescent="0.2">
      <c r="B144" s="195"/>
      <c r="C144" s="195"/>
      <c r="D144" s="195"/>
      <c r="E144" s="195"/>
      <c r="F144" s="195"/>
      <c r="G144" s="195"/>
      <c r="H144" s="195"/>
      <c r="I144" s="195"/>
      <c r="J144" s="195"/>
      <c r="K144" s="195"/>
      <c r="L144" s="31"/>
    </row>
    <row r="145" spans="1:12" x14ac:dyDescent="0.2">
      <c r="A145" s="116" t="s">
        <v>25</v>
      </c>
      <c r="B145" s="195"/>
      <c r="C145" s="195"/>
      <c r="D145" s="195"/>
      <c r="E145" s="195"/>
      <c r="F145" s="195"/>
      <c r="G145" s="195"/>
      <c r="H145" s="195"/>
      <c r="I145" s="195"/>
      <c r="J145" s="195"/>
      <c r="K145" s="195"/>
      <c r="L145" s="31"/>
    </row>
    <row r="146" spans="1:12" x14ac:dyDescent="0.2">
      <c r="A146" s="383">
        <v>1976</v>
      </c>
      <c r="B146" s="195">
        <v>6202</v>
      </c>
      <c r="C146" s="195">
        <v>4466</v>
      </c>
      <c r="D146" s="195">
        <v>6547</v>
      </c>
      <c r="E146" s="195">
        <v>12895</v>
      </c>
      <c r="F146" s="195">
        <v>10924</v>
      </c>
      <c r="G146" s="195">
        <v>13092</v>
      </c>
      <c r="H146" s="195">
        <v>17084</v>
      </c>
      <c r="I146" s="195">
        <v>9870</v>
      </c>
      <c r="J146" s="195">
        <v>12384</v>
      </c>
      <c r="K146" s="195">
        <v>3286</v>
      </c>
      <c r="L146" s="31">
        <f t="shared" ref="L146:L175" si="7">SUM(B146:K146)</f>
        <v>96750</v>
      </c>
    </row>
    <row r="147" spans="1:12" x14ac:dyDescent="0.2">
      <c r="A147" s="383">
        <v>1977</v>
      </c>
      <c r="B147" s="195">
        <v>7350</v>
      </c>
      <c r="C147" s="195">
        <v>7695</v>
      </c>
      <c r="D147" s="195">
        <v>11196</v>
      </c>
      <c r="E147" s="195">
        <v>10561</v>
      </c>
      <c r="F147" s="195">
        <v>9150</v>
      </c>
      <c r="G147" s="195">
        <v>17351</v>
      </c>
      <c r="H147" s="195">
        <v>15338</v>
      </c>
      <c r="I147" s="195">
        <v>14148</v>
      </c>
      <c r="J147" s="195">
        <v>10415</v>
      </c>
      <c r="K147" s="195">
        <v>3025</v>
      </c>
      <c r="L147" s="31">
        <f t="shared" si="7"/>
        <v>106229</v>
      </c>
    </row>
    <row r="148" spans="1:12" x14ac:dyDescent="0.2">
      <c r="A148" s="383">
        <v>1978</v>
      </c>
      <c r="B148" s="195">
        <v>17905</v>
      </c>
      <c r="C148" s="195">
        <v>11468</v>
      </c>
      <c r="D148" s="195">
        <v>2075</v>
      </c>
      <c r="E148" s="195">
        <v>1877</v>
      </c>
      <c r="F148" s="195">
        <v>4802</v>
      </c>
      <c r="G148" s="195">
        <v>15005</v>
      </c>
      <c r="H148" s="195">
        <v>12985</v>
      </c>
      <c r="I148" s="195">
        <v>16037</v>
      </c>
      <c r="J148" s="195">
        <v>8143</v>
      </c>
      <c r="K148" s="195">
        <v>5756</v>
      </c>
      <c r="L148" s="31">
        <f t="shared" si="7"/>
        <v>96053</v>
      </c>
    </row>
    <row r="149" spans="1:12" x14ac:dyDescent="0.2">
      <c r="A149" s="383">
        <v>1979</v>
      </c>
      <c r="B149" s="195">
        <v>6459</v>
      </c>
      <c r="C149" s="195">
        <v>12552</v>
      </c>
      <c r="D149" s="195">
        <v>7682</v>
      </c>
      <c r="E149" s="195">
        <v>8023</v>
      </c>
      <c r="F149" s="195">
        <v>15397</v>
      </c>
      <c r="G149" s="195">
        <v>16543</v>
      </c>
      <c r="H149" s="195">
        <v>18797</v>
      </c>
      <c r="I149" s="195">
        <v>13430</v>
      </c>
      <c r="J149" s="195">
        <v>5420</v>
      </c>
      <c r="K149" s="195" t="s">
        <v>29</v>
      </c>
      <c r="L149" s="31">
        <f t="shared" si="7"/>
        <v>104303</v>
      </c>
    </row>
    <row r="150" spans="1:12" x14ac:dyDescent="0.2">
      <c r="A150" s="383">
        <v>1980</v>
      </c>
      <c r="B150" s="195">
        <v>2597</v>
      </c>
      <c r="C150" s="195">
        <v>15165</v>
      </c>
      <c r="D150" s="195">
        <v>8726</v>
      </c>
      <c r="E150" s="195">
        <v>9555</v>
      </c>
      <c r="F150" s="195">
        <v>11796</v>
      </c>
      <c r="G150" s="195">
        <v>14543</v>
      </c>
      <c r="H150" s="195">
        <v>11789</v>
      </c>
      <c r="I150" s="195">
        <v>8955</v>
      </c>
      <c r="J150" s="195">
        <v>2970</v>
      </c>
      <c r="K150" s="195" t="s">
        <v>29</v>
      </c>
      <c r="L150" s="31">
        <f t="shared" si="7"/>
        <v>86096</v>
      </c>
    </row>
    <row r="151" spans="1:12" x14ac:dyDescent="0.2">
      <c r="A151" s="383">
        <v>1981</v>
      </c>
      <c r="B151" s="195">
        <v>4711</v>
      </c>
      <c r="C151" s="195">
        <v>4293</v>
      </c>
      <c r="D151" s="195">
        <v>7986</v>
      </c>
      <c r="E151" s="195">
        <v>4701</v>
      </c>
      <c r="F151" s="195">
        <v>10264</v>
      </c>
      <c r="G151" s="195">
        <v>15036</v>
      </c>
      <c r="H151" s="195">
        <v>12964</v>
      </c>
      <c r="I151" s="195">
        <v>8462</v>
      </c>
      <c r="J151" s="195">
        <v>5401</v>
      </c>
      <c r="K151" s="195">
        <v>1250</v>
      </c>
      <c r="L151" s="31">
        <f t="shared" si="7"/>
        <v>75068</v>
      </c>
    </row>
    <row r="152" spans="1:12" x14ac:dyDescent="0.2">
      <c r="A152" s="383">
        <v>1982</v>
      </c>
      <c r="B152" s="195">
        <v>6360</v>
      </c>
      <c r="C152" s="195">
        <v>10532</v>
      </c>
      <c r="D152" s="195">
        <v>5400</v>
      </c>
      <c r="E152" s="195">
        <v>7624</v>
      </c>
      <c r="F152" s="195">
        <v>9991</v>
      </c>
      <c r="G152" s="195">
        <v>18117</v>
      </c>
      <c r="H152" s="195">
        <v>18523</v>
      </c>
      <c r="I152" s="195">
        <v>12179</v>
      </c>
      <c r="J152" s="195">
        <v>9527</v>
      </c>
      <c r="K152" s="195">
        <v>2675</v>
      </c>
      <c r="L152" s="31">
        <f t="shared" si="7"/>
        <v>100928</v>
      </c>
    </row>
    <row r="153" spans="1:12" x14ac:dyDescent="0.2">
      <c r="A153" s="383">
        <v>1983</v>
      </c>
      <c r="B153" s="195">
        <v>1943</v>
      </c>
      <c r="C153" s="195">
        <v>2255</v>
      </c>
      <c r="D153" s="195">
        <v>4600</v>
      </c>
      <c r="E153" s="195">
        <v>7593</v>
      </c>
      <c r="F153" s="195">
        <v>8312</v>
      </c>
      <c r="G153" s="195">
        <v>13775</v>
      </c>
      <c r="H153" s="195">
        <v>9307</v>
      </c>
      <c r="I153" s="195">
        <v>7093</v>
      </c>
      <c r="J153" s="195">
        <v>5308</v>
      </c>
      <c r="K153" s="195">
        <v>101</v>
      </c>
      <c r="L153" s="31">
        <f t="shared" si="7"/>
        <v>60287</v>
      </c>
    </row>
    <row r="154" spans="1:12" x14ac:dyDescent="0.2">
      <c r="A154" s="383">
        <v>1984</v>
      </c>
      <c r="B154" s="195">
        <v>1719</v>
      </c>
      <c r="C154" s="195">
        <v>1615</v>
      </c>
      <c r="D154" s="195">
        <v>3077</v>
      </c>
      <c r="E154" s="195">
        <v>6188</v>
      </c>
      <c r="F154" s="195">
        <v>10916</v>
      </c>
      <c r="G154" s="195">
        <v>14324</v>
      </c>
      <c r="H154" s="195">
        <v>14077</v>
      </c>
      <c r="I154" s="195">
        <v>8904</v>
      </c>
      <c r="J154" s="195">
        <v>3427</v>
      </c>
      <c r="K154" s="195">
        <v>763</v>
      </c>
      <c r="L154" s="31">
        <f t="shared" si="7"/>
        <v>65010</v>
      </c>
    </row>
    <row r="155" spans="1:12" x14ac:dyDescent="0.2">
      <c r="A155" s="383">
        <v>1985</v>
      </c>
      <c r="B155" s="195">
        <v>5852</v>
      </c>
      <c r="C155" s="195">
        <v>10362</v>
      </c>
      <c r="D155" s="195">
        <v>9130</v>
      </c>
      <c r="E155" s="195">
        <v>8356</v>
      </c>
      <c r="F155" s="195">
        <v>14410</v>
      </c>
      <c r="G155" s="195">
        <v>13777</v>
      </c>
      <c r="H155" s="195">
        <v>15436</v>
      </c>
      <c r="I155" s="195">
        <v>9816</v>
      </c>
      <c r="J155" s="195">
        <v>4221</v>
      </c>
      <c r="K155" s="195">
        <v>1924</v>
      </c>
      <c r="L155" s="31">
        <f t="shared" si="7"/>
        <v>93284</v>
      </c>
    </row>
    <row r="156" spans="1:12" x14ac:dyDescent="0.2">
      <c r="A156" s="383">
        <v>1986</v>
      </c>
      <c r="B156" s="195">
        <v>1917</v>
      </c>
      <c r="C156" s="195">
        <v>8244</v>
      </c>
      <c r="D156" s="195">
        <v>9063</v>
      </c>
      <c r="E156" s="195">
        <v>8591</v>
      </c>
      <c r="F156" s="195">
        <v>13506</v>
      </c>
      <c r="G156" s="195">
        <v>21001</v>
      </c>
      <c r="H156" s="195">
        <v>17890</v>
      </c>
      <c r="I156" s="195">
        <v>6608</v>
      </c>
      <c r="J156" s="195">
        <v>3995</v>
      </c>
      <c r="K156" s="195">
        <v>881</v>
      </c>
      <c r="L156" s="31">
        <f t="shared" si="7"/>
        <v>91696</v>
      </c>
    </row>
    <row r="157" spans="1:12" x14ac:dyDescent="0.2">
      <c r="A157" s="383">
        <v>1987</v>
      </c>
      <c r="B157" s="195">
        <v>4311</v>
      </c>
      <c r="C157" s="195">
        <v>9624</v>
      </c>
      <c r="D157" s="195">
        <v>11293</v>
      </c>
      <c r="E157" s="195">
        <v>10066</v>
      </c>
      <c r="F157" s="195">
        <v>10207</v>
      </c>
      <c r="G157" s="195">
        <v>19517</v>
      </c>
      <c r="H157" s="195">
        <v>22227</v>
      </c>
      <c r="I157" s="195">
        <v>12341</v>
      </c>
      <c r="J157" s="195">
        <v>7183</v>
      </c>
      <c r="K157" s="195">
        <v>1633</v>
      </c>
      <c r="L157" s="31">
        <f t="shared" si="7"/>
        <v>108402</v>
      </c>
    </row>
    <row r="158" spans="1:12" x14ac:dyDescent="0.2">
      <c r="A158" s="383">
        <v>1988</v>
      </c>
      <c r="B158" s="195">
        <v>6511</v>
      </c>
      <c r="C158" s="195">
        <v>10325</v>
      </c>
      <c r="D158" s="195">
        <v>12345</v>
      </c>
      <c r="E158" s="195">
        <v>12533</v>
      </c>
      <c r="F158" s="195">
        <v>16433</v>
      </c>
      <c r="G158" s="195">
        <v>21596</v>
      </c>
      <c r="H158" s="195">
        <v>15601</v>
      </c>
      <c r="I158" s="195">
        <v>8925</v>
      </c>
      <c r="J158" s="195">
        <v>3781</v>
      </c>
      <c r="K158" s="195">
        <v>42</v>
      </c>
      <c r="L158" s="31">
        <f t="shared" si="7"/>
        <v>108092</v>
      </c>
    </row>
    <row r="159" spans="1:12" x14ac:dyDescent="0.2">
      <c r="A159" s="383">
        <v>1989</v>
      </c>
      <c r="B159" s="195">
        <v>5960</v>
      </c>
      <c r="C159" s="195">
        <v>9342</v>
      </c>
      <c r="D159" s="195">
        <v>14846</v>
      </c>
      <c r="E159" s="195">
        <v>7743</v>
      </c>
      <c r="F159" s="195">
        <v>11495</v>
      </c>
      <c r="G159" s="195">
        <v>15118</v>
      </c>
      <c r="H159" s="195">
        <v>14109</v>
      </c>
      <c r="I159" s="195">
        <v>10567</v>
      </c>
      <c r="J159" s="195">
        <v>4002</v>
      </c>
      <c r="K159" s="195">
        <v>1852</v>
      </c>
      <c r="L159" s="31">
        <f t="shared" si="7"/>
        <v>95034</v>
      </c>
    </row>
    <row r="160" spans="1:12" x14ac:dyDescent="0.2">
      <c r="A160" s="383">
        <v>1990</v>
      </c>
      <c r="B160" s="195">
        <v>5426</v>
      </c>
      <c r="C160" s="195">
        <v>11627</v>
      </c>
      <c r="D160" s="195">
        <v>13743</v>
      </c>
      <c r="E160" s="195">
        <v>5995</v>
      </c>
      <c r="F160" s="195">
        <v>11220</v>
      </c>
      <c r="G160" s="195">
        <v>15570</v>
      </c>
      <c r="H160" s="195">
        <v>10099</v>
      </c>
      <c r="I160" s="195">
        <v>9590</v>
      </c>
      <c r="J160" s="195">
        <v>4816</v>
      </c>
      <c r="K160" s="195">
        <v>1584</v>
      </c>
      <c r="L160" s="31">
        <f t="shared" si="7"/>
        <v>89670</v>
      </c>
    </row>
    <row r="161" spans="1:22" x14ac:dyDescent="0.2">
      <c r="A161" s="383">
        <v>1991</v>
      </c>
      <c r="B161" s="195">
        <v>32</v>
      </c>
      <c r="C161" s="195">
        <v>4054</v>
      </c>
      <c r="D161" s="195">
        <v>7107</v>
      </c>
      <c r="E161" s="195">
        <v>6286</v>
      </c>
      <c r="F161" s="195">
        <v>11988</v>
      </c>
      <c r="G161" s="195">
        <v>18623</v>
      </c>
      <c r="H161" s="195">
        <v>13926</v>
      </c>
      <c r="I161" s="195">
        <v>5217</v>
      </c>
      <c r="J161" s="195">
        <v>2872</v>
      </c>
      <c r="K161" s="195">
        <v>58</v>
      </c>
      <c r="L161" s="31">
        <f t="shared" si="7"/>
        <v>70163</v>
      </c>
      <c r="M161" s="8"/>
    </row>
    <row r="162" spans="1:22" x14ac:dyDescent="0.2">
      <c r="A162" s="383">
        <v>1992</v>
      </c>
      <c r="B162" s="195">
        <v>833</v>
      </c>
      <c r="C162" s="195">
        <v>2407</v>
      </c>
      <c r="D162" s="195">
        <v>2502</v>
      </c>
      <c r="E162" s="195">
        <v>5884</v>
      </c>
      <c r="F162" s="195">
        <v>8595</v>
      </c>
      <c r="G162" s="195">
        <v>16055</v>
      </c>
      <c r="H162" s="195">
        <v>11848</v>
      </c>
      <c r="I162" s="195">
        <v>9364</v>
      </c>
      <c r="J162" s="195">
        <v>4292</v>
      </c>
      <c r="K162" s="195">
        <v>237</v>
      </c>
      <c r="L162" s="31">
        <f t="shared" si="7"/>
        <v>62017</v>
      </c>
    </row>
    <row r="163" spans="1:22" x14ac:dyDescent="0.2">
      <c r="A163" s="383">
        <v>1993</v>
      </c>
      <c r="B163" s="195">
        <v>513</v>
      </c>
      <c r="C163" s="195">
        <v>6554</v>
      </c>
      <c r="D163" s="195">
        <v>6080</v>
      </c>
      <c r="E163" s="195">
        <v>7702</v>
      </c>
      <c r="F163" s="195">
        <v>7382</v>
      </c>
      <c r="G163" s="195">
        <v>27838</v>
      </c>
      <c r="H163" s="195">
        <v>17615</v>
      </c>
      <c r="I163" s="195">
        <v>5463</v>
      </c>
      <c r="J163" s="195">
        <v>3643</v>
      </c>
      <c r="K163" s="195" t="s">
        <v>29</v>
      </c>
      <c r="L163" s="31">
        <f t="shared" si="7"/>
        <v>82790</v>
      </c>
      <c r="V163" s="8"/>
    </row>
    <row r="164" spans="1:22" x14ac:dyDescent="0.2">
      <c r="A164" s="383">
        <v>1994</v>
      </c>
      <c r="B164" s="195">
        <v>1284</v>
      </c>
      <c r="C164" s="195">
        <v>6849</v>
      </c>
      <c r="D164" s="195">
        <v>7884</v>
      </c>
      <c r="E164" s="195">
        <v>7930</v>
      </c>
      <c r="F164" s="195">
        <v>18765</v>
      </c>
      <c r="G164" s="195">
        <v>35423</v>
      </c>
      <c r="H164" s="195">
        <v>21043</v>
      </c>
      <c r="I164" s="195">
        <v>10802</v>
      </c>
      <c r="J164" s="195">
        <v>7494</v>
      </c>
      <c r="K164" s="195" t="s">
        <v>29</v>
      </c>
      <c r="L164" s="31">
        <f t="shared" si="7"/>
        <v>117474</v>
      </c>
      <c r="V164" s="8"/>
    </row>
    <row r="165" spans="1:22" x14ac:dyDescent="0.2">
      <c r="A165" s="383">
        <v>1995</v>
      </c>
      <c r="B165" s="195" t="s">
        <v>29</v>
      </c>
      <c r="C165" s="195">
        <v>9592</v>
      </c>
      <c r="D165" s="195">
        <v>10487</v>
      </c>
      <c r="E165" s="195">
        <v>12296</v>
      </c>
      <c r="F165" s="195">
        <v>17307</v>
      </c>
      <c r="G165" s="195">
        <v>51018</v>
      </c>
      <c r="H165" s="195">
        <v>23677</v>
      </c>
      <c r="I165" s="195">
        <v>12786</v>
      </c>
      <c r="J165" s="195">
        <v>4297</v>
      </c>
      <c r="K165" s="195" t="s">
        <v>29</v>
      </c>
      <c r="L165" s="31">
        <f t="shared" si="7"/>
        <v>141460</v>
      </c>
      <c r="M165" s="8"/>
      <c r="V165" s="8"/>
    </row>
    <row r="166" spans="1:22" x14ac:dyDescent="0.2">
      <c r="A166" s="383">
        <v>1996</v>
      </c>
      <c r="B166" s="195" t="s">
        <v>29</v>
      </c>
      <c r="C166" s="195">
        <v>19039</v>
      </c>
      <c r="D166" s="195">
        <v>13150</v>
      </c>
      <c r="E166" s="195">
        <v>9551</v>
      </c>
      <c r="F166" s="195">
        <v>12696</v>
      </c>
      <c r="G166" s="195">
        <v>28499</v>
      </c>
      <c r="H166" s="195">
        <v>13566</v>
      </c>
      <c r="I166" s="195">
        <v>5266</v>
      </c>
      <c r="J166" s="195">
        <v>2397</v>
      </c>
      <c r="K166" s="195" t="s">
        <v>29</v>
      </c>
      <c r="L166" s="31">
        <f t="shared" si="7"/>
        <v>104164</v>
      </c>
      <c r="M166" s="8"/>
      <c r="V166" s="8"/>
    </row>
    <row r="167" spans="1:22" x14ac:dyDescent="0.2">
      <c r="A167" s="383">
        <v>1997</v>
      </c>
      <c r="B167" s="195" t="s">
        <v>29</v>
      </c>
      <c r="C167" s="195">
        <v>4738</v>
      </c>
      <c r="D167" s="195">
        <v>10927</v>
      </c>
      <c r="E167" s="195">
        <v>16760</v>
      </c>
      <c r="F167" s="195">
        <v>13959</v>
      </c>
      <c r="G167" s="195">
        <v>34485</v>
      </c>
      <c r="H167" s="195">
        <v>21240</v>
      </c>
      <c r="I167" s="195">
        <v>5461</v>
      </c>
      <c r="J167" s="195">
        <v>3212</v>
      </c>
      <c r="K167" s="195">
        <v>380</v>
      </c>
      <c r="L167" s="31">
        <f t="shared" si="7"/>
        <v>111162</v>
      </c>
      <c r="M167" s="8"/>
    </row>
    <row r="168" spans="1:22" x14ac:dyDescent="0.2">
      <c r="A168" s="383">
        <v>1998</v>
      </c>
      <c r="B168" s="195" t="s">
        <v>29</v>
      </c>
      <c r="C168" s="195">
        <v>249</v>
      </c>
      <c r="D168" s="195">
        <v>6973</v>
      </c>
      <c r="E168" s="195">
        <v>5842</v>
      </c>
      <c r="F168" s="195">
        <v>13644</v>
      </c>
      <c r="G168" s="195">
        <v>23128</v>
      </c>
      <c r="H168" s="195">
        <v>20796</v>
      </c>
      <c r="I168" s="195">
        <v>6903</v>
      </c>
      <c r="J168" s="195">
        <v>3465</v>
      </c>
      <c r="K168" s="194" t="s">
        <v>116</v>
      </c>
      <c r="L168" s="31">
        <f t="shared" si="7"/>
        <v>81000</v>
      </c>
      <c r="M168" s="8"/>
      <c r="V168" s="8"/>
    </row>
    <row r="169" spans="1:22" x14ac:dyDescent="0.2">
      <c r="A169" s="383">
        <v>1999</v>
      </c>
      <c r="B169" s="195" t="s">
        <v>29</v>
      </c>
      <c r="C169" s="195">
        <v>1430</v>
      </c>
      <c r="D169" s="195">
        <v>8005</v>
      </c>
      <c r="E169" s="195">
        <v>3688</v>
      </c>
      <c r="F169" s="195">
        <v>12982</v>
      </c>
      <c r="G169" s="195">
        <v>32018</v>
      </c>
      <c r="H169" s="195">
        <v>17424</v>
      </c>
      <c r="I169" s="195">
        <v>8835</v>
      </c>
      <c r="J169" s="195">
        <v>5421</v>
      </c>
      <c r="K169" s="195" t="s">
        <v>29</v>
      </c>
      <c r="L169" s="31">
        <f t="shared" si="7"/>
        <v>89803</v>
      </c>
      <c r="M169" s="8"/>
      <c r="V169" s="8"/>
    </row>
    <row r="170" spans="1:22" x14ac:dyDescent="0.2">
      <c r="A170" s="383">
        <v>2000</v>
      </c>
      <c r="B170" s="195" t="s">
        <v>29</v>
      </c>
      <c r="C170" s="195" t="s">
        <v>29</v>
      </c>
      <c r="D170" s="195">
        <v>6572</v>
      </c>
      <c r="E170" s="195">
        <v>9720</v>
      </c>
      <c r="F170" s="195">
        <v>16714</v>
      </c>
      <c r="G170" s="195">
        <v>19102</v>
      </c>
      <c r="H170" s="195">
        <v>13302</v>
      </c>
      <c r="I170" s="195">
        <v>11421</v>
      </c>
      <c r="J170" s="195">
        <v>5430</v>
      </c>
      <c r="K170" s="195">
        <v>1451</v>
      </c>
      <c r="L170" s="31">
        <f t="shared" si="7"/>
        <v>83712</v>
      </c>
      <c r="M170" s="8"/>
      <c r="N170" s="8"/>
    </row>
    <row r="171" spans="1:22" x14ac:dyDescent="0.2">
      <c r="A171" s="383">
        <v>2001</v>
      </c>
      <c r="B171" s="195" t="s">
        <v>29</v>
      </c>
      <c r="C171" s="195" t="s">
        <v>29</v>
      </c>
      <c r="D171" s="195">
        <v>5689</v>
      </c>
      <c r="E171" s="195">
        <v>8646</v>
      </c>
      <c r="F171" s="195">
        <v>4968</v>
      </c>
      <c r="G171" s="195">
        <v>17387</v>
      </c>
      <c r="H171" s="195">
        <v>15521</v>
      </c>
      <c r="I171" s="195">
        <v>10727</v>
      </c>
      <c r="J171" s="195">
        <v>5974</v>
      </c>
      <c r="K171" s="195">
        <v>2578</v>
      </c>
      <c r="L171" s="31">
        <f t="shared" si="7"/>
        <v>71490</v>
      </c>
      <c r="M171" s="8"/>
      <c r="N171" s="8"/>
    </row>
    <row r="172" spans="1:22" x14ac:dyDescent="0.2">
      <c r="A172" s="383">
        <v>2002</v>
      </c>
      <c r="B172" s="195" t="s">
        <v>29</v>
      </c>
      <c r="C172" s="195" t="s">
        <v>29</v>
      </c>
      <c r="D172" s="195">
        <v>5322</v>
      </c>
      <c r="E172" s="195">
        <v>10758</v>
      </c>
      <c r="F172" s="195">
        <v>14016</v>
      </c>
      <c r="G172" s="195">
        <v>28354</v>
      </c>
      <c r="H172" s="195">
        <v>21029</v>
      </c>
      <c r="I172" s="195">
        <v>7104</v>
      </c>
      <c r="J172" s="195">
        <v>1820</v>
      </c>
      <c r="K172" s="195">
        <v>381</v>
      </c>
      <c r="L172" s="31">
        <f t="shared" si="7"/>
        <v>88784</v>
      </c>
      <c r="M172" s="8"/>
      <c r="N172" s="8"/>
    </row>
    <row r="173" spans="1:22" x14ac:dyDescent="0.2">
      <c r="A173" s="383">
        <v>2003</v>
      </c>
      <c r="B173" s="195" t="s">
        <v>29</v>
      </c>
      <c r="C173" s="195" t="s">
        <v>29</v>
      </c>
      <c r="D173" s="195">
        <v>4013</v>
      </c>
      <c r="E173" s="195">
        <v>8559</v>
      </c>
      <c r="F173" s="195">
        <v>11885</v>
      </c>
      <c r="G173" s="195">
        <v>22201</v>
      </c>
      <c r="H173" s="195">
        <v>11087</v>
      </c>
      <c r="I173" s="195">
        <v>5945</v>
      </c>
      <c r="J173" s="195">
        <v>2662</v>
      </c>
      <c r="K173" s="195">
        <v>264</v>
      </c>
      <c r="L173" s="31">
        <f t="shared" si="7"/>
        <v>66616</v>
      </c>
      <c r="M173" s="8"/>
      <c r="N173" s="8"/>
    </row>
    <row r="174" spans="1:22" x14ac:dyDescent="0.2">
      <c r="A174" s="383">
        <v>2004</v>
      </c>
      <c r="B174" s="195" t="s">
        <v>29</v>
      </c>
      <c r="C174" s="195" t="s">
        <v>29</v>
      </c>
      <c r="D174" s="195">
        <v>7232</v>
      </c>
      <c r="E174" s="195">
        <v>15145</v>
      </c>
      <c r="F174" s="195">
        <v>15864</v>
      </c>
      <c r="G174" s="195">
        <v>32723</v>
      </c>
      <c r="H174" s="195">
        <v>21167</v>
      </c>
      <c r="I174" s="195">
        <v>8372</v>
      </c>
      <c r="J174" s="195">
        <v>4063</v>
      </c>
      <c r="K174" s="195">
        <v>1512</v>
      </c>
      <c r="L174" s="31">
        <f t="shared" si="7"/>
        <v>106078</v>
      </c>
      <c r="M174" s="8"/>
      <c r="N174" s="8"/>
    </row>
    <row r="175" spans="1:22" x14ac:dyDescent="0.2">
      <c r="A175" s="383">
        <v>2005</v>
      </c>
      <c r="B175" s="195" t="s">
        <v>29</v>
      </c>
      <c r="C175" s="195" t="s">
        <v>29</v>
      </c>
      <c r="D175" s="195">
        <v>9003</v>
      </c>
      <c r="E175" s="195">
        <v>10890</v>
      </c>
      <c r="F175" s="195">
        <v>9888</v>
      </c>
      <c r="G175" s="195">
        <v>22712</v>
      </c>
      <c r="H175" s="195">
        <v>13543</v>
      </c>
      <c r="I175" s="195">
        <v>11925</v>
      </c>
      <c r="J175" s="195">
        <v>5846</v>
      </c>
      <c r="K175" s="195">
        <v>965</v>
      </c>
      <c r="L175" s="31">
        <f t="shared" si="7"/>
        <v>84772</v>
      </c>
      <c r="M175" s="8"/>
      <c r="N175" s="8"/>
    </row>
    <row r="176" spans="1:22" x14ac:dyDescent="0.2">
      <c r="A176" s="383">
        <v>2006</v>
      </c>
      <c r="B176" s="195" t="s">
        <v>29</v>
      </c>
      <c r="C176" s="195" t="s">
        <v>29</v>
      </c>
      <c r="D176" s="195">
        <v>3860</v>
      </c>
      <c r="E176" s="195">
        <v>11575</v>
      </c>
      <c r="F176" s="195">
        <v>13994</v>
      </c>
      <c r="G176" s="195">
        <v>20739</v>
      </c>
      <c r="H176" s="195">
        <v>5557</v>
      </c>
      <c r="I176" s="195">
        <v>3371</v>
      </c>
      <c r="J176" s="195">
        <v>1827</v>
      </c>
      <c r="K176" s="195">
        <v>448</v>
      </c>
      <c r="L176" s="31">
        <v>61371</v>
      </c>
      <c r="M176" s="8"/>
      <c r="N176" s="8"/>
    </row>
    <row r="177" spans="1:14" s="374" customFormat="1" x14ac:dyDescent="0.2">
      <c r="A177" s="402">
        <v>2007</v>
      </c>
      <c r="B177" s="196" t="s">
        <v>29</v>
      </c>
      <c r="C177" s="196" t="s">
        <v>29</v>
      </c>
      <c r="D177" s="196">
        <v>3505</v>
      </c>
      <c r="E177" s="196">
        <v>6915</v>
      </c>
      <c r="F177" s="196">
        <v>8340</v>
      </c>
      <c r="G177" s="196">
        <v>13775</v>
      </c>
      <c r="H177" s="196">
        <v>4908</v>
      </c>
      <c r="I177" s="196">
        <v>2511</v>
      </c>
      <c r="J177" s="196">
        <v>1766</v>
      </c>
      <c r="K177" s="196">
        <v>1394</v>
      </c>
      <c r="L177" s="52">
        <f>SUM(B177:K177)</f>
        <v>43114</v>
      </c>
      <c r="M177" s="9"/>
      <c r="N177" s="9"/>
    </row>
    <row r="178" spans="1:14" s="374" customFormat="1" x14ac:dyDescent="0.2">
      <c r="A178" s="402">
        <v>2008</v>
      </c>
      <c r="B178" s="196" t="s">
        <v>29</v>
      </c>
      <c r="C178" s="196" t="s">
        <v>29</v>
      </c>
      <c r="D178" s="196" t="s">
        <v>29</v>
      </c>
      <c r="E178" s="196" t="s">
        <v>29</v>
      </c>
      <c r="F178" s="196" t="s">
        <v>29</v>
      </c>
      <c r="G178" s="196" t="s">
        <v>29</v>
      </c>
      <c r="H178" s="196" t="s">
        <v>29</v>
      </c>
      <c r="I178" s="196" t="s">
        <v>29</v>
      </c>
      <c r="J178" s="196" t="s">
        <v>29</v>
      </c>
      <c r="K178" s="196" t="s">
        <v>29</v>
      </c>
      <c r="L178" s="52" t="s">
        <v>29</v>
      </c>
      <c r="M178" s="9"/>
      <c r="N178" s="9"/>
    </row>
    <row r="179" spans="1:14" s="374" customFormat="1" x14ac:dyDescent="0.2">
      <c r="A179" s="402">
        <v>2009</v>
      </c>
      <c r="B179" s="196" t="s">
        <v>29</v>
      </c>
      <c r="C179" s="196" t="s">
        <v>29</v>
      </c>
      <c r="D179" s="196" t="s">
        <v>29</v>
      </c>
      <c r="E179" s="196" t="s">
        <v>29</v>
      </c>
      <c r="F179" s="196" t="s">
        <v>29</v>
      </c>
      <c r="G179" s="196" t="s">
        <v>29</v>
      </c>
      <c r="H179" s="196" t="s">
        <v>29</v>
      </c>
      <c r="I179" s="196" t="s">
        <v>29</v>
      </c>
      <c r="J179" s="196" t="s">
        <v>29</v>
      </c>
      <c r="K179" s="196" t="s">
        <v>29</v>
      </c>
      <c r="L179" s="52" t="s">
        <v>29</v>
      </c>
      <c r="M179" s="9"/>
      <c r="N179" s="9"/>
    </row>
    <row r="180" spans="1:14" s="374" customFormat="1" x14ac:dyDescent="0.2">
      <c r="A180" s="122">
        <v>2010</v>
      </c>
      <c r="B180" s="196" t="s">
        <v>29</v>
      </c>
      <c r="C180" s="196" t="s">
        <v>29</v>
      </c>
      <c r="D180" s="196">
        <v>3889</v>
      </c>
      <c r="E180" s="196">
        <v>1521</v>
      </c>
      <c r="F180" s="196">
        <v>1693</v>
      </c>
      <c r="G180" s="196">
        <v>4846</v>
      </c>
      <c r="H180" s="196">
        <v>5730</v>
      </c>
      <c r="I180" s="196">
        <v>1673</v>
      </c>
      <c r="J180" s="196" t="s">
        <v>29</v>
      </c>
      <c r="K180" s="196" t="s">
        <v>29</v>
      </c>
      <c r="L180" s="52">
        <f t="shared" ref="L180:L190" si="8">SUM(B180:K180)</f>
        <v>19352</v>
      </c>
      <c r="M180" s="9"/>
      <c r="N180" s="9"/>
    </row>
    <row r="181" spans="1:14" s="374" customFormat="1" x14ac:dyDescent="0.2">
      <c r="A181" s="402">
        <v>2011</v>
      </c>
      <c r="B181" s="196" t="s">
        <v>29</v>
      </c>
      <c r="C181" s="196" t="s">
        <v>29</v>
      </c>
      <c r="D181" s="196">
        <v>2046</v>
      </c>
      <c r="E181" s="196">
        <v>2272</v>
      </c>
      <c r="F181" s="196">
        <v>1630</v>
      </c>
      <c r="G181" s="196">
        <v>8505</v>
      </c>
      <c r="H181" s="196">
        <v>9094</v>
      </c>
      <c r="I181" s="196">
        <v>7591</v>
      </c>
      <c r="J181" s="196">
        <v>3249</v>
      </c>
      <c r="K181" s="196" t="s">
        <v>29</v>
      </c>
      <c r="L181" s="52">
        <f t="shared" si="8"/>
        <v>34387</v>
      </c>
      <c r="M181" s="9"/>
      <c r="N181" s="9"/>
    </row>
    <row r="182" spans="1:14" s="374" customFormat="1" x14ac:dyDescent="0.2">
      <c r="A182" s="402">
        <v>2012</v>
      </c>
      <c r="B182" s="196" t="s">
        <v>29</v>
      </c>
      <c r="C182" s="196" t="s">
        <v>29</v>
      </c>
      <c r="D182" s="196">
        <v>4113</v>
      </c>
      <c r="E182" s="196">
        <v>6663</v>
      </c>
      <c r="F182" s="196">
        <v>11396</v>
      </c>
      <c r="G182" s="196">
        <v>15667</v>
      </c>
      <c r="H182" s="196">
        <v>10085</v>
      </c>
      <c r="I182" s="196">
        <v>6421</v>
      </c>
      <c r="J182" s="196">
        <v>2779</v>
      </c>
      <c r="K182" s="196">
        <v>418</v>
      </c>
      <c r="L182" s="52">
        <f t="shared" si="8"/>
        <v>57542</v>
      </c>
      <c r="M182" s="9"/>
      <c r="N182" s="9"/>
    </row>
    <row r="183" spans="1:14" s="374" customFormat="1" x14ac:dyDescent="0.2">
      <c r="A183" s="402">
        <v>2013</v>
      </c>
      <c r="B183" s="196" t="s">
        <v>29</v>
      </c>
      <c r="C183" s="196" t="s">
        <v>29</v>
      </c>
      <c r="D183" s="196">
        <v>6406</v>
      </c>
      <c r="E183" s="196">
        <v>7823</v>
      </c>
      <c r="F183" s="196">
        <v>11183</v>
      </c>
      <c r="G183" s="196">
        <v>22814</v>
      </c>
      <c r="H183" s="196">
        <v>14354</v>
      </c>
      <c r="I183" s="196">
        <v>4572</v>
      </c>
      <c r="J183" s="196">
        <v>2003</v>
      </c>
      <c r="K183" s="196">
        <v>379</v>
      </c>
      <c r="L183" s="52">
        <f t="shared" si="8"/>
        <v>69534</v>
      </c>
      <c r="M183" s="9"/>
      <c r="N183" s="9"/>
    </row>
    <row r="184" spans="1:14" s="374" customFormat="1" x14ac:dyDescent="0.2">
      <c r="A184" s="402">
        <v>2014</v>
      </c>
      <c r="B184" s="196" t="s">
        <v>29</v>
      </c>
      <c r="C184" s="196" t="s">
        <v>29</v>
      </c>
      <c r="D184" s="196">
        <v>3433</v>
      </c>
      <c r="E184" s="196">
        <v>3406</v>
      </c>
      <c r="F184" s="196">
        <v>2163</v>
      </c>
      <c r="G184" s="196">
        <v>11779</v>
      </c>
      <c r="H184" s="196">
        <v>18604</v>
      </c>
      <c r="I184" s="196">
        <v>9589</v>
      </c>
      <c r="J184" s="196">
        <v>5046</v>
      </c>
      <c r="K184" s="196">
        <v>675</v>
      </c>
      <c r="L184" s="52">
        <f t="shared" si="8"/>
        <v>54695</v>
      </c>
      <c r="M184" s="9"/>
      <c r="N184" s="9"/>
    </row>
    <row r="185" spans="1:14" s="374" customFormat="1" x14ac:dyDescent="0.2">
      <c r="A185" s="122">
        <v>2015</v>
      </c>
      <c r="B185" s="196" t="s">
        <v>29</v>
      </c>
      <c r="C185" s="196" t="s">
        <v>29</v>
      </c>
      <c r="D185" s="196">
        <v>2380</v>
      </c>
      <c r="E185" s="196">
        <v>2708</v>
      </c>
      <c r="F185" s="196">
        <v>5176</v>
      </c>
      <c r="G185" s="196">
        <v>9851</v>
      </c>
      <c r="H185" s="196">
        <v>12523</v>
      </c>
      <c r="I185" s="196">
        <v>9838</v>
      </c>
      <c r="J185" s="196">
        <v>3389</v>
      </c>
      <c r="K185" s="196" t="s">
        <v>29</v>
      </c>
      <c r="L185" s="52">
        <f>SUM(B185:K185)</f>
        <v>45865</v>
      </c>
      <c r="M185" s="9"/>
      <c r="N185" s="9"/>
    </row>
    <row r="186" spans="1:14" s="374" customFormat="1" x14ac:dyDescent="0.2">
      <c r="A186" s="122">
        <v>2016</v>
      </c>
      <c r="B186" s="196" t="s">
        <v>29</v>
      </c>
      <c r="C186" s="196" t="s">
        <v>29</v>
      </c>
      <c r="D186" s="196">
        <v>2797</v>
      </c>
      <c r="E186" s="196">
        <v>4723</v>
      </c>
      <c r="F186" s="196">
        <v>2797</v>
      </c>
      <c r="G186" s="196">
        <v>11554</v>
      </c>
      <c r="H186" s="196">
        <v>11437</v>
      </c>
      <c r="I186" s="196">
        <v>8205</v>
      </c>
      <c r="J186" s="196">
        <v>2298</v>
      </c>
      <c r="K186" s="196" t="s">
        <v>29</v>
      </c>
      <c r="L186" s="52">
        <f>SUM(B186:K186)</f>
        <v>43811</v>
      </c>
      <c r="M186" s="9"/>
      <c r="N186" s="9"/>
    </row>
    <row r="187" spans="1:14" s="374" customFormat="1" x14ac:dyDescent="0.2">
      <c r="A187" s="122">
        <v>2017</v>
      </c>
      <c r="B187" s="196" t="s">
        <v>29</v>
      </c>
      <c r="C187" s="196" t="s">
        <v>29</v>
      </c>
      <c r="D187" s="196">
        <v>1470</v>
      </c>
      <c r="E187" s="196">
        <v>1665</v>
      </c>
      <c r="F187" s="196">
        <v>5429</v>
      </c>
      <c r="G187" s="196">
        <v>19131</v>
      </c>
      <c r="H187" s="196">
        <v>17489</v>
      </c>
      <c r="I187" s="196">
        <v>7210</v>
      </c>
      <c r="J187" s="196">
        <v>1834</v>
      </c>
      <c r="K187" s="196" t="s">
        <v>29</v>
      </c>
      <c r="L187" s="52">
        <f>SUM(B187:K187)</f>
        <v>54228</v>
      </c>
      <c r="M187" s="9"/>
      <c r="N187" s="9"/>
    </row>
    <row r="188" spans="1:14" s="374" customFormat="1" x14ac:dyDescent="0.2">
      <c r="A188" s="122">
        <v>2018</v>
      </c>
      <c r="B188" s="196" t="s">
        <v>29</v>
      </c>
      <c r="C188" s="196" t="s">
        <v>29</v>
      </c>
      <c r="D188" s="196" t="s">
        <v>29</v>
      </c>
      <c r="E188" s="196" t="s">
        <v>29</v>
      </c>
      <c r="F188" s="196">
        <v>8043</v>
      </c>
      <c r="G188" s="196">
        <v>28234</v>
      </c>
      <c r="H188" s="196">
        <v>15575</v>
      </c>
      <c r="I188" s="196">
        <v>8561</v>
      </c>
      <c r="J188" s="196">
        <v>5033</v>
      </c>
      <c r="K188" s="196" t="s">
        <v>29</v>
      </c>
      <c r="L188" s="52">
        <f>SUM(B188:K188)</f>
        <v>65446</v>
      </c>
      <c r="M188" s="9"/>
      <c r="N188" s="9"/>
    </row>
    <row r="189" spans="1:14" s="487" customFormat="1" x14ac:dyDescent="0.2">
      <c r="A189" s="496" t="s">
        <v>398</v>
      </c>
      <c r="B189" s="196" t="s">
        <v>29</v>
      </c>
      <c r="C189" s="196" t="s">
        <v>29</v>
      </c>
      <c r="D189" s="196">
        <v>3207</v>
      </c>
      <c r="E189" s="196">
        <v>1612</v>
      </c>
      <c r="F189" s="196">
        <v>12056</v>
      </c>
      <c r="G189" s="196">
        <v>15392</v>
      </c>
      <c r="H189" s="196">
        <v>17321</v>
      </c>
      <c r="I189" s="196">
        <v>6697</v>
      </c>
      <c r="J189" s="196">
        <v>1769</v>
      </c>
      <c r="K189" s="196" t="s">
        <v>29</v>
      </c>
      <c r="L189" s="52">
        <f t="shared" ref="L189" si="9">SUM(B189:K189)</f>
        <v>58054</v>
      </c>
      <c r="M189" s="9"/>
      <c r="N189" s="9"/>
    </row>
    <row r="190" spans="1:14" x14ac:dyDescent="0.2">
      <c r="A190" s="496" t="s">
        <v>399</v>
      </c>
      <c r="B190" s="195" t="s">
        <v>29</v>
      </c>
      <c r="C190" s="196" t="s">
        <v>29</v>
      </c>
      <c r="D190" s="196" t="s">
        <v>29</v>
      </c>
      <c r="E190" s="196" t="s">
        <v>116</v>
      </c>
      <c r="F190" s="196" t="s">
        <v>116</v>
      </c>
      <c r="G190" s="196">
        <v>19769</v>
      </c>
      <c r="H190" s="196">
        <v>13959</v>
      </c>
      <c r="I190" s="196">
        <v>7084</v>
      </c>
      <c r="J190" s="196">
        <v>4111</v>
      </c>
      <c r="K190" s="196">
        <v>127</v>
      </c>
      <c r="L190" s="52">
        <f t="shared" si="8"/>
        <v>45050</v>
      </c>
      <c r="M190" s="8"/>
      <c r="N190" s="8"/>
    </row>
    <row r="191" spans="1:14" x14ac:dyDescent="0.2">
      <c r="A191" s="383" t="s">
        <v>45</v>
      </c>
      <c r="B191" s="195"/>
      <c r="C191" s="195"/>
      <c r="D191" s="195"/>
      <c r="E191" s="195"/>
      <c r="F191" s="195"/>
      <c r="G191" s="195"/>
      <c r="H191" s="195"/>
      <c r="I191" s="195"/>
      <c r="J191" s="195"/>
      <c r="K191" s="195"/>
      <c r="L191" s="31"/>
    </row>
    <row r="192" spans="1:14" x14ac:dyDescent="0.2">
      <c r="A192" s="116" t="s">
        <v>26</v>
      </c>
      <c r="B192" s="195"/>
      <c r="C192" s="195"/>
      <c r="D192" s="195"/>
      <c r="E192" s="195"/>
      <c r="F192" s="195"/>
      <c r="G192" s="195"/>
      <c r="H192" s="195"/>
      <c r="I192" s="195"/>
      <c r="J192" s="195"/>
      <c r="K192" s="195"/>
      <c r="L192" s="31"/>
    </row>
    <row r="193" spans="1:22" x14ac:dyDescent="0.2">
      <c r="A193" s="383">
        <v>1976</v>
      </c>
      <c r="B193" s="195">
        <v>1992</v>
      </c>
      <c r="C193" s="195">
        <v>2946</v>
      </c>
      <c r="D193" s="195">
        <v>1369</v>
      </c>
      <c r="E193" s="195">
        <v>3910</v>
      </c>
      <c r="F193" s="195">
        <v>978</v>
      </c>
      <c r="G193" s="195">
        <v>2054</v>
      </c>
      <c r="H193" s="195">
        <v>452</v>
      </c>
      <c r="I193" s="195">
        <v>165</v>
      </c>
      <c r="J193" s="195">
        <v>220</v>
      </c>
      <c r="K193" s="195">
        <v>96</v>
      </c>
      <c r="L193" s="31">
        <f t="shared" ref="L193:L222" si="10">SUM(B193:K193)</f>
        <v>14182</v>
      </c>
    </row>
    <row r="194" spans="1:22" x14ac:dyDescent="0.2">
      <c r="A194" s="383">
        <v>1977</v>
      </c>
      <c r="B194" s="195">
        <v>2482</v>
      </c>
      <c r="C194" s="195">
        <v>2034</v>
      </c>
      <c r="D194" s="195">
        <v>2436</v>
      </c>
      <c r="E194" s="195">
        <v>1072</v>
      </c>
      <c r="F194" s="195">
        <v>484</v>
      </c>
      <c r="G194" s="195">
        <v>686</v>
      </c>
      <c r="H194" s="195">
        <v>567</v>
      </c>
      <c r="I194" s="195">
        <v>167</v>
      </c>
      <c r="J194" s="195">
        <v>0</v>
      </c>
      <c r="K194" s="195">
        <v>0</v>
      </c>
      <c r="L194" s="31">
        <f t="shared" si="10"/>
        <v>9928</v>
      </c>
    </row>
    <row r="195" spans="1:22" x14ac:dyDescent="0.2">
      <c r="A195" s="383">
        <v>1978</v>
      </c>
      <c r="B195" s="195">
        <v>1247</v>
      </c>
      <c r="C195" s="195">
        <v>1919</v>
      </c>
      <c r="D195" s="195">
        <v>834</v>
      </c>
      <c r="E195" s="195">
        <v>309</v>
      </c>
      <c r="F195" s="195">
        <v>898</v>
      </c>
      <c r="G195" s="195">
        <v>761</v>
      </c>
      <c r="H195" s="195">
        <v>175</v>
      </c>
      <c r="I195" s="195">
        <v>253</v>
      </c>
      <c r="J195" s="195">
        <v>171</v>
      </c>
      <c r="K195" s="195">
        <v>71</v>
      </c>
      <c r="L195" s="31">
        <f t="shared" si="10"/>
        <v>6638</v>
      </c>
    </row>
    <row r="196" spans="1:22" x14ac:dyDescent="0.2">
      <c r="A196" s="383">
        <v>1979</v>
      </c>
      <c r="B196" s="195">
        <v>2226</v>
      </c>
      <c r="C196" s="195">
        <v>1844</v>
      </c>
      <c r="D196" s="195">
        <v>3959</v>
      </c>
      <c r="E196" s="195">
        <v>551</v>
      </c>
      <c r="F196" s="195">
        <v>139</v>
      </c>
      <c r="G196" s="195">
        <v>577</v>
      </c>
      <c r="H196" s="195">
        <v>403</v>
      </c>
      <c r="I196" s="195">
        <v>115</v>
      </c>
      <c r="J196" s="195">
        <v>50</v>
      </c>
      <c r="K196" s="195" t="s">
        <v>29</v>
      </c>
      <c r="L196" s="31">
        <f t="shared" si="10"/>
        <v>9864</v>
      </c>
    </row>
    <row r="197" spans="1:22" x14ac:dyDescent="0.2">
      <c r="A197" s="383">
        <v>1980</v>
      </c>
      <c r="B197" s="195">
        <v>867</v>
      </c>
      <c r="C197" s="195">
        <v>2252</v>
      </c>
      <c r="D197" s="195">
        <v>1322</v>
      </c>
      <c r="E197" s="195">
        <v>304</v>
      </c>
      <c r="F197" s="195">
        <v>2158</v>
      </c>
      <c r="G197" s="195">
        <v>1608</v>
      </c>
      <c r="H197" s="195">
        <v>895</v>
      </c>
      <c r="I197" s="195">
        <v>107</v>
      </c>
      <c r="J197" s="195">
        <v>65</v>
      </c>
      <c r="K197" s="195" t="s">
        <v>29</v>
      </c>
      <c r="L197" s="31">
        <f t="shared" si="10"/>
        <v>9578</v>
      </c>
    </row>
    <row r="198" spans="1:22" x14ac:dyDescent="0.2">
      <c r="A198" s="383">
        <v>1981</v>
      </c>
      <c r="B198" s="195">
        <v>448</v>
      </c>
      <c r="C198" s="195">
        <v>1661</v>
      </c>
      <c r="D198" s="195">
        <v>2619</v>
      </c>
      <c r="E198" s="195">
        <v>458</v>
      </c>
      <c r="F198" s="195">
        <v>307</v>
      </c>
      <c r="G198" s="195">
        <v>1465</v>
      </c>
      <c r="H198" s="195">
        <v>735</v>
      </c>
      <c r="I198" s="195">
        <v>82</v>
      </c>
      <c r="J198" s="195">
        <v>264</v>
      </c>
      <c r="K198" s="195">
        <v>410</v>
      </c>
      <c r="L198" s="31">
        <f t="shared" si="10"/>
        <v>8449</v>
      </c>
    </row>
    <row r="199" spans="1:22" x14ac:dyDescent="0.2">
      <c r="A199" s="383">
        <v>1982</v>
      </c>
      <c r="B199" s="195">
        <v>995</v>
      </c>
      <c r="C199" s="195">
        <v>1839</v>
      </c>
      <c r="D199" s="195">
        <v>2857</v>
      </c>
      <c r="E199" s="195">
        <v>2140</v>
      </c>
      <c r="F199" s="195">
        <v>1162</v>
      </c>
      <c r="G199" s="195">
        <v>1458</v>
      </c>
      <c r="H199" s="195">
        <v>969</v>
      </c>
      <c r="I199" s="195">
        <v>687</v>
      </c>
      <c r="J199" s="195">
        <v>17</v>
      </c>
      <c r="K199" s="195">
        <v>0</v>
      </c>
      <c r="L199" s="31">
        <f t="shared" si="10"/>
        <v>12124</v>
      </c>
    </row>
    <row r="200" spans="1:22" x14ac:dyDescent="0.2">
      <c r="A200" s="383">
        <v>1983</v>
      </c>
      <c r="B200" s="195">
        <v>148</v>
      </c>
      <c r="C200" s="195">
        <v>99</v>
      </c>
      <c r="D200" s="195">
        <v>1979</v>
      </c>
      <c r="E200" s="195">
        <v>2783</v>
      </c>
      <c r="F200" s="195">
        <v>2012</v>
      </c>
      <c r="G200" s="195">
        <v>1902</v>
      </c>
      <c r="H200" s="195">
        <v>542</v>
      </c>
      <c r="I200" s="195">
        <v>17</v>
      </c>
      <c r="J200" s="195">
        <v>22</v>
      </c>
      <c r="K200" s="195">
        <v>0</v>
      </c>
      <c r="L200" s="31">
        <f t="shared" si="10"/>
        <v>9504</v>
      </c>
    </row>
    <row r="201" spans="1:22" x14ac:dyDescent="0.2">
      <c r="A201" s="383">
        <v>1984</v>
      </c>
      <c r="B201" s="195">
        <v>197</v>
      </c>
      <c r="C201" s="195">
        <v>551</v>
      </c>
      <c r="D201" s="195">
        <v>3396</v>
      </c>
      <c r="E201" s="195">
        <v>3178</v>
      </c>
      <c r="F201" s="195">
        <v>1791</v>
      </c>
      <c r="G201" s="195">
        <v>3619</v>
      </c>
      <c r="H201" s="195">
        <v>539</v>
      </c>
      <c r="I201" s="195">
        <v>13</v>
      </c>
      <c r="J201" s="195">
        <v>34</v>
      </c>
      <c r="K201" s="195">
        <v>9</v>
      </c>
      <c r="L201" s="31">
        <f t="shared" si="10"/>
        <v>13327</v>
      </c>
    </row>
    <row r="202" spans="1:22" x14ac:dyDescent="0.2">
      <c r="A202" s="383">
        <v>1985</v>
      </c>
      <c r="B202" s="195">
        <v>3160</v>
      </c>
      <c r="C202" s="195">
        <v>6520</v>
      </c>
      <c r="D202" s="195">
        <v>2800</v>
      </c>
      <c r="E202" s="195">
        <v>1204</v>
      </c>
      <c r="F202" s="195">
        <v>1313</v>
      </c>
      <c r="G202" s="195">
        <v>1522</v>
      </c>
      <c r="H202" s="195">
        <v>1240</v>
      </c>
      <c r="I202" s="195">
        <v>20</v>
      </c>
      <c r="J202" s="195">
        <v>0</v>
      </c>
      <c r="K202" s="195">
        <v>0</v>
      </c>
      <c r="L202" s="31">
        <f t="shared" si="10"/>
        <v>17779</v>
      </c>
    </row>
    <row r="203" spans="1:22" x14ac:dyDescent="0.2">
      <c r="A203" s="383">
        <v>1986</v>
      </c>
      <c r="B203" s="195">
        <v>212</v>
      </c>
      <c r="C203" s="195">
        <v>5695</v>
      </c>
      <c r="D203" s="195">
        <v>9281</v>
      </c>
      <c r="E203" s="195">
        <v>3940</v>
      </c>
      <c r="F203" s="195">
        <v>5118</v>
      </c>
      <c r="G203" s="195">
        <v>7298</v>
      </c>
      <c r="H203" s="195">
        <v>2762</v>
      </c>
      <c r="I203" s="195">
        <v>1054</v>
      </c>
      <c r="J203" s="195">
        <v>812</v>
      </c>
      <c r="K203" s="195">
        <v>4</v>
      </c>
      <c r="L203" s="31">
        <f t="shared" si="10"/>
        <v>36176</v>
      </c>
    </row>
    <row r="204" spans="1:22" x14ac:dyDescent="0.2">
      <c r="A204" s="383">
        <v>1987</v>
      </c>
      <c r="B204" s="195">
        <v>4327</v>
      </c>
      <c r="C204" s="195">
        <v>9303</v>
      </c>
      <c r="D204" s="195">
        <v>6205</v>
      </c>
      <c r="E204" s="195">
        <v>3300</v>
      </c>
      <c r="F204" s="195">
        <v>4671</v>
      </c>
      <c r="G204" s="195">
        <v>11360</v>
      </c>
      <c r="H204" s="195">
        <v>7099</v>
      </c>
      <c r="I204" s="195">
        <v>1231</v>
      </c>
      <c r="J204" s="195">
        <v>159</v>
      </c>
      <c r="K204" s="195">
        <v>29</v>
      </c>
      <c r="L204" s="31">
        <f t="shared" si="10"/>
        <v>47684</v>
      </c>
    </row>
    <row r="205" spans="1:22" x14ac:dyDescent="0.2">
      <c r="A205" s="383">
        <v>1988</v>
      </c>
      <c r="B205" s="195">
        <v>4085</v>
      </c>
      <c r="C205" s="195">
        <v>5783</v>
      </c>
      <c r="D205" s="195">
        <v>6384</v>
      </c>
      <c r="E205" s="195">
        <v>5909</v>
      </c>
      <c r="F205" s="195">
        <v>6549</v>
      </c>
      <c r="G205" s="195">
        <v>8741</v>
      </c>
      <c r="H205" s="195">
        <v>2352</v>
      </c>
      <c r="I205" s="195">
        <v>37</v>
      </c>
      <c r="J205" s="195">
        <v>45</v>
      </c>
      <c r="K205" s="195">
        <v>0</v>
      </c>
      <c r="L205" s="31">
        <f t="shared" si="10"/>
        <v>39885</v>
      </c>
    </row>
    <row r="206" spans="1:22" x14ac:dyDescent="0.2">
      <c r="A206" s="383">
        <v>1989</v>
      </c>
      <c r="B206" s="195">
        <v>3870</v>
      </c>
      <c r="C206" s="195">
        <v>6570</v>
      </c>
      <c r="D206" s="195">
        <v>20058</v>
      </c>
      <c r="E206" s="195">
        <v>5074</v>
      </c>
      <c r="F206" s="195">
        <v>5709</v>
      </c>
      <c r="G206" s="195">
        <v>8786</v>
      </c>
      <c r="H206" s="195">
        <v>5282</v>
      </c>
      <c r="I206" s="195">
        <v>342</v>
      </c>
      <c r="J206" s="195">
        <v>23</v>
      </c>
      <c r="K206" s="195">
        <v>18</v>
      </c>
      <c r="L206" s="31">
        <f t="shared" si="10"/>
        <v>55732</v>
      </c>
    </row>
    <row r="207" spans="1:22" x14ac:dyDescent="0.2">
      <c r="A207" s="383">
        <v>1990</v>
      </c>
      <c r="B207" s="195">
        <v>4743</v>
      </c>
      <c r="C207" s="195">
        <v>8953</v>
      </c>
      <c r="D207" s="195">
        <v>16549</v>
      </c>
      <c r="E207" s="195">
        <v>2480</v>
      </c>
      <c r="F207" s="195">
        <v>11140</v>
      </c>
      <c r="G207" s="195">
        <v>16588</v>
      </c>
      <c r="H207" s="195">
        <v>3414</v>
      </c>
      <c r="I207" s="195">
        <v>522</v>
      </c>
      <c r="J207" s="195">
        <v>307</v>
      </c>
      <c r="K207" s="195">
        <v>1771</v>
      </c>
      <c r="L207" s="31">
        <f t="shared" si="10"/>
        <v>66467</v>
      </c>
    </row>
    <row r="208" spans="1:22" x14ac:dyDescent="0.2">
      <c r="A208" s="383">
        <v>1991</v>
      </c>
      <c r="B208" s="195">
        <v>23</v>
      </c>
      <c r="C208" s="195">
        <v>8162</v>
      </c>
      <c r="D208" s="195">
        <v>11089</v>
      </c>
      <c r="E208" s="195">
        <v>3886</v>
      </c>
      <c r="F208" s="195">
        <v>8910</v>
      </c>
      <c r="G208" s="195">
        <v>13994</v>
      </c>
      <c r="H208" s="195">
        <v>2723</v>
      </c>
      <c r="I208" s="195">
        <v>476</v>
      </c>
      <c r="J208" s="195">
        <v>1561</v>
      </c>
      <c r="K208" s="194" t="s">
        <v>116</v>
      </c>
      <c r="L208" s="31">
        <f t="shared" si="10"/>
        <v>50824</v>
      </c>
      <c r="M208" s="8"/>
      <c r="V208" s="8"/>
    </row>
    <row r="209" spans="1:22" x14ac:dyDescent="0.2">
      <c r="A209" s="383">
        <v>1992</v>
      </c>
      <c r="B209" s="195">
        <v>1173</v>
      </c>
      <c r="C209" s="195">
        <v>7257</v>
      </c>
      <c r="D209" s="195">
        <v>7084</v>
      </c>
      <c r="E209" s="195">
        <v>3468</v>
      </c>
      <c r="F209" s="195">
        <v>4701</v>
      </c>
      <c r="G209" s="195">
        <v>6604</v>
      </c>
      <c r="H209" s="195">
        <v>3215</v>
      </c>
      <c r="I209" s="195">
        <v>1239</v>
      </c>
      <c r="J209" s="195">
        <v>1098</v>
      </c>
      <c r="K209" s="195">
        <v>600</v>
      </c>
      <c r="L209" s="31">
        <f t="shared" si="10"/>
        <v>36439</v>
      </c>
    </row>
    <row r="210" spans="1:22" x14ac:dyDescent="0.2">
      <c r="A210" s="383">
        <v>1993</v>
      </c>
      <c r="B210" s="195">
        <v>319</v>
      </c>
      <c r="C210" s="195">
        <v>8250</v>
      </c>
      <c r="D210" s="195">
        <v>11068</v>
      </c>
      <c r="E210" s="195">
        <v>6216</v>
      </c>
      <c r="F210" s="195">
        <v>2926</v>
      </c>
      <c r="G210" s="195">
        <v>5037</v>
      </c>
      <c r="H210" s="195">
        <v>2863</v>
      </c>
      <c r="I210" s="195">
        <v>1390</v>
      </c>
      <c r="J210" s="195">
        <v>1019</v>
      </c>
      <c r="K210" s="195" t="s">
        <v>29</v>
      </c>
      <c r="L210" s="31">
        <f t="shared" si="10"/>
        <v>39088</v>
      </c>
      <c r="V210" s="8"/>
    </row>
    <row r="211" spans="1:22" x14ac:dyDescent="0.2">
      <c r="A211" s="383">
        <v>1994</v>
      </c>
      <c r="B211" s="195">
        <v>1653</v>
      </c>
      <c r="C211" s="195">
        <v>8095</v>
      </c>
      <c r="D211" s="195">
        <v>10332</v>
      </c>
      <c r="E211" s="195">
        <v>5663</v>
      </c>
      <c r="F211" s="195">
        <v>6854</v>
      </c>
      <c r="G211" s="195">
        <v>9553</v>
      </c>
      <c r="H211" s="195">
        <v>2054</v>
      </c>
      <c r="I211" s="195">
        <v>1629</v>
      </c>
      <c r="J211" s="195">
        <v>2314</v>
      </c>
      <c r="K211" s="195" t="s">
        <v>29</v>
      </c>
      <c r="L211" s="31">
        <f t="shared" si="10"/>
        <v>48147</v>
      </c>
      <c r="V211" s="8"/>
    </row>
    <row r="212" spans="1:22" x14ac:dyDescent="0.2">
      <c r="A212" s="383">
        <v>1995</v>
      </c>
      <c r="B212" s="195" t="s">
        <v>29</v>
      </c>
      <c r="C212" s="195">
        <v>12796</v>
      </c>
      <c r="D212" s="195">
        <v>38038</v>
      </c>
      <c r="E212" s="195">
        <v>41564</v>
      </c>
      <c r="F212" s="195">
        <v>31919</v>
      </c>
      <c r="G212" s="195">
        <v>46518</v>
      </c>
      <c r="H212" s="195">
        <v>11742</v>
      </c>
      <c r="I212" s="195">
        <v>523</v>
      </c>
      <c r="J212" s="194" t="s">
        <v>116</v>
      </c>
      <c r="K212" s="195" t="s">
        <v>29</v>
      </c>
      <c r="L212" s="31">
        <f t="shared" si="10"/>
        <v>183100</v>
      </c>
      <c r="M212" s="8"/>
      <c r="U212" s="8"/>
      <c r="V212" s="8"/>
    </row>
    <row r="213" spans="1:22" x14ac:dyDescent="0.2">
      <c r="A213" s="383">
        <v>1996</v>
      </c>
      <c r="B213" s="195" t="s">
        <v>29</v>
      </c>
      <c r="C213" s="195">
        <v>15229</v>
      </c>
      <c r="D213" s="195">
        <v>15261</v>
      </c>
      <c r="E213" s="195">
        <v>9370</v>
      </c>
      <c r="F213" s="195">
        <v>6983</v>
      </c>
      <c r="G213" s="195">
        <v>11919</v>
      </c>
      <c r="H213" s="195">
        <v>5765</v>
      </c>
      <c r="I213" s="195" t="s">
        <v>29</v>
      </c>
      <c r="J213" s="195" t="s">
        <v>29</v>
      </c>
      <c r="K213" s="195" t="s">
        <v>29</v>
      </c>
      <c r="L213" s="31">
        <f t="shared" si="10"/>
        <v>64527</v>
      </c>
      <c r="M213" s="8"/>
      <c r="T213" s="8"/>
      <c r="U213" s="8"/>
      <c r="V213" s="8"/>
    </row>
    <row r="214" spans="1:22" x14ac:dyDescent="0.2">
      <c r="A214" s="383">
        <v>1997</v>
      </c>
      <c r="B214" s="195" t="s">
        <v>29</v>
      </c>
      <c r="C214" s="195">
        <v>16378</v>
      </c>
      <c r="D214" s="195">
        <v>17653</v>
      </c>
      <c r="E214" s="195">
        <v>9134</v>
      </c>
      <c r="F214" s="195">
        <v>18304</v>
      </c>
      <c r="G214" s="195">
        <v>18616</v>
      </c>
      <c r="H214" s="195">
        <v>3729</v>
      </c>
      <c r="I214" s="195">
        <v>232</v>
      </c>
      <c r="J214" s="194" t="s">
        <v>116</v>
      </c>
      <c r="K214" s="195" t="s">
        <v>29</v>
      </c>
      <c r="L214" s="31">
        <f t="shared" si="10"/>
        <v>84046</v>
      </c>
      <c r="M214" s="8"/>
      <c r="U214" s="8"/>
      <c r="V214" s="8"/>
    </row>
    <row r="215" spans="1:22" x14ac:dyDescent="0.2">
      <c r="A215" s="383">
        <v>1998</v>
      </c>
      <c r="B215" s="195" t="s">
        <v>29</v>
      </c>
      <c r="C215" s="195">
        <v>5918</v>
      </c>
      <c r="D215" s="195">
        <v>10719</v>
      </c>
      <c r="E215" s="195">
        <v>11234</v>
      </c>
      <c r="F215" s="195">
        <v>12240</v>
      </c>
      <c r="G215" s="195">
        <v>10062</v>
      </c>
      <c r="H215" s="195">
        <v>1930</v>
      </c>
      <c r="I215" s="195">
        <v>345</v>
      </c>
      <c r="J215" s="195" t="s">
        <v>29</v>
      </c>
      <c r="K215" s="195" t="s">
        <v>29</v>
      </c>
      <c r="L215" s="31">
        <f t="shared" si="10"/>
        <v>52448</v>
      </c>
      <c r="M215" s="8"/>
      <c r="U215" s="8"/>
      <c r="V215" s="8"/>
    </row>
    <row r="216" spans="1:22" x14ac:dyDescent="0.2">
      <c r="A216" s="383">
        <v>1999</v>
      </c>
      <c r="B216" s="195" t="s">
        <v>29</v>
      </c>
      <c r="C216" s="195">
        <v>7231</v>
      </c>
      <c r="D216" s="195">
        <v>3585</v>
      </c>
      <c r="E216" s="195">
        <v>2405</v>
      </c>
      <c r="F216" s="195">
        <v>7379</v>
      </c>
      <c r="G216" s="195">
        <v>6260</v>
      </c>
      <c r="H216" s="195">
        <v>2064</v>
      </c>
      <c r="I216" s="195">
        <v>315</v>
      </c>
      <c r="J216" s="195" t="s">
        <v>29</v>
      </c>
      <c r="K216" s="195" t="s">
        <v>29</v>
      </c>
      <c r="L216" s="31">
        <f t="shared" si="10"/>
        <v>29239</v>
      </c>
      <c r="M216" s="8"/>
      <c r="U216" s="8"/>
      <c r="V216" s="8"/>
    </row>
    <row r="217" spans="1:22" x14ac:dyDescent="0.2">
      <c r="A217" s="383">
        <v>2000</v>
      </c>
      <c r="B217" s="195" t="s">
        <v>29</v>
      </c>
      <c r="C217" s="195" t="s">
        <v>29</v>
      </c>
      <c r="D217" s="195">
        <v>28828</v>
      </c>
      <c r="E217" s="195">
        <v>19871</v>
      </c>
      <c r="F217" s="195">
        <v>14416</v>
      </c>
      <c r="G217" s="195">
        <v>14646</v>
      </c>
      <c r="H217" s="195">
        <v>4872</v>
      </c>
      <c r="I217" s="195">
        <v>2154</v>
      </c>
      <c r="J217" s="195" t="s">
        <v>29</v>
      </c>
      <c r="K217" s="195" t="s">
        <v>29</v>
      </c>
      <c r="L217" s="31">
        <f t="shared" si="10"/>
        <v>84787</v>
      </c>
      <c r="M217" s="8"/>
      <c r="N217" s="8"/>
      <c r="U217" s="8"/>
      <c r="V217" s="8"/>
    </row>
    <row r="218" spans="1:22" x14ac:dyDescent="0.2">
      <c r="A218" s="383">
        <v>2001</v>
      </c>
      <c r="B218" s="195" t="s">
        <v>29</v>
      </c>
      <c r="C218" s="195">
        <v>883</v>
      </c>
      <c r="D218" s="195">
        <v>19395</v>
      </c>
      <c r="E218" s="195">
        <v>10966</v>
      </c>
      <c r="F218" s="195">
        <v>2071</v>
      </c>
      <c r="G218" s="195">
        <v>3934</v>
      </c>
      <c r="H218" s="195">
        <v>604</v>
      </c>
      <c r="I218" s="195">
        <v>301</v>
      </c>
      <c r="J218" s="195" t="s">
        <v>29</v>
      </c>
      <c r="K218" s="195" t="s">
        <v>29</v>
      </c>
      <c r="L218" s="31">
        <f t="shared" si="10"/>
        <v>38154</v>
      </c>
      <c r="M218" s="8"/>
      <c r="U218" s="8"/>
      <c r="V218" s="8"/>
    </row>
    <row r="219" spans="1:22" x14ac:dyDescent="0.2">
      <c r="A219" s="383">
        <v>2002</v>
      </c>
      <c r="B219" s="195" t="s">
        <v>29</v>
      </c>
      <c r="C219" s="195">
        <v>2863</v>
      </c>
      <c r="D219" s="195">
        <v>32727</v>
      </c>
      <c r="E219" s="195">
        <v>11892</v>
      </c>
      <c r="F219" s="195">
        <v>9005</v>
      </c>
      <c r="G219" s="195">
        <v>8983</v>
      </c>
      <c r="H219" s="195">
        <v>2304</v>
      </c>
      <c r="I219" s="195">
        <v>149</v>
      </c>
      <c r="J219" s="195" t="s">
        <v>29</v>
      </c>
      <c r="K219" s="195" t="s">
        <v>29</v>
      </c>
      <c r="L219" s="31">
        <f t="shared" si="10"/>
        <v>67923</v>
      </c>
      <c r="M219" s="8"/>
      <c r="U219" s="8"/>
      <c r="V219" s="8"/>
    </row>
    <row r="220" spans="1:22" x14ac:dyDescent="0.2">
      <c r="A220" s="383">
        <v>2003</v>
      </c>
      <c r="B220" s="195" t="s">
        <v>29</v>
      </c>
      <c r="C220" s="195">
        <v>5092</v>
      </c>
      <c r="D220" s="195">
        <v>10118</v>
      </c>
      <c r="E220" s="195">
        <v>5834</v>
      </c>
      <c r="F220" s="195">
        <v>3165</v>
      </c>
      <c r="G220" s="195">
        <v>4083</v>
      </c>
      <c r="H220" s="195">
        <v>233</v>
      </c>
      <c r="I220" s="194" t="s">
        <v>116</v>
      </c>
      <c r="J220" s="195" t="s">
        <v>29</v>
      </c>
      <c r="K220" s="195" t="s">
        <v>29</v>
      </c>
      <c r="L220" s="31">
        <f t="shared" si="10"/>
        <v>28525</v>
      </c>
      <c r="M220" s="8"/>
      <c r="T220" s="8"/>
      <c r="U220" s="8"/>
      <c r="V220" s="8"/>
    </row>
    <row r="221" spans="1:22" x14ac:dyDescent="0.2">
      <c r="A221" s="383">
        <v>2004</v>
      </c>
      <c r="B221" s="195" t="s">
        <v>29</v>
      </c>
      <c r="C221" s="195" t="s">
        <v>29</v>
      </c>
      <c r="D221" s="195">
        <v>24564</v>
      </c>
      <c r="E221" s="195">
        <v>11320</v>
      </c>
      <c r="F221" s="195">
        <v>4443</v>
      </c>
      <c r="G221" s="195">
        <v>13358</v>
      </c>
      <c r="H221" s="195">
        <v>2335</v>
      </c>
      <c r="I221" s="195">
        <v>475</v>
      </c>
      <c r="J221" s="195" t="s">
        <v>29</v>
      </c>
      <c r="K221" s="195" t="s">
        <v>29</v>
      </c>
      <c r="L221" s="31">
        <f t="shared" si="10"/>
        <v>56495</v>
      </c>
      <c r="M221" s="8"/>
      <c r="U221" s="8"/>
      <c r="V221" s="8"/>
    </row>
    <row r="222" spans="1:22" x14ac:dyDescent="0.2">
      <c r="A222" s="383">
        <v>2005</v>
      </c>
      <c r="B222" s="195" t="s">
        <v>29</v>
      </c>
      <c r="C222" s="195" t="s">
        <v>29</v>
      </c>
      <c r="D222" s="195">
        <v>14787</v>
      </c>
      <c r="E222" s="195">
        <v>6997</v>
      </c>
      <c r="F222" s="195">
        <v>13298</v>
      </c>
      <c r="G222" s="195">
        <v>8870</v>
      </c>
      <c r="H222" s="195">
        <v>1354</v>
      </c>
      <c r="I222" s="195">
        <v>361</v>
      </c>
      <c r="J222" s="195" t="s">
        <v>29</v>
      </c>
      <c r="K222" s="195" t="s">
        <v>29</v>
      </c>
      <c r="L222" s="31">
        <f t="shared" si="10"/>
        <v>45667</v>
      </c>
      <c r="M222" s="8"/>
      <c r="U222" s="8"/>
      <c r="V222" s="8"/>
    </row>
    <row r="223" spans="1:22" x14ac:dyDescent="0.2">
      <c r="A223" s="383">
        <v>2006</v>
      </c>
      <c r="B223" s="195" t="s">
        <v>29</v>
      </c>
      <c r="C223" s="195" t="s">
        <v>29</v>
      </c>
      <c r="D223" s="195">
        <v>14538</v>
      </c>
      <c r="E223" s="195">
        <v>3226</v>
      </c>
      <c r="F223" s="195">
        <v>5465</v>
      </c>
      <c r="G223" s="195">
        <v>4311</v>
      </c>
      <c r="H223" s="195">
        <v>76</v>
      </c>
      <c r="I223" s="195">
        <v>100</v>
      </c>
      <c r="J223" s="195" t="s">
        <v>29</v>
      </c>
      <c r="K223" s="195" t="s">
        <v>29</v>
      </c>
      <c r="L223" s="31">
        <v>27716</v>
      </c>
      <c r="M223" s="8"/>
      <c r="U223" s="8"/>
      <c r="V223" s="8"/>
    </row>
    <row r="224" spans="1:22" s="374" customFormat="1" x14ac:dyDescent="0.2">
      <c r="A224" s="402">
        <v>2007</v>
      </c>
      <c r="B224" s="196" t="s">
        <v>29</v>
      </c>
      <c r="C224" s="196" t="s">
        <v>29</v>
      </c>
      <c r="D224" s="196">
        <v>10846</v>
      </c>
      <c r="E224" s="196">
        <v>4102</v>
      </c>
      <c r="F224" s="196">
        <v>5687</v>
      </c>
      <c r="G224" s="196">
        <v>2502</v>
      </c>
      <c r="H224" s="196">
        <v>1611</v>
      </c>
      <c r="I224" s="196">
        <v>434</v>
      </c>
      <c r="J224" s="196">
        <v>26</v>
      </c>
      <c r="K224" s="196" t="s">
        <v>29</v>
      </c>
      <c r="L224" s="52">
        <f>SUM(B224:K224)</f>
        <v>25208</v>
      </c>
      <c r="M224" s="9"/>
      <c r="U224" s="9"/>
      <c r="V224" s="9"/>
    </row>
    <row r="225" spans="1:22" s="374" customFormat="1" x14ac:dyDescent="0.2">
      <c r="A225" s="402">
        <v>2008</v>
      </c>
      <c r="B225" s="196" t="s">
        <v>29</v>
      </c>
      <c r="C225" s="196" t="s">
        <v>29</v>
      </c>
      <c r="D225" s="196" t="s">
        <v>29</v>
      </c>
      <c r="E225" s="196" t="s">
        <v>29</v>
      </c>
      <c r="F225" s="196" t="s">
        <v>29</v>
      </c>
      <c r="G225" s="196" t="s">
        <v>29</v>
      </c>
      <c r="H225" s="196" t="s">
        <v>29</v>
      </c>
      <c r="I225" s="196" t="s">
        <v>29</v>
      </c>
      <c r="J225" s="196" t="s">
        <v>29</v>
      </c>
      <c r="K225" s="196" t="s">
        <v>29</v>
      </c>
      <c r="L225" s="52" t="s">
        <v>29</v>
      </c>
      <c r="M225" s="9"/>
      <c r="U225" s="9"/>
      <c r="V225" s="9"/>
    </row>
    <row r="226" spans="1:22" s="374" customFormat="1" x14ac:dyDescent="0.2">
      <c r="A226" s="402">
        <v>2009</v>
      </c>
      <c r="B226" s="196" t="s">
        <v>29</v>
      </c>
      <c r="C226" s="196" t="s">
        <v>29</v>
      </c>
      <c r="D226" s="196" t="s">
        <v>29</v>
      </c>
      <c r="E226" s="196" t="s">
        <v>29</v>
      </c>
      <c r="F226" s="196" t="s">
        <v>29</v>
      </c>
      <c r="G226" s="196" t="s">
        <v>29</v>
      </c>
      <c r="H226" s="196" t="s">
        <v>29</v>
      </c>
      <c r="I226" s="196" t="s">
        <v>29</v>
      </c>
      <c r="J226" s="196" t="s">
        <v>29</v>
      </c>
      <c r="K226" s="196" t="s">
        <v>29</v>
      </c>
      <c r="L226" s="52" t="s">
        <v>29</v>
      </c>
      <c r="M226" s="9"/>
      <c r="U226" s="9"/>
      <c r="V226" s="9"/>
    </row>
    <row r="227" spans="1:22" s="374" customFormat="1" x14ac:dyDescent="0.2">
      <c r="A227" s="122">
        <v>2010</v>
      </c>
      <c r="B227" s="196" t="s">
        <v>29</v>
      </c>
      <c r="C227" s="196" t="s">
        <v>29</v>
      </c>
      <c r="D227" s="196">
        <v>11616</v>
      </c>
      <c r="E227" s="196">
        <v>4019</v>
      </c>
      <c r="F227" s="196">
        <v>300</v>
      </c>
      <c r="G227" s="196">
        <v>2004</v>
      </c>
      <c r="H227" s="196">
        <v>528</v>
      </c>
      <c r="I227" s="196">
        <v>60</v>
      </c>
      <c r="J227" s="196" t="s">
        <v>29</v>
      </c>
      <c r="K227" s="196" t="s">
        <v>29</v>
      </c>
      <c r="L227" s="52">
        <f t="shared" ref="L227:L237" si="11">SUM(B227:K227)</f>
        <v>18527</v>
      </c>
      <c r="M227" s="9"/>
      <c r="U227" s="9"/>
      <c r="V227" s="9"/>
    </row>
    <row r="228" spans="1:22" s="374" customFormat="1" x14ac:dyDescent="0.2">
      <c r="A228" s="402">
        <v>2011</v>
      </c>
      <c r="B228" s="196" t="s">
        <v>29</v>
      </c>
      <c r="C228" s="196" t="s">
        <v>29</v>
      </c>
      <c r="D228" s="196">
        <v>11987</v>
      </c>
      <c r="E228" s="196">
        <v>2149</v>
      </c>
      <c r="F228" s="196">
        <v>3013</v>
      </c>
      <c r="G228" s="196">
        <v>5561</v>
      </c>
      <c r="H228" s="196">
        <v>3318</v>
      </c>
      <c r="I228" s="196">
        <v>1923</v>
      </c>
      <c r="J228" s="196" t="s">
        <v>29</v>
      </c>
      <c r="K228" s="196" t="s">
        <v>29</v>
      </c>
      <c r="L228" s="52">
        <f t="shared" si="11"/>
        <v>27951</v>
      </c>
      <c r="M228" s="9"/>
      <c r="U228" s="9"/>
      <c r="V228" s="9"/>
    </row>
    <row r="229" spans="1:22" s="374" customFormat="1" x14ac:dyDescent="0.2">
      <c r="A229" s="402">
        <v>2012</v>
      </c>
      <c r="B229" s="196" t="s">
        <v>29</v>
      </c>
      <c r="C229" s="196" t="s">
        <v>29</v>
      </c>
      <c r="D229" s="196">
        <v>16123</v>
      </c>
      <c r="E229" s="196">
        <v>9326</v>
      </c>
      <c r="F229" s="196">
        <v>7603</v>
      </c>
      <c r="G229" s="196">
        <v>8674</v>
      </c>
      <c r="H229" s="196">
        <v>1645</v>
      </c>
      <c r="I229" s="196">
        <v>424</v>
      </c>
      <c r="J229" s="196">
        <v>475</v>
      </c>
      <c r="K229" s="196" t="s">
        <v>29</v>
      </c>
      <c r="L229" s="52">
        <f t="shared" si="11"/>
        <v>44270</v>
      </c>
      <c r="M229" s="9"/>
      <c r="U229" s="9"/>
      <c r="V229" s="9"/>
    </row>
    <row r="230" spans="1:22" s="374" customFormat="1" x14ac:dyDescent="0.2">
      <c r="A230" s="402">
        <v>2013</v>
      </c>
      <c r="B230" s="196" t="s">
        <v>29</v>
      </c>
      <c r="C230" s="196" t="s">
        <v>29</v>
      </c>
      <c r="D230" s="196">
        <v>12262</v>
      </c>
      <c r="E230" s="196">
        <v>5698</v>
      </c>
      <c r="F230" s="196">
        <v>3613</v>
      </c>
      <c r="G230" s="196">
        <v>6210</v>
      </c>
      <c r="H230" s="196">
        <v>2582</v>
      </c>
      <c r="I230" s="196">
        <v>282</v>
      </c>
      <c r="J230" s="196">
        <v>22</v>
      </c>
      <c r="K230" s="196" t="s">
        <v>29</v>
      </c>
      <c r="L230" s="52">
        <f t="shared" si="11"/>
        <v>30669</v>
      </c>
      <c r="M230" s="9"/>
      <c r="U230" s="9"/>
      <c r="V230" s="9"/>
    </row>
    <row r="231" spans="1:22" s="374" customFormat="1" x14ac:dyDescent="0.2">
      <c r="A231" s="402">
        <v>2014</v>
      </c>
      <c r="B231" s="196" t="s">
        <v>29</v>
      </c>
      <c r="C231" s="196" t="s">
        <v>29</v>
      </c>
      <c r="D231" s="196">
        <v>15744</v>
      </c>
      <c r="E231" s="196">
        <v>3745</v>
      </c>
      <c r="F231" s="196">
        <v>2974</v>
      </c>
      <c r="G231" s="196">
        <v>2678</v>
      </c>
      <c r="H231" s="196">
        <v>1841</v>
      </c>
      <c r="I231" s="196">
        <v>481</v>
      </c>
      <c r="J231" s="196">
        <v>45</v>
      </c>
      <c r="K231" s="196" t="s">
        <v>29</v>
      </c>
      <c r="L231" s="52">
        <f t="shared" si="11"/>
        <v>27508</v>
      </c>
      <c r="M231" s="9"/>
      <c r="U231" s="9"/>
      <c r="V231" s="9"/>
    </row>
    <row r="232" spans="1:22" s="374" customFormat="1" x14ac:dyDescent="0.2">
      <c r="A232" s="122">
        <v>2015</v>
      </c>
      <c r="B232" s="196" t="s">
        <v>29</v>
      </c>
      <c r="C232" s="196" t="s">
        <v>29</v>
      </c>
      <c r="D232" s="196">
        <v>7654</v>
      </c>
      <c r="E232" s="196">
        <v>3372</v>
      </c>
      <c r="F232" s="196">
        <v>2419</v>
      </c>
      <c r="G232" s="196">
        <v>1391</v>
      </c>
      <c r="H232" s="196">
        <v>317</v>
      </c>
      <c r="I232" s="196">
        <v>32</v>
      </c>
      <c r="J232" s="196" t="s">
        <v>29</v>
      </c>
      <c r="K232" s="196" t="s">
        <v>29</v>
      </c>
      <c r="L232" s="52">
        <f>SUM(B232:K232)</f>
        <v>15185</v>
      </c>
      <c r="M232" s="9"/>
      <c r="U232" s="9"/>
      <c r="V232" s="9"/>
    </row>
    <row r="233" spans="1:22" s="374" customFormat="1" x14ac:dyDescent="0.2">
      <c r="A233" s="122">
        <v>2016</v>
      </c>
      <c r="B233" s="196" t="s">
        <v>29</v>
      </c>
      <c r="C233" s="196" t="s">
        <v>29</v>
      </c>
      <c r="D233" s="196">
        <v>4503</v>
      </c>
      <c r="E233" s="196">
        <v>2624</v>
      </c>
      <c r="F233" s="196">
        <v>484</v>
      </c>
      <c r="G233" s="196">
        <v>150</v>
      </c>
      <c r="H233" s="196" t="s">
        <v>29</v>
      </c>
      <c r="I233" s="196" t="s">
        <v>29</v>
      </c>
      <c r="J233" s="196" t="s">
        <v>29</v>
      </c>
      <c r="K233" s="196" t="s">
        <v>29</v>
      </c>
      <c r="L233" s="52">
        <f>SUM(B233:K233)</f>
        <v>7761</v>
      </c>
      <c r="M233" s="9"/>
      <c r="U233" s="9"/>
      <c r="V233" s="9"/>
    </row>
    <row r="234" spans="1:22" s="374" customFormat="1" x14ac:dyDescent="0.2">
      <c r="A234" s="122">
        <v>2017</v>
      </c>
      <c r="B234" s="196" t="s">
        <v>29</v>
      </c>
      <c r="C234" s="196" t="s">
        <v>29</v>
      </c>
      <c r="D234" s="196">
        <v>8232</v>
      </c>
      <c r="E234" s="196">
        <v>2234</v>
      </c>
      <c r="F234" s="196">
        <v>1145</v>
      </c>
      <c r="G234" s="196">
        <v>3459</v>
      </c>
      <c r="H234" s="196" t="s">
        <v>29</v>
      </c>
      <c r="I234" s="196" t="s">
        <v>29</v>
      </c>
      <c r="J234" s="196" t="s">
        <v>29</v>
      </c>
      <c r="K234" s="196" t="s">
        <v>29</v>
      </c>
      <c r="L234" s="52">
        <f>SUM(B234:K234)</f>
        <v>15070</v>
      </c>
      <c r="M234" s="9"/>
      <c r="U234" s="9"/>
      <c r="V234" s="9"/>
    </row>
    <row r="235" spans="1:22" s="374" customFormat="1" x14ac:dyDescent="0.2">
      <c r="A235" s="122">
        <v>2018</v>
      </c>
      <c r="B235" s="196" t="s">
        <v>29</v>
      </c>
      <c r="C235" s="196" t="s">
        <v>29</v>
      </c>
      <c r="D235" s="196">
        <v>8140</v>
      </c>
      <c r="E235" s="196">
        <v>2021</v>
      </c>
      <c r="F235" s="196">
        <v>3244</v>
      </c>
      <c r="G235" s="196">
        <v>514</v>
      </c>
      <c r="H235" s="196" t="s">
        <v>29</v>
      </c>
      <c r="I235" s="196" t="s">
        <v>29</v>
      </c>
      <c r="J235" s="196" t="s">
        <v>29</v>
      </c>
      <c r="K235" s="196" t="s">
        <v>29</v>
      </c>
      <c r="L235" s="52">
        <f>SUM(B235:K235)</f>
        <v>13919</v>
      </c>
      <c r="M235" s="9"/>
      <c r="U235" s="9"/>
      <c r="V235" s="9"/>
    </row>
    <row r="236" spans="1:22" s="487" customFormat="1" x14ac:dyDescent="0.2">
      <c r="A236" s="496" t="s">
        <v>398</v>
      </c>
      <c r="B236" s="196" t="s">
        <v>29</v>
      </c>
      <c r="C236" s="196" t="s">
        <v>29</v>
      </c>
      <c r="D236" s="196">
        <v>13537</v>
      </c>
      <c r="E236" s="196">
        <v>3801</v>
      </c>
      <c r="F236" s="196">
        <v>4471</v>
      </c>
      <c r="G236" s="196">
        <v>4360</v>
      </c>
      <c r="H236" s="196">
        <v>4163</v>
      </c>
      <c r="I236" s="196" t="s">
        <v>29</v>
      </c>
      <c r="J236" s="196" t="s">
        <v>29</v>
      </c>
      <c r="K236" s="196" t="s">
        <v>29</v>
      </c>
      <c r="L236" s="52">
        <f t="shared" ref="L236" si="12">SUM(B236:K236)</f>
        <v>30332</v>
      </c>
      <c r="M236" s="9"/>
      <c r="U236" s="9"/>
      <c r="V236" s="9"/>
    </row>
    <row r="237" spans="1:22" x14ac:dyDescent="0.2">
      <c r="A237" s="496" t="s">
        <v>399</v>
      </c>
      <c r="B237" s="195" t="s">
        <v>29</v>
      </c>
      <c r="C237" s="196" t="s">
        <v>29</v>
      </c>
      <c r="D237" s="196" t="s">
        <v>29</v>
      </c>
      <c r="E237" s="196" t="s">
        <v>116</v>
      </c>
      <c r="F237" s="196" t="s">
        <v>116</v>
      </c>
      <c r="G237" s="196">
        <v>3437</v>
      </c>
      <c r="H237" s="196">
        <v>641</v>
      </c>
      <c r="I237" s="196">
        <v>138</v>
      </c>
      <c r="J237" s="196">
        <v>12</v>
      </c>
      <c r="K237" s="196" t="s">
        <v>29</v>
      </c>
      <c r="L237" s="52">
        <f t="shared" si="11"/>
        <v>4228</v>
      </c>
      <c r="M237" s="8"/>
      <c r="U237" s="8"/>
      <c r="V237" s="8"/>
    </row>
    <row r="238" spans="1:22" x14ac:dyDescent="0.2">
      <c r="B238" s="24"/>
      <c r="C238" s="24"/>
      <c r="D238" s="24"/>
      <c r="E238" s="24"/>
      <c r="F238" s="24"/>
      <c r="G238" s="24"/>
      <c r="H238" s="24"/>
      <c r="I238" s="24"/>
      <c r="J238" s="24"/>
      <c r="K238" s="24"/>
    </row>
    <row r="239" spans="1:22" x14ac:dyDescent="0.2">
      <c r="A239" s="120" t="s">
        <v>41</v>
      </c>
      <c r="B239" s="24"/>
      <c r="C239" s="24"/>
      <c r="D239" s="24"/>
      <c r="E239" s="24"/>
      <c r="F239" s="24"/>
      <c r="G239" s="24"/>
      <c r="H239" s="24"/>
      <c r="I239" s="24"/>
      <c r="J239" s="24"/>
      <c r="K239" s="24"/>
    </row>
    <row r="240" spans="1:22" x14ac:dyDescent="0.2">
      <c r="A240" s="383">
        <v>1976</v>
      </c>
      <c r="B240" s="24">
        <f t="shared" ref="B240:L240" si="13">IF(AND(B193="-",B146="-",B99="-",B52="-",B5="-"),"-",SUM(B193,B146,B99,B52,B5))</f>
        <v>8194</v>
      </c>
      <c r="C240" s="24">
        <f t="shared" si="13"/>
        <v>7412</v>
      </c>
      <c r="D240" s="24">
        <f t="shared" si="13"/>
        <v>7916</v>
      </c>
      <c r="E240" s="24">
        <f t="shared" si="13"/>
        <v>17114</v>
      </c>
      <c r="F240" s="24">
        <f t="shared" si="13"/>
        <v>29148</v>
      </c>
      <c r="G240" s="24">
        <f t="shared" si="13"/>
        <v>51597</v>
      </c>
      <c r="H240" s="24">
        <f t="shared" si="13"/>
        <v>36469</v>
      </c>
      <c r="I240" s="24">
        <f t="shared" si="13"/>
        <v>13360</v>
      </c>
      <c r="J240" s="24">
        <f t="shared" si="13"/>
        <v>12608</v>
      </c>
      <c r="K240" s="24">
        <f t="shared" si="13"/>
        <v>3382</v>
      </c>
      <c r="L240" s="193">
        <f t="shared" si="13"/>
        <v>187200</v>
      </c>
    </row>
    <row r="241" spans="1:12" x14ac:dyDescent="0.2">
      <c r="A241" s="383">
        <v>1977</v>
      </c>
      <c r="B241" s="24">
        <f t="shared" ref="B241:L241" si="14">IF(AND(B194="-",B147="-",B100="-",B53="-",B6="-"),"-",SUM(B194,B147,B100,B53,B6))</f>
        <v>9832</v>
      </c>
      <c r="C241" s="24">
        <f t="shared" si="14"/>
        <v>9729</v>
      </c>
      <c r="D241" s="24">
        <f t="shared" si="14"/>
        <v>13632</v>
      </c>
      <c r="E241" s="24">
        <f t="shared" si="14"/>
        <v>13351</v>
      </c>
      <c r="F241" s="24">
        <f t="shared" si="14"/>
        <v>15689</v>
      </c>
      <c r="G241" s="24">
        <f t="shared" si="14"/>
        <v>48325</v>
      </c>
      <c r="H241" s="24">
        <f t="shared" si="14"/>
        <v>39785</v>
      </c>
      <c r="I241" s="24">
        <f t="shared" si="14"/>
        <v>17544</v>
      </c>
      <c r="J241" s="24">
        <f t="shared" si="14"/>
        <v>10416</v>
      </c>
      <c r="K241" s="24">
        <f t="shared" si="14"/>
        <v>3025</v>
      </c>
      <c r="L241" s="193">
        <f t="shared" si="14"/>
        <v>181328</v>
      </c>
    </row>
    <row r="242" spans="1:12" x14ac:dyDescent="0.2">
      <c r="A242" s="383">
        <v>1978</v>
      </c>
      <c r="B242" s="24">
        <f t="shared" ref="B242:L242" si="15">IF(AND(B195="-",B148="-",B101="-",B54="-",B7="-"),"-",SUM(B195,B148,B101,B54,B7))</f>
        <v>19152</v>
      </c>
      <c r="C242" s="24">
        <f t="shared" si="15"/>
        <v>13387</v>
      </c>
      <c r="D242" s="24">
        <f t="shared" si="15"/>
        <v>2914</v>
      </c>
      <c r="E242" s="24">
        <f t="shared" si="15"/>
        <v>2299</v>
      </c>
      <c r="F242" s="24">
        <f t="shared" si="15"/>
        <v>18726</v>
      </c>
      <c r="G242" s="24">
        <f t="shared" si="15"/>
        <v>40890</v>
      </c>
      <c r="H242" s="24">
        <f t="shared" si="15"/>
        <v>22651</v>
      </c>
      <c r="I242" s="24">
        <f t="shared" si="15"/>
        <v>16568</v>
      </c>
      <c r="J242" s="24">
        <f t="shared" si="15"/>
        <v>8314</v>
      </c>
      <c r="K242" s="24">
        <f t="shared" si="15"/>
        <v>5827</v>
      </c>
      <c r="L242" s="193">
        <f t="shared" si="15"/>
        <v>150728</v>
      </c>
    </row>
    <row r="243" spans="1:12" x14ac:dyDescent="0.2">
      <c r="A243" s="383">
        <v>1979</v>
      </c>
      <c r="B243" s="24">
        <f t="shared" ref="B243:L243" si="16">IF(AND(B196="-",B149="-",B102="-",B55="-",B8="-"),"-",SUM(B196,B149,B102,B55,B8))</f>
        <v>8685</v>
      </c>
      <c r="C243" s="24">
        <f t="shared" si="16"/>
        <v>14396</v>
      </c>
      <c r="D243" s="24">
        <f t="shared" si="16"/>
        <v>11656</v>
      </c>
      <c r="E243" s="24">
        <f t="shared" si="16"/>
        <v>8804</v>
      </c>
      <c r="F243" s="24">
        <f t="shared" si="16"/>
        <v>23565</v>
      </c>
      <c r="G243" s="24">
        <f t="shared" si="16"/>
        <v>35748</v>
      </c>
      <c r="H243" s="24">
        <f t="shared" si="16"/>
        <v>30201</v>
      </c>
      <c r="I243" s="24">
        <f t="shared" si="16"/>
        <v>15145</v>
      </c>
      <c r="J243" s="24">
        <f t="shared" si="16"/>
        <v>5530</v>
      </c>
      <c r="K243" s="24" t="str">
        <f t="shared" si="16"/>
        <v>-</v>
      </c>
      <c r="L243" s="193">
        <f t="shared" si="16"/>
        <v>153730</v>
      </c>
    </row>
    <row r="244" spans="1:12" x14ac:dyDescent="0.2">
      <c r="A244" s="383">
        <v>1980</v>
      </c>
      <c r="B244" s="24">
        <f t="shared" ref="B244:L244" si="17">IF(AND(B197="-",B150="-",B103="-",B56="-",B9="-"),"-",SUM(B197,B150,B103,B56,B9))</f>
        <v>3464</v>
      </c>
      <c r="C244" s="24">
        <f t="shared" si="17"/>
        <v>17417</v>
      </c>
      <c r="D244" s="24">
        <f t="shared" si="17"/>
        <v>10048</v>
      </c>
      <c r="E244" s="24">
        <f t="shared" si="17"/>
        <v>9859</v>
      </c>
      <c r="F244" s="24">
        <f t="shared" si="17"/>
        <v>22712</v>
      </c>
      <c r="G244" s="24">
        <f t="shared" si="17"/>
        <v>44864</v>
      </c>
      <c r="H244" s="24">
        <f t="shared" si="17"/>
        <v>21544</v>
      </c>
      <c r="I244" s="24">
        <f t="shared" si="17"/>
        <v>11414</v>
      </c>
      <c r="J244" s="24">
        <f t="shared" si="17"/>
        <v>3035</v>
      </c>
      <c r="K244" s="24" t="str">
        <f t="shared" si="17"/>
        <v>-</v>
      </c>
      <c r="L244" s="193">
        <f t="shared" si="17"/>
        <v>144357</v>
      </c>
    </row>
    <row r="245" spans="1:12" x14ac:dyDescent="0.2">
      <c r="A245" s="383">
        <v>1981</v>
      </c>
      <c r="B245" s="24">
        <f t="shared" ref="B245:L245" si="18">IF(AND(B198="-",B151="-",B104="-",B57="-",B10="-"),"-",SUM(B198,B151,B104,B57,B10))</f>
        <v>5159</v>
      </c>
      <c r="C245" s="24">
        <f t="shared" si="18"/>
        <v>5954</v>
      </c>
      <c r="D245" s="24">
        <f t="shared" si="18"/>
        <v>10609</v>
      </c>
      <c r="E245" s="24">
        <f t="shared" si="18"/>
        <v>5298</v>
      </c>
      <c r="F245" s="24">
        <f t="shared" si="18"/>
        <v>18454</v>
      </c>
      <c r="G245" s="24">
        <f t="shared" si="18"/>
        <v>34759</v>
      </c>
      <c r="H245" s="24">
        <f t="shared" si="18"/>
        <v>25714</v>
      </c>
      <c r="I245" s="24">
        <f t="shared" si="18"/>
        <v>8669</v>
      </c>
      <c r="J245" s="24">
        <f t="shared" si="18"/>
        <v>5677</v>
      </c>
      <c r="K245" s="24">
        <f t="shared" si="18"/>
        <v>1660</v>
      </c>
      <c r="L245" s="193">
        <f t="shared" si="18"/>
        <v>121953</v>
      </c>
    </row>
    <row r="246" spans="1:12" x14ac:dyDescent="0.2">
      <c r="A246" s="383">
        <v>1982</v>
      </c>
      <c r="B246" s="24">
        <f t="shared" ref="B246:L246" si="19">IF(AND(B199="-",B152="-",B105="-",B58="-",B11="-"),"-",SUM(B199,B152,B105,B58,B11))</f>
        <v>7355</v>
      </c>
      <c r="C246" s="24">
        <f t="shared" si="19"/>
        <v>12371</v>
      </c>
      <c r="D246" s="24">
        <f t="shared" si="19"/>
        <v>8257</v>
      </c>
      <c r="E246" s="24">
        <f t="shared" si="19"/>
        <v>9867</v>
      </c>
      <c r="F246" s="24">
        <f t="shared" si="19"/>
        <v>24339</v>
      </c>
      <c r="G246" s="24">
        <f t="shared" si="19"/>
        <v>46920</v>
      </c>
      <c r="H246" s="24">
        <f t="shared" si="19"/>
        <v>35983</v>
      </c>
      <c r="I246" s="24">
        <f t="shared" si="19"/>
        <v>13950</v>
      </c>
      <c r="J246" s="24">
        <f t="shared" si="19"/>
        <v>9544</v>
      </c>
      <c r="K246" s="24">
        <f t="shared" si="19"/>
        <v>2675</v>
      </c>
      <c r="L246" s="193">
        <f t="shared" si="19"/>
        <v>171261</v>
      </c>
    </row>
    <row r="247" spans="1:12" x14ac:dyDescent="0.2">
      <c r="A247" s="383">
        <v>1983</v>
      </c>
      <c r="B247" s="24">
        <f t="shared" ref="B247:L247" si="20">IF(AND(B200="-",B153="-",B106="-",B59="-",B12="-"),"-",SUM(B200,B153,B106,B59,B12))</f>
        <v>2091</v>
      </c>
      <c r="C247" s="24">
        <f t="shared" si="20"/>
        <v>2354</v>
      </c>
      <c r="D247" s="24">
        <f t="shared" si="20"/>
        <v>6579</v>
      </c>
      <c r="E247" s="24">
        <f t="shared" si="20"/>
        <v>10400</v>
      </c>
      <c r="F247" s="24">
        <f t="shared" si="20"/>
        <v>23200</v>
      </c>
      <c r="G247" s="24">
        <f t="shared" si="20"/>
        <v>42539</v>
      </c>
      <c r="H247" s="24">
        <f t="shared" si="20"/>
        <v>21151</v>
      </c>
      <c r="I247" s="24">
        <f t="shared" si="20"/>
        <v>8871</v>
      </c>
      <c r="J247" s="24">
        <f t="shared" si="20"/>
        <v>5389</v>
      </c>
      <c r="K247" s="24">
        <f t="shared" si="20"/>
        <v>101</v>
      </c>
      <c r="L247" s="193">
        <f t="shared" si="20"/>
        <v>122675</v>
      </c>
    </row>
    <row r="248" spans="1:12" x14ac:dyDescent="0.2">
      <c r="A248" s="383">
        <v>1984</v>
      </c>
      <c r="B248" s="24">
        <f t="shared" ref="B248:L248" si="21">IF(AND(B201="-",B154="-",B107="-",B60="-",B13="-"),"-",SUM(B201,B154,B107,B60,B13))</f>
        <v>1916</v>
      </c>
      <c r="C248" s="24">
        <f t="shared" si="21"/>
        <v>2166</v>
      </c>
      <c r="D248" s="24">
        <f t="shared" si="21"/>
        <v>6475</v>
      </c>
      <c r="E248" s="24">
        <f t="shared" si="21"/>
        <v>9385</v>
      </c>
      <c r="F248" s="24">
        <f t="shared" si="21"/>
        <v>15419</v>
      </c>
      <c r="G248" s="24">
        <f t="shared" si="21"/>
        <v>49667</v>
      </c>
      <c r="H248" s="24">
        <f t="shared" si="21"/>
        <v>27994</v>
      </c>
      <c r="I248" s="24">
        <f t="shared" si="21"/>
        <v>9699</v>
      </c>
      <c r="J248" s="24">
        <f t="shared" si="21"/>
        <v>3471</v>
      </c>
      <c r="K248" s="24">
        <f t="shared" si="21"/>
        <v>772</v>
      </c>
      <c r="L248" s="193">
        <f t="shared" si="21"/>
        <v>126964</v>
      </c>
    </row>
    <row r="249" spans="1:12" x14ac:dyDescent="0.2">
      <c r="A249" s="383">
        <v>1985</v>
      </c>
      <c r="B249" s="24">
        <f t="shared" ref="B249:L249" si="22">IF(AND(B202="-",B155="-",B108="-",B61="-",B14="-"),"-",SUM(B202,B155,B108,B61,B14))</f>
        <v>9012</v>
      </c>
      <c r="C249" s="24">
        <f t="shared" si="22"/>
        <v>16882</v>
      </c>
      <c r="D249" s="24">
        <f t="shared" si="22"/>
        <v>11939</v>
      </c>
      <c r="E249" s="24">
        <f t="shared" si="22"/>
        <v>18509</v>
      </c>
      <c r="F249" s="24">
        <f t="shared" si="22"/>
        <v>33553</v>
      </c>
      <c r="G249" s="24">
        <f t="shared" si="22"/>
        <v>52550</v>
      </c>
      <c r="H249" s="24">
        <f t="shared" si="22"/>
        <v>31535</v>
      </c>
      <c r="I249" s="24">
        <f t="shared" si="22"/>
        <v>11763</v>
      </c>
      <c r="J249" s="24">
        <f t="shared" si="22"/>
        <v>4230</v>
      </c>
      <c r="K249" s="24">
        <f t="shared" si="22"/>
        <v>1924</v>
      </c>
      <c r="L249" s="193">
        <f t="shared" si="22"/>
        <v>191897</v>
      </c>
    </row>
    <row r="250" spans="1:12" x14ac:dyDescent="0.2">
      <c r="A250" s="383">
        <v>1986</v>
      </c>
      <c r="B250" s="24">
        <f t="shared" ref="B250:L250" si="23">IF(AND(B203="-",B156="-",B109="-",B62="-",B15="-"),"-",SUM(B203,B156,B109,B62,B15))</f>
        <v>2129</v>
      </c>
      <c r="C250" s="24">
        <f t="shared" si="23"/>
        <v>13939</v>
      </c>
      <c r="D250" s="24">
        <f t="shared" si="23"/>
        <v>18354</v>
      </c>
      <c r="E250" s="24">
        <f t="shared" si="23"/>
        <v>14983</v>
      </c>
      <c r="F250" s="24">
        <f t="shared" si="23"/>
        <v>37284</v>
      </c>
      <c r="G250" s="24">
        <f t="shared" si="23"/>
        <v>58185</v>
      </c>
      <c r="H250" s="24">
        <f t="shared" si="23"/>
        <v>36845</v>
      </c>
      <c r="I250" s="24">
        <f t="shared" si="23"/>
        <v>8188</v>
      </c>
      <c r="J250" s="24">
        <f t="shared" si="23"/>
        <v>4807</v>
      </c>
      <c r="K250" s="24">
        <f t="shared" si="23"/>
        <v>885</v>
      </c>
      <c r="L250" s="193">
        <f t="shared" si="23"/>
        <v>195599</v>
      </c>
    </row>
    <row r="251" spans="1:12" x14ac:dyDescent="0.2">
      <c r="A251" s="383">
        <v>1987</v>
      </c>
      <c r="B251" s="24">
        <f t="shared" ref="B251:L251" si="24">IF(AND(B204="-",B157="-",B110="-",B63="-",B16="-"),"-",SUM(B204,B157,B110,B63,B16))</f>
        <v>8638</v>
      </c>
      <c r="C251" s="24">
        <f t="shared" si="24"/>
        <v>18933</v>
      </c>
      <c r="D251" s="24">
        <f t="shared" si="24"/>
        <v>17577</v>
      </c>
      <c r="E251" s="24">
        <f t="shared" si="24"/>
        <v>17243</v>
      </c>
      <c r="F251" s="24">
        <f t="shared" si="24"/>
        <v>41073</v>
      </c>
      <c r="G251" s="24">
        <f t="shared" si="24"/>
        <v>83956</v>
      </c>
      <c r="H251" s="24">
        <f t="shared" si="24"/>
        <v>52250</v>
      </c>
      <c r="I251" s="24">
        <f t="shared" si="24"/>
        <v>19596</v>
      </c>
      <c r="J251" s="24">
        <f t="shared" si="24"/>
        <v>7342</v>
      </c>
      <c r="K251" s="24">
        <f t="shared" si="24"/>
        <v>1662</v>
      </c>
      <c r="L251" s="193">
        <f t="shared" si="24"/>
        <v>268270</v>
      </c>
    </row>
    <row r="252" spans="1:12" x14ac:dyDescent="0.2">
      <c r="A252" s="383">
        <v>1988</v>
      </c>
      <c r="B252" s="24">
        <f t="shared" ref="B252:L252" si="25">IF(AND(B205="-",B158="-",B111="-",B64="-",B17="-"),"-",SUM(B205,B158,B111,B64,B17))</f>
        <v>10596</v>
      </c>
      <c r="C252" s="24">
        <f t="shared" si="25"/>
        <v>16108</v>
      </c>
      <c r="D252" s="24">
        <f t="shared" si="25"/>
        <v>18934</v>
      </c>
      <c r="E252" s="24">
        <f t="shared" si="25"/>
        <v>23806</v>
      </c>
      <c r="F252" s="24">
        <f t="shared" si="25"/>
        <v>47573</v>
      </c>
      <c r="G252" s="24">
        <f t="shared" si="25"/>
        <v>76084</v>
      </c>
      <c r="H252" s="24">
        <f t="shared" si="25"/>
        <v>33379</v>
      </c>
      <c r="I252" s="24">
        <f t="shared" si="25"/>
        <v>12049</v>
      </c>
      <c r="J252" s="24">
        <f t="shared" si="25"/>
        <v>3826</v>
      </c>
      <c r="K252" s="24">
        <f t="shared" si="25"/>
        <v>42</v>
      </c>
      <c r="L252" s="193">
        <f t="shared" si="25"/>
        <v>242397</v>
      </c>
    </row>
    <row r="253" spans="1:12" x14ac:dyDescent="0.2">
      <c r="A253" s="383">
        <v>1989</v>
      </c>
      <c r="B253" s="24">
        <f t="shared" ref="B253:L253" si="26">IF(AND(B206="-",B159="-",B112="-",B65="-",B18="-"),"-",SUM(B206,B159,B112,B65,B18))</f>
        <v>9830</v>
      </c>
      <c r="C253" s="24">
        <f t="shared" si="26"/>
        <v>15912</v>
      </c>
      <c r="D253" s="24">
        <f t="shared" si="26"/>
        <v>35010</v>
      </c>
      <c r="E253" s="24">
        <f t="shared" si="26"/>
        <v>17683</v>
      </c>
      <c r="F253" s="24">
        <f t="shared" si="26"/>
        <v>41384</v>
      </c>
      <c r="G253" s="24">
        <f t="shared" si="26"/>
        <v>70430</v>
      </c>
      <c r="H253" s="24">
        <f t="shared" si="26"/>
        <v>36223</v>
      </c>
      <c r="I253" s="24">
        <f t="shared" si="26"/>
        <v>12547</v>
      </c>
      <c r="J253" s="24">
        <f t="shared" si="26"/>
        <v>4046</v>
      </c>
      <c r="K253" s="24">
        <f t="shared" si="26"/>
        <v>1870</v>
      </c>
      <c r="L253" s="193">
        <f t="shared" si="26"/>
        <v>244935</v>
      </c>
    </row>
    <row r="254" spans="1:12" x14ac:dyDescent="0.2">
      <c r="A254" s="383">
        <v>1990</v>
      </c>
      <c r="B254" s="24">
        <f t="shared" ref="B254:L254" si="27">IF(AND(B207="-",B160="-",B113="-",B66="-",B19="-"),"-",SUM(B207,B160,B113,B66,B19))</f>
        <v>10169</v>
      </c>
      <c r="C254" s="24">
        <f t="shared" si="27"/>
        <v>20580</v>
      </c>
      <c r="D254" s="24">
        <f t="shared" si="27"/>
        <v>30293</v>
      </c>
      <c r="E254" s="24">
        <f t="shared" si="27"/>
        <v>10766</v>
      </c>
      <c r="F254" s="24">
        <f t="shared" si="27"/>
        <v>54017</v>
      </c>
      <c r="G254" s="24">
        <f t="shared" si="27"/>
        <v>82146</v>
      </c>
      <c r="H254" s="24">
        <f t="shared" si="27"/>
        <v>23878</v>
      </c>
      <c r="I254" s="24">
        <f t="shared" si="27"/>
        <v>11805</v>
      </c>
      <c r="J254" s="24">
        <f t="shared" si="27"/>
        <v>5123</v>
      </c>
      <c r="K254" s="24">
        <f t="shared" si="27"/>
        <v>3355</v>
      </c>
      <c r="L254" s="193">
        <f t="shared" si="27"/>
        <v>252132</v>
      </c>
    </row>
    <row r="255" spans="1:12" x14ac:dyDescent="0.2">
      <c r="A255" s="383">
        <v>1991</v>
      </c>
      <c r="B255" s="24">
        <f t="shared" ref="B255:L255" si="28">IF(AND(B208="-",B161="-",B114="-",B67="-",B20="-"),"-",SUM(B208,B161,B114,B67,B20))</f>
        <v>55</v>
      </c>
      <c r="C255" s="24">
        <f t="shared" si="28"/>
        <v>12216</v>
      </c>
      <c r="D255" s="24">
        <f t="shared" si="28"/>
        <v>18217</v>
      </c>
      <c r="E255" s="24">
        <f t="shared" si="28"/>
        <v>12001</v>
      </c>
      <c r="F255" s="24">
        <f t="shared" si="28"/>
        <v>49602</v>
      </c>
      <c r="G255" s="24">
        <f t="shared" si="28"/>
        <v>71235</v>
      </c>
      <c r="H255" s="24">
        <f t="shared" si="28"/>
        <v>20690</v>
      </c>
      <c r="I255" s="24">
        <f t="shared" si="28"/>
        <v>8102</v>
      </c>
      <c r="J255" s="24">
        <f t="shared" si="28"/>
        <v>4454</v>
      </c>
      <c r="K255" s="24">
        <f t="shared" si="28"/>
        <v>58</v>
      </c>
      <c r="L255" s="193">
        <f t="shared" si="28"/>
        <v>196630</v>
      </c>
    </row>
    <row r="256" spans="1:12" x14ac:dyDescent="0.2">
      <c r="A256" s="383">
        <v>1992</v>
      </c>
      <c r="B256" s="24">
        <f t="shared" ref="B256:L256" si="29">IF(AND(B209="-",B162="-",B115="-",B68="-",B21="-"),"-",SUM(B209,B162,B115,B68,B21))</f>
        <v>2006</v>
      </c>
      <c r="C256" s="24">
        <f t="shared" si="29"/>
        <v>9713</v>
      </c>
      <c r="D256" s="24">
        <f t="shared" si="29"/>
        <v>9877</v>
      </c>
      <c r="E256" s="24">
        <f t="shared" si="29"/>
        <v>11543</v>
      </c>
      <c r="F256" s="24">
        <f t="shared" si="29"/>
        <v>13636</v>
      </c>
      <c r="G256" s="24">
        <f t="shared" si="29"/>
        <v>41944</v>
      </c>
      <c r="H256" s="24">
        <f t="shared" si="29"/>
        <v>15063</v>
      </c>
      <c r="I256" s="24">
        <f t="shared" si="29"/>
        <v>17477</v>
      </c>
      <c r="J256" s="24">
        <f t="shared" si="29"/>
        <v>5759</v>
      </c>
      <c r="K256" s="24">
        <f t="shared" si="29"/>
        <v>849</v>
      </c>
      <c r="L256" s="193">
        <f t="shared" si="29"/>
        <v>127867</v>
      </c>
    </row>
    <row r="257" spans="1:12" x14ac:dyDescent="0.2">
      <c r="A257" s="383">
        <v>1993</v>
      </c>
      <c r="B257" s="24">
        <f t="shared" ref="B257:L257" si="30">IF(AND(B210="-",B163="-",B116="-",B69="-",B22="-"),"-",SUM(B210,B163,B116,B69,B22))</f>
        <v>879</v>
      </c>
      <c r="C257" s="24">
        <f t="shared" si="30"/>
        <v>15036</v>
      </c>
      <c r="D257" s="24">
        <f t="shared" si="30"/>
        <v>17597</v>
      </c>
      <c r="E257" s="24">
        <f t="shared" si="30"/>
        <v>17871</v>
      </c>
      <c r="F257" s="24">
        <f t="shared" si="30"/>
        <v>15461</v>
      </c>
      <c r="G257" s="24">
        <f t="shared" si="30"/>
        <v>54935</v>
      </c>
      <c r="H257" s="24">
        <f t="shared" si="30"/>
        <v>36947</v>
      </c>
      <c r="I257" s="24">
        <f t="shared" si="30"/>
        <v>11417</v>
      </c>
      <c r="J257" s="24">
        <f t="shared" si="30"/>
        <v>4744</v>
      </c>
      <c r="K257" s="24">
        <f t="shared" si="30"/>
        <v>0</v>
      </c>
      <c r="L257" s="193">
        <f t="shared" si="30"/>
        <v>174887</v>
      </c>
    </row>
    <row r="258" spans="1:12" x14ac:dyDescent="0.2">
      <c r="A258" s="383">
        <v>1994</v>
      </c>
      <c r="B258" s="24">
        <f t="shared" ref="B258:J258" si="31">IF(AND(B211="-",B164="-",B117="-",B70="-",B23="-"),"-",SUM(B211,B164,B117,B70,B23))</f>
        <v>3013</v>
      </c>
      <c r="C258" s="24">
        <f t="shared" si="31"/>
        <v>15387</v>
      </c>
      <c r="D258" s="24">
        <f t="shared" si="31"/>
        <v>19540</v>
      </c>
      <c r="E258" s="24">
        <f t="shared" si="31"/>
        <v>25367</v>
      </c>
      <c r="F258" s="24">
        <f t="shared" si="31"/>
        <v>37974</v>
      </c>
      <c r="G258" s="24">
        <f t="shared" si="31"/>
        <v>44976</v>
      </c>
      <c r="H258" s="24">
        <f t="shared" si="31"/>
        <v>30998</v>
      </c>
      <c r="I258" s="24">
        <f t="shared" si="31"/>
        <v>14988</v>
      </c>
      <c r="J258" s="24">
        <f t="shared" si="31"/>
        <v>9848</v>
      </c>
      <c r="K258" s="194" t="s">
        <v>116</v>
      </c>
      <c r="L258" s="193">
        <f t="shared" ref="L258:L282" si="32">IF(AND(L211="-",L164="-",L117="-",L70="-",L23="-"),"-",SUM(L211,L164,L117,L70,L23))</f>
        <v>202091</v>
      </c>
    </row>
    <row r="259" spans="1:12" x14ac:dyDescent="0.2">
      <c r="A259" s="383">
        <v>1995</v>
      </c>
      <c r="B259" s="24">
        <f t="shared" ref="B259:J259" si="33">IF(AND(B212="-",B165="-",B118="-",B71="-",B24="-"),"-",SUM(B212,B165,B118,B71,B24))</f>
        <v>360</v>
      </c>
      <c r="C259" s="24">
        <f t="shared" si="33"/>
        <v>22917</v>
      </c>
      <c r="D259" s="24">
        <f t="shared" si="33"/>
        <v>50164</v>
      </c>
      <c r="E259" s="24">
        <f t="shared" si="33"/>
        <v>59539</v>
      </c>
      <c r="F259" s="24">
        <f t="shared" si="33"/>
        <v>74040</v>
      </c>
      <c r="G259" s="24">
        <f t="shared" si="33"/>
        <v>97536</v>
      </c>
      <c r="H259" s="24">
        <f t="shared" si="33"/>
        <v>46988</v>
      </c>
      <c r="I259" s="24">
        <f t="shared" si="33"/>
        <v>22049</v>
      </c>
      <c r="J259" s="24">
        <f t="shared" si="33"/>
        <v>4911</v>
      </c>
      <c r="K259" s="194" t="s">
        <v>116</v>
      </c>
      <c r="L259" s="193">
        <f t="shared" si="32"/>
        <v>378504</v>
      </c>
    </row>
    <row r="260" spans="1:12" x14ac:dyDescent="0.2">
      <c r="A260" s="383">
        <v>1996</v>
      </c>
      <c r="B260" s="24">
        <f t="shared" ref="B260:J260" si="34">IF(AND(B213="-",B166="-",B119="-",B72="-",B25="-"),"-",SUM(B213,B166,B119,B72,B25))</f>
        <v>49</v>
      </c>
      <c r="C260" s="24">
        <f t="shared" si="34"/>
        <v>35215</v>
      </c>
      <c r="D260" s="24">
        <f t="shared" si="34"/>
        <v>30349</v>
      </c>
      <c r="E260" s="24">
        <f t="shared" si="34"/>
        <v>25186</v>
      </c>
      <c r="F260" s="24">
        <f t="shared" si="34"/>
        <v>43242</v>
      </c>
      <c r="G260" s="24">
        <f t="shared" si="34"/>
        <v>46756</v>
      </c>
      <c r="H260" s="24">
        <f t="shared" si="34"/>
        <v>30943</v>
      </c>
      <c r="I260" s="24">
        <f t="shared" si="34"/>
        <v>10424</v>
      </c>
      <c r="J260" s="24">
        <f t="shared" si="34"/>
        <v>3141</v>
      </c>
      <c r="K260" s="175" t="s">
        <v>116</v>
      </c>
      <c r="L260" s="193">
        <f t="shared" si="32"/>
        <v>225305</v>
      </c>
    </row>
    <row r="261" spans="1:12" x14ac:dyDescent="0.2">
      <c r="A261" s="383">
        <v>1997</v>
      </c>
      <c r="B261" s="194" t="s">
        <v>116</v>
      </c>
      <c r="C261" s="24">
        <f t="shared" ref="C261:K261" si="35">IF(AND(C214="-",C167="-",C120="-",C73="-",C26="-"),"-",SUM(C214,C167,C120,C73,C26))</f>
        <v>21546</v>
      </c>
      <c r="D261" s="24">
        <f t="shared" si="35"/>
        <v>29711</v>
      </c>
      <c r="E261" s="24">
        <f t="shared" si="35"/>
        <v>33269</v>
      </c>
      <c r="F261" s="24">
        <f t="shared" si="35"/>
        <v>44245</v>
      </c>
      <c r="G261" s="24">
        <f t="shared" si="35"/>
        <v>60223</v>
      </c>
      <c r="H261" s="24">
        <f t="shared" si="35"/>
        <v>35290</v>
      </c>
      <c r="I261" s="24">
        <f t="shared" si="35"/>
        <v>6493</v>
      </c>
      <c r="J261" s="24">
        <f t="shared" si="35"/>
        <v>3212</v>
      </c>
      <c r="K261" s="24">
        <f t="shared" si="35"/>
        <v>380</v>
      </c>
      <c r="L261" s="193">
        <f t="shared" si="32"/>
        <v>234369</v>
      </c>
    </row>
    <row r="262" spans="1:12" x14ac:dyDescent="0.2">
      <c r="A262" s="383">
        <v>1998</v>
      </c>
      <c r="B262" s="194" t="s">
        <v>116</v>
      </c>
      <c r="C262" s="24">
        <f t="shared" ref="C262:J263" si="36">IF(AND(C215="-",C168="-",C121="-",C74="-",C27="-"),"-",SUM(C215,C168,C121,C74,C27))</f>
        <v>6225</v>
      </c>
      <c r="D262" s="24">
        <f t="shared" si="36"/>
        <v>17692</v>
      </c>
      <c r="E262" s="24">
        <f t="shared" si="36"/>
        <v>20642</v>
      </c>
      <c r="F262" s="24">
        <f t="shared" si="36"/>
        <v>31544</v>
      </c>
      <c r="G262" s="24">
        <f t="shared" si="36"/>
        <v>34757</v>
      </c>
      <c r="H262" s="24">
        <f t="shared" si="36"/>
        <v>28604</v>
      </c>
      <c r="I262" s="24">
        <f t="shared" si="36"/>
        <v>8880</v>
      </c>
      <c r="J262" s="24">
        <f t="shared" si="36"/>
        <v>3480</v>
      </c>
      <c r="K262" s="194" t="s">
        <v>116</v>
      </c>
      <c r="L262" s="193">
        <f t="shared" si="32"/>
        <v>151824</v>
      </c>
    </row>
    <row r="263" spans="1:12" x14ac:dyDescent="0.2">
      <c r="A263" s="383">
        <v>1999</v>
      </c>
      <c r="B263" s="24">
        <f>IF(AND(B216="-",B169="-",B122="-",B75="-",B28="-"),"-",SUM(B216,B169,B122,B75,B28))</f>
        <v>14</v>
      </c>
      <c r="C263" s="24">
        <f t="shared" si="36"/>
        <v>8721</v>
      </c>
      <c r="D263" s="24">
        <f t="shared" si="36"/>
        <v>11785</v>
      </c>
      <c r="E263" s="24">
        <f t="shared" si="36"/>
        <v>6592</v>
      </c>
      <c r="F263" s="24">
        <f t="shared" si="36"/>
        <v>27755</v>
      </c>
      <c r="G263" s="24">
        <f t="shared" si="36"/>
        <v>44191</v>
      </c>
      <c r="H263" s="24">
        <f t="shared" si="36"/>
        <v>32134</v>
      </c>
      <c r="I263" s="24">
        <f t="shared" si="36"/>
        <v>10442</v>
      </c>
      <c r="J263" s="24">
        <f t="shared" si="36"/>
        <v>5421</v>
      </c>
      <c r="K263" s="194" t="s">
        <v>116</v>
      </c>
      <c r="L263" s="193">
        <f t="shared" si="32"/>
        <v>147055</v>
      </c>
    </row>
    <row r="264" spans="1:12" x14ac:dyDescent="0.2">
      <c r="A264" s="383">
        <v>2000</v>
      </c>
      <c r="B264" s="194" t="s">
        <v>116</v>
      </c>
      <c r="C264" s="194" t="s">
        <v>116</v>
      </c>
      <c r="D264" s="24">
        <f t="shared" ref="D264:K273" si="37">IF(AND(D217="-",D170="-",D123="-",D76="-",D29="-"),"-",SUM(D217,D170,D123,D76,D29))</f>
        <v>36688</v>
      </c>
      <c r="E264" s="24">
        <f t="shared" si="37"/>
        <v>33700</v>
      </c>
      <c r="F264" s="24">
        <f t="shared" si="37"/>
        <v>43225</v>
      </c>
      <c r="G264" s="24">
        <f t="shared" si="37"/>
        <v>44493</v>
      </c>
      <c r="H264" s="24">
        <f t="shared" si="37"/>
        <v>33006</v>
      </c>
      <c r="I264" s="24">
        <f t="shared" si="37"/>
        <v>16346</v>
      </c>
      <c r="J264" s="24">
        <f t="shared" si="37"/>
        <v>5466</v>
      </c>
      <c r="K264" s="24">
        <f t="shared" si="37"/>
        <v>1451</v>
      </c>
      <c r="L264" s="193">
        <f t="shared" si="32"/>
        <v>214375</v>
      </c>
    </row>
    <row r="265" spans="1:12" x14ac:dyDescent="0.2">
      <c r="A265" s="383">
        <v>2001</v>
      </c>
      <c r="B265" s="175" t="s">
        <v>116</v>
      </c>
      <c r="C265" s="24">
        <f t="shared" ref="C265:C282" si="38">IF(AND(C218="-",C171="-",C124="-",C77="-",C30="-"),"-",SUM(C218,C171,C124,C77,C30))</f>
        <v>1573</v>
      </c>
      <c r="D265" s="24">
        <f t="shared" si="37"/>
        <v>26353</v>
      </c>
      <c r="E265" s="24">
        <f t="shared" si="37"/>
        <v>25889</v>
      </c>
      <c r="F265" s="24">
        <f t="shared" si="37"/>
        <v>21705</v>
      </c>
      <c r="G265" s="24">
        <f t="shared" si="37"/>
        <v>37640</v>
      </c>
      <c r="H265" s="24">
        <f t="shared" si="37"/>
        <v>29198</v>
      </c>
      <c r="I265" s="24">
        <f t="shared" si="37"/>
        <v>14103</v>
      </c>
      <c r="J265" s="24">
        <f t="shared" si="37"/>
        <v>6081</v>
      </c>
      <c r="K265" s="24">
        <f t="shared" si="37"/>
        <v>2593</v>
      </c>
      <c r="L265" s="193">
        <f t="shared" si="32"/>
        <v>156490</v>
      </c>
    </row>
    <row r="266" spans="1:12" x14ac:dyDescent="0.2">
      <c r="A266" s="383">
        <v>2002</v>
      </c>
      <c r="B266" s="24">
        <f t="shared" ref="B266:B282" si="39">IF(AND(B219="-",B172="-",B125="-",B78="-",B31="-"),"-",SUM(B219,B172,B125,B78,B31))</f>
        <v>194</v>
      </c>
      <c r="C266" s="24">
        <f t="shared" si="38"/>
        <v>3760</v>
      </c>
      <c r="D266" s="24">
        <f t="shared" si="37"/>
        <v>40477</v>
      </c>
      <c r="E266" s="24">
        <f t="shared" si="37"/>
        <v>30761</v>
      </c>
      <c r="F266" s="24">
        <f t="shared" si="37"/>
        <v>36535</v>
      </c>
      <c r="G266" s="24">
        <f t="shared" si="37"/>
        <v>46562</v>
      </c>
      <c r="H266" s="24">
        <f t="shared" si="37"/>
        <v>39552</v>
      </c>
      <c r="I266" s="24">
        <f t="shared" si="37"/>
        <v>10007</v>
      </c>
      <c r="J266" s="24">
        <f t="shared" si="37"/>
        <v>1823</v>
      </c>
      <c r="K266" s="24">
        <f t="shared" si="37"/>
        <v>381</v>
      </c>
      <c r="L266" s="193">
        <f t="shared" si="32"/>
        <v>210052</v>
      </c>
    </row>
    <row r="267" spans="1:12" x14ac:dyDescent="0.2">
      <c r="A267" s="402">
        <v>2003</v>
      </c>
      <c r="B267" s="24">
        <f t="shared" si="39"/>
        <v>607</v>
      </c>
      <c r="C267" s="24">
        <f t="shared" si="38"/>
        <v>6374</v>
      </c>
      <c r="D267" s="24">
        <f t="shared" si="37"/>
        <v>15069</v>
      </c>
      <c r="E267" s="24">
        <f t="shared" si="37"/>
        <v>19600</v>
      </c>
      <c r="F267" s="24">
        <f t="shared" si="37"/>
        <v>24402</v>
      </c>
      <c r="G267" s="24">
        <f t="shared" si="37"/>
        <v>37972</v>
      </c>
      <c r="H267" s="24">
        <f t="shared" si="37"/>
        <v>19455</v>
      </c>
      <c r="I267" s="24">
        <f t="shared" si="37"/>
        <v>8217</v>
      </c>
      <c r="J267" s="24">
        <f t="shared" si="37"/>
        <v>2667</v>
      </c>
      <c r="K267" s="24">
        <f t="shared" si="37"/>
        <v>264</v>
      </c>
      <c r="L267" s="193">
        <f t="shared" si="32"/>
        <v>134627</v>
      </c>
    </row>
    <row r="268" spans="1:12" x14ac:dyDescent="0.2">
      <c r="A268" s="383">
        <v>2004</v>
      </c>
      <c r="B268" s="37">
        <f t="shared" si="39"/>
        <v>183</v>
      </c>
      <c r="C268" s="37">
        <f t="shared" si="38"/>
        <v>999</v>
      </c>
      <c r="D268" s="37">
        <f t="shared" si="37"/>
        <v>32865</v>
      </c>
      <c r="E268" s="37">
        <f t="shared" si="37"/>
        <v>33471</v>
      </c>
      <c r="F268" s="37">
        <f t="shared" si="37"/>
        <v>33038</v>
      </c>
      <c r="G268" s="37">
        <f t="shared" si="37"/>
        <v>63055</v>
      </c>
      <c r="H268" s="37">
        <f t="shared" si="37"/>
        <v>36822</v>
      </c>
      <c r="I268" s="37">
        <f t="shared" si="37"/>
        <v>12468</v>
      </c>
      <c r="J268" s="37">
        <f t="shared" si="37"/>
        <v>4303</v>
      </c>
      <c r="K268" s="37">
        <f t="shared" si="37"/>
        <v>1539</v>
      </c>
      <c r="L268" s="197">
        <f t="shared" si="32"/>
        <v>218743</v>
      </c>
    </row>
    <row r="269" spans="1:12" x14ac:dyDescent="0.2">
      <c r="A269" s="402">
        <v>2005</v>
      </c>
      <c r="B269" s="37">
        <f t="shared" si="39"/>
        <v>869</v>
      </c>
      <c r="C269" s="37">
        <f t="shared" si="38"/>
        <v>521</v>
      </c>
      <c r="D269" s="37">
        <f t="shared" si="37"/>
        <v>24631</v>
      </c>
      <c r="E269" s="37">
        <f t="shared" si="37"/>
        <v>21071</v>
      </c>
      <c r="F269" s="37">
        <f t="shared" si="37"/>
        <v>33300</v>
      </c>
      <c r="G269" s="37">
        <f t="shared" si="37"/>
        <v>39900</v>
      </c>
      <c r="H269" s="37">
        <f t="shared" si="37"/>
        <v>28870</v>
      </c>
      <c r="I269" s="37">
        <f t="shared" si="37"/>
        <v>16085</v>
      </c>
      <c r="J269" s="37">
        <f t="shared" si="37"/>
        <v>5868</v>
      </c>
      <c r="K269" s="37">
        <f t="shared" si="37"/>
        <v>965</v>
      </c>
      <c r="L269" s="197">
        <f t="shared" si="32"/>
        <v>172080</v>
      </c>
    </row>
    <row r="270" spans="1:12" x14ac:dyDescent="0.2">
      <c r="A270" s="383">
        <v>2006</v>
      </c>
      <c r="B270" s="37">
        <f t="shared" si="39"/>
        <v>289</v>
      </c>
      <c r="C270" s="37">
        <f t="shared" si="38"/>
        <v>298</v>
      </c>
      <c r="D270" s="37">
        <f t="shared" si="37"/>
        <v>19198</v>
      </c>
      <c r="E270" s="37">
        <f t="shared" si="37"/>
        <v>21404</v>
      </c>
      <c r="F270" s="37">
        <f t="shared" si="37"/>
        <v>31338</v>
      </c>
      <c r="G270" s="37">
        <f t="shared" si="37"/>
        <v>34163</v>
      </c>
      <c r="H270" s="37">
        <f t="shared" si="37"/>
        <v>9684</v>
      </c>
      <c r="I270" s="37">
        <f t="shared" si="37"/>
        <v>7857</v>
      </c>
      <c r="J270" s="37">
        <f t="shared" si="37"/>
        <v>1827</v>
      </c>
      <c r="K270" s="37">
        <f t="shared" si="37"/>
        <v>448</v>
      </c>
      <c r="L270" s="197">
        <f t="shared" si="32"/>
        <v>126506</v>
      </c>
    </row>
    <row r="271" spans="1:12" s="374" customFormat="1" x14ac:dyDescent="0.2">
      <c r="A271" s="402">
        <v>2007</v>
      </c>
      <c r="B271" s="37">
        <f t="shared" si="39"/>
        <v>249</v>
      </c>
      <c r="C271" s="37">
        <f t="shared" si="38"/>
        <v>855</v>
      </c>
      <c r="D271" s="37">
        <f t="shared" si="37"/>
        <v>15043</v>
      </c>
      <c r="E271" s="37">
        <f t="shared" si="37"/>
        <v>15311</v>
      </c>
      <c r="F271" s="37">
        <f t="shared" si="37"/>
        <v>25091</v>
      </c>
      <c r="G271" s="37">
        <f t="shared" si="37"/>
        <v>27489</v>
      </c>
      <c r="H271" s="37">
        <f t="shared" si="37"/>
        <v>13969</v>
      </c>
      <c r="I271" s="37">
        <f t="shared" si="37"/>
        <v>4671</v>
      </c>
      <c r="J271" s="37">
        <f t="shared" si="37"/>
        <v>1817</v>
      </c>
      <c r="K271" s="37">
        <f t="shared" si="37"/>
        <v>1394</v>
      </c>
      <c r="L271" s="197">
        <f t="shared" si="32"/>
        <v>105889</v>
      </c>
    </row>
    <row r="272" spans="1:12" s="374" customFormat="1" x14ac:dyDescent="0.2">
      <c r="A272" s="402">
        <v>2008</v>
      </c>
      <c r="B272" s="37">
        <f t="shared" si="39"/>
        <v>206</v>
      </c>
      <c r="C272" s="37">
        <f t="shared" si="38"/>
        <v>185</v>
      </c>
      <c r="D272" s="37" t="str">
        <f t="shared" si="37"/>
        <v>-</v>
      </c>
      <c r="E272" s="37" t="str">
        <f t="shared" si="37"/>
        <v>-</v>
      </c>
      <c r="F272" s="37" t="str">
        <f t="shared" si="37"/>
        <v>-</v>
      </c>
      <c r="G272" s="37" t="str">
        <f t="shared" si="37"/>
        <v>-</v>
      </c>
      <c r="H272" s="37" t="str">
        <f t="shared" si="37"/>
        <v>-</v>
      </c>
      <c r="I272" s="37" t="str">
        <f t="shared" si="37"/>
        <v>-</v>
      </c>
      <c r="J272" s="37" t="str">
        <f t="shared" si="37"/>
        <v>-</v>
      </c>
      <c r="K272" s="37" t="str">
        <f t="shared" si="37"/>
        <v>-</v>
      </c>
      <c r="L272" s="197">
        <f t="shared" si="32"/>
        <v>391</v>
      </c>
    </row>
    <row r="273" spans="1:12" s="374" customFormat="1" x14ac:dyDescent="0.2">
      <c r="A273" s="402">
        <v>2009</v>
      </c>
      <c r="B273" s="37" t="str">
        <f t="shared" si="39"/>
        <v>-</v>
      </c>
      <c r="C273" s="37" t="str">
        <f t="shared" si="38"/>
        <v>-</v>
      </c>
      <c r="D273" s="37" t="str">
        <f t="shared" si="37"/>
        <v>-</v>
      </c>
      <c r="E273" s="37" t="str">
        <f t="shared" si="37"/>
        <v>-</v>
      </c>
      <c r="F273" s="37" t="str">
        <f t="shared" si="37"/>
        <v>-</v>
      </c>
      <c r="G273" s="37" t="str">
        <f t="shared" si="37"/>
        <v>-</v>
      </c>
      <c r="H273" s="37">
        <f t="shared" si="37"/>
        <v>2515</v>
      </c>
      <c r="I273" s="37">
        <f t="shared" si="37"/>
        <v>2844</v>
      </c>
      <c r="J273" s="37" t="str">
        <f t="shared" si="37"/>
        <v>-</v>
      </c>
      <c r="K273" s="37" t="str">
        <f t="shared" si="37"/>
        <v>-</v>
      </c>
      <c r="L273" s="197">
        <f t="shared" si="32"/>
        <v>5359</v>
      </c>
    </row>
    <row r="274" spans="1:12" s="374" customFormat="1" x14ac:dyDescent="0.2">
      <c r="A274" s="402">
        <v>2010</v>
      </c>
      <c r="B274" s="37" t="str">
        <f t="shared" si="39"/>
        <v>-</v>
      </c>
      <c r="C274" s="37" t="str">
        <f t="shared" si="38"/>
        <v>-</v>
      </c>
      <c r="D274" s="37">
        <f t="shared" ref="D274:K282" si="40">IF(AND(D227="-",D180="-",D133="-",D86="-",D39="-"),"-",SUM(D227,D180,D133,D86,D39))</f>
        <v>16774</v>
      </c>
      <c r="E274" s="37">
        <f t="shared" si="40"/>
        <v>7306</v>
      </c>
      <c r="F274" s="37">
        <f t="shared" si="40"/>
        <v>3412</v>
      </c>
      <c r="G274" s="37">
        <f t="shared" si="40"/>
        <v>9255</v>
      </c>
      <c r="H274" s="37">
        <f t="shared" si="40"/>
        <v>9757</v>
      </c>
      <c r="I274" s="37">
        <f t="shared" si="40"/>
        <v>2163</v>
      </c>
      <c r="J274" s="37" t="str">
        <f t="shared" si="40"/>
        <v>-</v>
      </c>
      <c r="K274" s="37" t="str">
        <f t="shared" si="40"/>
        <v>-</v>
      </c>
      <c r="L274" s="197">
        <f t="shared" si="32"/>
        <v>48667</v>
      </c>
    </row>
    <row r="275" spans="1:12" s="374" customFormat="1" x14ac:dyDescent="0.2">
      <c r="A275" s="402">
        <v>2011</v>
      </c>
      <c r="B275" s="37" t="str">
        <f t="shared" si="39"/>
        <v>-</v>
      </c>
      <c r="C275" s="37" t="str">
        <f t="shared" si="38"/>
        <v>-</v>
      </c>
      <c r="D275" s="37">
        <f t="shared" si="40"/>
        <v>15565</v>
      </c>
      <c r="E275" s="37">
        <f t="shared" si="40"/>
        <v>7794</v>
      </c>
      <c r="F275" s="37">
        <f t="shared" si="40"/>
        <v>9615</v>
      </c>
      <c r="G275" s="37">
        <f t="shared" si="40"/>
        <v>25170</v>
      </c>
      <c r="H275" s="37">
        <f t="shared" si="40"/>
        <v>19169</v>
      </c>
      <c r="I275" s="37">
        <f t="shared" si="40"/>
        <v>10932</v>
      </c>
      <c r="J275" s="37">
        <f t="shared" si="40"/>
        <v>3431</v>
      </c>
      <c r="K275" s="37" t="str">
        <f t="shared" si="40"/>
        <v>-</v>
      </c>
      <c r="L275" s="197">
        <f t="shared" si="32"/>
        <v>91676</v>
      </c>
    </row>
    <row r="276" spans="1:12" s="374" customFormat="1" x14ac:dyDescent="0.2">
      <c r="A276" s="402">
        <v>2012</v>
      </c>
      <c r="B276" s="37" t="str">
        <f t="shared" si="39"/>
        <v>-</v>
      </c>
      <c r="C276" s="37" t="str">
        <f t="shared" si="38"/>
        <v>-</v>
      </c>
      <c r="D276" s="37">
        <f t="shared" si="40"/>
        <v>21466</v>
      </c>
      <c r="E276" s="37">
        <f t="shared" si="40"/>
        <v>21212</v>
      </c>
      <c r="F276" s="37">
        <f t="shared" si="40"/>
        <v>29506</v>
      </c>
      <c r="G276" s="37">
        <f t="shared" si="40"/>
        <v>38384</v>
      </c>
      <c r="H276" s="37">
        <f t="shared" si="40"/>
        <v>22993</v>
      </c>
      <c r="I276" s="37">
        <f t="shared" si="40"/>
        <v>10289</v>
      </c>
      <c r="J276" s="37">
        <f t="shared" si="40"/>
        <v>3588</v>
      </c>
      <c r="K276" s="37">
        <f t="shared" si="40"/>
        <v>569</v>
      </c>
      <c r="L276" s="197">
        <f t="shared" si="32"/>
        <v>148007</v>
      </c>
    </row>
    <row r="277" spans="1:12" s="374" customFormat="1" x14ac:dyDescent="0.2">
      <c r="A277" s="402">
        <v>2013</v>
      </c>
      <c r="B277" s="37" t="str">
        <f t="shared" si="39"/>
        <v>-</v>
      </c>
      <c r="C277" s="37" t="str">
        <f t="shared" si="38"/>
        <v>-</v>
      </c>
      <c r="D277" s="37">
        <f t="shared" si="40"/>
        <v>19602</v>
      </c>
      <c r="E277" s="37">
        <f t="shared" si="40"/>
        <v>18399</v>
      </c>
      <c r="F277" s="37">
        <f t="shared" si="40"/>
        <v>26829</v>
      </c>
      <c r="G277" s="37">
        <f t="shared" si="40"/>
        <v>45416</v>
      </c>
      <c r="H277" s="37">
        <f t="shared" si="40"/>
        <v>28244</v>
      </c>
      <c r="I277" s="37">
        <f t="shared" si="40"/>
        <v>6135</v>
      </c>
      <c r="J277" s="37">
        <f t="shared" si="40"/>
        <v>2245</v>
      </c>
      <c r="K277" s="37">
        <f t="shared" si="40"/>
        <v>426</v>
      </c>
      <c r="L277" s="197">
        <f t="shared" si="32"/>
        <v>147296</v>
      </c>
    </row>
    <row r="278" spans="1:12" s="374" customFormat="1" x14ac:dyDescent="0.2">
      <c r="A278" s="402">
        <v>2014</v>
      </c>
      <c r="B278" s="37" t="str">
        <f t="shared" si="39"/>
        <v>-</v>
      </c>
      <c r="C278" s="37" t="str">
        <f t="shared" si="38"/>
        <v>-</v>
      </c>
      <c r="D278" s="37">
        <f t="shared" si="40"/>
        <v>20226</v>
      </c>
      <c r="E278" s="37">
        <f t="shared" si="40"/>
        <v>12673</v>
      </c>
      <c r="F278" s="37">
        <f t="shared" si="40"/>
        <v>12618</v>
      </c>
      <c r="G278" s="37">
        <f t="shared" si="40"/>
        <v>31058</v>
      </c>
      <c r="H278" s="37">
        <f t="shared" si="40"/>
        <v>26751</v>
      </c>
      <c r="I278" s="37">
        <f t="shared" si="40"/>
        <v>11065</v>
      </c>
      <c r="J278" s="37">
        <f t="shared" si="40"/>
        <v>5193</v>
      </c>
      <c r="K278" s="37">
        <f t="shared" si="40"/>
        <v>723</v>
      </c>
      <c r="L278" s="197">
        <f t="shared" si="32"/>
        <v>120307</v>
      </c>
    </row>
    <row r="279" spans="1:12" s="374" customFormat="1" x14ac:dyDescent="0.2">
      <c r="A279" s="122">
        <v>2015</v>
      </c>
      <c r="B279" s="37" t="str">
        <f t="shared" si="39"/>
        <v>-</v>
      </c>
      <c r="C279" s="37" t="str">
        <f t="shared" si="38"/>
        <v>-</v>
      </c>
      <c r="D279" s="37">
        <f t="shared" si="40"/>
        <v>11085</v>
      </c>
      <c r="E279" s="37">
        <f t="shared" si="40"/>
        <v>10042</v>
      </c>
      <c r="F279" s="37">
        <f t="shared" si="40"/>
        <v>10465</v>
      </c>
      <c r="G279" s="37">
        <f t="shared" si="40"/>
        <v>18726</v>
      </c>
      <c r="H279" s="37">
        <f t="shared" si="40"/>
        <v>17471</v>
      </c>
      <c r="I279" s="37">
        <f t="shared" si="40"/>
        <v>10501</v>
      </c>
      <c r="J279" s="37">
        <f t="shared" si="40"/>
        <v>3483</v>
      </c>
      <c r="K279" s="37">
        <f t="shared" si="40"/>
        <v>5</v>
      </c>
      <c r="L279" s="197">
        <f t="shared" si="32"/>
        <v>81778</v>
      </c>
    </row>
    <row r="280" spans="1:12" s="374" customFormat="1" x14ac:dyDescent="0.2">
      <c r="A280" s="122">
        <v>2016</v>
      </c>
      <c r="B280" s="37" t="str">
        <f t="shared" si="39"/>
        <v>-</v>
      </c>
      <c r="C280" s="37" t="str">
        <f t="shared" si="38"/>
        <v>-</v>
      </c>
      <c r="D280" s="37">
        <f t="shared" si="40"/>
        <v>8006</v>
      </c>
      <c r="E280" s="37">
        <f t="shared" si="40"/>
        <v>9919</v>
      </c>
      <c r="F280" s="37">
        <f t="shared" si="40"/>
        <v>6439</v>
      </c>
      <c r="G280" s="37">
        <f t="shared" si="40"/>
        <v>19077</v>
      </c>
      <c r="H280" s="37">
        <f t="shared" si="40"/>
        <v>15132</v>
      </c>
      <c r="I280" s="37">
        <f t="shared" si="40"/>
        <v>9160</v>
      </c>
      <c r="J280" s="37">
        <f t="shared" si="40"/>
        <v>2366</v>
      </c>
      <c r="K280" s="37">
        <f t="shared" si="40"/>
        <v>0</v>
      </c>
      <c r="L280" s="197">
        <f t="shared" si="32"/>
        <v>70099</v>
      </c>
    </row>
    <row r="281" spans="1:12" s="374" customFormat="1" x14ac:dyDescent="0.2">
      <c r="A281" s="122">
        <v>2017</v>
      </c>
      <c r="B281" s="37" t="str">
        <f t="shared" si="39"/>
        <v>-</v>
      </c>
      <c r="C281" s="37" t="str">
        <f t="shared" si="38"/>
        <v>-</v>
      </c>
      <c r="D281" s="37">
        <f t="shared" si="40"/>
        <v>10105</v>
      </c>
      <c r="E281" s="37">
        <f t="shared" si="40"/>
        <v>5000</v>
      </c>
      <c r="F281" s="37">
        <f t="shared" si="40"/>
        <v>6574</v>
      </c>
      <c r="G281" s="37">
        <f t="shared" si="40"/>
        <v>22590</v>
      </c>
      <c r="H281" s="37">
        <f t="shared" si="40"/>
        <v>19358</v>
      </c>
      <c r="I281" s="37">
        <f t="shared" si="40"/>
        <v>8496</v>
      </c>
      <c r="J281" s="37">
        <f t="shared" si="40"/>
        <v>1851</v>
      </c>
      <c r="K281" s="37">
        <f t="shared" si="40"/>
        <v>0</v>
      </c>
      <c r="L281" s="197">
        <f t="shared" si="32"/>
        <v>73974</v>
      </c>
    </row>
    <row r="282" spans="1:12" s="374" customFormat="1" x14ac:dyDescent="0.2">
      <c r="A282" s="122">
        <v>2018</v>
      </c>
      <c r="B282" s="37" t="str">
        <f t="shared" si="39"/>
        <v>-</v>
      </c>
      <c r="C282" s="37" t="str">
        <f t="shared" si="38"/>
        <v>-</v>
      </c>
      <c r="D282" s="37">
        <f t="shared" si="40"/>
        <v>8140</v>
      </c>
      <c r="E282" s="37">
        <f t="shared" si="40"/>
        <v>2021</v>
      </c>
      <c r="F282" s="37">
        <f t="shared" si="40"/>
        <v>14953</v>
      </c>
      <c r="G282" s="37">
        <f t="shared" si="40"/>
        <v>37011</v>
      </c>
      <c r="H282" s="37">
        <f t="shared" si="40"/>
        <v>20393</v>
      </c>
      <c r="I282" s="37">
        <f t="shared" si="40"/>
        <v>9035</v>
      </c>
      <c r="J282" s="37">
        <f t="shared" si="40"/>
        <v>5072</v>
      </c>
      <c r="K282" s="37" t="str">
        <f t="shared" si="40"/>
        <v>-</v>
      </c>
      <c r="L282" s="197">
        <f t="shared" si="32"/>
        <v>96625</v>
      </c>
    </row>
    <row r="283" spans="1:12" s="487" customFormat="1" x14ac:dyDescent="0.2">
      <c r="A283" s="496" t="s">
        <v>398</v>
      </c>
      <c r="B283" s="37" t="str">
        <f t="shared" ref="B283:L284" si="41">IF(AND(B236="-",B189="-",B142="-",B95="-",B48="-"),"-",SUM(B236,B189,B142,B95,B48))</f>
        <v>-</v>
      </c>
      <c r="C283" s="37" t="str">
        <f t="shared" si="41"/>
        <v>-</v>
      </c>
      <c r="D283" s="37">
        <f t="shared" si="41"/>
        <v>17350</v>
      </c>
      <c r="E283" s="37">
        <f t="shared" si="41"/>
        <v>5943</v>
      </c>
      <c r="F283" s="37">
        <f t="shared" si="41"/>
        <v>20911</v>
      </c>
      <c r="G283" s="37">
        <f t="shared" si="41"/>
        <v>25746</v>
      </c>
      <c r="H283" s="37">
        <f t="shared" si="41"/>
        <v>24892</v>
      </c>
      <c r="I283" s="37">
        <f t="shared" si="41"/>
        <v>7048</v>
      </c>
      <c r="J283" s="37">
        <f t="shared" si="41"/>
        <v>1821</v>
      </c>
      <c r="K283" s="37" t="str">
        <f t="shared" si="41"/>
        <v>-</v>
      </c>
      <c r="L283" s="197">
        <f t="shared" si="41"/>
        <v>103711</v>
      </c>
    </row>
    <row r="284" spans="1:12" x14ac:dyDescent="0.2">
      <c r="A284" s="496" t="s">
        <v>399</v>
      </c>
      <c r="B284" s="38" t="str">
        <f t="shared" si="41"/>
        <v>-</v>
      </c>
      <c r="C284" s="38" t="str">
        <f t="shared" si="41"/>
        <v>-</v>
      </c>
      <c r="D284" s="38" t="str">
        <f t="shared" si="41"/>
        <v>-</v>
      </c>
      <c r="E284" s="38" t="s">
        <v>116</v>
      </c>
      <c r="F284" s="38" t="s">
        <v>116</v>
      </c>
      <c r="G284" s="38">
        <f t="shared" si="41"/>
        <v>29583</v>
      </c>
      <c r="H284" s="38">
        <f t="shared" si="41"/>
        <v>17895</v>
      </c>
      <c r="I284" s="38">
        <f t="shared" si="41"/>
        <v>7703</v>
      </c>
      <c r="J284" s="38">
        <f t="shared" si="41"/>
        <v>4123</v>
      </c>
      <c r="K284" s="38">
        <f t="shared" si="41"/>
        <v>127</v>
      </c>
      <c r="L284" s="32">
        <f t="shared" si="41"/>
        <v>59431</v>
      </c>
    </row>
    <row r="285" spans="1:12" x14ac:dyDescent="0.2">
      <c r="A285" s="518" t="s">
        <v>75</v>
      </c>
      <c r="B285" s="518"/>
      <c r="C285" s="518"/>
      <c r="D285" s="518"/>
      <c r="E285" s="518"/>
      <c r="F285" s="518"/>
      <c r="G285" s="518"/>
      <c r="H285" s="518"/>
      <c r="I285" s="518"/>
      <c r="J285" s="518"/>
      <c r="K285" s="518"/>
      <c r="L285" s="518"/>
    </row>
    <row r="286" spans="1:12" x14ac:dyDescent="0.2">
      <c r="A286" s="519"/>
      <c r="B286" s="519"/>
      <c r="C286" s="519"/>
      <c r="D286" s="519"/>
      <c r="E286" s="519"/>
      <c r="F286" s="519"/>
      <c r="G286" s="519"/>
      <c r="H286" s="519"/>
      <c r="I286" s="519"/>
      <c r="J286" s="519"/>
      <c r="K286" s="519"/>
      <c r="L286" s="519"/>
    </row>
    <row r="288" spans="1:12" s="310" customFormat="1" x14ac:dyDescent="0.2">
      <c r="A288" s="240"/>
      <c r="B288" s="242"/>
      <c r="C288" s="242"/>
      <c r="D288" s="242"/>
      <c r="E288" s="242"/>
      <c r="F288" s="242"/>
      <c r="G288" s="242"/>
      <c r="H288" s="242"/>
      <c r="I288" s="242"/>
      <c r="J288" s="242"/>
      <c r="K288" s="242"/>
      <c r="L288" s="242"/>
    </row>
    <row r="294" spans="1:12" ht="11.25" customHeight="1" x14ac:dyDescent="0.2">
      <c r="A294" s="528" t="s">
        <v>234</v>
      </c>
      <c r="B294" s="528"/>
      <c r="C294" s="528"/>
      <c r="D294" s="528"/>
      <c r="E294" s="528"/>
      <c r="F294" s="528"/>
      <c r="G294" s="528"/>
      <c r="H294" s="528"/>
      <c r="I294" s="528"/>
      <c r="J294" s="528"/>
      <c r="K294" s="528"/>
      <c r="L294" s="528"/>
    </row>
    <row r="295" spans="1:12" x14ac:dyDescent="0.2">
      <c r="A295" s="389" t="s">
        <v>33</v>
      </c>
      <c r="B295" s="381" t="s">
        <v>42</v>
      </c>
      <c r="C295" s="381" t="s">
        <v>43</v>
      </c>
      <c r="D295" s="381" t="s">
        <v>34</v>
      </c>
      <c r="E295" s="381" t="s">
        <v>35</v>
      </c>
      <c r="F295" s="381" t="s">
        <v>36</v>
      </c>
      <c r="G295" s="381" t="s">
        <v>37</v>
      </c>
      <c r="H295" s="381" t="s">
        <v>38</v>
      </c>
      <c r="I295" s="381" t="s">
        <v>39</v>
      </c>
      <c r="J295" s="381" t="s">
        <v>40</v>
      </c>
      <c r="K295" s="381" t="s">
        <v>44</v>
      </c>
      <c r="L295" s="381" t="s">
        <v>28</v>
      </c>
    </row>
    <row r="296" spans="1:12" x14ac:dyDescent="0.2">
      <c r="A296" s="116" t="s">
        <v>22</v>
      </c>
    </row>
    <row r="297" spans="1:12" x14ac:dyDescent="0.2">
      <c r="A297" s="383" t="s">
        <v>87</v>
      </c>
      <c r="B297" s="175" t="s">
        <v>116</v>
      </c>
      <c r="C297" s="175" t="s">
        <v>116</v>
      </c>
      <c r="D297" s="24" t="s">
        <v>29</v>
      </c>
      <c r="E297" s="24">
        <f>AVERAGE(E15:E19)</f>
        <v>1417.2</v>
      </c>
      <c r="F297" s="24">
        <f>AVERAGE(F15:F19)</f>
        <v>11086.8</v>
      </c>
      <c r="G297" s="24">
        <f>AVERAGE(G15:G19)</f>
        <v>19316.2</v>
      </c>
      <c r="H297" s="24">
        <f>AVERAGE(H15:H19)</f>
        <v>6758</v>
      </c>
      <c r="I297" s="24">
        <f>AVERAGE(I15:I19)</f>
        <v>981.4</v>
      </c>
      <c r="J297" s="24" t="s">
        <v>29</v>
      </c>
      <c r="K297" s="24" t="s">
        <v>29</v>
      </c>
      <c r="L297" s="193">
        <f>AVERAGE(L15:L19)</f>
        <v>39559.599999999999</v>
      </c>
    </row>
    <row r="298" spans="1:12" x14ac:dyDescent="0.2">
      <c r="A298" s="383" t="s">
        <v>14</v>
      </c>
      <c r="B298" s="24" t="s">
        <v>29</v>
      </c>
      <c r="C298" s="24" t="s">
        <v>29</v>
      </c>
      <c r="D298" s="24" t="s">
        <v>29</v>
      </c>
      <c r="E298" s="24">
        <f>AVERAGE(E20:E24)</f>
        <v>2375.5</v>
      </c>
      <c r="F298" s="24">
        <f>AVERAGE(F20:F24)</f>
        <v>4333</v>
      </c>
      <c r="G298" s="24">
        <f>AVERAGE(G20:G24)</f>
        <v>9249.6666666666661</v>
      </c>
      <c r="H298" s="24">
        <f>AVERAGE(H20:H24)</f>
        <v>2318.5</v>
      </c>
      <c r="I298" s="24">
        <f>AVERAGE(I20:I24)</f>
        <v>1562.6</v>
      </c>
      <c r="J298" s="24" t="s">
        <v>29</v>
      </c>
      <c r="K298" s="24" t="s">
        <v>29</v>
      </c>
      <c r="L298" s="193">
        <f>AVERAGE(L20:L24)</f>
        <v>14334</v>
      </c>
    </row>
    <row r="299" spans="1:12" x14ac:dyDescent="0.2">
      <c r="A299" s="383" t="s">
        <v>207</v>
      </c>
      <c r="B299" s="24" t="s">
        <v>29</v>
      </c>
      <c r="C299" s="24" t="s">
        <v>29</v>
      </c>
      <c r="D299" s="24" t="s">
        <v>29</v>
      </c>
      <c r="E299" s="24">
        <f>AVERAGE(E25:E29)</f>
        <v>554.79999999999995</v>
      </c>
      <c r="F299" s="24">
        <f>AVERAGE(F25:F29)</f>
        <v>2319.8000000000002</v>
      </c>
      <c r="G299" s="24">
        <f>AVERAGE(G25:G29)</f>
        <v>1459.6</v>
      </c>
      <c r="H299" s="24">
        <f>AVERAGE(H25:H29)</f>
        <v>2183.8000000000002</v>
      </c>
      <c r="I299" s="24">
        <f>AVERAGE(I25:I29)</f>
        <v>330.8</v>
      </c>
      <c r="J299" s="24" t="s">
        <v>29</v>
      </c>
      <c r="K299" s="24" t="s">
        <v>29</v>
      </c>
      <c r="L299" s="193">
        <f>AVERAGE(L25:L29)</f>
        <v>6848.8</v>
      </c>
    </row>
    <row r="300" spans="1:12" x14ac:dyDescent="0.2">
      <c r="A300" s="383" t="s">
        <v>238</v>
      </c>
      <c r="B300" s="24" t="str">
        <f>B30</f>
        <v>-</v>
      </c>
      <c r="C300" s="24" t="str">
        <f>C30</f>
        <v>-</v>
      </c>
      <c r="D300" s="24" t="str">
        <f>D30</f>
        <v>-</v>
      </c>
      <c r="E300" s="24">
        <f>AVERAGE(E30:E34)</f>
        <v>594</v>
      </c>
      <c r="F300" s="24">
        <f>AVERAGE(F30:F34)</f>
        <v>1038.2</v>
      </c>
      <c r="G300" s="24">
        <f>AVERAGE(G30:G34)</f>
        <v>969</v>
      </c>
      <c r="H300" s="24">
        <f>AVERAGE(H30:H34)</f>
        <v>1182.4000000000001</v>
      </c>
      <c r="I300" s="24">
        <f>AVERAGE(I30:I34)</f>
        <v>288.8</v>
      </c>
      <c r="J300" s="24" t="str">
        <f>J30</f>
        <v>-</v>
      </c>
      <c r="K300" s="24" t="str">
        <f>K30</f>
        <v>-</v>
      </c>
      <c r="L300" s="193">
        <f>AVERAGE(L30:L34)</f>
        <v>2929.25</v>
      </c>
    </row>
    <row r="301" spans="1:12" x14ac:dyDescent="0.2">
      <c r="A301" s="383">
        <v>2006</v>
      </c>
      <c r="B301" s="24" t="str">
        <f t="shared" ref="B301:L301" si="42">B35</f>
        <v>-</v>
      </c>
      <c r="C301" s="24" t="str">
        <f t="shared" si="42"/>
        <v>-</v>
      </c>
      <c r="D301" s="24" t="str">
        <f t="shared" si="42"/>
        <v>-</v>
      </c>
      <c r="E301" s="24">
        <f t="shared" si="42"/>
        <v>325</v>
      </c>
      <c r="F301" s="24">
        <f t="shared" si="42"/>
        <v>754</v>
      </c>
      <c r="G301" s="24">
        <f t="shared" si="42"/>
        <v>312</v>
      </c>
      <c r="H301" s="24" t="str">
        <f t="shared" si="42"/>
        <v>-</v>
      </c>
      <c r="I301" s="24">
        <f t="shared" si="42"/>
        <v>87</v>
      </c>
      <c r="J301" s="24" t="str">
        <f t="shared" si="42"/>
        <v>-</v>
      </c>
      <c r="K301" s="24" t="str">
        <f t="shared" si="42"/>
        <v>-</v>
      </c>
      <c r="L301" s="193">
        <f t="shared" si="42"/>
        <v>1478</v>
      </c>
    </row>
    <row r="302" spans="1:12" s="374" customFormat="1" x14ac:dyDescent="0.2">
      <c r="A302" s="402">
        <v>2007</v>
      </c>
      <c r="B302" s="37" t="str">
        <f t="shared" ref="B302:L302" si="43">B36</f>
        <v>-</v>
      </c>
      <c r="C302" s="37" t="str">
        <f t="shared" si="43"/>
        <v>-</v>
      </c>
      <c r="D302" s="37" t="str">
        <f t="shared" si="43"/>
        <v>-</v>
      </c>
      <c r="E302" s="37">
        <f t="shared" si="43"/>
        <v>277</v>
      </c>
      <c r="F302" s="37">
        <f t="shared" si="43"/>
        <v>484</v>
      </c>
      <c r="G302" s="37">
        <f t="shared" si="43"/>
        <v>1027</v>
      </c>
      <c r="H302" s="37">
        <f t="shared" si="43"/>
        <v>225</v>
      </c>
      <c r="I302" s="37">
        <f t="shared" si="43"/>
        <v>69</v>
      </c>
      <c r="J302" s="37" t="str">
        <f t="shared" si="43"/>
        <v>-</v>
      </c>
      <c r="K302" s="37" t="str">
        <f t="shared" si="43"/>
        <v>-</v>
      </c>
      <c r="L302" s="197">
        <f t="shared" si="43"/>
        <v>2082</v>
      </c>
    </row>
    <row r="303" spans="1:12" s="374" customFormat="1" x14ac:dyDescent="0.2">
      <c r="A303" s="402">
        <v>2008</v>
      </c>
      <c r="B303" s="37" t="str">
        <f t="shared" ref="B303:L303" si="44">B37</f>
        <v>-</v>
      </c>
      <c r="C303" s="37" t="str">
        <f t="shared" si="44"/>
        <v>-</v>
      </c>
      <c r="D303" s="37" t="str">
        <f t="shared" si="44"/>
        <v>-</v>
      </c>
      <c r="E303" s="37" t="str">
        <f t="shared" si="44"/>
        <v>-</v>
      </c>
      <c r="F303" s="37" t="str">
        <f t="shared" si="44"/>
        <v>-</v>
      </c>
      <c r="G303" s="37" t="str">
        <f t="shared" si="44"/>
        <v>-</v>
      </c>
      <c r="H303" s="37" t="str">
        <f t="shared" si="44"/>
        <v>-</v>
      </c>
      <c r="I303" s="37" t="str">
        <f t="shared" si="44"/>
        <v>-</v>
      </c>
      <c r="J303" s="37" t="str">
        <f t="shared" si="44"/>
        <v>-</v>
      </c>
      <c r="K303" s="37" t="str">
        <f t="shared" si="44"/>
        <v>-</v>
      </c>
      <c r="L303" s="197" t="str">
        <f t="shared" si="44"/>
        <v>-</v>
      </c>
    </row>
    <row r="304" spans="1:12" s="374" customFormat="1" x14ac:dyDescent="0.2">
      <c r="A304" s="402">
        <v>2009</v>
      </c>
      <c r="B304" s="37" t="str">
        <f t="shared" ref="B304:L304" si="45">B38</f>
        <v>-</v>
      </c>
      <c r="C304" s="37" t="str">
        <f t="shared" si="45"/>
        <v>-</v>
      </c>
      <c r="D304" s="37" t="str">
        <f t="shared" si="45"/>
        <v>-</v>
      </c>
      <c r="E304" s="37" t="str">
        <f t="shared" si="45"/>
        <v>-</v>
      </c>
      <c r="F304" s="37" t="str">
        <f t="shared" si="45"/>
        <v>-</v>
      </c>
      <c r="G304" s="37" t="str">
        <f t="shared" si="45"/>
        <v>-</v>
      </c>
      <c r="H304" s="37">
        <f t="shared" si="45"/>
        <v>498</v>
      </c>
      <c r="I304" s="37">
        <f t="shared" si="45"/>
        <v>607</v>
      </c>
      <c r="J304" s="37" t="str">
        <f t="shared" si="45"/>
        <v>-</v>
      </c>
      <c r="K304" s="37" t="str">
        <f t="shared" si="45"/>
        <v>-</v>
      </c>
      <c r="L304" s="197">
        <f t="shared" si="45"/>
        <v>1105</v>
      </c>
    </row>
    <row r="305" spans="1:12" s="374" customFormat="1" x14ac:dyDescent="0.2">
      <c r="A305" s="402">
        <v>2010</v>
      </c>
      <c r="B305" s="37" t="str">
        <f t="shared" ref="B305:L305" si="46">B39</f>
        <v>-</v>
      </c>
      <c r="C305" s="37" t="str">
        <f t="shared" si="46"/>
        <v>-</v>
      </c>
      <c r="D305" s="37" t="str">
        <f t="shared" si="46"/>
        <v>-</v>
      </c>
      <c r="E305" s="37">
        <f t="shared" si="46"/>
        <v>72</v>
      </c>
      <c r="F305" s="37">
        <f t="shared" si="46"/>
        <v>38</v>
      </c>
      <c r="G305" s="37">
        <f t="shared" si="46"/>
        <v>48</v>
      </c>
      <c r="H305" s="37">
        <f t="shared" si="46"/>
        <v>33</v>
      </c>
      <c r="I305" s="37">
        <f t="shared" si="46"/>
        <v>15</v>
      </c>
      <c r="J305" s="37" t="str">
        <f t="shared" si="46"/>
        <v>-</v>
      </c>
      <c r="K305" s="37" t="str">
        <f t="shared" si="46"/>
        <v>-</v>
      </c>
      <c r="L305" s="197">
        <f t="shared" si="46"/>
        <v>206</v>
      </c>
    </row>
    <row r="306" spans="1:12" s="374" customFormat="1" x14ac:dyDescent="0.2">
      <c r="A306" s="402">
        <v>2011</v>
      </c>
      <c r="B306" s="37" t="str">
        <f t="shared" ref="B306:L306" si="47">B40</f>
        <v>-</v>
      </c>
      <c r="C306" s="37" t="str">
        <f t="shared" si="47"/>
        <v>-</v>
      </c>
      <c r="D306" s="37" t="str">
        <f t="shared" si="47"/>
        <v>-</v>
      </c>
      <c r="E306" s="37">
        <f t="shared" si="47"/>
        <v>187</v>
      </c>
      <c r="F306" s="37">
        <f t="shared" si="47"/>
        <v>104</v>
      </c>
      <c r="G306" s="37">
        <f t="shared" si="47"/>
        <v>245</v>
      </c>
      <c r="H306" s="37">
        <f t="shared" si="47"/>
        <v>185</v>
      </c>
      <c r="I306" s="37">
        <f t="shared" si="47"/>
        <v>45</v>
      </c>
      <c r="J306" s="37" t="str">
        <f t="shared" si="47"/>
        <v>-</v>
      </c>
      <c r="K306" s="37" t="str">
        <f t="shared" si="47"/>
        <v>-</v>
      </c>
      <c r="L306" s="197">
        <f t="shared" si="47"/>
        <v>766</v>
      </c>
    </row>
    <row r="307" spans="1:12" s="374" customFormat="1" x14ac:dyDescent="0.2">
      <c r="A307" s="402">
        <v>2012</v>
      </c>
      <c r="B307" s="37" t="str">
        <f t="shared" ref="B307:L307" si="48">B41</f>
        <v>-</v>
      </c>
      <c r="C307" s="37" t="str">
        <f t="shared" si="48"/>
        <v>-</v>
      </c>
      <c r="D307" s="37" t="str">
        <f t="shared" si="48"/>
        <v>-</v>
      </c>
      <c r="E307" s="37">
        <f t="shared" si="48"/>
        <v>455</v>
      </c>
      <c r="F307" s="37">
        <f t="shared" si="48"/>
        <v>1018</v>
      </c>
      <c r="G307" s="37">
        <f t="shared" si="48"/>
        <v>4134</v>
      </c>
      <c r="H307" s="37">
        <f t="shared" si="48"/>
        <v>1702</v>
      </c>
      <c r="I307" s="37">
        <f t="shared" si="48"/>
        <v>502</v>
      </c>
      <c r="J307" s="37" t="str">
        <f t="shared" si="48"/>
        <v>-</v>
      </c>
      <c r="K307" s="37" t="str">
        <f t="shared" si="48"/>
        <v>-</v>
      </c>
      <c r="L307" s="197">
        <f t="shared" si="48"/>
        <v>7811</v>
      </c>
    </row>
    <row r="308" spans="1:12" s="374" customFormat="1" x14ac:dyDescent="0.2">
      <c r="A308" s="402">
        <v>2013</v>
      </c>
      <c r="B308" s="37" t="str">
        <f t="shared" ref="B308:L308" si="49">B42</f>
        <v>-</v>
      </c>
      <c r="C308" s="37" t="str">
        <f t="shared" si="49"/>
        <v>-</v>
      </c>
      <c r="D308" s="37" t="str">
        <f t="shared" si="49"/>
        <v>-</v>
      </c>
      <c r="E308" s="37">
        <f t="shared" si="49"/>
        <v>456</v>
      </c>
      <c r="F308" s="37">
        <f t="shared" si="49"/>
        <v>2538</v>
      </c>
      <c r="G308" s="37">
        <f t="shared" si="49"/>
        <v>3228</v>
      </c>
      <c r="H308" s="37">
        <f t="shared" si="49"/>
        <v>816</v>
      </c>
      <c r="I308" s="37">
        <f t="shared" si="49"/>
        <v>0</v>
      </c>
      <c r="J308" s="37" t="str">
        <f t="shared" si="49"/>
        <v>-</v>
      </c>
      <c r="K308" s="37" t="str">
        <f t="shared" si="49"/>
        <v>-</v>
      </c>
      <c r="L308" s="197">
        <f t="shared" si="49"/>
        <v>7038</v>
      </c>
    </row>
    <row r="309" spans="1:12" s="374" customFormat="1" x14ac:dyDescent="0.2">
      <c r="A309" s="402">
        <v>2014</v>
      </c>
      <c r="B309" s="37" t="str">
        <f t="shared" ref="B309:L309" si="50">B43</f>
        <v>-</v>
      </c>
      <c r="C309" s="37" t="str">
        <f t="shared" si="50"/>
        <v>-</v>
      </c>
      <c r="D309" s="37" t="str">
        <f t="shared" si="50"/>
        <v>-</v>
      </c>
      <c r="E309" s="37">
        <f t="shared" si="50"/>
        <v>1441</v>
      </c>
      <c r="F309" s="37">
        <f t="shared" si="50"/>
        <v>786</v>
      </c>
      <c r="G309" s="37">
        <f t="shared" si="50"/>
        <v>1996</v>
      </c>
      <c r="H309" s="37">
        <f t="shared" si="50"/>
        <v>172</v>
      </c>
      <c r="I309" s="37">
        <f t="shared" si="50"/>
        <v>10</v>
      </c>
      <c r="J309" s="37" t="str">
        <f t="shared" si="50"/>
        <v>-</v>
      </c>
      <c r="K309" s="37" t="str">
        <f t="shared" si="50"/>
        <v>-</v>
      </c>
      <c r="L309" s="197">
        <f t="shared" si="50"/>
        <v>4405</v>
      </c>
    </row>
    <row r="310" spans="1:12" s="374" customFormat="1" x14ac:dyDescent="0.2">
      <c r="A310" s="122">
        <v>2015</v>
      </c>
      <c r="B310" s="37" t="str">
        <f t="shared" ref="B310:L310" si="51">B44</f>
        <v>-</v>
      </c>
      <c r="C310" s="37" t="str">
        <f t="shared" si="51"/>
        <v>-</v>
      </c>
      <c r="D310" s="37" t="str">
        <f t="shared" si="51"/>
        <v>-</v>
      </c>
      <c r="E310" s="37">
        <f t="shared" si="51"/>
        <v>210</v>
      </c>
      <c r="F310" s="37">
        <f t="shared" si="51"/>
        <v>89</v>
      </c>
      <c r="G310" s="37">
        <f t="shared" si="51"/>
        <v>161</v>
      </c>
      <c r="H310" s="37">
        <f t="shared" si="51"/>
        <v>137</v>
      </c>
      <c r="I310" s="37">
        <f t="shared" si="51"/>
        <v>44</v>
      </c>
      <c r="J310" s="37" t="str">
        <f t="shared" si="51"/>
        <v>-</v>
      </c>
      <c r="K310" s="37" t="str">
        <f t="shared" si="51"/>
        <v>-</v>
      </c>
      <c r="L310" s="197">
        <f t="shared" si="51"/>
        <v>641</v>
      </c>
    </row>
    <row r="311" spans="1:12" s="374" customFormat="1" x14ac:dyDescent="0.2">
      <c r="A311" s="122">
        <v>2016</v>
      </c>
      <c r="B311" s="37" t="str">
        <f t="shared" ref="B311:L311" si="52">B45</f>
        <v>-</v>
      </c>
      <c r="C311" s="37" t="str">
        <f t="shared" si="52"/>
        <v>-</v>
      </c>
      <c r="D311" s="37" t="str">
        <f t="shared" si="52"/>
        <v>-</v>
      </c>
      <c r="E311" s="37">
        <f t="shared" si="52"/>
        <v>59</v>
      </c>
      <c r="F311" s="37">
        <f t="shared" si="52"/>
        <v>222</v>
      </c>
      <c r="G311" s="37">
        <f t="shared" si="52"/>
        <v>176</v>
      </c>
      <c r="H311" s="37">
        <f t="shared" si="52"/>
        <v>56</v>
      </c>
      <c r="I311" s="37">
        <f t="shared" si="52"/>
        <v>50</v>
      </c>
      <c r="J311" s="37" t="str">
        <f t="shared" si="52"/>
        <v>-</v>
      </c>
      <c r="K311" s="37" t="str">
        <f t="shared" si="52"/>
        <v>-</v>
      </c>
      <c r="L311" s="197">
        <f t="shared" si="52"/>
        <v>563</v>
      </c>
    </row>
    <row r="312" spans="1:12" s="374" customFormat="1" x14ac:dyDescent="0.2">
      <c r="A312" s="122">
        <v>2017</v>
      </c>
      <c r="B312" s="37" t="str">
        <f t="shared" ref="B312:L312" si="53">B46</f>
        <v>-</v>
      </c>
      <c r="C312" s="37" t="str">
        <f t="shared" si="53"/>
        <v>-</v>
      </c>
      <c r="D312" s="37" t="str">
        <f t="shared" si="53"/>
        <v>-</v>
      </c>
      <c r="E312" s="37" t="str">
        <f t="shared" si="53"/>
        <v>-</v>
      </c>
      <c r="F312" s="37" t="str">
        <f t="shared" si="53"/>
        <v>-</v>
      </c>
      <c r="G312" s="37" t="str">
        <f t="shared" si="53"/>
        <v>-</v>
      </c>
      <c r="H312" s="37" t="str">
        <f t="shared" si="53"/>
        <v>-</v>
      </c>
      <c r="I312" s="37" t="str">
        <f t="shared" si="53"/>
        <v>-</v>
      </c>
      <c r="J312" s="37" t="str">
        <f t="shared" si="53"/>
        <v>-</v>
      </c>
      <c r="K312" s="37" t="str">
        <f t="shared" si="53"/>
        <v>-</v>
      </c>
      <c r="L312" s="197" t="str">
        <f t="shared" si="53"/>
        <v>-</v>
      </c>
    </row>
    <row r="313" spans="1:12" s="374" customFormat="1" x14ac:dyDescent="0.2">
      <c r="A313" s="122">
        <v>2018</v>
      </c>
      <c r="B313" s="37" t="str">
        <f t="shared" ref="B313:L313" si="54">B47</f>
        <v>-</v>
      </c>
      <c r="C313" s="37" t="str">
        <f t="shared" si="54"/>
        <v>-</v>
      </c>
      <c r="D313" s="37" t="str">
        <f t="shared" si="54"/>
        <v>-</v>
      </c>
      <c r="E313" s="37" t="str">
        <f t="shared" si="54"/>
        <v>-</v>
      </c>
      <c r="F313" s="37">
        <f t="shared" si="54"/>
        <v>359</v>
      </c>
      <c r="G313" s="37">
        <f t="shared" si="54"/>
        <v>673</v>
      </c>
      <c r="H313" s="37">
        <f t="shared" si="54"/>
        <v>328</v>
      </c>
      <c r="I313" s="37">
        <f t="shared" si="54"/>
        <v>3</v>
      </c>
      <c r="J313" s="37" t="str">
        <f t="shared" si="54"/>
        <v>-</v>
      </c>
      <c r="K313" s="37" t="str">
        <f t="shared" si="54"/>
        <v>-</v>
      </c>
      <c r="L313" s="197">
        <f t="shared" si="54"/>
        <v>1363</v>
      </c>
    </row>
    <row r="314" spans="1:12" s="487" customFormat="1" x14ac:dyDescent="0.2">
      <c r="A314" s="496" t="s">
        <v>398</v>
      </c>
      <c r="B314" s="37" t="str">
        <f t="shared" ref="B314:L315" si="55">B48</f>
        <v>-</v>
      </c>
      <c r="C314" s="37" t="str">
        <f t="shared" si="55"/>
        <v>-</v>
      </c>
      <c r="D314" s="37" t="str">
        <f t="shared" si="55"/>
        <v>-</v>
      </c>
      <c r="E314" s="37">
        <f t="shared" si="55"/>
        <v>15</v>
      </c>
      <c r="F314" s="37">
        <f t="shared" si="55"/>
        <v>137</v>
      </c>
      <c r="G314" s="37">
        <f t="shared" si="55"/>
        <v>279</v>
      </c>
      <c r="H314" s="37">
        <f t="shared" si="55"/>
        <v>56</v>
      </c>
      <c r="I314" s="37">
        <f t="shared" si="55"/>
        <v>24</v>
      </c>
      <c r="J314" s="37" t="str">
        <f t="shared" si="55"/>
        <v>-</v>
      </c>
      <c r="K314" s="37" t="str">
        <f t="shared" si="55"/>
        <v>-</v>
      </c>
      <c r="L314" s="197">
        <f t="shared" si="55"/>
        <v>511</v>
      </c>
    </row>
    <row r="315" spans="1:12" x14ac:dyDescent="0.2">
      <c r="A315" s="496" t="s">
        <v>399</v>
      </c>
      <c r="B315" s="24" t="str">
        <f t="shared" si="55"/>
        <v>-</v>
      </c>
      <c r="C315" s="24" t="str">
        <f t="shared" si="55"/>
        <v>-</v>
      </c>
      <c r="D315" s="24" t="str">
        <f t="shared" si="55"/>
        <v>-</v>
      </c>
      <c r="E315" s="24" t="str">
        <f t="shared" si="55"/>
        <v>-</v>
      </c>
      <c r="F315" s="24" t="str">
        <f t="shared" si="55"/>
        <v>--</v>
      </c>
      <c r="G315" s="24">
        <f t="shared" si="55"/>
        <v>801</v>
      </c>
      <c r="H315" s="24">
        <f t="shared" si="55"/>
        <v>386</v>
      </c>
      <c r="I315" s="24" t="str">
        <f t="shared" si="55"/>
        <v>-</v>
      </c>
      <c r="J315" s="24" t="str">
        <f t="shared" si="55"/>
        <v>-</v>
      </c>
      <c r="K315" s="24" t="str">
        <f t="shared" si="55"/>
        <v>-</v>
      </c>
      <c r="L315" s="193">
        <f t="shared" si="55"/>
        <v>1187</v>
      </c>
    </row>
    <row r="316" spans="1:12" x14ac:dyDescent="0.2">
      <c r="B316" s="24"/>
      <c r="C316" s="24"/>
      <c r="D316" s="24"/>
      <c r="E316" s="24"/>
      <c r="F316" s="24"/>
      <c r="G316" s="24"/>
      <c r="H316" s="24"/>
      <c r="I316" s="24"/>
      <c r="J316" s="24"/>
      <c r="K316" s="24"/>
    </row>
    <row r="317" spans="1:12" x14ac:dyDescent="0.2">
      <c r="A317" s="116" t="str">
        <f>A51</f>
        <v>Eureka</v>
      </c>
      <c r="B317" s="24"/>
      <c r="C317" s="24"/>
      <c r="D317" s="24"/>
      <c r="E317" s="24"/>
      <c r="F317" s="24"/>
      <c r="G317" s="24"/>
      <c r="H317" s="24"/>
      <c r="I317" s="24"/>
      <c r="J317" s="24"/>
      <c r="K317" s="24"/>
    </row>
    <row r="318" spans="1:12" x14ac:dyDescent="0.2">
      <c r="A318" s="383" t="s">
        <v>87</v>
      </c>
      <c r="B318" s="175" t="s">
        <v>116</v>
      </c>
      <c r="C318" s="175" t="s">
        <v>116</v>
      </c>
      <c r="D318" s="24" t="s">
        <v>29</v>
      </c>
      <c r="E318" s="24">
        <f t="shared" ref="E318:J318" si="56">AVERAGE(E62:E66)</f>
        <v>1647.8</v>
      </c>
      <c r="F318" s="24">
        <f t="shared" si="56"/>
        <v>9486.7999999999993</v>
      </c>
      <c r="G318" s="24">
        <f t="shared" si="56"/>
        <v>18674.400000000001</v>
      </c>
      <c r="H318" s="24">
        <f t="shared" si="56"/>
        <v>7126.4</v>
      </c>
      <c r="I318" s="24">
        <f t="shared" si="56"/>
        <v>962.6</v>
      </c>
      <c r="J318" s="24">
        <f t="shared" si="56"/>
        <v>0</v>
      </c>
      <c r="K318" s="24" t="s">
        <v>29</v>
      </c>
      <c r="L318" s="193">
        <f>AVERAGE(L62:L66)</f>
        <v>37898</v>
      </c>
    </row>
    <row r="319" spans="1:12" x14ac:dyDescent="0.2">
      <c r="A319" s="383" t="s">
        <v>14</v>
      </c>
      <c r="B319" s="24" t="s">
        <v>29</v>
      </c>
      <c r="C319" s="24" t="s">
        <v>29</v>
      </c>
      <c r="D319" s="24" t="s">
        <v>29</v>
      </c>
      <c r="E319" s="24">
        <f t="shared" ref="E319:J319" si="57">AVERAGE(E67:E71)</f>
        <v>1480.25</v>
      </c>
      <c r="F319" s="24">
        <f t="shared" si="57"/>
        <v>5836.75</v>
      </c>
      <c r="G319" s="24">
        <f t="shared" si="57"/>
        <v>8301.3333333333339</v>
      </c>
      <c r="H319" s="24">
        <f t="shared" si="57"/>
        <v>2249.25</v>
      </c>
      <c r="I319" s="24">
        <f t="shared" si="57"/>
        <v>2150.6</v>
      </c>
      <c r="J319" s="24">
        <f t="shared" si="57"/>
        <v>21</v>
      </c>
      <c r="K319" s="24" t="s">
        <v>29</v>
      </c>
      <c r="L319" s="193">
        <f>AVERAGE(L67:L71)</f>
        <v>14788.6</v>
      </c>
    </row>
    <row r="320" spans="1:12" x14ac:dyDescent="0.2">
      <c r="A320" s="383" t="s">
        <v>207</v>
      </c>
      <c r="B320" s="24" t="s">
        <v>29</v>
      </c>
      <c r="C320" s="24" t="s">
        <v>29</v>
      </c>
      <c r="D320" s="24" t="s">
        <v>29</v>
      </c>
      <c r="E320" s="24">
        <f>AVERAGE(E72:E76)</f>
        <v>1539.4</v>
      </c>
      <c r="F320" s="24">
        <f>AVERAGE(F72:F76)</f>
        <v>3808</v>
      </c>
      <c r="G320" s="24">
        <f>AVERAGE(G72:G76)</f>
        <v>1757.8</v>
      </c>
      <c r="H320" s="24">
        <f>AVERAGE(H72:H76)</f>
        <v>3814.6</v>
      </c>
      <c r="I320" s="24">
        <f>AVERAGE(I72:I76)</f>
        <v>722.8</v>
      </c>
      <c r="J320" s="24" t="s">
        <v>29</v>
      </c>
      <c r="K320" s="24" t="s">
        <v>29</v>
      </c>
      <c r="L320" s="193">
        <f>AVERAGE(L72:L76)</f>
        <v>11642.6</v>
      </c>
    </row>
    <row r="321" spans="1:12" x14ac:dyDescent="0.2">
      <c r="A321" s="383" t="s">
        <v>238</v>
      </c>
      <c r="B321" s="24" t="str">
        <f t="shared" ref="B321:K321" si="58">B77</f>
        <v>-</v>
      </c>
      <c r="C321" s="24" t="str">
        <f t="shared" si="58"/>
        <v>-</v>
      </c>
      <c r="D321" s="24" t="str">
        <f t="shared" si="58"/>
        <v>-</v>
      </c>
      <c r="E321" s="24">
        <f>AVERAGE(E77:E81)</f>
        <v>2308.8000000000002</v>
      </c>
      <c r="F321" s="24">
        <f>AVERAGE(F77:F81)</f>
        <v>4388</v>
      </c>
      <c r="G321" s="24">
        <f>AVERAGE(G77:G81)</f>
        <v>2650.6</v>
      </c>
      <c r="H321" s="24">
        <f>AVERAGE(H77:H81)</f>
        <v>5749</v>
      </c>
      <c r="I321" s="24">
        <f>AVERAGE(I77:I81)</f>
        <v>1819</v>
      </c>
      <c r="J321" s="24" t="str">
        <f t="shared" si="58"/>
        <v>-</v>
      </c>
      <c r="K321" s="24" t="str">
        <f t="shared" si="58"/>
        <v>-</v>
      </c>
      <c r="L321" s="193">
        <f>AVERAGE(L77:L81)</f>
        <v>16915.400000000001</v>
      </c>
    </row>
    <row r="322" spans="1:12" x14ac:dyDescent="0.2">
      <c r="A322" s="383">
        <v>2006</v>
      </c>
      <c r="B322" s="24" t="str">
        <f t="shared" ref="B322:L322" si="59">B82</f>
        <v>-</v>
      </c>
      <c r="C322" s="24" t="str">
        <f t="shared" si="59"/>
        <v>-</v>
      </c>
      <c r="D322" s="24" t="str">
        <f t="shared" si="59"/>
        <v>-</v>
      </c>
      <c r="E322" s="24">
        <f t="shared" si="59"/>
        <v>3951</v>
      </c>
      <c r="F322" s="24">
        <f t="shared" si="59"/>
        <v>5208</v>
      </c>
      <c r="G322" s="24">
        <f t="shared" si="59"/>
        <v>2146</v>
      </c>
      <c r="H322" s="24" t="str">
        <f t="shared" si="59"/>
        <v>-</v>
      </c>
      <c r="I322" s="24">
        <f t="shared" si="59"/>
        <v>3668</v>
      </c>
      <c r="J322" s="24" t="str">
        <f t="shared" si="59"/>
        <v>-</v>
      </c>
      <c r="K322" s="24" t="str">
        <f t="shared" si="59"/>
        <v>-</v>
      </c>
      <c r="L322" s="193">
        <f t="shared" si="59"/>
        <v>14973</v>
      </c>
    </row>
    <row r="323" spans="1:12" s="374" customFormat="1" x14ac:dyDescent="0.2">
      <c r="A323" s="402">
        <v>2007</v>
      </c>
      <c r="B323" s="37" t="str">
        <f t="shared" ref="B323:L323" si="60">B83</f>
        <v>-</v>
      </c>
      <c r="C323" s="37" t="str">
        <f t="shared" si="60"/>
        <v>-</v>
      </c>
      <c r="D323" s="37" t="str">
        <f t="shared" si="60"/>
        <v>-</v>
      </c>
      <c r="E323" s="37">
        <f t="shared" si="60"/>
        <v>1737</v>
      </c>
      <c r="F323" s="37">
        <f t="shared" si="60"/>
        <v>4987</v>
      </c>
      <c r="G323" s="37">
        <f t="shared" si="60"/>
        <v>4914</v>
      </c>
      <c r="H323" s="37">
        <f t="shared" si="60"/>
        <v>5212</v>
      </c>
      <c r="I323" s="37">
        <f t="shared" si="60"/>
        <v>1511</v>
      </c>
      <c r="J323" s="37" t="str">
        <f t="shared" si="60"/>
        <v>-</v>
      </c>
      <c r="K323" s="37" t="str">
        <f t="shared" si="60"/>
        <v>-</v>
      </c>
      <c r="L323" s="197">
        <f t="shared" si="60"/>
        <v>18361</v>
      </c>
    </row>
    <row r="324" spans="1:12" s="374" customFormat="1" x14ac:dyDescent="0.2">
      <c r="A324" s="402">
        <v>2008</v>
      </c>
      <c r="B324" s="37" t="str">
        <f t="shared" ref="B324:L324" si="61">B84</f>
        <v>-</v>
      </c>
      <c r="C324" s="37" t="str">
        <f t="shared" si="61"/>
        <v>-</v>
      </c>
      <c r="D324" s="37" t="str">
        <f t="shared" si="61"/>
        <v>-</v>
      </c>
      <c r="E324" s="37" t="str">
        <f t="shared" si="61"/>
        <v>-</v>
      </c>
      <c r="F324" s="37" t="str">
        <f t="shared" si="61"/>
        <v>-</v>
      </c>
      <c r="G324" s="37" t="str">
        <f t="shared" si="61"/>
        <v>-</v>
      </c>
      <c r="H324" s="37" t="str">
        <f t="shared" si="61"/>
        <v>-</v>
      </c>
      <c r="I324" s="37" t="str">
        <f t="shared" si="61"/>
        <v>-</v>
      </c>
      <c r="J324" s="37" t="str">
        <f t="shared" si="61"/>
        <v>-</v>
      </c>
      <c r="K324" s="37" t="str">
        <f t="shared" si="61"/>
        <v>-</v>
      </c>
      <c r="L324" s="197" t="str">
        <f t="shared" si="61"/>
        <v>-</v>
      </c>
    </row>
    <row r="325" spans="1:12" s="374" customFormat="1" x14ac:dyDescent="0.2">
      <c r="A325" s="402">
        <v>2009</v>
      </c>
      <c r="B325" s="37" t="str">
        <f t="shared" ref="B325:L325" si="62">B85</f>
        <v>-</v>
      </c>
      <c r="C325" s="37" t="str">
        <f t="shared" si="62"/>
        <v>-</v>
      </c>
      <c r="D325" s="37" t="str">
        <f t="shared" si="62"/>
        <v>-</v>
      </c>
      <c r="E325" s="37" t="str">
        <f t="shared" si="62"/>
        <v>-</v>
      </c>
      <c r="F325" s="37" t="str">
        <f t="shared" si="62"/>
        <v>-</v>
      </c>
      <c r="G325" s="37" t="str">
        <f t="shared" si="62"/>
        <v>-</v>
      </c>
      <c r="H325" s="37">
        <f t="shared" si="62"/>
        <v>2017</v>
      </c>
      <c r="I325" s="37">
        <f t="shared" si="62"/>
        <v>2237</v>
      </c>
      <c r="J325" s="37" t="str">
        <f t="shared" si="62"/>
        <v>-</v>
      </c>
      <c r="K325" s="37" t="str">
        <f t="shared" si="62"/>
        <v>-</v>
      </c>
      <c r="L325" s="197">
        <f t="shared" si="62"/>
        <v>4254</v>
      </c>
    </row>
    <row r="326" spans="1:12" s="374" customFormat="1" x14ac:dyDescent="0.2">
      <c r="A326" s="402">
        <v>2010</v>
      </c>
      <c r="B326" s="37" t="str">
        <f t="shared" ref="B326:L326" si="63">B86</f>
        <v>-</v>
      </c>
      <c r="C326" s="37" t="str">
        <f t="shared" si="63"/>
        <v>-</v>
      </c>
      <c r="D326" s="37" t="str">
        <f t="shared" si="63"/>
        <v>-</v>
      </c>
      <c r="E326" s="37">
        <f t="shared" si="63"/>
        <v>464</v>
      </c>
      <c r="F326" s="37">
        <f t="shared" si="63"/>
        <v>638</v>
      </c>
      <c r="G326" s="37">
        <f t="shared" si="63"/>
        <v>897</v>
      </c>
      <c r="H326" s="37">
        <f t="shared" si="63"/>
        <v>1841</v>
      </c>
      <c r="I326" s="37">
        <f t="shared" si="63"/>
        <v>183</v>
      </c>
      <c r="J326" s="37" t="str">
        <f t="shared" si="63"/>
        <v>-</v>
      </c>
      <c r="K326" s="37" t="str">
        <f t="shared" si="63"/>
        <v>-</v>
      </c>
      <c r="L326" s="197">
        <f t="shared" si="63"/>
        <v>4023</v>
      </c>
    </row>
    <row r="327" spans="1:12" s="374" customFormat="1" x14ac:dyDescent="0.2">
      <c r="A327" s="402">
        <v>2011</v>
      </c>
      <c r="B327" s="37" t="str">
        <f t="shared" ref="B327:L327" si="64">B87</f>
        <v>-</v>
      </c>
      <c r="C327" s="37" t="str">
        <f t="shared" si="64"/>
        <v>-</v>
      </c>
      <c r="D327" s="37" t="str">
        <f t="shared" si="64"/>
        <v>-</v>
      </c>
      <c r="E327" s="37">
        <f t="shared" si="64"/>
        <v>1664</v>
      </c>
      <c r="F327" s="37">
        <f t="shared" si="64"/>
        <v>2574</v>
      </c>
      <c r="G327" s="37">
        <f t="shared" si="64"/>
        <v>4625</v>
      </c>
      <c r="H327" s="37">
        <f t="shared" si="64"/>
        <v>4597</v>
      </c>
      <c r="I327" s="37">
        <f t="shared" si="64"/>
        <v>723</v>
      </c>
      <c r="J327" s="37" t="str">
        <f t="shared" si="64"/>
        <v>-</v>
      </c>
      <c r="K327" s="37" t="str">
        <f t="shared" si="64"/>
        <v>-</v>
      </c>
      <c r="L327" s="197">
        <f t="shared" si="64"/>
        <v>14183</v>
      </c>
    </row>
    <row r="328" spans="1:12" s="374" customFormat="1" x14ac:dyDescent="0.2">
      <c r="A328" s="402">
        <v>2012</v>
      </c>
      <c r="B328" s="37" t="str">
        <f t="shared" ref="B328:L328" si="65">B88</f>
        <v>-</v>
      </c>
      <c r="C328" s="37" t="str">
        <f t="shared" si="65"/>
        <v>-</v>
      </c>
      <c r="D328" s="37" t="str">
        <f t="shared" si="65"/>
        <v>-</v>
      </c>
      <c r="E328" s="37">
        <f t="shared" si="65"/>
        <v>2680</v>
      </c>
      <c r="F328" s="37">
        <f t="shared" si="65"/>
        <v>6514</v>
      </c>
      <c r="G328" s="37">
        <f t="shared" si="65"/>
        <v>5833</v>
      </c>
      <c r="H328" s="37">
        <f t="shared" si="65"/>
        <v>6671</v>
      </c>
      <c r="I328" s="37">
        <f t="shared" si="65"/>
        <v>1873</v>
      </c>
      <c r="J328" s="37" t="str">
        <f t="shared" si="65"/>
        <v>-</v>
      </c>
      <c r="K328" s="37" t="str">
        <f t="shared" si="65"/>
        <v>-</v>
      </c>
      <c r="L328" s="197">
        <f t="shared" si="65"/>
        <v>23571</v>
      </c>
    </row>
    <row r="329" spans="1:12" s="374" customFormat="1" x14ac:dyDescent="0.2">
      <c r="A329" s="402">
        <v>2013</v>
      </c>
      <c r="B329" s="37" t="str">
        <f t="shared" ref="B329:L329" si="66">B89</f>
        <v>-</v>
      </c>
      <c r="C329" s="37" t="str">
        <f t="shared" si="66"/>
        <v>-</v>
      </c>
      <c r="D329" s="37" t="str">
        <f t="shared" si="66"/>
        <v>-</v>
      </c>
      <c r="E329" s="37">
        <f t="shared" si="66"/>
        <v>2756</v>
      </c>
      <c r="F329" s="37">
        <f t="shared" si="66"/>
        <v>5976</v>
      </c>
      <c r="G329" s="37">
        <f t="shared" si="66"/>
        <v>6028</v>
      </c>
      <c r="H329" s="37">
        <f t="shared" si="66"/>
        <v>7416</v>
      </c>
      <c r="I329" s="37">
        <f t="shared" si="66"/>
        <v>614</v>
      </c>
      <c r="J329" s="37" t="str">
        <f t="shared" si="66"/>
        <v>-</v>
      </c>
      <c r="K329" s="37" t="str">
        <f t="shared" si="66"/>
        <v>-</v>
      </c>
      <c r="L329" s="197">
        <f t="shared" si="66"/>
        <v>22790</v>
      </c>
    </row>
    <row r="330" spans="1:12" s="374" customFormat="1" x14ac:dyDescent="0.2">
      <c r="A330" s="402">
        <v>2014</v>
      </c>
      <c r="B330" s="37" t="str">
        <f t="shared" ref="B330:L330" si="67">B90</f>
        <v>-</v>
      </c>
      <c r="C330" s="37" t="str">
        <f t="shared" si="67"/>
        <v>-</v>
      </c>
      <c r="D330" s="37" t="str">
        <f t="shared" si="67"/>
        <v>-</v>
      </c>
      <c r="E330" s="37">
        <f t="shared" si="67"/>
        <v>2710</v>
      </c>
      <c r="F330" s="37">
        <f t="shared" si="67"/>
        <v>4157</v>
      </c>
      <c r="G330" s="37">
        <f t="shared" si="67"/>
        <v>5170</v>
      </c>
      <c r="H330" s="37">
        <f t="shared" si="67"/>
        <v>3580</v>
      </c>
      <c r="I330" s="37">
        <f t="shared" si="67"/>
        <v>612</v>
      </c>
      <c r="J330" s="37" t="str">
        <f t="shared" si="67"/>
        <v>-</v>
      </c>
      <c r="K330" s="37" t="str">
        <f t="shared" si="67"/>
        <v>-</v>
      </c>
      <c r="L330" s="197">
        <f t="shared" si="67"/>
        <v>16229</v>
      </c>
    </row>
    <row r="331" spans="1:12" s="374" customFormat="1" x14ac:dyDescent="0.2">
      <c r="A331" s="122">
        <v>2015</v>
      </c>
      <c r="B331" s="37" t="str">
        <f t="shared" ref="B331:L331" si="68">B91</f>
        <v>-</v>
      </c>
      <c r="C331" s="37" t="str">
        <f t="shared" si="68"/>
        <v>-</v>
      </c>
      <c r="D331" s="37" t="str">
        <f t="shared" si="68"/>
        <v>-</v>
      </c>
      <c r="E331" s="37">
        <f t="shared" si="68"/>
        <v>2431</v>
      </c>
      <c r="F331" s="37">
        <f t="shared" si="68"/>
        <v>1166</v>
      </c>
      <c r="G331" s="37">
        <f t="shared" si="68"/>
        <v>2321</v>
      </c>
      <c r="H331" s="37">
        <f t="shared" si="68"/>
        <v>2216</v>
      </c>
      <c r="I331" s="37">
        <f t="shared" si="68"/>
        <v>164</v>
      </c>
      <c r="J331" s="37" t="str">
        <f t="shared" si="68"/>
        <v>-</v>
      </c>
      <c r="K331" s="37" t="str">
        <f t="shared" si="68"/>
        <v>-</v>
      </c>
      <c r="L331" s="197">
        <f t="shared" si="68"/>
        <v>8298</v>
      </c>
    </row>
    <row r="332" spans="1:12" s="374" customFormat="1" x14ac:dyDescent="0.2">
      <c r="A332" s="122">
        <v>2016</v>
      </c>
      <c r="B332" s="37" t="str">
        <f t="shared" ref="B332:L332" si="69">B92</f>
        <v>-</v>
      </c>
      <c r="C332" s="37" t="str">
        <f t="shared" si="69"/>
        <v>-</v>
      </c>
      <c r="D332" s="37" t="str">
        <f t="shared" si="69"/>
        <v>-</v>
      </c>
      <c r="E332" s="37">
        <f t="shared" si="69"/>
        <v>1579</v>
      </c>
      <c r="F332" s="37">
        <f t="shared" si="69"/>
        <v>1933</v>
      </c>
      <c r="G332" s="37">
        <f t="shared" si="69"/>
        <v>2380</v>
      </c>
      <c r="H332" s="37">
        <f t="shared" si="69"/>
        <v>1888</v>
      </c>
      <c r="I332" s="37">
        <f t="shared" si="69"/>
        <v>610</v>
      </c>
      <c r="J332" s="37" t="str">
        <f t="shared" si="69"/>
        <v>-</v>
      </c>
      <c r="K332" s="37" t="str">
        <f t="shared" si="69"/>
        <v>-</v>
      </c>
      <c r="L332" s="197">
        <f t="shared" si="69"/>
        <v>8390</v>
      </c>
    </row>
    <row r="333" spans="1:12" s="374" customFormat="1" x14ac:dyDescent="0.2">
      <c r="A333" s="122">
        <v>2017</v>
      </c>
      <c r="B333" s="37" t="str">
        <f t="shared" ref="B333:L333" si="70">B93</f>
        <v>-</v>
      </c>
      <c r="C333" s="37" t="str">
        <f t="shared" si="70"/>
        <v>-</v>
      </c>
      <c r="D333" s="37" t="str">
        <f t="shared" si="70"/>
        <v>-</v>
      </c>
      <c r="E333" s="37" t="str">
        <f t="shared" si="70"/>
        <v>-</v>
      </c>
      <c r="F333" s="37" t="str">
        <f t="shared" si="70"/>
        <v>-</v>
      </c>
      <c r="G333" s="37" t="str">
        <f t="shared" si="70"/>
        <v>-</v>
      </c>
      <c r="H333" s="37" t="str">
        <f t="shared" si="70"/>
        <v>-</v>
      </c>
      <c r="I333" s="37" t="str">
        <f t="shared" si="70"/>
        <v>-</v>
      </c>
      <c r="J333" s="37" t="str">
        <f t="shared" si="70"/>
        <v>-</v>
      </c>
      <c r="K333" s="37" t="str">
        <f t="shared" si="70"/>
        <v>-</v>
      </c>
      <c r="L333" s="197" t="str">
        <f t="shared" si="70"/>
        <v>-</v>
      </c>
    </row>
    <row r="334" spans="1:12" s="374" customFormat="1" x14ac:dyDescent="0.2">
      <c r="A334" s="122">
        <v>2018</v>
      </c>
      <c r="B334" s="37" t="str">
        <f t="shared" ref="B334:L334" si="71">B94</f>
        <v>-</v>
      </c>
      <c r="C334" s="37" t="str">
        <f t="shared" si="71"/>
        <v>-</v>
      </c>
      <c r="D334" s="37" t="str">
        <f t="shared" si="71"/>
        <v>-</v>
      </c>
      <c r="E334" s="37" t="str">
        <f t="shared" si="71"/>
        <v>-</v>
      </c>
      <c r="F334" s="37">
        <f t="shared" si="71"/>
        <v>2298</v>
      </c>
      <c r="G334" s="37">
        <f t="shared" si="71"/>
        <v>2067</v>
      </c>
      <c r="H334" s="37">
        <f t="shared" si="71"/>
        <v>1593</v>
      </c>
      <c r="I334" s="37">
        <f t="shared" si="71"/>
        <v>48</v>
      </c>
      <c r="J334" s="37" t="str">
        <f t="shared" si="71"/>
        <v>-</v>
      </c>
      <c r="K334" s="37" t="str">
        <f t="shared" si="71"/>
        <v>-</v>
      </c>
      <c r="L334" s="197">
        <f t="shared" si="71"/>
        <v>6006</v>
      </c>
    </row>
    <row r="335" spans="1:12" s="487" customFormat="1" x14ac:dyDescent="0.2">
      <c r="A335" s="496" t="s">
        <v>398</v>
      </c>
      <c r="B335" s="37" t="str">
        <f t="shared" ref="B335:L336" si="72">B95</f>
        <v>-</v>
      </c>
      <c r="C335" s="37" t="str">
        <f t="shared" si="72"/>
        <v>-</v>
      </c>
      <c r="D335" s="37" t="str">
        <f t="shared" si="72"/>
        <v>-</v>
      </c>
      <c r="E335" s="37">
        <f t="shared" si="72"/>
        <v>349</v>
      </c>
      <c r="F335" s="37">
        <f t="shared" si="72"/>
        <v>2601</v>
      </c>
      <c r="G335" s="37">
        <f t="shared" si="72"/>
        <v>2535</v>
      </c>
      <c r="H335" s="37">
        <f t="shared" si="72"/>
        <v>1617</v>
      </c>
      <c r="I335" s="37">
        <f t="shared" si="72"/>
        <v>99</v>
      </c>
      <c r="J335" s="37" t="str">
        <f t="shared" si="72"/>
        <v>-</v>
      </c>
      <c r="K335" s="37" t="str">
        <f t="shared" si="72"/>
        <v>-</v>
      </c>
      <c r="L335" s="197">
        <f t="shared" si="72"/>
        <v>7201</v>
      </c>
    </row>
    <row r="336" spans="1:12" x14ac:dyDescent="0.2">
      <c r="A336" s="496" t="s">
        <v>399</v>
      </c>
      <c r="B336" s="24" t="str">
        <f t="shared" si="72"/>
        <v>-</v>
      </c>
      <c r="C336" s="24" t="str">
        <f t="shared" si="72"/>
        <v>-</v>
      </c>
      <c r="D336" s="24" t="str">
        <f t="shared" si="72"/>
        <v>-</v>
      </c>
      <c r="E336" s="24" t="str">
        <f t="shared" si="72"/>
        <v>-</v>
      </c>
      <c r="F336" s="24" t="str">
        <f t="shared" si="72"/>
        <v>--</v>
      </c>
      <c r="G336" s="24">
        <f t="shared" si="72"/>
        <v>2939</v>
      </c>
      <c r="H336" s="24">
        <f t="shared" si="72"/>
        <v>847</v>
      </c>
      <c r="I336" s="24" t="str">
        <f t="shared" si="72"/>
        <v>-</v>
      </c>
      <c r="J336" s="24" t="str">
        <f t="shared" si="72"/>
        <v>-</v>
      </c>
      <c r="K336" s="24" t="str">
        <f t="shared" si="72"/>
        <v>-</v>
      </c>
      <c r="L336" s="193">
        <f t="shared" si="72"/>
        <v>3786</v>
      </c>
    </row>
    <row r="337" spans="1:12" x14ac:dyDescent="0.2">
      <c r="A337" s="123"/>
      <c r="B337" s="24"/>
      <c r="C337" s="24"/>
      <c r="D337" s="24"/>
      <c r="E337" s="24"/>
      <c r="F337" s="24"/>
      <c r="G337" s="24"/>
      <c r="H337" s="24"/>
      <c r="I337" s="24"/>
      <c r="J337" s="24"/>
      <c r="K337" s="24"/>
    </row>
    <row r="338" spans="1:12" ht="11.25" customHeight="1" x14ac:dyDescent="0.2">
      <c r="A338" s="528" t="s">
        <v>235</v>
      </c>
      <c r="B338" s="528"/>
      <c r="C338" s="528"/>
      <c r="D338" s="528"/>
      <c r="E338" s="528"/>
      <c r="F338" s="528"/>
      <c r="G338" s="528"/>
      <c r="H338" s="528"/>
      <c r="I338" s="528"/>
      <c r="J338" s="528"/>
      <c r="K338" s="528"/>
      <c r="L338" s="528"/>
    </row>
    <row r="339" spans="1:12" x14ac:dyDescent="0.2">
      <c r="A339" s="389" t="s">
        <v>33</v>
      </c>
      <c r="B339" s="381" t="s">
        <v>42</v>
      </c>
      <c r="C339" s="381" t="s">
        <v>43</v>
      </c>
      <c r="D339" s="381" t="s">
        <v>34</v>
      </c>
      <c r="E339" s="381" t="s">
        <v>35</v>
      </c>
      <c r="F339" s="381" t="s">
        <v>36</v>
      </c>
      <c r="G339" s="381" t="s">
        <v>37</v>
      </c>
      <c r="H339" s="381" t="s">
        <v>38</v>
      </c>
      <c r="I339" s="381" t="s">
        <v>39</v>
      </c>
      <c r="J339" s="381" t="s">
        <v>40</v>
      </c>
      <c r="K339" s="381" t="s">
        <v>44</v>
      </c>
      <c r="L339" s="381" t="s">
        <v>28</v>
      </c>
    </row>
    <row r="340" spans="1:12" x14ac:dyDescent="0.2">
      <c r="A340" s="418" t="str">
        <f>A98</f>
        <v>Fort Bragg</v>
      </c>
    </row>
    <row r="341" spans="1:12" x14ac:dyDescent="0.2">
      <c r="A341" s="383" t="s">
        <v>87</v>
      </c>
      <c r="B341" s="24">
        <f t="shared" ref="B341:L341" si="73">AVERAGE(B109:B113)</f>
        <v>0</v>
      </c>
      <c r="C341" s="24">
        <f t="shared" si="73"/>
        <v>1.5</v>
      </c>
      <c r="D341" s="24">
        <f t="shared" si="73"/>
        <v>80.2</v>
      </c>
      <c r="E341" s="24">
        <f t="shared" si="73"/>
        <v>705</v>
      </c>
      <c r="F341" s="24">
        <f t="shared" si="73"/>
        <v>4483</v>
      </c>
      <c r="G341" s="24">
        <f t="shared" si="73"/>
        <v>7054.6</v>
      </c>
      <c r="H341" s="24">
        <f t="shared" si="73"/>
        <v>2463.6</v>
      </c>
      <c r="I341" s="24">
        <f t="shared" si="73"/>
        <v>649.6</v>
      </c>
      <c r="J341" s="24">
        <f t="shared" si="73"/>
        <v>4.2</v>
      </c>
      <c r="K341" s="24">
        <f t="shared" si="73"/>
        <v>0</v>
      </c>
      <c r="L341" s="193">
        <f t="shared" si="73"/>
        <v>15441.4</v>
      </c>
    </row>
    <row r="342" spans="1:12" x14ac:dyDescent="0.2">
      <c r="A342" s="383" t="s">
        <v>14</v>
      </c>
      <c r="B342" s="24">
        <f t="shared" ref="B342:L342" si="74">AVERAGE(B114:B118)</f>
        <v>161</v>
      </c>
      <c r="C342" s="24">
        <f t="shared" si="74"/>
        <v>313.25</v>
      </c>
      <c r="D342" s="24">
        <f t="shared" si="74"/>
        <v>744.8</v>
      </c>
      <c r="E342" s="24">
        <f t="shared" si="74"/>
        <v>2000.6</v>
      </c>
      <c r="F342" s="24">
        <f t="shared" si="74"/>
        <v>6137.4</v>
      </c>
      <c r="G342" s="24">
        <f t="shared" si="74"/>
        <v>9103.3333333333339</v>
      </c>
      <c r="H342" s="24">
        <f t="shared" si="74"/>
        <v>5427.25</v>
      </c>
      <c r="I342" s="24">
        <f t="shared" si="74"/>
        <v>1315.6</v>
      </c>
      <c r="J342" s="24">
        <f t="shared" si="74"/>
        <v>276.25</v>
      </c>
      <c r="K342" s="24">
        <f t="shared" si="74"/>
        <v>6</v>
      </c>
      <c r="L342" s="193">
        <f t="shared" si="74"/>
        <v>20572.8</v>
      </c>
    </row>
    <row r="343" spans="1:12" x14ac:dyDescent="0.2">
      <c r="A343" s="383" t="s">
        <v>207</v>
      </c>
      <c r="B343" s="24">
        <f t="shared" ref="B343:L343" si="75">AVERAGE(B119:B123)</f>
        <v>31.5</v>
      </c>
      <c r="C343" s="24">
        <f t="shared" si="75"/>
        <v>373.75</v>
      </c>
      <c r="D343" s="24">
        <f t="shared" si="75"/>
        <v>910.4</v>
      </c>
      <c r="E343" s="24">
        <f t="shared" si="75"/>
        <v>2268.6</v>
      </c>
      <c r="F343" s="24">
        <f t="shared" si="75"/>
        <v>6011</v>
      </c>
      <c r="G343" s="24">
        <f t="shared" si="75"/>
        <v>3119.6</v>
      </c>
      <c r="H343" s="24">
        <f t="shared" si="75"/>
        <v>5059.3999999999996</v>
      </c>
      <c r="I343" s="24">
        <f t="shared" si="75"/>
        <v>1277</v>
      </c>
      <c r="J343" s="24">
        <f t="shared" si="75"/>
        <v>265</v>
      </c>
      <c r="K343" s="24" t="str">
        <f>K123</f>
        <v>--</v>
      </c>
      <c r="L343" s="193">
        <f t="shared" si="75"/>
        <v>19116.599999999999</v>
      </c>
    </row>
    <row r="344" spans="1:12" x14ac:dyDescent="0.2">
      <c r="A344" s="383" t="s">
        <v>238</v>
      </c>
      <c r="B344" s="24">
        <f>AVERAGE(B124:B128)</f>
        <v>463.25</v>
      </c>
      <c r="C344" s="24">
        <f>AVERAGE(C124:C128)</f>
        <v>877.8</v>
      </c>
      <c r="D344" s="24">
        <f>AVERAGE(D124:D128)</f>
        <v>1309</v>
      </c>
      <c r="E344" s="24">
        <f>AVERAGE(E124:E128)</f>
        <v>3054.2</v>
      </c>
      <c r="F344" s="24">
        <f t="shared" ref="F344:K344" si="76">AVERAGE(F124:F128)</f>
        <v>6649.2</v>
      </c>
      <c r="G344" s="24">
        <f t="shared" si="76"/>
        <v>8885.2000000000007</v>
      </c>
      <c r="H344" s="24">
        <f t="shared" si="76"/>
        <v>6012.6</v>
      </c>
      <c r="I344" s="24">
        <f t="shared" si="76"/>
        <v>996.4</v>
      </c>
      <c r="J344" s="24">
        <f t="shared" si="76"/>
        <v>75.400000000000006</v>
      </c>
      <c r="K344" s="24">
        <f t="shared" si="76"/>
        <v>8.4</v>
      </c>
      <c r="L344" s="193">
        <f>AVERAGE(L124:L128)</f>
        <v>28238.799999999999</v>
      </c>
    </row>
    <row r="345" spans="1:12" x14ac:dyDescent="0.2">
      <c r="A345" s="383">
        <v>2006</v>
      </c>
      <c r="B345" s="24">
        <f t="shared" ref="B345:L345" si="77">B129</f>
        <v>289</v>
      </c>
      <c r="C345" s="24">
        <f t="shared" si="77"/>
        <v>298</v>
      </c>
      <c r="D345" s="24">
        <f t="shared" si="77"/>
        <v>800</v>
      </c>
      <c r="E345" s="24">
        <f t="shared" si="77"/>
        <v>2327</v>
      </c>
      <c r="F345" s="24">
        <f t="shared" si="77"/>
        <v>5917</v>
      </c>
      <c r="G345" s="24">
        <f t="shared" si="77"/>
        <v>6655</v>
      </c>
      <c r="H345" s="24">
        <f t="shared" si="77"/>
        <v>4051</v>
      </c>
      <c r="I345" s="24">
        <f t="shared" si="77"/>
        <v>631</v>
      </c>
      <c r="J345" s="24">
        <f t="shared" si="77"/>
        <v>0</v>
      </c>
      <c r="K345" s="24">
        <f t="shared" si="77"/>
        <v>0</v>
      </c>
      <c r="L345" s="193">
        <f t="shared" si="77"/>
        <v>20968</v>
      </c>
    </row>
    <row r="346" spans="1:12" s="374" customFormat="1" x14ac:dyDescent="0.2">
      <c r="A346" s="402">
        <v>2007</v>
      </c>
      <c r="B346" s="37">
        <f t="shared" ref="B346:L346" si="78">B130</f>
        <v>249</v>
      </c>
      <c r="C346" s="37">
        <f t="shared" si="78"/>
        <v>855</v>
      </c>
      <c r="D346" s="37">
        <f t="shared" si="78"/>
        <v>692</v>
      </c>
      <c r="E346" s="37">
        <f t="shared" si="78"/>
        <v>2280</v>
      </c>
      <c r="F346" s="37">
        <f t="shared" si="78"/>
        <v>5593</v>
      </c>
      <c r="G346" s="37">
        <f t="shared" si="78"/>
        <v>5271</v>
      </c>
      <c r="H346" s="37">
        <f t="shared" si="78"/>
        <v>2013</v>
      </c>
      <c r="I346" s="37">
        <f t="shared" si="78"/>
        <v>146</v>
      </c>
      <c r="J346" s="37">
        <f t="shared" si="78"/>
        <v>25</v>
      </c>
      <c r="K346" s="37">
        <f t="shared" si="78"/>
        <v>0</v>
      </c>
      <c r="L346" s="197">
        <f t="shared" si="78"/>
        <v>17124</v>
      </c>
    </row>
    <row r="347" spans="1:12" s="374" customFormat="1" x14ac:dyDescent="0.2">
      <c r="A347" s="402">
        <v>2008</v>
      </c>
      <c r="B347" s="37">
        <f t="shared" ref="B347:L347" si="79">B131</f>
        <v>206</v>
      </c>
      <c r="C347" s="37">
        <f t="shared" si="79"/>
        <v>185</v>
      </c>
      <c r="D347" s="37" t="str">
        <f t="shared" si="79"/>
        <v>-</v>
      </c>
      <c r="E347" s="37" t="str">
        <f t="shared" si="79"/>
        <v>-</v>
      </c>
      <c r="F347" s="37" t="str">
        <f t="shared" si="79"/>
        <v>-</v>
      </c>
      <c r="G347" s="37" t="str">
        <f t="shared" si="79"/>
        <v>-</v>
      </c>
      <c r="H347" s="37" t="str">
        <f t="shared" si="79"/>
        <v>-</v>
      </c>
      <c r="I347" s="37" t="str">
        <f t="shared" si="79"/>
        <v>-</v>
      </c>
      <c r="J347" s="37" t="str">
        <f t="shared" si="79"/>
        <v>-</v>
      </c>
      <c r="K347" s="37" t="str">
        <f t="shared" si="79"/>
        <v>-</v>
      </c>
      <c r="L347" s="197">
        <f t="shared" si="79"/>
        <v>391</v>
      </c>
    </row>
    <row r="348" spans="1:12" s="374" customFormat="1" x14ac:dyDescent="0.2">
      <c r="A348" s="402">
        <v>2009</v>
      </c>
      <c r="B348" s="37" t="str">
        <f t="shared" ref="B348:L348" si="80">B132</f>
        <v>-</v>
      </c>
      <c r="C348" s="37" t="str">
        <f t="shared" si="80"/>
        <v>-</v>
      </c>
      <c r="D348" s="37" t="str">
        <f t="shared" si="80"/>
        <v>-</v>
      </c>
      <c r="E348" s="37" t="str">
        <f t="shared" si="80"/>
        <v>-</v>
      </c>
      <c r="F348" s="37" t="str">
        <f t="shared" si="80"/>
        <v>-</v>
      </c>
      <c r="G348" s="37" t="str">
        <f t="shared" si="80"/>
        <v>-</v>
      </c>
      <c r="H348" s="37" t="str">
        <f t="shared" si="80"/>
        <v>-</v>
      </c>
      <c r="I348" s="37" t="str">
        <f t="shared" si="80"/>
        <v>-</v>
      </c>
      <c r="J348" s="37" t="str">
        <f t="shared" si="80"/>
        <v>-</v>
      </c>
      <c r="K348" s="37" t="str">
        <f t="shared" si="80"/>
        <v>-</v>
      </c>
      <c r="L348" s="197" t="str">
        <f t="shared" si="80"/>
        <v>-</v>
      </c>
    </row>
    <row r="349" spans="1:12" s="374" customFormat="1" x14ac:dyDescent="0.2">
      <c r="A349" s="122">
        <v>2010</v>
      </c>
      <c r="B349" s="37" t="str">
        <f t="shared" ref="B349:L349" si="81">B133</f>
        <v>-</v>
      </c>
      <c r="C349" s="37" t="str">
        <f t="shared" si="81"/>
        <v>-</v>
      </c>
      <c r="D349" s="37">
        <f t="shared" si="81"/>
        <v>1269</v>
      </c>
      <c r="E349" s="37">
        <f t="shared" si="81"/>
        <v>1230</v>
      </c>
      <c r="F349" s="37">
        <f t="shared" si="81"/>
        <v>743</v>
      </c>
      <c r="G349" s="37">
        <f t="shared" si="81"/>
        <v>1460</v>
      </c>
      <c r="H349" s="37">
        <f t="shared" si="81"/>
        <v>1625</v>
      </c>
      <c r="I349" s="37">
        <f t="shared" si="81"/>
        <v>232</v>
      </c>
      <c r="J349" s="37" t="str">
        <f t="shared" si="81"/>
        <v>-</v>
      </c>
      <c r="K349" s="37" t="str">
        <f t="shared" si="81"/>
        <v>-</v>
      </c>
      <c r="L349" s="197">
        <f t="shared" si="81"/>
        <v>6559</v>
      </c>
    </row>
    <row r="350" spans="1:12" s="374" customFormat="1" x14ac:dyDescent="0.2">
      <c r="A350" s="402">
        <v>2011</v>
      </c>
      <c r="B350" s="37" t="str">
        <f t="shared" ref="B350:L350" si="82">B134</f>
        <v>-</v>
      </c>
      <c r="C350" s="37" t="str">
        <f t="shared" si="82"/>
        <v>-</v>
      </c>
      <c r="D350" s="37">
        <f t="shared" si="82"/>
        <v>1532</v>
      </c>
      <c r="E350" s="37">
        <f t="shared" si="82"/>
        <v>1522</v>
      </c>
      <c r="F350" s="37">
        <f t="shared" si="82"/>
        <v>2294</v>
      </c>
      <c r="G350" s="37">
        <f t="shared" si="82"/>
        <v>6234</v>
      </c>
      <c r="H350" s="37">
        <f t="shared" si="82"/>
        <v>1975</v>
      </c>
      <c r="I350" s="37">
        <f t="shared" si="82"/>
        <v>650</v>
      </c>
      <c r="J350" s="37">
        <f t="shared" si="82"/>
        <v>182</v>
      </c>
      <c r="K350" s="37" t="str">
        <f t="shared" si="82"/>
        <v>-</v>
      </c>
      <c r="L350" s="197">
        <f t="shared" si="82"/>
        <v>14389</v>
      </c>
    </row>
    <row r="351" spans="1:12" s="374" customFormat="1" x14ac:dyDescent="0.2">
      <c r="A351" s="402">
        <v>2012</v>
      </c>
      <c r="B351" s="37" t="str">
        <f t="shared" ref="B351:L351" si="83">B135</f>
        <v>-</v>
      </c>
      <c r="C351" s="37" t="str">
        <f t="shared" si="83"/>
        <v>-</v>
      </c>
      <c r="D351" s="37">
        <f t="shared" si="83"/>
        <v>1230</v>
      </c>
      <c r="E351" s="37">
        <f t="shared" si="83"/>
        <v>2088</v>
      </c>
      <c r="F351" s="37">
        <f t="shared" si="83"/>
        <v>2975</v>
      </c>
      <c r="G351" s="37">
        <f t="shared" si="83"/>
        <v>4076</v>
      </c>
      <c r="H351" s="37">
        <f t="shared" si="83"/>
        <v>2890</v>
      </c>
      <c r="I351" s="37">
        <f t="shared" si="83"/>
        <v>1069</v>
      </c>
      <c r="J351" s="37">
        <f t="shared" si="83"/>
        <v>334</v>
      </c>
      <c r="K351" s="37">
        <f t="shared" si="83"/>
        <v>151</v>
      </c>
      <c r="L351" s="197">
        <f t="shared" si="83"/>
        <v>14813</v>
      </c>
    </row>
    <row r="352" spans="1:12" s="374" customFormat="1" x14ac:dyDescent="0.2">
      <c r="A352" s="402">
        <v>2013</v>
      </c>
      <c r="B352" s="37" t="str">
        <f t="shared" ref="B352:L352" si="84">B136</f>
        <v>-</v>
      </c>
      <c r="C352" s="37" t="str">
        <f t="shared" si="84"/>
        <v>-</v>
      </c>
      <c r="D352" s="37">
        <f t="shared" si="84"/>
        <v>934</v>
      </c>
      <c r="E352" s="37">
        <f t="shared" si="84"/>
        <v>1666</v>
      </c>
      <c r="F352" s="37">
        <f t="shared" si="84"/>
        <v>3519</v>
      </c>
      <c r="G352" s="37">
        <f t="shared" si="84"/>
        <v>7136</v>
      </c>
      <c r="H352" s="37">
        <f t="shared" si="84"/>
        <v>3076</v>
      </c>
      <c r="I352" s="37">
        <f t="shared" si="84"/>
        <v>667</v>
      </c>
      <c r="J352" s="37">
        <f t="shared" si="84"/>
        <v>220</v>
      </c>
      <c r="K352" s="37">
        <f t="shared" si="84"/>
        <v>47</v>
      </c>
      <c r="L352" s="197">
        <f t="shared" si="84"/>
        <v>17265</v>
      </c>
    </row>
    <row r="353" spans="1:12" s="374" customFormat="1" x14ac:dyDescent="0.2">
      <c r="A353" s="402">
        <v>2014</v>
      </c>
      <c r="B353" s="37" t="str">
        <f t="shared" ref="B353:L353" si="85">B137</f>
        <v>-</v>
      </c>
      <c r="C353" s="37" t="str">
        <f t="shared" si="85"/>
        <v>-</v>
      </c>
      <c r="D353" s="37">
        <f t="shared" si="85"/>
        <v>1049</v>
      </c>
      <c r="E353" s="37">
        <f t="shared" si="85"/>
        <v>1371</v>
      </c>
      <c r="F353" s="37">
        <f t="shared" si="85"/>
        <v>2538</v>
      </c>
      <c r="G353" s="37">
        <f t="shared" si="85"/>
        <v>9435</v>
      </c>
      <c r="H353" s="37">
        <f t="shared" si="85"/>
        <v>2554</v>
      </c>
      <c r="I353" s="37">
        <f t="shared" si="85"/>
        <v>373</v>
      </c>
      <c r="J353" s="37">
        <f t="shared" si="85"/>
        <v>102</v>
      </c>
      <c r="K353" s="37">
        <f t="shared" si="85"/>
        <v>48</v>
      </c>
      <c r="L353" s="197">
        <f t="shared" si="85"/>
        <v>17470</v>
      </c>
    </row>
    <row r="354" spans="1:12" s="374" customFormat="1" x14ac:dyDescent="0.2">
      <c r="A354" s="122">
        <v>2015</v>
      </c>
      <c r="B354" s="37" t="str">
        <f t="shared" ref="B354:L354" si="86">B138</f>
        <v>-</v>
      </c>
      <c r="C354" s="37" t="str">
        <f t="shared" si="86"/>
        <v>-</v>
      </c>
      <c r="D354" s="37">
        <f t="shared" si="86"/>
        <v>1051</v>
      </c>
      <c r="E354" s="37">
        <f t="shared" si="86"/>
        <v>1321</v>
      </c>
      <c r="F354" s="37">
        <f t="shared" si="86"/>
        <v>1615</v>
      </c>
      <c r="G354" s="37">
        <f t="shared" si="86"/>
        <v>5002</v>
      </c>
      <c r="H354" s="37">
        <f t="shared" si="86"/>
        <v>2278</v>
      </c>
      <c r="I354" s="37">
        <f t="shared" si="86"/>
        <v>423</v>
      </c>
      <c r="J354" s="37">
        <f t="shared" si="86"/>
        <v>94</v>
      </c>
      <c r="K354" s="37">
        <f t="shared" si="86"/>
        <v>5</v>
      </c>
      <c r="L354" s="197">
        <f t="shared" si="86"/>
        <v>11789</v>
      </c>
    </row>
    <row r="355" spans="1:12" s="374" customFormat="1" x14ac:dyDescent="0.2">
      <c r="A355" s="122">
        <v>2016</v>
      </c>
      <c r="B355" s="37" t="str">
        <f t="shared" ref="B355:L355" si="87">B139</f>
        <v>-</v>
      </c>
      <c r="C355" s="37" t="str">
        <f t="shared" si="87"/>
        <v>-</v>
      </c>
      <c r="D355" s="37">
        <f t="shared" si="87"/>
        <v>706</v>
      </c>
      <c r="E355" s="37">
        <f t="shared" si="87"/>
        <v>934</v>
      </c>
      <c r="F355" s="37">
        <f t="shared" si="87"/>
        <v>1003</v>
      </c>
      <c r="G355" s="37">
        <f t="shared" si="87"/>
        <v>4817</v>
      </c>
      <c r="H355" s="37">
        <f t="shared" si="87"/>
        <v>1751</v>
      </c>
      <c r="I355" s="37">
        <f t="shared" si="87"/>
        <v>295</v>
      </c>
      <c r="J355" s="37">
        <f t="shared" si="87"/>
        <v>68</v>
      </c>
      <c r="K355" s="37">
        <f t="shared" si="87"/>
        <v>0</v>
      </c>
      <c r="L355" s="197">
        <f t="shared" si="87"/>
        <v>9574</v>
      </c>
    </row>
    <row r="356" spans="1:12" s="374" customFormat="1" x14ac:dyDescent="0.2">
      <c r="A356" s="122">
        <v>2017</v>
      </c>
      <c r="B356" s="37" t="str">
        <f t="shared" ref="B356:L356" si="88">B140</f>
        <v>-</v>
      </c>
      <c r="C356" s="37" t="str">
        <f t="shared" si="88"/>
        <v>-</v>
      </c>
      <c r="D356" s="37">
        <f t="shared" si="88"/>
        <v>403</v>
      </c>
      <c r="E356" s="37">
        <f t="shared" si="88"/>
        <v>1101</v>
      </c>
      <c r="F356" s="37" t="str">
        <f t="shared" si="88"/>
        <v>-</v>
      </c>
      <c r="G356" s="37" t="str">
        <f t="shared" si="88"/>
        <v>-</v>
      </c>
      <c r="H356" s="37">
        <f t="shared" si="88"/>
        <v>1869</v>
      </c>
      <c r="I356" s="37">
        <f t="shared" si="88"/>
        <v>1286</v>
      </c>
      <c r="J356" s="37">
        <f t="shared" si="88"/>
        <v>17</v>
      </c>
      <c r="K356" s="37">
        <f t="shared" si="88"/>
        <v>0</v>
      </c>
      <c r="L356" s="197">
        <f t="shared" si="88"/>
        <v>4676</v>
      </c>
    </row>
    <row r="357" spans="1:12" s="374" customFormat="1" x14ac:dyDescent="0.2">
      <c r="A357" s="122">
        <v>2018</v>
      </c>
      <c r="B357" s="37" t="str">
        <f t="shared" ref="B357:L357" si="89">B141</f>
        <v>-</v>
      </c>
      <c r="C357" s="37" t="str">
        <f t="shared" si="89"/>
        <v>-</v>
      </c>
      <c r="D357" s="37" t="str">
        <f t="shared" si="89"/>
        <v>-</v>
      </c>
      <c r="E357" s="37" t="str">
        <f t="shared" si="89"/>
        <v>-</v>
      </c>
      <c r="F357" s="37">
        <f t="shared" si="89"/>
        <v>1009</v>
      </c>
      <c r="G357" s="37">
        <f t="shared" si="89"/>
        <v>5523</v>
      </c>
      <c r="H357" s="37">
        <f t="shared" si="89"/>
        <v>2897</v>
      </c>
      <c r="I357" s="37">
        <f t="shared" si="89"/>
        <v>423</v>
      </c>
      <c r="J357" s="37">
        <f t="shared" si="89"/>
        <v>39</v>
      </c>
      <c r="K357" s="37" t="str">
        <f t="shared" si="89"/>
        <v>-</v>
      </c>
      <c r="L357" s="197">
        <f t="shared" si="89"/>
        <v>9891</v>
      </c>
    </row>
    <row r="358" spans="1:12" s="487" customFormat="1" x14ac:dyDescent="0.2">
      <c r="A358" s="496" t="s">
        <v>398</v>
      </c>
      <c r="B358" s="37" t="str">
        <f t="shared" ref="B358:L359" si="90">B142</f>
        <v>-</v>
      </c>
      <c r="C358" s="37" t="str">
        <f t="shared" si="90"/>
        <v>-</v>
      </c>
      <c r="D358" s="37">
        <f t="shared" si="90"/>
        <v>606</v>
      </c>
      <c r="E358" s="37">
        <f t="shared" si="90"/>
        <v>166</v>
      </c>
      <c r="F358" s="37">
        <f t="shared" si="90"/>
        <v>1646</v>
      </c>
      <c r="G358" s="37">
        <f t="shared" si="90"/>
        <v>3180</v>
      </c>
      <c r="H358" s="37">
        <f t="shared" si="90"/>
        <v>1735</v>
      </c>
      <c r="I358" s="37">
        <f t="shared" si="90"/>
        <v>228</v>
      </c>
      <c r="J358" s="37">
        <f t="shared" si="90"/>
        <v>52</v>
      </c>
      <c r="K358" s="37" t="str">
        <f t="shared" si="90"/>
        <v>-</v>
      </c>
      <c r="L358" s="197">
        <f t="shared" si="90"/>
        <v>7613</v>
      </c>
    </row>
    <row r="359" spans="1:12" x14ac:dyDescent="0.2">
      <c r="A359" s="496" t="s">
        <v>399</v>
      </c>
      <c r="B359" s="24" t="str">
        <f t="shared" si="90"/>
        <v>-</v>
      </c>
      <c r="C359" s="24" t="str">
        <f t="shared" si="90"/>
        <v>-</v>
      </c>
      <c r="D359" s="24" t="str">
        <f t="shared" si="90"/>
        <v>-</v>
      </c>
      <c r="E359" s="24" t="str">
        <f t="shared" si="90"/>
        <v>--</v>
      </c>
      <c r="F359" s="24" t="str">
        <f t="shared" si="90"/>
        <v>--</v>
      </c>
      <c r="G359" s="24">
        <f t="shared" si="90"/>
        <v>2637</v>
      </c>
      <c r="H359" s="24">
        <f t="shared" si="90"/>
        <v>2062</v>
      </c>
      <c r="I359" s="24">
        <f t="shared" si="90"/>
        <v>481</v>
      </c>
      <c r="J359" s="24">
        <f t="shared" si="90"/>
        <v>0</v>
      </c>
      <c r="K359" s="24">
        <f t="shared" si="90"/>
        <v>0</v>
      </c>
      <c r="L359" s="193">
        <f t="shared" si="90"/>
        <v>5180</v>
      </c>
    </row>
    <row r="360" spans="1:12" x14ac:dyDescent="0.2">
      <c r="B360" s="24"/>
      <c r="C360" s="24"/>
      <c r="D360" s="24"/>
      <c r="E360" s="24"/>
      <c r="F360" s="24"/>
      <c r="G360" s="24"/>
      <c r="H360" s="24"/>
      <c r="I360" s="24"/>
      <c r="J360" s="24"/>
      <c r="K360" s="24"/>
    </row>
    <row r="361" spans="1:12" x14ac:dyDescent="0.2">
      <c r="A361" s="418" t="str">
        <f>A145</f>
        <v>San Francisco</v>
      </c>
      <c r="B361" s="24"/>
      <c r="C361" s="24"/>
      <c r="D361" s="24"/>
      <c r="E361" s="24"/>
      <c r="F361" s="24"/>
      <c r="G361" s="24"/>
      <c r="H361" s="24"/>
      <c r="I361" s="24"/>
      <c r="J361" s="24"/>
      <c r="K361" s="24"/>
    </row>
    <row r="362" spans="1:12" x14ac:dyDescent="0.2">
      <c r="A362" s="383" t="s">
        <v>87</v>
      </c>
      <c r="B362" s="24">
        <f t="shared" ref="B362:L362" si="91">AVERAGE(B156:B160)</f>
        <v>4825</v>
      </c>
      <c r="C362" s="24">
        <f t="shared" si="91"/>
        <v>9832.4</v>
      </c>
      <c r="D362" s="24">
        <f t="shared" si="91"/>
        <v>12258</v>
      </c>
      <c r="E362" s="24">
        <f t="shared" si="91"/>
        <v>8985.6</v>
      </c>
      <c r="F362" s="24">
        <f t="shared" si="91"/>
        <v>12572.2</v>
      </c>
      <c r="G362" s="24">
        <f t="shared" si="91"/>
        <v>18560.400000000001</v>
      </c>
      <c r="H362" s="24">
        <f t="shared" si="91"/>
        <v>15985.2</v>
      </c>
      <c r="I362" s="24">
        <f t="shared" si="91"/>
        <v>9606.2000000000007</v>
      </c>
      <c r="J362" s="24">
        <f t="shared" si="91"/>
        <v>4755.3999999999996</v>
      </c>
      <c r="K362" s="24">
        <f t="shared" si="91"/>
        <v>1198.4000000000001</v>
      </c>
      <c r="L362" s="193">
        <f t="shared" si="91"/>
        <v>98578.8</v>
      </c>
    </row>
    <row r="363" spans="1:12" x14ac:dyDescent="0.2">
      <c r="A363" s="383" t="s">
        <v>14</v>
      </c>
      <c r="B363" s="24">
        <f t="shared" ref="B363:L363" si="92">AVERAGE(B161:B165)</f>
        <v>665.5</v>
      </c>
      <c r="C363" s="24">
        <f t="shared" si="92"/>
        <v>5891.2</v>
      </c>
      <c r="D363" s="24">
        <f t="shared" si="92"/>
        <v>6812</v>
      </c>
      <c r="E363" s="24">
        <f t="shared" si="92"/>
        <v>8019.6</v>
      </c>
      <c r="F363" s="24">
        <f t="shared" si="92"/>
        <v>12807.4</v>
      </c>
      <c r="G363" s="24">
        <f t="shared" si="92"/>
        <v>29791.4</v>
      </c>
      <c r="H363" s="24">
        <f t="shared" si="92"/>
        <v>17621.8</v>
      </c>
      <c r="I363" s="24">
        <f t="shared" si="92"/>
        <v>8726.4</v>
      </c>
      <c r="J363" s="24">
        <f t="shared" si="92"/>
        <v>4519.6000000000004</v>
      </c>
      <c r="K363" s="24">
        <f t="shared" si="92"/>
        <v>147.5</v>
      </c>
      <c r="L363" s="193">
        <f t="shared" si="92"/>
        <v>94780.800000000003</v>
      </c>
    </row>
    <row r="364" spans="1:12" x14ac:dyDescent="0.2">
      <c r="A364" s="383" t="s">
        <v>207</v>
      </c>
      <c r="B364" s="24" t="s">
        <v>29</v>
      </c>
      <c r="C364" s="24">
        <f t="shared" ref="C364:L364" si="93">AVERAGE(C166:C170)</f>
        <v>6364</v>
      </c>
      <c r="D364" s="24">
        <f t="shared" si="93"/>
        <v>9125.4</v>
      </c>
      <c r="E364" s="24">
        <f t="shared" si="93"/>
        <v>9112.2000000000007</v>
      </c>
      <c r="F364" s="24">
        <f t="shared" si="93"/>
        <v>13999</v>
      </c>
      <c r="G364" s="24">
        <f t="shared" si="93"/>
        <v>27446.400000000001</v>
      </c>
      <c r="H364" s="24">
        <f t="shared" si="93"/>
        <v>17265.599999999999</v>
      </c>
      <c r="I364" s="24">
        <f t="shared" si="93"/>
        <v>7577.2</v>
      </c>
      <c r="J364" s="24">
        <f t="shared" si="93"/>
        <v>3985</v>
      </c>
      <c r="K364" s="24">
        <f t="shared" si="93"/>
        <v>915.5</v>
      </c>
      <c r="L364" s="193">
        <f t="shared" si="93"/>
        <v>93968.2</v>
      </c>
    </row>
    <row r="365" spans="1:12" x14ac:dyDescent="0.2">
      <c r="A365" s="383" t="s">
        <v>238</v>
      </c>
      <c r="B365" s="24" t="str">
        <f>B171</f>
        <v>-</v>
      </c>
      <c r="C365" s="24" t="str">
        <f>C171</f>
        <v>-</v>
      </c>
      <c r="D365" s="24">
        <f>AVERAGE(D171:D175)</f>
        <v>6251.8</v>
      </c>
      <c r="E365" s="24">
        <f>AVERAGE(E171:E175)</f>
        <v>10799.6</v>
      </c>
      <c r="F365" s="24">
        <f>AVERAGE(F171:F175)</f>
        <v>11324.2</v>
      </c>
      <c r="G365" s="24">
        <f t="shared" ref="G365:L365" si="94">AVERAGE(G171:G175)</f>
        <v>24675.4</v>
      </c>
      <c r="H365" s="24">
        <f t="shared" si="94"/>
        <v>16469.400000000001</v>
      </c>
      <c r="I365" s="24">
        <f t="shared" si="94"/>
        <v>8814.6</v>
      </c>
      <c r="J365" s="24">
        <f t="shared" si="94"/>
        <v>4073</v>
      </c>
      <c r="K365" s="24">
        <f t="shared" si="94"/>
        <v>1140</v>
      </c>
      <c r="L365" s="193">
        <f t="shared" si="94"/>
        <v>83548</v>
      </c>
    </row>
    <row r="366" spans="1:12" x14ac:dyDescent="0.2">
      <c r="A366" s="383">
        <v>2006</v>
      </c>
      <c r="B366" s="24" t="str">
        <f t="shared" ref="B366:L366" si="95">B176</f>
        <v>-</v>
      </c>
      <c r="C366" s="24" t="str">
        <f t="shared" si="95"/>
        <v>-</v>
      </c>
      <c r="D366" s="24">
        <f t="shared" si="95"/>
        <v>3860</v>
      </c>
      <c r="E366" s="24">
        <f t="shared" si="95"/>
        <v>11575</v>
      </c>
      <c r="F366" s="24">
        <f t="shared" si="95"/>
        <v>13994</v>
      </c>
      <c r="G366" s="24">
        <f t="shared" si="95"/>
        <v>20739</v>
      </c>
      <c r="H366" s="24">
        <f t="shared" si="95"/>
        <v>5557</v>
      </c>
      <c r="I366" s="24">
        <f t="shared" si="95"/>
        <v>3371</v>
      </c>
      <c r="J366" s="24">
        <f t="shared" si="95"/>
        <v>1827</v>
      </c>
      <c r="K366" s="24">
        <f t="shared" si="95"/>
        <v>448</v>
      </c>
      <c r="L366" s="193">
        <f t="shared" si="95"/>
        <v>61371</v>
      </c>
    </row>
    <row r="367" spans="1:12" s="374" customFormat="1" x14ac:dyDescent="0.2">
      <c r="A367" s="402">
        <v>2007</v>
      </c>
      <c r="B367" s="37" t="str">
        <f t="shared" ref="B367:L367" si="96">B177</f>
        <v>-</v>
      </c>
      <c r="C367" s="37" t="str">
        <f t="shared" si="96"/>
        <v>-</v>
      </c>
      <c r="D367" s="37">
        <f t="shared" si="96"/>
        <v>3505</v>
      </c>
      <c r="E367" s="37">
        <f t="shared" si="96"/>
        <v>6915</v>
      </c>
      <c r="F367" s="37">
        <f t="shared" si="96"/>
        <v>8340</v>
      </c>
      <c r="G367" s="37">
        <f t="shared" si="96"/>
        <v>13775</v>
      </c>
      <c r="H367" s="37">
        <f t="shared" si="96"/>
        <v>4908</v>
      </c>
      <c r="I367" s="37">
        <f t="shared" si="96"/>
        <v>2511</v>
      </c>
      <c r="J367" s="37">
        <f t="shared" si="96"/>
        <v>1766</v>
      </c>
      <c r="K367" s="37">
        <f t="shared" si="96"/>
        <v>1394</v>
      </c>
      <c r="L367" s="197">
        <f t="shared" si="96"/>
        <v>43114</v>
      </c>
    </row>
    <row r="368" spans="1:12" s="374" customFormat="1" x14ac:dyDescent="0.2">
      <c r="A368" s="402">
        <v>2008</v>
      </c>
      <c r="B368" s="37" t="str">
        <f t="shared" ref="B368:L368" si="97">B178</f>
        <v>-</v>
      </c>
      <c r="C368" s="37" t="str">
        <f t="shared" si="97"/>
        <v>-</v>
      </c>
      <c r="D368" s="37" t="str">
        <f t="shared" si="97"/>
        <v>-</v>
      </c>
      <c r="E368" s="37" t="str">
        <f t="shared" si="97"/>
        <v>-</v>
      </c>
      <c r="F368" s="37" t="str">
        <f t="shared" si="97"/>
        <v>-</v>
      </c>
      <c r="G368" s="37" t="str">
        <f t="shared" si="97"/>
        <v>-</v>
      </c>
      <c r="H368" s="37" t="str">
        <f t="shared" si="97"/>
        <v>-</v>
      </c>
      <c r="I368" s="37" t="str">
        <f t="shared" si="97"/>
        <v>-</v>
      </c>
      <c r="J368" s="37" t="str">
        <f t="shared" si="97"/>
        <v>-</v>
      </c>
      <c r="K368" s="37" t="str">
        <f t="shared" si="97"/>
        <v>-</v>
      </c>
      <c r="L368" s="197" t="str">
        <f t="shared" si="97"/>
        <v>-</v>
      </c>
    </row>
    <row r="369" spans="1:12" s="374" customFormat="1" x14ac:dyDescent="0.2">
      <c r="A369" s="402">
        <v>2009</v>
      </c>
      <c r="B369" s="37" t="str">
        <f t="shared" ref="B369:L369" si="98">B179</f>
        <v>-</v>
      </c>
      <c r="C369" s="37" t="str">
        <f t="shared" si="98"/>
        <v>-</v>
      </c>
      <c r="D369" s="37" t="str">
        <f t="shared" si="98"/>
        <v>-</v>
      </c>
      <c r="E369" s="37" t="str">
        <f t="shared" si="98"/>
        <v>-</v>
      </c>
      <c r="F369" s="37" t="str">
        <f t="shared" si="98"/>
        <v>-</v>
      </c>
      <c r="G369" s="37" t="str">
        <f t="shared" si="98"/>
        <v>-</v>
      </c>
      <c r="H369" s="37" t="str">
        <f t="shared" si="98"/>
        <v>-</v>
      </c>
      <c r="I369" s="37" t="str">
        <f t="shared" si="98"/>
        <v>-</v>
      </c>
      <c r="J369" s="37" t="str">
        <f t="shared" si="98"/>
        <v>-</v>
      </c>
      <c r="K369" s="37" t="str">
        <f t="shared" si="98"/>
        <v>-</v>
      </c>
      <c r="L369" s="197" t="str">
        <f t="shared" si="98"/>
        <v>-</v>
      </c>
    </row>
    <row r="370" spans="1:12" s="374" customFormat="1" x14ac:dyDescent="0.2">
      <c r="A370" s="122">
        <v>2010</v>
      </c>
      <c r="B370" s="37" t="str">
        <f t="shared" ref="B370:L370" si="99">B180</f>
        <v>-</v>
      </c>
      <c r="C370" s="37" t="str">
        <f t="shared" si="99"/>
        <v>-</v>
      </c>
      <c r="D370" s="37">
        <f t="shared" si="99"/>
        <v>3889</v>
      </c>
      <c r="E370" s="37">
        <f t="shared" si="99"/>
        <v>1521</v>
      </c>
      <c r="F370" s="37">
        <f t="shared" si="99"/>
        <v>1693</v>
      </c>
      <c r="G370" s="37">
        <f t="shared" si="99"/>
        <v>4846</v>
      </c>
      <c r="H370" s="37">
        <f t="shared" si="99"/>
        <v>5730</v>
      </c>
      <c r="I370" s="37">
        <f t="shared" si="99"/>
        <v>1673</v>
      </c>
      <c r="J370" s="37" t="str">
        <f t="shared" si="99"/>
        <v>-</v>
      </c>
      <c r="K370" s="37" t="str">
        <f t="shared" si="99"/>
        <v>-</v>
      </c>
      <c r="L370" s="197">
        <f t="shared" si="99"/>
        <v>19352</v>
      </c>
    </row>
    <row r="371" spans="1:12" s="374" customFormat="1" x14ac:dyDescent="0.2">
      <c r="A371" s="402">
        <v>2011</v>
      </c>
      <c r="B371" s="37" t="str">
        <f t="shared" ref="B371:L371" si="100">B181</f>
        <v>-</v>
      </c>
      <c r="C371" s="37" t="str">
        <f t="shared" si="100"/>
        <v>-</v>
      </c>
      <c r="D371" s="37">
        <f t="shared" si="100"/>
        <v>2046</v>
      </c>
      <c r="E371" s="37">
        <f t="shared" si="100"/>
        <v>2272</v>
      </c>
      <c r="F371" s="37">
        <f t="shared" si="100"/>
        <v>1630</v>
      </c>
      <c r="G371" s="37">
        <f t="shared" si="100"/>
        <v>8505</v>
      </c>
      <c r="H371" s="37">
        <f t="shared" si="100"/>
        <v>9094</v>
      </c>
      <c r="I371" s="37">
        <f t="shared" si="100"/>
        <v>7591</v>
      </c>
      <c r="J371" s="37">
        <f t="shared" si="100"/>
        <v>3249</v>
      </c>
      <c r="K371" s="37" t="str">
        <f t="shared" si="100"/>
        <v>-</v>
      </c>
      <c r="L371" s="197">
        <f t="shared" si="100"/>
        <v>34387</v>
      </c>
    </row>
    <row r="372" spans="1:12" s="374" customFormat="1" x14ac:dyDescent="0.2">
      <c r="A372" s="402">
        <v>2012</v>
      </c>
      <c r="B372" s="37" t="str">
        <f t="shared" ref="B372:L372" si="101">B182</f>
        <v>-</v>
      </c>
      <c r="C372" s="37" t="str">
        <f t="shared" si="101"/>
        <v>-</v>
      </c>
      <c r="D372" s="37">
        <f t="shared" si="101"/>
        <v>4113</v>
      </c>
      <c r="E372" s="37">
        <f t="shared" si="101"/>
        <v>6663</v>
      </c>
      <c r="F372" s="37">
        <f t="shared" si="101"/>
        <v>11396</v>
      </c>
      <c r="G372" s="37">
        <f t="shared" si="101"/>
        <v>15667</v>
      </c>
      <c r="H372" s="37">
        <f t="shared" si="101"/>
        <v>10085</v>
      </c>
      <c r="I372" s="37">
        <f t="shared" si="101"/>
        <v>6421</v>
      </c>
      <c r="J372" s="37">
        <f t="shared" si="101"/>
        <v>2779</v>
      </c>
      <c r="K372" s="37">
        <f t="shared" si="101"/>
        <v>418</v>
      </c>
      <c r="L372" s="197">
        <f t="shared" si="101"/>
        <v>57542</v>
      </c>
    </row>
    <row r="373" spans="1:12" s="374" customFormat="1" x14ac:dyDescent="0.2">
      <c r="A373" s="402">
        <v>2013</v>
      </c>
      <c r="B373" s="37" t="str">
        <f t="shared" ref="B373:L373" si="102">B183</f>
        <v>-</v>
      </c>
      <c r="C373" s="37" t="str">
        <f t="shared" si="102"/>
        <v>-</v>
      </c>
      <c r="D373" s="37">
        <f t="shared" si="102"/>
        <v>6406</v>
      </c>
      <c r="E373" s="37">
        <f t="shared" si="102"/>
        <v>7823</v>
      </c>
      <c r="F373" s="37">
        <f t="shared" si="102"/>
        <v>11183</v>
      </c>
      <c r="G373" s="37">
        <f t="shared" si="102"/>
        <v>22814</v>
      </c>
      <c r="H373" s="37">
        <f t="shared" si="102"/>
        <v>14354</v>
      </c>
      <c r="I373" s="37">
        <f t="shared" si="102"/>
        <v>4572</v>
      </c>
      <c r="J373" s="37">
        <f t="shared" si="102"/>
        <v>2003</v>
      </c>
      <c r="K373" s="37">
        <f t="shared" si="102"/>
        <v>379</v>
      </c>
      <c r="L373" s="197">
        <f t="shared" si="102"/>
        <v>69534</v>
      </c>
    </row>
    <row r="374" spans="1:12" s="374" customFormat="1" x14ac:dyDescent="0.2">
      <c r="A374" s="402">
        <v>2014</v>
      </c>
      <c r="B374" s="37" t="str">
        <f t="shared" ref="B374:L374" si="103">B184</f>
        <v>-</v>
      </c>
      <c r="C374" s="37" t="str">
        <f t="shared" si="103"/>
        <v>-</v>
      </c>
      <c r="D374" s="37">
        <f t="shared" si="103"/>
        <v>3433</v>
      </c>
      <c r="E374" s="37">
        <f t="shared" si="103"/>
        <v>3406</v>
      </c>
      <c r="F374" s="37">
        <f t="shared" si="103"/>
        <v>2163</v>
      </c>
      <c r="G374" s="37">
        <f t="shared" si="103"/>
        <v>11779</v>
      </c>
      <c r="H374" s="37">
        <f t="shared" si="103"/>
        <v>18604</v>
      </c>
      <c r="I374" s="37">
        <f t="shared" si="103"/>
        <v>9589</v>
      </c>
      <c r="J374" s="37">
        <f t="shared" si="103"/>
        <v>5046</v>
      </c>
      <c r="K374" s="37">
        <f t="shared" si="103"/>
        <v>675</v>
      </c>
      <c r="L374" s="197">
        <f t="shared" si="103"/>
        <v>54695</v>
      </c>
    </row>
    <row r="375" spans="1:12" s="374" customFormat="1" x14ac:dyDescent="0.2">
      <c r="A375" s="122">
        <v>2015</v>
      </c>
      <c r="B375" s="37" t="str">
        <f t="shared" ref="B375:L375" si="104">B185</f>
        <v>-</v>
      </c>
      <c r="C375" s="37" t="str">
        <f t="shared" si="104"/>
        <v>-</v>
      </c>
      <c r="D375" s="37">
        <f t="shared" si="104"/>
        <v>2380</v>
      </c>
      <c r="E375" s="37">
        <f t="shared" si="104"/>
        <v>2708</v>
      </c>
      <c r="F375" s="37">
        <f t="shared" si="104"/>
        <v>5176</v>
      </c>
      <c r="G375" s="37">
        <f t="shared" si="104"/>
        <v>9851</v>
      </c>
      <c r="H375" s="37">
        <f t="shared" si="104"/>
        <v>12523</v>
      </c>
      <c r="I375" s="37">
        <f t="shared" si="104"/>
        <v>9838</v>
      </c>
      <c r="J375" s="37">
        <f t="shared" si="104"/>
        <v>3389</v>
      </c>
      <c r="K375" s="37" t="str">
        <f t="shared" si="104"/>
        <v>-</v>
      </c>
      <c r="L375" s="197">
        <f t="shared" si="104"/>
        <v>45865</v>
      </c>
    </row>
    <row r="376" spans="1:12" s="374" customFormat="1" x14ac:dyDescent="0.2">
      <c r="A376" s="122">
        <v>2016</v>
      </c>
      <c r="B376" s="37" t="str">
        <f t="shared" ref="B376:L376" si="105">B186</f>
        <v>-</v>
      </c>
      <c r="C376" s="37" t="str">
        <f t="shared" si="105"/>
        <v>-</v>
      </c>
      <c r="D376" s="37">
        <f t="shared" si="105"/>
        <v>2797</v>
      </c>
      <c r="E376" s="37">
        <f t="shared" si="105"/>
        <v>4723</v>
      </c>
      <c r="F376" s="37">
        <f t="shared" si="105"/>
        <v>2797</v>
      </c>
      <c r="G376" s="37">
        <f t="shared" si="105"/>
        <v>11554</v>
      </c>
      <c r="H376" s="37">
        <f t="shared" si="105"/>
        <v>11437</v>
      </c>
      <c r="I376" s="37">
        <f t="shared" si="105"/>
        <v>8205</v>
      </c>
      <c r="J376" s="37">
        <f t="shared" si="105"/>
        <v>2298</v>
      </c>
      <c r="K376" s="37" t="str">
        <f t="shared" si="105"/>
        <v>-</v>
      </c>
      <c r="L376" s="197">
        <f t="shared" si="105"/>
        <v>43811</v>
      </c>
    </row>
    <row r="377" spans="1:12" s="374" customFormat="1" x14ac:dyDescent="0.2">
      <c r="A377" s="122">
        <v>2017</v>
      </c>
      <c r="B377" s="37" t="str">
        <f t="shared" ref="B377:L377" si="106">B187</f>
        <v>-</v>
      </c>
      <c r="C377" s="37" t="str">
        <f t="shared" si="106"/>
        <v>-</v>
      </c>
      <c r="D377" s="37">
        <f t="shared" si="106"/>
        <v>1470</v>
      </c>
      <c r="E377" s="37">
        <f t="shared" si="106"/>
        <v>1665</v>
      </c>
      <c r="F377" s="37">
        <f t="shared" si="106"/>
        <v>5429</v>
      </c>
      <c r="G377" s="37">
        <f t="shared" si="106"/>
        <v>19131</v>
      </c>
      <c r="H377" s="37">
        <f t="shared" si="106"/>
        <v>17489</v>
      </c>
      <c r="I377" s="37">
        <f t="shared" si="106"/>
        <v>7210</v>
      </c>
      <c r="J377" s="37">
        <f t="shared" si="106"/>
        <v>1834</v>
      </c>
      <c r="K377" s="37" t="str">
        <f t="shared" si="106"/>
        <v>-</v>
      </c>
      <c r="L377" s="197">
        <f t="shared" si="106"/>
        <v>54228</v>
      </c>
    </row>
    <row r="378" spans="1:12" s="374" customFormat="1" x14ac:dyDescent="0.2">
      <c r="A378" s="122">
        <v>2018</v>
      </c>
      <c r="B378" s="37" t="str">
        <f t="shared" ref="B378:L378" si="107">B188</f>
        <v>-</v>
      </c>
      <c r="C378" s="37" t="str">
        <f t="shared" si="107"/>
        <v>-</v>
      </c>
      <c r="D378" s="37" t="str">
        <f t="shared" si="107"/>
        <v>-</v>
      </c>
      <c r="E378" s="37" t="str">
        <f t="shared" si="107"/>
        <v>-</v>
      </c>
      <c r="F378" s="37">
        <f t="shared" si="107"/>
        <v>8043</v>
      </c>
      <c r="G378" s="37">
        <f t="shared" si="107"/>
        <v>28234</v>
      </c>
      <c r="H378" s="37">
        <f t="shared" si="107"/>
        <v>15575</v>
      </c>
      <c r="I378" s="37">
        <f t="shared" si="107"/>
        <v>8561</v>
      </c>
      <c r="J378" s="37">
        <f t="shared" si="107"/>
        <v>5033</v>
      </c>
      <c r="K378" s="37" t="str">
        <f t="shared" si="107"/>
        <v>-</v>
      </c>
      <c r="L378" s="197">
        <f t="shared" si="107"/>
        <v>65446</v>
      </c>
    </row>
    <row r="379" spans="1:12" s="487" customFormat="1" x14ac:dyDescent="0.2">
      <c r="A379" s="496" t="s">
        <v>398</v>
      </c>
      <c r="B379" s="37" t="str">
        <f t="shared" ref="B379:L380" si="108">B189</f>
        <v>-</v>
      </c>
      <c r="C379" s="37" t="str">
        <f t="shared" si="108"/>
        <v>-</v>
      </c>
      <c r="D379" s="37">
        <f t="shared" si="108"/>
        <v>3207</v>
      </c>
      <c r="E379" s="37">
        <f t="shared" si="108"/>
        <v>1612</v>
      </c>
      <c r="F379" s="37">
        <f t="shared" si="108"/>
        <v>12056</v>
      </c>
      <c r="G379" s="37">
        <f t="shared" si="108"/>
        <v>15392</v>
      </c>
      <c r="H379" s="37">
        <f t="shared" si="108"/>
        <v>17321</v>
      </c>
      <c r="I379" s="37">
        <f t="shared" si="108"/>
        <v>6697</v>
      </c>
      <c r="J379" s="37">
        <f t="shared" si="108"/>
        <v>1769</v>
      </c>
      <c r="K379" s="37" t="str">
        <f t="shared" si="108"/>
        <v>-</v>
      </c>
      <c r="L379" s="197">
        <f t="shared" si="108"/>
        <v>58054</v>
      </c>
    </row>
    <row r="380" spans="1:12" x14ac:dyDescent="0.2">
      <c r="A380" s="496" t="s">
        <v>399</v>
      </c>
      <c r="B380" s="24" t="str">
        <f t="shared" si="108"/>
        <v>-</v>
      </c>
      <c r="C380" s="24" t="str">
        <f t="shared" si="108"/>
        <v>-</v>
      </c>
      <c r="D380" s="24" t="str">
        <f t="shared" si="108"/>
        <v>-</v>
      </c>
      <c r="E380" s="24" t="str">
        <f t="shared" si="108"/>
        <v>--</v>
      </c>
      <c r="F380" s="24" t="str">
        <f t="shared" si="108"/>
        <v>--</v>
      </c>
      <c r="G380" s="24">
        <f t="shared" si="108"/>
        <v>19769</v>
      </c>
      <c r="H380" s="24">
        <f t="shared" si="108"/>
        <v>13959</v>
      </c>
      <c r="I380" s="24">
        <f t="shared" si="108"/>
        <v>7084</v>
      </c>
      <c r="J380" s="24">
        <f t="shared" si="108"/>
        <v>4111</v>
      </c>
      <c r="K380" s="24">
        <f t="shared" si="108"/>
        <v>127</v>
      </c>
      <c r="L380" s="193">
        <f t="shared" si="108"/>
        <v>45050</v>
      </c>
    </row>
    <row r="381" spans="1:12" x14ac:dyDescent="0.2">
      <c r="B381" s="24"/>
      <c r="C381" s="24"/>
      <c r="D381" s="24"/>
      <c r="E381" s="24"/>
      <c r="F381" s="24"/>
      <c r="G381" s="24"/>
      <c r="H381" s="24"/>
      <c r="I381" s="24"/>
      <c r="J381" s="24"/>
      <c r="K381" s="24"/>
    </row>
    <row r="382" spans="1:12" ht="11.25" customHeight="1" x14ac:dyDescent="0.2">
      <c r="A382" s="528" t="s">
        <v>236</v>
      </c>
      <c r="B382" s="528"/>
      <c r="C382" s="528"/>
      <c r="D382" s="528"/>
      <c r="E382" s="528"/>
      <c r="F382" s="528"/>
      <c r="G382" s="528"/>
      <c r="H382" s="528"/>
      <c r="I382" s="528"/>
      <c r="J382" s="528"/>
      <c r="K382" s="528"/>
      <c r="L382" s="528"/>
    </row>
    <row r="383" spans="1:12" x14ac:dyDescent="0.2">
      <c r="A383" s="389" t="s">
        <v>33</v>
      </c>
      <c r="B383" s="381" t="s">
        <v>42</v>
      </c>
      <c r="C383" s="381" t="s">
        <v>43</v>
      </c>
      <c r="D383" s="381" t="s">
        <v>34</v>
      </c>
      <c r="E383" s="381" t="s">
        <v>35</v>
      </c>
      <c r="F383" s="381" t="s">
        <v>36</v>
      </c>
      <c r="G383" s="381" t="s">
        <v>37</v>
      </c>
      <c r="H383" s="381" t="s">
        <v>38</v>
      </c>
      <c r="I383" s="381" t="s">
        <v>39</v>
      </c>
      <c r="J383" s="381" t="s">
        <v>40</v>
      </c>
      <c r="K383" s="381" t="s">
        <v>44</v>
      </c>
      <c r="L383" s="381" t="s">
        <v>28</v>
      </c>
    </row>
    <row r="384" spans="1:12" x14ac:dyDescent="0.2">
      <c r="A384" s="418" t="str">
        <f>A192</f>
        <v>Monterey</v>
      </c>
    </row>
    <row r="385" spans="1:12" x14ac:dyDescent="0.2">
      <c r="A385" s="383" t="s">
        <v>87</v>
      </c>
      <c r="B385" s="24">
        <f t="shared" ref="B385:L385" si="109">AVERAGE(B203:B207)</f>
        <v>3447.4</v>
      </c>
      <c r="C385" s="24">
        <f t="shared" si="109"/>
        <v>7260.8</v>
      </c>
      <c r="D385" s="24">
        <f t="shared" si="109"/>
        <v>11695.4</v>
      </c>
      <c r="E385" s="24">
        <f t="shared" si="109"/>
        <v>4140.6000000000004</v>
      </c>
      <c r="F385" s="24">
        <f t="shared" si="109"/>
        <v>6637.4</v>
      </c>
      <c r="G385" s="24">
        <f t="shared" si="109"/>
        <v>10554.6</v>
      </c>
      <c r="H385" s="24">
        <f t="shared" si="109"/>
        <v>4181.8</v>
      </c>
      <c r="I385" s="24">
        <f t="shared" si="109"/>
        <v>637.20000000000005</v>
      </c>
      <c r="J385" s="24">
        <f t="shared" si="109"/>
        <v>269.2</v>
      </c>
      <c r="K385" s="24">
        <f t="shared" si="109"/>
        <v>364.4</v>
      </c>
      <c r="L385" s="193">
        <f t="shared" si="109"/>
        <v>49188.800000000003</v>
      </c>
    </row>
    <row r="386" spans="1:12" x14ac:dyDescent="0.2">
      <c r="A386" s="383" t="s">
        <v>14</v>
      </c>
      <c r="B386" s="24">
        <f t="shared" ref="B386:L386" si="110">AVERAGE(B208:B212)</f>
        <v>792</v>
      </c>
      <c r="C386" s="24">
        <f t="shared" si="110"/>
        <v>8912</v>
      </c>
      <c r="D386" s="24">
        <f t="shared" si="110"/>
        <v>15522.2</v>
      </c>
      <c r="E386" s="24">
        <f t="shared" si="110"/>
        <v>12159.4</v>
      </c>
      <c r="F386" s="24">
        <f t="shared" si="110"/>
        <v>11062</v>
      </c>
      <c r="G386" s="24">
        <f t="shared" si="110"/>
        <v>16341.2</v>
      </c>
      <c r="H386" s="24">
        <f t="shared" si="110"/>
        <v>4519.3999999999996</v>
      </c>
      <c r="I386" s="24">
        <f t="shared" si="110"/>
        <v>1051.4000000000001</v>
      </c>
      <c r="J386" s="24">
        <f t="shared" si="110"/>
        <v>1498</v>
      </c>
      <c r="K386" s="24">
        <f t="shared" si="110"/>
        <v>600</v>
      </c>
      <c r="L386" s="193">
        <f t="shared" si="110"/>
        <v>71519.600000000006</v>
      </c>
    </row>
    <row r="387" spans="1:12" x14ac:dyDescent="0.2">
      <c r="A387" s="383" t="s">
        <v>207</v>
      </c>
      <c r="B387" s="24" t="s">
        <v>29</v>
      </c>
      <c r="C387" s="24">
        <f t="shared" ref="C387:L387" si="111">AVERAGE(C213:C217)</f>
        <v>11189</v>
      </c>
      <c r="D387" s="24">
        <f t="shared" si="111"/>
        <v>15209.2</v>
      </c>
      <c r="E387" s="24">
        <f t="shared" si="111"/>
        <v>10402.799999999999</v>
      </c>
      <c r="F387" s="24">
        <f t="shared" si="111"/>
        <v>11864.4</v>
      </c>
      <c r="G387" s="24">
        <f t="shared" si="111"/>
        <v>12300.6</v>
      </c>
      <c r="H387" s="24">
        <f t="shared" si="111"/>
        <v>3672</v>
      </c>
      <c r="I387" s="24">
        <f t="shared" si="111"/>
        <v>761.5</v>
      </c>
      <c r="J387" s="24" t="s">
        <v>29</v>
      </c>
      <c r="K387" s="24" t="s">
        <v>29</v>
      </c>
      <c r="L387" s="193">
        <f t="shared" si="111"/>
        <v>63009.4</v>
      </c>
    </row>
    <row r="388" spans="1:12" x14ac:dyDescent="0.2">
      <c r="A388" s="383" t="s">
        <v>238</v>
      </c>
      <c r="B388" s="24" t="str">
        <f>B218</f>
        <v>-</v>
      </c>
      <c r="C388" s="24">
        <f t="shared" ref="C388:I388" si="112">AVERAGE(C218:C222)</f>
        <v>2946</v>
      </c>
      <c r="D388" s="24">
        <f t="shared" si="112"/>
        <v>20318.2</v>
      </c>
      <c r="E388" s="24">
        <f t="shared" si="112"/>
        <v>9401.7999999999993</v>
      </c>
      <c r="F388" s="24">
        <f t="shared" si="112"/>
        <v>6396.4</v>
      </c>
      <c r="G388" s="24">
        <f t="shared" si="112"/>
        <v>7845.6</v>
      </c>
      <c r="H388" s="24">
        <f t="shared" si="112"/>
        <v>1366</v>
      </c>
      <c r="I388" s="24">
        <f t="shared" si="112"/>
        <v>321.5</v>
      </c>
      <c r="J388" s="452" t="s">
        <v>241</v>
      </c>
      <c r="K388" s="24" t="s">
        <v>29</v>
      </c>
      <c r="L388" s="193">
        <f>AVERAGE(L218:L222)</f>
        <v>47352.800000000003</v>
      </c>
    </row>
    <row r="389" spans="1:12" x14ac:dyDescent="0.2">
      <c r="A389" s="383">
        <v>2006</v>
      </c>
      <c r="B389" s="24" t="str">
        <f t="shared" ref="B389:L389" si="113">B223</f>
        <v>-</v>
      </c>
      <c r="C389" s="24" t="str">
        <f t="shared" si="113"/>
        <v>-</v>
      </c>
      <c r="D389" s="24">
        <f t="shared" si="113"/>
        <v>14538</v>
      </c>
      <c r="E389" s="24">
        <f t="shared" si="113"/>
        <v>3226</v>
      </c>
      <c r="F389" s="24">
        <f t="shared" si="113"/>
        <v>5465</v>
      </c>
      <c r="G389" s="24">
        <f t="shared" si="113"/>
        <v>4311</v>
      </c>
      <c r="H389" s="24">
        <f t="shared" si="113"/>
        <v>76</v>
      </c>
      <c r="I389" s="24">
        <f t="shared" si="113"/>
        <v>100</v>
      </c>
      <c r="J389" s="24" t="str">
        <f t="shared" si="113"/>
        <v>-</v>
      </c>
      <c r="K389" s="24" t="str">
        <f t="shared" si="113"/>
        <v>-</v>
      </c>
      <c r="L389" s="193">
        <f t="shared" si="113"/>
        <v>27716</v>
      </c>
    </row>
    <row r="390" spans="1:12" s="374" customFormat="1" x14ac:dyDescent="0.2">
      <c r="A390" s="402">
        <v>2007</v>
      </c>
      <c r="B390" s="37" t="str">
        <f t="shared" ref="B390:L390" si="114">B224</f>
        <v>-</v>
      </c>
      <c r="C390" s="37" t="str">
        <f t="shared" si="114"/>
        <v>-</v>
      </c>
      <c r="D390" s="37">
        <f t="shared" si="114"/>
        <v>10846</v>
      </c>
      <c r="E390" s="37">
        <f t="shared" si="114"/>
        <v>4102</v>
      </c>
      <c r="F390" s="37">
        <f t="shared" si="114"/>
        <v>5687</v>
      </c>
      <c r="G390" s="37">
        <f t="shared" si="114"/>
        <v>2502</v>
      </c>
      <c r="H390" s="37">
        <f t="shared" si="114"/>
        <v>1611</v>
      </c>
      <c r="I390" s="37">
        <f t="shared" si="114"/>
        <v>434</v>
      </c>
      <c r="J390" s="37">
        <f t="shared" si="114"/>
        <v>26</v>
      </c>
      <c r="K390" s="37" t="str">
        <f t="shared" si="114"/>
        <v>-</v>
      </c>
      <c r="L390" s="197">
        <f t="shared" si="114"/>
        <v>25208</v>
      </c>
    </row>
    <row r="391" spans="1:12" s="374" customFormat="1" x14ac:dyDescent="0.2">
      <c r="A391" s="402">
        <v>2008</v>
      </c>
      <c r="B391" s="37" t="str">
        <f t="shared" ref="B391:K391" si="115">B225</f>
        <v>-</v>
      </c>
      <c r="C391" s="37" t="str">
        <f t="shared" si="115"/>
        <v>-</v>
      </c>
      <c r="D391" s="37" t="str">
        <f t="shared" si="115"/>
        <v>-</v>
      </c>
      <c r="E391" s="37" t="str">
        <f t="shared" si="115"/>
        <v>-</v>
      </c>
      <c r="F391" s="37" t="str">
        <f t="shared" si="115"/>
        <v>-</v>
      </c>
      <c r="G391" s="37" t="str">
        <f t="shared" si="115"/>
        <v>-</v>
      </c>
      <c r="H391" s="37" t="str">
        <f t="shared" si="115"/>
        <v>-</v>
      </c>
      <c r="I391" s="37" t="str">
        <f t="shared" si="115"/>
        <v>-</v>
      </c>
      <c r="J391" s="37" t="str">
        <f t="shared" si="115"/>
        <v>-</v>
      </c>
      <c r="K391" s="37" t="str">
        <f t="shared" si="115"/>
        <v>-</v>
      </c>
      <c r="L391" s="197" t="str">
        <f>L225</f>
        <v>-</v>
      </c>
    </row>
    <row r="392" spans="1:12" s="374" customFormat="1" x14ac:dyDescent="0.2">
      <c r="A392" s="402">
        <v>2009</v>
      </c>
      <c r="B392" s="37" t="str">
        <f t="shared" ref="B392:L392" si="116">B226</f>
        <v>-</v>
      </c>
      <c r="C392" s="37" t="str">
        <f t="shared" si="116"/>
        <v>-</v>
      </c>
      <c r="D392" s="37" t="str">
        <f t="shared" si="116"/>
        <v>-</v>
      </c>
      <c r="E392" s="37" t="str">
        <f t="shared" si="116"/>
        <v>-</v>
      </c>
      <c r="F392" s="37" t="str">
        <f t="shared" si="116"/>
        <v>-</v>
      </c>
      <c r="G392" s="37" t="str">
        <f t="shared" si="116"/>
        <v>-</v>
      </c>
      <c r="H392" s="37" t="str">
        <f t="shared" si="116"/>
        <v>-</v>
      </c>
      <c r="I392" s="37" t="str">
        <f t="shared" si="116"/>
        <v>-</v>
      </c>
      <c r="J392" s="37" t="str">
        <f t="shared" si="116"/>
        <v>-</v>
      </c>
      <c r="K392" s="37" t="str">
        <f t="shared" si="116"/>
        <v>-</v>
      </c>
      <c r="L392" s="197" t="str">
        <f t="shared" si="116"/>
        <v>-</v>
      </c>
    </row>
    <row r="393" spans="1:12" s="374" customFormat="1" x14ac:dyDescent="0.2">
      <c r="A393" s="122">
        <v>2010</v>
      </c>
      <c r="B393" s="37" t="str">
        <f t="shared" ref="B393:L393" si="117">B227</f>
        <v>-</v>
      </c>
      <c r="C393" s="37" t="str">
        <f t="shared" si="117"/>
        <v>-</v>
      </c>
      <c r="D393" s="37">
        <f t="shared" si="117"/>
        <v>11616</v>
      </c>
      <c r="E393" s="37">
        <f t="shared" si="117"/>
        <v>4019</v>
      </c>
      <c r="F393" s="37">
        <f t="shared" si="117"/>
        <v>300</v>
      </c>
      <c r="G393" s="37">
        <f t="shared" si="117"/>
        <v>2004</v>
      </c>
      <c r="H393" s="37">
        <f t="shared" si="117"/>
        <v>528</v>
      </c>
      <c r="I393" s="37">
        <f t="shared" si="117"/>
        <v>60</v>
      </c>
      <c r="J393" s="37" t="str">
        <f t="shared" si="117"/>
        <v>-</v>
      </c>
      <c r="K393" s="37" t="str">
        <f t="shared" si="117"/>
        <v>-</v>
      </c>
      <c r="L393" s="197">
        <f t="shared" si="117"/>
        <v>18527</v>
      </c>
    </row>
    <row r="394" spans="1:12" s="374" customFormat="1" x14ac:dyDescent="0.2">
      <c r="A394" s="402">
        <v>2011</v>
      </c>
      <c r="B394" s="37" t="str">
        <f t="shared" ref="B394:L394" si="118">B228</f>
        <v>-</v>
      </c>
      <c r="C394" s="37" t="str">
        <f t="shared" si="118"/>
        <v>-</v>
      </c>
      <c r="D394" s="37">
        <f t="shared" si="118"/>
        <v>11987</v>
      </c>
      <c r="E394" s="37">
        <f t="shared" si="118"/>
        <v>2149</v>
      </c>
      <c r="F394" s="37">
        <f t="shared" si="118"/>
        <v>3013</v>
      </c>
      <c r="G394" s="37">
        <f t="shared" si="118"/>
        <v>5561</v>
      </c>
      <c r="H394" s="37">
        <f t="shared" si="118"/>
        <v>3318</v>
      </c>
      <c r="I394" s="37">
        <f t="shared" si="118"/>
        <v>1923</v>
      </c>
      <c r="J394" s="37" t="str">
        <f t="shared" si="118"/>
        <v>-</v>
      </c>
      <c r="K394" s="37" t="str">
        <f t="shared" si="118"/>
        <v>-</v>
      </c>
      <c r="L394" s="197">
        <f t="shared" si="118"/>
        <v>27951</v>
      </c>
    </row>
    <row r="395" spans="1:12" s="374" customFormat="1" x14ac:dyDescent="0.2">
      <c r="A395" s="402">
        <v>2012</v>
      </c>
      <c r="B395" s="37" t="str">
        <f t="shared" ref="B395:L395" si="119">B229</f>
        <v>-</v>
      </c>
      <c r="C395" s="37" t="str">
        <f t="shared" si="119"/>
        <v>-</v>
      </c>
      <c r="D395" s="37">
        <f t="shared" si="119"/>
        <v>16123</v>
      </c>
      <c r="E395" s="37">
        <f t="shared" si="119"/>
        <v>9326</v>
      </c>
      <c r="F395" s="37">
        <f t="shared" si="119"/>
        <v>7603</v>
      </c>
      <c r="G395" s="37">
        <f t="shared" si="119"/>
        <v>8674</v>
      </c>
      <c r="H395" s="37">
        <f t="shared" si="119"/>
        <v>1645</v>
      </c>
      <c r="I395" s="37">
        <f t="shared" si="119"/>
        <v>424</v>
      </c>
      <c r="J395" s="37">
        <f t="shared" si="119"/>
        <v>475</v>
      </c>
      <c r="K395" s="37" t="str">
        <f t="shared" si="119"/>
        <v>-</v>
      </c>
      <c r="L395" s="197">
        <f t="shared" si="119"/>
        <v>44270</v>
      </c>
    </row>
    <row r="396" spans="1:12" s="374" customFormat="1" x14ac:dyDescent="0.2">
      <c r="A396" s="402">
        <v>2013</v>
      </c>
      <c r="B396" s="37" t="str">
        <f t="shared" ref="B396:L396" si="120">B230</f>
        <v>-</v>
      </c>
      <c r="C396" s="37" t="str">
        <f t="shared" si="120"/>
        <v>-</v>
      </c>
      <c r="D396" s="37">
        <f t="shared" si="120"/>
        <v>12262</v>
      </c>
      <c r="E396" s="37">
        <f t="shared" si="120"/>
        <v>5698</v>
      </c>
      <c r="F396" s="37">
        <f t="shared" si="120"/>
        <v>3613</v>
      </c>
      <c r="G396" s="37">
        <f t="shared" si="120"/>
        <v>6210</v>
      </c>
      <c r="H396" s="37">
        <f t="shared" si="120"/>
        <v>2582</v>
      </c>
      <c r="I396" s="37">
        <f t="shared" si="120"/>
        <v>282</v>
      </c>
      <c r="J396" s="37">
        <f t="shared" si="120"/>
        <v>22</v>
      </c>
      <c r="K396" s="37" t="str">
        <f t="shared" si="120"/>
        <v>-</v>
      </c>
      <c r="L396" s="197">
        <f t="shared" si="120"/>
        <v>30669</v>
      </c>
    </row>
    <row r="397" spans="1:12" s="374" customFormat="1" x14ac:dyDescent="0.2">
      <c r="A397" s="402">
        <v>2014</v>
      </c>
      <c r="B397" s="37" t="str">
        <f t="shared" ref="B397:L397" si="121">B231</f>
        <v>-</v>
      </c>
      <c r="C397" s="37" t="str">
        <f t="shared" si="121"/>
        <v>-</v>
      </c>
      <c r="D397" s="37">
        <f t="shared" si="121"/>
        <v>15744</v>
      </c>
      <c r="E397" s="37">
        <f t="shared" si="121"/>
        <v>3745</v>
      </c>
      <c r="F397" s="37">
        <f t="shared" si="121"/>
        <v>2974</v>
      </c>
      <c r="G397" s="37">
        <f t="shared" si="121"/>
        <v>2678</v>
      </c>
      <c r="H397" s="37">
        <f t="shared" si="121"/>
        <v>1841</v>
      </c>
      <c r="I397" s="37">
        <f t="shared" si="121"/>
        <v>481</v>
      </c>
      <c r="J397" s="37">
        <f t="shared" si="121"/>
        <v>45</v>
      </c>
      <c r="K397" s="37" t="str">
        <f t="shared" si="121"/>
        <v>-</v>
      </c>
      <c r="L397" s="197">
        <f t="shared" si="121"/>
        <v>27508</v>
      </c>
    </row>
    <row r="398" spans="1:12" s="374" customFormat="1" x14ac:dyDescent="0.2">
      <c r="A398" s="122">
        <v>2015</v>
      </c>
      <c r="B398" s="37" t="str">
        <f t="shared" ref="B398:L398" si="122">B232</f>
        <v>-</v>
      </c>
      <c r="C398" s="37" t="str">
        <f t="shared" si="122"/>
        <v>-</v>
      </c>
      <c r="D398" s="37">
        <f t="shared" si="122"/>
        <v>7654</v>
      </c>
      <c r="E398" s="37">
        <f t="shared" si="122"/>
        <v>3372</v>
      </c>
      <c r="F398" s="37">
        <f t="shared" si="122"/>
        <v>2419</v>
      </c>
      <c r="G398" s="37">
        <f t="shared" si="122"/>
        <v>1391</v>
      </c>
      <c r="H398" s="37">
        <f t="shared" si="122"/>
        <v>317</v>
      </c>
      <c r="I398" s="37">
        <f t="shared" si="122"/>
        <v>32</v>
      </c>
      <c r="J398" s="37" t="str">
        <f t="shared" si="122"/>
        <v>-</v>
      </c>
      <c r="K398" s="37" t="str">
        <f t="shared" si="122"/>
        <v>-</v>
      </c>
      <c r="L398" s="197">
        <f t="shared" si="122"/>
        <v>15185</v>
      </c>
    </row>
    <row r="399" spans="1:12" s="374" customFormat="1" x14ac:dyDescent="0.2">
      <c r="A399" s="122">
        <v>2016</v>
      </c>
      <c r="B399" s="37" t="str">
        <f t="shared" ref="B399:L399" si="123">B233</f>
        <v>-</v>
      </c>
      <c r="C399" s="37" t="str">
        <f t="shared" si="123"/>
        <v>-</v>
      </c>
      <c r="D399" s="37">
        <f t="shared" si="123"/>
        <v>4503</v>
      </c>
      <c r="E399" s="37">
        <f t="shared" si="123"/>
        <v>2624</v>
      </c>
      <c r="F399" s="37">
        <f t="shared" si="123"/>
        <v>484</v>
      </c>
      <c r="G399" s="37">
        <f t="shared" si="123"/>
        <v>150</v>
      </c>
      <c r="H399" s="37" t="str">
        <f t="shared" si="123"/>
        <v>-</v>
      </c>
      <c r="I399" s="37" t="str">
        <f t="shared" si="123"/>
        <v>-</v>
      </c>
      <c r="J399" s="37" t="str">
        <f t="shared" si="123"/>
        <v>-</v>
      </c>
      <c r="K399" s="37" t="str">
        <f t="shared" si="123"/>
        <v>-</v>
      </c>
      <c r="L399" s="197">
        <f t="shared" si="123"/>
        <v>7761</v>
      </c>
    </row>
    <row r="400" spans="1:12" s="374" customFormat="1" x14ac:dyDescent="0.2">
      <c r="A400" s="122">
        <v>2017</v>
      </c>
      <c r="B400" s="37" t="str">
        <f t="shared" ref="B400:L400" si="124">B234</f>
        <v>-</v>
      </c>
      <c r="C400" s="37" t="str">
        <f t="shared" si="124"/>
        <v>-</v>
      </c>
      <c r="D400" s="37">
        <f t="shared" si="124"/>
        <v>8232</v>
      </c>
      <c r="E400" s="37">
        <f t="shared" si="124"/>
        <v>2234</v>
      </c>
      <c r="F400" s="37">
        <f t="shared" si="124"/>
        <v>1145</v>
      </c>
      <c r="G400" s="37">
        <f t="shared" si="124"/>
        <v>3459</v>
      </c>
      <c r="H400" s="37" t="str">
        <f t="shared" si="124"/>
        <v>-</v>
      </c>
      <c r="I400" s="37" t="str">
        <f t="shared" si="124"/>
        <v>-</v>
      </c>
      <c r="J400" s="37" t="str">
        <f t="shared" si="124"/>
        <v>-</v>
      </c>
      <c r="K400" s="37" t="str">
        <f t="shared" si="124"/>
        <v>-</v>
      </c>
      <c r="L400" s="197">
        <f t="shared" si="124"/>
        <v>15070</v>
      </c>
    </row>
    <row r="401" spans="1:12" s="374" customFormat="1" x14ac:dyDescent="0.2">
      <c r="A401" s="122">
        <v>2018</v>
      </c>
      <c r="B401" s="37" t="str">
        <f t="shared" ref="B401:L401" si="125">B235</f>
        <v>-</v>
      </c>
      <c r="C401" s="37" t="str">
        <f t="shared" si="125"/>
        <v>-</v>
      </c>
      <c r="D401" s="37">
        <f t="shared" si="125"/>
        <v>8140</v>
      </c>
      <c r="E401" s="37">
        <f t="shared" si="125"/>
        <v>2021</v>
      </c>
      <c r="F401" s="37">
        <f t="shared" si="125"/>
        <v>3244</v>
      </c>
      <c r="G401" s="37">
        <f t="shared" si="125"/>
        <v>514</v>
      </c>
      <c r="H401" s="37" t="str">
        <f t="shared" si="125"/>
        <v>-</v>
      </c>
      <c r="I401" s="37" t="str">
        <f t="shared" si="125"/>
        <v>-</v>
      </c>
      <c r="J401" s="37" t="str">
        <f t="shared" si="125"/>
        <v>-</v>
      </c>
      <c r="K401" s="37" t="str">
        <f t="shared" si="125"/>
        <v>-</v>
      </c>
      <c r="L401" s="197">
        <f t="shared" si="125"/>
        <v>13919</v>
      </c>
    </row>
    <row r="402" spans="1:12" s="487" customFormat="1" x14ac:dyDescent="0.2">
      <c r="A402" s="496" t="s">
        <v>398</v>
      </c>
      <c r="B402" s="37" t="str">
        <f t="shared" ref="B402:L403" si="126">B236</f>
        <v>-</v>
      </c>
      <c r="C402" s="37" t="str">
        <f t="shared" si="126"/>
        <v>-</v>
      </c>
      <c r="D402" s="37">
        <f t="shared" si="126"/>
        <v>13537</v>
      </c>
      <c r="E402" s="37">
        <f t="shared" si="126"/>
        <v>3801</v>
      </c>
      <c r="F402" s="37">
        <f t="shared" si="126"/>
        <v>4471</v>
      </c>
      <c r="G402" s="37">
        <f t="shared" si="126"/>
        <v>4360</v>
      </c>
      <c r="H402" s="37">
        <f t="shared" si="126"/>
        <v>4163</v>
      </c>
      <c r="I402" s="37" t="str">
        <f t="shared" si="126"/>
        <v>-</v>
      </c>
      <c r="J402" s="37" t="str">
        <f t="shared" si="126"/>
        <v>-</v>
      </c>
      <c r="K402" s="37" t="str">
        <f t="shared" si="126"/>
        <v>-</v>
      </c>
      <c r="L402" s="197">
        <f t="shared" si="126"/>
        <v>30332</v>
      </c>
    </row>
    <row r="403" spans="1:12" x14ac:dyDescent="0.2">
      <c r="A403" s="496" t="s">
        <v>399</v>
      </c>
      <c r="B403" s="24" t="str">
        <f t="shared" si="126"/>
        <v>-</v>
      </c>
      <c r="C403" s="24" t="str">
        <f t="shared" si="126"/>
        <v>-</v>
      </c>
      <c r="D403" s="24" t="str">
        <f t="shared" si="126"/>
        <v>-</v>
      </c>
      <c r="E403" s="24" t="str">
        <f t="shared" si="126"/>
        <v>--</v>
      </c>
      <c r="F403" s="24" t="str">
        <f t="shared" si="126"/>
        <v>--</v>
      </c>
      <c r="G403" s="24">
        <f t="shared" si="126"/>
        <v>3437</v>
      </c>
      <c r="H403" s="24">
        <f t="shared" si="126"/>
        <v>641</v>
      </c>
      <c r="I403" s="24">
        <f t="shared" si="126"/>
        <v>138</v>
      </c>
      <c r="J403" s="24">
        <f t="shared" si="126"/>
        <v>12</v>
      </c>
      <c r="K403" s="24" t="str">
        <f t="shared" si="126"/>
        <v>-</v>
      </c>
      <c r="L403" s="193">
        <f t="shared" si="126"/>
        <v>4228</v>
      </c>
    </row>
    <row r="404" spans="1:12" x14ac:dyDescent="0.2">
      <c r="B404" s="24"/>
      <c r="C404" s="24"/>
      <c r="D404" s="24"/>
      <c r="E404" s="24"/>
      <c r="F404" s="24"/>
      <c r="G404" s="24"/>
      <c r="H404" s="24"/>
      <c r="I404" s="24"/>
      <c r="J404" s="24"/>
      <c r="K404" s="24"/>
    </row>
    <row r="405" spans="1:12" x14ac:dyDescent="0.2">
      <c r="A405" s="419" t="str">
        <f>A239</f>
        <v>Total Statewide</v>
      </c>
      <c r="B405" s="24"/>
      <c r="C405" s="24"/>
      <c r="D405" s="24"/>
      <c r="E405" s="24"/>
      <c r="F405" s="24"/>
      <c r="G405" s="24"/>
      <c r="H405" s="24"/>
      <c r="I405" s="24"/>
      <c r="J405" s="24"/>
      <c r="K405" s="24"/>
    </row>
    <row r="406" spans="1:12" x14ac:dyDescent="0.2">
      <c r="A406" s="383" t="s">
        <v>87</v>
      </c>
      <c r="B406" s="24">
        <f t="shared" ref="B406:L406" si="127">AVERAGE(B250:B254)</f>
        <v>8272.4</v>
      </c>
      <c r="C406" s="24">
        <f t="shared" si="127"/>
        <v>17094.400000000001</v>
      </c>
      <c r="D406" s="24">
        <f t="shared" si="127"/>
        <v>24033.599999999999</v>
      </c>
      <c r="E406" s="24">
        <f t="shared" si="127"/>
        <v>16896.2</v>
      </c>
      <c r="F406" s="24">
        <f t="shared" si="127"/>
        <v>44266.2</v>
      </c>
      <c r="G406" s="24">
        <f t="shared" si="127"/>
        <v>74160.2</v>
      </c>
      <c r="H406" s="24">
        <f t="shared" si="127"/>
        <v>36515</v>
      </c>
      <c r="I406" s="24">
        <f t="shared" si="127"/>
        <v>12837</v>
      </c>
      <c r="J406" s="24">
        <f t="shared" si="127"/>
        <v>5028.8</v>
      </c>
      <c r="K406" s="24">
        <f t="shared" si="127"/>
        <v>1562.8</v>
      </c>
      <c r="L406" s="193">
        <f t="shared" si="127"/>
        <v>240666.6</v>
      </c>
    </row>
    <row r="407" spans="1:12" x14ac:dyDescent="0.2">
      <c r="A407" s="383" t="s">
        <v>14</v>
      </c>
      <c r="B407" s="24">
        <f t="shared" ref="B407:L407" si="128">AVERAGE(B255:B259)</f>
        <v>1262.5999999999999</v>
      </c>
      <c r="C407" s="24">
        <f t="shared" si="128"/>
        <v>15053.8</v>
      </c>
      <c r="D407" s="24">
        <f t="shared" si="128"/>
        <v>23079</v>
      </c>
      <c r="E407" s="24">
        <f t="shared" si="128"/>
        <v>25264.2</v>
      </c>
      <c r="F407" s="24">
        <f t="shared" si="128"/>
        <v>38142.6</v>
      </c>
      <c r="G407" s="24">
        <f t="shared" si="128"/>
        <v>62125.2</v>
      </c>
      <c r="H407" s="24">
        <f t="shared" si="128"/>
        <v>30137.200000000001</v>
      </c>
      <c r="I407" s="24">
        <f t="shared" si="128"/>
        <v>14806.6</v>
      </c>
      <c r="J407" s="24">
        <f t="shared" si="128"/>
        <v>5943.2</v>
      </c>
      <c r="K407" s="24">
        <f t="shared" si="128"/>
        <v>302.33333333333331</v>
      </c>
      <c r="L407" s="193">
        <f t="shared" si="128"/>
        <v>215995.8</v>
      </c>
    </row>
    <row r="408" spans="1:12" x14ac:dyDescent="0.2">
      <c r="A408" s="383" t="s">
        <v>207</v>
      </c>
      <c r="B408" s="24">
        <f t="shared" ref="B408:L408" si="129">AVERAGE(B260:B264)</f>
        <v>31.5</v>
      </c>
      <c r="C408" s="24">
        <f t="shared" si="129"/>
        <v>17926.75</v>
      </c>
      <c r="D408" s="24">
        <f t="shared" si="129"/>
        <v>25245</v>
      </c>
      <c r="E408" s="24">
        <f t="shared" si="129"/>
        <v>23877.8</v>
      </c>
      <c r="F408" s="24">
        <f t="shared" si="129"/>
        <v>38002.199999999997</v>
      </c>
      <c r="G408" s="24">
        <f t="shared" si="129"/>
        <v>46084</v>
      </c>
      <c r="H408" s="24">
        <f t="shared" si="129"/>
        <v>31995.4</v>
      </c>
      <c r="I408" s="24">
        <f t="shared" si="129"/>
        <v>10517</v>
      </c>
      <c r="J408" s="24">
        <f t="shared" si="129"/>
        <v>4144</v>
      </c>
      <c r="K408" s="24">
        <f t="shared" si="129"/>
        <v>915.5</v>
      </c>
      <c r="L408" s="193">
        <f t="shared" si="129"/>
        <v>194585.60000000001</v>
      </c>
    </row>
    <row r="409" spans="1:12" x14ac:dyDescent="0.2">
      <c r="A409" s="383" t="s">
        <v>238</v>
      </c>
      <c r="B409" s="24">
        <f>AVERAGE(B265:B269)</f>
        <v>463.25</v>
      </c>
      <c r="C409" s="24">
        <f>AVERAGE(C265:C269)</f>
        <v>2645.4</v>
      </c>
      <c r="D409" s="24">
        <f>AVERAGE(D265:D269)</f>
        <v>27879</v>
      </c>
      <c r="E409" s="24">
        <f>AVERAGE(E265:E269)</f>
        <v>26158.400000000001</v>
      </c>
      <c r="F409" s="24">
        <f t="shared" ref="F409:L409" si="130">AVERAGE(F265:F269)</f>
        <v>29796</v>
      </c>
      <c r="G409" s="24">
        <f t="shared" si="130"/>
        <v>45025.8</v>
      </c>
      <c r="H409" s="24">
        <f t="shared" si="130"/>
        <v>30779.4</v>
      </c>
      <c r="I409" s="24">
        <f t="shared" si="130"/>
        <v>12176</v>
      </c>
      <c r="J409" s="24">
        <f t="shared" si="130"/>
        <v>4148.3999999999996</v>
      </c>
      <c r="K409" s="24">
        <f t="shared" si="130"/>
        <v>1148.4000000000001</v>
      </c>
      <c r="L409" s="193">
        <f t="shared" si="130"/>
        <v>178398.4</v>
      </c>
    </row>
    <row r="410" spans="1:12" x14ac:dyDescent="0.2">
      <c r="A410" s="383">
        <v>2006</v>
      </c>
      <c r="B410" s="24">
        <f t="shared" ref="B410:L410" si="131">B270</f>
        <v>289</v>
      </c>
      <c r="C410" s="24">
        <f t="shared" si="131"/>
        <v>298</v>
      </c>
      <c r="D410" s="24">
        <f t="shared" si="131"/>
        <v>19198</v>
      </c>
      <c r="E410" s="24">
        <f t="shared" si="131"/>
        <v>21404</v>
      </c>
      <c r="F410" s="24">
        <f t="shared" si="131"/>
        <v>31338</v>
      </c>
      <c r="G410" s="24">
        <f t="shared" si="131"/>
        <v>34163</v>
      </c>
      <c r="H410" s="24">
        <f t="shared" si="131"/>
        <v>9684</v>
      </c>
      <c r="I410" s="24">
        <f t="shared" si="131"/>
        <v>7857</v>
      </c>
      <c r="J410" s="24">
        <f t="shared" si="131"/>
        <v>1827</v>
      </c>
      <c r="K410" s="24">
        <f t="shared" si="131"/>
        <v>448</v>
      </c>
      <c r="L410" s="197">
        <f t="shared" si="131"/>
        <v>126506</v>
      </c>
    </row>
    <row r="411" spans="1:12" s="374" customFormat="1" x14ac:dyDescent="0.2">
      <c r="A411" s="402">
        <v>2007</v>
      </c>
      <c r="B411" s="37">
        <f t="shared" ref="B411:L411" si="132">B271</f>
        <v>249</v>
      </c>
      <c r="C411" s="37">
        <f t="shared" si="132"/>
        <v>855</v>
      </c>
      <c r="D411" s="37">
        <f t="shared" si="132"/>
        <v>15043</v>
      </c>
      <c r="E411" s="37">
        <f t="shared" si="132"/>
        <v>15311</v>
      </c>
      <c r="F411" s="37">
        <f t="shared" si="132"/>
        <v>25091</v>
      </c>
      <c r="G411" s="37">
        <f t="shared" si="132"/>
        <v>27489</v>
      </c>
      <c r="H411" s="37">
        <f t="shared" si="132"/>
        <v>13969</v>
      </c>
      <c r="I411" s="37">
        <f t="shared" si="132"/>
        <v>4671</v>
      </c>
      <c r="J411" s="37">
        <f t="shared" si="132"/>
        <v>1817</v>
      </c>
      <c r="K411" s="37">
        <f t="shared" si="132"/>
        <v>1394</v>
      </c>
      <c r="L411" s="197">
        <f t="shared" si="132"/>
        <v>105889</v>
      </c>
    </row>
    <row r="412" spans="1:12" s="374" customFormat="1" x14ac:dyDescent="0.2">
      <c r="A412" s="402">
        <v>2008</v>
      </c>
      <c r="B412" s="37">
        <f t="shared" ref="B412:L412" si="133">B272</f>
        <v>206</v>
      </c>
      <c r="C412" s="37">
        <f t="shared" si="133"/>
        <v>185</v>
      </c>
      <c r="D412" s="37" t="str">
        <f t="shared" si="133"/>
        <v>-</v>
      </c>
      <c r="E412" s="37" t="str">
        <f t="shared" si="133"/>
        <v>-</v>
      </c>
      <c r="F412" s="37" t="str">
        <f t="shared" si="133"/>
        <v>-</v>
      </c>
      <c r="G412" s="37" t="str">
        <f t="shared" si="133"/>
        <v>-</v>
      </c>
      <c r="H412" s="37" t="str">
        <f t="shared" si="133"/>
        <v>-</v>
      </c>
      <c r="I412" s="37" t="str">
        <f t="shared" si="133"/>
        <v>-</v>
      </c>
      <c r="J412" s="37" t="str">
        <f t="shared" si="133"/>
        <v>-</v>
      </c>
      <c r="K412" s="37" t="str">
        <f t="shared" si="133"/>
        <v>-</v>
      </c>
      <c r="L412" s="197">
        <f t="shared" si="133"/>
        <v>391</v>
      </c>
    </row>
    <row r="413" spans="1:12" s="374" customFormat="1" x14ac:dyDescent="0.2">
      <c r="A413" s="402">
        <v>2009</v>
      </c>
      <c r="B413" s="37" t="str">
        <f t="shared" ref="B413:L413" si="134">B273</f>
        <v>-</v>
      </c>
      <c r="C413" s="37" t="str">
        <f t="shared" si="134"/>
        <v>-</v>
      </c>
      <c r="D413" s="37" t="str">
        <f t="shared" si="134"/>
        <v>-</v>
      </c>
      <c r="E413" s="37" t="str">
        <f t="shared" si="134"/>
        <v>-</v>
      </c>
      <c r="F413" s="37" t="str">
        <f t="shared" si="134"/>
        <v>-</v>
      </c>
      <c r="G413" s="37" t="str">
        <f t="shared" si="134"/>
        <v>-</v>
      </c>
      <c r="H413" s="37">
        <f t="shared" si="134"/>
        <v>2515</v>
      </c>
      <c r="I413" s="37">
        <f t="shared" si="134"/>
        <v>2844</v>
      </c>
      <c r="J413" s="37" t="str">
        <f t="shared" si="134"/>
        <v>-</v>
      </c>
      <c r="K413" s="37" t="str">
        <f t="shared" si="134"/>
        <v>-</v>
      </c>
      <c r="L413" s="197">
        <f t="shared" si="134"/>
        <v>5359</v>
      </c>
    </row>
    <row r="414" spans="1:12" s="374" customFormat="1" x14ac:dyDescent="0.2">
      <c r="A414" s="122">
        <v>2010</v>
      </c>
      <c r="B414" s="37" t="str">
        <f t="shared" ref="B414:L414" si="135">B274</f>
        <v>-</v>
      </c>
      <c r="C414" s="37" t="str">
        <f t="shared" si="135"/>
        <v>-</v>
      </c>
      <c r="D414" s="37">
        <f t="shared" si="135"/>
        <v>16774</v>
      </c>
      <c r="E414" s="37">
        <f t="shared" si="135"/>
        <v>7306</v>
      </c>
      <c r="F414" s="37">
        <f t="shared" si="135"/>
        <v>3412</v>
      </c>
      <c r="G414" s="37">
        <f t="shared" si="135"/>
        <v>9255</v>
      </c>
      <c r="H414" s="37">
        <f t="shared" si="135"/>
        <v>9757</v>
      </c>
      <c r="I414" s="37">
        <f t="shared" si="135"/>
        <v>2163</v>
      </c>
      <c r="J414" s="37" t="str">
        <f t="shared" si="135"/>
        <v>-</v>
      </c>
      <c r="K414" s="37" t="str">
        <f t="shared" si="135"/>
        <v>-</v>
      </c>
      <c r="L414" s="197">
        <f t="shared" si="135"/>
        <v>48667</v>
      </c>
    </row>
    <row r="415" spans="1:12" s="374" customFormat="1" x14ac:dyDescent="0.2">
      <c r="A415" s="402">
        <v>2011</v>
      </c>
      <c r="B415" s="37" t="str">
        <f t="shared" ref="B415:L415" si="136">B275</f>
        <v>-</v>
      </c>
      <c r="C415" s="37" t="str">
        <f t="shared" si="136"/>
        <v>-</v>
      </c>
      <c r="D415" s="37">
        <f t="shared" si="136"/>
        <v>15565</v>
      </c>
      <c r="E415" s="37">
        <f t="shared" si="136"/>
        <v>7794</v>
      </c>
      <c r="F415" s="37">
        <f t="shared" si="136"/>
        <v>9615</v>
      </c>
      <c r="G415" s="37">
        <f t="shared" si="136"/>
        <v>25170</v>
      </c>
      <c r="H415" s="37">
        <f t="shared" si="136"/>
        <v>19169</v>
      </c>
      <c r="I415" s="37">
        <f t="shared" si="136"/>
        <v>10932</v>
      </c>
      <c r="J415" s="37">
        <f t="shared" si="136"/>
        <v>3431</v>
      </c>
      <c r="K415" s="37" t="str">
        <f t="shared" si="136"/>
        <v>-</v>
      </c>
      <c r="L415" s="197">
        <f t="shared" si="136"/>
        <v>91676</v>
      </c>
    </row>
    <row r="416" spans="1:12" s="374" customFormat="1" x14ac:dyDescent="0.2">
      <c r="A416" s="402">
        <v>2012</v>
      </c>
      <c r="B416" s="37" t="str">
        <f t="shared" ref="B416:L416" si="137">B276</f>
        <v>-</v>
      </c>
      <c r="C416" s="37" t="str">
        <f t="shared" si="137"/>
        <v>-</v>
      </c>
      <c r="D416" s="37">
        <f t="shared" si="137"/>
        <v>21466</v>
      </c>
      <c r="E416" s="37">
        <f t="shared" si="137"/>
        <v>21212</v>
      </c>
      <c r="F416" s="37">
        <f t="shared" si="137"/>
        <v>29506</v>
      </c>
      <c r="G416" s="37">
        <f t="shared" si="137"/>
        <v>38384</v>
      </c>
      <c r="H416" s="37">
        <f t="shared" si="137"/>
        <v>22993</v>
      </c>
      <c r="I416" s="37">
        <f t="shared" si="137"/>
        <v>10289</v>
      </c>
      <c r="J416" s="37">
        <f t="shared" si="137"/>
        <v>3588</v>
      </c>
      <c r="K416" s="37">
        <f t="shared" si="137"/>
        <v>569</v>
      </c>
      <c r="L416" s="197">
        <f t="shared" si="137"/>
        <v>148007</v>
      </c>
    </row>
    <row r="417" spans="1:12" s="374" customFormat="1" x14ac:dyDescent="0.2">
      <c r="A417" s="402">
        <v>2013</v>
      </c>
      <c r="B417" s="37" t="str">
        <f t="shared" ref="B417:L417" si="138">B277</f>
        <v>-</v>
      </c>
      <c r="C417" s="37" t="str">
        <f t="shared" si="138"/>
        <v>-</v>
      </c>
      <c r="D417" s="37">
        <f t="shared" si="138"/>
        <v>19602</v>
      </c>
      <c r="E417" s="37">
        <f t="shared" si="138"/>
        <v>18399</v>
      </c>
      <c r="F417" s="37">
        <f t="shared" si="138"/>
        <v>26829</v>
      </c>
      <c r="G417" s="37">
        <f t="shared" si="138"/>
        <v>45416</v>
      </c>
      <c r="H417" s="37">
        <f t="shared" si="138"/>
        <v>28244</v>
      </c>
      <c r="I417" s="37">
        <f t="shared" si="138"/>
        <v>6135</v>
      </c>
      <c r="J417" s="37">
        <f t="shared" si="138"/>
        <v>2245</v>
      </c>
      <c r="K417" s="37">
        <f t="shared" si="138"/>
        <v>426</v>
      </c>
      <c r="L417" s="197">
        <f t="shared" si="138"/>
        <v>147296</v>
      </c>
    </row>
    <row r="418" spans="1:12" s="374" customFormat="1" x14ac:dyDescent="0.2">
      <c r="A418" s="402">
        <v>2014</v>
      </c>
      <c r="B418" s="37" t="str">
        <f t="shared" ref="B418:L418" si="139">B278</f>
        <v>-</v>
      </c>
      <c r="C418" s="37" t="str">
        <f t="shared" si="139"/>
        <v>-</v>
      </c>
      <c r="D418" s="37">
        <f t="shared" si="139"/>
        <v>20226</v>
      </c>
      <c r="E418" s="37">
        <f t="shared" si="139"/>
        <v>12673</v>
      </c>
      <c r="F418" s="37">
        <f t="shared" si="139"/>
        <v>12618</v>
      </c>
      <c r="G418" s="37">
        <f t="shared" si="139"/>
        <v>31058</v>
      </c>
      <c r="H418" s="37">
        <f t="shared" si="139"/>
        <v>26751</v>
      </c>
      <c r="I418" s="37">
        <f t="shared" si="139"/>
        <v>11065</v>
      </c>
      <c r="J418" s="37">
        <f t="shared" si="139"/>
        <v>5193</v>
      </c>
      <c r="K418" s="37">
        <f t="shared" si="139"/>
        <v>723</v>
      </c>
      <c r="L418" s="197">
        <f t="shared" si="139"/>
        <v>120307</v>
      </c>
    </row>
    <row r="419" spans="1:12" s="374" customFormat="1" x14ac:dyDescent="0.2">
      <c r="A419" s="122">
        <v>2015</v>
      </c>
      <c r="B419" s="37" t="str">
        <f t="shared" ref="B419:L419" si="140">B279</f>
        <v>-</v>
      </c>
      <c r="C419" s="37" t="str">
        <f t="shared" si="140"/>
        <v>-</v>
      </c>
      <c r="D419" s="37">
        <f t="shared" si="140"/>
        <v>11085</v>
      </c>
      <c r="E419" s="37">
        <f t="shared" si="140"/>
        <v>10042</v>
      </c>
      <c r="F419" s="37">
        <f t="shared" si="140"/>
        <v>10465</v>
      </c>
      <c r="G419" s="37">
        <f t="shared" si="140"/>
        <v>18726</v>
      </c>
      <c r="H419" s="37">
        <f t="shared" si="140"/>
        <v>17471</v>
      </c>
      <c r="I419" s="37">
        <f t="shared" si="140"/>
        <v>10501</v>
      </c>
      <c r="J419" s="37">
        <f t="shared" si="140"/>
        <v>3483</v>
      </c>
      <c r="K419" s="37">
        <f t="shared" si="140"/>
        <v>5</v>
      </c>
      <c r="L419" s="197">
        <f t="shared" si="140"/>
        <v>81778</v>
      </c>
    </row>
    <row r="420" spans="1:12" s="374" customFormat="1" x14ac:dyDescent="0.2">
      <c r="A420" s="122">
        <v>2016</v>
      </c>
      <c r="B420" s="37" t="str">
        <f t="shared" ref="B420:L420" si="141">B280</f>
        <v>-</v>
      </c>
      <c r="C420" s="37" t="str">
        <f t="shared" si="141"/>
        <v>-</v>
      </c>
      <c r="D420" s="37">
        <f t="shared" si="141"/>
        <v>8006</v>
      </c>
      <c r="E420" s="37">
        <f t="shared" si="141"/>
        <v>9919</v>
      </c>
      <c r="F420" s="37">
        <f t="shared" si="141"/>
        <v>6439</v>
      </c>
      <c r="G420" s="37">
        <f t="shared" si="141"/>
        <v>19077</v>
      </c>
      <c r="H420" s="37">
        <f t="shared" si="141"/>
        <v>15132</v>
      </c>
      <c r="I420" s="37">
        <f t="shared" si="141"/>
        <v>9160</v>
      </c>
      <c r="J420" s="37">
        <f t="shared" si="141"/>
        <v>2366</v>
      </c>
      <c r="K420" s="37">
        <f t="shared" si="141"/>
        <v>0</v>
      </c>
      <c r="L420" s="197">
        <f t="shared" si="141"/>
        <v>70099</v>
      </c>
    </row>
    <row r="421" spans="1:12" s="374" customFormat="1" x14ac:dyDescent="0.2">
      <c r="A421" s="122">
        <v>2017</v>
      </c>
      <c r="B421" s="37" t="str">
        <f t="shared" ref="B421:L421" si="142">B281</f>
        <v>-</v>
      </c>
      <c r="C421" s="37" t="str">
        <f t="shared" si="142"/>
        <v>-</v>
      </c>
      <c r="D421" s="37">
        <f t="shared" si="142"/>
        <v>10105</v>
      </c>
      <c r="E421" s="37">
        <f t="shared" si="142"/>
        <v>5000</v>
      </c>
      <c r="F421" s="37">
        <f t="shared" si="142"/>
        <v>6574</v>
      </c>
      <c r="G421" s="37">
        <f t="shared" si="142"/>
        <v>22590</v>
      </c>
      <c r="H421" s="37">
        <f t="shared" si="142"/>
        <v>19358</v>
      </c>
      <c r="I421" s="37">
        <f t="shared" si="142"/>
        <v>8496</v>
      </c>
      <c r="J421" s="37">
        <f t="shared" si="142"/>
        <v>1851</v>
      </c>
      <c r="K421" s="37">
        <f t="shared" si="142"/>
        <v>0</v>
      </c>
      <c r="L421" s="197">
        <f t="shared" si="142"/>
        <v>73974</v>
      </c>
    </row>
    <row r="422" spans="1:12" s="374" customFormat="1" x14ac:dyDescent="0.2">
      <c r="A422" s="122">
        <v>2018</v>
      </c>
      <c r="B422" s="37" t="str">
        <f t="shared" ref="B422:L422" si="143">B282</f>
        <v>-</v>
      </c>
      <c r="C422" s="37" t="str">
        <f t="shared" si="143"/>
        <v>-</v>
      </c>
      <c r="D422" s="37">
        <f t="shared" si="143"/>
        <v>8140</v>
      </c>
      <c r="E422" s="37">
        <f t="shared" si="143"/>
        <v>2021</v>
      </c>
      <c r="F422" s="37">
        <f t="shared" si="143"/>
        <v>14953</v>
      </c>
      <c r="G422" s="37">
        <f t="shared" si="143"/>
        <v>37011</v>
      </c>
      <c r="H422" s="37">
        <f t="shared" si="143"/>
        <v>20393</v>
      </c>
      <c r="I422" s="37">
        <f t="shared" si="143"/>
        <v>9035</v>
      </c>
      <c r="J422" s="37">
        <f t="shared" si="143"/>
        <v>5072</v>
      </c>
      <c r="K422" s="37" t="str">
        <f t="shared" si="143"/>
        <v>-</v>
      </c>
      <c r="L422" s="197">
        <f t="shared" si="143"/>
        <v>96625</v>
      </c>
    </row>
    <row r="423" spans="1:12" s="487" customFormat="1" x14ac:dyDescent="0.2">
      <c r="A423" s="496" t="s">
        <v>398</v>
      </c>
      <c r="B423" s="37" t="str">
        <f t="shared" ref="B423:L424" si="144">B283</f>
        <v>-</v>
      </c>
      <c r="C423" s="37" t="str">
        <f t="shared" si="144"/>
        <v>-</v>
      </c>
      <c r="D423" s="37">
        <f t="shared" si="144"/>
        <v>17350</v>
      </c>
      <c r="E423" s="37">
        <f t="shared" si="144"/>
        <v>5943</v>
      </c>
      <c r="F423" s="37">
        <f t="shared" si="144"/>
        <v>20911</v>
      </c>
      <c r="G423" s="37">
        <f t="shared" si="144"/>
        <v>25746</v>
      </c>
      <c r="H423" s="37">
        <f t="shared" si="144"/>
        <v>24892</v>
      </c>
      <c r="I423" s="37">
        <f t="shared" si="144"/>
        <v>7048</v>
      </c>
      <c r="J423" s="37">
        <f t="shared" si="144"/>
        <v>1821</v>
      </c>
      <c r="K423" s="37" t="str">
        <f t="shared" si="144"/>
        <v>-</v>
      </c>
      <c r="L423" s="197">
        <f t="shared" si="144"/>
        <v>103711</v>
      </c>
    </row>
    <row r="424" spans="1:12" x14ac:dyDescent="0.2">
      <c r="A424" s="496" t="s">
        <v>399</v>
      </c>
      <c r="B424" s="24" t="str">
        <f t="shared" si="144"/>
        <v>-</v>
      </c>
      <c r="C424" s="24" t="str">
        <f t="shared" si="144"/>
        <v>-</v>
      </c>
      <c r="D424" s="24" t="str">
        <f t="shared" si="144"/>
        <v>-</v>
      </c>
      <c r="E424" s="24" t="str">
        <f t="shared" si="144"/>
        <v>--</v>
      </c>
      <c r="F424" s="24" t="str">
        <f t="shared" si="144"/>
        <v>--</v>
      </c>
      <c r="G424" s="24">
        <f t="shared" si="144"/>
        <v>29583</v>
      </c>
      <c r="H424" s="24">
        <f t="shared" si="144"/>
        <v>17895</v>
      </c>
      <c r="I424" s="24">
        <f t="shared" si="144"/>
        <v>7703</v>
      </c>
      <c r="J424" s="24">
        <f t="shared" si="144"/>
        <v>4123</v>
      </c>
      <c r="K424" s="24">
        <f t="shared" si="144"/>
        <v>127</v>
      </c>
      <c r="L424" s="32">
        <f t="shared" si="144"/>
        <v>59431</v>
      </c>
    </row>
    <row r="425" spans="1:12" x14ac:dyDescent="0.2">
      <c r="A425" s="518" t="str">
        <f>A285</f>
        <v>a/  Preliminary.</v>
      </c>
      <c r="B425" s="518"/>
      <c r="C425" s="518"/>
      <c r="D425" s="518"/>
      <c r="E425" s="518"/>
      <c r="F425" s="518"/>
      <c r="G425" s="518"/>
      <c r="H425" s="518"/>
      <c r="I425" s="518"/>
      <c r="J425" s="518"/>
      <c r="K425" s="518"/>
      <c r="L425" s="518"/>
    </row>
    <row r="426" spans="1:12" x14ac:dyDescent="0.2">
      <c r="A426" s="527" t="s">
        <v>400</v>
      </c>
      <c r="B426" s="527"/>
      <c r="C426" s="527"/>
      <c r="D426" s="527"/>
      <c r="E426" s="527"/>
      <c r="F426" s="527"/>
      <c r="G426" s="527"/>
      <c r="H426" s="527"/>
      <c r="I426" s="527"/>
      <c r="J426" s="527"/>
      <c r="K426" s="527"/>
      <c r="L426" s="527"/>
    </row>
  </sheetData>
  <mergeCells count="8">
    <mergeCell ref="A425:L425"/>
    <mergeCell ref="A426:L426"/>
    <mergeCell ref="A2:L2"/>
    <mergeCell ref="A285:L285"/>
    <mergeCell ref="A286:L286"/>
    <mergeCell ref="A294:L294"/>
    <mergeCell ref="A338:L338"/>
    <mergeCell ref="A382:L382"/>
  </mergeCells>
  <pageMargins left="0.7" right="0.7" top="0.75" bottom="0.75" header="0.3" footer="0.3"/>
  <pageSetup orientation="landscape" r:id="rId1"/>
  <rowBreaks count="2" manualBreakCount="2">
    <brk id="337" max="16383" man="1"/>
    <brk id="381"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8"/>
  <dimension ref="A1:Y446"/>
  <sheetViews>
    <sheetView showGridLines="0" topLeftCell="A286" zoomScale="90" zoomScaleNormal="90" workbookViewId="0">
      <selection sqref="A1:X2"/>
    </sheetView>
  </sheetViews>
  <sheetFormatPr defaultColWidth="9" defaultRowHeight="11.25" x14ac:dyDescent="0.2"/>
  <cols>
    <col min="1" max="1" width="8.125" style="383" customWidth="1"/>
    <col min="2" max="11" width="5.625" style="200" customWidth="1"/>
    <col min="12" max="12" width="6.375" style="200" bestFit="1" customWidth="1"/>
    <col min="13" max="13" width="1" style="193" customWidth="1"/>
    <col min="14" max="14" width="3.875" style="200" bestFit="1" customWidth="1"/>
    <col min="15" max="15" width="3.75" style="200" bestFit="1" customWidth="1"/>
    <col min="16" max="16" width="3.625" style="200" bestFit="1" customWidth="1"/>
    <col min="17" max="17" width="4.75" style="200" bestFit="1" customWidth="1"/>
    <col min="18" max="19" width="5.5" style="200" bestFit="1" customWidth="1"/>
    <col min="20" max="20" width="4.75" style="200" bestFit="1" customWidth="1"/>
    <col min="21" max="21" width="4.375" style="200" bestFit="1" customWidth="1"/>
    <col min="22" max="22" width="3.75" style="200" bestFit="1" customWidth="1"/>
    <col min="23" max="23" width="3.875" style="200" bestFit="1" customWidth="1"/>
    <col min="24" max="24" width="6" style="200" bestFit="1" customWidth="1"/>
    <col min="25" max="16384" width="9" style="1"/>
  </cols>
  <sheetData>
    <row r="1" spans="1:24" x14ac:dyDescent="0.2">
      <c r="A1" s="531" t="s">
        <v>232</v>
      </c>
      <c r="B1" s="531"/>
      <c r="C1" s="531"/>
      <c r="D1" s="531"/>
      <c r="E1" s="531"/>
      <c r="F1" s="531"/>
      <c r="G1" s="531"/>
      <c r="H1" s="531"/>
      <c r="I1" s="531"/>
      <c r="J1" s="531"/>
      <c r="K1" s="531"/>
      <c r="L1" s="531"/>
      <c r="M1" s="531"/>
      <c r="N1" s="531"/>
      <c r="O1" s="531"/>
      <c r="P1" s="531"/>
      <c r="Q1" s="531"/>
      <c r="R1" s="531"/>
      <c r="S1" s="531"/>
      <c r="T1" s="531"/>
      <c r="U1" s="531"/>
      <c r="V1" s="531"/>
      <c r="W1" s="531"/>
      <c r="X1" s="531"/>
    </row>
    <row r="2" spans="1:24" s="380" customFormat="1" x14ac:dyDescent="0.2">
      <c r="A2" s="2" t="s">
        <v>33</v>
      </c>
      <c r="B2" s="381" t="s">
        <v>42</v>
      </c>
      <c r="C2" s="381" t="s">
        <v>43</v>
      </c>
      <c r="D2" s="381" t="s">
        <v>34</v>
      </c>
      <c r="E2" s="381" t="s">
        <v>35</v>
      </c>
      <c r="F2" s="381" t="s">
        <v>36</v>
      </c>
      <c r="G2" s="381" t="s">
        <v>37</v>
      </c>
      <c r="H2" s="381" t="s">
        <v>38</v>
      </c>
      <c r="I2" s="381" t="s">
        <v>39</v>
      </c>
      <c r="J2" s="381" t="s">
        <v>40</v>
      </c>
      <c r="K2" s="381" t="s">
        <v>44</v>
      </c>
      <c r="L2" s="381" t="s">
        <v>28</v>
      </c>
      <c r="M2" s="381"/>
      <c r="N2" s="381" t="s">
        <v>42</v>
      </c>
      <c r="O2" s="381" t="s">
        <v>43</v>
      </c>
      <c r="P2" s="381" t="s">
        <v>34</v>
      </c>
      <c r="Q2" s="381" t="s">
        <v>35</v>
      </c>
      <c r="R2" s="381" t="s">
        <v>36</v>
      </c>
      <c r="S2" s="381" t="s">
        <v>37</v>
      </c>
      <c r="T2" s="381" t="s">
        <v>38</v>
      </c>
      <c r="U2" s="381" t="s">
        <v>39</v>
      </c>
      <c r="V2" s="381" t="s">
        <v>40</v>
      </c>
      <c r="W2" s="381" t="s">
        <v>44</v>
      </c>
      <c r="X2" s="381" t="s">
        <v>28</v>
      </c>
    </row>
    <row r="3" spans="1:24" x14ac:dyDescent="0.2">
      <c r="B3" s="532" t="s">
        <v>67</v>
      </c>
      <c r="C3" s="532"/>
      <c r="D3" s="532"/>
      <c r="E3" s="532"/>
      <c r="F3" s="532"/>
      <c r="G3" s="532"/>
      <c r="H3" s="532"/>
      <c r="I3" s="532"/>
      <c r="J3" s="532"/>
      <c r="K3" s="532"/>
      <c r="L3" s="532"/>
      <c r="M3" s="19"/>
      <c r="N3" s="532" t="s">
        <v>68</v>
      </c>
      <c r="O3" s="532"/>
      <c r="P3" s="532"/>
      <c r="Q3" s="532"/>
      <c r="R3" s="532"/>
      <c r="S3" s="532"/>
      <c r="T3" s="532"/>
      <c r="U3" s="532"/>
      <c r="V3" s="532"/>
      <c r="W3" s="532"/>
      <c r="X3" s="532"/>
    </row>
    <row r="4" spans="1:24" x14ac:dyDescent="0.2">
      <c r="A4" s="116" t="s">
        <v>22</v>
      </c>
    </row>
    <row r="5" spans="1:24" x14ac:dyDescent="0.2">
      <c r="A5" s="383">
        <v>1976</v>
      </c>
      <c r="B5" s="201" t="s">
        <v>116</v>
      </c>
      <c r="C5" s="201" t="s">
        <v>116</v>
      </c>
      <c r="D5" s="198">
        <v>0</v>
      </c>
      <c r="E5" s="198">
        <v>0</v>
      </c>
      <c r="F5" s="198">
        <v>0</v>
      </c>
      <c r="G5" s="198">
        <v>1154</v>
      </c>
      <c r="H5" s="198">
        <v>1573</v>
      </c>
      <c r="I5" s="198">
        <v>264</v>
      </c>
      <c r="J5" s="198">
        <v>0</v>
      </c>
      <c r="K5" s="198">
        <v>0</v>
      </c>
      <c r="L5" s="198">
        <f t="shared" ref="L5:L36" si="0">SUM(B5:K5)</f>
        <v>2991</v>
      </c>
      <c r="M5" s="31"/>
      <c r="N5" s="201" t="s">
        <v>116</v>
      </c>
      <c r="O5" s="201" t="s">
        <v>116</v>
      </c>
      <c r="P5" s="198">
        <v>0</v>
      </c>
      <c r="Q5" s="198">
        <v>16</v>
      </c>
      <c r="R5" s="198">
        <v>3045</v>
      </c>
      <c r="S5" s="198">
        <v>9519</v>
      </c>
      <c r="T5" s="198">
        <v>3706</v>
      </c>
      <c r="U5" s="198">
        <v>594</v>
      </c>
      <c r="V5" s="198">
        <v>0</v>
      </c>
      <c r="W5" s="198">
        <v>0</v>
      </c>
      <c r="X5" s="198">
        <f t="shared" ref="X5:X36" si="1">SUM(N5:W5)</f>
        <v>16880</v>
      </c>
    </row>
    <row r="6" spans="1:24" x14ac:dyDescent="0.2">
      <c r="A6" s="383">
        <v>1977</v>
      </c>
      <c r="B6" s="201" t="s">
        <v>116</v>
      </c>
      <c r="C6" s="201" t="s">
        <v>116</v>
      </c>
      <c r="D6" s="198">
        <v>0</v>
      </c>
      <c r="E6" s="198">
        <v>0</v>
      </c>
      <c r="F6" s="198">
        <v>307</v>
      </c>
      <c r="G6" s="198">
        <v>4966</v>
      </c>
      <c r="H6" s="198">
        <v>2127</v>
      </c>
      <c r="I6" s="198">
        <v>0</v>
      </c>
      <c r="J6" s="198">
        <v>0</v>
      </c>
      <c r="K6" s="198">
        <v>0</v>
      </c>
      <c r="L6" s="198">
        <f t="shared" si="0"/>
        <v>7400</v>
      </c>
      <c r="M6" s="31"/>
      <c r="N6" s="201" t="s">
        <v>116</v>
      </c>
      <c r="O6" s="201" t="s">
        <v>116</v>
      </c>
      <c r="P6" s="198">
        <v>0</v>
      </c>
      <c r="Q6" s="198">
        <v>0</v>
      </c>
      <c r="R6" s="198">
        <v>17</v>
      </c>
      <c r="S6" s="198">
        <v>4142</v>
      </c>
      <c r="T6" s="198">
        <v>1135</v>
      </c>
      <c r="U6" s="198">
        <v>33</v>
      </c>
      <c r="V6" s="198">
        <v>0</v>
      </c>
      <c r="W6" s="198">
        <v>0</v>
      </c>
      <c r="X6" s="198">
        <f t="shared" si="1"/>
        <v>5327</v>
      </c>
    </row>
    <row r="7" spans="1:24" x14ac:dyDescent="0.2">
      <c r="A7" s="383">
        <v>1978</v>
      </c>
      <c r="B7" s="201" t="s">
        <v>116</v>
      </c>
      <c r="C7" s="201" t="s">
        <v>116</v>
      </c>
      <c r="D7" s="198">
        <v>0</v>
      </c>
      <c r="E7" s="198">
        <v>7</v>
      </c>
      <c r="F7" s="198">
        <v>417</v>
      </c>
      <c r="G7" s="198">
        <v>701</v>
      </c>
      <c r="H7" s="198">
        <v>861</v>
      </c>
      <c r="I7" s="198">
        <v>0</v>
      </c>
      <c r="J7" s="198">
        <v>0</v>
      </c>
      <c r="K7" s="198">
        <v>0</v>
      </c>
      <c r="L7" s="198">
        <f t="shared" si="0"/>
        <v>1986</v>
      </c>
      <c r="M7" s="31"/>
      <c r="N7" s="201" t="s">
        <v>116</v>
      </c>
      <c r="O7" s="201" t="s">
        <v>116</v>
      </c>
      <c r="P7" s="198">
        <v>1</v>
      </c>
      <c r="Q7" s="198">
        <v>22</v>
      </c>
      <c r="R7" s="198">
        <v>9129</v>
      </c>
      <c r="S7" s="198">
        <v>8577</v>
      </c>
      <c r="T7" s="198">
        <v>1397</v>
      </c>
      <c r="U7" s="198">
        <v>33</v>
      </c>
      <c r="V7" s="198">
        <v>0</v>
      </c>
      <c r="W7" s="198">
        <v>0</v>
      </c>
      <c r="X7" s="198">
        <f t="shared" si="1"/>
        <v>19159</v>
      </c>
    </row>
    <row r="8" spans="1:24" x14ac:dyDescent="0.2">
      <c r="A8" s="383">
        <v>1979</v>
      </c>
      <c r="B8" s="201" t="s">
        <v>116</v>
      </c>
      <c r="C8" s="201" t="s">
        <v>116</v>
      </c>
      <c r="D8" s="198">
        <v>0</v>
      </c>
      <c r="E8" s="198">
        <v>3</v>
      </c>
      <c r="F8" s="198">
        <v>563</v>
      </c>
      <c r="G8" s="198">
        <v>1124</v>
      </c>
      <c r="H8" s="198">
        <v>1189</v>
      </c>
      <c r="I8" s="198">
        <v>0</v>
      </c>
      <c r="J8" s="198">
        <v>0</v>
      </c>
      <c r="K8" s="198" t="s">
        <v>29</v>
      </c>
      <c r="L8" s="198">
        <f t="shared" si="0"/>
        <v>2879</v>
      </c>
      <c r="M8" s="31"/>
      <c r="N8" s="201" t="s">
        <v>116</v>
      </c>
      <c r="O8" s="201" t="s">
        <v>116</v>
      </c>
      <c r="P8" s="198">
        <v>0</v>
      </c>
      <c r="Q8" s="198">
        <v>6</v>
      </c>
      <c r="R8" s="198">
        <v>2065</v>
      </c>
      <c r="S8" s="198">
        <v>5825</v>
      </c>
      <c r="T8" s="198">
        <v>2933</v>
      </c>
      <c r="U8" s="198">
        <v>0</v>
      </c>
      <c r="V8" s="198">
        <v>0</v>
      </c>
      <c r="W8" s="198" t="s">
        <v>29</v>
      </c>
      <c r="X8" s="198">
        <f t="shared" si="1"/>
        <v>10829</v>
      </c>
    </row>
    <row r="9" spans="1:24" x14ac:dyDescent="0.2">
      <c r="A9" s="383">
        <v>1980</v>
      </c>
      <c r="B9" s="201" t="s">
        <v>116</v>
      </c>
      <c r="C9" s="201" t="s">
        <v>116</v>
      </c>
      <c r="D9" s="198">
        <v>0</v>
      </c>
      <c r="E9" s="198">
        <v>1</v>
      </c>
      <c r="F9" s="198">
        <v>1061</v>
      </c>
      <c r="G9" s="198">
        <v>834</v>
      </c>
      <c r="H9" s="198">
        <v>682</v>
      </c>
      <c r="I9" s="198">
        <v>140</v>
      </c>
      <c r="J9" s="198">
        <v>0</v>
      </c>
      <c r="K9" s="198" t="s">
        <v>29</v>
      </c>
      <c r="L9" s="198">
        <f t="shared" si="0"/>
        <v>2718</v>
      </c>
      <c r="M9" s="31"/>
      <c r="N9" s="201" t="s">
        <v>116</v>
      </c>
      <c r="O9" s="201" t="s">
        <v>116</v>
      </c>
      <c r="P9" s="198">
        <v>0</v>
      </c>
      <c r="Q9" s="198">
        <v>1</v>
      </c>
      <c r="R9" s="198">
        <v>1180</v>
      </c>
      <c r="S9" s="198">
        <v>4874</v>
      </c>
      <c r="T9" s="198">
        <v>1072</v>
      </c>
      <c r="U9" s="198">
        <v>122</v>
      </c>
      <c r="V9" s="198">
        <v>0</v>
      </c>
      <c r="W9" s="198" t="s">
        <v>29</v>
      </c>
      <c r="X9" s="198">
        <f t="shared" si="1"/>
        <v>7249</v>
      </c>
    </row>
    <row r="10" spans="1:24" x14ac:dyDescent="0.2">
      <c r="A10" s="383">
        <v>1981</v>
      </c>
      <c r="B10" s="201" t="s">
        <v>116</v>
      </c>
      <c r="C10" s="201" t="s">
        <v>116</v>
      </c>
      <c r="D10" s="198">
        <v>0</v>
      </c>
      <c r="E10" s="198">
        <v>7</v>
      </c>
      <c r="F10" s="198">
        <v>589</v>
      </c>
      <c r="G10" s="198">
        <v>1178</v>
      </c>
      <c r="H10" s="198">
        <v>2233</v>
      </c>
      <c r="I10" s="198">
        <v>0</v>
      </c>
      <c r="J10" s="198">
        <v>0</v>
      </c>
      <c r="K10" s="198">
        <v>0</v>
      </c>
      <c r="L10" s="198">
        <f t="shared" si="0"/>
        <v>4007</v>
      </c>
      <c r="M10" s="31"/>
      <c r="N10" s="201" t="s">
        <v>116</v>
      </c>
      <c r="O10" s="201" t="s">
        <v>116</v>
      </c>
      <c r="P10" s="198">
        <v>0</v>
      </c>
      <c r="Q10" s="198">
        <v>0</v>
      </c>
      <c r="R10" s="198">
        <v>323</v>
      </c>
      <c r="S10" s="198">
        <v>1171</v>
      </c>
      <c r="T10" s="198">
        <v>1339</v>
      </c>
      <c r="U10" s="198">
        <v>0</v>
      </c>
      <c r="V10" s="198">
        <v>0</v>
      </c>
      <c r="W10" s="198">
        <v>0</v>
      </c>
      <c r="X10" s="198">
        <f t="shared" si="1"/>
        <v>2833</v>
      </c>
    </row>
    <row r="11" spans="1:24" x14ac:dyDescent="0.2">
      <c r="A11" s="383">
        <v>1982</v>
      </c>
      <c r="B11" s="201" t="s">
        <v>116</v>
      </c>
      <c r="C11" s="201" t="s">
        <v>116</v>
      </c>
      <c r="D11" s="198">
        <v>0</v>
      </c>
      <c r="E11" s="198">
        <v>4</v>
      </c>
      <c r="F11" s="198">
        <v>614</v>
      </c>
      <c r="G11" s="198">
        <v>2258</v>
      </c>
      <c r="H11" s="198">
        <v>3181</v>
      </c>
      <c r="I11" s="198">
        <v>139</v>
      </c>
      <c r="J11" s="198">
        <v>0</v>
      </c>
      <c r="K11" s="198">
        <v>0</v>
      </c>
      <c r="L11" s="198">
        <f t="shared" si="0"/>
        <v>6196</v>
      </c>
      <c r="M11" s="31"/>
      <c r="N11" s="201" t="s">
        <v>116</v>
      </c>
      <c r="O11" s="201" t="s">
        <v>116</v>
      </c>
      <c r="P11" s="198">
        <v>0</v>
      </c>
      <c r="Q11" s="198">
        <v>0</v>
      </c>
      <c r="R11" s="198">
        <v>2335</v>
      </c>
      <c r="S11" s="198">
        <v>4644</v>
      </c>
      <c r="T11" s="198">
        <v>1693</v>
      </c>
      <c r="U11" s="198">
        <v>75</v>
      </c>
      <c r="V11" s="198">
        <v>0</v>
      </c>
      <c r="W11" s="198">
        <v>0</v>
      </c>
      <c r="X11" s="198">
        <f t="shared" si="1"/>
        <v>8747</v>
      </c>
    </row>
    <row r="12" spans="1:24" x14ac:dyDescent="0.2">
      <c r="A12" s="383">
        <v>1983</v>
      </c>
      <c r="B12" s="201" t="s">
        <v>116</v>
      </c>
      <c r="C12" s="201" t="s">
        <v>116</v>
      </c>
      <c r="D12" s="198">
        <v>0</v>
      </c>
      <c r="E12" s="198">
        <v>0</v>
      </c>
      <c r="F12" s="198">
        <v>1338</v>
      </c>
      <c r="G12" s="198">
        <v>1400</v>
      </c>
      <c r="H12" s="198">
        <v>633</v>
      </c>
      <c r="I12" s="198">
        <v>74</v>
      </c>
      <c r="J12" s="198">
        <v>0</v>
      </c>
      <c r="K12" s="198">
        <v>0</v>
      </c>
      <c r="L12" s="198">
        <f t="shared" si="0"/>
        <v>3445</v>
      </c>
      <c r="M12" s="31"/>
      <c r="N12" s="201" t="s">
        <v>116</v>
      </c>
      <c r="O12" s="201" t="s">
        <v>116</v>
      </c>
      <c r="P12" s="198">
        <v>0</v>
      </c>
      <c r="Q12" s="198">
        <v>0</v>
      </c>
      <c r="R12" s="198">
        <v>3179</v>
      </c>
      <c r="S12" s="198">
        <v>5125</v>
      </c>
      <c r="T12" s="198">
        <v>1467</v>
      </c>
      <c r="U12" s="198">
        <v>70</v>
      </c>
      <c r="V12" s="198">
        <v>0</v>
      </c>
      <c r="W12" s="198">
        <v>0</v>
      </c>
      <c r="X12" s="198">
        <f t="shared" si="1"/>
        <v>9841</v>
      </c>
    </row>
    <row r="13" spans="1:24" x14ac:dyDescent="0.2">
      <c r="A13" s="383">
        <v>1984</v>
      </c>
      <c r="B13" s="201" t="s">
        <v>116</v>
      </c>
      <c r="C13" s="201" t="s">
        <v>116</v>
      </c>
      <c r="D13" s="198">
        <v>0</v>
      </c>
      <c r="E13" s="198">
        <v>11</v>
      </c>
      <c r="F13" s="198">
        <v>33</v>
      </c>
      <c r="G13" s="198">
        <v>1841</v>
      </c>
      <c r="H13" s="198">
        <v>1617</v>
      </c>
      <c r="I13" s="198">
        <v>21</v>
      </c>
      <c r="J13" s="198">
        <v>0</v>
      </c>
      <c r="K13" s="198">
        <v>0</v>
      </c>
      <c r="L13" s="198">
        <f t="shared" si="0"/>
        <v>3523</v>
      </c>
      <c r="M13" s="31"/>
      <c r="N13" s="201" t="s">
        <v>116</v>
      </c>
      <c r="O13" s="201" t="s">
        <v>116</v>
      </c>
      <c r="P13" s="198">
        <v>0</v>
      </c>
      <c r="Q13" s="198">
        <v>0</v>
      </c>
      <c r="R13" s="198">
        <v>17</v>
      </c>
      <c r="S13" s="198">
        <v>7025</v>
      </c>
      <c r="T13" s="198">
        <v>1530</v>
      </c>
      <c r="U13" s="198">
        <v>24</v>
      </c>
      <c r="V13" s="198">
        <v>0</v>
      </c>
      <c r="W13" s="198">
        <v>0</v>
      </c>
      <c r="X13" s="198">
        <f t="shared" si="1"/>
        <v>8596</v>
      </c>
    </row>
    <row r="14" spans="1:24" x14ac:dyDescent="0.2">
      <c r="A14" s="383">
        <v>1985</v>
      </c>
      <c r="B14" s="201" t="s">
        <v>116</v>
      </c>
      <c r="C14" s="201" t="s">
        <v>116</v>
      </c>
      <c r="D14" s="198">
        <v>0</v>
      </c>
      <c r="E14" s="198">
        <v>2462</v>
      </c>
      <c r="F14" s="198">
        <v>4619</v>
      </c>
      <c r="G14" s="198">
        <v>8857</v>
      </c>
      <c r="H14" s="198">
        <v>1961</v>
      </c>
      <c r="I14" s="198">
        <v>90</v>
      </c>
      <c r="J14" s="198">
        <v>0</v>
      </c>
      <c r="K14" s="198">
        <v>0</v>
      </c>
      <c r="L14" s="198">
        <f t="shared" si="0"/>
        <v>17989</v>
      </c>
      <c r="M14" s="31"/>
      <c r="N14" s="201" t="s">
        <v>116</v>
      </c>
      <c r="O14" s="201" t="s">
        <v>116</v>
      </c>
      <c r="P14" s="198">
        <v>0</v>
      </c>
      <c r="Q14" s="198">
        <v>115</v>
      </c>
      <c r="R14" s="198">
        <v>254</v>
      </c>
      <c r="S14" s="198">
        <v>4052</v>
      </c>
      <c r="T14" s="198">
        <v>2252</v>
      </c>
      <c r="U14" s="198">
        <v>190</v>
      </c>
      <c r="V14" s="198">
        <v>0</v>
      </c>
      <c r="W14" s="198">
        <v>0</v>
      </c>
      <c r="X14" s="198">
        <f t="shared" si="1"/>
        <v>6863</v>
      </c>
    </row>
    <row r="15" spans="1:24" x14ac:dyDescent="0.2">
      <c r="A15" s="383">
        <v>1986</v>
      </c>
      <c r="B15" s="201" t="s">
        <v>116</v>
      </c>
      <c r="C15" s="201" t="s">
        <v>116</v>
      </c>
      <c r="D15" s="198" t="s">
        <v>29</v>
      </c>
      <c r="E15" s="198">
        <v>270</v>
      </c>
      <c r="F15" s="198">
        <v>1555</v>
      </c>
      <c r="G15" s="198">
        <v>2624</v>
      </c>
      <c r="H15" s="198">
        <v>1296</v>
      </c>
      <c r="I15" s="198">
        <v>15</v>
      </c>
      <c r="J15" s="198" t="s">
        <v>29</v>
      </c>
      <c r="K15" s="198" t="s">
        <v>29</v>
      </c>
      <c r="L15" s="198">
        <f t="shared" si="0"/>
        <v>5760</v>
      </c>
      <c r="M15" s="31"/>
      <c r="N15" s="201" t="s">
        <v>116</v>
      </c>
      <c r="O15" s="201" t="s">
        <v>116</v>
      </c>
      <c r="P15" s="198" t="s">
        <v>29</v>
      </c>
      <c r="Q15" s="198">
        <v>291</v>
      </c>
      <c r="R15" s="198">
        <v>2468</v>
      </c>
      <c r="S15" s="198">
        <v>3625</v>
      </c>
      <c r="T15" s="198">
        <v>1761</v>
      </c>
      <c r="U15" s="198">
        <v>0</v>
      </c>
      <c r="V15" s="198" t="s">
        <v>29</v>
      </c>
      <c r="W15" s="198" t="s">
        <v>29</v>
      </c>
      <c r="X15" s="198">
        <f t="shared" si="1"/>
        <v>8145</v>
      </c>
    </row>
    <row r="16" spans="1:24" x14ac:dyDescent="0.2">
      <c r="A16" s="383">
        <v>1987</v>
      </c>
      <c r="B16" s="198" t="s">
        <v>29</v>
      </c>
      <c r="C16" s="198" t="s">
        <v>29</v>
      </c>
      <c r="D16" s="198" t="s">
        <v>29</v>
      </c>
      <c r="E16" s="198">
        <v>259</v>
      </c>
      <c r="F16" s="198">
        <v>3745</v>
      </c>
      <c r="G16" s="198">
        <v>4294</v>
      </c>
      <c r="H16" s="198">
        <v>2286</v>
      </c>
      <c r="I16" s="198">
        <v>1476</v>
      </c>
      <c r="J16" s="198" t="s">
        <v>29</v>
      </c>
      <c r="K16" s="198" t="s">
        <v>29</v>
      </c>
      <c r="L16" s="198">
        <f t="shared" si="0"/>
        <v>12060</v>
      </c>
      <c r="M16" s="31"/>
      <c r="N16" s="198" t="s">
        <v>29</v>
      </c>
      <c r="O16" s="198" t="s">
        <v>29</v>
      </c>
      <c r="P16" s="198" t="s">
        <v>29</v>
      </c>
      <c r="Q16" s="198">
        <v>0</v>
      </c>
      <c r="R16" s="198">
        <v>930</v>
      </c>
      <c r="S16" s="198">
        <v>10663</v>
      </c>
      <c r="T16" s="198">
        <v>2713</v>
      </c>
      <c r="U16" s="198">
        <v>598</v>
      </c>
      <c r="V16" s="198" t="s">
        <v>29</v>
      </c>
      <c r="W16" s="198" t="s">
        <v>29</v>
      </c>
      <c r="X16" s="198">
        <f t="shared" si="1"/>
        <v>14904</v>
      </c>
    </row>
    <row r="17" spans="1:24" x14ac:dyDescent="0.2">
      <c r="A17" s="383">
        <v>1988</v>
      </c>
      <c r="B17" s="198" t="s">
        <v>29</v>
      </c>
      <c r="C17" s="198" t="s">
        <v>29</v>
      </c>
      <c r="D17" s="198" t="s">
        <v>29</v>
      </c>
      <c r="E17" s="198">
        <v>1006</v>
      </c>
      <c r="F17" s="198">
        <v>7418</v>
      </c>
      <c r="G17" s="198">
        <v>7560</v>
      </c>
      <c r="H17" s="198">
        <v>1241</v>
      </c>
      <c r="I17" s="198">
        <v>11</v>
      </c>
      <c r="J17" s="198" t="s">
        <v>29</v>
      </c>
      <c r="K17" s="198" t="s">
        <v>29</v>
      </c>
      <c r="L17" s="198">
        <f t="shared" si="0"/>
        <v>17236</v>
      </c>
      <c r="M17" s="31"/>
      <c r="N17" s="198" t="s">
        <v>29</v>
      </c>
      <c r="O17" s="198" t="s">
        <v>29</v>
      </c>
      <c r="P17" s="198" t="s">
        <v>29</v>
      </c>
      <c r="Q17" s="198">
        <v>8</v>
      </c>
      <c r="R17" s="198">
        <v>571</v>
      </c>
      <c r="S17" s="198">
        <v>10267</v>
      </c>
      <c r="T17" s="198">
        <v>1376</v>
      </c>
      <c r="U17" s="198">
        <v>16</v>
      </c>
      <c r="V17" s="198" t="s">
        <v>29</v>
      </c>
      <c r="W17" s="198" t="s">
        <v>29</v>
      </c>
      <c r="X17" s="198">
        <f t="shared" si="1"/>
        <v>12238</v>
      </c>
    </row>
    <row r="18" spans="1:24" x14ac:dyDescent="0.2">
      <c r="A18" s="383">
        <v>1989</v>
      </c>
      <c r="B18" s="198" t="s">
        <v>29</v>
      </c>
      <c r="C18" s="198" t="s">
        <v>29</v>
      </c>
      <c r="D18" s="198" t="s">
        <v>29</v>
      </c>
      <c r="E18" s="198">
        <v>417</v>
      </c>
      <c r="F18" s="198">
        <v>3589</v>
      </c>
      <c r="G18" s="198">
        <v>17990</v>
      </c>
      <c r="H18" s="198">
        <v>3227</v>
      </c>
      <c r="I18" s="198">
        <v>52</v>
      </c>
      <c r="J18" s="198" t="s">
        <v>29</v>
      </c>
      <c r="K18" s="198" t="s">
        <v>29</v>
      </c>
      <c r="L18" s="198">
        <f t="shared" si="0"/>
        <v>25275</v>
      </c>
      <c r="M18" s="31"/>
      <c r="N18" s="198" t="s">
        <v>29</v>
      </c>
      <c r="O18" s="198" t="s">
        <v>29</v>
      </c>
      <c r="P18" s="198" t="s">
        <v>29</v>
      </c>
      <c r="Q18" s="198">
        <v>43</v>
      </c>
      <c r="R18" s="198">
        <v>4882</v>
      </c>
      <c r="S18" s="198">
        <v>11662</v>
      </c>
      <c r="T18" s="198">
        <v>1835</v>
      </c>
      <c r="U18" s="198">
        <v>69</v>
      </c>
      <c r="V18" s="198" t="s">
        <v>29</v>
      </c>
      <c r="W18" s="198" t="s">
        <v>29</v>
      </c>
      <c r="X18" s="198">
        <f t="shared" si="1"/>
        <v>18491</v>
      </c>
    </row>
    <row r="19" spans="1:24" x14ac:dyDescent="0.2">
      <c r="A19" s="383">
        <v>1990</v>
      </c>
      <c r="B19" s="198" t="s">
        <v>29</v>
      </c>
      <c r="C19" s="198" t="s">
        <v>29</v>
      </c>
      <c r="D19" s="198" t="s">
        <v>29</v>
      </c>
      <c r="E19" s="198">
        <v>118</v>
      </c>
      <c r="F19" s="198">
        <v>6451</v>
      </c>
      <c r="G19" s="198">
        <v>5975</v>
      </c>
      <c r="H19" s="198">
        <v>151</v>
      </c>
      <c r="I19" s="198">
        <v>22</v>
      </c>
      <c r="J19" s="198" t="s">
        <v>29</v>
      </c>
      <c r="K19" s="198" t="s">
        <v>29</v>
      </c>
      <c r="L19" s="198">
        <f t="shared" si="0"/>
        <v>12717</v>
      </c>
      <c r="M19" s="31"/>
      <c r="N19" s="198" t="s">
        <v>29</v>
      </c>
      <c r="O19" s="198" t="s">
        <v>29</v>
      </c>
      <c r="P19" s="198" t="s">
        <v>29</v>
      </c>
      <c r="Q19" s="198">
        <v>11</v>
      </c>
      <c r="R19" s="198">
        <v>8953</v>
      </c>
      <c r="S19" s="198">
        <v>5933</v>
      </c>
      <c r="T19" s="198">
        <v>538</v>
      </c>
      <c r="U19" s="198">
        <v>22</v>
      </c>
      <c r="V19" s="198" t="s">
        <v>29</v>
      </c>
      <c r="W19" s="198" t="s">
        <v>29</v>
      </c>
      <c r="X19" s="198">
        <f t="shared" si="1"/>
        <v>15457</v>
      </c>
    </row>
    <row r="20" spans="1:24" x14ac:dyDescent="0.2">
      <c r="A20" s="383">
        <v>1991</v>
      </c>
      <c r="B20" s="198" t="s">
        <v>29</v>
      </c>
      <c r="C20" s="198" t="s">
        <v>29</v>
      </c>
      <c r="D20" s="198" t="s">
        <v>29</v>
      </c>
      <c r="E20" s="198">
        <v>7</v>
      </c>
      <c r="F20" s="198">
        <v>1321</v>
      </c>
      <c r="G20" s="198">
        <v>1943</v>
      </c>
      <c r="H20" s="198">
        <v>35</v>
      </c>
      <c r="I20" s="198">
        <v>61</v>
      </c>
      <c r="J20" s="198" t="s">
        <v>29</v>
      </c>
      <c r="K20" s="198" t="s">
        <v>29</v>
      </c>
      <c r="L20" s="198">
        <f t="shared" si="0"/>
        <v>3367</v>
      </c>
      <c r="M20" s="31"/>
      <c r="N20" s="198" t="s">
        <v>29</v>
      </c>
      <c r="O20" s="198" t="s">
        <v>29</v>
      </c>
      <c r="P20" s="198" t="s">
        <v>29</v>
      </c>
      <c r="Q20" s="198">
        <v>0</v>
      </c>
      <c r="R20" s="198">
        <v>8790</v>
      </c>
      <c r="S20" s="198">
        <v>9234</v>
      </c>
      <c r="T20" s="198">
        <v>100</v>
      </c>
      <c r="U20" s="198">
        <v>194</v>
      </c>
      <c r="V20" s="198" t="s">
        <v>29</v>
      </c>
      <c r="W20" s="198" t="s">
        <v>29</v>
      </c>
      <c r="X20" s="198">
        <f t="shared" si="1"/>
        <v>18318</v>
      </c>
    </row>
    <row r="21" spans="1:24" x14ac:dyDescent="0.2">
      <c r="A21" s="383">
        <v>1992</v>
      </c>
      <c r="B21" s="198" t="s">
        <v>29</v>
      </c>
      <c r="C21" s="198" t="s">
        <v>29</v>
      </c>
      <c r="D21" s="198" t="s">
        <v>29</v>
      </c>
      <c r="E21" s="198" t="s">
        <v>29</v>
      </c>
      <c r="F21" s="198" t="s">
        <v>29</v>
      </c>
      <c r="G21" s="198">
        <v>842</v>
      </c>
      <c r="H21" s="198" t="s">
        <v>29</v>
      </c>
      <c r="I21" s="198">
        <v>47</v>
      </c>
      <c r="J21" s="198" t="s">
        <v>29</v>
      </c>
      <c r="K21" s="198" t="s">
        <v>29</v>
      </c>
      <c r="L21" s="198">
        <f t="shared" si="0"/>
        <v>889</v>
      </c>
      <c r="M21" s="31"/>
      <c r="N21" s="198" t="s">
        <v>29</v>
      </c>
      <c r="O21" s="198" t="s">
        <v>29</v>
      </c>
      <c r="P21" s="198" t="s">
        <v>29</v>
      </c>
      <c r="Q21" s="198" t="s">
        <v>29</v>
      </c>
      <c r="R21" s="198" t="s">
        <v>29</v>
      </c>
      <c r="S21" s="198">
        <v>2642</v>
      </c>
      <c r="T21" s="198" t="s">
        <v>29</v>
      </c>
      <c r="U21" s="198">
        <v>198</v>
      </c>
      <c r="V21" s="198" t="s">
        <v>29</v>
      </c>
      <c r="W21" s="198" t="s">
        <v>29</v>
      </c>
      <c r="X21" s="198">
        <f t="shared" si="1"/>
        <v>2840</v>
      </c>
    </row>
    <row r="22" spans="1:24" x14ac:dyDescent="0.2">
      <c r="A22" s="383">
        <v>1993</v>
      </c>
      <c r="B22" s="198" t="s">
        <v>29</v>
      </c>
      <c r="C22" s="198" t="s">
        <v>29</v>
      </c>
      <c r="D22" s="198" t="s">
        <v>29</v>
      </c>
      <c r="E22" s="198">
        <v>125</v>
      </c>
      <c r="F22" s="198">
        <v>38</v>
      </c>
      <c r="G22" s="198">
        <v>519</v>
      </c>
      <c r="H22" s="198">
        <v>406</v>
      </c>
      <c r="I22" s="198">
        <v>184</v>
      </c>
      <c r="J22" s="198" t="s">
        <v>29</v>
      </c>
      <c r="K22" s="198" t="s">
        <v>29</v>
      </c>
      <c r="L22" s="198">
        <f t="shared" si="0"/>
        <v>1272</v>
      </c>
      <c r="M22" s="31"/>
      <c r="N22" s="198" t="s">
        <v>29</v>
      </c>
      <c r="O22" s="198" t="s">
        <v>29</v>
      </c>
      <c r="P22" s="198" t="s">
        <v>29</v>
      </c>
      <c r="Q22" s="198">
        <v>10</v>
      </c>
      <c r="R22" s="198">
        <v>62</v>
      </c>
      <c r="S22" s="198">
        <v>3638</v>
      </c>
      <c r="T22" s="198">
        <v>2731</v>
      </c>
      <c r="U22" s="198">
        <v>257</v>
      </c>
      <c r="V22" s="198" t="s">
        <v>29</v>
      </c>
      <c r="W22" s="198" t="s">
        <v>29</v>
      </c>
      <c r="X22" s="198">
        <f t="shared" si="1"/>
        <v>6698</v>
      </c>
    </row>
    <row r="23" spans="1:24" x14ac:dyDescent="0.2">
      <c r="A23" s="383">
        <v>1994</v>
      </c>
      <c r="B23" s="198" t="s">
        <v>29</v>
      </c>
      <c r="C23" s="198" t="s">
        <v>29</v>
      </c>
      <c r="D23" s="198" t="s">
        <v>29</v>
      </c>
      <c r="E23" s="198">
        <v>4474</v>
      </c>
      <c r="F23" s="198">
        <v>1279</v>
      </c>
      <c r="G23" s="198" t="s">
        <v>29</v>
      </c>
      <c r="H23" s="198">
        <v>428</v>
      </c>
      <c r="I23" s="198">
        <v>140</v>
      </c>
      <c r="J23" s="198" t="s">
        <v>29</v>
      </c>
      <c r="K23" s="198" t="s">
        <v>29</v>
      </c>
      <c r="L23" s="198">
        <f t="shared" si="0"/>
        <v>6321</v>
      </c>
      <c r="M23" s="31"/>
      <c r="N23" s="198" t="s">
        <v>29</v>
      </c>
      <c r="O23" s="198" t="s">
        <v>29</v>
      </c>
      <c r="P23" s="198" t="s">
        <v>29</v>
      </c>
      <c r="Q23" s="198">
        <v>3</v>
      </c>
      <c r="R23" s="198">
        <v>0</v>
      </c>
      <c r="S23" s="198" t="s">
        <v>29</v>
      </c>
      <c r="T23" s="198">
        <v>52</v>
      </c>
      <c r="U23" s="198">
        <v>2</v>
      </c>
      <c r="V23" s="198" t="s">
        <v>29</v>
      </c>
      <c r="W23" s="198" t="s">
        <v>29</v>
      </c>
      <c r="X23" s="198">
        <f t="shared" si="1"/>
        <v>57</v>
      </c>
    </row>
    <row r="24" spans="1:24" x14ac:dyDescent="0.2">
      <c r="A24" s="383">
        <v>1995</v>
      </c>
      <c r="B24" s="198" t="s">
        <v>29</v>
      </c>
      <c r="C24" s="198" t="s">
        <v>29</v>
      </c>
      <c r="D24" s="198" t="s">
        <v>29</v>
      </c>
      <c r="E24" s="198">
        <v>656</v>
      </c>
      <c r="F24" s="198">
        <v>2971</v>
      </c>
      <c r="G24" s="198" t="s">
        <v>29</v>
      </c>
      <c r="H24" s="198">
        <v>334</v>
      </c>
      <c r="I24" s="198">
        <v>1595</v>
      </c>
      <c r="J24" s="198" t="s">
        <v>29</v>
      </c>
      <c r="K24" s="198" t="s">
        <v>29</v>
      </c>
      <c r="L24" s="198">
        <f t="shared" si="0"/>
        <v>5556</v>
      </c>
      <c r="M24" s="31"/>
      <c r="N24" s="198" t="s">
        <v>29</v>
      </c>
      <c r="O24" s="198" t="s">
        <v>29</v>
      </c>
      <c r="P24" s="198" t="s">
        <v>29</v>
      </c>
      <c r="Q24" s="198">
        <v>7</v>
      </c>
      <c r="R24" s="198">
        <v>38</v>
      </c>
      <c r="S24" s="198" t="s">
        <v>29</v>
      </c>
      <c r="T24" s="198">
        <v>15</v>
      </c>
      <c r="U24" s="198">
        <v>13</v>
      </c>
      <c r="V24" s="198" t="s">
        <v>29</v>
      </c>
      <c r="W24" s="198" t="s">
        <v>29</v>
      </c>
      <c r="X24" s="198">
        <f t="shared" si="1"/>
        <v>73</v>
      </c>
    </row>
    <row r="25" spans="1:24" x14ac:dyDescent="0.2">
      <c r="A25" s="383">
        <v>1996</v>
      </c>
      <c r="B25" s="198" t="s">
        <v>29</v>
      </c>
      <c r="C25" s="198" t="s">
        <v>29</v>
      </c>
      <c r="D25" s="198" t="s">
        <v>29</v>
      </c>
      <c r="E25" s="198">
        <v>315</v>
      </c>
      <c r="F25" s="198">
        <v>2253</v>
      </c>
      <c r="G25" s="198">
        <v>757</v>
      </c>
      <c r="H25" s="198">
        <v>341</v>
      </c>
      <c r="I25" s="198">
        <v>162</v>
      </c>
      <c r="J25" s="198" t="s">
        <v>29</v>
      </c>
      <c r="K25" s="198" t="s">
        <v>29</v>
      </c>
      <c r="L25" s="198">
        <f t="shared" si="0"/>
        <v>3828</v>
      </c>
      <c r="M25" s="31"/>
      <c r="N25" s="198" t="s">
        <v>29</v>
      </c>
      <c r="O25" s="198" t="s">
        <v>29</v>
      </c>
      <c r="P25" s="198" t="s">
        <v>29</v>
      </c>
      <c r="Q25" s="198" t="s">
        <v>29</v>
      </c>
      <c r="R25" s="198">
        <v>67</v>
      </c>
      <c r="S25" s="198" t="s">
        <v>29</v>
      </c>
      <c r="T25" s="198">
        <v>15</v>
      </c>
      <c r="U25" s="198">
        <v>19</v>
      </c>
      <c r="V25" s="198" t="s">
        <v>29</v>
      </c>
      <c r="W25" s="198" t="s">
        <v>29</v>
      </c>
      <c r="X25" s="198">
        <f t="shared" si="1"/>
        <v>101</v>
      </c>
    </row>
    <row r="26" spans="1:24" x14ac:dyDescent="0.2">
      <c r="A26" s="383">
        <v>1997</v>
      </c>
      <c r="B26" s="198" t="s">
        <v>29</v>
      </c>
      <c r="C26" s="198" t="s">
        <v>29</v>
      </c>
      <c r="D26" s="198" t="s">
        <v>29</v>
      </c>
      <c r="E26" s="198">
        <v>288</v>
      </c>
      <c r="F26" s="198">
        <v>540</v>
      </c>
      <c r="G26" s="198">
        <v>840</v>
      </c>
      <c r="H26" s="198">
        <v>849</v>
      </c>
      <c r="I26" s="198">
        <v>10</v>
      </c>
      <c r="J26" s="198" t="s">
        <v>29</v>
      </c>
      <c r="K26" s="198" t="s">
        <v>29</v>
      </c>
      <c r="L26" s="198">
        <f t="shared" si="0"/>
        <v>2527</v>
      </c>
      <c r="M26" s="31"/>
      <c r="N26" s="198" t="s">
        <v>29</v>
      </c>
      <c r="O26" s="198" t="s">
        <v>29</v>
      </c>
      <c r="P26" s="198" t="s">
        <v>29</v>
      </c>
      <c r="Q26" s="198">
        <v>4</v>
      </c>
      <c r="R26" s="198" t="s">
        <v>29</v>
      </c>
      <c r="S26" s="198">
        <v>60</v>
      </c>
      <c r="T26" s="198">
        <v>13</v>
      </c>
      <c r="U26" s="198" t="s">
        <v>29</v>
      </c>
      <c r="V26" s="198" t="s">
        <v>29</v>
      </c>
      <c r="W26" s="198" t="s">
        <v>29</v>
      </c>
      <c r="X26" s="198">
        <f t="shared" si="1"/>
        <v>77</v>
      </c>
    </row>
    <row r="27" spans="1:24" x14ac:dyDescent="0.2">
      <c r="A27" s="383">
        <v>1998</v>
      </c>
      <c r="B27" s="198" t="s">
        <v>29</v>
      </c>
      <c r="C27" s="198" t="s">
        <v>29</v>
      </c>
      <c r="D27" s="198" t="s">
        <v>29</v>
      </c>
      <c r="E27" s="198">
        <v>215</v>
      </c>
      <c r="F27" s="198">
        <v>687</v>
      </c>
      <c r="G27" s="198">
        <v>142</v>
      </c>
      <c r="H27" s="198">
        <v>59</v>
      </c>
      <c r="I27" s="198">
        <v>20</v>
      </c>
      <c r="J27" s="198" t="s">
        <v>29</v>
      </c>
      <c r="K27" s="198" t="s">
        <v>29</v>
      </c>
      <c r="L27" s="198">
        <f t="shared" si="0"/>
        <v>1123</v>
      </c>
      <c r="M27" s="31"/>
      <c r="N27" s="198" t="s">
        <v>29</v>
      </c>
      <c r="O27" s="198" t="s">
        <v>29</v>
      </c>
      <c r="P27" s="198" t="s">
        <v>29</v>
      </c>
      <c r="Q27" s="198" t="s">
        <v>29</v>
      </c>
      <c r="R27" s="198">
        <v>10</v>
      </c>
      <c r="S27" s="198">
        <v>3</v>
      </c>
      <c r="T27" s="198">
        <v>3</v>
      </c>
      <c r="U27" s="198" t="s">
        <v>29</v>
      </c>
      <c r="V27" s="198" t="s">
        <v>29</v>
      </c>
      <c r="W27" s="198" t="s">
        <v>29</v>
      </c>
      <c r="X27" s="198">
        <f t="shared" si="1"/>
        <v>16</v>
      </c>
    </row>
    <row r="28" spans="1:24" x14ac:dyDescent="0.2">
      <c r="A28" s="383">
        <v>1999</v>
      </c>
      <c r="B28" s="198" t="s">
        <v>29</v>
      </c>
      <c r="C28" s="198" t="s">
        <v>29</v>
      </c>
      <c r="D28" s="198" t="s">
        <v>29</v>
      </c>
      <c r="E28" s="198">
        <v>0</v>
      </c>
      <c r="F28" s="198">
        <v>134</v>
      </c>
      <c r="G28" s="198">
        <v>218</v>
      </c>
      <c r="H28" s="198">
        <v>590</v>
      </c>
      <c r="I28" s="198">
        <v>74</v>
      </c>
      <c r="J28" s="198" t="s">
        <v>29</v>
      </c>
      <c r="K28" s="198" t="s">
        <v>29</v>
      </c>
      <c r="L28" s="198">
        <f t="shared" si="0"/>
        <v>1016</v>
      </c>
      <c r="M28" s="31"/>
      <c r="N28" s="198" t="s">
        <v>29</v>
      </c>
      <c r="O28" s="198" t="s">
        <v>29</v>
      </c>
      <c r="P28" s="198" t="s">
        <v>29</v>
      </c>
      <c r="Q28" s="198" t="s">
        <v>29</v>
      </c>
      <c r="R28" s="198">
        <v>4</v>
      </c>
      <c r="S28" s="198">
        <v>18</v>
      </c>
      <c r="T28" s="198">
        <v>19</v>
      </c>
      <c r="U28" s="198" t="s">
        <v>29</v>
      </c>
      <c r="V28" s="198" t="s">
        <v>29</v>
      </c>
      <c r="W28" s="198" t="s">
        <v>29</v>
      </c>
      <c r="X28" s="198">
        <f t="shared" si="1"/>
        <v>41</v>
      </c>
    </row>
    <row r="29" spans="1:24" x14ac:dyDescent="0.2">
      <c r="A29" s="383">
        <v>2000</v>
      </c>
      <c r="B29" s="198" t="s">
        <v>29</v>
      </c>
      <c r="C29" s="198" t="s">
        <v>29</v>
      </c>
      <c r="D29" s="198" t="s">
        <v>29</v>
      </c>
      <c r="E29" s="198">
        <v>12</v>
      </c>
      <c r="F29" s="198">
        <v>522</v>
      </c>
      <c r="G29" s="198">
        <v>1443</v>
      </c>
      <c r="H29" s="198">
        <v>1454</v>
      </c>
      <c r="I29" s="198">
        <v>140</v>
      </c>
      <c r="J29" s="198" t="s">
        <v>29</v>
      </c>
      <c r="K29" s="198" t="s">
        <v>29</v>
      </c>
      <c r="L29" s="198">
        <f t="shared" si="0"/>
        <v>3571</v>
      </c>
      <c r="M29" s="31"/>
      <c r="N29" s="198" t="s">
        <v>29</v>
      </c>
      <c r="O29" s="198" t="s">
        <v>29</v>
      </c>
      <c r="P29" s="198" t="s">
        <v>29</v>
      </c>
      <c r="Q29" s="198" t="s">
        <v>29</v>
      </c>
      <c r="R29" s="198" t="s">
        <v>29</v>
      </c>
      <c r="S29" s="198">
        <v>12</v>
      </c>
      <c r="T29" s="198">
        <v>57</v>
      </c>
      <c r="U29" s="198" t="s">
        <v>29</v>
      </c>
      <c r="V29" s="198" t="s">
        <v>29</v>
      </c>
      <c r="W29" s="198" t="s">
        <v>29</v>
      </c>
      <c r="X29" s="198">
        <f t="shared" si="1"/>
        <v>69</v>
      </c>
    </row>
    <row r="30" spans="1:24" x14ac:dyDescent="0.2">
      <c r="A30" s="383">
        <v>2001</v>
      </c>
      <c r="B30" s="198" t="s">
        <v>29</v>
      </c>
      <c r="C30" s="198" t="s">
        <v>29</v>
      </c>
      <c r="D30" s="198" t="s">
        <v>29</v>
      </c>
      <c r="E30" s="198">
        <v>484</v>
      </c>
      <c r="F30" s="198">
        <v>607</v>
      </c>
      <c r="G30" s="198">
        <v>533</v>
      </c>
      <c r="H30" s="198">
        <v>507</v>
      </c>
      <c r="I30" s="198">
        <v>105</v>
      </c>
      <c r="J30" s="198" t="s">
        <v>29</v>
      </c>
      <c r="K30" s="198" t="s">
        <v>29</v>
      </c>
      <c r="L30" s="198"/>
      <c r="M30" s="31"/>
      <c r="N30" s="198" t="s">
        <v>29</v>
      </c>
      <c r="O30" s="198" t="s">
        <v>29</v>
      </c>
      <c r="P30" s="198" t="s">
        <v>29</v>
      </c>
      <c r="Q30" s="198">
        <v>3</v>
      </c>
      <c r="R30" s="198">
        <v>52</v>
      </c>
      <c r="S30" s="198">
        <v>24</v>
      </c>
      <c r="T30" s="198">
        <v>16</v>
      </c>
      <c r="U30" s="198" t="s">
        <v>29</v>
      </c>
      <c r="V30" s="198" t="s">
        <v>29</v>
      </c>
      <c r="W30" s="198" t="s">
        <v>29</v>
      </c>
      <c r="X30" s="198">
        <f t="shared" si="1"/>
        <v>95</v>
      </c>
    </row>
    <row r="31" spans="1:24" x14ac:dyDescent="0.2">
      <c r="A31" s="383">
        <v>2002</v>
      </c>
      <c r="B31" s="198" t="s">
        <v>29</v>
      </c>
      <c r="C31" s="198" t="s">
        <v>29</v>
      </c>
      <c r="D31" s="198" t="s">
        <v>29</v>
      </c>
      <c r="E31" s="198">
        <v>283</v>
      </c>
      <c r="F31" s="198">
        <v>245</v>
      </c>
      <c r="G31" s="198">
        <v>31</v>
      </c>
      <c r="H31" s="198">
        <v>392</v>
      </c>
      <c r="I31" s="198">
        <v>156</v>
      </c>
      <c r="J31" s="198" t="s">
        <v>29</v>
      </c>
      <c r="K31" s="198" t="s">
        <v>29</v>
      </c>
      <c r="L31" s="198">
        <f t="shared" si="0"/>
        <v>1107</v>
      </c>
      <c r="M31" s="31"/>
      <c r="N31" s="198" t="s">
        <v>29</v>
      </c>
      <c r="O31" s="198" t="s">
        <v>29</v>
      </c>
      <c r="P31" s="198" t="s">
        <v>29</v>
      </c>
      <c r="Q31" s="198" t="s">
        <v>29</v>
      </c>
      <c r="R31" s="198">
        <v>26</v>
      </c>
      <c r="S31" s="198">
        <v>3</v>
      </c>
      <c r="T31" s="198">
        <v>4</v>
      </c>
      <c r="U31" s="198" t="s">
        <v>29</v>
      </c>
      <c r="V31" s="198" t="s">
        <v>29</v>
      </c>
      <c r="W31" s="198" t="s">
        <v>29</v>
      </c>
      <c r="X31" s="198">
        <f t="shared" si="1"/>
        <v>33</v>
      </c>
    </row>
    <row r="32" spans="1:24" x14ac:dyDescent="0.2">
      <c r="A32" s="383">
        <v>2003</v>
      </c>
      <c r="B32" s="198" t="s">
        <v>29</v>
      </c>
      <c r="C32" s="198" t="s">
        <v>29</v>
      </c>
      <c r="D32" s="198" t="s">
        <v>29</v>
      </c>
      <c r="E32" s="198">
        <v>62</v>
      </c>
      <c r="F32" s="198">
        <v>76</v>
      </c>
      <c r="G32" s="198">
        <v>60</v>
      </c>
      <c r="H32" s="198">
        <v>90</v>
      </c>
      <c r="I32" s="198">
        <v>103</v>
      </c>
      <c r="J32" s="198" t="s">
        <v>29</v>
      </c>
      <c r="K32" s="198" t="s">
        <v>29</v>
      </c>
      <c r="L32" s="198">
        <f t="shared" si="0"/>
        <v>391</v>
      </c>
      <c r="M32" s="31"/>
      <c r="N32" s="198" t="s">
        <v>29</v>
      </c>
      <c r="O32" s="198" t="s">
        <v>29</v>
      </c>
      <c r="P32" s="198" t="s">
        <v>29</v>
      </c>
      <c r="Q32" s="198" t="s">
        <v>29</v>
      </c>
      <c r="R32" s="198">
        <v>4</v>
      </c>
      <c r="S32" s="198" t="s">
        <v>29</v>
      </c>
      <c r="T32" s="198">
        <v>12</v>
      </c>
      <c r="U32" s="198" t="s">
        <v>29</v>
      </c>
      <c r="V32" s="198" t="s">
        <v>29</v>
      </c>
      <c r="W32" s="198" t="s">
        <v>29</v>
      </c>
      <c r="X32" s="198">
        <f t="shared" si="1"/>
        <v>16</v>
      </c>
    </row>
    <row r="33" spans="1:24" x14ac:dyDescent="0.2">
      <c r="A33" s="383">
        <v>2004</v>
      </c>
      <c r="B33" s="198" t="s">
        <v>29</v>
      </c>
      <c r="C33" s="198" t="s">
        <v>29</v>
      </c>
      <c r="D33" s="198" t="s">
        <v>29</v>
      </c>
      <c r="E33" s="198">
        <v>487</v>
      </c>
      <c r="F33" s="198">
        <v>259</v>
      </c>
      <c r="G33" s="198">
        <v>172</v>
      </c>
      <c r="H33" s="198">
        <v>309</v>
      </c>
      <c r="I33" s="198">
        <v>63</v>
      </c>
      <c r="J33" s="198" t="s">
        <v>29</v>
      </c>
      <c r="K33" s="198" t="s">
        <v>29</v>
      </c>
      <c r="L33" s="198">
        <f t="shared" si="0"/>
        <v>1290</v>
      </c>
      <c r="M33" s="31"/>
      <c r="N33" s="198" t="s">
        <v>29</v>
      </c>
      <c r="O33" s="198" t="s">
        <v>29</v>
      </c>
      <c r="P33" s="198" t="s">
        <v>29</v>
      </c>
      <c r="Q33" s="198">
        <v>8</v>
      </c>
      <c r="R33" s="198">
        <v>7</v>
      </c>
      <c r="S33" s="198">
        <v>40</v>
      </c>
      <c r="T33" s="198">
        <v>24</v>
      </c>
      <c r="U33" s="198" t="s">
        <v>29</v>
      </c>
      <c r="V33" s="198" t="s">
        <v>29</v>
      </c>
      <c r="W33" s="198" t="s">
        <v>29</v>
      </c>
      <c r="X33" s="198">
        <f t="shared" si="1"/>
        <v>79</v>
      </c>
    </row>
    <row r="34" spans="1:24" x14ac:dyDescent="0.2">
      <c r="A34" s="383">
        <v>2005</v>
      </c>
      <c r="B34" s="198" t="s">
        <v>29</v>
      </c>
      <c r="C34" s="198" t="s">
        <v>29</v>
      </c>
      <c r="D34" s="198" t="s">
        <v>29</v>
      </c>
      <c r="E34" s="198">
        <v>11</v>
      </c>
      <c r="F34" s="198">
        <v>829</v>
      </c>
      <c r="G34" s="198">
        <v>389</v>
      </c>
      <c r="H34" s="198">
        <v>240</v>
      </c>
      <c r="I34" s="198">
        <v>29</v>
      </c>
      <c r="J34" s="198" t="s">
        <v>29</v>
      </c>
      <c r="K34" s="198" t="s">
        <v>29</v>
      </c>
      <c r="L34" s="198">
        <f t="shared" si="0"/>
        <v>1498</v>
      </c>
      <c r="M34" s="31"/>
      <c r="N34" s="198" t="s">
        <v>29</v>
      </c>
      <c r="O34" s="198" t="s">
        <v>29</v>
      </c>
      <c r="P34" s="198" t="s">
        <v>29</v>
      </c>
      <c r="Q34" s="198" t="s">
        <v>29</v>
      </c>
      <c r="R34" s="198">
        <v>4</v>
      </c>
      <c r="S34" s="198" t="s">
        <v>29</v>
      </c>
      <c r="T34" s="198">
        <v>17</v>
      </c>
      <c r="U34" s="198" t="s">
        <v>29</v>
      </c>
      <c r="V34" s="198" t="s">
        <v>29</v>
      </c>
      <c r="W34" s="198" t="s">
        <v>29</v>
      </c>
      <c r="X34" s="198">
        <f t="shared" si="1"/>
        <v>21</v>
      </c>
    </row>
    <row r="35" spans="1:24" x14ac:dyDescent="0.2">
      <c r="A35" s="383">
        <v>2006</v>
      </c>
      <c r="B35" s="198" t="s">
        <v>29</v>
      </c>
      <c r="C35" s="198" t="s">
        <v>29</v>
      </c>
      <c r="D35" s="198" t="s">
        <v>29</v>
      </c>
      <c r="E35" s="198">
        <v>252</v>
      </c>
      <c r="F35" s="198">
        <v>273</v>
      </c>
      <c r="G35" s="198">
        <v>216</v>
      </c>
      <c r="H35" s="198" t="s">
        <v>29</v>
      </c>
      <c r="I35" s="198">
        <v>15</v>
      </c>
      <c r="J35" s="198" t="s">
        <v>29</v>
      </c>
      <c r="K35" s="198" t="s">
        <v>29</v>
      </c>
      <c r="L35" s="198">
        <f t="shared" si="0"/>
        <v>756</v>
      </c>
      <c r="M35" s="31"/>
      <c r="N35" s="198" t="s">
        <v>29</v>
      </c>
      <c r="O35" s="198" t="s">
        <v>29</v>
      </c>
      <c r="P35" s="198" t="s">
        <v>29</v>
      </c>
      <c r="Q35" s="198">
        <v>3</v>
      </c>
      <c r="R35" s="198">
        <v>9</v>
      </c>
      <c r="S35" s="198">
        <v>8</v>
      </c>
      <c r="T35" s="198" t="s">
        <v>29</v>
      </c>
      <c r="U35" s="198" t="s">
        <v>29</v>
      </c>
      <c r="V35" s="198" t="s">
        <v>29</v>
      </c>
      <c r="W35" s="198" t="s">
        <v>29</v>
      </c>
      <c r="X35" s="198">
        <f t="shared" si="1"/>
        <v>20</v>
      </c>
    </row>
    <row r="36" spans="1:24" s="374" customFormat="1" x14ac:dyDescent="0.2">
      <c r="A36" s="402">
        <v>2007</v>
      </c>
      <c r="B36" s="199" t="s">
        <v>29</v>
      </c>
      <c r="C36" s="199" t="s">
        <v>29</v>
      </c>
      <c r="D36" s="199" t="s">
        <v>29</v>
      </c>
      <c r="E36" s="199">
        <v>30</v>
      </c>
      <c r="F36" s="199">
        <v>198</v>
      </c>
      <c r="G36" s="199">
        <v>589</v>
      </c>
      <c r="H36" s="199">
        <v>27</v>
      </c>
      <c r="I36" s="199">
        <v>27</v>
      </c>
      <c r="J36" s="199" t="s">
        <v>29</v>
      </c>
      <c r="K36" s="199" t="s">
        <v>29</v>
      </c>
      <c r="L36" s="199">
        <f t="shared" si="0"/>
        <v>871</v>
      </c>
      <c r="M36" s="52"/>
      <c r="N36" s="199" t="s">
        <v>29</v>
      </c>
      <c r="O36" s="199" t="s">
        <v>29</v>
      </c>
      <c r="P36" s="199" t="s">
        <v>29</v>
      </c>
      <c r="Q36" s="199" t="s">
        <v>29</v>
      </c>
      <c r="R36" s="199">
        <v>8</v>
      </c>
      <c r="S36" s="199">
        <v>43</v>
      </c>
      <c r="T36" s="199" t="s">
        <v>29</v>
      </c>
      <c r="U36" s="199">
        <v>5</v>
      </c>
      <c r="V36" s="199" t="s">
        <v>29</v>
      </c>
      <c r="W36" s="199" t="s">
        <v>29</v>
      </c>
      <c r="X36" s="199">
        <f t="shared" si="1"/>
        <v>56</v>
      </c>
    </row>
    <row r="37" spans="1:24" s="374" customFormat="1" x14ac:dyDescent="0.2">
      <c r="A37" s="402">
        <v>2008</v>
      </c>
      <c r="B37" s="199" t="s">
        <v>29</v>
      </c>
      <c r="C37" s="199" t="s">
        <v>29</v>
      </c>
      <c r="D37" s="199" t="s">
        <v>29</v>
      </c>
      <c r="E37" s="199" t="s">
        <v>29</v>
      </c>
      <c r="F37" s="199" t="s">
        <v>29</v>
      </c>
      <c r="G37" s="199" t="s">
        <v>29</v>
      </c>
      <c r="H37" s="199" t="s">
        <v>29</v>
      </c>
      <c r="I37" s="199" t="s">
        <v>29</v>
      </c>
      <c r="J37" s="199" t="s">
        <v>29</v>
      </c>
      <c r="K37" s="199" t="s">
        <v>29</v>
      </c>
      <c r="L37" s="199" t="s">
        <v>29</v>
      </c>
      <c r="M37" s="52"/>
      <c r="N37" s="199" t="s">
        <v>29</v>
      </c>
      <c r="O37" s="199" t="s">
        <v>29</v>
      </c>
      <c r="P37" s="199" t="s">
        <v>29</v>
      </c>
      <c r="Q37" s="199" t="s">
        <v>29</v>
      </c>
      <c r="R37" s="199" t="s">
        <v>29</v>
      </c>
      <c r="S37" s="199" t="s">
        <v>29</v>
      </c>
      <c r="T37" s="199" t="s">
        <v>29</v>
      </c>
      <c r="U37" s="199" t="s">
        <v>29</v>
      </c>
      <c r="V37" s="199" t="s">
        <v>29</v>
      </c>
      <c r="W37" s="199" t="s">
        <v>29</v>
      </c>
      <c r="X37" s="199" t="s">
        <v>29</v>
      </c>
    </row>
    <row r="38" spans="1:24" s="374" customFormat="1" x14ac:dyDescent="0.2">
      <c r="A38" s="402">
        <v>2009</v>
      </c>
      <c r="B38" s="199" t="s">
        <v>29</v>
      </c>
      <c r="C38" s="199" t="s">
        <v>29</v>
      </c>
      <c r="D38" s="199" t="s">
        <v>29</v>
      </c>
      <c r="E38" s="199" t="s">
        <v>29</v>
      </c>
      <c r="F38" s="199" t="s">
        <v>29</v>
      </c>
      <c r="G38" s="199" t="s">
        <v>29</v>
      </c>
      <c r="H38" s="199">
        <v>36</v>
      </c>
      <c r="I38" s="199">
        <v>111</v>
      </c>
      <c r="J38" s="199" t="s">
        <v>29</v>
      </c>
      <c r="K38" s="199" t="s">
        <v>29</v>
      </c>
      <c r="L38" s="199">
        <f t="shared" ref="L38:L49" si="2">SUM(B38:K38)</f>
        <v>147</v>
      </c>
      <c r="M38" s="52"/>
      <c r="N38" s="199" t="s">
        <v>29</v>
      </c>
      <c r="O38" s="199" t="s">
        <v>29</v>
      </c>
      <c r="P38" s="199" t="s">
        <v>29</v>
      </c>
      <c r="Q38" s="199" t="s">
        <v>29</v>
      </c>
      <c r="R38" s="199" t="s">
        <v>29</v>
      </c>
      <c r="S38" s="199" t="s">
        <v>29</v>
      </c>
      <c r="T38" s="199" t="s">
        <v>29</v>
      </c>
      <c r="U38" s="199">
        <v>3</v>
      </c>
      <c r="V38" s="199" t="s">
        <v>29</v>
      </c>
      <c r="W38" s="199" t="s">
        <v>29</v>
      </c>
      <c r="X38" s="199">
        <f>SUM(N38:W38)</f>
        <v>3</v>
      </c>
    </row>
    <row r="39" spans="1:24" s="374" customFormat="1" x14ac:dyDescent="0.2">
      <c r="A39" s="122">
        <v>2010</v>
      </c>
      <c r="B39" s="199" t="s">
        <v>29</v>
      </c>
      <c r="C39" s="199" t="s">
        <v>29</v>
      </c>
      <c r="D39" s="199" t="s">
        <v>29</v>
      </c>
      <c r="E39" s="199">
        <v>0</v>
      </c>
      <c r="F39" s="199">
        <v>0</v>
      </c>
      <c r="G39" s="199">
        <v>0</v>
      </c>
      <c r="H39" s="199">
        <v>0</v>
      </c>
      <c r="I39" s="199">
        <v>0</v>
      </c>
      <c r="J39" s="199" t="s">
        <v>29</v>
      </c>
      <c r="K39" s="199" t="s">
        <v>29</v>
      </c>
      <c r="L39" s="199">
        <f t="shared" si="2"/>
        <v>0</v>
      </c>
      <c r="M39" s="52"/>
      <c r="N39" s="199" t="s">
        <v>29</v>
      </c>
      <c r="O39" s="199" t="s">
        <v>29</v>
      </c>
      <c r="P39" s="199" t="s">
        <v>29</v>
      </c>
      <c r="Q39" s="199" t="s">
        <v>29</v>
      </c>
      <c r="R39" s="199" t="s">
        <v>29</v>
      </c>
      <c r="S39" s="199" t="s">
        <v>29</v>
      </c>
      <c r="T39" s="199" t="s">
        <v>29</v>
      </c>
      <c r="U39" s="199" t="s">
        <v>29</v>
      </c>
      <c r="V39" s="199" t="s">
        <v>29</v>
      </c>
      <c r="W39" s="199" t="s">
        <v>29</v>
      </c>
      <c r="X39" s="199" t="s">
        <v>29</v>
      </c>
    </row>
    <row r="40" spans="1:24" s="374" customFormat="1" x14ac:dyDescent="0.2">
      <c r="A40" s="402">
        <v>2011</v>
      </c>
      <c r="B40" s="199" t="s">
        <v>29</v>
      </c>
      <c r="C40" s="199" t="s">
        <v>29</v>
      </c>
      <c r="D40" s="199" t="s">
        <v>29</v>
      </c>
      <c r="E40" s="199">
        <v>36</v>
      </c>
      <c r="F40" s="199">
        <v>12</v>
      </c>
      <c r="G40" s="199">
        <v>42</v>
      </c>
      <c r="H40" s="199">
        <v>18</v>
      </c>
      <c r="I40" s="199">
        <v>5</v>
      </c>
      <c r="J40" s="199" t="s">
        <v>29</v>
      </c>
      <c r="K40" s="199" t="s">
        <v>29</v>
      </c>
      <c r="L40" s="199">
        <f t="shared" si="2"/>
        <v>113</v>
      </c>
      <c r="M40" s="52"/>
      <c r="N40" s="199" t="s">
        <v>29</v>
      </c>
      <c r="O40" s="199" t="s">
        <v>29</v>
      </c>
      <c r="P40" s="199" t="s">
        <v>29</v>
      </c>
      <c r="Q40" s="199" t="s">
        <v>29</v>
      </c>
      <c r="R40" s="199" t="s">
        <v>29</v>
      </c>
      <c r="S40" s="199" t="s">
        <v>29</v>
      </c>
      <c r="T40" s="199" t="s">
        <v>29</v>
      </c>
      <c r="U40" s="199" t="s">
        <v>29</v>
      </c>
      <c r="V40" s="199" t="s">
        <v>29</v>
      </c>
      <c r="W40" s="199" t="s">
        <v>29</v>
      </c>
      <c r="X40" s="199" t="s">
        <v>29</v>
      </c>
    </row>
    <row r="41" spans="1:24" s="374" customFormat="1" x14ac:dyDescent="0.2">
      <c r="A41" s="402">
        <v>2012</v>
      </c>
      <c r="B41" s="199" t="s">
        <v>29</v>
      </c>
      <c r="C41" s="199" t="s">
        <v>29</v>
      </c>
      <c r="D41" s="199" t="s">
        <v>29</v>
      </c>
      <c r="E41" s="199">
        <v>115</v>
      </c>
      <c r="F41" s="199">
        <v>761</v>
      </c>
      <c r="G41" s="199">
        <v>4761</v>
      </c>
      <c r="H41" s="199">
        <v>1469</v>
      </c>
      <c r="I41" s="199">
        <v>326</v>
      </c>
      <c r="J41" s="199" t="s">
        <v>29</v>
      </c>
      <c r="K41" s="199" t="s">
        <v>29</v>
      </c>
      <c r="L41" s="199">
        <f t="shared" si="2"/>
        <v>7432</v>
      </c>
      <c r="M41" s="52"/>
      <c r="N41" s="199" t="s">
        <v>29</v>
      </c>
      <c r="O41" s="199" t="s">
        <v>29</v>
      </c>
      <c r="P41" s="199" t="s">
        <v>29</v>
      </c>
      <c r="Q41" s="199" t="s">
        <v>29</v>
      </c>
      <c r="R41" s="199">
        <v>23</v>
      </c>
      <c r="S41" s="199">
        <v>27</v>
      </c>
      <c r="T41" s="199" t="s">
        <v>29</v>
      </c>
      <c r="U41" s="199" t="s">
        <v>29</v>
      </c>
      <c r="V41" s="199" t="s">
        <v>29</v>
      </c>
      <c r="W41" s="199" t="s">
        <v>29</v>
      </c>
      <c r="X41" s="199">
        <f>SUM(N41:W41)</f>
        <v>50</v>
      </c>
    </row>
    <row r="42" spans="1:24" s="374" customFormat="1" x14ac:dyDescent="0.2">
      <c r="A42" s="402">
        <v>2013</v>
      </c>
      <c r="B42" s="199" t="s">
        <v>29</v>
      </c>
      <c r="C42" s="199" t="s">
        <v>29</v>
      </c>
      <c r="D42" s="199" t="s">
        <v>29</v>
      </c>
      <c r="E42" s="199">
        <v>140</v>
      </c>
      <c r="F42" s="199">
        <v>2913</v>
      </c>
      <c r="G42" s="199">
        <v>2726</v>
      </c>
      <c r="H42" s="199">
        <v>284</v>
      </c>
      <c r="I42" s="199">
        <v>0</v>
      </c>
      <c r="J42" s="199" t="s">
        <v>29</v>
      </c>
      <c r="K42" s="199" t="s">
        <v>29</v>
      </c>
      <c r="L42" s="199">
        <f t="shared" si="2"/>
        <v>6063</v>
      </c>
      <c r="M42" s="52"/>
      <c r="N42" s="199" t="s">
        <v>29</v>
      </c>
      <c r="O42" s="199" t="s">
        <v>29</v>
      </c>
      <c r="P42" s="199" t="s">
        <v>29</v>
      </c>
      <c r="Q42" s="199" t="s">
        <v>29</v>
      </c>
      <c r="R42" s="199">
        <v>22</v>
      </c>
      <c r="S42" s="199">
        <v>19</v>
      </c>
      <c r="T42" s="199" t="s">
        <v>29</v>
      </c>
      <c r="U42" s="199" t="s">
        <v>29</v>
      </c>
      <c r="V42" s="199" t="s">
        <v>29</v>
      </c>
      <c r="W42" s="199" t="s">
        <v>29</v>
      </c>
      <c r="X42" s="199">
        <f>SUM(N42:W42)</f>
        <v>41</v>
      </c>
    </row>
    <row r="43" spans="1:24" s="374" customFormat="1" x14ac:dyDescent="0.2">
      <c r="A43" s="402">
        <v>2014</v>
      </c>
      <c r="B43" s="199" t="s">
        <v>29</v>
      </c>
      <c r="C43" s="199" t="s">
        <v>29</v>
      </c>
      <c r="D43" s="199" t="s">
        <v>29</v>
      </c>
      <c r="E43" s="199">
        <v>1522</v>
      </c>
      <c r="F43" s="199">
        <v>402</v>
      </c>
      <c r="G43" s="199">
        <v>1284</v>
      </c>
      <c r="H43" s="199">
        <v>25</v>
      </c>
      <c r="I43" s="199">
        <v>0</v>
      </c>
      <c r="J43" s="199" t="s">
        <v>29</v>
      </c>
      <c r="K43" s="199" t="s">
        <v>29</v>
      </c>
      <c r="L43" s="199">
        <f t="shared" si="2"/>
        <v>3233</v>
      </c>
      <c r="M43" s="52"/>
      <c r="N43" s="199" t="s">
        <v>29</v>
      </c>
      <c r="O43" s="199" t="s">
        <v>29</v>
      </c>
      <c r="P43" s="199" t="s">
        <v>29</v>
      </c>
      <c r="Q43" s="199" t="s">
        <v>29</v>
      </c>
      <c r="R43" s="199">
        <v>16</v>
      </c>
      <c r="S43" s="199">
        <v>50</v>
      </c>
      <c r="T43" s="199" t="s">
        <v>29</v>
      </c>
      <c r="U43" s="199" t="s">
        <v>29</v>
      </c>
      <c r="V43" s="199" t="s">
        <v>29</v>
      </c>
      <c r="W43" s="199" t="s">
        <v>29</v>
      </c>
      <c r="X43" s="199">
        <f>SUM(N43:W43)</f>
        <v>66</v>
      </c>
    </row>
    <row r="44" spans="1:24" s="374" customFormat="1" x14ac:dyDescent="0.2">
      <c r="A44" s="402">
        <v>2015</v>
      </c>
      <c r="B44" s="199" t="s">
        <v>29</v>
      </c>
      <c r="C44" s="199" t="s">
        <v>29</v>
      </c>
      <c r="D44" s="199" t="s">
        <v>29</v>
      </c>
      <c r="E44" s="199">
        <v>23</v>
      </c>
      <c r="F44" s="199">
        <v>19</v>
      </c>
      <c r="G44" s="199">
        <v>0</v>
      </c>
      <c r="H44" s="199">
        <v>22</v>
      </c>
      <c r="I44" s="199">
        <v>0</v>
      </c>
      <c r="J44" s="199" t="s">
        <v>29</v>
      </c>
      <c r="K44" s="199" t="s">
        <v>29</v>
      </c>
      <c r="L44" s="199">
        <f t="shared" si="2"/>
        <v>64</v>
      </c>
      <c r="M44" s="52"/>
      <c r="N44" s="199" t="s">
        <v>29</v>
      </c>
      <c r="O44" s="199" t="s">
        <v>29</v>
      </c>
      <c r="P44" s="199" t="s">
        <v>29</v>
      </c>
      <c r="Q44" s="199" t="s">
        <v>29</v>
      </c>
      <c r="R44" s="199" t="s">
        <v>29</v>
      </c>
      <c r="S44" s="199" t="s">
        <v>29</v>
      </c>
      <c r="T44" s="199" t="s">
        <v>29</v>
      </c>
      <c r="U44" s="199" t="s">
        <v>29</v>
      </c>
      <c r="V44" s="199" t="s">
        <v>29</v>
      </c>
      <c r="W44" s="199" t="s">
        <v>29</v>
      </c>
      <c r="X44" s="199" t="s">
        <v>29</v>
      </c>
    </row>
    <row r="45" spans="1:24" s="374" customFormat="1" x14ac:dyDescent="0.2">
      <c r="A45" s="402">
        <v>2016</v>
      </c>
      <c r="B45" s="199" t="s">
        <v>29</v>
      </c>
      <c r="C45" s="199" t="s">
        <v>29</v>
      </c>
      <c r="D45" s="199" t="s">
        <v>29</v>
      </c>
      <c r="E45" s="199">
        <v>4</v>
      </c>
      <c r="F45" s="199">
        <v>9</v>
      </c>
      <c r="G45" s="199">
        <v>20</v>
      </c>
      <c r="H45" s="199">
        <v>0</v>
      </c>
      <c r="I45" s="199">
        <v>0</v>
      </c>
      <c r="J45" s="199" t="s">
        <v>29</v>
      </c>
      <c r="K45" s="199" t="s">
        <v>29</v>
      </c>
      <c r="L45" s="199">
        <f t="shared" si="2"/>
        <v>33</v>
      </c>
      <c r="M45" s="52"/>
      <c r="N45" s="199" t="s">
        <v>29</v>
      </c>
      <c r="O45" s="199" t="s">
        <v>29</v>
      </c>
      <c r="P45" s="199" t="s">
        <v>29</v>
      </c>
      <c r="Q45" s="199" t="s">
        <v>29</v>
      </c>
      <c r="R45" s="199" t="s">
        <v>29</v>
      </c>
      <c r="S45" s="199" t="s">
        <v>29</v>
      </c>
      <c r="T45" s="199" t="s">
        <v>29</v>
      </c>
      <c r="U45" s="199" t="s">
        <v>29</v>
      </c>
      <c r="V45" s="199" t="s">
        <v>29</v>
      </c>
      <c r="W45" s="199" t="s">
        <v>29</v>
      </c>
      <c r="X45" s="199" t="s">
        <v>29</v>
      </c>
    </row>
    <row r="46" spans="1:24" s="374" customFormat="1" x14ac:dyDescent="0.2">
      <c r="A46" s="402">
        <v>2017</v>
      </c>
      <c r="B46" s="199" t="s">
        <v>29</v>
      </c>
      <c r="C46" s="199" t="s">
        <v>29</v>
      </c>
      <c r="D46" s="199" t="s">
        <v>29</v>
      </c>
      <c r="E46" s="199" t="s">
        <v>29</v>
      </c>
      <c r="F46" s="199" t="s">
        <v>29</v>
      </c>
      <c r="G46" s="199" t="s">
        <v>29</v>
      </c>
      <c r="H46" s="199" t="s">
        <v>29</v>
      </c>
      <c r="I46" s="199" t="s">
        <v>29</v>
      </c>
      <c r="J46" s="199" t="s">
        <v>29</v>
      </c>
      <c r="K46" s="199" t="s">
        <v>29</v>
      </c>
      <c r="L46" s="199" t="s">
        <v>29</v>
      </c>
      <c r="M46" s="52"/>
      <c r="N46" s="199" t="s">
        <v>29</v>
      </c>
      <c r="O46" s="199" t="s">
        <v>29</v>
      </c>
      <c r="P46" s="199" t="s">
        <v>29</v>
      </c>
      <c r="Q46" s="199" t="s">
        <v>29</v>
      </c>
      <c r="R46" s="199" t="s">
        <v>29</v>
      </c>
      <c r="S46" s="199" t="s">
        <v>29</v>
      </c>
      <c r="T46" s="199" t="s">
        <v>29</v>
      </c>
      <c r="U46" s="199" t="s">
        <v>29</v>
      </c>
      <c r="V46" s="199" t="s">
        <v>29</v>
      </c>
      <c r="W46" s="199" t="s">
        <v>29</v>
      </c>
      <c r="X46" s="199" t="s">
        <v>29</v>
      </c>
    </row>
    <row r="47" spans="1:24" s="374" customFormat="1" x14ac:dyDescent="0.2">
      <c r="A47" s="122">
        <v>2018</v>
      </c>
      <c r="B47" s="199" t="s">
        <v>29</v>
      </c>
      <c r="C47" s="199" t="s">
        <v>29</v>
      </c>
      <c r="D47" s="199" t="s">
        <v>29</v>
      </c>
      <c r="E47" s="199" t="s">
        <v>29</v>
      </c>
      <c r="F47" s="199">
        <v>124</v>
      </c>
      <c r="G47" s="199">
        <v>128</v>
      </c>
      <c r="H47" s="199">
        <v>76</v>
      </c>
      <c r="I47" s="199">
        <v>0</v>
      </c>
      <c r="J47" s="199" t="s">
        <v>29</v>
      </c>
      <c r="K47" s="199" t="s">
        <v>29</v>
      </c>
      <c r="L47" s="199">
        <f t="shared" si="2"/>
        <v>328</v>
      </c>
      <c r="M47" s="52"/>
      <c r="N47" s="199" t="s">
        <v>29</v>
      </c>
      <c r="O47" s="199" t="s">
        <v>29</v>
      </c>
      <c r="P47" s="199" t="s">
        <v>29</v>
      </c>
      <c r="Q47" s="199" t="s">
        <v>29</v>
      </c>
      <c r="R47" s="199">
        <v>8</v>
      </c>
      <c r="S47" s="199">
        <v>16</v>
      </c>
      <c r="T47" s="199" t="s">
        <v>29</v>
      </c>
      <c r="U47" s="199" t="s">
        <v>29</v>
      </c>
      <c r="V47" s="199" t="s">
        <v>29</v>
      </c>
      <c r="W47" s="199" t="s">
        <v>29</v>
      </c>
      <c r="X47" s="199">
        <f>SUM(N47:W47)</f>
        <v>24</v>
      </c>
    </row>
    <row r="48" spans="1:24" s="487" customFormat="1" x14ac:dyDescent="0.2">
      <c r="A48" s="496" t="s">
        <v>398</v>
      </c>
      <c r="B48" s="199" t="s">
        <v>29</v>
      </c>
      <c r="C48" s="199" t="s">
        <v>29</v>
      </c>
      <c r="D48" s="199" t="s">
        <v>29</v>
      </c>
      <c r="E48" s="199">
        <v>1</v>
      </c>
      <c r="F48" s="199">
        <v>33</v>
      </c>
      <c r="G48" s="199">
        <v>10</v>
      </c>
      <c r="H48" s="199">
        <v>13</v>
      </c>
      <c r="I48" s="199">
        <v>4</v>
      </c>
      <c r="J48" s="199" t="s">
        <v>29</v>
      </c>
      <c r="K48" s="199" t="s">
        <v>29</v>
      </c>
      <c r="L48" s="199">
        <f t="shared" ref="L48" si="3">SUM(B48:K48)</f>
        <v>61</v>
      </c>
      <c r="M48" s="52"/>
      <c r="N48" s="199" t="s">
        <v>29</v>
      </c>
      <c r="O48" s="199" t="s">
        <v>29</v>
      </c>
      <c r="P48" s="199" t="s">
        <v>29</v>
      </c>
      <c r="Q48" s="199" t="s">
        <v>29</v>
      </c>
      <c r="R48" s="199" t="s">
        <v>29</v>
      </c>
      <c r="S48" s="199">
        <v>4</v>
      </c>
      <c r="T48" s="199">
        <v>4</v>
      </c>
      <c r="U48" s="199" t="s">
        <v>29</v>
      </c>
      <c r="V48" s="199" t="s">
        <v>29</v>
      </c>
      <c r="W48" s="199" t="s">
        <v>29</v>
      </c>
      <c r="X48" s="199">
        <f>SUM(N48:W48)</f>
        <v>8</v>
      </c>
    </row>
    <row r="49" spans="1:24" x14ac:dyDescent="0.2">
      <c r="A49" s="496" t="s">
        <v>399</v>
      </c>
      <c r="B49" s="198" t="s">
        <v>29</v>
      </c>
      <c r="C49" s="198" t="s">
        <v>29</v>
      </c>
      <c r="D49" s="198" t="s">
        <v>29</v>
      </c>
      <c r="E49" s="198" t="s">
        <v>29</v>
      </c>
      <c r="F49" s="198" t="s">
        <v>116</v>
      </c>
      <c r="G49" s="198">
        <v>314</v>
      </c>
      <c r="H49" s="198">
        <v>65</v>
      </c>
      <c r="I49" s="198" t="s">
        <v>29</v>
      </c>
      <c r="J49" s="198" t="s">
        <v>29</v>
      </c>
      <c r="K49" s="198" t="s">
        <v>29</v>
      </c>
      <c r="L49" s="199">
        <f t="shared" si="2"/>
        <v>379</v>
      </c>
      <c r="M49" s="31"/>
      <c r="N49" s="198" t="s">
        <v>29</v>
      </c>
      <c r="O49" s="198" t="s">
        <v>29</v>
      </c>
      <c r="P49" s="198" t="s">
        <v>29</v>
      </c>
      <c r="Q49" s="198" t="s">
        <v>29</v>
      </c>
      <c r="R49" s="198" t="s">
        <v>29</v>
      </c>
      <c r="S49" s="198">
        <v>14</v>
      </c>
      <c r="T49" s="198" t="s">
        <v>29</v>
      </c>
      <c r="U49" s="198" t="s">
        <v>29</v>
      </c>
      <c r="V49" s="198" t="s">
        <v>29</v>
      </c>
      <c r="W49" s="198" t="s">
        <v>29</v>
      </c>
      <c r="X49" s="199">
        <f>SUM(N49:W49)</f>
        <v>14</v>
      </c>
    </row>
    <row r="50" spans="1:24" ht="15.75" x14ac:dyDescent="0.25">
      <c r="B50" s="198"/>
      <c r="C50" s="198"/>
      <c r="D50" s="198"/>
      <c r="E50" s="198"/>
      <c r="F50" s="198"/>
      <c r="G50" s="198"/>
      <c r="H50" s="198"/>
      <c r="I50" s="198"/>
      <c r="J50" s="198"/>
      <c r="K50" s="198"/>
      <c r="L50" s="198"/>
      <c r="M50" s="31"/>
      <c r="N50" s="345"/>
      <c r="O50" s="345"/>
      <c r="P50" s="345"/>
      <c r="Q50" s="345"/>
      <c r="R50" s="345"/>
      <c r="S50" s="345"/>
      <c r="T50" s="345"/>
      <c r="U50" s="345"/>
      <c r="V50" s="345"/>
      <c r="W50" s="345"/>
      <c r="X50" s="198"/>
    </row>
    <row r="51" spans="1:24" ht="15.75" x14ac:dyDescent="0.25">
      <c r="A51" s="116" t="s">
        <v>23</v>
      </c>
      <c r="B51" s="198"/>
      <c r="C51" s="198"/>
      <c r="D51" s="198"/>
      <c r="E51" s="198"/>
      <c r="F51" s="198"/>
      <c r="G51" s="198"/>
      <c r="H51" s="198"/>
      <c r="I51" s="198"/>
      <c r="J51" s="198"/>
      <c r="K51" s="198"/>
      <c r="L51" s="198"/>
      <c r="M51" s="31"/>
      <c r="N51" s="345"/>
      <c r="O51" s="345"/>
      <c r="P51" s="345"/>
      <c r="Q51" s="345"/>
      <c r="R51" s="345"/>
      <c r="S51" s="345"/>
      <c r="T51" s="345"/>
      <c r="U51" s="345"/>
      <c r="V51" s="345"/>
      <c r="W51" s="345"/>
      <c r="X51" s="198"/>
    </row>
    <row r="52" spans="1:24" x14ac:dyDescent="0.2">
      <c r="A52" s="383">
        <v>1976</v>
      </c>
      <c r="B52" s="201" t="s">
        <v>116</v>
      </c>
      <c r="C52" s="201" t="s">
        <v>116</v>
      </c>
      <c r="D52" s="198">
        <v>0</v>
      </c>
      <c r="E52" s="198">
        <v>15</v>
      </c>
      <c r="F52" s="198">
        <v>3698</v>
      </c>
      <c r="G52" s="198">
        <v>2460</v>
      </c>
      <c r="H52" s="198">
        <v>819</v>
      </c>
      <c r="I52" s="198">
        <v>119</v>
      </c>
      <c r="J52" s="198">
        <v>0</v>
      </c>
      <c r="K52" s="198">
        <v>0</v>
      </c>
      <c r="L52" s="198">
        <f t="shared" ref="L52:L83" si="4">SUM(B52:K52)</f>
        <v>7111</v>
      </c>
      <c r="M52" s="31"/>
      <c r="N52" s="201" t="s">
        <v>116</v>
      </c>
      <c r="O52" s="201" t="s">
        <v>116</v>
      </c>
      <c r="P52" s="198">
        <v>0</v>
      </c>
      <c r="Q52" s="198">
        <v>173</v>
      </c>
      <c r="R52" s="198">
        <v>8529</v>
      </c>
      <c r="S52" s="198">
        <v>7622</v>
      </c>
      <c r="T52" s="198">
        <v>3341</v>
      </c>
      <c r="U52" s="198">
        <v>180</v>
      </c>
      <c r="V52" s="198">
        <v>0</v>
      </c>
      <c r="W52" s="198">
        <v>0</v>
      </c>
      <c r="X52" s="198">
        <f t="shared" ref="X52:X83" si="5">SUM(N52:W52)</f>
        <v>19845</v>
      </c>
    </row>
    <row r="53" spans="1:24" x14ac:dyDescent="0.2">
      <c r="A53" s="383">
        <v>1977</v>
      </c>
      <c r="B53" s="201" t="s">
        <v>116</v>
      </c>
      <c r="C53" s="201" t="s">
        <v>116</v>
      </c>
      <c r="D53" s="198">
        <v>0</v>
      </c>
      <c r="E53" s="198">
        <v>768</v>
      </c>
      <c r="F53" s="198">
        <v>309</v>
      </c>
      <c r="G53" s="198">
        <v>10141</v>
      </c>
      <c r="H53" s="198">
        <v>1991</v>
      </c>
      <c r="I53" s="198">
        <v>52</v>
      </c>
      <c r="J53" s="198">
        <v>0</v>
      </c>
      <c r="K53" s="198">
        <v>0</v>
      </c>
      <c r="L53" s="198">
        <f t="shared" si="4"/>
        <v>13261</v>
      </c>
      <c r="M53" s="31"/>
      <c r="N53" s="201" t="s">
        <v>116</v>
      </c>
      <c r="O53" s="201" t="s">
        <v>116</v>
      </c>
      <c r="P53" s="198">
        <v>0</v>
      </c>
      <c r="Q53" s="198">
        <v>285</v>
      </c>
      <c r="R53" s="198">
        <v>30</v>
      </c>
      <c r="S53" s="198">
        <v>3474</v>
      </c>
      <c r="T53" s="198">
        <v>2013</v>
      </c>
      <c r="U53" s="198">
        <v>102</v>
      </c>
      <c r="V53" s="198">
        <v>1</v>
      </c>
      <c r="W53" s="198">
        <v>0</v>
      </c>
      <c r="X53" s="198">
        <f t="shared" si="5"/>
        <v>5905</v>
      </c>
    </row>
    <row r="54" spans="1:24" x14ac:dyDescent="0.2">
      <c r="A54" s="383">
        <v>1978</v>
      </c>
      <c r="B54" s="201" t="s">
        <v>116</v>
      </c>
      <c r="C54" s="201" t="s">
        <v>116</v>
      </c>
      <c r="D54" s="198">
        <v>0</v>
      </c>
      <c r="E54" s="198">
        <v>0</v>
      </c>
      <c r="F54" s="198">
        <v>713</v>
      </c>
      <c r="G54" s="198">
        <v>1117</v>
      </c>
      <c r="H54" s="198">
        <v>478</v>
      </c>
      <c r="I54" s="198">
        <v>0</v>
      </c>
      <c r="J54" s="198">
        <v>0</v>
      </c>
      <c r="K54" s="198">
        <v>0</v>
      </c>
      <c r="L54" s="198">
        <f t="shared" si="4"/>
        <v>2308</v>
      </c>
      <c r="M54" s="31"/>
      <c r="N54" s="201" t="s">
        <v>116</v>
      </c>
      <c r="O54" s="201" t="s">
        <v>116</v>
      </c>
      <c r="P54" s="198">
        <v>0</v>
      </c>
      <c r="Q54" s="198">
        <v>0</v>
      </c>
      <c r="R54" s="198">
        <v>7854</v>
      </c>
      <c r="S54" s="198">
        <v>9697</v>
      </c>
      <c r="T54" s="198">
        <v>1390</v>
      </c>
      <c r="U54" s="198">
        <v>31</v>
      </c>
      <c r="V54" s="198">
        <v>0</v>
      </c>
      <c r="W54" s="198">
        <v>0</v>
      </c>
      <c r="X54" s="198">
        <f t="shared" si="5"/>
        <v>18972</v>
      </c>
    </row>
    <row r="55" spans="1:24" x14ac:dyDescent="0.2">
      <c r="A55" s="383">
        <v>1979</v>
      </c>
      <c r="B55" s="201" t="s">
        <v>116</v>
      </c>
      <c r="C55" s="201" t="s">
        <v>116</v>
      </c>
      <c r="D55" s="198">
        <v>1</v>
      </c>
      <c r="E55" s="198">
        <v>8</v>
      </c>
      <c r="F55" s="198">
        <v>721</v>
      </c>
      <c r="G55" s="198">
        <v>1955</v>
      </c>
      <c r="H55" s="198">
        <v>891</v>
      </c>
      <c r="I55" s="198">
        <v>50</v>
      </c>
      <c r="J55" s="198">
        <v>21</v>
      </c>
      <c r="K55" s="198" t="s">
        <v>29</v>
      </c>
      <c r="L55" s="198">
        <f t="shared" si="4"/>
        <v>3647</v>
      </c>
      <c r="M55" s="31"/>
      <c r="N55" s="201" t="s">
        <v>116</v>
      </c>
      <c r="O55" s="201" t="s">
        <v>116</v>
      </c>
      <c r="P55" s="198">
        <v>3</v>
      </c>
      <c r="Q55" s="198">
        <v>21</v>
      </c>
      <c r="R55" s="198">
        <v>2062</v>
      </c>
      <c r="S55" s="198">
        <v>5264</v>
      </c>
      <c r="T55" s="198">
        <v>1177</v>
      </c>
      <c r="U55" s="198">
        <v>0</v>
      </c>
      <c r="V55" s="198">
        <v>0</v>
      </c>
      <c r="W55" s="198" t="s">
        <v>29</v>
      </c>
      <c r="X55" s="198">
        <f t="shared" si="5"/>
        <v>8527</v>
      </c>
    </row>
    <row r="56" spans="1:24" x14ac:dyDescent="0.2">
      <c r="A56" s="383">
        <v>1980</v>
      </c>
      <c r="B56" s="201" t="s">
        <v>116</v>
      </c>
      <c r="C56" s="201" t="s">
        <v>116</v>
      </c>
      <c r="D56" s="198">
        <v>0</v>
      </c>
      <c r="E56" s="198">
        <v>2</v>
      </c>
      <c r="F56" s="198">
        <v>795</v>
      </c>
      <c r="G56" s="198">
        <v>2607</v>
      </c>
      <c r="H56" s="198">
        <v>584</v>
      </c>
      <c r="I56" s="198">
        <v>58</v>
      </c>
      <c r="J56" s="198">
        <v>0</v>
      </c>
      <c r="K56" s="198" t="s">
        <v>29</v>
      </c>
      <c r="L56" s="198">
        <f t="shared" si="4"/>
        <v>4046</v>
      </c>
      <c r="M56" s="31"/>
      <c r="N56" s="201" t="s">
        <v>116</v>
      </c>
      <c r="O56" s="201" t="s">
        <v>116</v>
      </c>
      <c r="P56" s="198">
        <v>0</v>
      </c>
      <c r="Q56" s="198">
        <v>5</v>
      </c>
      <c r="R56" s="198">
        <v>2200</v>
      </c>
      <c r="S56" s="198">
        <v>9311</v>
      </c>
      <c r="T56" s="198">
        <v>748</v>
      </c>
      <c r="U56" s="198">
        <v>56</v>
      </c>
      <c r="V56" s="198">
        <v>0</v>
      </c>
      <c r="W56" s="198" t="s">
        <v>29</v>
      </c>
      <c r="X56" s="198">
        <f t="shared" si="5"/>
        <v>12320</v>
      </c>
    </row>
    <row r="57" spans="1:24" x14ac:dyDescent="0.2">
      <c r="A57" s="383">
        <v>1981</v>
      </c>
      <c r="B57" s="201" t="s">
        <v>116</v>
      </c>
      <c r="C57" s="201" t="s">
        <v>116</v>
      </c>
      <c r="D57" s="198">
        <v>0</v>
      </c>
      <c r="E57" s="198">
        <v>5</v>
      </c>
      <c r="F57" s="198">
        <v>268</v>
      </c>
      <c r="G57" s="198">
        <v>2474</v>
      </c>
      <c r="H57" s="198">
        <v>1653</v>
      </c>
      <c r="I57" s="198">
        <v>6</v>
      </c>
      <c r="J57" s="198">
        <v>0</v>
      </c>
      <c r="K57" s="198">
        <v>0</v>
      </c>
      <c r="L57" s="198">
        <f t="shared" si="4"/>
        <v>4406</v>
      </c>
      <c r="M57" s="31"/>
      <c r="N57" s="201" t="s">
        <v>116</v>
      </c>
      <c r="O57" s="201" t="s">
        <v>116</v>
      </c>
      <c r="P57" s="198">
        <v>0</v>
      </c>
      <c r="Q57" s="198">
        <v>0</v>
      </c>
      <c r="R57" s="198">
        <v>390</v>
      </c>
      <c r="S57" s="198">
        <v>3128</v>
      </c>
      <c r="T57" s="198">
        <v>1948</v>
      </c>
      <c r="U57" s="198">
        <v>40</v>
      </c>
      <c r="V57" s="198">
        <v>0</v>
      </c>
      <c r="W57" s="198">
        <v>0</v>
      </c>
      <c r="X57" s="198">
        <f t="shared" si="5"/>
        <v>5506</v>
      </c>
    </row>
    <row r="58" spans="1:24" x14ac:dyDescent="0.2">
      <c r="A58" s="383">
        <v>1982</v>
      </c>
      <c r="B58" s="201" t="s">
        <v>116</v>
      </c>
      <c r="C58" s="201" t="s">
        <v>116</v>
      </c>
      <c r="D58" s="198">
        <v>0</v>
      </c>
      <c r="E58" s="198">
        <v>0</v>
      </c>
      <c r="F58" s="198">
        <v>3802</v>
      </c>
      <c r="G58" s="198">
        <v>2780</v>
      </c>
      <c r="H58" s="198">
        <v>483</v>
      </c>
      <c r="I58" s="198">
        <v>19</v>
      </c>
      <c r="J58" s="198">
        <v>0</v>
      </c>
      <c r="K58" s="198">
        <v>0</v>
      </c>
      <c r="L58" s="198">
        <f t="shared" si="4"/>
        <v>7084</v>
      </c>
      <c r="M58" s="31"/>
      <c r="N58" s="201" t="s">
        <v>116</v>
      </c>
      <c r="O58" s="201" t="s">
        <v>116</v>
      </c>
      <c r="P58" s="198">
        <v>0</v>
      </c>
      <c r="Q58" s="198">
        <v>0</v>
      </c>
      <c r="R58" s="198">
        <v>6410</v>
      </c>
      <c r="S58" s="198">
        <v>6638</v>
      </c>
      <c r="T58" s="198">
        <v>1333</v>
      </c>
      <c r="U58" s="198">
        <v>37</v>
      </c>
      <c r="V58" s="198">
        <v>0</v>
      </c>
      <c r="W58" s="198">
        <v>0</v>
      </c>
      <c r="X58" s="198">
        <f t="shared" si="5"/>
        <v>14418</v>
      </c>
    </row>
    <row r="59" spans="1:24" x14ac:dyDescent="0.2">
      <c r="A59" s="383">
        <v>1983</v>
      </c>
      <c r="B59" s="201" t="s">
        <v>116</v>
      </c>
      <c r="C59" s="201" t="s">
        <v>116</v>
      </c>
      <c r="D59" s="198">
        <v>0</v>
      </c>
      <c r="E59" s="198">
        <v>3</v>
      </c>
      <c r="F59" s="198">
        <v>2059</v>
      </c>
      <c r="G59" s="198">
        <v>2770</v>
      </c>
      <c r="H59" s="198">
        <v>510</v>
      </c>
      <c r="I59" s="198">
        <v>108</v>
      </c>
      <c r="J59" s="198">
        <v>34</v>
      </c>
      <c r="K59" s="198">
        <v>0</v>
      </c>
      <c r="L59" s="198">
        <f t="shared" si="4"/>
        <v>5484</v>
      </c>
      <c r="M59" s="31"/>
      <c r="N59" s="201" t="s">
        <v>116</v>
      </c>
      <c r="O59" s="201" t="s">
        <v>116</v>
      </c>
      <c r="P59" s="198">
        <v>0</v>
      </c>
      <c r="Q59" s="198">
        <v>5</v>
      </c>
      <c r="R59" s="198">
        <v>5914</v>
      </c>
      <c r="S59" s="198">
        <v>6700</v>
      </c>
      <c r="T59" s="198">
        <v>2244</v>
      </c>
      <c r="U59" s="198">
        <v>198</v>
      </c>
      <c r="V59" s="198">
        <v>0</v>
      </c>
      <c r="W59" s="198">
        <v>0</v>
      </c>
      <c r="X59" s="198">
        <f t="shared" si="5"/>
        <v>15061</v>
      </c>
    </row>
    <row r="60" spans="1:24" x14ac:dyDescent="0.2">
      <c r="A60" s="383">
        <v>1984</v>
      </c>
      <c r="B60" s="201" t="s">
        <v>116</v>
      </c>
      <c r="C60" s="201" t="s">
        <v>116</v>
      </c>
      <c r="D60" s="198">
        <v>0</v>
      </c>
      <c r="E60" s="198">
        <v>8</v>
      </c>
      <c r="F60" s="198">
        <v>95</v>
      </c>
      <c r="G60" s="198">
        <v>3840</v>
      </c>
      <c r="H60" s="198">
        <v>588</v>
      </c>
      <c r="I60" s="198">
        <v>75</v>
      </c>
      <c r="J60" s="198">
        <v>5</v>
      </c>
      <c r="K60" s="198">
        <v>0</v>
      </c>
      <c r="L60" s="198">
        <f t="shared" si="4"/>
        <v>4611</v>
      </c>
      <c r="M60" s="31"/>
      <c r="N60" s="201" t="s">
        <v>116</v>
      </c>
      <c r="O60" s="201" t="s">
        <v>116</v>
      </c>
      <c r="P60" s="198">
        <v>0</v>
      </c>
      <c r="Q60" s="198">
        <v>0</v>
      </c>
      <c r="R60" s="198">
        <v>42</v>
      </c>
      <c r="S60" s="198">
        <v>7875</v>
      </c>
      <c r="T60" s="198">
        <v>1002</v>
      </c>
      <c r="U60" s="198">
        <v>40</v>
      </c>
      <c r="V60" s="198">
        <v>0</v>
      </c>
      <c r="W60" s="198">
        <v>0</v>
      </c>
      <c r="X60" s="198">
        <f t="shared" si="5"/>
        <v>8959</v>
      </c>
    </row>
    <row r="61" spans="1:24" x14ac:dyDescent="0.2">
      <c r="A61" s="383">
        <v>1985</v>
      </c>
      <c r="B61" s="201" t="s">
        <v>116</v>
      </c>
      <c r="C61" s="201" t="s">
        <v>116</v>
      </c>
      <c r="D61" s="198">
        <v>5</v>
      </c>
      <c r="E61" s="198">
        <v>6404</v>
      </c>
      <c r="F61" s="198">
        <v>4905</v>
      </c>
      <c r="G61" s="198">
        <v>12772</v>
      </c>
      <c r="H61" s="198">
        <v>2142</v>
      </c>
      <c r="I61" s="198">
        <v>156</v>
      </c>
      <c r="J61" s="198">
        <v>0</v>
      </c>
      <c r="K61" s="198">
        <v>0</v>
      </c>
      <c r="L61" s="198">
        <f t="shared" si="4"/>
        <v>26384</v>
      </c>
      <c r="M61" s="31"/>
      <c r="N61" s="201" t="s">
        <v>116</v>
      </c>
      <c r="O61" s="201" t="s">
        <v>116</v>
      </c>
      <c r="P61" s="198">
        <v>0</v>
      </c>
      <c r="Q61" s="198">
        <v>781</v>
      </c>
      <c r="R61" s="198">
        <v>168</v>
      </c>
      <c r="S61" s="198">
        <v>4434</v>
      </c>
      <c r="T61" s="198">
        <v>2064</v>
      </c>
      <c r="U61" s="198">
        <v>438</v>
      </c>
      <c r="V61" s="198">
        <v>0</v>
      </c>
      <c r="W61" s="198">
        <v>0</v>
      </c>
      <c r="X61" s="198">
        <f t="shared" si="5"/>
        <v>7885</v>
      </c>
    </row>
    <row r="62" spans="1:24" x14ac:dyDescent="0.2">
      <c r="A62" s="383">
        <v>1986</v>
      </c>
      <c r="B62" s="201" t="s">
        <v>116</v>
      </c>
      <c r="C62" s="201" t="s">
        <v>116</v>
      </c>
      <c r="D62" s="198" t="s">
        <v>29</v>
      </c>
      <c r="E62" s="198">
        <v>477</v>
      </c>
      <c r="F62" s="198">
        <v>2590</v>
      </c>
      <c r="G62" s="198">
        <v>3278</v>
      </c>
      <c r="H62" s="198">
        <v>4090</v>
      </c>
      <c r="I62" s="198">
        <v>24</v>
      </c>
      <c r="J62" s="198" t="s">
        <v>29</v>
      </c>
      <c r="K62" s="198" t="s">
        <v>29</v>
      </c>
      <c r="L62" s="198">
        <f t="shared" si="4"/>
        <v>10459</v>
      </c>
      <c r="M62" s="31"/>
      <c r="N62" s="201" t="s">
        <v>116</v>
      </c>
      <c r="O62" s="201" t="s">
        <v>116</v>
      </c>
      <c r="P62" s="198" t="s">
        <v>29</v>
      </c>
      <c r="Q62" s="198">
        <v>125</v>
      </c>
      <c r="R62" s="198">
        <v>2696</v>
      </c>
      <c r="S62" s="198">
        <v>4187</v>
      </c>
      <c r="T62" s="198">
        <v>1591</v>
      </c>
      <c r="U62" s="198">
        <v>6</v>
      </c>
      <c r="V62" s="198" t="s">
        <v>29</v>
      </c>
      <c r="W62" s="198" t="s">
        <v>29</v>
      </c>
      <c r="X62" s="198">
        <f t="shared" si="5"/>
        <v>8605</v>
      </c>
    </row>
    <row r="63" spans="1:24" x14ac:dyDescent="0.2">
      <c r="A63" s="383">
        <v>1987</v>
      </c>
      <c r="B63" s="198" t="s">
        <v>29</v>
      </c>
      <c r="C63" s="198" t="s">
        <v>29</v>
      </c>
      <c r="D63" s="198" t="s">
        <v>29</v>
      </c>
      <c r="E63" s="198">
        <v>1139</v>
      </c>
      <c r="F63" s="198">
        <v>3706</v>
      </c>
      <c r="G63" s="198">
        <v>6490</v>
      </c>
      <c r="H63" s="198">
        <v>6500</v>
      </c>
      <c r="I63" s="198">
        <v>601</v>
      </c>
      <c r="J63" s="198" t="s">
        <v>29</v>
      </c>
      <c r="K63" s="198" t="s">
        <v>29</v>
      </c>
      <c r="L63" s="198">
        <f t="shared" si="4"/>
        <v>18436</v>
      </c>
      <c r="M63" s="31"/>
      <c r="N63" s="198" t="s">
        <v>29</v>
      </c>
      <c r="O63" s="198" t="s">
        <v>29</v>
      </c>
      <c r="P63" s="198" t="s">
        <v>29</v>
      </c>
      <c r="Q63" s="198">
        <v>81</v>
      </c>
      <c r="R63" s="198">
        <v>3455</v>
      </c>
      <c r="S63" s="198">
        <v>21274</v>
      </c>
      <c r="T63" s="198">
        <v>4326</v>
      </c>
      <c r="U63" s="198">
        <v>645</v>
      </c>
      <c r="V63" s="198" t="s">
        <v>29</v>
      </c>
      <c r="W63" s="198" t="s">
        <v>29</v>
      </c>
      <c r="X63" s="198">
        <f t="shared" si="5"/>
        <v>29781</v>
      </c>
    </row>
    <row r="64" spans="1:24" x14ac:dyDescent="0.2">
      <c r="A64" s="383">
        <v>1988</v>
      </c>
      <c r="B64" s="198" t="s">
        <v>29</v>
      </c>
      <c r="C64" s="198" t="s">
        <v>29</v>
      </c>
      <c r="D64" s="198" t="s">
        <v>29</v>
      </c>
      <c r="E64" s="198">
        <v>572</v>
      </c>
      <c r="F64" s="198">
        <v>5689</v>
      </c>
      <c r="G64" s="198">
        <v>7018</v>
      </c>
      <c r="H64" s="198">
        <v>904</v>
      </c>
      <c r="I64" s="198">
        <v>162</v>
      </c>
      <c r="J64" s="198" t="s">
        <v>29</v>
      </c>
      <c r="K64" s="198" t="s">
        <v>29</v>
      </c>
      <c r="L64" s="198">
        <f t="shared" si="4"/>
        <v>14345</v>
      </c>
      <c r="M64" s="31"/>
      <c r="N64" s="198" t="s">
        <v>29</v>
      </c>
      <c r="O64" s="198" t="s">
        <v>29</v>
      </c>
      <c r="P64" s="198" t="s">
        <v>29</v>
      </c>
      <c r="Q64" s="198">
        <v>671</v>
      </c>
      <c r="R64" s="198">
        <v>3491</v>
      </c>
      <c r="S64" s="198">
        <v>12169</v>
      </c>
      <c r="T64" s="198">
        <v>2190</v>
      </c>
      <c r="U64" s="198">
        <v>427</v>
      </c>
      <c r="V64" s="198" t="s">
        <v>29</v>
      </c>
      <c r="W64" s="198" t="s">
        <v>29</v>
      </c>
      <c r="X64" s="198">
        <f t="shared" si="5"/>
        <v>18948</v>
      </c>
    </row>
    <row r="65" spans="1:24" x14ac:dyDescent="0.2">
      <c r="A65" s="383">
        <v>1989</v>
      </c>
      <c r="B65" s="198" t="s">
        <v>29</v>
      </c>
      <c r="C65" s="198" t="s">
        <v>29</v>
      </c>
      <c r="D65" s="198" t="s">
        <v>29</v>
      </c>
      <c r="E65" s="198">
        <v>1645</v>
      </c>
      <c r="F65" s="198">
        <v>7503</v>
      </c>
      <c r="G65" s="198">
        <v>12195</v>
      </c>
      <c r="H65" s="198">
        <v>3200</v>
      </c>
      <c r="I65" s="198">
        <v>99</v>
      </c>
      <c r="J65" s="198" t="s">
        <v>29</v>
      </c>
      <c r="K65" s="198" t="s">
        <v>29</v>
      </c>
      <c r="L65" s="198">
        <f t="shared" si="4"/>
        <v>24642</v>
      </c>
      <c r="M65" s="31"/>
      <c r="N65" s="198" t="s">
        <v>29</v>
      </c>
      <c r="O65" s="198" t="s">
        <v>29</v>
      </c>
      <c r="P65" s="198" t="s">
        <v>29</v>
      </c>
      <c r="Q65" s="198">
        <v>1567</v>
      </c>
      <c r="R65" s="198">
        <v>7512</v>
      </c>
      <c r="S65" s="198">
        <v>13376</v>
      </c>
      <c r="T65" s="198">
        <v>3859</v>
      </c>
      <c r="U65" s="198">
        <v>41</v>
      </c>
      <c r="V65" s="198" t="s">
        <v>29</v>
      </c>
      <c r="W65" s="198" t="s">
        <v>29</v>
      </c>
      <c r="X65" s="198">
        <f t="shared" si="5"/>
        <v>26355</v>
      </c>
    </row>
    <row r="66" spans="1:24" x14ac:dyDescent="0.2">
      <c r="A66" s="383">
        <v>1990</v>
      </c>
      <c r="B66" s="198" t="s">
        <v>29</v>
      </c>
      <c r="C66" s="198" t="s">
        <v>29</v>
      </c>
      <c r="D66" s="198" t="s">
        <v>29</v>
      </c>
      <c r="E66" s="198">
        <v>931</v>
      </c>
      <c r="F66" s="198">
        <v>5140</v>
      </c>
      <c r="G66" s="198">
        <v>4631</v>
      </c>
      <c r="H66" s="198">
        <v>374</v>
      </c>
      <c r="I66" s="198">
        <v>33</v>
      </c>
      <c r="J66" s="198">
        <v>0</v>
      </c>
      <c r="K66" s="198" t="s">
        <v>29</v>
      </c>
      <c r="L66" s="198">
        <f t="shared" si="4"/>
        <v>11109</v>
      </c>
      <c r="M66" s="31"/>
      <c r="N66" s="198" t="s">
        <v>29</v>
      </c>
      <c r="O66" s="198" t="s">
        <v>29</v>
      </c>
      <c r="P66" s="198" t="s">
        <v>29</v>
      </c>
      <c r="Q66" s="198">
        <v>858</v>
      </c>
      <c r="R66" s="198">
        <v>10603</v>
      </c>
      <c r="S66" s="198">
        <v>11218</v>
      </c>
      <c r="T66" s="198">
        <v>1662</v>
      </c>
      <c r="U66" s="198">
        <v>225</v>
      </c>
      <c r="V66" s="198">
        <v>0</v>
      </c>
      <c r="W66" s="198" t="s">
        <v>29</v>
      </c>
      <c r="X66" s="198">
        <f t="shared" si="5"/>
        <v>24566</v>
      </c>
    </row>
    <row r="67" spans="1:24" x14ac:dyDescent="0.2">
      <c r="A67" s="383">
        <v>1991</v>
      </c>
      <c r="B67" s="198" t="s">
        <v>29</v>
      </c>
      <c r="C67" s="198" t="s">
        <v>29</v>
      </c>
      <c r="D67" s="198" t="s">
        <v>29</v>
      </c>
      <c r="E67" s="198">
        <v>57</v>
      </c>
      <c r="F67" s="198">
        <v>6382</v>
      </c>
      <c r="G67" s="198">
        <v>2788</v>
      </c>
      <c r="H67" s="198">
        <v>13</v>
      </c>
      <c r="I67" s="198">
        <v>267</v>
      </c>
      <c r="J67" s="198">
        <v>1</v>
      </c>
      <c r="K67" s="198" t="s">
        <v>29</v>
      </c>
      <c r="L67" s="198">
        <f t="shared" si="4"/>
        <v>9508</v>
      </c>
      <c r="M67" s="31"/>
      <c r="N67" s="198" t="s">
        <v>29</v>
      </c>
      <c r="O67" s="198" t="s">
        <v>29</v>
      </c>
      <c r="P67" s="198" t="s">
        <v>29</v>
      </c>
      <c r="Q67" s="198">
        <v>62</v>
      </c>
      <c r="R67" s="198">
        <v>12570</v>
      </c>
      <c r="S67" s="198">
        <v>8664</v>
      </c>
      <c r="T67" s="198">
        <v>194</v>
      </c>
      <c r="U67" s="198">
        <v>279</v>
      </c>
      <c r="V67" s="198">
        <v>2</v>
      </c>
      <c r="W67" s="198" t="s">
        <v>29</v>
      </c>
      <c r="X67" s="198">
        <f t="shared" si="5"/>
        <v>21771</v>
      </c>
    </row>
    <row r="68" spans="1:24" x14ac:dyDescent="0.2">
      <c r="A68" s="383">
        <v>1992</v>
      </c>
      <c r="B68" s="198" t="s">
        <v>29</v>
      </c>
      <c r="C68" s="198" t="s">
        <v>29</v>
      </c>
      <c r="D68" s="198" t="s">
        <v>29</v>
      </c>
      <c r="E68" s="198" t="s">
        <v>29</v>
      </c>
      <c r="F68" s="198" t="s">
        <v>29</v>
      </c>
      <c r="G68" s="198">
        <v>1397</v>
      </c>
      <c r="H68" s="198" t="s">
        <v>29</v>
      </c>
      <c r="I68" s="198">
        <v>309</v>
      </c>
      <c r="J68" s="198" t="s">
        <v>29</v>
      </c>
      <c r="K68" s="198" t="s">
        <v>29</v>
      </c>
      <c r="L68" s="198">
        <f t="shared" si="4"/>
        <v>1706</v>
      </c>
      <c r="M68" s="31"/>
      <c r="N68" s="198" t="s">
        <v>29</v>
      </c>
      <c r="O68" s="198" t="s">
        <v>29</v>
      </c>
      <c r="P68" s="198" t="s">
        <v>29</v>
      </c>
      <c r="Q68" s="198" t="s">
        <v>29</v>
      </c>
      <c r="R68" s="198" t="s">
        <v>29</v>
      </c>
      <c r="S68" s="198">
        <v>2732</v>
      </c>
      <c r="T68" s="198" t="s">
        <v>29</v>
      </c>
      <c r="U68" s="198">
        <v>859</v>
      </c>
      <c r="V68" s="198" t="s">
        <v>29</v>
      </c>
      <c r="W68" s="198" t="s">
        <v>29</v>
      </c>
      <c r="X68" s="198">
        <f t="shared" si="5"/>
        <v>3591</v>
      </c>
    </row>
    <row r="69" spans="1:24" x14ac:dyDescent="0.2">
      <c r="A69" s="383">
        <v>1993</v>
      </c>
      <c r="B69" s="198" t="s">
        <v>29</v>
      </c>
      <c r="C69" s="198" t="s">
        <v>29</v>
      </c>
      <c r="D69" s="198" t="s">
        <v>29</v>
      </c>
      <c r="E69" s="198">
        <v>258</v>
      </c>
      <c r="F69" s="198">
        <v>230</v>
      </c>
      <c r="G69" s="198">
        <v>1486</v>
      </c>
      <c r="H69" s="198">
        <v>1194</v>
      </c>
      <c r="I69" s="198">
        <v>446</v>
      </c>
      <c r="J69" s="198" t="s">
        <v>29</v>
      </c>
      <c r="K69" s="198" t="s">
        <v>29</v>
      </c>
      <c r="L69" s="198">
        <f t="shared" si="4"/>
        <v>3614</v>
      </c>
      <c r="M69" s="31"/>
      <c r="N69" s="198" t="s">
        <v>29</v>
      </c>
      <c r="O69" s="198" t="s">
        <v>29</v>
      </c>
      <c r="P69" s="198" t="s">
        <v>29</v>
      </c>
      <c r="Q69" s="198">
        <v>562</v>
      </c>
      <c r="R69" s="198">
        <v>797</v>
      </c>
      <c r="S69" s="198">
        <v>3804</v>
      </c>
      <c r="T69" s="198">
        <v>1798</v>
      </c>
      <c r="U69" s="198">
        <v>659</v>
      </c>
      <c r="V69" s="198" t="s">
        <v>29</v>
      </c>
      <c r="W69" s="198" t="s">
        <v>29</v>
      </c>
      <c r="X69" s="198">
        <f t="shared" si="5"/>
        <v>7620</v>
      </c>
    </row>
    <row r="70" spans="1:24" x14ac:dyDescent="0.2">
      <c r="A70" s="383">
        <v>1994</v>
      </c>
      <c r="B70" s="198" t="s">
        <v>29</v>
      </c>
      <c r="C70" s="198" t="s">
        <v>29</v>
      </c>
      <c r="D70" s="198" t="s">
        <v>29</v>
      </c>
      <c r="E70" s="198">
        <v>1438</v>
      </c>
      <c r="F70" s="198">
        <v>1773</v>
      </c>
      <c r="G70" s="198" t="s">
        <v>29</v>
      </c>
      <c r="H70" s="198">
        <v>372</v>
      </c>
      <c r="I70" s="198">
        <v>81</v>
      </c>
      <c r="J70" s="198" t="s">
        <v>29</v>
      </c>
      <c r="K70" s="198" t="s">
        <v>29</v>
      </c>
      <c r="L70" s="198">
        <f t="shared" si="4"/>
        <v>3664</v>
      </c>
      <c r="M70" s="31"/>
      <c r="N70" s="198" t="s">
        <v>29</v>
      </c>
      <c r="O70" s="198" t="s">
        <v>29</v>
      </c>
      <c r="P70" s="198" t="s">
        <v>29</v>
      </c>
      <c r="Q70" s="198" t="s">
        <v>29</v>
      </c>
      <c r="R70" s="198">
        <v>3</v>
      </c>
      <c r="S70" s="198" t="s">
        <v>29</v>
      </c>
      <c r="T70" s="198">
        <v>28</v>
      </c>
      <c r="U70" s="198">
        <v>1</v>
      </c>
      <c r="V70" s="198" t="s">
        <v>29</v>
      </c>
      <c r="W70" s="198" t="s">
        <v>29</v>
      </c>
      <c r="X70" s="198">
        <f t="shared" si="5"/>
        <v>32</v>
      </c>
    </row>
    <row r="71" spans="1:24" x14ac:dyDescent="0.2">
      <c r="A71" s="383">
        <v>1995</v>
      </c>
      <c r="B71" s="198" t="s">
        <v>29</v>
      </c>
      <c r="C71" s="198" t="s">
        <v>29</v>
      </c>
      <c r="D71" s="198" t="s">
        <v>29</v>
      </c>
      <c r="E71" s="198">
        <v>729</v>
      </c>
      <c r="F71" s="198">
        <v>4001</v>
      </c>
      <c r="G71" s="198" t="s">
        <v>29</v>
      </c>
      <c r="H71" s="198">
        <v>1322</v>
      </c>
      <c r="I71" s="198">
        <v>2023</v>
      </c>
      <c r="J71" s="198" t="s">
        <v>29</v>
      </c>
      <c r="K71" s="198" t="s">
        <v>29</v>
      </c>
      <c r="L71" s="198">
        <f t="shared" si="4"/>
        <v>8075</v>
      </c>
      <c r="M71" s="31"/>
      <c r="N71" s="198" t="s">
        <v>29</v>
      </c>
      <c r="O71" s="198" t="s">
        <v>29</v>
      </c>
      <c r="P71" s="198" t="s">
        <v>29</v>
      </c>
      <c r="Q71" s="198">
        <v>2</v>
      </c>
      <c r="R71" s="198">
        <v>86</v>
      </c>
      <c r="S71" s="198" t="s">
        <v>29</v>
      </c>
      <c r="T71" s="198">
        <v>2</v>
      </c>
      <c r="U71" s="198">
        <v>107</v>
      </c>
      <c r="V71" s="198" t="s">
        <v>29</v>
      </c>
      <c r="W71" s="198" t="s">
        <v>29</v>
      </c>
      <c r="X71" s="198">
        <f t="shared" si="5"/>
        <v>197</v>
      </c>
    </row>
    <row r="72" spans="1:24" x14ac:dyDescent="0.2">
      <c r="A72" s="383">
        <v>1996</v>
      </c>
      <c r="B72" s="198" t="s">
        <v>29</v>
      </c>
      <c r="C72" s="198" t="s">
        <v>29</v>
      </c>
      <c r="D72" s="198" t="s">
        <v>29</v>
      </c>
      <c r="E72" s="198">
        <v>1711</v>
      </c>
      <c r="F72" s="198">
        <v>3584</v>
      </c>
      <c r="G72" s="198">
        <v>185</v>
      </c>
      <c r="H72" s="198">
        <v>939</v>
      </c>
      <c r="I72" s="198">
        <v>500</v>
      </c>
      <c r="J72" s="198" t="s">
        <v>29</v>
      </c>
      <c r="K72" s="198" t="s">
        <v>29</v>
      </c>
      <c r="L72" s="198">
        <f t="shared" si="4"/>
        <v>6919</v>
      </c>
      <c r="M72" s="31"/>
      <c r="N72" s="198" t="s">
        <v>29</v>
      </c>
      <c r="O72" s="198" t="s">
        <v>29</v>
      </c>
      <c r="P72" s="198" t="s">
        <v>29</v>
      </c>
      <c r="Q72" s="198" t="s">
        <v>29</v>
      </c>
      <c r="R72" s="198">
        <v>98</v>
      </c>
      <c r="S72" s="198">
        <v>15</v>
      </c>
      <c r="T72" s="198">
        <v>17</v>
      </c>
      <c r="U72" s="198">
        <v>23</v>
      </c>
      <c r="V72" s="198" t="s">
        <v>29</v>
      </c>
      <c r="W72" s="198" t="s">
        <v>29</v>
      </c>
      <c r="X72" s="198">
        <f t="shared" si="5"/>
        <v>153</v>
      </c>
    </row>
    <row r="73" spans="1:24" x14ac:dyDescent="0.2">
      <c r="A73" s="383">
        <v>1997</v>
      </c>
      <c r="B73" s="198" t="s">
        <v>29</v>
      </c>
      <c r="C73" s="198" t="s">
        <v>29</v>
      </c>
      <c r="D73" s="198" t="s">
        <v>29</v>
      </c>
      <c r="E73" s="198">
        <v>1484</v>
      </c>
      <c r="F73" s="198">
        <v>1738</v>
      </c>
      <c r="G73" s="198">
        <v>1160</v>
      </c>
      <c r="H73" s="198">
        <v>2000</v>
      </c>
      <c r="I73" s="198">
        <v>74</v>
      </c>
      <c r="J73" s="198" t="s">
        <v>29</v>
      </c>
      <c r="K73" s="198" t="s">
        <v>29</v>
      </c>
      <c r="L73" s="198">
        <f t="shared" si="4"/>
        <v>6456</v>
      </c>
      <c r="M73" s="31"/>
      <c r="N73" s="198" t="s">
        <v>29</v>
      </c>
      <c r="O73" s="198" t="s">
        <v>29</v>
      </c>
      <c r="P73" s="198" t="s">
        <v>29</v>
      </c>
      <c r="Q73" s="198">
        <v>12</v>
      </c>
      <c r="R73" s="198">
        <v>40</v>
      </c>
      <c r="S73" s="198">
        <v>12</v>
      </c>
      <c r="T73" s="198">
        <v>55</v>
      </c>
      <c r="U73" s="198">
        <v>5</v>
      </c>
      <c r="V73" s="198" t="s">
        <v>29</v>
      </c>
      <c r="W73" s="198" t="s">
        <v>29</v>
      </c>
      <c r="X73" s="198">
        <f t="shared" si="5"/>
        <v>124</v>
      </c>
    </row>
    <row r="74" spans="1:24" x14ac:dyDescent="0.2">
      <c r="A74" s="383">
        <v>1998</v>
      </c>
      <c r="B74" s="198" t="s">
        <v>29</v>
      </c>
      <c r="C74" s="198" t="s">
        <v>29</v>
      </c>
      <c r="D74" s="198" t="s">
        <v>29</v>
      </c>
      <c r="E74" s="198">
        <v>541</v>
      </c>
      <c r="F74" s="198">
        <v>470</v>
      </c>
      <c r="G74" s="198">
        <v>224</v>
      </c>
      <c r="H74" s="198">
        <v>471</v>
      </c>
      <c r="I74" s="198">
        <v>84</v>
      </c>
      <c r="J74" s="198" t="s">
        <v>29</v>
      </c>
      <c r="K74" s="198" t="s">
        <v>29</v>
      </c>
      <c r="L74" s="198">
        <f t="shared" si="4"/>
        <v>1790</v>
      </c>
      <c r="M74" s="31"/>
      <c r="N74" s="198" t="s">
        <v>29</v>
      </c>
      <c r="O74" s="198" t="s">
        <v>29</v>
      </c>
      <c r="P74" s="198" t="s">
        <v>29</v>
      </c>
      <c r="Q74" s="198" t="s">
        <v>29</v>
      </c>
      <c r="R74" s="198">
        <v>5</v>
      </c>
      <c r="S74" s="198">
        <v>12</v>
      </c>
      <c r="T74" s="198">
        <v>30</v>
      </c>
      <c r="U74" s="198" t="s">
        <v>29</v>
      </c>
      <c r="V74" s="198" t="s">
        <v>29</v>
      </c>
      <c r="W74" s="198" t="s">
        <v>29</v>
      </c>
      <c r="X74" s="198">
        <f t="shared" si="5"/>
        <v>47</v>
      </c>
    </row>
    <row r="75" spans="1:24" x14ac:dyDescent="0.2">
      <c r="A75" s="383">
        <v>1999</v>
      </c>
      <c r="B75" s="198" t="s">
        <v>29</v>
      </c>
      <c r="C75" s="198" t="s">
        <v>29</v>
      </c>
      <c r="D75" s="198" t="s">
        <v>29</v>
      </c>
      <c r="E75" s="198">
        <v>6</v>
      </c>
      <c r="F75" s="198">
        <v>2150</v>
      </c>
      <c r="G75" s="198">
        <v>1041</v>
      </c>
      <c r="H75" s="198">
        <v>1902</v>
      </c>
      <c r="I75" s="198">
        <v>76</v>
      </c>
      <c r="J75" s="198" t="s">
        <v>29</v>
      </c>
      <c r="K75" s="198" t="s">
        <v>29</v>
      </c>
      <c r="L75" s="198">
        <f t="shared" si="4"/>
        <v>5175</v>
      </c>
      <c r="M75" s="31"/>
      <c r="N75" s="198" t="s">
        <v>29</v>
      </c>
      <c r="O75" s="198" t="s">
        <v>29</v>
      </c>
      <c r="P75" s="198" t="s">
        <v>29</v>
      </c>
      <c r="Q75" s="198" t="s">
        <v>29</v>
      </c>
      <c r="R75" s="198">
        <v>30</v>
      </c>
      <c r="S75" s="198">
        <v>16</v>
      </c>
      <c r="T75" s="198">
        <v>44</v>
      </c>
      <c r="U75" s="198" t="s">
        <v>29</v>
      </c>
      <c r="V75" s="198" t="s">
        <v>29</v>
      </c>
      <c r="W75" s="198" t="s">
        <v>29</v>
      </c>
      <c r="X75" s="198">
        <f t="shared" si="5"/>
        <v>90</v>
      </c>
    </row>
    <row r="76" spans="1:24" x14ac:dyDescent="0.2">
      <c r="A76" s="383">
        <v>2000</v>
      </c>
      <c r="B76" s="198" t="s">
        <v>29</v>
      </c>
      <c r="C76" s="198" t="s">
        <v>29</v>
      </c>
      <c r="D76" s="198" t="s">
        <v>29</v>
      </c>
      <c r="E76" s="198">
        <v>284</v>
      </c>
      <c r="F76" s="198">
        <v>1800</v>
      </c>
      <c r="G76" s="198">
        <v>2350</v>
      </c>
      <c r="H76" s="198">
        <v>5010</v>
      </c>
      <c r="I76" s="198">
        <v>459</v>
      </c>
      <c r="J76" s="198" t="s">
        <v>29</v>
      </c>
      <c r="K76" s="198" t="s">
        <v>29</v>
      </c>
      <c r="L76" s="198">
        <f t="shared" si="4"/>
        <v>9903</v>
      </c>
      <c r="M76" s="31"/>
      <c r="N76" s="198" t="s">
        <v>29</v>
      </c>
      <c r="O76" s="198" t="s">
        <v>29</v>
      </c>
      <c r="P76" s="198" t="s">
        <v>29</v>
      </c>
      <c r="Q76" s="198" t="s">
        <v>29</v>
      </c>
      <c r="R76" s="198">
        <v>19</v>
      </c>
      <c r="S76" s="198">
        <v>24</v>
      </c>
      <c r="T76" s="198">
        <v>76</v>
      </c>
      <c r="U76" s="198">
        <v>8</v>
      </c>
      <c r="V76" s="198" t="s">
        <v>29</v>
      </c>
      <c r="W76" s="198" t="s">
        <v>29</v>
      </c>
      <c r="X76" s="198">
        <f t="shared" si="5"/>
        <v>127</v>
      </c>
    </row>
    <row r="77" spans="1:24" x14ac:dyDescent="0.2">
      <c r="A77" s="383">
        <v>2001</v>
      </c>
      <c r="B77" s="198" t="s">
        <v>29</v>
      </c>
      <c r="C77" s="198" t="s">
        <v>29</v>
      </c>
      <c r="D77" s="198" t="s">
        <v>29</v>
      </c>
      <c r="E77" s="198">
        <v>1399</v>
      </c>
      <c r="F77" s="198">
        <v>3622</v>
      </c>
      <c r="G77" s="198">
        <v>2113</v>
      </c>
      <c r="H77" s="198">
        <v>2025</v>
      </c>
      <c r="I77" s="198">
        <v>1429</v>
      </c>
      <c r="J77" s="198" t="s">
        <v>29</v>
      </c>
      <c r="K77" s="198" t="s">
        <v>29</v>
      </c>
      <c r="L77" s="198">
        <f t="shared" si="4"/>
        <v>10588</v>
      </c>
      <c r="M77" s="31"/>
      <c r="N77" s="198" t="s">
        <v>29</v>
      </c>
      <c r="O77" s="198" t="s">
        <v>29</v>
      </c>
      <c r="P77" s="198" t="s">
        <v>29</v>
      </c>
      <c r="Q77" s="198">
        <v>8</v>
      </c>
      <c r="R77" s="198">
        <v>50</v>
      </c>
      <c r="S77" s="198">
        <v>20</v>
      </c>
      <c r="T77" s="198">
        <v>13</v>
      </c>
      <c r="U77" s="198" t="s">
        <v>29</v>
      </c>
      <c r="V77" s="198" t="s">
        <v>29</v>
      </c>
      <c r="W77" s="198" t="s">
        <v>29</v>
      </c>
      <c r="X77" s="198">
        <f t="shared" si="5"/>
        <v>91</v>
      </c>
    </row>
    <row r="78" spans="1:24" x14ac:dyDescent="0.2">
      <c r="A78" s="383">
        <v>2002</v>
      </c>
      <c r="B78" s="198" t="s">
        <v>29</v>
      </c>
      <c r="C78" s="198" t="s">
        <v>29</v>
      </c>
      <c r="D78" s="198" t="s">
        <v>29</v>
      </c>
      <c r="E78" s="198">
        <v>2259</v>
      </c>
      <c r="F78" s="198">
        <v>4991</v>
      </c>
      <c r="G78" s="198">
        <v>564</v>
      </c>
      <c r="H78" s="198">
        <v>5487</v>
      </c>
      <c r="I78" s="198">
        <v>1723</v>
      </c>
      <c r="J78" s="198" t="s">
        <v>29</v>
      </c>
      <c r="K78" s="198" t="s">
        <v>29</v>
      </c>
      <c r="L78" s="198">
        <f t="shared" si="4"/>
        <v>15024</v>
      </c>
      <c r="M78" s="31"/>
      <c r="N78" s="198" t="s">
        <v>29</v>
      </c>
      <c r="O78" s="198" t="s">
        <v>29</v>
      </c>
      <c r="P78" s="198" t="s">
        <v>29</v>
      </c>
      <c r="Q78" s="198">
        <v>10</v>
      </c>
      <c r="R78" s="198">
        <v>196</v>
      </c>
      <c r="S78" s="198">
        <v>23</v>
      </c>
      <c r="T78" s="198">
        <v>24</v>
      </c>
      <c r="U78" s="198">
        <v>9</v>
      </c>
      <c r="V78" s="198" t="s">
        <v>29</v>
      </c>
      <c r="W78" s="198" t="s">
        <v>29</v>
      </c>
      <c r="X78" s="198">
        <f t="shared" si="5"/>
        <v>262</v>
      </c>
    </row>
    <row r="79" spans="1:24" x14ac:dyDescent="0.2">
      <c r="A79" s="383">
        <v>2003</v>
      </c>
      <c r="B79" s="198" t="s">
        <v>29</v>
      </c>
      <c r="C79" s="198" t="s">
        <v>29</v>
      </c>
      <c r="D79" s="198" t="s">
        <v>29</v>
      </c>
      <c r="E79" s="198">
        <v>2875</v>
      </c>
      <c r="F79" s="198">
        <v>1764</v>
      </c>
      <c r="G79" s="198">
        <v>1379</v>
      </c>
      <c r="H79" s="198">
        <v>1686</v>
      </c>
      <c r="I79" s="198">
        <v>657</v>
      </c>
      <c r="J79" s="198" t="s">
        <v>29</v>
      </c>
      <c r="K79" s="198" t="s">
        <v>29</v>
      </c>
      <c r="L79" s="198">
        <f t="shared" si="4"/>
        <v>8361</v>
      </c>
      <c r="M79" s="31"/>
      <c r="N79" s="198" t="s">
        <v>29</v>
      </c>
      <c r="O79" s="198" t="s">
        <v>29</v>
      </c>
      <c r="P79" s="198" t="s">
        <v>29</v>
      </c>
      <c r="Q79" s="198">
        <v>29</v>
      </c>
      <c r="R79" s="198">
        <v>50</v>
      </c>
      <c r="S79" s="198">
        <v>8</v>
      </c>
      <c r="T79" s="198">
        <v>34</v>
      </c>
      <c r="U79" s="198" t="s">
        <v>29</v>
      </c>
      <c r="V79" s="198" t="s">
        <v>29</v>
      </c>
      <c r="W79" s="198" t="s">
        <v>29</v>
      </c>
      <c r="X79" s="198">
        <f t="shared" si="5"/>
        <v>121</v>
      </c>
    </row>
    <row r="80" spans="1:24" x14ac:dyDescent="0.2">
      <c r="A80" s="383">
        <v>2004</v>
      </c>
      <c r="B80" s="198" t="s">
        <v>29</v>
      </c>
      <c r="C80" s="198" t="s">
        <v>29</v>
      </c>
      <c r="D80" s="198" t="s">
        <v>29</v>
      </c>
      <c r="E80" s="198">
        <v>5496</v>
      </c>
      <c r="F80" s="198">
        <v>1946</v>
      </c>
      <c r="G80" s="198">
        <v>4377</v>
      </c>
      <c r="H80" s="198">
        <v>7153</v>
      </c>
      <c r="I80" s="198">
        <v>2582</v>
      </c>
      <c r="J80" s="198" t="s">
        <v>29</v>
      </c>
      <c r="K80" s="198" t="s">
        <v>29</v>
      </c>
      <c r="L80" s="198">
        <f t="shared" si="4"/>
        <v>21554</v>
      </c>
      <c r="M80" s="31"/>
      <c r="N80" s="198" t="s">
        <v>29</v>
      </c>
      <c r="O80" s="198" t="s">
        <v>29</v>
      </c>
      <c r="P80" s="198" t="s">
        <v>29</v>
      </c>
      <c r="Q80" s="198">
        <v>184</v>
      </c>
      <c r="R80" s="198">
        <v>76</v>
      </c>
      <c r="S80" s="198">
        <v>74</v>
      </c>
      <c r="T80" s="198">
        <v>123</v>
      </c>
      <c r="U80" s="198">
        <v>24</v>
      </c>
      <c r="V80" s="198" t="s">
        <v>29</v>
      </c>
      <c r="W80" s="198" t="s">
        <v>29</v>
      </c>
      <c r="X80" s="198">
        <f t="shared" si="5"/>
        <v>481</v>
      </c>
    </row>
    <row r="81" spans="1:24" x14ac:dyDescent="0.2">
      <c r="A81" s="383">
        <v>2005</v>
      </c>
      <c r="B81" s="198" t="s">
        <v>29</v>
      </c>
      <c r="C81" s="198" t="s">
        <v>29</v>
      </c>
      <c r="D81" s="198" t="s">
        <v>29</v>
      </c>
      <c r="E81" s="198">
        <v>1015</v>
      </c>
      <c r="F81" s="198">
        <v>6485</v>
      </c>
      <c r="G81" s="198">
        <v>1879</v>
      </c>
      <c r="H81" s="198">
        <v>4020</v>
      </c>
      <c r="I81" s="198">
        <v>2647</v>
      </c>
      <c r="J81" s="198" t="s">
        <v>29</v>
      </c>
      <c r="K81" s="198" t="s">
        <v>29</v>
      </c>
      <c r="L81" s="198">
        <f t="shared" si="4"/>
        <v>16046</v>
      </c>
      <c r="M81" s="31"/>
      <c r="N81" s="198" t="s">
        <v>29</v>
      </c>
      <c r="O81" s="198" t="s">
        <v>29</v>
      </c>
      <c r="P81" s="198" t="s">
        <v>29</v>
      </c>
      <c r="Q81" s="198">
        <v>24</v>
      </c>
      <c r="R81" s="198">
        <v>44</v>
      </c>
      <c r="S81" s="198">
        <v>3</v>
      </c>
      <c r="T81" s="198">
        <v>11</v>
      </c>
      <c r="U81" s="198">
        <v>48</v>
      </c>
      <c r="V81" s="198" t="s">
        <v>29</v>
      </c>
      <c r="W81" s="198" t="s">
        <v>29</v>
      </c>
      <c r="X81" s="198">
        <f t="shared" si="5"/>
        <v>130</v>
      </c>
    </row>
    <row r="82" spans="1:24" x14ac:dyDescent="0.2">
      <c r="A82" s="383">
        <v>2006</v>
      </c>
      <c r="B82" s="198" t="s">
        <v>29</v>
      </c>
      <c r="C82" s="198" t="s">
        <v>29</v>
      </c>
      <c r="D82" s="198" t="s">
        <v>29</v>
      </c>
      <c r="E82" s="198">
        <v>4316</v>
      </c>
      <c r="F82" s="198">
        <v>5413</v>
      </c>
      <c r="G82" s="198">
        <v>2113</v>
      </c>
      <c r="H82" s="198" t="s">
        <v>29</v>
      </c>
      <c r="I82" s="198">
        <v>3805</v>
      </c>
      <c r="J82" s="198" t="s">
        <v>29</v>
      </c>
      <c r="K82" s="198" t="s">
        <v>29</v>
      </c>
      <c r="L82" s="198">
        <f t="shared" si="4"/>
        <v>15647</v>
      </c>
      <c r="M82" s="31"/>
      <c r="N82" s="198" t="s">
        <v>29</v>
      </c>
      <c r="O82" s="198" t="s">
        <v>29</v>
      </c>
      <c r="P82" s="198" t="s">
        <v>29</v>
      </c>
      <c r="Q82" s="198">
        <v>88</v>
      </c>
      <c r="R82" s="198">
        <v>20</v>
      </c>
      <c r="S82" s="198">
        <v>25</v>
      </c>
      <c r="T82" s="198" t="s">
        <v>29</v>
      </c>
      <c r="U82" s="198">
        <v>88</v>
      </c>
      <c r="V82" s="198" t="s">
        <v>29</v>
      </c>
      <c r="W82" s="198" t="s">
        <v>29</v>
      </c>
      <c r="X82" s="198">
        <f t="shared" si="5"/>
        <v>221</v>
      </c>
    </row>
    <row r="83" spans="1:24" s="374" customFormat="1" x14ac:dyDescent="0.2">
      <c r="A83" s="402">
        <v>2007</v>
      </c>
      <c r="B83" s="199" t="s">
        <v>29</v>
      </c>
      <c r="C83" s="199" t="s">
        <v>29</v>
      </c>
      <c r="D83" s="199" t="s">
        <v>29</v>
      </c>
      <c r="E83" s="199">
        <v>797</v>
      </c>
      <c r="F83" s="199">
        <v>5050</v>
      </c>
      <c r="G83" s="199">
        <v>4296</v>
      </c>
      <c r="H83" s="199">
        <v>6037</v>
      </c>
      <c r="I83" s="199">
        <v>1845</v>
      </c>
      <c r="J83" s="199" t="s">
        <v>29</v>
      </c>
      <c r="K83" s="199" t="s">
        <v>29</v>
      </c>
      <c r="L83" s="199">
        <f t="shared" si="4"/>
        <v>18025</v>
      </c>
      <c r="M83" s="52"/>
      <c r="N83" s="199" t="s">
        <v>29</v>
      </c>
      <c r="O83" s="199" t="s">
        <v>29</v>
      </c>
      <c r="P83" s="199" t="s">
        <v>29</v>
      </c>
      <c r="Q83" s="199" t="s">
        <v>29</v>
      </c>
      <c r="R83" s="199">
        <v>105</v>
      </c>
      <c r="S83" s="199">
        <v>96</v>
      </c>
      <c r="T83" s="199">
        <v>108</v>
      </c>
      <c r="U83" s="199">
        <v>36</v>
      </c>
      <c r="V83" s="199" t="s">
        <v>29</v>
      </c>
      <c r="W83" s="199" t="s">
        <v>29</v>
      </c>
      <c r="X83" s="199">
        <f t="shared" si="5"/>
        <v>345</v>
      </c>
    </row>
    <row r="84" spans="1:24" s="374" customFormat="1" x14ac:dyDescent="0.2">
      <c r="A84" s="402">
        <v>2008</v>
      </c>
      <c r="B84" s="199" t="s">
        <v>29</v>
      </c>
      <c r="C84" s="199" t="s">
        <v>29</v>
      </c>
      <c r="D84" s="199" t="s">
        <v>29</v>
      </c>
      <c r="E84" s="199" t="s">
        <v>29</v>
      </c>
      <c r="F84" s="199" t="s">
        <v>29</v>
      </c>
      <c r="G84" s="199" t="s">
        <v>29</v>
      </c>
      <c r="H84" s="199" t="s">
        <v>29</v>
      </c>
      <c r="I84" s="199" t="s">
        <v>29</v>
      </c>
      <c r="J84" s="199" t="s">
        <v>29</v>
      </c>
      <c r="K84" s="199" t="s">
        <v>29</v>
      </c>
      <c r="L84" s="199" t="s">
        <v>29</v>
      </c>
      <c r="M84" s="52"/>
      <c r="N84" s="199" t="s">
        <v>29</v>
      </c>
      <c r="O84" s="199" t="s">
        <v>29</v>
      </c>
      <c r="P84" s="199" t="s">
        <v>29</v>
      </c>
      <c r="Q84" s="199" t="s">
        <v>29</v>
      </c>
      <c r="R84" s="199" t="s">
        <v>29</v>
      </c>
      <c r="S84" s="199" t="s">
        <v>29</v>
      </c>
      <c r="T84" s="199" t="s">
        <v>29</v>
      </c>
      <c r="U84" s="199" t="s">
        <v>29</v>
      </c>
      <c r="V84" s="199" t="s">
        <v>29</v>
      </c>
      <c r="W84" s="199" t="s">
        <v>29</v>
      </c>
      <c r="X84" s="199" t="s">
        <v>29</v>
      </c>
    </row>
    <row r="85" spans="1:24" s="374" customFormat="1" x14ac:dyDescent="0.2">
      <c r="A85" s="402">
        <v>2009</v>
      </c>
      <c r="B85" s="199" t="s">
        <v>29</v>
      </c>
      <c r="C85" s="199" t="s">
        <v>29</v>
      </c>
      <c r="D85" s="199" t="s">
        <v>29</v>
      </c>
      <c r="E85" s="199" t="s">
        <v>29</v>
      </c>
      <c r="F85" s="199" t="s">
        <v>29</v>
      </c>
      <c r="G85" s="199" t="s">
        <v>29</v>
      </c>
      <c r="H85" s="199">
        <v>266</v>
      </c>
      <c r="I85" s="199">
        <v>259</v>
      </c>
      <c r="J85" s="199" t="s">
        <v>29</v>
      </c>
      <c r="K85" s="199" t="s">
        <v>29</v>
      </c>
      <c r="L85" s="199">
        <f t="shared" ref="L85:L96" si="6">SUM(B85:K85)</f>
        <v>525</v>
      </c>
      <c r="M85" s="52"/>
      <c r="N85" s="199" t="s">
        <v>29</v>
      </c>
      <c r="O85" s="199" t="s">
        <v>29</v>
      </c>
      <c r="P85" s="199" t="s">
        <v>29</v>
      </c>
      <c r="Q85" s="199" t="s">
        <v>29</v>
      </c>
      <c r="R85" s="199" t="s">
        <v>29</v>
      </c>
      <c r="S85" s="199" t="s">
        <v>29</v>
      </c>
      <c r="T85" s="199" t="s">
        <v>29</v>
      </c>
      <c r="U85" s="199">
        <v>5</v>
      </c>
      <c r="V85" s="199" t="s">
        <v>29</v>
      </c>
      <c r="W85" s="199" t="s">
        <v>29</v>
      </c>
      <c r="X85" s="199">
        <f t="shared" ref="X85:X96" si="7">SUM(N85:W85)</f>
        <v>5</v>
      </c>
    </row>
    <row r="86" spans="1:24" s="374" customFormat="1" x14ac:dyDescent="0.2">
      <c r="A86" s="402">
        <v>2010</v>
      </c>
      <c r="B86" s="199" t="s">
        <v>29</v>
      </c>
      <c r="C86" s="199" t="s">
        <v>29</v>
      </c>
      <c r="D86" s="199" t="s">
        <v>29</v>
      </c>
      <c r="E86" s="199">
        <v>17</v>
      </c>
      <c r="F86" s="199">
        <v>158</v>
      </c>
      <c r="G86" s="199">
        <v>37</v>
      </c>
      <c r="H86" s="199">
        <v>477</v>
      </c>
      <c r="I86" s="199">
        <v>31</v>
      </c>
      <c r="J86" s="199" t="s">
        <v>29</v>
      </c>
      <c r="K86" s="199" t="s">
        <v>29</v>
      </c>
      <c r="L86" s="199">
        <f t="shared" si="6"/>
        <v>720</v>
      </c>
      <c r="M86" s="52"/>
      <c r="N86" s="199" t="s">
        <v>29</v>
      </c>
      <c r="O86" s="199" t="s">
        <v>29</v>
      </c>
      <c r="P86" s="199" t="s">
        <v>29</v>
      </c>
      <c r="Q86" s="199" t="s">
        <v>29</v>
      </c>
      <c r="R86" s="199" t="s">
        <v>29</v>
      </c>
      <c r="S86" s="199" t="s">
        <v>29</v>
      </c>
      <c r="T86" s="199">
        <v>50</v>
      </c>
      <c r="U86" s="199" t="s">
        <v>29</v>
      </c>
      <c r="V86" s="199" t="s">
        <v>29</v>
      </c>
      <c r="W86" s="199" t="s">
        <v>29</v>
      </c>
      <c r="X86" s="199">
        <f t="shared" si="7"/>
        <v>50</v>
      </c>
    </row>
    <row r="87" spans="1:24" s="374" customFormat="1" x14ac:dyDescent="0.2">
      <c r="A87" s="402">
        <v>2011</v>
      </c>
      <c r="B87" s="199" t="s">
        <v>29</v>
      </c>
      <c r="C87" s="199" t="s">
        <v>29</v>
      </c>
      <c r="D87" s="199" t="s">
        <v>29</v>
      </c>
      <c r="E87" s="199">
        <v>630</v>
      </c>
      <c r="F87" s="199">
        <v>934</v>
      </c>
      <c r="G87" s="199">
        <v>4342</v>
      </c>
      <c r="H87" s="199">
        <v>3672</v>
      </c>
      <c r="I87" s="199">
        <v>296</v>
      </c>
      <c r="J87" s="199" t="s">
        <v>29</v>
      </c>
      <c r="K87" s="199" t="s">
        <v>29</v>
      </c>
      <c r="L87" s="199">
        <f t="shared" si="6"/>
        <v>9874</v>
      </c>
      <c r="M87" s="52"/>
      <c r="N87" s="199" t="s">
        <v>29</v>
      </c>
      <c r="O87" s="199" t="s">
        <v>29</v>
      </c>
      <c r="P87" s="199" t="s">
        <v>29</v>
      </c>
      <c r="Q87" s="199">
        <v>5</v>
      </c>
      <c r="R87" s="199">
        <v>10</v>
      </c>
      <c r="S87" s="199">
        <v>50</v>
      </c>
      <c r="T87" s="199">
        <v>29</v>
      </c>
      <c r="U87" s="199">
        <v>4</v>
      </c>
      <c r="V87" s="199" t="s">
        <v>29</v>
      </c>
      <c r="W87" s="199" t="s">
        <v>29</v>
      </c>
      <c r="X87" s="199">
        <f t="shared" si="7"/>
        <v>98</v>
      </c>
    </row>
    <row r="88" spans="1:24" s="374" customFormat="1" x14ac:dyDescent="0.2">
      <c r="A88" s="402">
        <v>2012</v>
      </c>
      <c r="B88" s="199" t="s">
        <v>29</v>
      </c>
      <c r="C88" s="199" t="s">
        <v>29</v>
      </c>
      <c r="D88" s="199" t="s">
        <v>29</v>
      </c>
      <c r="E88" s="199">
        <v>3462</v>
      </c>
      <c r="F88" s="199">
        <v>10104</v>
      </c>
      <c r="G88" s="199">
        <v>7049</v>
      </c>
      <c r="H88" s="199">
        <v>9019</v>
      </c>
      <c r="I88" s="199">
        <v>2378</v>
      </c>
      <c r="J88" s="199" t="s">
        <v>29</v>
      </c>
      <c r="K88" s="199" t="s">
        <v>29</v>
      </c>
      <c r="L88" s="199">
        <f t="shared" si="6"/>
        <v>32012</v>
      </c>
      <c r="M88" s="52"/>
      <c r="N88" s="199" t="s">
        <v>29</v>
      </c>
      <c r="O88" s="199" t="s">
        <v>29</v>
      </c>
      <c r="P88" s="199" t="s">
        <v>29</v>
      </c>
      <c r="Q88" s="199" t="s">
        <v>29</v>
      </c>
      <c r="R88" s="199">
        <v>12</v>
      </c>
      <c r="S88" s="199">
        <v>5</v>
      </c>
      <c r="T88" s="199" t="s">
        <v>29</v>
      </c>
      <c r="U88" s="199" t="s">
        <v>29</v>
      </c>
      <c r="V88" s="199" t="s">
        <v>29</v>
      </c>
      <c r="W88" s="199" t="s">
        <v>29</v>
      </c>
      <c r="X88" s="199">
        <f t="shared" si="7"/>
        <v>17</v>
      </c>
    </row>
    <row r="89" spans="1:24" s="374" customFormat="1" x14ac:dyDescent="0.2">
      <c r="A89" s="402">
        <v>2013</v>
      </c>
      <c r="B89" s="199" t="s">
        <v>29</v>
      </c>
      <c r="C89" s="199" t="s">
        <v>29</v>
      </c>
      <c r="D89" s="199" t="s">
        <v>29</v>
      </c>
      <c r="E89" s="199">
        <v>2423</v>
      </c>
      <c r="F89" s="199">
        <v>7601</v>
      </c>
      <c r="G89" s="199">
        <v>8579</v>
      </c>
      <c r="H89" s="199">
        <v>8876</v>
      </c>
      <c r="I89" s="199">
        <v>439</v>
      </c>
      <c r="J89" s="199" t="s">
        <v>29</v>
      </c>
      <c r="K89" s="199" t="s">
        <v>29</v>
      </c>
      <c r="L89" s="199">
        <f t="shared" si="6"/>
        <v>27918</v>
      </c>
      <c r="M89" s="52"/>
      <c r="N89" s="199" t="s">
        <v>29</v>
      </c>
      <c r="O89" s="199" t="s">
        <v>29</v>
      </c>
      <c r="P89" s="199" t="s">
        <v>29</v>
      </c>
      <c r="Q89" s="199" t="s">
        <v>29</v>
      </c>
      <c r="R89" s="199">
        <v>35</v>
      </c>
      <c r="S89" s="199">
        <v>39</v>
      </c>
      <c r="T89" s="199">
        <v>122</v>
      </c>
      <c r="U89" s="199" t="s">
        <v>29</v>
      </c>
      <c r="V89" s="199" t="s">
        <v>29</v>
      </c>
      <c r="W89" s="199" t="s">
        <v>29</v>
      </c>
      <c r="X89" s="199">
        <f t="shared" si="7"/>
        <v>196</v>
      </c>
    </row>
    <row r="90" spans="1:24" s="374" customFormat="1" x14ac:dyDescent="0.2">
      <c r="A90" s="402">
        <v>2014</v>
      </c>
      <c r="B90" s="199" t="s">
        <v>29</v>
      </c>
      <c r="C90" s="199" t="s">
        <v>29</v>
      </c>
      <c r="D90" s="199" t="s">
        <v>29</v>
      </c>
      <c r="E90" s="199">
        <v>2074</v>
      </c>
      <c r="F90" s="199">
        <v>4877</v>
      </c>
      <c r="G90" s="199">
        <v>3159</v>
      </c>
      <c r="H90" s="199">
        <v>2181</v>
      </c>
      <c r="I90" s="199">
        <v>303</v>
      </c>
      <c r="J90" s="199" t="s">
        <v>29</v>
      </c>
      <c r="K90" s="199" t="s">
        <v>29</v>
      </c>
      <c r="L90" s="199">
        <f t="shared" si="6"/>
        <v>12594</v>
      </c>
      <c r="M90" s="52"/>
      <c r="N90" s="199" t="s">
        <v>29</v>
      </c>
      <c r="O90" s="199" t="s">
        <v>29</v>
      </c>
      <c r="P90" s="199" t="s">
        <v>29</v>
      </c>
      <c r="Q90" s="199">
        <v>19</v>
      </c>
      <c r="R90" s="199">
        <v>72</v>
      </c>
      <c r="S90" s="199">
        <v>118</v>
      </c>
      <c r="T90" s="199">
        <v>4</v>
      </c>
      <c r="U90" s="199">
        <v>3</v>
      </c>
      <c r="V90" s="199" t="s">
        <v>29</v>
      </c>
      <c r="W90" s="199" t="s">
        <v>29</v>
      </c>
      <c r="X90" s="199">
        <f t="shared" si="7"/>
        <v>216</v>
      </c>
    </row>
    <row r="91" spans="1:24" s="374" customFormat="1" ht="12" customHeight="1" x14ac:dyDescent="0.2">
      <c r="A91" s="402">
        <v>2015</v>
      </c>
      <c r="B91" s="199" t="s">
        <v>29</v>
      </c>
      <c r="C91" s="199" t="s">
        <v>29</v>
      </c>
      <c r="D91" s="199" t="s">
        <v>29</v>
      </c>
      <c r="E91" s="199">
        <v>877</v>
      </c>
      <c r="F91" s="199">
        <v>260</v>
      </c>
      <c r="G91" s="199">
        <v>1088</v>
      </c>
      <c r="H91" s="199">
        <v>1385</v>
      </c>
      <c r="I91" s="199">
        <v>16</v>
      </c>
      <c r="J91" s="199" t="s">
        <v>29</v>
      </c>
      <c r="K91" s="199" t="s">
        <v>29</v>
      </c>
      <c r="L91" s="199">
        <f t="shared" si="6"/>
        <v>3626</v>
      </c>
      <c r="M91" s="52"/>
      <c r="N91" s="199" t="s">
        <v>29</v>
      </c>
      <c r="O91" s="199" t="s">
        <v>29</v>
      </c>
      <c r="P91" s="199" t="s">
        <v>29</v>
      </c>
      <c r="Q91" s="199" t="s">
        <v>29</v>
      </c>
      <c r="R91" s="199">
        <v>8</v>
      </c>
      <c r="S91" s="199">
        <v>4</v>
      </c>
      <c r="T91" s="199" t="s">
        <v>29</v>
      </c>
      <c r="U91" s="199" t="s">
        <v>29</v>
      </c>
      <c r="V91" s="199" t="s">
        <v>29</v>
      </c>
      <c r="W91" s="199" t="s">
        <v>29</v>
      </c>
      <c r="X91" s="199">
        <f t="shared" si="7"/>
        <v>12</v>
      </c>
    </row>
    <row r="92" spans="1:24" s="374" customFormat="1" x14ac:dyDescent="0.2">
      <c r="A92" s="402">
        <v>2016</v>
      </c>
      <c r="B92" s="199" t="s">
        <v>29</v>
      </c>
      <c r="C92" s="199" t="s">
        <v>29</v>
      </c>
      <c r="D92" s="199" t="s">
        <v>29</v>
      </c>
      <c r="E92" s="199">
        <v>1450</v>
      </c>
      <c r="F92" s="199">
        <v>934</v>
      </c>
      <c r="G92" s="199">
        <v>1414</v>
      </c>
      <c r="H92" s="199">
        <v>646</v>
      </c>
      <c r="I92" s="199">
        <v>523</v>
      </c>
      <c r="J92" s="199" t="s">
        <v>29</v>
      </c>
      <c r="K92" s="199" t="s">
        <v>29</v>
      </c>
      <c r="L92" s="199">
        <f t="shared" si="6"/>
        <v>4967</v>
      </c>
      <c r="M92" s="52"/>
      <c r="N92" s="199" t="s">
        <v>29</v>
      </c>
      <c r="O92" s="199" t="s">
        <v>29</v>
      </c>
      <c r="P92" s="199" t="s">
        <v>29</v>
      </c>
      <c r="Q92" s="199" t="s">
        <v>29</v>
      </c>
      <c r="R92" s="199">
        <v>18</v>
      </c>
      <c r="S92" s="199">
        <v>9</v>
      </c>
      <c r="T92" s="199" t="s">
        <v>29</v>
      </c>
      <c r="U92" s="199" t="s">
        <v>29</v>
      </c>
      <c r="V92" s="199" t="s">
        <v>29</v>
      </c>
      <c r="W92" s="199" t="s">
        <v>29</v>
      </c>
      <c r="X92" s="199">
        <f t="shared" si="7"/>
        <v>27</v>
      </c>
    </row>
    <row r="93" spans="1:24" s="374" customFormat="1" x14ac:dyDescent="0.2">
      <c r="A93" s="402">
        <v>2017</v>
      </c>
      <c r="B93" s="199" t="s">
        <v>29</v>
      </c>
      <c r="C93" s="199" t="s">
        <v>29</v>
      </c>
      <c r="D93" s="199" t="s">
        <v>29</v>
      </c>
      <c r="E93" s="199" t="s">
        <v>29</v>
      </c>
      <c r="F93" s="199" t="s">
        <v>29</v>
      </c>
      <c r="G93" s="199" t="s">
        <v>29</v>
      </c>
      <c r="H93" s="199" t="s">
        <v>29</v>
      </c>
      <c r="I93" s="199" t="s">
        <v>29</v>
      </c>
      <c r="J93" s="199" t="s">
        <v>29</v>
      </c>
      <c r="K93" s="199" t="s">
        <v>29</v>
      </c>
      <c r="L93" s="199" t="s">
        <v>29</v>
      </c>
      <c r="M93" s="199"/>
      <c r="N93" s="199" t="s">
        <v>29</v>
      </c>
      <c r="O93" s="199" t="s">
        <v>29</v>
      </c>
      <c r="P93" s="199" t="s">
        <v>29</v>
      </c>
      <c r="Q93" s="199" t="s">
        <v>29</v>
      </c>
      <c r="R93" s="199" t="s">
        <v>29</v>
      </c>
      <c r="S93" s="199" t="s">
        <v>29</v>
      </c>
      <c r="T93" s="199" t="s">
        <v>29</v>
      </c>
      <c r="U93" s="199" t="s">
        <v>29</v>
      </c>
      <c r="V93" s="199" t="s">
        <v>29</v>
      </c>
      <c r="W93" s="199" t="s">
        <v>29</v>
      </c>
      <c r="X93" s="199" t="s">
        <v>29</v>
      </c>
    </row>
    <row r="94" spans="1:24" s="374" customFormat="1" x14ac:dyDescent="0.2">
      <c r="A94" s="122">
        <v>2018</v>
      </c>
      <c r="B94" s="199" t="s">
        <v>29</v>
      </c>
      <c r="C94" s="199" t="s">
        <v>29</v>
      </c>
      <c r="D94" s="199" t="s">
        <v>29</v>
      </c>
      <c r="E94" s="199" t="s">
        <v>29</v>
      </c>
      <c r="F94" s="199">
        <v>1590</v>
      </c>
      <c r="G94" s="199">
        <v>734</v>
      </c>
      <c r="H94" s="199">
        <v>1059</v>
      </c>
      <c r="I94" s="199">
        <v>27</v>
      </c>
      <c r="J94" s="199" t="s">
        <v>29</v>
      </c>
      <c r="K94" s="199" t="s">
        <v>29</v>
      </c>
      <c r="L94" s="199">
        <f t="shared" si="6"/>
        <v>3410</v>
      </c>
      <c r="M94" s="199"/>
      <c r="N94" s="199" t="s">
        <v>29</v>
      </c>
      <c r="O94" s="199" t="s">
        <v>29</v>
      </c>
      <c r="P94" s="199" t="s">
        <v>29</v>
      </c>
      <c r="Q94" s="199" t="s">
        <v>29</v>
      </c>
      <c r="R94" s="199">
        <v>41</v>
      </c>
      <c r="S94" s="199">
        <v>4</v>
      </c>
      <c r="T94" s="199">
        <v>33</v>
      </c>
      <c r="U94" s="199" t="s">
        <v>29</v>
      </c>
      <c r="V94" s="199" t="s">
        <v>29</v>
      </c>
      <c r="W94" s="199" t="s">
        <v>29</v>
      </c>
      <c r="X94" s="199">
        <f t="shared" si="7"/>
        <v>78</v>
      </c>
    </row>
    <row r="95" spans="1:24" s="487" customFormat="1" x14ac:dyDescent="0.2">
      <c r="A95" s="496" t="s">
        <v>398</v>
      </c>
      <c r="B95" s="199" t="s">
        <v>29</v>
      </c>
      <c r="C95" s="199" t="s">
        <v>29</v>
      </c>
      <c r="D95" s="199" t="s">
        <v>29</v>
      </c>
      <c r="E95" s="199">
        <v>315</v>
      </c>
      <c r="F95" s="199">
        <v>2273</v>
      </c>
      <c r="G95" s="199">
        <v>1308</v>
      </c>
      <c r="H95" s="199">
        <v>941</v>
      </c>
      <c r="I95" s="199">
        <v>59</v>
      </c>
      <c r="J95" s="199" t="s">
        <v>29</v>
      </c>
      <c r="K95" s="199" t="s">
        <v>29</v>
      </c>
      <c r="L95" s="199">
        <f t="shared" ref="L95" si="8">SUM(B95:K95)</f>
        <v>4896</v>
      </c>
      <c r="M95" s="199"/>
      <c r="N95" s="199" t="s">
        <v>29</v>
      </c>
      <c r="O95" s="199" t="s">
        <v>29</v>
      </c>
      <c r="P95" s="199" t="s">
        <v>29</v>
      </c>
      <c r="Q95" s="199" t="s">
        <v>29</v>
      </c>
      <c r="R95" s="199">
        <v>47</v>
      </c>
      <c r="S95" s="199">
        <v>61</v>
      </c>
      <c r="T95" s="199">
        <v>39</v>
      </c>
      <c r="U95" s="199" t="s">
        <v>29</v>
      </c>
      <c r="V95" s="199" t="s">
        <v>29</v>
      </c>
      <c r="W95" s="199" t="s">
        <v>29</v>
      </c>
      <c r="X95" s="199">
        <f t="shared" ref="X95" si="9">SUM(N95:W95)</f>
        <v>147</v>
      </c>
    </row>
    <row r="96" spans="1:24" x14ac:dyDescent="0.2">
      <c r="A96" s="496" t="s">
        <v>399</v>
      </c>
      <c r="B96" s="198" t="s">
        <v>29</v>
      </c>
      <c r="C96" s="198" t="s">
        <v>29</v>
      </c>
      <c r="D96" s="198" t="s">
        <v>29</v>
      </c>
      <c r="E96" s="198" t="s">
        <v>29</v>
      </c>
      <c r="F96" s="198" t="s">
        <v>116</v>
      </c>
      <c r="G96" s="198">
        <v>1244</v>
      </c>
      <c r="H96" s="198">
        <v>193</v>
      </c>
      <c r="I96" s="198" t="s">
        <v>29</v>
      </c>
      <c r="J96" s="198" t="s">
        <v>29</v>
      </c>
      <c r="K96" s="198" t="s">
        <v>29</v>
      </c>
      <c r="L96" s="199">
        <f t="shared" si="6"/>
        <v>1437</v>
      </c>
      <c r="M96" s="198"/>
      <c r="N96" s="199" t="s">
        <v>29</v>
      </c>
      <c r="O96" s="199" t="s">
        <v>29</v>
      </c>
      <c r="P96" s="199" t="s">
        <v>29</v>
      </c>
      <c r="Q96" s="198" t="s">
        <v>29</v>
      </c>
      <c r="R96" s="198" t="s">
        <v>29</v>
      </c>
      <c r="S96" s="198">
        <v>4</v>
      </c>
      <c r="T96" s="198" t="s">
        <v>29</v>
      </c>
      <c r="U96" s="198" t="s">
        <v>29</v>
      </c>
      <c r="V96" s="199" t="s">
        <v>29</v>
      </c>
      <c r="W96" s="199" t="s">
        <v>29</v>
      </c>
      <c r="X96" s="199">
        <f t="shared" si="7"/>
        <v>4</v>
      </c>
    </row>
    <row r="97" spans="1:24" ht="15.75" x14ac:dyDescent="0.25">
      <c r="B97" s="198"/>
      <c r="C97" s="198"/>
      <c r="D97" s="198"/>
      <c r="E97" s="198"/>
      <c r="F97" s="198"/>
      <c r="G97" s="198"/>
      <c r="H97" s="198"/>
      <c r="I97" s="198"/>
      <c r="J97" s="198"/>
      <c r="K97" s="198"/>
      <c r="L97" s="198"/>
      <c r="M97" s="31"/>
      <c r="N97" s="345"/>
      <c r="O97" s="345"/>
      <c r="P97" s="345"/>
      <c r="Q97" s="345"/>
      <c r="R97" s="345"/>
      <c r="S97" s="345"/>
      <c r="T97" s="345"/>
      <c r="U97" s="345"/>
      <c r="V97" s="345"/>
      <c r="W97" s="345"/>
      <c r="X97" s="198"/>
    </row>
    <row r="98" spans="1:24" ht="15.75" x14ac:dyDescent="0.25">
      <c r="A98" s="116" t="s">
        <v>24</v>
      </c>
      <c r="B98" s="198"/>
      <c r="C98" s="198"/>
      <c r="D98" s="198"/>
      <c r="E98" s="198"/>
      <c r="F98" s="198"/>
      <c r="G98" s="198"/>
      <c r="H98" s="198"/>
      <c r="I98" s="198"/>
      <c r="J98" s="198"/>
      <c r="K98" s="198"/>
      <c r="L98" s="198"/>
      <c r="M98" s="31"/>
      <c r="N98" s="345"/>
      <c r="O98" s="345"/>
      <c r="P98" s="345"/>
      <c r="Q98" s="345"/>
      <c r="R98" s="345"/>
      <c r="S98" s="345"/>
      <c r="T98" s="345"/>
      <c r="U98" s="345"/>
      <c r="V98" s="345"/>
      <c r="W98" s="345"/>
      <c r="X98" s="198"/>
    </row>
    <row r="99" spans="1:24" x14ac:dyDescent="0.2">
      <c r="A99" s="383">
        <v>1976</v>
      </c>
      <c r="B99" s="201" t="s">
        <v>116</v>
      </c>
      <c r="C99" s="201" t="s">
        <v>116</v>
      </c>
      <c r="D99" s="198">
        <v>0</v>
      </c>
      <c r="E99" s="198">
        <v>18</v>
      </c>
      <c r="F99" s="198">
        <v>287</v>
      </c>
      <c r="G99" s="198">
        <v>1469</v>
      </c>
      <c r="H99" s="198">
        <v>543</v>
      </c>
      <c r="I99" s="198">
        <v>6</v>
      </c>
      <c r="J99" s="198">
        <v>1</v>
      </c>
      <c r="K99" s="198">
        <v>0</v>
      </c>
      <c r="L99" s="198">
        <f t="shared" ref="L99:L143" si="10">SUM(B99:K99)</f>
        <v>2324</v>
      </c>
      <c r="M99" s="31"/>
      <c r="N99" s="201" t="s">
        <v>116</v>
      </c>
      <c r="O99" s="201" t="s">
        <v>116</v>
      </c>
      <c r="P99" s="198">
        <v>0</v>
      </c>
      <c r="Q99" s="198">
        <v>234</v>
      </c>
      <c r="R99" s="198">
        <v>1492</v>
      </c>
      <c r="S99" s="198">
        <v>4071</v>
      </c>
      <c r="T99" s="198">
        <v>1450</v>
      </c>
      <c r="U99" s="198">
        <v>5</v>
      </c>
      <c r="V99" s="198">
        <v>1</v>
      </c>
      <c r="W99" s="198">
        <v>0</v>
      </c>
      <c r="X99" s="198">
        <f t="shared" ref="X99:X130" si="11">SUM(N99:W99)</f>
        <v>7253</v>
      </c>
    </row>
    <row r="100" spans="1:24" x14ac:dyDescent="0.2">
      <c r="A100" s="383">
        <v>1977</v>
      </c>
      <c r="B100" s="201" t="s">
        <v>116</v>
      </c>
      <c r="C100" s="201" t="s">
        <v>116</v>
      </c>
      <c r="D100" s="198">
        <v>0</v>
      </c>
      <c r="E100" s="198">
        <v>11</v>
      </c>
      <c r="F100" s="198">
        <v>41</v>
      </c>
      <c r="G100" s="198">
        <v>2168</v>
      </c>
      <c r="H100" s="198">
        <v>3698</v>
      </c>
      <c r="I100" s="198">
        <v>405</v>
      </c>
      <c r="J100" s="198">
        <v>0</v>
      </c>
      <c r="K100" s="198">
        <v>0</v>
      </c>
      <c r="L100" s="198">
        <f t="shared" si="10"/>
        <v>6323</v>
      </c>
      <c r="M100" s="31"/>
      <c r="N100" s="201" t="s">
        <v>116</v>
      </c>
      <c r="O100" s="201" t="s">
        <v>116</v>
      </c>
      <c r="P100" s="198">
        <v>0</v>
      </c>
      <c r="Q100" s="198">
        <v>0</v>
      </c>
      <c r="R100" s="198">
        <v>0</v>
      </c>
      <c r="S100" s="198">
        <v>156</v>
      </c>
      <c r="T100" s="198">
        <v>176</v>
      </c>
      <c r="U100" s="198">
        <v>363</v>
      </c>
      <c r="V100" s="198">
        <v>0</v>
      </c>
      <c r="W100" s="198">
        <v>0</v>
      </c>
      <c r="X100" s="198">
        <f t="shared" si="11"/>
        <v>695</v>
      </c>
    </row>
    <row r="101" spans="1:24" x14ac:dyDescent="0.2">
      <c r="A101" s="383">
        <v>1978</v>
      </c>
      <c r="B101" s="201" t="s">
        <v>116</v>
      </c>
      <c r="C101" s="201" t="s">
        <v>116</v>
      </c>
      <c r="D101" s="198">
        <v>1</v>
      </c>
      <c r="E101" s="198">
        <v>15</v>
      </c>
      <c r="F101" s="198">
        <v>616</v>
      </c>
      <c r="G101" s="198">
        <v>1386</v>
      </c>
      <c r="H101" s="198">
        <v>516</v>
      </c>
      <c r="I101" s="198">
        <v>0</v>
      </c>
      <c r="J101" s="198">
        <v>0</v>
      </c>
      <c r="K101" s="198">
        <v>0</v>
      </c>
      <c r="L101" s="198">
        <f t="shared" si="10"/>
        <v>2534</v>
      </c>
      <c r="M101" s="31"/>
      <c r="N101" s="201" t="s">
        <v>116</v>
      </c>
      <c r="O101" s="201" t="s">
        <v>116</v>
      </c>
      <c r="P101" s="198">
        <v>0</v>
      </c>
      <c r="Q101" s="198">
        <v>12</v>
      </c>
      <c r="R101" s="198">
        <v>1043</v>
      </c>
      <c r="S101" s="198">
        <v>829</v>
      </c>
      <c r="T101" s="198">
        <v>106</v>
      </c>
      <c r="U101" s="198">
        <v>0</v>
      </c>
      <c r="V101" s="198">
        <v>0</v>
      </c>
      <c r="W101" s="198">
        <v>0</v>
      </c>
      <c r="X101" s="198">
        <f t="shared" si="11"/>
        <v>1990</v>
      </c>
    </row>
    <row r="102" spans="1:24" x14ac:dyDescent="0.2">
      <c r="A102" s="383">
        <v>1979</v>
      </c>
      <c r="B102" s="201" t="s">
        <v>116</v>
      </c>
      <c r="C102" s="201" t="s">
        <v>116</v>
      </c>
      <c r="D102" s="198">
        <v>0</v>
      </c>
      <c r="E102" s="198">
        <v>0</v>
      </c>
      <c r="F102" s="198">
        <v>564</v>
      </c>
      <c r="G102" s="198">
        <v>2877</v>
      </c>
      <c r="H102" s="198">
        <v>1110</v>
      </c>
      <c r="I102" s="198">
        <v>75</v>
      </c>
      <c r="J102" s="198">
        <v>0</v>
      </c>
      <c r="K102" s="198">
        <v>0</v>
      </c>
      <c r="L102" s="198">
        <f t="shared" si="10"/>
        <v>4626</v>
      </c>
      <c r="M102" s="31"/>
      <c r="N102" s="201" t="s">
        <v>116</v>
      </c>
      <c r="O102" s="201" t="s">
        <v>116</v>
      </c>
      <c r="P102" s="198">
        <v>0</v>
      </c>
      <c r="Q102" s="198">
        <v>0</v>
      </c>
      <c r="R102" s="198">
        <v>315</v>
      </c>
      <c r="S102" s="198">
        <v>348</v>
      </c>
      <c r="T102" s="198">
        <v>116</v>
      </c>
      <c r="U102" s="198">
        <v>44</v>
      </c>
      <c r="V102" s="198">
        <v>0</v>
      </c>
      <c r="W102" s="198" t="s">
        <v>29</v>
      </c>
      <c r="X102" s="198">
        <f t="shared" si="11"/>
        <v>823</v>
      </c>
    </row>
    <row r="103" spans="1:24" x14ac:dyDescent="0.2">
      <c r="A103" s="383">
        <v>1980</v>
      </c>
      <c r="B103" s="201" t="s">
        <v>116</v>
      </c>
      <c r="C103" s="201" t="s">
        <v>116</v>
      </c>
      <c r="D103" s="198">
        <v>1</v>
      </c>
      <c r="E103" s="198">
        <v>51</v>
      </c>
      <c r="F103" s="198">
        <v>328</v>
      </c>
      <c r="G103" s="198">
        <v>721</v>
      </c>
      <c r="H103" s="198">
        <v>194</v>
      </c>
      <c r="I103" s="198">
        <v>13</v>
      </c>
      <c r="J103" s="198">
        <v>0</v>
      </c>
      <c r="K103" s="198">
        <v>0</v>
      </c>
      <c r="L103" s="198">
        <f t="shared" si="10"/>
        <v>1308</v>
      </c>
      <c r="M103" s="31"/>
      <c r="N103" s="201" t="s">
        <v>116</v>
      </c>
      <c r="O103" s="201" t="s">
        <v>116</v>
      </c>
      <c r="P103" s="198">
        <v>0</v>
      </c>
      <c r="Q103" s="198">
        <v>49</v>
      </c>
      <c r="R103" s="198">
        <v>320</v>
      </c>
      <c r="S103" s="198">
        <v>791</v>
      </c>
      <c r="T103" s="198">
        <v>107</v>
      </c>
      <c r="U103" s="198">
        <v>0</v>
      </c>
      <c r="V103" s="198">
        <v>0</v>
      </c>
      <c r="W103" s="198" t="s">
        <v>29</v>
      </c>
      <c r="X103" s="198">
        <f t="shared" si="11"/>
        <v>1267</v>
      </c>
    </row>
    <row r="104" spans="1:24" x14ac:dyDescent="0.2">
      <c r="A104" s="383">
        <v>1981</v>
      </c>
      <c r="B104" s="201" t="s">
        <v>116</v>
      </c>
      <c r="C104" s="201" t="s">
        <v>116</v>
      </c>
      <c r="D104" s="198">
        <v>5</v>
      </c>
      <c r="E104" s="198">
        <v>37</v>
      </c>
      <c r="F104" s="198">
        <v>434</v>
      </c>
      <c r="G104" s="198">
        <v>1006</v>
      </c>
      <c r="H104" s="198">
        <v>290</v>
      </c>
      <c r="I104" s="198">
        <v>10</v>
      </c>
      <c r="J104" s="198">
        <v>5</v>
      </c>
      <c r="K104" s="198">
        <v>0</v>
      </c>
      <c r="L104" s="198">
        <f t="shared" si="10"/>
        <v>1787</v>
      </c>
      <c r="M104" s="31"/>
      <c r="N104" s="201" t="s">
        <v>116</v>
      </c>
      <c r="O104" s="201" t="s">
        <v>116</v>
      </c>
      <c r="P104" s="198">
        <v>0</v>
      </c>
      <c r="Q104" s="198">
        <v>0</v>
      </c>
      <c r="R104" s="198">
        <v>0</v>
      </c>
      <c r="S104" s="198">
        <v>340</v>
      </c>
      <c r="T104" s="198">
        <v>181</v>
      </c>
      <c r="U104" s="198">
        <v>0</v>
      </c>
      <c r="V104" s="198">
        <v>0</v>
      </c>
      <c r="W104" s="198">
        <v>0</v>
      </c>
      <c r="X104" s="198">
        <f t="shared" si="11"/>
        <v>521</v>
      </c>
    </row>
    <row r="105" spans="1:24" x14ac:dyDescent="0.2">
      <c r="A105" s="383">
        <v>1982</v>
      </c>
      <c r="B105" s="201" t="s">
        <v>116</v>
      </c>
      <c r="C105" s="201" t="s">
        <v>116</v>
      </c>
      <c r="D105" s="198">
        <v>0</v>
      </c>
      <c r="E105" s="198">
        <v>62</v>
      </c>
      <c r="F105" s="198">
        <v>843</v>
      </c>
      <c r="G105" s="198">
        <v>1319</v>
      </c>
      <c r="H105" s="198">
        <v>709</v>
      </c>
      <c r="I105" s="198">
        <v>15</v>
      </c>
      <c r="J105" s="198">
        <v>0</v>
      </c>
      <c r="K105" s="198">
        <v>0</v>
      </c>
      <c r="L105" s="198">
        <f t="shared" si="10"/>
        <v>2948</v>
      </c>
      <c r="M105" s="31"/>
      <c r="N105" s="201" t="s">
        <v>116</v>
      </c>
      <c r="O105" s="201" t="s">
        <v>116</v>
      </c>
      <c r="P105" s="198">
        <v>0</v>
      </c>
      <c r="Q105" s="198">
        <v>0</v>
      </c>
      <c r="R105" s="198">
        <v>193</v>
      </c>
      <c r="S105" s="198">
        <v>546</v>
      </c>
      <c r="T105" s="198">
        <v>167</v>
      </c>
      <c r="U105" s="198">
        <v>15</v>
      </c>
      <c r="V105" s="198">
        <v>0</v>
      </c>
      <c r="W105" s="198">
        <v>0</v>
      </c>
      <c r="X105" s="198">
        <f t="shared" si="11"/>
        <v>921</v>
      </c>
    </row>
    <row r="106" spans="1:24" x14ac:dyDescent="0.2">
      <c r="A106" s="383">
        <v>1983</v>
      </c>
      <c r="B106" s="201" t="s">
        <v>116</v>
      </c>
      <c r="C106" s="201" t="s">
        <v>116</v>
      </c>
      <c r="D106" s="198">
        <v>0</v>
      </c>
      <c r="E106" s="198">
        <v>12</v>
      </c>
      <c r="F106" s="198">
        <v>747</v>
      </c>
      <c r="G106" s="198">
        <v>931</v>
      </c>
      <c r="H106" s="198">
        <v>232</v>
      </c>
      <c r="I106" s="198">
        <v>11</v>
      </c>
      <c r="J106" s="198">
        <v>0</v>
      </c>
      <c r="K106" s="198">
        <v>0</v>
      </c>
      <c r="L106" s="198">
        <f t="shared" si="10"/>
        <v>1933</v>
      </c>
      <c r="M106" s="31"/>
      <c r="N106" s="201" t="s">
        <v>116</v>
      </c>
      <c r="O106" s="201" t="s">
        <v>116</v>
      </c>
      <c r="P106" s="198">
        <v>0</v>
      </c>
      <c r="Q106" s="198">
        <v>0</v>
      </c>
      <c r="R106" s="198">
        <v>347</v>
      </c>
      <c r="S106" s="198">
        <v>1169</v>
      </c>
      <c r="T106" s="198">
        <v>215</v>
      </c>
      <c r="U106" s="198">
        <v>0</v>
      </c>
      <c r="V106" s="198">
        <v>0</v>
      </c>
      <c r="W106" s="198">
        <v>0</v>
      </c>
      <c r="X106" s="198">
        <f t="shared" si="11"/>
        <v>1731</v>
      </c>
    </row>
    <row r="107" spans="1:24" x14ac:dyDescent="0.2">
      <c r="A107" s="383">
        <v>1984</v>
      </c>
      <c r="B107" s="201" t="s">
        <v>116</v>
      </c>
      <c r="C107" s="201" t="s">
        <v>116</v>
      </c>
      <c r="D107" s="198">
        <v>1</v>
      </c>
      <c r="E107" s="198">
        <v>3</v>
      </c>
      <c r="F107" s="198">
        <v>251</v>
      </c>
      <c r="G107" s="198">
        <v>594</v>
      </c>
      <c r="H107" s="198">
        <v>143</v>
      </c>
      <c r="I107" s="198">
        <v>7</v>
      </c>
      <c r="J107" s="198">
        <v>0</v>
      </c>
      <c r="K107" s="198">
        <v>0</v>
      </c>
      <c r="L107" s="198">
        <f t="shared" si="10"/>
        <v>999</v>
      </c>
      <c r="M107" s="31"/>
      <c r="N107" s="201" t="s">
        <v>116</v>
      </c>
      <c r="O107" s="201" t="s">
        <v>116</v>
      </c>
      <c r="P107" s="198">
        <v>0</v>
      </c>
      <c r="Q107" s="198">
        <v>0</v>
      </c>
      <c r="R107" s="198">
        <v>104</v>
      </c>
      <c r="S107" s="198">
        <v>494</v>
      </c>
      <c r="T107" s="198">
        <v>116</v>
      </c>
      <c r="U107" s="198">
        <v>0</v>
      </c>
      <c r="V107" s="198">
        <v>0</v>
      </c>
      <c r="W107" s="198">
        <v>0</v>
      </c>
      <c r="X107" s="198">
        <f t="shared" si="11"/>
        <v>714</v>
      </c>
    </row>
    <row r="108" spans="1:24" x14ac:dyDescent="0.2">
      <c r="A108" s="383">
        <v>1985</v>
      </c>
      <c r="B108" s="201" t="s">
        <v>116</v>
      </c>
      <c r="C108" s="201" t="s">
        <v>116</v>
      </c>
      <c r="D108" s="198">
        <v>1</v>
      </c>
      <c r="E108" s="198">
        <v>33</v>
      </c>
      <c r="F108" s="198">
        <v>806</v>
      </c>
      <c r="G108" s="198">
        <v>3913</v>
      </c>
      <c r="H108" s="198">
        <v>221</v>
      </c>
      <c r="I108" s="198">
        <v>10</v>
      </c>
      <c r="J108" s="198">
        <v>1</v>
      </c>
      <c r="K108" s="198">
        <v>0</v>
      </c>
      <c r="L108" s="198">
        <f t="shared" si="10"/>
        <v>4985</v>
      </c>
      <c r="M108" s="31"/>
      <c r="N108" s="201" t="s">
        <v>116</v>
      </c>
      <c r="O108" s="201" t="s">
        <v>116</v>
      </c>
      <c r="P108" s="198">
        <v>0</v>
      </c>
      <c r="Q108" s="198">
        <v>0</v>
      </c>
      <c r="R108" s="198">
        <v>474</v>
      </c>
      <c r="S108" s="198">
        <v>290</v>
      </c>
      <c r="T108" s="198">
        <v>8</v>
      </c>
      <c r="U108" s="198">
        <v>0</v>
      </c>
      <c r="V108" s="198">
        <v>0</v>
      </c>
      <c r="W108" s="198">
        <v>0</v>
      </c>
      <c r="X108" s="198">
        <f t="shared" si="11"/>
        <v>772</v>
      </c>
    </row>
    <row r="109" spans="1:24" x14ac:dyDescent="0.2">
      <c r="A109" s="383">
        <v>1986</v>
      </c>
      <c r="B109" s="198">
        <v>0</v>
      </c>
      <c r="C109" s="198">
        <v>0</v>
      </c>
      <c r="D109" s="198">
        <v>8</v>
      </c>
      <c r="E109" s="198">
        <v>170</v>
      </c>
      <c r="F109" s="198">
        <v>3227</v>
      </c>
      <c r="G109" s="198">
        <v>6399</v>
      </c>
      <c r="H109" s="198">
        <v>780</v>
      </c>
      <c r="I109" s="198">
        <v>0</v>
      </c>
      <c r="J109" s="198">
        <v>0</v>
      </c>
      <c r="K109" s="198">
        <v>0</v>
      </c>
      <c r="L109" s="198">
        <f t="shared" si="10"/>
        <v>10584</v>
      </c>
      <c r="M109" s="31"/>
      <c r="N109" s="198">
        <v>0</v>
      </c>
      <c r="O109" s="198">
        <v>0</v>
      </c>
      <c r="P109" s="198">
        <v>0</v>
      </c>
      <c r="Q109" s="198">
        <v>13</v>
      </c>
      <c r="R109" s="198">
        <v>189</v>
      </c>
      <c r="S109" s="198">
        <v>1140</v>
      </c>
      <c r="T109" s="198">
        <v>249</v>
      </c>
      <c r="U109" s="198">
        <v>3</v>
      </c>
      <c r="V109" s="198">
        <v>0</v>
      </c>
      <c r="W109" s="198">
        <v>0</v>
      </c>
      <c r="X109" s="198">
        <f t="shared" si="11"/>
        <v>1594</v>
      </c>
    </row>
    <row r="110" spans="1:24" x14ac:dyDescent="0.2">
      <c r="A110" s="383">
        <v>1987</v>
      </c>
      <c r="B110" s="198">
        <v>0</v>
      </c>
      <c r="C110" s="198">
        <v>4</v>
      </c>
      <c r="D110" s="198">
        <v>45</v>
      </c>
      <c r="E110" s="198">
        <v>253</v>
      </c>
      <c r="F110" s="198">
        <v>2359</v>
      </c>
      <c r="G110" s="198">
        <v>5208</v>
      </c>
      <c r="H110" s="198">
        <v>1115</v>
      </c>
      <c r="I110" s="198">
        <v>217</v>
      </c>
      <c r="J110" s="198">
        <v>0</v>
      </c>
      <c r="K110" s="198">
        <v>0</v>
      </c>
      <c r="L110" s="198">
        <f t="shared" si="10"/>
        <v>9201</v>
      </c>
      <c r="M110" s="31"/>
      <c r="N110" s="198">
        <v>0</v>
      </c>
      <c r="O110" s="198">
        <v>0</v>
      </c>
      <c r="P110" s="198">
        <v>0</v>
      </c>
      <c r="Q110" s="198">
        <v>0</v>
      </c>
      <c r="R110" s="198">
        <v>671</v>
      </c>
      <c r="S110" s="198">
        <v>1125</v>
      </c>
      <c r="T110" s="198">
        <v>471</v>
      </c>
      <c r="U110" s="198">
        <v>241</v>
      </c>
      <c r="V110" s="198">
        <v>0</v>
      </c>
      <c r="W110" s="198">
        <v>0</v>
      </c>
      <c r="X110" s="198">
        <f t="shared" si="11"/>
        <v>2508</v>
      </c>
    </row>
    <row r="111" spans="1:24" x14ac:dyDescent="0.2">
      <c r="A111" s="383">
        <v>1988</v>
      </c>
      <c r="B111" s="198">
        <v>0</v>
      </c>
      <c r="C111" s="198">
        <v>0</v>
      </c>
      <c r="D111" s="198">
        <v>311</v>
      </c>
      <c r="E111" s="198">
        <v>1110</v>
      </c>
      <c r="F111" s="198">
        <v>3431</v>
      </c>
      <c r="G111" s="198">
        <v>3799</v>
      </c>
      <c r="H111" s="198">
        <v>707</v>
      </c>
      <c r="I111" s="198">
        <v>48</v>
      </c>
      <c r="J111" s="198">
        <v>0</v>
      </c>
      <c r="K111" s="198">
        <v>0</v>
      </c>
      <c r="L111" s="198">
        <f t="shared" si="10"/>
        <v>9406</v>
      </c>
      <c r="M111" s="31"/>
      <c r="N111" s="198">
        <v>0</v>
      </c>
      <c r="O111" s="198">
        <v>0</v>
      </c>
      <c r="P111" s="198">
        <v>0</v>
      </c>
      <c r="Q111" s="198">
        <v>81</v>
      </c>
      <c r="R111" s="198">
        <v>163</v>
      </c>
      <c r="S111" s="198">
        <v>2809</v>
      </c>
      <c r="T111" s="198">
        <v>95</v>
      </c>
      <c r="U111" s="198">
        <v>0</v>
      </c>
      <c r="V111" s="198">
        <v>0</v>
      </c>
      <c r="W111" s="198">
        <v>0</v>
      </c>
      <c r="X111" s="198">
        <f t="shared" si="11"/>
        <v>3148</v>
      </c>
    </row>
    <row r="112" spans="1:24" x14ac:dyDescent="0.2">
      <c r="A112" s="383">
        <v>1989</v>
      </c>
      <c r="B112" s="198">
        <v>0</v>
      </c>
      <c r="C112" s="198">
        <v>0</v>
      </c>
      <c r="D112" s="198">
        <v>58</v>
      </c>
      <c r="E112" s="198">
        <v>182</v>
      </c>
      <c r="F112" s="198">
        <v>2527</v>
      </c>
      <c r="G112" s="198">
        <v>2409</v>
      </c>
      <c r="H112" s="198">
        <v>579</v>
      </c>
      <c r="I112" s="198">
        <v>36</v>
      </c>
      <c r="J112" s="198">
        <v>12</v>
      </c>
      <c r="K112" s="198">
        <v>0</v>
      </c>
      <c r="L112" s="198">
        <f t="shared" si="10"/>
        <v>5803</v>
      </c>
      <c r="M112" s="31"/>
      <c r="N112" s="198">
        <v>0</v>
      </c>
      <c r="O112" s="198">
        <v>0</v>
      </c>
      <c r="P112" s="198">
        <v>0</v>
      </c>
      <c r="Q112" s="198">
        <v>14</v>
      </c>
      <c r="R112" s="198">
        <v>1084</v>
      </c>
      <c r="S112" s="198">
        <v>2109</v>
      </c>
      <c r="T112" s="198">
        <v>397</v>
      </c>
      <c r="U112" s="198">
        <v>75</v>
      </c>
      <c r="V112" s="198">
        <v>0</v>
      </c>
      <c r="W112" s="198">
        <v>0</v>
      </c>
      <c r="X112" s="198">
        <f t="shared" si="11"/>
        <v>3679</v>
      </c>
    </row>
    <row r="113" spans="1:24" x14ac:dyDescent="0.2">
      <c r="A113" s="383">
        <v>1990</v>
      </c>
      <c r="B113" s="198">
        <v>0</v>
      </c>
      <c r="C113" s="198">
        <v>0</v>
      </c>
      <c r="D113" s="198">
        <v>1</v>
      </c>
      <c r="E113" s="198">
        <v>84</v>
      </c>
      <c r="F113" s="198">
        <v>1588</v>
      </c>
      <c r="G113" s="198">
        <v>1472</v>
      </c>
      <c r="H113" s="198">
        <v>191</v>
      </c>
      <c r="I113" s="198">
        <v>52</v>
      </c>
      <c r="J113" s="198">
        <v>0</v>
      </c>
      <c r="K113" s="198">
        <v>0</v>
      </c>
      <c r="L113" s="198">
        <f t="shared" si="10"/>
        <v>3388</v>
      </c>
      <c r="M113" s="31"/>
      <c r="N113" s="198">
        <v>0</v>
      </c>
      <c r="O113" s="198">
        <v>0</v>
      </c>
      <c r="P113" s="198">
        <v>0</v>
      </c>
      <c r="Q113" s="198">
        <v>84</v>
      </c>
      <c r="R113" s="198">
        <v>2193</v>
      </c>
      <c r="S113" s="198">
        <v>2127</v>
      </c>
      <c r="T113" s="198">
        <v>107</v>
      </c>
      <c r="U113" s="198">
        <v>29</v>
      </c>
      <c r="V113" s="198">
        <v>0</v>
      </c>
      <c r="W113" s="198">
        <v>0</v>
      </c>
      <c r="X113" s="198">
        <f t="shared" si="11"/>
        <v>4540</v>
      </c>
    </row>
    <row r="114" spans="1:24" x14ac:dyDescent="0.2">
      <c r="A114" s="383">
        <v>1991</v>
      </c>
      <c r="B114" s="198">
        <v>0</v>
      </c>
      <c r="C114" s="198">
        <v>0</v>
      </c>
      <c r="D114" s="198">
        <v>6</v>
      </c>
      <c r="E114" s="198">
        <v>156</v>
      </c>
      <c r="F114" s="198">
        <v>1629</v>
      </c>
      <c r="G114" s="198">
        <v>3580</v>
      </c>
      <c r="H114" s="198">
        <v>467</v>
      </c>
      <c r="I114" s="198">
        <v>16</v>
      </c>
      <c r="J114" s="201" t="s">
        <v>116</v>
      </c>
      <c r="K114" s="201" t="s">
        <v>116</v>
      </c>
      <c r="L114" s="198">
        <f t="shared" si="10"/>
        <v>5854</v>
      </c>
      <c r="M114" s="31"/>
      <c r="N114" s="198">
        <v>0</v>
      </c>
      <c r="O114" s="198">
        <v>0</v>
      </c>
      <c r="P114" s="198">
        <v>0</v>
      </c>
      <c r="Q114" s="198">
        <v>500</v>
      </c>
      <c r="R114" s="198">
        <v>7894</v>
      </c>
      <c r="S114" s="198">
        <v>9557</v>
      </c>
      <c r="T114" s="198">
        <v>627</v>
      </c>
      <c r="U114" s="198">
        <v>8</v>
      </c>
      <c r="V114" s="201" t="s">
        <v>116</v>
      </c>
      <c r="W114" s="201" t="s">
        <v>116</v>
      </c>
      <c r="X114" s="198">
        <f t="shared" si="11"/>
        <v>18586</v>
      </c>
    </row>
    <row r="115" spans="1:24" x14ac:dyDescent="0.2">
      <c r="A115" s="383">
        <v>1992</v>
      </c>
      <c r="B115" s="198">
        <v>0</v>
      </c>
      <c r="C115" s="198">
        <v>2</v>
      </c>
      <c r="D115" s="198">
        <v>80</v>
      </c>
      <c r="E115" s="198">
        <v>983</v>
      </c>
      <c r="F115" s="198">
        <v>54</v>
      </c>
      <c r="G115" s="198">
        <v>2412</v>
      </c>
      <c r="H115" s="198" t="s">
        <v>29</v>
      </c>
      <c r="I115" s="198">
        <v>707</v>
      </c>
      <c r="J115" s="198">
        <v>24</v>
      </c>
      <c r="K115" s="198">
        <v>1</v>
      </c>
      <c r="L115" s="198">
        <f t="shared" si="10"/>
        <v>4263</v>
      </c>
      <c r="M115" s="31"/>
      <c r="N115" s="198">
        <v>0</v>
      </c>
      <c r="O115" s="198">
        <v>0</v>
      </c>
      <c r="P115" s="198">
        <v>0</v>
      </c>
      <c r="Q115" s="198">
        <v>284</v>
      </c>
      <c r="R115" s="198">
        <v>151</v>
      </c>
      <c r="S115" s="198">
        <v>2467</v>
      </c>
      <c r="T115" s="198" t="s">
        <v>29</v>
      </c>
      <c r="U115" s="198">
        <v>405</v>
      </c>
      <c r="V115" s="198">
        <v>25</v>
      </c>
      <c r="W115" s="198">
        <v>0</v>
      </c>
      <c r="X115" s="198">
        <f t="shared" si="11"/>
        <v>3332</v>
      </c>
    </row>
    <row r="116" spans="1:24" x14ac:dyDescent="0.2">
      <c r="A116" s="383">
        <v>1993</v>
      </c>
      <c r="B116" s="198">
        <v>2</v>
      </c>
      <c r="C116" s="198">
        <v>43</v>
      </c>
      <c r="D116" s="198">
        <v>210</v>
      </c>
      <c r="E116" s="198">
        <v>284</v>
      </c>
      <c r="F116" s="198">
        <v>491</v>
      </c>
      <c r="G116" s="198">
        <v>2615</v>
      </c>
      <c r="H116" s="198">
        <v>1929</v>
      </c>
      <c r="I116" s="198">
        <v>233</v>
      </c>
      <c r="J116" s="198">
        <v>14</v>
      </c>
      <c r="K116" s="198">
        <v>0</v>
      </c>
      <c r="L116" s="198">
        <f t="shared" si="10"/>
        <v>5821</v>
      </c>
      <c r="M116" s="31"/>
      <c r="N116" s="198">
        <v>0</v>
      </c>
      <c r="O116" s="198">
        <v>5</v>
      </c>
      <c r="P116" s="198">
        <v>4</v>
      </c>
      <c r="Q116" s="198">
        <v>96</v>
      </c>
      <c r="R116" s="198">
        <v>712</v>
      </c>
      <c r="S116" s="198">
        <v>9448</v>
      </c>
      <c r="T116" s="198">
        <v>1936</v>
      </c>
      <c r="U116" s="198">
        <v>123</v>
      </c>
      <c r="V116" s="198">
        <v>3</v>
      </c>
      <c r="W116" s="198">
        <v>0</v>
      </c>
      <c r="X116" s="198">
        <f t="shared" si="11"/>
        <v>12327</v>
      </c>
    </row>
    <row r="117" spans="1:24" x14ac:dyDescent="0.2">
      <c r="A117" s="383">
        <v>1994</v>
      </c>
      <c r="B117" s="198">
        <v>27</v>
      </c>
      <c r="C117" s="198">
        <v>78</v>
      </c>
      <c r="D117" s="198">
        <v>872</v>
      </c>
      <c r="E117" s="198">
        <v>3343</v>
      </c>
      <c r="F117" s="198">
        <v>7060</v>
      </c>
      <c r="G117" s="198" t="s">
        <v>29</v>
      </c>
      <c r="H117" s="198">
        <v>2320</v>
      </c>
      <c r="I117" s="198">
        <v>309</v>
      </c>
      <c r="J117" s="198">
        <v>9</v>
      </c>
      <c r="K117" s="201" t="s">
        <v>116</v>
      </c>
      <c r="L117" s="198">
        <f t="shared" si="10"/>
        <v>14018</v>
      </c>
      <c r="M117" s="31"/>
      <c r="N117" s="198">
        <v>0</v>
      </c>
      <c r="O117" s="198">
        <v>0</v>
      </c>
      <c r="P117" s="198">
        <v>13</v>
      </c>
      <c r="Q117" s="198">
        <v>0</v>
      </c>
      <c r="R117" s="198">
        <v>171</v>
      </c>
      <c r="S117" s="198" t="s">
        <v>29</v>
      </c>
      <c r="T117" s="198">
        <v>39</v>
      </c>
      <c r="U117" s="198">
        <v>0</v>
      </c>
      <c r="V117" s="198">
        <v>3</v>
      </c>
      <c r="W117" s="201" t="s">
        <v>116</v>
      </c>
      <c r="X117" s="198">
        <f t="shared" si="11"/>
        <v>226</v>
      </c>
    </row>
    <row r="118" spans="1:24" x14ac:dyDescent="0.2">
      <c r="A118" s="383">
        <v>1995</v>
      </c>
      <c r="B118" s="198">
        <v>229</v>
      </c>
      <c r="C118" s="198">
        <v>300</v>
      </c>
      <c r="D118" s="198">
        <v>976</v>
      </c>
      <c r="E118" s="198">
        <v>1146</v>
      </c>
      <c r="F118" s="198">
        <v>20464</v>
      </c>
      <c r="G118" s="198" t="s">
        <v>29</v>
      </c>
      <c r="H118" s="198">
        <v>4795</v>
      </c>
      <c r="I118" s="198">
        <v>1015</v>
      </c>
      <c r="J118" s="198">
        <v>123</v>
      </c>
      <c r="K118" s="201" t="s">
        <v>116</v>
      </c>
      <c r="L118" s="198">
        <f t="shared" si="10"/>
        <v>29048</v>
      </c>
      <c r="M118" s="31"/>
      <c r="N118" s="198">
        <v>0</v>
      </c>
      <c r="O118" s="198">
        <v>0</v>
      </c>
      <c r="P118" s="198">
        <v>5</v>
      </c>
      <c r="Q118" s="198">
        <v>3</v>
      </c>
      <c r="R118" s="198">
        <v>307</v>
      </c>
      <c r="S118" s="198" t="s">
        <v>29</v>
      </c>
      <c r="T118" s="198">
        <v>111</v>
      </c>
      <c r="U118" s="198">
        <v>20</v>
      </c>
      <c r="V118" s="198">
        <v>9</v>
      </c>
      <c r="W118" s="201" t="s">
        <v>116</v>
      </c>
      <c r="X118" s="198">
        <f t="shared" si="11"/>
        <v>455</v>
      </c>
    </row>
    <row r="119" spans="1:24" x14ac:dyDescent="0.2">
      <c r="A119" s="383">
        <v>1996</v>
      </c>
      <c r="B119" s="198">
        <v>11</v>
      </c>
      <c r="C119" s="198">
        <v>277</v>
      </c>
      <c r="D119" s="198">
        <v>1368</v>
      </c>
      <c r="E119" s="198">
        <v>1945</v>
      </c>
      <c r="F119" s="198">
        <v>13727</v>
      </c>
      <c r="G119" s="198">
        <v>1900</v>
      </c>
      <c r="H119" s="198">
        <v>3213</v>
      </c>
      <c r="I119" s="198">
        <v>1450</v>
      </c>
      <c r="J119" s="198">
        <v>111</v>
      </c>
      <c r="K119" s="201" t="s">
        <v>116</v>
      </c>
      <c r="L119" s="198">
        <f t="shared" si="10"/>
        <v>24002</v>
      </c>
      <c r="M119" s="31"/>
      <c r="N119" s="198" t="s">
        <v>29</v>
      </c>
      <c r="O119" s="198" t="s">
        <v>29</v>
      </c>
      <c r="P119" s="198">
        <v>3</v>
      </c>
      <c r="Q119" s="198" t="s">
        <v>29</v>
      </c>
      <c r="R119" s="198">
        <v>180</v>
      </c>
      <c r="S119" s="198">
        <v>23</v>
      </c>
      <c r="T119" s="198">
        <v>98</v>
      </c>
      <c r="U119" s="198">
        <v>30</v>
      </c>
      <c r="V119" s="198" t="s">
        <v>29</v>
      </c>
      <c r="W119" s="198" t="s">
        <v>29</v>
      </c>
      <c r="X119" s="198">
        <f t="shared" si="11"/>
        <v>334</v>
      </c>
    </row>
    <row r="120" spans="1:24" x14ac:dyDescent="0.2">
      <c r="A120" s="383">
        <v>1997</v>
      </c>
      <c r="B120" s="201" t="s">
        <v>116</v>
      </c>
      <c r="C120" s="198">
        <v>128</v>
      </c>
      <c r="D120" s="198">
        <v>475</v>
      </c>
      <c r="E120" s="198">
        <v>1871</v>
      </c>
      <c r="F120" s="198">
        <v>4168</v>
      </c>
      <c r="G120" s="198">
        <v>3615</v>
      </c>
      <c r="H120" s="198">
        <v>1259</v>
      </c>
      <c r="I120" s="198">
        <v>68</v>
      </c>
      <c r="J120" s="201" t="s">
        <v>116</v>
      </c>
      <c r="K120" s="201" t="s">
        <v>116</v>
      </c>
      <c r="L120" s="198">
        <f t="shared" si="10"/>
        <v>11584</v>
      </c>
      <c r="M120" s="31"/>
      <c r="N120" s="198" t="s">
        <v>29</v>
      </c>
      <c r="O120" s="198" t="s">
        <v>29</v>
      </c>
      <c r="P120" s="198" t="s">
        <v>29</v>
      </c>
      <c r="Q120" s="198">
        <v>8</v>
      </c>
      <c r="R120" s="198">
        <v>21</v>
      </c>
      <c r="S120" s="198">
        <v>21</v>
      </c>
      <c r="T120" s="198">
        <v>9</v>
      </c>
      <c r="U120" s="198" t="s">
        <v>29</v>
      </c>
      <c r="V120" s="198" t="s">
        <v>29</v>
      </c>
      <c r="W120" s="198" t="s">
        <v>29</v>
      </c>
      <c r="X120" s="198">
        <f t="shared" si="11"/>
        <v>59</v>
      </c>
    </row>
    <row r="121" spans="1:24" x14ac:dyDescent="0.2">
      <c r="A121" s="383">
        <v>1998</v>
      </c>
      <c r="B121" s="201" t="s">
        <v>116</v>
      </c>
      <c r="C121" s="198">
        <v>40</v>
      </c>
      <c r="D121" s="201" t="s">
        <v>116</v>
      </c>
      <c r="E121" s="198">
        <v>594</v>
      </c>
      <c r="F121" s="198">
        <v>520</v>
      </c>
      <c r="G121" s="198">
        <v>683</v>
      </c>
      <c r="H121" s="198">
        <v>2197</v>
      </c>
      <c r="I121" s="198">
        <v>629</v>
      </c>
      <c r="J121" s="198">
        <v>0</v>
      </c>
      <c r="K121" s="201" t="s">
        <v>116</v>
      </c>
      <c r="L121" s="198">
        <f t="shared" si="10"/>
        <v>4663</v>
      </c>
      <c r="M121" s="31"/>
      <c r="N121" s="198" t="s">
        <v>29</v>
      </c>
      <c r="O121" s="198" t="s">
        <v>29</v>
      </c>
      <c r="P121" s="198" t="s">
        <v>29</v>
      </c>
      <c r="Q121" s="198" t="s">
        <v>29</v>
      </c>
      <c r="R121" s="198" t="s">
        <v>29</v>
      </c>
      <c r="S121" s="198" t="s">
        <v>29</v>
      </c>
      <c r="T121" s="198">
        <v>3</v>
      </c>
      <c r="U121" s="198" t="s">
        <v>29</v>
      </c>
      <c r="V121" s="198" t="s">
        <v>29</v>
      </c>
      <c r="W121" s="198" t="s">
        <v>29</v>
      </c>
      <c r="X121" s="198">
        <f t="shared" si="11"/>
        <v>3</v>
      </c>
    </row>
    <row r="122" spans="1:24" x14ac:dyDescent="0.2">
      <c r="A122" s="383">
        <v>1999</v>
      </c>
      <c r="B122" s="198">
        <v>0</v>
      </c>
      <c r="C122" s="198">
        <v>1</v>
      </c>
      <c r="D122" s="198">
        <v>22</v>
      </c>
      <c r="E122" s="198">
        <v>32</v>
      </c>
      <c r="F122" s="198">
        <v>481</v>
      </c>
      <c r="G122" s="198">
        <v>2020</v>
      </c>
      <c r="H122" s="198">
        <v>2550</v>
      </c>
      <c r="I122" s="198">
        <v>157</v>
      </c>
      <c r="J122" s="201" t="s">
        <v>116</v>
      </c>
      <c r="K122" s="201" t="s">
        <v>116</v>
      </c>
      <c r="L122" s="198">
        <f t="shared" si="10"/>
        <v>5263</v>
      </c>
      <c r="M122" s="31"/>
      <c r="N122" s="198" t="s">
        <v>29</v>
      </c>
      <c r="O122" s="198" t="s">
        <v>29</v>
      </c>
      <c r="P122" s="198" t="s">
        <v>29</v>
      </c>
      <c r="Q122" s="198" t="s">
        <v>29</v>
      </c>
      <c r="R122" s="198">
        <v>15</v>
      </c>
      <c r="S122" s="198">
        <v>27</v>
      </c>
      <c r="T122" s="198">
        <v>112</v>
      </c>
      <c r="U122" s="198" t="s">
        <v>29</v>
      </c>
      <c r="V122" s="198" t="s">
        <v>29</v>
      </c>
      <c r="W122" s="198" t="s">
        <v>29</v>
      </c>
      <c r="X122" s="198">
        <f t="shared" si="11"/>
        <v>154</v>
      </c>
    </row>
    <row r="123" spans="1:24" x14ac:dyDescent="0.2">
      <c r="A123" s="383">
        <v>2000</v>
      </c>
      <c r="B123" s="201" t="s">
        <v>116</v>
      </c>
      <c r="C123" s="201" t="s">
        <v>116</v>
      </c>
      <c r="D123" s="198">
        <v>700</v>
      </c>
      <c r="E123" s="198">
        <v>2725</v>
      </c>
      <c r="F123" s="198">
        <v>5720</v>
      </c>
      <c r="G123" s="198">
        <v>8120</v>
      </c>
      <c r="H123" s="198">
        <v>7342</v>
      </c>
      <c r="I123" s="198">
        <v>1335</v>
      </c>
      <c r="J123" s="201">
        <v>0</v>
      </c>
      <c r="K123" s="201" t="s">
        <v>116</v>
      </c>
      <c r="L123" s="198">
        <f t="shared" si="10"/>
        <v>25942</v>
      </c>
      <c r="M123" s="31"/>
      <c r="N123" s="198" t="s">
        <v>29</v>
      </c>
      <c r="O123" s="198" t="s">
        <v>29</v>
      </c>
      <c r="P123" s="198" t="s">
        <v>29</v>
      </c>
      <c r="Q123" s="198" t="s">
        <v>29</v>
      </c>
      <c r="R123" s="198">
        <v>46</v>
      </c>
      <c r="S123" s="198">
        <v>8</v>
      </c>
      <c r="T123" s="198">
        <v>9</v>
      </c>
      <c r="U123" s="198">
        <v>3</v>
      </c>
      <c r="V123" s="198" t="s">
        <v>29</v>
      </c>
      <c r="W123" s="198" t="s">
        <v>29</v>
      </c>
      <c r="X123" s="198">
        <f t="shared" si="11"/>
        <v>66</v>
      </c>
    </row>
    <row r="124" spans="1:24" x14ac:dyDescent="0.2">
      <c r="A124" s="383">
        <v>2001</v>
      </c>
      <c r="B124" s="201" t="s">
        <v>116</v>
      </c>
      <c r="C124" s="198">
        <v>464</v>
      </c>
      <c r="D124" s="198">
        <v>516</v>
      </c>
      <c r="E124" s="198">
        <v>2663</v>
      </c>
      <c r="F124" s="198">
        <v>6305</v>
      </c>
      <c r="G124" s="198">
        <v>10402</v>
      </c>
      <c r="H124" s="198">
        <v>5348</v>
      </c>
      <c r="I124" s="198">
        <v>358</v>
      </c>
      <c r="J124" s="198">
        <v>6</v>
      </c>
      <c r="K124" s="198">
        <v>2</v>
      </c>
      <c r="L124" s="198">
        <f t="shared" si="10"/>
        <v>26064</v>
      </c>
      <c r="M124" s="31"/>
      <c r="N124" s="198" t="s">
        <v>29</v>
      </c>
      <c r="O124" s="198" t="s">
        <v>29</v>
      </c>
      <c r="P124" s="198" t="s">
        <v>29</v>
      </c>
      <c r="Q124" s="198">
        <v>57</v>
      </c>
      <c r="R124" s="198">
        <v>199</v>
      </c>
      <c r="S124" s="198">
        <v>145</v>
      </c>
      <c r="T124" s="198">
        <v>36</v>
      </c>
      <c r="U124" s="198" t="s">
        <v>29</v>
      </c>
      <c r="V124" s="198" t="s">
        <v>29</v>
      </c>
      <c r="W124" s="198" t="s">
        <v>29</v>
      </c>
      <c r="X124" s="198">
        <f t="shared" si="11"/>
        <v>437</v>
      </c>
    </row>
    <row r="125" spans="1:24" x14ac:dyDescent="0.2">
      <c r="A125" s="383">
        <v>2002</v>
      </c>
      <c r="B125" s="198">
        <v>14</v>
      </c>
      <c r="C125" s="198">
        <v>200</v>
      </c>
      <c r="D125" s="198">
        <v>2496</v>
      </c>
      <c r="E125" s="198">
        <v>3960</v>
      </c>
      <c r="F125" s="198">
        <v>8636</v>
      </c>
      <c r="G125" s="198">
        <v>11582</v>
      </c>
      <c r="H125" s="198">
        <v>4151</v>
      </c>
      <c r="I125" s="198">
        <v>163</v>
      </c>
      <c r="J125" s="198">
        <v>0</v>
      </c>
      <c r="K125" s="198">
        <v>0</v>
      </c>
      <c r="L125" s="198">
        <f t="shared" si="10"/>
        <v>31202</v>
      </c>
      <c r="M125" s="31"/>
      <c r="N125" s="198" t="s">
        <v>29</v>
      </c>
      <c r="O125" s="198" t="s">
        <v>29</v>
      </c>
      <c r="P125" s="198" t="s">
        <v>29</v>
      </c>
      <c r="Q125" s="198">
        <v>3</v>
      </c>
      <c r="R125" s="198">
        <v>47</v>
      </c>
      <c r="S125" s="198">
        <v>127</v>
      </c>
      <c r="T125" s="198">
        <v>30</v>
      </c>
      <c r="U125" s="198" t="s">
        <v>29</v>
      </c>
      <c r="V125" s="198" t="s">
        <v>29</v>
      </c>
      <c r="W125" s="198" t="s">
        <v>29</v>
      </c>
      <c r="X125" s="198">
        <f t="shared" si="11"/>
        <v>207</v>
      </c>
    </row>
    <row r="126" spans="1:24" x14ac:dyDescent="0.2">
      <c r="A126" s="383">
        <v>2003</v>
      </c>
      <c r="B126" s="198">
        <v>444</v>
      </c>
      <c r="C126" s="198">
        <v>845</v>
      </c>
      <c r="D126" s="198">
        <v>428</v>
      </c>
      <c r="E126" s="198">
        <v>1222</v>
      </c>
      <c r="F126" s="198">
        <v>5063</v>
      </c>
      <c r="G126" s="198">
        <v>6353</v>
      </c>
      <c r="H126" s="198">
        <v>1420</v>
      </c>
      <c r="I126" s="198">
        <v>400</v>
      </c>
      <c r="J126" s="198">
        <v>5</v>
      </c>
      <c r="K126" s="198">
        <v>0</v>
      </c>
      <c r="L126" s="198">
        <f t="shared" si="10"/>
        <v>16180</v>
      </c>
      <c r="M126" s="31"/>
      <c r="N126" s="198" t="s">
        <v>29</v>
      </c>
      <c r="O126" s="198" t="s">
        <v>29</v>
      </c>
      <c r="P126" s="198" t="s">
        <v>29</v>
      </c>
      <c r="Q126" s="198">
        <v>3</v>
      </c>
      <c r="R126" s="198">
        <v>45</v>
      </c>
      <c r="S126" s="198">
        <v>45</v>
      </c>
      <c r="T126" s="198">
        <v>11</v>
      </c>
      <c r="U126" s="198">
        <v>5</v>
      </c>
      <c r="V126" s="198" t="s">
        <v>29</v>
      </c>
      <c r="W126" s="198" t="s">
        <v>29</v>
      </c>
      <c r="X126" s="198">
        <f t="shared" si="11"/>
        <v>109</v>
      </c>
    </row>
    <row r="127" spans="1:24" x14ac:dyDescent="0.2">
      <c r="A127" s="383">
        <v>2004</v>
      </c>
      <c r="B127" s="198">
        <v>41</v>
      </c>
      <c r="C127" s="198">
        <v>510</v>
      </c>
      <c r="D127" s="198">
        <v>107</v>
      </c>
      <c r="E127" s="198">
        <v>1657</v>
      </c>
      <c r="F127" s="198">
        <v>8494</v>
      </c>
      <c r="G127" s="198">
        <v>10211</v>
      </c>
      <c r="H127" s="198">
        <v>1334</v>
      </c>
      <c r="I127" s="198">
        <v>729</v>
      </c>
      <c r="J127" s="198">
        <v>122</v>
      </c>
      <c r="K127" s="198">
        <v>0</v>
      </c>
      <c r="L127" s="198">
        <f t="shared" si="10"/>
        <v>23205</v>
      </c>
      <c r="M127" s="31"/>
      <c r="N127" s="198" t="s">
        <v>29</v>
      </c>
      <c r="O127" s="198" t="s">
        <v>29</v>
      </c>
      <c r="P127" s="198" t="s">
        <v>29</v>
      </c>
      <c r="Q127" s="198" t="s">
        <v>29</v>
      </c>
      <c r="R127" s="198">
        <v>64</v>
      </c>
      <c r="S127" s="198">
        <v>230</v>
      </c>
      <c r="T127" s="198">
        <v>61</v>
      </c>
      <c r="U127" s="198">
        <v>21</v>
      </c>
      <c r="V127" s="198" t="s">
        <v>29</v>
      </c>
      <c r="W127" s="198" t="s">
        <v>29</v>
      </c>
      <c r="X127" s="198">
        <f t="shared" si="11"/>
        <v>376</v>
      </c>
    </row>
    <row r="128" spans="1:24" x14ac:dyDescent="0.2">
      <c r="A128" s="383">
        <v>2005</v>
      </c>
      <c r="B128" s="198">
        <v>285</v>
      </c>
      <c r="C128" s="198">
        <v>111</v>
      </c>
      <c r="D128" s="198">
        <v>183</v>
      </c>
      <c r="E128" s="198">
        <v>1142</v>
      </c>
      <c r="F128" s="198">
        <v>3848</v>
      </c>
      <c r="G128" s="198">
        <v>6632</v>
      </c>
      <c r="H128" s="198">
        <v>9642</v>
      </c>
      <c r="I128" s="198">
        <v>335</v>
      </c>
      <c r="J128" s="198">
        <v>5</v>
      </c>
      <c r="K128" s="198">
        <v>0</v>
      </c>
      <c r="L128" s="198">
        <f t="shared" si="10"/>
        <v>22183</v>
      </c>
      <c r="M128" s="31"/>
      <c r="N128" s="198" t="s">
        <v>29</v>
      </c>
      <c r="O128" s="198" t="s">
        <v>29</v>
      </c>
      <c r="P128" s="198" t="s">
        <v>29</v>
      </c>
      <c r="Q128" s="198" t="s">
        <v>29</v>
      </c>
      <c r="R128" s="198" t="s">
        <v>29</v>
      </c>
      <c r="S128" s="198">
        <v>48</v>
      </c>
      <c r="T128" s="198">
        <v>28</v>
      </c>
      <c r="U128" s="198" t="s">
        <v>29</v>
      </c>
      <c r="V128" s="198" t="s">
        <v>29</v>
      </c>
      <c r="W128" s="198" t="s">
        <v>29</v>
      </c>
      <c r="X128" s="198">
        <f t="shared" si="11"/>
        <v>76</v>
      </c>
    </row>
    <row r="129" spans="1:24" x14ac:dyDescent="0.2">
      <c r="A129" s="383">
        <v>2006</v>
      </c>
      <c r="B129" s="198">
        <v>55</v>
      </c>
      <c r="C129" s="198">
        <v>109</v>
      </c>
      <c r="D129" s="198">
        <v>255</v>
      </c>
      <c r="E129" s="198">
        <v>1418</v>
      </c>
      <c r="F129" s="198">
        <v>4630</v>
      </c>
      <c r="G129" s="198">
        <v>4672</v>
      </c>
      <c r="H129" s="198">
        <v>2743</v>
      </c>
      <c r="I129" s="198">
        <v>111</v>
      </c>
      <c r="J129" s="198">
        <v>0</v>
      </c>
      <c r="K129" s="198">
        <v>0</v>
      </c>
      <c r="L129" s="198">
        <f t="shared" si="10"/>
        <v>13993</v>
      </c>
      <c r="M129" s="31"/>
      <c r="N129" s="198" t="s">
        <v>29</v>
      </c>
      <c r="O129" s="198" t="s">
        <v>29</v>
      </c>
      <c r="P129" s="198" t="s">
        <v>29</v>
      </c>
      <c r="Q129" s="198">
        <v>19</v>
      </c>
      <c r="R129" s="198">
        <v>140</v>
      </c>
      <c r="S129" s="198">
        <v>176</v>
      </c>
      <c r="T129" s="198">
        <v>40</v>
      </c>
      <c r="U129" s="198" t="s">
        <v>29</v>
      </c>
      <c r="V129" s="198" t="s">
        <v>29</v>
      </c>
      <c r="W129" s="198" t="s">
        <v>29</v>
      </c>
      <c r="X129" s="198">
        <f t="shared" si="11"/>
        <v>375</v>
      </c>
    </row>
    <row r="130" spans="1:24" s="374" customFormat="1" x14ac:dyDescent="0.2">
      <c r="A130" s="402">
        <v>2007</v>
      </c>
      <c r="B130" s="199">
        <v>48</v>
      </c>
      <c r="C130" s="199">
        <v>200</v>
      </c>
      <c r="D130" s="199">
        <v>67</v>
      </c>
      <c r="E130" s="199">
        <v>1425</v>
      </c>
      <c r="F130" s="199">
        <v>1873</v>
      </c>
      <c r="G130" s="199">
        <v>1980</v>
      </c>
      <c r="H130" s="199">
        <v>158</v>
      </c>
      <c r="I130" s="199">
        <v>0</v>
      </c>
      <c r="J130" s="199">
        <v>0</v>
      </c>
      <c r="K130" s="199">
        <v>0</v>
      </c>
      <c r="L130" s="199">
        <f t="shared" si="10"/>
        <v>5751</v>
      </c>
      <c r="M130" s="52"/>
      <c r="N130" s="199" t="s">
        <v>29</v>
      </c>
      <c r="O130" s="199" t="s">
        <v>29</v>
      </c>
      <c r="P130" s="199" t="s">
        <v>29</v>
      </c>
      <c r="Q130" s="199" t="s">
        <v>29</v>
      </c>
      <c r="R130" s="199">
        <v>5</v>
      </c>
      <c r="S130" s="199">
        <v>12</v>
      </c>
      <c r="T130" s="199">
        <v>4</v>
      </c>
      <c r="U130" s="199" t="s">
        <v>29</v>
      </c>
      <c r="V130" s="199" t="s">
        <v>29</v>
      </c>
      <c r="W130" s="199" t="s">
        <v>29</v>
      </c>
      <c r="X130" s="199">
        <f t="shared" si="11"/>
        <v>21</v>
      </c>
    </row>
    <row r="131" spans="1:24" s="374" customFormat="1" x14ac:dyDescent="0.2">
      <c r="A131" s="402">
        <v>2008</v>
      </c>
      <c r="B131" s="199">
        <v>0</v>
      </c>
      <c r="C131" s="199">
        <v>6</v>
      </c>
      <c r="D131" s="199" t="s">
        <v>29</v>
      </c>
      <c r="E131" s="199" t="s">
        <v>29</v>
      </c>
      <c r="F131" s="199" t="s">
        <v>29</v>
      </c>
      <c r="G131" s="199" t="s">
        <v>29</v>
      </c>
      <c r="H131" s="199" t="s">
        <v>29</v>
      </c>
      <c r="I131" s="199" t="s">
        <v>29</v>
      </c>
      <c r="J131" s="199" t="s">
        <v>29</v>
      </c>
      <c r="K131" s="199" t="s">
        <v>29</v>
      </c>
      <c r="L131" s="199">
        <f t="shared" si="10"/>
        <v>6</v>
      </c>
      <c r="M131" s="52"/>
      <c r="N131" s="199" t="s">
        <v>29</v>
      </c>
      <c r="O131" s="199" t="s">
        <v>29</v>
      </c>
      <c r="P131" s="199" t="s">
        <v>29</v>
      </c>
      <c r="Q131" s="199" t="s">
        <v>29</v>
      </c>
      <c r="R131" s="199" t="s">
        <v>29</v>
      </c>
      <c r="S131" s="199" t="s">
        <v>29</v>
      </c>
      <c r="T131" s="199" t="s">
        <v>29</v>
      </c>
      <c r="U131" s="199" t="s">
        <v>29</v>
      </c>
      <c r="V131" s="199" t="s">
        <v>29</v>
      </c>
      <c r="W131" s="199" t="s">
        <v>29</v>
      </c>
      <c r="X131" s="199" t="s">
        <v>29</v>
      </c>
    </row>
    <row r="132" spans="1:24" s="374" customFormat="1" x14ac:dyDescent="0.2">
      <c r="A132" s="402">
        <v>2009</v>
      </c>
      <c r="B132" s="199" t="s">
        <v>29</v>
      </c>
      <c r="C132" s="199" t="s">
        <v>29</v>
      </c>
      <c r="D132" s="199" t="s">
        <v>29</v>
      </c>
      <c r="E132" s="199" t="s">
        <v>29</v>
      </c>
      <c r="F132" s="199" t="s">
        <v>29</v>
      </c>
      <c r="G132" s="199" t="s">
        <v>29</v>
      </c>
      <c r="H132" s="199" t="s">
        <v>29</v>
      </c>
      <c r="I132" s="199" t="s">
        <v>29</v>
      </c>
      <c r="J132" s="199" t="s">
        <v>29</v>
      </c>
      <c r="K132" s="199" t="s">
        <v>29</v>
      </c>
      <c r="L132" s="199" t="s">
        <v>29</v>
      </c>
      <c r="M132" s="52"/>
      <c r="N132" s="199" t="s">
        <v>29</v>
      </c>
      <c r="O132" s="199" t="s">
        <v>29</v>
      </c>
      <c r="P132" s="199" t="s">
        <v>29</v>
      </c>
      <c r="Q132" s="199" t="s">
        <v>29</v>
      </c>
      <c r="R132" s="199" t="s">
        <v>29</v>
      </c>
      <c r="S132" s="199" t="s">
        <v>29</v>
      </c>
      <c r="T132" s="199" t="s">
        <v>29</v>
      </c>
      <c r="U132" s="199" t="s">
        <v>29</v>
      </c>
      <c r="V132" s="199" t="s">
        <v>29</v>
      </c>
      <c r="W132" s="199" t="s">
        <v>29</v>
      </c>
      <c r="X132" s="199" t="s">
        <v>29</v>
      </c>
    </row>
    <row r="133" spans="1:24" s="374" customFormat="1" x14ac:dyDescent="0.2">
      <c r="A133" s="402">
        <v>2010</v>
      </c>
      <c r="B133" s="199" t="s">
        <v>29</v>
      </c>
      <c r="C133" s="199" t="s">
        <v>29</v>
      </c>
      <c r="D133" s="199">
        <v>204</v>
      </c>
      <c r="E133" s="199">
        <v>264</v>
      </c>
      <c r="F133" s="199">
        <v>27</v>
      </c>
      <c r="G133" s="199">
        <v>417</v>
      </c>
      <c r="H133" s="199">
        <v>657</v>
      </c>
      <c r="I133" s="199">
        <v>109</v>
      </c>
      <c r="J133" s="199" t="s">
        <v>29</v>
      </c>
      <c r="K133" s="199" t="s">
        <v>29</v>
      </c>
      <c r="L133" s="199">
        <f>SUM(B133:K133)</f>
        <v>1678</v>
      </c>
      <c r="M133" s="52"/>
      <c r="N133" s="199" t="s">
        <v>29</v>
      </c>
      <c r="O133" s="199" t="s">
        <v>29</v>
      </c>
      <c r="P133" s="199" t="s">
        <v>29</v>
      </c>
      <c r="Q133" s="199">
        <v>7</v>
      </c>
      <c r="R133" s="199" t="s">
        <v>29</v>
      </c>
      <c r="S133" s="199">
        <v>15</v>
      </c>
      <c r="T133" s="199">
        <v>19</v>
      </c>
      <c r="U133" s="199" t="s">
        <v>29</v>
      </c>
      <c r="V133" s="199" t="s">
        <v>29</v>
      </c>
      <c r="W133" s="199" t="s">
        <v>29</v>
      </c>
      <c r="X133" s="199">
        <f t="shared" ref="X133:X143" si="12">SUM(N133:W133)</f>
        <v>41</v>
      </c>
    </row>
    <row r="134" spans="1:24" s="374" customFormat="1" x14ac:dyDescent="0.2">
      <c r="A134" s="402">
        <v>2011</v>
      </c>
      <c r="B134" s="199" t="s">
        <v>29</v>
      </c>
      <c r="C134" s="199" t="s">
        <v>29</v>
      </c>
      <c r="D134" s="199">
        <v>880</v>
      </c>
      <c r="E134" s="199">
        <v>705</v>
      </c>
      <c r="F134" s="199">
        <v>938</v>
      </c>
      <c r="G134" s="199">
        <v>4043</v>
      </c>
      <c r="H134" s="199">
        <v>510</v>
      </c>
      <c r="I134" s="199">
        <v>204</v>
      </c>
      <c r="J134" s="199">
        <v>118</v>
      </c>
      <c r="K134" s="199" t="s">
        <v>29</v>
      </c>
      <c r="L134" s="199">
        <f>SUM(B134:K134)</f>
        <v>7398</v>
      </c>
      <c r="M134" s="52"/>
      <c r="N134" s="199" t="s">
        <v>29</v>
      </c>
      <c r="O134" s="199" t="s">
        <v>29</v>
      </c>
      <c r="P134" s="199" t="s">
        <v>29</v>
      </c>
      <c r="Q134" s="199" t="s">
        <v>29</v>
      </c>
      <c r="R134" s="199">
        <v>18</v>
      </c>
      <c r="S134" s="199">
        <v>83</v>
      </c>
      <c r="T134" s="199">
        <v>4</v>
      </c>
      <c r="U134" s="199" t="s">
        <v>29</v>
      </c>
      <c r="V134" s="199">
        <v>5</v>
      </c>
      <c r="W134" s="199" t="s">
        <v>29</v>
      </c>
      <c r="X134" s="199">
        <f t="shared" si="12"/>
        <v>110</v>
      </c>
    </row>
    <row r="135" spans="1:24" s="374" customFormat="1" x14ac:dyDescent="0.2">
      <c r="A135" s="402">
        <v>2012</v>
      </c>
      <c r="B135" s="199" t="s">
        <v>29</v>
      </c>
      <c r="C135" s="199" t="s">
        <v>29</v>
      </c>
      <c r="D135" s="199">
        <v>414</v>
      </c>
      <c r="E135" s="199">
        <v>1530</v>
      </c>
      <c r="F135" s="199">
        <v>1951</v>
      </c>
      <c r="G135" s="199">
        <v>2300</v>
      </c>
      <c r="H135" s="199">
        <v>1185</v>
      </c>
      <c r="I135" s="199">
        <v>393</v>
      </c>
      <c r="J135" s="199">
        <v>84</v>
      </c>
      <c r="K135" s="199">
        <v>72</v>
      </c>
      <c r="L135" s="199">
        <f t="shared" ref="L135:L142" si="13">SUM(B135:K135)</f>
        <v>7929</v>
      </c>
      <c r="M135" s="52"/>
      <c r="N135" s="199" t="s">
        <v>29</v>
      </c>
      <c r="O135" s="199" t="s">
        <v>29</v>
      </c>
      <c r="P135" s="199" t="s">
        <v>29</v>
      </c>
      <c r="Q135" s="199" t="s">
        <v>29</v>
      </c>
      <c r="R135" s="199">
        <v>13</v>
      </c>
      <c r="S135" s="199">
        <v>9</v>
      </c>
      <c r="T135" s="199" t="s">
        <v>29</v>
      </c>
      <c r="U135" s="199">
        <v>3</v>
      </c>
      <c r="V135" s="199" t="s">
        <v>29</v>
      </c>
      <c r="W135" s="199" t="s">
        <v>29</v>
      </c>
      <c r="X135" s="199">
        <f t="shared" si="12"/>
        <v>25</v>
      </c>
    </row>
    <row r="136" spans="1:24" s="374" customFormat="1" x14ac:dyDescent="0.2">
      <c r="A136" s="402">
        <v>2013</v>
      </c>
      <c r="B136" s="199" t="s">
        <v>29</v>
      </c>
      <c r="C136" s="199" t="s">
        <v>29</v>
      </c>
      <c r="D136" s="199">
        <v>310</v>
      </c>
      <c r="E136" s="199">
        <v>695</v>
      </c>
      <c r="F136" s="199">
        <v>2459</v>
      </c>
      <c r="G136" s="199">
        <v>5145</v>
      </c>
      <c r="H136" s="199">
        <v>1296</v>
      </c>
      <c r="I136" s="199">
        <v>258</v>
      </c>
      <c r="J136" s="199">
        <v>5</v>
      </c>
      <c r="K136" s="199">
        <v>0</v>
      </c>
      <c r="L136" s="199">
        <f t="shared" si="13"/>
        <v>10168</v>
      </c>
      <c r="M136" s="52"/>
      <c r="N136" s="199" t="s">
        <v>29</v>
      </c>
      <c r="O136" s="199" t="s">
        <v>29</v>
      </c>
      <c r="P136" s="199" t="s">
        <v>29</v>
      </c>
      <c r="Q136" s="199" t="s">
        <v>29</v>
      </c>
      <c r="R136" s="199">
        <v>9</v>
      </c>
      <c r="S136" s="199">
        <v>20</v>
      </c>
      <c r="T136" s="199">
        <v>4</v>
      </c>
      <c r="U136" s="199" t="s">
        <v>29</v>
      </c>
      <c r="V136" s="199" t="s">
        <v>29</v>
      </c>
      <c r="W136" s="199" t="s">
        <v>29</v>
      </c>
      <c r="X136" s="199">
        <f t="shared" si="12"/>
        <v>33</v>
      </c>
    </row>
    <row r="137" spans="1:24" s="374" customFormat="1" x14ac:dyDescent="0.2">
      <c r="A137" s="402">
        <v>2014</v>
      </c>
      <c r="B137" s="199" t="s">
        <v>29</v>
      </c>
      <c r="C137" s="199" t="s">
        <v>29</v>
      </c>
      <c r="D137" s="199">
        <v>714</v>
      </c>
      <c r="E137" s="199">
        <v>630</v>
      </c>
      <c r="F137" s="199">
        <v>1358</v>
      </c>
      <c r="G137" s="199">
        <v>9035</v>
      </c>
      <c r="H137" s="199">
        <v>696</v>
      </c>
      <c r="I137" s="199">
        <v>103</v>
      </c>
      <c r="J137" s="199">
        <v>4</v>
      </c>
      <c r="K137" s="199">
        <v>0</v>
      </c>
      <c r="L137" s="199">
        <f t="shared" si="13"/>
        <v>12540</v>
      </c>
      <c r="M137" s="52"/>
      <c r="N137" s="199" t="s">
        <v>29</v>
      </c>
      <c r="O137" s="199" t="s">
        <v>29</v>
      </c>
      <c r="P137" s="199" t="s">
        <v>29</v>
      </c>
      <c r="Q137" s="199" t="s">
        <v>29</v>
      </c>
      <c r="R137" s="199">
        <v>18</v>
      </c>
      <c r="S137" s="199">
        <v>123</v>
      </c>
      <c r="T137" s="199" t="s">
        <v>29</v>
      </c>
      <c r="U137" s="199" t="s">
        <v>29</v>
      </c>
      <c r="V137" s="199" t="s">
        <v>29</v>
      </c>
      <c r="W137" s="199" t="s">
        <v>29</v>
      </c>
      <c r="X137" s="199">
        <f t="shared" si="12"/>
        <v>141</v>
      </c>
    </row>
    <row r="138" spans="1:24" s="374" customFormat="1" x14ac:dyDescent="0.2">
      <c r="A138" s="402">
        <v>2015</v>
      </c>
      <c r="B138" s="199" t="s">
        <v>29</v>
      </c>
      <c r="C138" s="199" t="s">
        <v>29</v>
      </c>
      <c r="D138" s="199">
        <v>394</v>
      </c>
      <c r="E138" s="199">
        <v>331</v>
      </c>
      <c r="F138" s="199">
        <v>215</v>
      </c>
      <c r="G138" s="199">
        <v>3071</v>
      </c>
      <c r="H138" s="199">
        <v>1295</v>
      </c>
      <c r="I138" s="199">
        <v>183</v>
      </c>
      <c r="J138" s="199">
        <v>4</v>
      </c>
      <c r="K138" s="199">
        <v>0</v>
      </c>
      <c r="L138" s="199">
        <f t="shared" si="13"/>
        <v>5493</v>
      </c>
      <c r="M138" s="52"/>
      <c r="N138" s="199" t="s">
        <v>29</v>
      </c>
      <c r="O138" s="199" t="s">
        <v>29</v>
      </c>
      <c r="P138" s="199" t="s">
        <v>29</v>
      </c>
      <c r="Q138" s="199">
        <v>5</v>
      </c>
      <c r="R138" s="199" t="s">
        <v>29</v>
      </c>
      <c r="S138" s="199">
        <v>13</v>
      </c>
      <c r="T138" s="199">
        <v>5</v>
      </c>
      <c r="U138" s="199" t="s">
        <v>29</v>
      </c>
      <c r="V138" s="199" t="s">
        <v>29</v>
      </c>
      <c r="W138" s="199" t="s">
        <v>29</v>
      </c>
      <c r="X138" s="199">
        <f>SUM(N138:W138)</f>
        <v>23</v>
      </c>
    </row>
    <row r="139" spans="1:24" s="374" customFormat="1" x14ac:dyDescent="0.2">
      <c r="A139" s="402">
        <v>2016</v>
      </c>
      <c r="B139" s="199" t="s">
        <v>29</v>
      </c>
      <c r="C139" s="199" t="s">
        <v>29</v>
      </c>
      <c r="D139" s="199">
        <v>108</v>
      </c>
      <c r="E139" s="199">
        <v>104</v>
      </c>
      <c r="F139" s="199">
        <v>222</v>
      </c>
      <c r="G139" s="199">
        <v>3524</v>
      </c>
      <c r="H139" s="199">
        <v>990</v>
      </c>
      <c r="I139" s="199">
        <v>75</v>
      </c>
      <c r="J139" s="199">
        <v>8</v>
      </c>
      <c r="K139" s="199">
        <v>0</v>
      </c>
      <c r="L139" s="199">
        <f t="shared" si="13"/>
        <v>5031</v>
      </c>
      <c r="M139" s="52"/>
      <c r="N139" s="199" t="s">
        <v>29</v>
      </c>
      <c r="O139" s="199" t="s">
        <v>29</v>
      </c>
      <c r="P139" s="199" t="s">
        <v>29</v>
      </c>
      <c r="Q139" s="199" t="s">
        <v>29</v>
      </c>
      <c r="R139" s="199" t="s">
        <v>29</v>
      </c>
      <c r="S139" s="199">
        <v>35</v>
      </c>
      <c r="T139" s="199" t="s">
        <v>29</v>
      </c>
      <c r="U139" s="199" t="s">
        <v>29</v>
      </c>
      <c r="V139" s="199" t="s">
        <v>29</v>
      </c>
      <c r="W139" s="199" t="s">
        <v>29</v>
      </c>
      <c r="X139" s="199">
        <f>SUM(N139:W139)</f>
        <v>35</v>
      </c>
    </row>
    <row r="140" spans="1:24" s="374" customFormat="1" x14ac:dyDescent="0.2">
      <c r="A140" s="402">
        <v>2017</v>
      </c>
      <c r="B140" s="199" t="s">
        <v>29</v>
      </c>
      <c r="C140" s="199" t="s">
        <v>29</v>
      </c>
      <c r="D140" s="199">
        <v>22</v>
      </c>
      <c r="E140" s="199">
        <v>650</v>
      </c>
      <c r="F140" s="199" t="s">
        <v>29</v>
      </c>
      <c r="G140" s="199" t="s">
        <v>29</v>
      </c>
      <c r="H140" s="199">
        <v>837</v>
      </c>
      <c r="I140" s="199">
        <v>370</v>
      </c>
      <c r="J140" s="199">
        <v>8</v>
      </c>
      <c r="K140" s="199">
        <v>0</v>
      </c>
      <c r="L140" s="199">
        <f t="shared" si="13"/>
        <v>1887</v>
      </c>
      <c r="M140" s="52"/>
      <c r="N140" s="199" t="s">
        <v>29</v>
      </c>
      <c r="O140" s="199" t="s">
        <v>29</v>
      </c>
      <c r="P140" s="199" t="s">
        <v>29</v>
      </c>
      <c r="Q140" s="199" t="s">
        <v>29</v>
      </c>
      <c r="R140" s="199" t="s">
        <v>29</v>
      </c>
      <c r="S140" s="199" t="s">
        <v>29</v>
      </c>
      <c r="T140" s="199">
        <v>4</v>
      </c>
      <c r="U140" s="199" t="s">
        <v>29</v>
      </c>
      <c r="V140" s="199" t="s">
        <v>29</v>
      </c>
      <c r="W140" s="199" t="s">
        <v>29</v>
      </c>
      <c r="X140" s="199">
        <f>SUM(N140:W140)</f>
        <v>4</v>
      </c>
    </row>
    <row r="141" spans="1:24" s="374" customFormat="1" x14ac:dyDescent="0.2">
      <c r="A141" s="122">
        <v>2018</v>
      </c>
      <c r="B141" s="199" t="s">
        <v>29</v>
      </c>
      <c r="C141" s="199" t="s">
        <v>29</v>
      </c>
      <c r="D141" s="199" t="s">
        <v>29</v>
      </c>
      <c r="E141" s="199" t="s">
        <v>29</v>
      </c>
      <c r="F141" s="199">
        <v>540</v>
      </c>
      <c r="G141" s="199">
        <v>3217</v>
      </c>
      <c r="H141" s="199">
        <v>1846</v>
      </c>
      <c r="I141" s="199">
        <v>95</v>
      </c>
      <c r="J141" s="199">
        <v>0</v>
      </c>
      <c r="K141" s="199" t="s">
        <v>29</v>
      </c>
      <c r="L141" s="199">
        <f t="shared" si="13"/>
        <v>5698</v>
      </c>
      <c r="M141" s="52"/>
      <c r="N141" s="199" t="s">
        <v>29</v>
      </c>
      <c r="O141" s="199" t="s">
        <v>29</v>
      </c>
      <c r="P141" s="199" t="s">
        <v>29</v>
      </c>
      <c r="Q141" s="199" t="s">
        <v>29</v>
      </c>
      <c r="R141" s="199" t="s">
        <v>29</v>
      </c>
      <c r="S141" s="199">
        <v>13</v>
      </c>
      <c r="T141" s="199">
        <v>4</v>
      </c>
      <c r="U141" s="199">
        <v>8</v>
      </c>
      <c r="V141" s="199" t="s">
        <v>29</v>
      </c>
      <c r="W141" s="199" t="s">
        <v>29</v>
      </c>
      <c r="X141" s="199">
        <f>SUM(N141:W141)</f>
        <v>25</v>
      </c>
    </row>
    <row r="142" spans="1:24" s="487" customFormat="1" x14ac:dyDescent="0.2">
      <c r="A142" s="496" t="s">
        <v>398</v>
      </c>
      <c r="B142" s="199" t="s">
        <v>29</v>
      </c>
      <c r="C142" s="199" t="s">
        <v>29</v>
      </c>
      <c r="D142" s="199">
        <v>206</v>
      </c>
      <c r="E142" s="199">
        <v>81</v>
      </c>
      <c r="F142" s="199">
        <v>947</v>
      </c>
      <c r="G142" s="199">
        <v>1701</v>
      </c>
      <c r="H142" s="199">
        <v>825</v>
      </c>
      <c r="I142" s="199">
        <v>101</v>
      </c>
      <c r="J142" s="199">
        <v>0</v>
      </c>
      <c r="K142" s="199" t="s">
        <v>29</v>
      </c>
      <c r="L142" s="199">
        <f t="shared" si="13"/>
        <v>3861</v>
      </c>
      <c r="M142" s="52"/>
      <c r="N142" s="199" t="s">
        <v>29</v>
      </c>
      <c r="O142" s="199" t="s">
        <v>29</v>
      </c>
      <c r="P142" s="199" t="s">
        <v>29</v>
      </c>
      <c r="Q142" s="199" t="s">
        <v>29</v>
      </c>
      <c r="R142" s="199">
        <v>13</v>
      </c>
      <c r="S142" s="199">
        <v>22</v>
      </c>
      <c r="T142" s="199">
        <v>5</v>
      </c>
      <c r="U142" s="199" t="s">
        <v>29</v>
      </c>
      <c r="V142" s="199" t="s">
        <v>29</v>
      </c>
      <c r="W142" s="199" t="s">
        <v>29</v>
      </c>
      <c r="X142" s="199">
        <f t="shared" ref="X142" si="14">SUM(N142:W142)</f>
        <v>40</v>
      </c>
    </row>
    <row r="143" spans="1:24" x14ac:dyDescent="0.2">
      <c r="A143" s="496" t="s">
        <v>399</v>
      </c>
      <c r="B143" s="198" t="s">
        <v>29</v>
      </c>
      <c r="C143" s="198" t="s">
        <v>29</v>
      </c>
      <c r="D143" s="198" t="s">
        <v>29</v>
      </c>
      <c r="E143" s="198" t="s">
        <v>116</v>
      </c>
      <c r="F143" s="198" t="s">
        <v>116</v>
      </c>
      <c r="G143" s="198">
        <v>1198</v>
      </c>
      <c r="H143" s="198">
        <v>565</v>
      </c>
      <c r="I143" s="198">
        <v>114</v>
      </c>
      <c r="J143" s="198">
        <v>0</v>
      </c>
      <c r="K143" s="198">
        <v>0</v>
      </c>
      <c r="L143" s="199">
        <f t="shared" si="10"/>
        <v>1877</v>
      </c>
      <c r="M143" s="31"/>
      <c r="N143" s="199" t="s">
        <v>29</v>
      </c>
      <c r="O143" s="199" t="s">
        <v>29</v>
      </c>
      <c r="P143" s="199" t="s">
        <v>29</v>
      </c>
      <c r="Q143" s="199" t="s">
        <v>29</v>
      </c>
      <c r="R143" s="199" t="s">
        <v>29</v>
      </c>
      <c r="S143" s="199">
        <v>19</v>
      </c>
      <c r="T143" s="198" t="s">
        <v>29</v>
      </c>
      <c r="U143" s="198">
        <v>4</v>
      </c>
      <c r="V143" s="199" t="s">
        <v>29</v>
      </c>
      <c r="W143" s="199" t="s">
        <v>29</v>
      </c>
      <c r="X143" s="199">
        <f t="shared" si="12"/>
        <v>23</v>
      </c>
    </row>
    <row r="144" spans="1:24" ht="15.75" x14ac:dyDescent="0.25">
      <c r="B144" s="198"/>
      <c r="C144" s="198"/>
      <c r="D144" s="198"/>
      <c r="E144" s="198"/>
      <c r="F144" s="198"/>
      <c r="G144" s="198"/>
      <c r="H144" s="198"/>
      <c r="I144" s="198"/>
      <c r="J144" s="198"/>
      <c r="K144" s="198"/>
      <c r="L144" s="198"/>
      <c r="M144" s="31"/>
      <c r="N144" s="345"/>
      <c r="O144" s="345"/>
      <c r="P144" s="345"/>
      <c r="Q144" s="345"/>
      <c r="R144" s="345"/>
      <c r="S144" s="345"/>
      <c r="T144" s="345"/>
      <c r="U144" s="345"/>
      <c r="V144" s="345"/>
      <c r="W144" s="345"/>
      <c r="X144" s="198"/>
    </row>
    <row r="145" spans="1:24" ht="15.75" x14ac:dyDescent="0.25">
      <c r="A145" s="116" t="s">
        <v>25</v>
      </c>
      <c r="B145" s="198"/>
      <c r="C145" s="198"/>
      <c r="D145" s="198"/>
      <c r="E145" s="198"/>
      <c r="F145" s="198"/>
      <c r="G145" s="198"/>
      <c r="H145" s="198"/>
      <c r="I145" s="198"/>
      <c r="J145" s="198"/>
      <c r="K145" s="198"/>
      <c r="L145" s="198"/>
      <c r="M145" s="31"/>
      <c r="N145" s="345"/>
      <c r="O145" s="345"/>
      <c r="P145" s="345"/>
      <c r="Q145" s="345"/>
      <c r="R145" s="345"/>
      <c r="S145" s="345"/>
      <c r="T145" s="345"/>
      <c r="U145" s="345"/>
      <c r="V145" s="345"/>
      <c r="W145" s="345"/>
      <c r="X145" s="198"/>
    </row>
    <row r="146" spans="1:24" x14ac:dyDescent="0.2">
      <c r="A146" s="383">
        <v>1976</v>
      </c>
      <c r="B146" s="198">
        <v>2257</v>
      </c>
      <c r="C146" s="198">
        <v>929</v>
      </c>
      <c r="D146" s="198">
        <v>6023</v>
      </c>
      <c r="E146" s="198">
        <v>12021</v>
      </c>
      <c r="F146" s="198">
        <v>9155</v>
      </c>
      <c r="G146" s="198">
        <v>5594</v>
      </c>
      <c r="H146" s="198">
        <v>9497</v>
      </c>
      <c r="I146" s="198">
        <v>5232</v>
      </c>
      <c r="J146" s="198">
        <v>10505</v>
      </c>
      <c r="K146" s="198">
        <v>2547</v>
      </c>
      <c r="L146" s="198">
        <f t="shared" ref="L146:L177" si="15">SUM(B146:K146)</f>
        <v>63760</v>
      </c>
      <c r="M146" s="31"/>
      <c r="N146" s="198">
        <v>0</v>
      </c>
      <c r="O146" s="198">
        <v>0</v>
      </c>
      <c r="P146" s="198">
        <v>759</v>
      </c>
      <c r="Q146" s="198">
        <v>5650</v>
      </c>
      <c r="R146" s="198">
        <v>2974</v>
      </c>
      <c r="S146" s="198">
        <v>3020</v>
      </c>
      <c r="T146" s="198">
        <v>680</v>
      </c>
      <c r="U146" s="198">
        <v>204</v>
      </c>
      <c r="V146" s="198">
        <v>0</v>
      </c>
      <c r="W146" s="198">
        <v>0</v>
      </c>
      <c r="X146" s="198">
        <f t="shared" ref="X146:X177" si="16">SUM(N146:W146)</f>
        <v>13287</v>
      </c>
    </row>
    <row r="147" spans="1:24" x14ac:dyDescent="0.2">
      <c r="A147" s="383">
        <v>1977</v>
      </c>
      <c r="B147" s="198">
        <v>3737</v>
      </c>
      <c r="C147" s="198">
        <v>4389</v>
      </c>
      <c r="D147" s="198">
        <v>14178</v>
      </c>
      <c r="E147" s="198">
        <v>3541</v>
      </c>
      <c r="F147" s="198">
        <v>8649</v>
      </c>
      <c r="G147" s="198">
        <v>17802</v>
      </c>
      <c r="H147" s="198">
        <v>6899</v>
      </c>
      <c r="I147" s="198">
        <v>7866</v>
      </c>
      <c r="J147" s="198">
        <v>4045</v>
      </c>
      <c r="K147" s="198">
        <v>1488</v>
      </c>
      <c r="L147" s="198">
        <f t="shared" si="15"/>
        <v>72594</v>
      </c>
      <c r="M147" s="31"/>
      <c r="N147" s="198">
        <v>12</v>
      </c>
      <c r="O147" s="198">
        <v>0</v>
      </c>
      <c r="P147" s="198">
        <v>348</v>
      </c>
      <c r="Q147" s="198">
        <v>861</v>
      </c>
      <c r="R147" s="198">
        <v>602</v>
      </c>
      <c r="S147" s="198">
        <v>260</v>
      </c>
      <c r="T147" s="198">
        <v>100</v>
      </c>
      <c r="U147" s="198">
        <v>20</v>
      </c>
      <c r="V147" s="198">
        <v>63</v>
      </c>
      <c r="W147" s="198">
        <v>6</v>
      </c>
      <c r="X147" s="198">
        <f t="shared" si="16"/>
        <v>2272</v>
      </c>
    </row>
    <row r="148" spans="1:24" x14ac:dyDescent="0.2">
      <c r="A148" s="383">
        <v>1978</v>
      </c>
      <c r="B148" s="198">
        <v>9622</v>
      </c>
      <c r="C148" s="198">
        <v>8336</v>
      </c>
      <c r="D148" s="198">
        <v>2850</v>
      </c>
      <c r="E148" s="198">
        <v>2638</v>
      </c>
      <c r="F148" s="198">
        <v>6760</v>
      </c>
      <c r="G148" s="198">
        <v>11626</v>
      </c>
      <c r="H148" s="198">
        <v>7106</v>
      </c>
      <c r="I148" s="198">
        <v>4916</v>
      </c>
      <c r="J148" s="198">
        <v>7628</v>
      </c>
      <c r="K148" s="198">
        <v>2603</v>
      </c>
      <c r="L148" s="198">
        <f t="shared" si="15"/>
        <v>64085</v>
      </c>
      <c r="M148" s="31"/>
      <c r="N148" s="198">
        <v>0</v>
      </c>
      <c r="O148" s="198">
        <v>0</v>
      </c>
      <c r="P148" s="198">
        <v>0</v>
      </c>
      <c r="Q148" s="198">
        <v>0</v>
      </c>
      <c r="R148" s="198">
        <v>296</v>
      </c>
      <c r="S148" s="198">
        <v>600</v>
      </c>
      <c r="T148" s="198">
        <v>144</v>
      </c>
      <c r="U148" s="198">
        <v>30</v>
      </c>
      <c r="V148" s="198">
        <v>0</v>
      </c>
      <c r="W148" s="198">
        <v>0</v>
      </c>
      <c r="X148" s="198">
        <f t="shared" si="16"/>
        <v>1070</v>
      </c>
    </row>
    <row r="149" spans="1:24" x14ac:dyDescent="0.2">
      <c r="A149" s="383">
        <v>1979</v>
      </c>
      <c r="B149" s="198">
        <v>6829</v>
      </c>
      <c r="C149" s="198">
        <v>13752</v>
      </c>
      <c r="D149" s="198">
        <v>8538</v>
      </c>
      <c r="E149" s="198">
        <v>5095</v>
      </c>
      <c r="F149" s="198">
        <v>14735</v>
      </c>
      <c r="G149" s="198">
        <v>22273</v>
      </c>
      <c r="H149" s="198">
        <v>11080</v>
      </c>
      <c r="I149" s="198">
        <v>13300</v>
      </c>
      <c r="J149" s="198">
        <v>6945</v>
      </c>
      <c r="K149" s="198">
        <v>0</v>
      </c>
      <c r="L149" s="198">
        <f t="shared" si="15"/>
        <v>102547</v>
      </c>
      <c r="M149" s="31"/>
      <c r="N149" s="198">
        <v>10</v>
      </c>
      <c r="O149" s="198">
        <v>39</v>
      </c>
      <c r="P149" s="198">
        <v>20</v>
      </c>
      <c r="Q149" s="198">
        <v>169</v>
      </c>
      <c r="R149" s="198">
        <v>369</v>
      </c>
      <c r="S149" s="198">
        <v>438</v>
      </c>
      <c r="T149" s="198">
        <v>32</v>
      </c>
      <c r="U149" s="198">
        <v>13</v>
      </c>
      <c r="V149" s="198">
        <v>0</v>
      </c>
      <c r="W149" s="198" t="s">
        <v>29</v>
      </c>
      <c r="X149" s="198">
        <f t="shared" si="16"/>
        <v>1090</v>
      </c>
    </row>
    <row r="150" spans="1:24" x14ac:dyDescent="0.2">
      <c r="A150" s="383">
        <v>1980</v>
      </c>
      <c r="B150" s="198">
        <v>4243</v>
      </c>
      <c r="C150" s="198">
        <v>11530</v>
      </c>
      <c r="D150" s="198">
        <v>5525</v>
      </c>
      <c r="E150" s="198">
        <v>5521</v>
      </c>
      <c r="F150" s="198">
        <v>15110</v>
      </c>
      <c r="G150" s="198">
        <v>14685</v>
      </c>
      <c r="H150" s="198">
        <v>7367</v>
      </c>
      <c r="I150" s="198">
        <v>5146</v>
      </c>
      <c r="J150" s="198">
        <v>3966</v>
      </c>
      <c r="K150" s="198">
        <v>0</v>
      </c>
      <c r="L150" s="198">
        <f t="shared" si="15"/>
        <v>73093</v>
      </c>
      <c r="M150" s="31"/>
      <c r="N150" s="198">
        <v>0</v>
      </c>
      <c r="O150" s="198">
        <v>0</v>
      </c>
      <c r="P150" s="198">
        <v>17</v>
      </c>
      <c r="Q150" s="198">
        <v>23</v>
      </c>
      <c r="R150" s="198">
        <v>132</v>
      </c>
      <c r="S150" s="198">
        <v>96</v>
      </c>
      <c r="T150" s="198">
        <v>58</v>
      </c>
      <c r="U150" s="198">
        <v>0</v>
      </c>
      <c r="V150" s="198">
        <v>8</v>
      </c>
      <c r="W150" s="198" t="s">
        <v>29</v>
      </c>
      <c r="X150" s="198">
        <f t="shared" si="16"/>
        <v>334</v>
      </c>
    </row>
    <row r="151" spans="1:24" x14ac:dyDescent="0.2">
      <c r="A151" s="383">
        <v>1981</v>
      </c>
      <c r="B151" s="198">
        <v>2971</v>
      </c>
      <c r="C151" s="198">
        <v>2507</v>
      </c>
      <c r="D151" s="198">
        <v>6806</v>
      </c>
      <c r="E151" s="198">
        <v>3239</v>
      </c>
      <c r="F151" s="198">
        <v>9327</v>
      </c>
      <c r="G151" s="198">
        <v>18593</v>
      </c>
      <c r="H151" s="198">
        <v>11713</v>
      </c>
      <c r="I151" s="198">
        <v>8882</v>
      </c>
      <c r="J151" s="198">
        <v>4937</v>
      </c>
      <c r="K151" s="198">
        <v>1109</v>
      </c>
      <c r="L151" s="198">
        <f t="shared" si="15"/>
        <v>70084</v>
      </c>
      <c r="M151" s="31"/>
      <c r="N151" s="198">
        <v>0</v>
      </c>
      <c r="O151" s="198">
        <v>0</v>
      </c>
      <c r="P151" s="198">
        <v>0</v>
      </c>
      <c r="Q151" s="198">
        <v>0</v>
      </c>
      <c r="R151" s="198">
        <v>233</v>
      </c>
      <c r="S151" s="198">
        <v>669</v>
      </c>
      <c r="T151" s="198">
        <v>515</v>
      </c>
      <c r="U151" s="198">
        <v>157</v>
      </c>
      <c r="V151" s="198">
        <v>147</v>
      </c>
      <c r="W151" s="198">
        <v>0</v>
      </c>
      <c r="X151" s="198">
        <f t="shared" si="16"/>
        <v>1721</v>
      </c>
    </row>
    <row r="152" spans="1:24" x14ac:dyDescent="0.2">
      <c r="A152" s="383">
        <v>1982</v>
      </c>
      <c r="B152" s="198">
        <v>10527</v>
      </c>
      <c r="C152" s="198">
        <v>10123</v>
      </c>
      <c r="D152" s="198">
        <v>2999</v>
      </c>
      <c r="E152" s="198">
        <v>7056</v>
      </c>
      <c r="F152" s="198">
        <v>10251</v>
      </c>
      <c r="G152" s="198">
        <v>17480</v>
      </c>
      <c r="H152" s="198">
        <v>26460</v>
      </c>
      <c r="I152" s="198">
        <v>14871</v>
      </c>
      <c r="J152" s="198">
        <v>13945</v>
      </c>
      <c r="K152" s="198">
        <v>3198</v>
      </c>
      <c r="L152" s="198">
        <f t="shared" si="15"/>
        <v>116910</v>
      </c>
      <c r="M152" s="31"/>
      <c r="N152" s="198">
        <v>0</v>
      </c>
      <c r="O152" s="198">
        <v>0</v>
      </c>
      <c r="P152" s="198">
        <v>0</v>
      </c>
      <c r="Q152" s="198">
        <v>525</v>
      </c>
      <c r="R152" s="198">
        <v>1643</v>
      </c>
      <c r="S152" s="198">
        <v>301</v>
      </c>
      <c r="T152" s="198">
        <v>43</v>
      </c>
      <c r="U152" s="198">
        <v>12</v>
      </c>
      <c r="V152" s="198">
        <v>0</v>
      </c>
      <c r="W152" s="198">
        <v>0</v>
      </c>
      <c r="X152" s="198">
        <f t="shared" si="16"/>
        <v>2524</v>
      </c>
    </row>
    <row r="153" spans="1:24" x14ac:dyDescent="0.2">
      <c r="A153" s="383">
        <v>1983</v>
      </c>
      <c r="B153" s="198">
        <v>2332</v>
      </c>
      <c r="C153" s="198">
        <v>3000</v>
      </c>
      <c r="D153" s="198">
        <v>3812</v>
      </c>
      <c r="E153" s="198">
        <v>10325</v>
      </c>
      <c r="F153" s="198">
        <v>7928</v>
      </c>
      <c r="G153" s="198">
        <v>9571</v>
      </c>
      <c r="H153" s="198">
        <v>6785</v>
      </c>
      <c r="I153" s="198">
        <v>4347</v>
      </c>
      <c r="J153" s="198">
        <v>1561</v>
      </c>
      <c r="K153" s="198">
        <v>56</v>
      </c>
      <c r="L153" s="198">
        <f t="shared" si="15"/>
        <v>49717</v>
      </c>
      <c r="M153" s="31"/>
      <c r="N153" s="198">
        <v>0</v>
      </c>
      <c r="O153" s="198">
        <v>3</v>
      </c>
      <c r="P153" s="198">
        <v>8</v>
      </c>
      <c r="Q153" s="198">
        <v>44</v>
      </c>
      <c r="R153" s="198">
        <v>194</v>
      </c>
      <c r="S153" s="198">
        <v>240</v>
      </c>
      <c r="T153" s="198">
        <v>52</v>
      </c>
      <c r="U153" s="198">
        <v>0</v>
      </c>
      <c r="V153" s="198">
        <v>0</v>
      </c>
      <c r="W153" s="198">
        <v>0</v>
      </c>
      <c r="X153" s="198">
        <f t="shared" si="16"/>
        <v>541</v>
      </c>
    </row>
    <row r="154" spans="1:24" x14ac:dyDescent="0.2">
      <c r="A154" s="383">
        <v>1984</v>
      </c>
      <c r="B154" s="198">
        <v>377</v>
      </c>
      <c r="C154" s="198">
        <v>683</v>
      </c>
      <c r="D154" s="198">
        <v>3222</v>
      </c>
      <c r="E154" s="198">
        <v>6766</v>
      </c>
      <c r="F154" s="198">
        <v>16209</v>
      </c>
      <c r="G154" s="198">
        <v>19227</v>
      </c>
      <c r="H154" s="198">
        <v>16345</v>
      </c>
      <c r="I154" s="198">
        <v>7352</v>
      </c>
      <c r="J154" s="198">
        <v>2297</v>
      </c>
      <c r="K154" s="198">
        <v>755</v>
      </c>
      <c r="L154" s="198">
        <f t="shared" si="15"/>
        <v>73233</v>
      </c>
      <c r="M154" s="31"/>
      <c r="N154" s="198">
        <v>0</v>
      </c>
      <c r="O154" s="198">
        <v>0</v>
      </c>
      <c r="P154" s="198">
        <v>0</v>
      </c>
      <c r="Q154" s="198">
        <v>41</v>
      </c>
      <c r="R154" s="198">
        <v>0</v>
      </c>
      <c r="S154" s="198">
        <v>393</v>
      </c>
      <c r="T154" s="198">
        <v>112</v>
      </c>
      <c r="U154" s="198">
        <v>0</v>
      </c>
      <c r="V154" s="198">
        <v>0</v>
      </c>
      <c r="W154" s="198">
        <v>0</v>
      </c>
      <c r="X154" s="198">
        <f t="shared" si="16"/>
        <v>546</v>
      </c>
    </row>
    <row r="155" spans="1:24" x14ac:dyDescent="0.2">
      <c r="A155" s="383">
        <v>1985</v>
      </c>
      <c r="B155" s="198">
        <v>10486</v>
      </c>
      <c r="C155" s="198">
        <v>12784</v>
      </c>
      <c r="D155" s="198">
        <v>10688</v>
      </c>
      <c r="E155" s="198">
        <v>8519</v>
      </c>
      <c r="F155" s="198">
        <v>18017</v>
      </c>
      <c r="G155" s="198">
        <v>19475</v>
      </c>
      <c r="H155" s="198">
        <v>18857</v>
      </c>
      <c r="I155" s="198">
        <v>7033</v>
      </c>
      <c r="J155" s="198">
        <v>4897</v>
      </c>
      <c r="K155" s="198">
        <v>1719</v>
      </c>
      <c r="L155" s="198">
        <f t="shared" si="15"/>
        <v>112475</v>
      </c>
      <c r="M155" s="31"/>
      <c r="N155" s="198">
        <v>0</v>
      </c>
      <c r="O155" s="198">
        <v>0</v>
      </c>
      <c r="P155" s="198">
        <v>48</v>
      </c>
      <c r="Q155" s="198">
        <v>80</v>
      </c>
      <c r="R155" s="198">
        <v>125</v>
      </c>
      <c r="S155" s="198">
        <v>12</v>
      </c>
      <c r="T155" s="198">
        <v>4</v>
      </c>
      <c r="U155" s="198">
        <v>14</v>
      </c>
      <c r="V155" s="198">
        <v>0</v>
      </c>
      <c r="W155" s="198">
        <v>0</v>
      </c>
      <c r="X155" s="198">
        <f t="shared" si="16"/>
        <v>283</v>
      </c>
    </row>
    <row r="156" spans="1:24" x14ac:dyDescent="0.2">
      <c r="A156" s="383">
        <v>1986</v>
      </c>
      <c r="B156" s="198">
        <v>1048</v>
      </c>
      <c r="C156" s="198">
        <v>12251</v>
      </c>
      <c r="D156" s="198">
        <v>11395</v>
      </c>
      <c r="E156" s="198">
        <v>7296</v>
      </c>
      <c r="F156" s="198">
        <v>13397</v>
      </c>
      <c r="G156" s="198">
        <v>19747</v>
      </c>
      <c r="H156" s="198">
        <v>14022</v>
      </c>
      <c r="I156" s="198">
        <v>4874</v>
      </c>
      <c r="J156" s="198">
        <v>1650</v>
      </c>
      <c r="K156" s="198">
        <v>575</v>
      </c>
      <c r="L156" s="198">
        <f t="shared" si="15"/>
        <v>86255</v>
      </c>
      <c r="M156" s="31"/>
      <c r="N156" s="198">
        <v>0</v>
      </c>
      <c r="O156" s="198">
        <v>2</v>
      </c>
      <c r="P156" s="198">
        <v>0</v>
      </c>
      <c r="Q156" s="198">
        <v>66</v>
      </c>
      <c r="R156" s="198">
        <v>133</v>
      </c>
      <c r="S156" s="198">
        <v>135</v>
      </c>
      <c r="T156" s="198">
        <v>10</v>
      </c>
      <c r="U156" s="198">
        <v>6</v>
      </c>
      <c r="V156" s="198">
        <v>2</v>
      </c>
      <c r="W156" s="198">
        <v>0</v>
      </c>
      <c r="X156" s="198">
        <f t="shared" si="16"/>
        <v>354</v>
      </c>
    </row>
    <row r="157" spans="1:24" x14ac:dyDescent="0.2">
      <c r="A157" s="383">
        <v>1987</v>
      </c>
      <c r="B157" s="198">
        <v>3801</v>
      </c>
      <c r="C157" s="198">
        <v>7390</v>
      </c>
      <c r="D157" s="198">
        <v>16763</v>
      </c>
      <c r="E157" s="198">
        <v>9307</v>
      </c>
      <c r="F157" s="198">
        <v>9849</v>
      </c>
      <c r="G157" s="198">
        <v>22360</v>
      </c>
      <c r="H157" s="198">
        <v>29666</v>
      </c>
      <c r="I157" s="198">
        <v>12261</v>
      </c>
      <c r="J157" s="198">
        <v>7052</v>
      </c>
      <c r="K157" s="198">
        <v>1077</v>
      </c>
      <c r="L157" s="198">
        <f t="shared" si="15"/>
        <v>119526</v>
      </c>
      <c r="M157" s="31"/>
      <c r="N157" s="198">
        <v>0</v>
      </c>
      <c r="O157" s="198">
        <v>0</v>
      </c>
      <c r="P157" s="198">
        <v>0</v>
      </c>
      <c r="Q157" s="198">
        <v>4</v>
      </c>
      <c r="R157" s="198">
        <v>14</v>
      </c>
      <c r="S157" s="198">
        <v>18</v>
      </c>
      <c r="T157" s="198">
        <v>9</v>
      </c>
      <c r="U157" s="198">
        <v>6</v>
      </c>
      <c r="V157" s="198">
        <v>0</v>
      </c>
      <c r="W157" s="198">
        <v>0</v>
      </c>
      <c r="X157" s="198">
        <f t="shared" si="16"/>
        <v>51</v>
      </c>
    </row>
    <row r="158" spans="1:24" x14ac:dyDescent="0.2">
      <c r="A158" s="383">
        <v>1988</v>
      </c>
      <c r="B158" s="198">
        <v>5324</v>
      </c>
      <c r="C158" s="198">
        <v>13696</v>
      </c>
      <c r="D158" s="198">
        <v>20767</v>
      </c>
      <c r="E158" s="198">
        <v>15896</v>
      </c>
      <c r="F158" s="198">
        <v>18773</v>
      </c>
      <c r="G158" s="198">
        <v>21659</v>
      </c>
      <c r="H158" s="198">
        <v>9110</v>
      </c>
      <c r="I158" s="198">
        <v>3806</v>
      </c>
      <c r="J158" s="198">
        <v>4610</v>
      </c>
      <c r="K158" s="198">
        <v>814</v>
      </c>
      <c r="L158" s="198">
        <f t="shared" si="15"/>
        <v>114455</v>
      </c>
      <c r="M158" s="31"/>
      <c r="N158" s="198">
        <v>0</v>
      </c>
      <c r="O158" s="198">
        <v>1</v>
      </c>
      <c r="P158" s="198">
        <v>21</v>
      </c>
      <c r="Q158" s="198">
        <v>109</v>
      </c>
      <c r="R158" s="198">
        <v>79</v>
      </c>
      <c r="S158" s="198">
        <v>101</v>
      </c>
      <c r="T158" s="198">
        <v>19</v>
      </c>
      <c r="U158" s="198">
        <v>2</v>
      </c>
      <c r="V158" s="198">
        <v>0</v>
      </c>
      <c r="W158" s="198">
        <v>0</v>
      </c>
      <c r="X158" s="198">
        <f t="shared" si="16"/>
        <v>332</v>
      </c>
    </row>
    <row r="159" spans="1:24" x14ac:dyDescent="0.2">
      <c r="A159" s="383">
        <v>1989</v>
      </c>
      <c r="B159" s="198">
        <v>7321</v>
      </c>
      <c r="C159" s="198">
        <v>8234</v>
      </c>
      <c r="D159" s="198">
        <v>20365</v>
      </c>
      <c r="E159" s="198">
        <v>4803</v>
      </c>
      <c r="F159" s="198">
        <v>12260</v>
      </c>
      <c r="G159" s="198">
        <v>11424</v>
      </c>
      <c r="H159" s="198">
        <v>10974</v>
      </c>
      <c r="I159" s="198">
        <v>12158</v>
      </c>
      <c r="J159" s="198">
        <v>3716</v>
      </c>
      <c r="K159" s="198">
        <v>2404</v>
      </c>
      <c r="L159" s="198">
        <f t="shared" si="15"/>
        <v>93659</v>
      </c>
      <c r="M159" s="31"/>
      <c r="N159" s="198">
        <v>0</v>
      </c>
      <c r="O159" s="198">
        <v>0</v>
      </c>
      <c r="P159" s="198">
        <v>115</v>
      </c>
      <c r="Q159" s="198">
        <v>198</v>
      </c>
      <c r="R159" s="198">
        <v>434</v>
      </c>
      <c r="S159" s="198">
        <v>44</v>
      </c>
      <c r="T159" s="198">
        <v>68</v>
      </c>
      <c r="U159" s="198">
        <v>4</v>
      </c>
      <c r="V159" s="198">
        <v>0</v>
      </c>
      <c r="W159" s="198">
        <v>0</v>
      </c>
      <c r="X159" s="198">
        <f t="shared" si="16"/>
        <v>863</v>
      </c>
    </row>
    <row r="160" spans="1:24" x14ac:dyDescent="0.2">
      <c r="A160" s="383">
        <v>1990</v>
      </c>
      <c r="B160" s="198">
        <v>5058</v>
      </c>
      <c r="C160" s="198">
        <v>13309</v>
      </c>
      <c r="D160" s="198">
        <v>15075</v>
      </c>
      <c r="E160" s="198">
        <v>4273</v>
      </c>
      <c r="F160" s="198">
        <v>6580</v>
      </c>
      <c r="G160" s="198">
        <v>10646</v>
      </c>
      <c r="H160" s="198">
        <v>13625</v>
      </c>
      <c r="I160" s="198">
        <v>4883</v>
      </c>
      <c r="J160" s="198">
        <v>3513</v>
      </c>
      <c r="K160" s="198">
        <v>600</v>
      </c>
      <c r="L160" s="198">
        <f t="shared" si="15"/>
        <v>77562</v>
      </c>
      <c r="M160" s="31"/>
      <c r="N160" s="198">
        <v>0</v>
      </c>
      <c r="O160" s="198">
        <v>0</v>
      </c>
      <c r="P160" s="198">
        <v>56</v>
      </c>
      <c r="Q160" s="198">
        <v>417</v>
      </c>
      <c r="R160" s="198">
        <v>1033</v>
      </c>
      <c r="S160" s="198">
        <v>1595</v>
      </c>
      <c r="T160" s="198">
        <v>2292</v>
      </c>
      <c r="U160" s="198">
        <v>397</v>
      </c>
      <c r="V160" s="198">
        <v>59</v>
      </c>
      <c r="W160" s="198">
        <v>0</v>
      </c>
      <c r="X160" s="198">
        <f t="shared" si="16"/>
        <v>5849</v>
      </c>
    </row>
    <row r="161" spans="1:24" x14ac:dyDescent="0.2">
      <c r="A161" s="383">
        <v>1991</v>
      </c>
      <c r="B161" s="198">
        <v>45</v>
      </c>
      <c r="C161" s="198">
        <v>3175</v>
      </c>
      <c r="D161" s="198">
        <v>6079</v>
      </c>
      <c r="E161" s="198">
        <v>3733</v>
      </c>
      <c r="F161" s="198">
        <v>6838</v>
      </c>
      <c r="G161" s="198">
        <v>9962</v>
      </c>
      <c r="H161" s="198">
        <v>4869</v>
      </c>
      <c r="I161" s="198">
        <v>1523</v>
      </c>
      <c r="J161" s="198">
        <v>1027</v>
      </c>
      <c r="K161" s="198">
        <v>23</v>
      </c>
      <c r="L161" s="198">
        <f t="shared" si="15"/>
        <v>37274</v>
      </c>
      <c r="M161" s="31"/>
      <c r="N161" s="198">
        <v>0</v>
      </c>
      <c r="O161" s="198">
        <v>2</v>
      </c>
      <c r="P161" s="198">
        <v>11</v>
      </c>
      <c r="Q161" s="198">
        <v>70</v>
      </c>
      <c r="R161" s="198">
        <v>4217</v>
      </c>
      <c r="S161" s="198">
        <v>2781</v>
      </c>
      <c r="T161" s="198">
        <v>522</v>
      </c>
      <c r="U161" s="198">
        <v>62</v>
      </c>
      <c r="V161" s="198">
        <v>30</v>
      </c>
      <c r="W161" s="198">
        <v>0</v>
      </c>
      <c r="X161" s="198">
        <f t="shared" si="16"/>
        <v>7695</v>
      </c>
    </row>
    <row r="162" spans="1:24" x14ac:dyDescent="0.2">
      <c r="A162" s="383">
        <v>1992</v>
      </c>
      <c r="B162" s="198">
        <v>87</v>
      </c>
      <c r="C162" s="198">
        <v>759</v>
      </c>
      <c r="D162" s="198">
        <v>835</v>
      </c>
      <c r="E162" s="198">
        <v>3929</v>
      </c>
      <c r="F162" s="198">
        <v>6609</v>
      </c>
      <c r="G162" s="198">
        <v>13815</v>
      </c>
      <c r="H162" s="198">
        <v>8923</v>
      </c>
      <c r="I162" s="198">
        <v>9049</v>
      </c>
      <c r="J162" s="198">
        <v>3106</v>
      </c>
      <c r="K162" s="198">
        <v>81</v>
      </c>
      <c r="L162" s="198">
        <f t="shared" si="15"/>
        <v>47193</v>
      </c>
      <c r="M162" s="31"/>
      <c r="N162" s="198">
        <v>1</v>
      </c>
      <c r="O162" s="198">
        <v>8</v>
      </c>
      <c r="P162" s="198">
        <v>10</v>
      </c>
      <c r="Q162" s="198">
        <v>104</v>
      </c>
      <c r="R162" s="198">
        <v>120</v>
      </c>
      <c r="S162" s="198">
        <v>1092</v>
      </c>
      <c r="T162" s="198">
        <v>149</v>
      </c>
      <c r="U162" s="198">
        <v>55</v>
      </c>
      <c r="V162" s="198">
        <v>24</v>
      </c>
      <c r="W162" s="198">
        <v>0</v>
      </c>
      <c r="X162" s="198">
        <f t="shared" si="16"/>
        <v>1563</v>
      </c>
    </row>
    <row r="163" spans="1:24" x14ac:dyDescent="0.2">
      <c r="A163" s="383">
        <v>1993</v>
      </c>
      <c r="B163" s="198">
        <v>185</v>
      </c>
      <c r="C163" s="198">
        <v>4718</v>
      </c>
      <c r="D163" s="198">
        <v>5283</v>
      </c>
      <c r="E163" s="198">
        <v>6241</v>
      </c>
      <c r="F163" s="198">
        <v>6345</v>
      </c>
      <c r="G163" s="198">
        <v>33079</v>
      </c>
      <c r="H163" s="198">
        <v>14873</v>
      </c>
      <c r="I163" s="198">
        <v>4483</v>
      </c>
      <c r="J163" s="198">
        <v>3526</v>
      </c>
      <c r="K163" s="198" t="s">
        <v>29</v>
      </c>
      <c r="L163" s="198">
        <f t="shared" si="15"/>
        <v>78733</v>
      </c>
      <c r="M163" s="31"/>
      <c r="N163" s="201" t="s">
        <v>116</v>
      </c>
      <c r="O163" s="198">
        <v>32</v>
      </c>
      <c r="P163" s="198">
        <v>54</v>
      </c>
      <c r="Q163" s="198">
        <v>171</v>
      </c>
      <c r="R163" s="198">
        <v>749</v>
      </c>
      <c r="S163" s="198">
        <v>1812</v>
      </c>
      <c r="T163" s="198">
        <v>104</v>
      </c>
      <c r="U163" s="198">
        <v>21</v>
      </c>
      <c r="V163" s="198">
        <v>8</v>
      </c>
      <c r="W163" s="198" t="s">
        <v>29</v>
      </c>
      <c r="X163" s="198">
        <f t="shared" si="16"/>
        <v>2951</v>
      </c>
    </row>
    <row r="164" spans="1:24" x14ac:dyDescent="0.2">
      <c r="A164" s="383">
        <v>1994</v>
      </c>
      <c r="B164" s="198">
        <v>678</v>
      </c>
      <c r="C164" s="198">
        <v>3867</v>
      </c>
      <c r="D164" s="198">
        <v>8902</v>
      </c>
      <c r="E164" s="198">
        <v>7131</v>
      </c>
      <c r="F164" s="198">
        <v>25083</v>
      </c>
      <c r="G164" s="198">
        <v>50608</v>
      </c>
      <c r="H164" s="198">
        <v>22594</v>
      </c>
      <c r="I164" s="198">
        <v>13815</v>
      </c>
      <c r="J164" s="198">
        <v>8299</v>
      </c>
      <c r="K164" s="198" t="s">
        <v>29</v>
      </c>
      <c r="L164" s="198">
        <f t="shared" si="15"/>
        <v>140977</v>
      </c>
      <c r="M164" s="31"/>
      <c r="N164" s="201" t="s">
        <v>116</v>
      </c>
      <c r="O164" s="198">
        <v>0</v>
      </c>
      <c r="P164" s="198">
        <v>7</v>
      </c>
      <c r="Q164" s="198">
        <v>7</v>
      </c>
      <c r="R164" s="198">
        <v>54</v>
      </c>
      <c r="S164" s="198">
        <v>107</v>
      </c>
      <c r="T164" s="198">
        <v>4</v>
      </c>
      <c r="U164" s="198">
        <v>11</v>
      </c>
      <c r="V164" s="198">
        <v>5</v>
      </c>
      <c r="W164" s="198" t="s">
        <v>29</v>
      </c>
      <c r="X164" s="198">
        <f t="shared" si="16"/>
        <v>195</v>
      </c>
    </row>
    <row r="165" spans="1:24" x14ac:dyDescent="0.2">
      <c r="A165" s="383">
        <v>1995</v>
      </c>
      <c r="B165" s="198" t="s">
        <v>29</v>
      </c>
      <c r="C165" s="198">
        <v>12730</v>
      </c>
      <c r="D165" s="198">
        <v>14040</v>
      </c>
      <c r="E165" s="198">
        <v>13573</v>
      </c>
      <c r="F165" s="198">
        <v>25872</v>
      </c>
      <c r="G165" s="198">
        <v>59555</v>
      </c>
      <c r="H165" s="198">
        <v>15674</v>
      </c>
      <c r="I165" s="198">
        <v>12237</v>
      </c>
      <c r="J165" s="198">
        <v>1996</v>
      </c>
      <c r="K165" s="198" t="s">
        <v>29</v>
      </c>
      <c r="L165" s="198">
        <f t="shared" si="15"/>
        <v>155677</v>
      </c>
      <c r="M165" s="31"/>
      <c r="N165" s="198" t="s">
        <v>29</v>
      </c>
      <c r="O165" s="198">
        <v>0</v>
      </c>
      <c r="P165" s="198">
        <v>5</v>
      </c>
      <c r="Q165" s="198">
        <v>3</v>
      </c>
      <c r="R165" s="198">
        <v>37</v>
      </c>
      <c r="S165" s="198">
        <v>126</v>
      </c>
      <c r="T165" s="198">
        <v>5</v>
      </c>
      <c r="U165" s="198">
        <v>6</v>
      </c>
      <c r="V165" s="198">
        <v>0</v>
      </c>
      <c r="W165" s="198" t="s">
        <v>29</v>
      </c>
      <c r="X165" s="198">
        <f t="shared" si="16"/>
        <v>182</v>
      </c>
    </row>
    <row r="166" spans="1:24" x14ac:dyDescent="0.2">
      <c r="A166" s="383">
        <v>1996</v>
      </c>
      <c r="B166" s="198" t="s">
        <v>29</v>
      </c>
      <c r="C166" s="198">
        <v>21395</v>
      </c>
      <c r="D166" s="198">
        <v>14222</v>
      </c>
      <c r="E166" s="198">
        <v>6057</v>
      </c>
      <c r="F166" s="198">
        <v>11224</v>
      </c>
      <c r="G166" s="198">
        <v>22630</v>
      </c>
      <c r="H166" s="198">
        <v>4791</v>
      </c>
      <c r="I166" s="198">
        <v>2921</v>
      </c>
      <c r="J166" s="198">
        <v>1231</v>
      </c>
      <c r="K166" s="198" t="s">
        <v>29</v>
      </c>
      <c r="L166" s="198">
        <f t="shared" si="15"/>
        <v>84471</v>
      </c>
      <c r="M166" s="31"/>
      <c r="N166" s="198" t="s">
        <v>29</v>
      </c>
      <c r="O166" s="198" t="s">
        <v>29</v>
      </c>
      <c r="P166" s="198" t="s">
        <v>29</v>
      </c>
      <c r="Q166" s="198">
        <v>2</v>
      </c>
      <c r="R166" s="198">
        <v>7</v>
      </c>
      <c r="S166" s="198">
        <v>21</v>
      </c>
      <c r="T166" s="198">
        <v>26</v>
      </c>
      <c r="U166" s="198" t="s">
        <v>29</v>
      </c>
      <c r="V166" s="198" t="s">
        <v>29</v>
      </c>
      <c r="W166" s="198" t="s">
        <v>29</v>
      </c>
      <c r="X166" s="198">
        <f t="shared" si="16"/>
        <v>56</v>
      </c>
    </row>
    <row r="167" spans="1:24" x14ac:dyDescent="0.2">
      <c r="A167" s="383">
        <v>1997</v>
      </c>
      <c r="B167" s="198" t="s">
        <v>29</v>
      </c>
      <c r="C167" s="198">
        <v>3021</v>
      </c>
      <c r="D167" s="198">
        <v>11040</v>
      </c>
      <c r="E167" s="198">
        <v>19706</v>
      </c>
      <c r="F167" s="198">
        <v>15133</v>
      </c>
      <c r="G167" s="198">
        <v>48956</v>
      </c>
      <c r="H167" s="198">
        <v>20829</v>
      </c>
      <c r="I167" s="198">
        <v>2847</v>
      </c>
      <c r="J167" s="198">
        <v>2384</v>
      </c>
      <c r="K167" s="198">
        <v>58</v>
      </c>
      <c r="L167" s="198">
        <f t="shared" si="15"/>
        <v>123974</v>
      </c>
      <c r="M167" s="31"/>
      <c r="N167" s="198" t="s">
        <v>29</v>
      </c>
      <c r="O167" s="198" t="s">
        <v>29</v>
      </c>
      <c r="P167" s="198" t="s">
        <v>29</v>
      </c>
      <c r="Q167" s="198">
        <v>10</v>
      </c>
      <c r="R167" s="198" t="s">
        <v>29</v>
      </c>
      <c r="S167" s="198">
        <v>161</v>
      </c>
      <c r="T167" s="198">
        <v>8</v>
      </c>
      <c r="U167" s="198">
        <v>17</v>
      </c>
      <c r="V167" s="198" t="s">
        <v>29</v>
      </c>
      <c r="W167" s="198" t="s">
        <v>29</v>
      </c>
      <c r="X167" s="198">
        <f t="shared" si="16"/>
        <v>196</v>
      </c>
    </row>
    <row r="168" spans="1:24" x14ac:dyDescent="0.2">
      <c r="A168" s="383">
        <v>1998</v>
      </c>
      <c r="B168" s="198" t="s">
        <v>29</v>
      </c>
      <c r="C168" s="198">
        <v>80</v>
      </c>
      <c r="D168" s="198">
        <v>3748</v>
      </c>
      <c r="E168" s="198">
        <v>4414</v>
      </c>
      <c r="F168" s="198">
        <v>12262</v>
      </c>
      <c r="G168" s="198">
        <v>27369</v>
      </c>
      <c r="H168" s="198">
        <v>17577</v>
      </c>
      <c r="I168" s="198">
        <v>3730</v>
      </c>
      <c r="J168" s="198">
        <v>1789</v>
      </c>
      <c r="K168" s="201" t="s">
        <v>116</v>
      </c>
      <c r="L168" s="198">
        <f t="shared" si="15"/>
        <v>70969</v>
      </c>
      <c r="M168" s="31"/>
      <c r="N168" s="198" t="s">
        <v>29</v>
      </c>
      <c r="O168" s="198" t="s">
        <v>29</v>
      </c>
      <c r="P168" s="198" t="s">
        <v>29</v>
      </c>
      <c r="Q168" s="198" t="s">
        <v>29</v>
      </c>
      <c r="R168" s="198">
        <v>8</v>
      </c>
      <c r="S168" s="198">
        <v>16</v>
      </c>
      <c r="T168" s="198">
        <v>4</v>
      </c>
      <c r="U168" s="198" t="s">
        <v>29</v>
      </c>
      <c r="V168" s="198" t="s">
        <v>29</v>
      </c>
      <c r="W168" s="198" t="s">
        <v>29</v>
      </c>
      <c r="X168" s="198">
        <f t="shared" si="16"/>
        <v>28</v>
      </c>
    </row>
    <row r="169" spans="1:24" x14ac:dyDescent="0.2">
      <c r="A169" s="383">
        <v>1999</v>
      </c>
      <c r="B169" s="198" t="s">
        <v>29</v>
      </c>
      <c r="C169" s="198">
        <v>744</v>
      </c>
      <c r="D169" s="198">
        <v>6260</v>
      </c>
      <c r="E169" s="198">
        <v>1330</v>
      </c>
      <c r="F169" s="198">
        <v>10686</v>
      </c>
      <c r="G169" s="198">
        <v>29869</v>
      </c>
      <c r="H169" s="198">
        <v>11570</v>
      </c>
      <c r="I169" s="198">
        <v>6237</v>
      </c>
      <c r="J169" s="198">
        <v>2555</v>
      </c>
      <c r="K169" s="198" t="s">
        <v>29</v>
      </c>
      <c r="L169" s="198">
        <f t="shared" si="15"/>
        <v>69251</v>
      </c>
      <c r="M169" s="31"/>
      <c r="N169" s="198" t="s">
        <v>29</v>
      </c>
      <c r="O169" s="198" t="s">
        <v>29</v>
      </c>
      <c r="P169" s="198" t="s">
        <v>29</v>
      </c>
      <c r="Q169" s="198">
        <v>12</v>
      </c>
      <c r="R169" s="198">
        <v>175</v>
      </c>
      <c r="S169" s="198">
        <v>107</v>
      </c>
      <c r="T169" s="198">
        <v>11</v>
      </c>
      <c r="U169" s="198">
        <v>12</v>
      </c>
      <c r="V169" s="198">
        <v>6</v>
      </c>
      <c r="W169" s="198" t="s">
        <v>29</v>
      </c>
      <c r="X169" s="198">
        <f t="shared" si="16"/>
        <v>323</v>
      </c>
    </row>
    <row r="170" spans="1:24" x14ac:dyDescent="0.2">
      <c r="A170" s="383">
        <v>2000</v>
      </c>
      <c r="B170" s="198" t="s">
        <v>29</v>
      </c>
      <c r="C170" s="198" t="s">
        <v>29</v>
      </c>
      <c r="D170" s="198">
        <v>5684</v>
      </c>
      <c r="E170" s="198">
        <v>10207</v>
      </c>
      <c r="F170" s="198">
        <v>16317</v>
      </c>
      <c r="G170" s="198">
        <v>8458</v>
      </c>
      <c r="H170" s="198">
        <v>7207</v>
      </c>
      <c r="I170" s="198">
        <v>8060</v>
      </c>
      <c r="J170" s="198">
        <v>6815</v>
      </c>
      <c r="K170" s="198">
        <v>1905</v>
      </c>
      <c r="L170" s="198">
        <f t="shared" si="15"/>
        <v>64653</v>
      </c>
      <c r="M170" s="31"/>
      <c r="N170" s="198" t="s">
        <v>29</v>
      </c>
      <c r="O170" s="198" t="s">
        <v>29</v>
      </c>
      <c r="P170" s="198" t="s">
        <v>29</v>
      </c>
      <c r="Q170" s="198" t="s">
        <v>29</v>
      </c>
      <c r="R170" s="198">
        <v>50</v>
      </c>
      <c r="S170" s="198">
        <v>36</v>
      </c>
      <c r="T170" s="198">
        <v>12</v>
      </c>
      <c r="U170" s="198" t="s">
        <v>29</v>
      </c>
      <c r="V170" s="198" t="s">
        <v>29</v>
      </c>
      <c r="W170" s="198" t="s">
        <v>29</v>
      </c>
      <c r="X170" s="198">
        <f t="shared" si="16"/>
        <v>98</v>
      </c>
    </row>
    <row r="171" spans="1:24" x14ac:dyDescent="0.2">
      <c r="A171" s="383">
        <v>2001</v>
      </c>
      <c r="B171" s="198" t="s">
        <v>29</v>
      </c>
      <c r="C171" s="198" t="s">
        <v>29</v>
      </c>
      <c r="D171" s="198">
        <v>3314</v>
      </c>
      <c r="E171" s="198">
        <v>6207</v>
      </c>
      <c r="F171" s="198">
        <v>1613</v>
      </c>
      <c r="G171" s="198">
        <v>11167</v>
      </c>
      <c r="H171" s="198">
        <v>6717</v>
      </c>
      <c r="I171" s="198">
        <v>6552</v>
      </c>
      <c r="J171" s="198">
        <v>3065</v>
      </c>
      <c r="K171" s="198">
        <v>1221</v>
      </c>
      <c r="L171" s="198">
        <f t="shared" si="15"/>
        <v>39856</v>
      </c>
      <c r="M171" s="31"/>
      <c r="N171" s="198" t="s">
        <v>29</v>
      </c>
      <c r="O171" s="198" t="s">
        <v>29</v>
      </c>
      <c r="P171" s="198" t="s">
        <v>29</v>
      </c>
      <c r="Q171" s="198">
        <v>165</v>
      </c>
      <c r="R171" s="198">
        <v>8</v>
      </c>
      <c r="S171" s="198">
        <v>306</v>
      </c>
      <c r="T171" s="198">
        <v>10</v>
      </c>
      <c r="U171" s="198" t="s">
        <v>29</v>
      </c>
      <c r="V171" s="198" t="s">
        <v>29</v>
      </c>
      <c r="W171" s="198" t="s">
        <v>29</v>
      </c>
      <c r="X171" s="198">
        <f t="shared" si="16"/>
        <v>489</v>
      </c>
    </row>
    <row r="172" spans="1:24" x14ac:dyDescent="0.2">
      <c r="A172" s="383">
        <v>2002</v>
      </c>
      <c r="B172" s="198" t="s">
        <v>29</v>
      </c>
      <c r="C172" s="198" t="s">
        <v>29</v>
      </c>
      <c r="D172" s="198">
        <v>4953</v>
      </c>
      <c r="E172" s="198">
        <v>13189</v>
      </c>
      <c r="F172" s="198">
        <v>17955</v>
      </c>
      <c r="G172" s="198">
        <v>34305</v>
      </c>
      <c r="H172" s="198">
        <v>13097</v>
      </c>
      <c r="I172" s="198">
        <v>3100</v>
      </c>
      <c r="J172" s="198">
        <v>348</v>
      </c>
      <c r="K172" s="198">
        <v>61</v>
      </c>
      <c r="L172" s="198">
        <f t="shared" si="15"/>
        <v>87008</v>
      </c>
      <c r="M172" s="31"/>
      <c r="N172" s="198" t="s">
        <v>29</v>
      </c>
      <c r="O172" s="198" t="s">
        <v>29</v>
      </c>
      <c r="P172" s="198">
        <v>2</v>
      </c>
      <c r="Q172" s="198">
        <v>19</v>
      </c>
      <c r="R172" s="198">
        <v>72</v>
      </c>
      <c r="S172" s="198">
        <v>191</v>
      </c>
      <c r="T172" s="198">
        <v>16</v>
      </c>
      <c r="U172" s="198" t="s">
        <v>29</v>
      </c>
      <c r="V172" s="198" t="s">
        <v>29</v>
      </c>
      <c r="W172" s="198" t="s">
        <v>29</v>
      </c>
      <c r="X172" s="198">
        <f t="shared" si="16"/>
        <v>300</v>
      </c>
    </row>
    <row r="173" spans="1:24" x14ac:dyDescent="0.2">
      <c r="A173" s="383">
        <v>2003</v>
      </c>
      <c r="B173" s="198" t="s">
        <v>29</v>
      </c>
      <c r="C173" s="198" t="s">
        <v>29</v>
      </c>
      <c r="D173" s="198">
        <v>4707</v>
      </c>
      <c r="E173" s="198">
        <v>9358</v>
      </c>
      <c r="F173" s="198">
        <v>13179</v>
      </c>
      <c r="G173" s="198">
        <v>19974</v>
      </c>
      <c r="H173" s="198">
        <v>5067</v>
      </c>
      <c r="I173" s="198">
        <v>3288</v>
      </c>
      <c r="J173" s="198">
        <v>1043</v>
      </c>
      <c r="K173" s="198">
        <v>0</v>
      </c>
      <c r="L173" s="198">
        <f t="shared" si="15"/>
        <v>56616</v>
      </c>
      <c r="M173" s="31"/>
      <c r="N173" s="198" t="s">
        <v>29</v>
      </c>
      <c r="O173" s="198" t="s">
        <v>29</v>
      </c>
      <c r="P173" s="198" t="s">
        <v>29</v>
      </c>
      <c r="Q173" s="198">
        <v>38</v>
      </c>
      <c r="R173" s="198">
        <v>71</v>
      </c>
      <c r="S173" s="198">
        <v>94</v>
      </c>
      <c r="T173" s="198" t="s">
        <v>29</v>
      </c>
      <c r="U173" s="198">
        <v>4</v>
      </c>
      <c r="V173" s="198" t="s">
        <v>29</v>
      </c>
      <c r="W173" s="198" t="s">
        <v>29</v>
      </c>
      <c r="X173" s="198">
        <f t="shared" si="16"/>
        <v>207</v>
      </c>
    </row>
    <row r="174" spans="1:24" x14ac:dyDescent="0.2">
      <c r="A174" s="383">
        <v>2004</v>
      </c>
      <c r="B174" s="198" t="s">
        <v>29</v>
      </c>
      <c r="C174" s="198" t="s">
        <v>29</v>
      </c>
      <c r="D174" s="198">
        <v>6847</v>
      </c>
      <c r="E174" s="198">
        <v>18714</v>
      </c>
      <c r="F174" s="198">
        <v>23692</v>
      </c>
      <c r="G174" s="198">
        <v>47484</v>
      </c>
      <c r="H174" s="198">
        <v>22562</v>
      </c>
      <c r="I174" s="198">
        <v>7887</v>
      </c>
      <c r="J174" s="198">
        <v>2696</v>
      </c>
      <c r="K174" s="198">
        <v>338</v>
      </c>
      <c r="L174" s="198">
        <f t="shared" si="15"/>
        <v>130220</v>
      </c>
      <c r="M174" s="31"/>
      <c r="N174" s="198" t="s">
        <v>29</v>
      </c>
      <c r="O174" s="198" t="s">
        <v>29</v>
      </c>
      <c r="P174" s="198" t="s">
        <v>29</v>
      </c>
      <c r="Q174" s="198">
        <v>41</v>
      </c>
      <c r="R174" s="198">
        <v>40</v>
      </c>
      <c r="S174" s="198">
        <v>236</v>
      </c>
      <c r="T174" s="198">
        <v>140</v>
      </c>
      <c r="U174" s="198">
        <v>13</v>
      </c>
      <c r="V174" s="198" t="s">
        <v>29</v>
      </c>
      <c r="W174" s="198" t="s">
        <v>29</v>
      </c>
      <c r="X174" s="198">
        <f t="shared" si="16"/>
        <v>470</v>
      </c>
    </row>
    <row r="175" spans="1:24" x14ac:dyDescent="0.2">
      <c r="A175" s="383">
        <v>2005</v>
      </c>
      <c r="B175" s="198" t="s">
        <v>29</v>
      </c>
      <c r="C175" s="198" t="s">
        <v>29</v>
      </c>
      <c r="D175" s="198">
        <v>7878</v>
      </c>
      <c r="E175" s="198">
        <v>10827</v>
      </c>
      <c r="F175" s="198">
        <v>12593</v>
      </c>
      <c r="G175" s="198">
        <v>20653</v>
      </c>
      <c r="H175" s="198">
        <v>5959</v>
      </c>
      <c r="I175" s="198">
        <v>10609</v>
      </c>
      <c r="J175" s="198">
        <v>3950</v>
      </c>
      <c r="K175" s="198">
        <v>355</v>
      </c>
      <c r="L175" s="198">
        <f t="shared" si="15"/>
        <v>72824</v>
      </c>
      <c r="M175" s="31"/>
      <c r="N175" s="198" t="s">
        <v>29</v>
      </c>
      <c r="O175" s="198" t="s">
        <v>29</v>
      </c>
      <c r="P175" s="198" t="s">
        <v>29</v>
      </c>
      <c r="Q175" s="198">
        <v>16</v>
      </c>
      <c r="R175" s="198">
        <v>147</v>
      </c>
      <c r="S175" s="198">
        <v>110</v>
      </c>
      <c r="T175" s="198" t="s">
        <v>29</v>
      </c>
      <c r="U175" s="198" t="s">
        <v>29</v>
      </c>
      <c r="V175" s="198" t="s">
        <v>29</v>
      </c>
      <c r="W175" s="198" t="s">
        <v>29</v>
      </c>
      <c r="X175" s="198">
        <f t="shared" si="16"/>
        <v>273</v>
      </c>
    </row>
    <row r="176" spans="1:24" x14ac:dyDescent="0.2">
      <c r="A176" s="383">
        <v>2006</v>
      </c>
      <c r="B176" s="198" t="s">
        <v>29</v>
      </c>
      <c r="C176" s="198" t="s">
        <v>29</v>
      </c>
      <c r="D176" s="198">
        <v>1803</v>
      </c>
      <c r="E176" s="198">
        <v>12416</v>
      </c>
      <c r="F176" s="198">
        <v>18151</v>
      </c>
      <c r="G176" s="198">
        <v>20092</v>
      </c>
      <c r="H176" s="198">
        <v>1280</v>
      </c>
      <c r="I176" s="198">
        <v>861</v>
      </c>
      <c r="J176" s="198">
        <v>256</v>
      </c>
      <c r="K176" s="198">
        <v>67</v>
      </c>
      <c r="L176" s="198">
        <f t="shared" si="15"/>
        <v>54926</v>
      </c>
      <c r="M176" s="31"/>
      <c r="N176" s="198" t="s">
        <v>29</v>
      </c>
      <c r="O176" s="198" t="s">
        <v>29</v>
      </c>
      <c r="P176" s="198" t="s">
        <v>29</v>
      </c>
      <c r="Q176" s="198">
        <v>57</v>
      </c>
      <c r="R176" s="198">
        <v>296</v>
      </c>
      <c r="S176" s="198">
        <v>310</v>
      </c>
      <c r="T176" s="198">
        <v>9</v>
      </c>
      <c r="U176" s="198" t="s">
        <v>29</v>
      </c>
      <c r="V176" s="198" t="s">
        <v>29</v>
      </c>
      <c r="W176" s="198" t="s">
        <v>29</v>
      </c>
      <c r="X176" s="198">
        <f t="shared" si="16"/>
        <v>672</v>
      </c>
    </row>
    <row r="177" spans="1:24" s="374" customFormat="1" x14ac:dyDescent="0.2">
      <c r="A177" s="402">
        <v>2007</v>
      </c>
      <c r="B177" s="199" t="s">
        <v>29</v>
      </c>
      <c r="C177" s="199" t="s">
        <v>29</v>
      </c>
      <c r="D177" s="199">
        <v>796</v>
      </c>
      <c r="E177" s="199">
        <v>4245</v>
      </c>
      <c r="F177" s="199">
        <v>4642</v>
      </c>
      <c r="G177" s="199">
        <v>5419</v>
      </c>
      <c r="H177" s="199">
        <v>650</v>
      </c>
      <c r="I177" s="199">
        <v>278</v>
      </c>
      <c r="J177" s="199">
        <v>441</v>
      </c>
      <c r="K177" s="199">
        <v>325</v>
      </c>
      <c r="L177" s="199">
        <f t="shared" si="15"/>
        <v>16796</v>
      </c>
      <c r="M177" s="52"/>
      <c r="N177" s="199" t="s">
        <v>29</v>
      </c>
      <c r="O177" s="199" t="s">
        <v>29</v>
      </c>
      <c r="P177" s="199" t="s">
        <v>29</v>
      </c>
      <c r="Q177" s="199">
        <v>37</v>
      </c>
      <c r="R177" s="199">
        <v>30</v>
      </c>
      <c r="S177" s="199">
        <v>114</v>
      </c>
      <c r="T177" s="199">
        <v>9</v>
      </c>
      <c r="U177" s="199">
        <v>14</v>
      </c>
      <c r="V177" s="199" t="s">
        <v>29</v>
      </c>
      <c r="W177" s="199" t="s">
        <v>29</v>
      </c>
      <c r="X177" s="199">
        <f t="shared" si="16"/>
        <v>204</v>
      </c>
    </row>
    <row r="178" spans="1:24" s="374" customFormat="1" x14ac:dyDescent="0.2">
      <c r="A178" s="402">
        <v>2008</v>
      </c>
      <c r="B178" s="199" t="s">
        <v>29</v>
      </c>
      <c r="C178" s="199" t="s">
        <v>29</v>
      </c>
      <c r="D178" s="199" t="s">
        <v>29</v>
      </c>
      <c r="E178" s="199" t="s">
        <v>29</v>
      </c>
      <c r="F178" s="199" t="s">
        <v>29</v>
      </c>
      <c r="G178" s="199" t="s">
        <v>29</v>
      </c>
      <c r="H178" s="199" t="s">
        <v>29</v>
      </c>
      <c r="I178" s="199" t="s">
        <v>29</v>
      </c>
      <c r="J178" s="199" t="s">
        <v>29</v>
      </c>
      <c r="K178" s="199" t="s">
        <v>29</v>
      </c>
      <c r="L178" s="199" t="s">
        <v>29</v>
      </c>
      <c r="M178" s="52"/>
      <c r="N178" s="199" t="s">
        <v>29</v>
      </c>
      <c r="O178" s="199" t="s">
        <v>29</v>
      </c>
      <c r="P178" s="199" t="s">
        <v>29</v>
      </c>
      <c r="Q178" s="199" t="s">
        <v>29</v>
      </c>
      <c r="R178" s="199" t="s">
        <v>29</v>
      </c>
      <c r="S178" s="199" t="s">
        <v>29</v>
      </c>
      <c r="T178" s="199" t="s">
        <v>29</v>
      </c>
      <c r="U178" s="199" t="s">
        <v>29</v>
      </c>
      <c r="V178" s="199" t="s">
        <v>29</v>
      </c>
      <c r="W178" s="199" t="s">
        <v>29</v>
      </c>
      <c r="X178" s="199" t="s">
        <v>29</v>
      </c>
    </row>
    <row r="179" spans="1:24" s="374" customFormat="1" x14ac:dyDescent="0.2">
      <c r="A179" s="402">
        <v>2009</v>
      </c>
      <c r="B179" s="199" t="s">
        <v>29</v>
      </c>
      <c r="C179" s="199" t="s">
        <v>29</v>
      </c>
      <c r="D179" s="199" t="s">
        <v>29</v>
      </c>
      <c r="E179" s="199" t="s">
        <v>29</v>
      </c>
      <c r="F179" s="199" t="s">
        <v>29</v>
      </c>
      <c r="G179" s="199" t="s">
        <v>29</v>
      </c>
      <c r="H179" s="199" t="s">
        <v>29</v>
      </c>
      <c r="I179" s="199" t="s">
        <v>29</v>
      </c>
      <c r="J179" s="199" t="s">
        <v>29</v>
      </c>
      <c r="K179" s="199" t="s">
        <v>29</v>
      </c>
      <c r="L179" s="199" t="s">
        <v>29</v>
      </c>
      <c r="M179" s="52"/>
      <c r="N179" s="199" t="s">
        <v>29</v>
      </c>
      <c r="O179" s="199" t="s">
        <v>29</v>
      </c>
      <c r="P179" s="199" t="s">
        <v>29</v>
      </c>
      <c r="Q179" s="199" t="s">
        <v>29</v>
      </c>
      <c r="R179" s="199" t="s">
        <v>29</v>
      </c>
      <c r="S179" s="199" t="s">
        <v>29</v>
      </c>
      <c r="T179" s="199" t="s">
        <v>29</v>
      </c>
      <c r="U179" s="199" t="s">
        <v>29</v>
      </c>
      <c r="V179" s="199" t="s">
        <v>29</v>
      </c>
      <c r="W179" s="199" t="s">
        <v>29</v>
      </c>
      <c r="X179" s="199" t="s">
        <v>29</v>
      </c>
    </row>
    <row r="180" spans="1:24" s="374" customFormat="1" x14ac:dyDescent="0.2">
      <c r="A180" s="402">
        <v>2010</v>
      </c>
      <c r="B180" s="199" t="s">
        <v>29</v>
      </c>
      <c r="C180" s="199" t="s">
        <v>29</v>
      </c>
      <c r="D180" s="199">
        <v>1004</v>
      </c>
      <c r="E180" s="199">
        <v>452</v>
      </c>
      <c r="F180" s="199">
        <v>598</v>
      </c>
      <c r="G180" s="199">
        <v>1764</v>
      </c>
      <c r="H180" s="199">
        <v>2012</v>
      </c>
      <c r="I180" s="199">
        <v>286</v>
      </c>
      <c r="J180" s="199" t="s">
        <v>29</v>
      </c>
      <c r="K180" s="199" t="s">
        <v>29</v>
      </c>
      <c r="L180" s="199">
        <f t="shared" ref="L180:L190" si="17">SUM(B180:K180)</f>
        <v>6116</v>
      </c>
      <c r="M180" s="52"/>
      <c r="N180" s="199" t="s">
        <v>29</v>
      </c>
      <c r="O180" s="199" t="s">
        <v>29</v>
      </c>
      <c r="P180" s="199" t="s">
        <v>29</v>
      </c>
      <c r="Q180" s="199" t="s">
        <v>29</v>
      </c>
      <c r="R180" s="199">
        <v>68</v>
      </c>
      <c r="S180" s="199" t="s">
        <v>29</v>
      </c>
      <c r="T180" s="199" t="s">
        <v>29</v>
      </c>
      <c r="U180" s="199">
        <v>8</v>
      </c>
      <c r="V180" s="199" t="s">
        <v>29</v>
      </c>
      <c r="W180" s="199" t="s">
        <v>29</v>
      </c>
      <c r="X180" s="199">
        <f t="shared" ref="X180:X190" si="18">SUM(N180:W180)</f>
        <v>76</v>
      </c>
    </row>
    <row r="181" spans="1:24" s="374" customFormat="1" x14ac:dyDescent="0.2">
      <c r="A181" s="402">
        <v>2011</v>
      </c>
      <c r="B181" s="199" t="s">
        <v>29</v>
      </c>
      <c r="C181" s="199" t="s">
        <v>29</v>
      </c>
      <c r="D181" s="199">
        <v>432</v>
      </c>
      <c r="E181" s="199">
        <v>934</v>
      </c>
      <c r="F181" s="199">
        <v>326</v>
      </c>
      <c r="G181" s="199">
        <v>4457</v>
      </c>
      <c r="H181" s="199">
        <v>6531</v>
      </c>
      <c r="I181" s="199">
        <v>5914</v>
      </c>
      <c r="J181" s="199">
        <v>1140</v>
      </c>
      <c r="K181" s="199" t="s">
        <v>29</v>
      </c>
      <c r="L181" s="199">
        <f t="shared" si="17"/>
        <v>19734</v>
      </c>
      <c r="M181" s="52"/>
      <c r="N181" s="199" t="s">
        <v>29</v>
      </c>
      <c r="O181" s="199" t="s">
        <v>29</v>
      </c>
      <c r="P181" s="199" t="s">
        <v>29</v>
      </c>
      <c r="Q181" s="199" t="s">
        <v>29</v>
      </c>
      <c r="R181" s="199">
        <v>17</v>
      </c>
      <c r="S181" s="199">
        <v>26</v>
      </c>
      <c r="T181" s="199" t="s">
        <v>29</v>
      </c>
      <c r="U181" s="199" t="s">
        <v>29</v>
      </c>
      <c r="V181" s="199" t="s">
        <v>29</v>
      </c>
      <c r="W181" s="199" t="s">
        <v>29</v>
      </c>
      <c r="X181" s="199">
        <f t="shared" si="18"/>
        <v>43</v>
      </c>
    </row>
    <row r="182" spans="1:24" s="374" customFormat="1" x14ac:dyDescent="0.2">
      <c r="A182" s="402">
        <v>2012</v>
      </c>
      <c r="B182" s="199" t="s">
        <v>29</v>
      </c>
      <c r="C182" s="199" t="s">
        <v>29</v>
      </c>
      <c r="D182" s="199">
        <v>3837</v>
      </c>
      <c r="E182" s="199">
        <v>5143</v>
      </c>
      <c r="F182" s="199">
        <v>10700</v>
      </c>
      <c r="G182" s="199">
        <v>15329</v>
      </c>
      <c r="H182" s="199">
        <v>5340</v>
      </c>
      <c r="I182" s="199">
        <v>3871</v>
      </c>
      <c r="J182" s="199">
        <v>1881</v>
      </c>
      <c r="K182" s="199">
        <v>88</v>
      </c>
      <c r="L182" s="199">
        <f t="shared" si="17"/>
        <v>46189</v>
      </c>
      <c r="M182" s="52"/>
      <c r="N182" s="199" t="s">
        <v>29</v>
      </c>
      <c r="O182" s="199" t="s">
        <v>29</v>
      </c>
      <c r="P182" s="199" t="s">
        <v>29</v>
      </c>
      <c r="Q182" s="199">
        <v>3</v>
      </c>
      <c r="R182" s="199" t="s">
        <v>29</v>
      </c>
      <c r="S182" s="199">
        <v>5</v>
      </c>
      <c r="T182" s="199" t="s">
        <v>29</v>
      </c>
      <c r="U182" s="199" t="s">
        <v>29</v>
      </c>
      <c r="V182" s="199" t="s">
        <v>29</v>
      </c>
      <c r="W182" s="199" t="s">
        <v>29</v>
      </c>
      <c r="X182" s="199">
        <f t="shared" si="18"/>
        <v>8</v>
      </c>
    </row>
    <row r="183" spans="1:24" s="374" customFormat="1" x14ac:dyDescent="0.2">
      <c r="A183" s="402">
        <v>2013</v>
      </c>
      <c r="B183" s="199" t="s">
        <v>29</v>
      </c>
      <c r="C183" s="199" t="s">
        <v>29</v>
      </c>
      <c r="D183" s="199">
        <v>8121</v>
      </c>
      <c r="E183" s="199">
        <v>9018</v>
      </c>
      <c r="F183" s="199">
        <v>12204</v>
      </c>
      <c r="G183" s="199">
        <v>21798</v>
      </c>
      <c r="H183" s="199">
        <v>6818</v>
      </c>
      <c r="I183" s="199">
        <v>1891</v>
      </c>
      <c r="J183" s="199">
        <v>1354</v>
      </c>
      <c r="K183" s="199">
        <v>87</v>
      </c>
      <c r="L183" s="199">
        <f t="shared" si="17"/>
        <v>61291</v>
      </c>
      <c r="M183" s="52"/>
      <c r="N183" s="199" t="s">
        <v>29</v>
      </c>
      <c r="O183" s="199" t="s">
        <v>29</v>
      </c>
      <c r="P183" s="199" t="s">
        <v>29</v>
      </c>
      <c r="Q183" s="199" t="s">
        <v>29</v>
      </c>
      <c r="R183" s="199">
        <v>24</v>
      </c>
      <c r="S183" s="199">
        <v>62</v>
      </c>
      <c r="T183" s="199" t="s">
        <v>29</v>
      </c>
      <c r="U183" s="199" t="s">
        <v>29</v>
      </c>
      <c r="V183" s="199" t="s">
        <v>29</v>
      </c>
      <c r="W183" s="199" t="s">
        <v>29</v>
      </c>
      <c r="X183" s="199">
        <f t="shared" si="18"/>
        <v>86</v>
      </c>
    </row>
    <row r="184" spans="1:24" s="374" customFormat="1" x14ac:dyDescent="0.2">
      <c r="A184" s="402">
        <v>2014</v>
      </c>
      <c r="B184" s="199" t="s">
        <v>29</v>
      </c>
      <c r="C184" s="199" t="s">
        <v>29</v>
      </c>
      <c r="D184" s="199">
        <v>1854</v>
      </c>
      <c r="E184" s="199">
        <v>2318</v>
      </c>
      <c r="F184" s="199">
        <v>559</v>
      </c>
      <c r="G184" s="199">
        <v>5587</v>
      </c>
      <c r="H184" s="199">
        <v>12679</v>
      </c>
      <c r="I184" s="199">
        <v>6266</v>
      </c>
      <c r="J184" s="199">
        <v>3065</v>
      </c>
      <c r="K184" s="199">
        <v>125</v>
      </c>
      <c r="L184" s="199">
        <f t="shared" si="17"/>
        <v>32453</v>
      </c>
      <c r="M184" s="52"/>
      <c r="N184" s="199" t="s">
        <v>29</v>
      </c>
      <c r="O184" s="199" t="s">
        <v>29</v>
      </c>
      <c r="P184" s="199" t="s">
        <v>29</v>
      </c>
      <c r="Q184" s="199">
        <v>4</v>
      </c>
      <c r="R184" s="199" t="s">
        <v>29</v>
      </c>
      <c r="S184" s="199">
        <v>40</v>
      </c>
      <c r="T184" s="199" t="s">
        <v>29</v>
      </c>
      <c r="U184" s="199" t="s">
        <v>29</v>
      </c>
      <c r="V184" s="199" t="s">
        <v>29</v>
      </c>
      <c r="W184" s="199" t="s">
        <v>29</v>
      </c>
      <c r="X184" s="199">
        <f t="shared" si="18"/>
        <v>44</v>
      </c>
    </row>
    <row r="185" spans="1:24" s="374" customFormat="1" x14ac:dyDescent="0.2">
      <c r="A185" s="402">
        <v>2015</v>
      </c>
      <c r="B185" s="199" t="s">
        <v>29</v>
      </c>
      <c r="C185" s="199" t="s">
        <v>29</v>
      </c>
      <c r="D185" s="199">
        <v>933</v>
      </c>
      <c r="E185" s="199">
        <v>1072</v>
      </c>
      <c r="F185" s="199">
        <v>2396</v>
      </c>
      <c r="G185" s="199">
        <v>5126</v>
      </c>
      <c r="H185" s="199">
        <v>6113</v>
      </c>
      <c r="I185" s="199">
        <v>8014</v>
      </c>
      <c r="J185" s="199">
        <v>1573</v>
      </c>
      <c r="K185" s="199" t="s">
        <v>29</v>
      </c>
      <c r="L185" s="199">
        <f>SUM(B185:K185)</f>
        <v>25227</v>
      </c>
      <c r="M185" s="52"/>
      <c r="N185" s="199" t="s">
        <v>29</v>
      </c>
      <c r="O185" s="199" t="s">
        <v>29</v>
      </c>
      <c r="P185" s="199" t="s">
        <v>29</v>
      </c>
      <c r="Q185" s="199" t="s">
        <v>29</v>
      </c>
      <c r="R185" s="199">
        <v>4</v>
      </c>
      <c r="S185" s="199">
        <v>2</v>
      </c>
      <c r="T185" s="199" t="s">
        <v>29</v>
      </c>
      <c r="U185" s="199" t="s">
        <v>29</v>
      </c>
      <c r="V185" s="199" t="s">
        <v>29</v>
      </c>
      <c r="W185" s="199" t="s">
        <v>29</v>
      </c>
      <c r="X185" s="199">
        <f>SUM(N185:W185)</f>
        <v>6</v>
      </c>
    </row>
    <row r="186" spans="1:24" s="374" customFormat="1" ht="12.75" customHeight="1" x14ac:dyDescent="0.2">
      <c r="A186" s="402">
        <v>2016</v>
      </c>
      <c r="B186" s="199" t="s">
        <v>29</v>
      </c>
      <c r="C186" s="199" t="s">
        <v>29</v>
      </c>
      <c r="D186" s="199">
        <v>1206</v>
      </c>
      <c r="E186" s="199">
        <v>3563</v>
      </c>
      <c r="F186" s="199">
        <v>1253</v>
      </c>
      <c r="G186" s="199">
        <v>8025</v>
      </c>
      <c r="H186" s="199">
        <v>6111</v>
      </c>
      <c r="I186" s="199">
        <v>5858</v>
      </c>
      <c r="J186" s="199">
        <v>630</v>
      </c>
      <c r="K186" s="199" t="s">
        <v>29</v>
      </c>
      <c r="L186" s="199">
        <f>SUM(B186:K186)</f>
        <v>26646</v>
      </c>
      <c r="M186" s="52"/>
      <c r="N186" s="199" t="s">
        <v>29</v>
      </c>
      <c r="O186" s="199" t="s">
        <v>29</v>
      </c>
      <c r="P186" s="199" t="s">
        <v>29</v>
      </c>
      <c r="Q186" s="199" t="s">
        <v>29</v>
      </c>
      <c r="R186" s="199" t="s">
        <v>29</v>
      </c>
      <c r="S186" s="199" t="s">
        <v>29</v>
      </c>
      <c r="T186" s="199">
        <v>8</v>
      </c>
      <c r="U186" s="199" t="s">
        <v>29</v>
      </c>
      <c r="V186" s="199" t="s">
        <v>29</v>
      </c>
      <c r="W186" s="199" t="s">
        <v>29</v>
      </c>
      <c r="X186" s="199">
        <f>SUM(N186:W186)</f>
        <v>8</v>
      </c>
    </row>
    <row r="187" spans="1:24" s="374" customFormat="1" x14ac:dyDescent="0.2">
      <c r="A187" s="402">
        <v>2017</v>
      </c>
      <c r="B187" s="199" t="s">
        <v>29</v>
      </c>
      <c r="C187" s="199" t="s">
        <v>29</v>
      </c>
      <c r="D187" s="199">
        <v>398</v>
      </c>
      <c r="E187" s="199">
        <v>1206</v>
      </c>
      <c r="F187" s="199">
        <v>5241</v>
      </c>
      <c r="G187" s="199">
        <v>24206</v>
      </c>
      <c r="H187" s="199">
        <v>17972</v>
      </c>
      <c r="I187" s="199">
        <v>3890</v>
      </c>
      <c r="J187" s="199">
        <v>843</v>
      </c>
      <c r="K187" s="199" t="s">
        <v>29</v>
      </c>
      <c r="L187" s="199">
        <f>SUM(B187:K187)</f>
        <v>53756</v>
      </c>
      <c r="M187" s="52"/>
      <c r="N187" s="199" t="s">
        <v>29</v>
      </c>
      <c r="O187" s="199" t="s">
        <v>29</v>
      </c>
      <c r="P187" s="199" t="s">
        <v>29</v>
      </c>
      <c r="Q187" s="199">
        <v>3</v>
      </c>
      <c r="R187" s="199" t="s">
        <v>29</v>
      </c>
      <c r="S187" s="199">
        <v>322</v>
      </c>
      <c r="T187" s="199">
        <v>40</v>
      </c>
      <c r="U187" s="199" t="s">
        <v>29</v>
      </c>
      <c r="V187" s="199" t="s">
        <v>29</v>
      </c>
      <c r="W187" s="199" t="s">
        <v>29</v>
      </c>
      <c r="X187" s="199">
        <f>SUM(N187:W187)</f>
        <v>365</v>
      </c>
    </row>
    <row r="188" spans="1:24" s="374" customFormat="1" x14ac:dyDescent="0.2">
      <c r="A188" s="122">
        <v>2018</v>
      </c>
      <c r="B188" s="199" t="s">
        <v>29</v>
      </c>
      <c r="C188" s="199" t="s">
        <v>29</v>
      </c>
      <c r="D188" s="199" t="s">
        <v>29</v>
      </c>
      <c r="E188" s="199" t="s">
        <v>29</v>
      </c>
      <c r="F188" s="199">
        <v>11361</v>
      </c>
      <c r="G188" s="199">
        <v>38248</v>
      </c>
      <c r="H188" s="199">
        <v>11717</v>
      </c>
      <c r="I188" s="199">
        <v>6689</v>
      </c>
      <c r="J188" s="199">
        <v>4172</v>
      </c>
      <c r="K188" s="199" t="s">
        <v>29</v>
      </c>
      <c r="L188" s="199">
        <f>SUM(B188:K188)</f>
        <v>72187</v>
      </c>
      <c r="M188" s="52"/>
      <c r="N188" s="199" t="s">
        <v>29</v>
      </c>
      <c r="O188" s="199" t="s">
        <v>29</v>
      </c>
      <c r="P188" s="199" t="s">
        <v>29</v>
      </c>
      <c r="Q188" s="199" t="s">
        <v>29</v>
      </c>
      <c r="R188" s="199">
        <v>5</v>
      </c>
      <c r="S188" s="199">
        <v>63</v>
      </c>
      <c r="T188" s="199" t="s">
        <v>29</v>
      </c>
      <c r="U188" s="199" t="s">
        <v>29</v>
      </c>
      <c r="V188" s="199" t="s">
        <v>29</v>
      </c>
      <c r="W188" s="199" t="s">
        <v>29</v>
      </c>
      <c r="X188" s="199">
        <f>SUM(N188:W188)</f>
        <v>68</v>
      </c>
    </row>
    <row r="189" spans="1:24" s="487" customFormat="1" x14ac:dyDescent="0.2">
      <c r="A189" s="496" t="s">
        <v>398</v>
      </c>
      <c r="B189" s="199" t="s">
        <v>29</v>
      </c>
      <c r="C189" s="199" t="s">
        <v>29</v>
      </c>
      <c r="D189" s="199">
        <v>2982</v>
      </c>
      <c r="E189" s="199">
        <v>1645</v>
      </c>
      <c r="F189" s="199">
        <v>15459</v>
      </c>
      <c r="G189" s="199">
        <v>16558</v>
      </c>
      <c r="H189" s="199">
        <v>15861</v>
      </c>
      <c r="I189" s="199">
        <v>3570</v>
      </c>
      <c r="J189" s="199">
        <v>468</v>
      </c>
      <c r="K189" s="199" t="s">
        <v>29</v>
      </c>
      <c r="L189" s="199">
        <f t="shared" ref="L189" si="19">SUM(B189:K189)</f>
        <v>56543</v>
      </c>
      <c r="M189" s="52"/>
      <c r="N189" s="199" t="s">
        <v>29</v>
      </c>
      <c r="O189" s="199" t="s">
        <v>29</v>
      </c>
      <c r="P189" s="199" t="s">
        <v>29</v>
      </c>
      <c r="Q189" s="199">
        <v>2</v>
      </c>
      <c r="R189" s="199">
        <v>100</v>
      </c>
      <c r="S189" s="199">
        <v>4</v>
      </c>
      <c r="T189" s="199">
        <v>348</v>
      </c>
      <c r="U189" s="199">
        <v>14</v>
      </c>
      <c r="V189" s="199">
        <v>5</v>
      </c>
      <c r="W189" s="199" t="s">
        <v>29</v>
      </c>
      <c r="X189" s="199">
        <f t="shared" ref="X189" si="20">SUM(N189:W189)</f>
        <v>473</v>
      </c>
    </row>
    <row r="190" spans="1:24" x14ac:dyDescent="0.2">
      <c r="A190" s="496" t="s">
        <v>399</v>
      </c>
      <c r="B190" s="198" t="s">
        <v>29</v>
      </c>
      <c r="C190" s="198" t="s">
        <v>29</v>
      </c>
      <c r="D190" s="198" t="s">
        <v>29</v>
      </c>
      <c r="E190" s="198" t="s">
        <v>116</v>
      </c>
      <c r="F190" s="198" t="s">
        <v>116</v>
      </c>
      <c r="G190" s="198">
        <v>19508</v>
      </c>
      <c r="H190" s="198">
        <v>9064</v>
      </c>
      <c r="I190" s="198">
        <v>3915</v>
      </c>
      <c r="J190" s="198">
        <v>2279</v>
      </c>
      <c r="K190" s="198">
        <v>21</v>
      </c>
      <c r="L190" s="199">
        <f t="shared" si="17"/>
        <v>34787</v>
      </c>
      <c r="M190" s="31"/>
      <c r="N190" s="199" t="s">
        <v>29</v>
      </c>
      <c r="O190" s="199" t="s">
        <v>29</v>
      </c>
      <c r="P190" s="199" t="s">
        <v>29</v>
      </c>
      <c r="Q190" s="199" t="s">
        <v>29</v>
      </c>
      <c r="R190" s="199" t="s">
        <v>29</v>
      </c>
      <c r="S190" s="199">
        <v>11</v>
      </c>
      <c r="T190" s="199" t="s">
        <v>29</v>
      </c>
      <c r="U190" s="199" t="s">
        <v>29</v>
      </c>
      <c r="V190" s="199" t="s">
        <v>29</v>
      </c>
      <c r="W190" s="199" t="s">
        <v>29</v>
      </c>
      <c r="X190" s="199">
        <f t="shared" si="18"/>
        <v>11</v>
      </c>
    </row>
    <row r="191" spans="1:24" ht="15.75" x14ac:dyDescent="0.25">
      <c r="B191" s="198"/>
      <c r="C191" s="198"/>
      <c r="D191" s="198"/>
      <c r="E191" s="198"/>
      <c r="F191" s="198"/>
      <c r="G191" s="198"/>
      <c r="H191" s="198"/>
      <c r="I191" s="198"/>
      <c r="J191" s="198"/>
      <c r="K191" s="198"/>
      <c r="L191" s="198"/>
      <c r="M191" s="31"/>
      <c r="N191" s="345"/>
      <c r="O191" s="345"/>
      <c r="P191" s="345"/>
      <c r="Q191" s="345"/>
      <c r="R191" s="345"/>
      <c r="S191" s="345"/>
      <c r="T191" s="345"/>
      <c r="U191" s="345"/>
      <c r="V191" s="345"/>
      <c r="W191" s="345"/>
      <c r="X191" s="198"/>
    </row>
    <row r="192" spans="1:24" ht="15.75" x14ac:dyDescent="0.25">
      <c r="A192" s="116" t="s">
        <v>26</v>
      </c>
      <c r="B192" s="198"/>
      <c r="C192" s="198"/>
      <c r="D192" s="198"/>
      <c r="E192" s="198"/>
      <c r="F192" s="198"/>
      <c r="G192" s="198"/>
      <c r="H192" s="198"/>
      <c r="I192" s="198"/>
      <c r="J192" s="198"/>
      <c r="K192" s="198"/>
      <c r="L192" s="198"/>
      <c r="M192" s="31"/>
      <c r="N192" s="345"/>
      <c r="O192" s="345"/>
      <c r="P192" s="345"/>
      <c r="Q192" s="345"/>
      <c r="R192" s="345"/>
      <c r="S192" s="345"/>
      <c r="T192" s="345"/>
      <c r="U192" s="345"/>
      <c r="V192" s="345"/>
      <c r="W192" s="345"/>
      <c r="X192" s="198"/>
    </row>
    <row r="193" spans="1:24" x14ac:dyDescent="0.2">
      <c r="A193" s="383">
        <v>1976</v>
      </c>
      <c r="B193" s="198">
        <v>429</v>
      </c>
      <c r="C193" s="198">
        <v>292</v>
      </c>
      <c r="D193" s="198">
        <v>611</v>
      </c>
      <c r="E193" s="198">
        <v>977</v>
      </c>
      <c r="F193" s="198">
        <v>985</v>
      </c>
      <c r="G193" s="198">
        <v>1136</v>
      </c>
      <c r="H193" s="198">
        <v>187</v>
      </c>
      <c r="I193" s="198">
        <v>33</v>
      </c>
      <c r="J193" s="198">
        <v>110</v>
      </c>
      <c r="K193" s="198">
        <v>47</v>
      </c>
      <c r="L193" s="198">
        <f t="shared" ref="L193:L224" si="21">SUM(B193:K193)</f>
        <v>4807</v>
      </c>
      <c r="M193" s="31"/>
      <c r="N193" s="198">
        <v>29</v>
      </c>
      <c r="O193" s="198">
        <v>32</v>
      </c>
      <c r="P193" s="198">
        <v>46</v>
      </c>
      <c r="Q193" s="198">
        <v>196</v>
      </c>
      <c r="R193" s="198">
        <v>194</v>
      </c>
      <c r="S193" s="198">
        <v>137</v>
      </c>
      <c r="T193" s="198">
        <v>7</v>
      </c>
      <c r="U193" s="198">
        <v>0</v>
      </c>
      <c r="V193" s="198">
        <v>0</v>
      </c>
      <c r="W193" s="198">
        <v>0</v>
      </c>
      <c r="X193" s="198">
        <f t="shared" ref="X193:X222" si="22">SUM(N193:W193)</f>
        <v>641</v>
      </c>
    </row>
    <row r="194" spans="1:24" x14ac:dyDescent="0.2">
      <c r="A194" s="383">
        <v>1977</v>
      </c>
      <c r="B194" s="198">
        <v>359</v>
      </c>
      <c r="C194" s="198">
        <v>1121</v>
      </c>
      <c r="D194" s="198">
        <v>1347</v>
      </c>
      <c r="E194" s="198">
        <v>718</v>
      </c>
      <c r="F194" s="198">
        <v>144</v>
      </c>
      <c r="G194" s="198">
        <v>144</v>
      </c>
      <c r="H194" s="198">
        <v>68</v>
      </c>
      <c r="I194" s="198">
        <v>83</v>
      </c>
      <c r="J194" s="198">
        <v>18</v>
      </c>
      <c r="K194" s="198">
        <v>4</v>
      </c>
      <c r="L194" s="198">
        <f t="shared" si="21"/>
        <v>4006</v>
      </c>
      <c r="M194" s="31"/>
      <c r="N194" s="198">
        <v>0</v>
      </c>
      <c r="O194" s="198">
        <v>0</v>
      </c>
      <c r="P194" s="198">
        <v>0</v>
      </c>
      <c r="Q194" s="198">
        <v>0</v>
      </c>
      <c r="R194" s="198">
        <v>0</v>
      </c>
      <c r="S194" s="198">
        <v>0</v>
      </c>
      <c r="T194" s="198">
        <v>0</v>
      </c>
      <c r="U194" s="198">
        <v>0</v>
      </c>
      <c r="V194" s="198">
        <v>0</v>
      </c>
      <c r="W194" s="198">
        <v>0</v>
      </c>
      <c r="X194" s="198">
        <f t="shared" si="22"/>
        <v>0</v>
      </c>
    </row>
    <row r="195" spans="1:24" x14ac:dyDescent="0.2">
      <c r="A195" s="383">
        <v>1978</v>
      </c>
      <c r="B195" s="198">
        <v>168</v>
      </c>
      <c r="C195" s="198">
        <v>258</v>
      </c>
      <c r="D195" s="198">
        <v>298</v>
      </c>
      <c r="E195" s="198">
        <v>239</v>
      </c>
      <c r="F195" s="198">
        <v>560</v>
      </c>
      <c r="G195" s="198">
        <v>220</v>
      </c>
      <c r="H195" s="198">
        <v>40</v>
      </c>
      <c r="I195" s="198">
        <v>9</v>
      </c>
      <c r="J195" s="198">
        <v>14</v>
      </c>
      <c r="K195" s="198">
        <v>3</v>
      </c>
      <c r="L195" s="198">
        <f t="shared" si="21"/>
        <v>1809</v>
      </c>
      <c r="M195" s="31"/>
      <c r="N195" s="198">
        <v>0</v>
      </c>
      <c r="O195" s="198">
        <v>0</v>
      </c>
      <c r="P195" s="198">
        <v>0</v>
      </c>
      <c r="Q195" s="198">
        <v>0</v>
      </c>
      <c r="R195" s="198">
        <v>12</v>
      </c>
      <c r="S195" s="198">
        <v>6</v>
      </c>
      <c r="T195" s="198">
        <v>26</v>
      </c>
      <c r="U195" s="198">
        <v>0</v>
      </c>
      <c r="V195" s="198">
        <v>0</v>
      </c>
      <c r="W195" s="198">
        <v>0</v>
      </c>
      <c r="X195" s="198">
        <f t="shared" si="22"/>
        <v>44</v>
      </c>
    </row>
    <row r="196" spans="1:24" x14ac:dyDescent="0.2">
      <c r="A196" s="383">
        <v>1979</v>
      </c>
      <c r="B196" s="198">
        <v>1047</v>
      </c>
      <c r="C196" s="198">
        <v>1409</v>
      </c>
      <c r="D196" s="198">
        <v>3058</v>
      </c>
      <c r="E196" s="198">
        <v>113</v>
      </c>
      <c r="F196" s="198">
        <v>34</v>
      </c>
      <c r="G196" s="198">
        <v>153</v>
      </c>
      <c r="H196" s="198">
        <v>83</v>
      </c>
      <c r="I196" s="198">
        <v>31</v>
      </c>
      <c r="J196" s="198">
        <v>1</v>
      </c>
      <c r="K196" s="198">
        <v>0</v>
      </c>
      <c r="L196" s="198">
        <f t="shared" si="21"/>
        <v>5929</v>
      </c>
      <c r="M196" s="31"/>
      <c r="N196" s="198">
        <v>0</v>
      </c>
      <c r="O196" s="198">
        <v>0</v>
      </c>
      <c r="P196" s="198">
        <v>0</v>
      </c>
      <c r="Q196" s="198">
        <v>0</v>
      </c>
      <c r="R196" s="198">
        <v>7</v>
      </c>
      <c r="S196" s="198">
        <v>2</v>
      </c>
      <c r="T196" s="198">
        <v>0</v>
      </c>
      <c r="U196" s="198">
        <v>0</v>
      </c>
      <c r="V196" s="198">
        <v>0</v>
      </c>
      <c r="W196" s="198" t="s">
        <v>29</v>
      </c>
      <c r="X196" s="198">
        <f t="shared" si="22"/>
        <v>9</v>
      </c>
    </row>
    <row r="197" spans="1:24" x14ac:dyDescent="0.2">
      <c r="A197" s="383">
        <v>1980</v>
      </c>
      <c r="B197" s="198">
        <v>460</v>
      </c>
      <c r="C197" s="198">
        <v>503</v>
      </c>
      <c r="D197" s="198">
        <v>1145</v>
      </c>
      <c r="E197" s="198">
        <v>232</v>
      </c>
      <c r="F197" s="198">
        <v>935</v>
      </c>
      <c r="G197" s="198">
        <v>532</v>
      </c>
      <c r="H197" s="198">
        <v>84</v>
      </c>
      <c r="I197" s="198">
        <v>47</v>
      </c>
      <c r="J197" s="198">
        <v>82</v>
      </c>
      <c r="K197" s="198">
        <v>0</v>
      </c>
      <c r="L197" s="198">
        <f t="shared" si="21"/>
        <v>4020</v>
      </c>
      <c r="M197" s="31"/>
      <c r="N197" s="198">
        <v>0</v>
      </c>
      <c r="O197" s="198">
        <v>0</v>
      </c>
      <c r="P197" s="198">
        <v>0</v>
      </c>
      <c r="Q197" s="198">
        <v>0</v>
      </c>
      <c r="R197" s="198">
        <v>1</v>
      </c>
      <c r="S197" s="198">
        <v>0</v>
      </c>
      <c r="T197" s="198">
        <v>0</v>
      </c>
      <c r="U197" s="198">
        <v>0</v>
      </c>
      <c r="V197" s="198">
        <v>0</v>
      </c>
      <c r="W197" s="198" t="s">
        <v>29</v>
      </c>
      <c r="X197" s="198">
        <f t="shared" si="22"/>
        <v>1</v>
      </c>
    </row>
    <row r="198" spans="1:24" x14ac:dyDescent="0.2">
      <c r="A198" s="383">
        <v>1981</v>
      </c>
      <c r="B198" s="198">
        <v>422</v>
      </c>
      <c r="C198" s="198">
        <v>634</v>
      </c>
      <c r="D198" s="198">
        <v>1660</v>
      </c>
      <c r="E198" s="198">
        <v>84</v>
      </c>
      <c r="F198" s="198">
        <v>31</v>
      </c>
      <c r="G198" s="198">
        <v>452</v>
      </c>
      <c r="H198" s="198">
        <v>185</v>
      </c>
      <c r="I198" s="198">
        <v>14</v>
      </c>
      <c r="J198" s="198">
        <v>51</v>
      </c>
      <c r="K198" s="198">
        <v>210</v>
      </c>
      <c r="L198" s="198">
        <f t="shared" si="21"/>
        <v>3743</v>
      </c>
      <c r="M198" s="31"/>
      <c r="N198" s="198">
        <v>0</v>
      </c>
      <c r="O198" s="198">
        <v>0</v>
      </c>
      <c r="P198" s="198">
        <v>0</v>
      </c>
      <c r="Q198" s="198">
        <v>0</v>
      </c>
      <c r="R198" s="198">
        <v>0</v>
      </c>
      <c r="S198" s="198">
        <v>0</v>
      </c>
      <c r="T198" s="198">
        <v>0</v>
      </c>
      <c r="U198" s="198">
        <v>0</v>
      </c>
      <c r="V198" s="198">
        <v>0</v>
      </c>
      <c r="W198" s="198">
        <v>0</v>
      </c>
      <c r="X198" s="198">
        <f t="shared" si="22"/>
        <v>0</v>
      </c>
    </row>
    <row r="199" spans="1:24" x14ac:dyDescent="0.2">
      <c r="A199" s="383">
        <v>1982</v>
      </c>
      <c r="B199" s="198">
        <v>660</v>
      </c>
      <c r="C199" s="198">
        <v>1256</v>
      </c>
      <c r="D199" s="198">
        <v>2053</v>
      </c>
      <c r="E199" s="198">
        <v>284</v>
      </c>
      <c r="F199" s="198">
        <v>401</v>
      </c>
      <c r="G199" s="198">
        <v>470</v>
      </c>
      <c r="H199" s="198">
        <v>387</v>
      </c>
      <c r="I199" s="198">
        <v>68</v>
      </c>
      <c r="J199" s="198">
        <v>7</v>
      </c>
      <c r="K199" s="198">
        <v>0</v>
      </c>
      <c r="L199" s="198">
        <f t="shared" si="21"/>
        <v>5586</v>
      </c>
      <c r="M199" s="31"/>
      <c r="N199" s="198">
        <v>0</v>
      </c>
      <c r="O199" s="198">
        <v>0</v>
      </c>
      <c r="P199" s="198">
        <v>0</v>
      </c>
      <c r="Q199" s="198">
        <v>7</v>
      </c>
      <c r="R199" s="198">
        <v>67</v>
      </c>
      <c r="S199" s="198">
        <v>4</v>
      </c>
      <c r="T199" s="198">
        <v>6</v>
      </c>
      <c r="U199" s="198">
        <v>0</v>
      </c>
      <c r="V199" s="198">
        <v>0</v>
      </c>
      <c r="W199" s="198">
        <v>0</v>
      </c>
      <c r="X199" s="198">
        <f t="shared" si="22"/>
        <v>84</v>
      </c>
    </row>
    <row r="200" spans="1:24" x14ac:dyDescent="0.2">
      <c r="A200" s="383">
        <v>1983</v>
      </c>
      <c r="B200" s="198">
        <v>295</v>
      </c>
      <c r="C200" s="198">
        <v>80</v>
      </c>
      <c r="D200" s="198">
        <v>978</v>
      </c>
      <c r="E200" s="198">
        <v>1049</v>
      </c>
      <c r="F200" s="198">
        <v>355</v>
      </c>
      <c r="G200" s="198">
        <v>432</v>
      </c>
      <c r="H200" s="198">
        <v>29</v>
      </c>
      <c r="I200" s="198">
        <v>10</v>
      </c>
      <c r="J200" s="198">
        <v>15</v>
      </c>
      <c r="K200" s="198">
        <v>0</v>
      </c>
      <c r="L200" s="198">
        <f t="shared" si="21"/>
        <v>3243</v>
      </c>
      <c r="M200" s="31"/>
      <c r="N200" s="198">
        <v>0</v>
      </c>
      <c r="O200" s="198">
        <v>0</v>
      </c>
      <c r="P200" s="198">
        <v>48</v>
      </c>
      <c r="Q200" s="198">
        <v>5</v>
      </c>
      <c r="R200" s="198">
        <v>6</v>
      </c>
      <c r="S200" s="198">
        <v>13</v>
      </c>
      <c r="T200" s="198">
        <v>0</v>
      </c>
      <c r="U200" s="198">
        <v>0</v>
      </c>
      <c r="V200" s="198">
        <v>0</v>
      </c>
      <c r="W200" s="198">
        <v>0</v>
      </c>
      <c r="X200" s="198">
        <f t="shared" si="22"/>
        <v>72</v>
      </c>
    </row>
    <row r="201" spans="1:24" x14ac:dyDescent="0.2">
      <c r="A201" s="383">
        <v>1984</v>
      </c>
      <c r="B201" s="198">
        <v>15</v>
      </c>
      <c r="C201" s="198">
        <v>75</v>
      </c>
      <c r="D201" s="198">
        <v>2709</v>
      </c>
      <c r="E201" s="198">
        <v>646</v>
      </c>
      <c r="F201" s="198">
        <v>676</v>
      </c>
      <c r="G201" s="198">
        <v>1083</v>
      </c>
      <c r="H201" s="198">
        <v>208</v>
      </c>
      <c r="I201" s="198">
        <v>6</v>
      </c>
      <c r="J201" s="198">
        <v>15</v>
      </c>
      <c r="K201" s="198">
        <v>4</v>
      </c>
      <c r="L201" s="198">
        <f t="shared" si="21"/>
        <v>5437</v>
      </c>
      <c r="M201" s="31"/>
      <c r="N201" s="198">
        <v>0</v>
      </c>
      <c r="O201" s="198">
        <v>0</v>
      </c>
      <c r="P201" s="198">
        <v>2</v>
      </c>
      <c r="Q201" s="198">
        <v>38</v>
      </c>
      <c r="R201" s="198">
        <v>12</v>
      </c>
      <c r="S201" s="198">
        <v>32</v>
      </c>
      <c r="T201" s="198">
        <v>85</v>
      </c>
      <c r="U201" s="198">
        <v>0</v>
      </c>
      <c r="V201" s="198">
        <v>0</v>
      </c>
      <c r="W201" s="198">
        <v>0</v>
      </c>
      <c r="X201" s="198">
        <f t="shared" si="22"/>
        <v>169</v>
      </c>
    </row>
    <row r="202" spans="1:24" x14ac:dyDescent="0.2">
      <c r="A202" s="383">
        <v>1985</v>
      </c>
      <c r="B202" s="198">
        <v>1648</v>
      </c>
      <c r="C202" s="198">
        <v>5186</v>
      </c>
      <c r="D202" s="198">
        <v>1256</v>
      </c>
      <c r="E202" s="198">
        <v>157</v>
      </c>
      <c r="F202" s="198">
        <v>240</v>
      </c>
      <c r="G202" s="198">
        <v>405</v>
      </c>
      <c r="H202" s="198">
        <v>371</v>
      </c>
      <c r="I202" s="198">
        <v>13</v>
      </c>
      <c r="J202" s="198">
        <v>0</v>
      </c>
      <c r="K202" s="198">
        <v>0</v>
      </c>
      <c r="L202" s="198">
        <f t="shared" si="21"/>
        <v>9276</v>
      </c>
      <c r="M202" s="31"/>
      <c r="N202" s="198">
        <v>0</v>
      </c>
      <c r="O202" s="198">
        <v>0</v>
      </c>
      <c r="P202" s="198">
        <v>0</v>
      </c>
      <c r="Q202" s="198">
        <v>3</v>
      </c>
      <c r="R202" s="198">
        <v>2</v>
      </c>
      <c r="S202" s="198">
        <v>10</v>
      </c>
      <c r="T202" s="198">
        <v>9</v>
      </c>
      <c r="U202" s="198">
        <v>0</v>
      </c>
      <c r="V202" s="198">
        <v>0</v>
      </c>
      <c r="W202" s="198">
        <v>0</v>
      </c>
      <c r="X202" s="198">
        <f t="shared" si="22"/>
        <v>24</v>
      </c>
    </row>
    <row r="203" spans="1:24" x14ac:dyDescent="0.2">
      <c r="A203" s="383">
        <v>1986</v>
      </c>
      <c r="B203" s="198">
        <v>135</v>
      </c>
      <c r="C203" s="198">
        <v>3840</v>
      </c>
      <c r="D203" s="198">
        <v>12055</v>
      </c>
      <c r="E203" s="198">
        <v>1315</v>
      </c>
      <c r="F203" s="198">
        <v>3960</v>
      </c>
      <c r="G203" s="198">
        <v>5367</v>
      </c>
      <c r="H203" s="198">
        <v>1198</v>
      </c>
      <c r="I203" s="198">
        <v>367</v>
      </c>
      <c r="J203" s="198">
        <v>312</v>
      </c>
      <c r="K203" s="198">
        <v>9</v>
      </c>
      <c r="L203" s="198">
        <f t="shared" si="21"/>
        <v>28558</v>
      </c>
      <c r="M203" s="31"/>
      <c r="N203" s="198">
        <v>0</v>
      </c>
      <c r="O203" s="198">
        <v>0</v>
      </c>
      <c r="P203" s="198">
        <v>0</v>
      </c>
      <c r="Q203" s="198">
        <v>0</v>
      </c>
      <c r="R203" s="198">
        <v>24</v>
      </c>
      <c r="S203" s="198">
        <v>1</v>
      </c>
      <c r="T203" s="198">
        <v>5</v>
      </c>
      <c r="U203" s="198">
        <v>0</v>
      </c>
      <c r="V203" s="198">
        <v>0</v>
      </c>
      <c r="W203" s="198">
        <v>0</v>
      </c>
      <c r="X203" s="198">
        <f t="shared" si="22"/>
        <v>30</v>
      </c>
    </row>
    <row r="204" spans="1:24" x14ac:dyDescent="0.2">
      <c r="A204" s="383">
        <v>1987</v>
      </c>
      <c r="B204" s="198">
        <v>1719</v>
      </c>
      <c r="C204" s="198">
        <v>6690</v>
      </c>
      <c r="D204" s="198">
        <v>2403</v>
      </c>
      <c r="E204" s="198">
        <v>1410</v>
      </c>
      <c r="F204" s="198">
        <v>3454</v>
      </c>
      <c r="G204" s="198">
        <v>12689</v>
      </c>
      <c r="H204" s="198">
        <v>4484</v>
      </c>
      <c r="I204" s="198">
        <v>391</v>
      </c>
      <c r="J204" s="198">
        <v>74</v>
      </c>
      <c r="K204" s="198">
        <v>6</v>
      </c>
      <c r="L204" s="198">
        <f t="shared" si="21"/>
        <v>33320</v>
      </c>
      <c r="M204" s="31"/>
      <c r="N204" s="198">
        <v>0</v>
      </c>
      <c r="O204" s="198">
        <v>0</v>
      </c>
      <c r="P204" s="198">
        <v>0</v>
      </c>
      <c r="Q204" s="198">
        <v>0</v>
      </c>
      <c r="R204" s="198">
        <v>0</v>
      </c>
      <c r="S204" s="198">
        <v>6</v>
      </c>
      <c r="T204" s="198">
        <v>0</v>
      </c>
      <c r="U204" s="198">
        <v>3</v>
      </c>
      <c r="V204" s="198">
        <v>0</v>
      </c>
      <c r="W204" s="198">
        <v>0</v>
      </c>
      <c r="X204" s="198">
        <f t="shared" si="22"/>
        <v>9</v>
      </c>
    </row>
    <row r="205" spans="1:24" x14ac:dyDescent="0.2">
      <c r="A205" s="383">
        <v>1988</v>
      </c>
      <c r="B205" s="198">
        <v>1484</v>
      </c>
      <c r="C205" s="198">
        <v>2238</v>
      </c>
      <c r="D205" s="198">
        <v>3865</v>
      </c>
      <c r="E205" s="198">
        <v>1898</v>
      </c>
      <c r="F205" s="198">
        <v>2908</v>
      </c>
      <c r="G205" s="198">
        <v>3293</v>
      </c>
      <c r="H205" s="198">
        <v>228</v>
      </c>
      <c r="I205" s="198">
        <v>5</v>
      </c>
      <c r="J205" s="198">
        <v>0</v>
      </c>
      <c r="K205" s="198">
        <v>0</v>
      </c>
      <c r="L205" s="198">
        <f t="shared" si="21"/>
        <v>15919</v>
      </c>
      <c r="M205" s="31"/>
      <c r="N205" s="198">
        <v>0</v>
      </c>
      <c r="O205" s="198">
        <v>0</v>
      </c>
      <c r="P205" s="198">
        <v>0</v>
      </c>
      <c r="Q205" s="198">
        <v>7</v>
      </c>
      <c r="R205" s="198">
        <v>37</v>
      </c>
      <c r="S205" s="198">
        <v>0</v>
      </c>
      <c r="T205" s="198">
        <v>0</v>
      </c>
      <c r="U205" s="198">
        <v>0</v>
      </c>
      <c r="V205" s="198">
        <v>0</v>
      </c>
      <c r="W205" s="198">
        <v>0</v>
      </c>
      <c r="X205" s="198">
        <f t="shared" si="22"/>
        <v>44</v>
      </c>
    </row>
    <row r="206" spans="1:24" x14ac:dyDescent="0.2">
      <c r="A206" s="383">
        <v>1989</v>
      </c>
      <c r="B206" s="198">
        <v>629</v>
      </c>
      <c r="C206" s="198">
        <v>4500</v>
      </c>
      <c r="D206" s="198">
        <v>22143</v>
      </c>
      <c r="E206" s="198">
        <v>1507</v>
      </c>
      <c r="F206" s="198">
        <v>1960</v>
      </c>
      <c r="G206" s="198">
        <v>4694</v>
      </c>
      <c r="H206" s="198">
        <v>1768</v>
      </c>
      <c r="I206" s="198">
        <v>25</v>
      </c>
      <c r="J206" s="198">
        <v>16</v>
      </c>
      <c r="K206" s="198">
        <v>6</v>
      </c>
      <c r="L206" s="198">
        <f t="shared" si="21"/>
        <v>37248</v>
      </c>
      <c r="M206" s="31"/>
      <c r="N206" s="198">
        <v>0</v>
      </c>
      <c r="O206" s="198">
        <v>0</v>
      </c>
      <c r="P206" s="198">
        <v>0</v>
      </c>
      <c r="Q206" s="198">
        <v>0</v>
      </c>
      <c r="R206" s="198">
        <v>170</v>
      </c>
      <c r="S206" s="198">
        <v>17</v>
      </c>
      <c r="T206" s="198">
        <v>29</v>
      </c>
      <c r="U206" s="198">
        <v>0</v>
      </c>
      <c r="V206" s="198">
        <v>0</v>
      </c>
      <c r="W206" s="198">
        <v>0</v>
      </c>
      <c r="X206" s="198">
        <f t="shared" si="22"/>
        <v>216</v>
      </c>
    </row>
    <row r="207" spans="1:24" x14ac:dyDescent="0.2">
      <c r="A207" s="383">
        <v>1990</v>
      </c>
      <c r="B207" s="198">
        <v>1632</v>
      </c>
      <c r="C207" s="198">
        <v>4290</v>
      </c>
      <c r="D207" s="198">
        <v>6569</v>
      </c>
      <c r="E207" s="198">
        <v>682</v>
      </c>
      <c r="F207" s="198">
        <v>8350</v>
      </c>
      <c r="G207" s="198">
        <v>11291</v>
      </c>
      <c r="H207" s="198">
        <v>844</v>
      </c>
      <c r="I207" s="198">
        <v>49</v>
      </c>
      <c r="J207" s="198">
        <v>243</v>
      </c>
      <c r="K207" s="198">
        <v>1103</v>
      </c>
      <c r="L207" s="198">
        <f t="shared" si="21"/>
        <v>35053</v>
      </c>
      <c r="M207" s="31"/>
      <c r="N207" s="198">
        <v>0</v>
      </c>
      <c r="O207" s="198">
        <v>0</v>
      </c>
      <c r="P207" s="198">
        <v>88</v>
      </c>
      <c r="Q207" s="198">
        <v>67</v>
      </c>
      <c r="R207" s="198">
        <v>276</v>
      </c>
      <c r="S207" s="198">
        <v>694</v>
      </c>
      <c r="T207" s="198">
        <v>108</v>
      </c>
      <c r="U207" s="198">
        <v>0</v>
      </c>
      <c r="V207" s="198">
        <v>0</v>
      </c>
      <c r="W207" s="198">
        <v>0</v>
      </c>
      <c r="X207" s="198">
        <f t="shared" si="22"/>
        <v>1233</v>
      </c>
    </row>
    <row r="208" spans="1:24" x14ac:dyDescent="0.2">
      <c r="A208" s="383">
        <v>1991</v>
      </c>
      <c r="B208" s="198">
        <v>8</v>
      </c>
      <c r="C208" s="198">
        <v>4773</v>
      </c>
      <c r="D208" s="198">
        <v>6944</v>
      </c>
      <c r="E208" s="198">
        <v>872</v>
      </c>
      <c r="F208" s="198">
        <v>3736</v>
      </c>
      <c r="G208" s="198">
        <v>6850</v>
      </c>
      <c r="H208" s="198">
        <v>358</v>
      </c>
      <c r="I208" s="198">
        <v>85</v>
      </c>
      <c r="J208" s="198">
        <v>1204</v>
      </c>
      <c r="K208" s="201" t="s">
        <v>116</v>
      </c>
      <c r="L208" s="198">
        <f t="shared" si="21"/>
        <v>24830</v>
      </c>
      <c r="M208" s="31"/>
      <c r="N208" s="198">
        <v>0</v>
      </c>
      <c r="O208" s="198">
        <v>0</v>
      </c>
      <c r="P208" s="198">
        <v>0</v>
      </c>
      <c r="Q208" s="198">
        <v>49</v>
      </c>
      <c r="R208" s="198">
        <v>1014</v>
      </c>
      <c r="S208" s="198">
        <v>1657</v>
      </c>
      <c r="T208" s="198">
        <v>156</v>
      </c>
      <c r="U208" s="198">
        <v>0</v>
      </c>
      <c r="V208" s="198">
        <v>17</v>
      </c>
      <c r="W208" s="198" t="s">
        <v>29</v>
      </c>
      <c r="X208" s="198">
        <f t="shared" si="22"/>
        <v>2893</v>
      </c>
    </row>
    <row r="209" spans="1:24" x14ac:dyDescent="0.2">
      <c r="A209" s="383">
        <v>1992</v>
      </c>
      <c r="B209" s="198">
        <v>386</v>
      </c>
      <c r="C209" s="198">
        <v>2646</v>
      </c>
      <c r="D209" s="198">
        <v>4495</v>
      </c>
      <c r="E209" s="198">
        <v>1413</v>
      </c>
      <c r="F209" s="198">
        <v>2797</v>
      </c>
      <c r="G209" s="198">
        <v>5874</v>
      </c>
      <c r="H209" s="198">
        <v>1183</v>
      </c>
      <c r="I209" s="198">
        <v>168</v>
      </c>
      <c r="J209" s="198">
        <v>192</v>
      </c>
      <c r="K209" s="198">
        <v>372</v>
      </c>
      <c r="L209" s="198">
        <f t="shared" si="21"/>
        <v>19526</v>
      </c>
      <c r="M209" s="31"/>
      <c r="N209" s="198">
        <v>0</v>
      </c>
      <c r="O209" s="198">
        <v>0</v>
      </c>
      <c r="P209" s="198">
        <v>0</v>
      </c>
      <c r="Q209" s="198">
        <v>0</v>
      </c>
      <c r="R209" s="198">
        <v>175</v>
      </c>
      <c r="S209" s="198">
        <v>20</v>
      </c>
      <c r="T209" s="198">
        <v>0</v>
      </c>
      <c r="U209" s="198">
        <v>0</v>
      </c>
      <c r="V209" s="198">
        <v>0</v>
      </c>
      <c r="W209" s="198">
        <v>0</v>
      </c>
      <c r="X209" s="198">
        <f t="shared" si="22"/>
        <v>195</v>
      </c>
    </row>
    <row r="210" spans="1:24" x14ac:dyDescent="0.2">
      <c r="A210" s="383">
        <v>1993</v>
      </c>
      <c r="B210" s="198">
        <v>252</v>
      </c>
      <c r="C210" s="198">
        <v>5094</v>
      </c>
      <c r="D210" s="198">
        <v>9530</v>
      </c>
      <c r="E210" s="198">
        <v>2022</v>
      </c>
      <c r="F210" s="198">
        <v>490</v>
      </c>
      <c r="G210" s="198">
        <v>2694</v>
      </c>
      <c r="H210" s="198">
        <v>407</v>
      </c>
      <c r="I210" s="198">
        <v>41</v>
      </c>
      <c r="J210" s="198">
        <v>54</v>
      </c>
      <c r="K210" s="198" t="s">
        <v>29</v>
      </c>
      <c r="L210" s="198">
        <f t="shared" si="21"/>
        <v>20584</v>
      </c>
      <c r="M210" s="31"/>
      <c r="N210" s="198" t="s">
        <v>29</v>
      </c>
      <c r="O210" s="198" t="s">
        <v>29</v>
      </c>
      <c r="P210" s="198" t="s">
        <v>29</v>
      </c>
      <c r="Q210" s="198">
        <v>12</v>
      </c>
      <c r="R210" s="198">
        <v>30</v>
      </c>
      <c r="S210" s="198">
        <v>107</v>
      </c>
      <c r="T210" s="198">
        <v>8</v>
      </c>
      <c r="U210" s="198" t="s">
        <v>29</v>
      </c>
      <c r="V210" s="198" t="s">
        <v>29</v>
      </c>
      <c r="W210" s="198" t="s">
        <v>29</v>
      </c>
      <c r="X210" s="198">
        <f t="shared" si="22"/>
        <v>157</v>
      </c>
    </row>
    <row r="211" spans="1:24" x14ac:dyDescent="0.2">
      <c r="A211" s="383">
        <v>1994</v>
      </c>
      <c r="B211" s="198">
        <v>523</v>
      </c>
      <c r="C211" s="198">
        <v>3188</v>
      </c>
      <c r="D211" s="198">
        <v>6654</v>
      </c>
      <c r="E211" s="198">
        <v>1860</v>
      </c>
      <c r="F211" s="198">
        <v>3833</v>
      </c>
      <c r="G211" s="198">
        <v>3937</v>
      </c>
      <c r="H211" s="198">
        <v>1352</v>
      </c>
      <c r="I211" s="198">
        <v>809</v>
      </c>
      <c r="J211" s="198">
        <v>2679</v>
      </c>
      <c r="K211" s="198" t="s">
        <v>29</v>
      </c>
      <c r="L211" s="198">
        <f t="shared" si="21"/>
        <v>24835</v>
      </c>
      <c r="M211" s="31"/>
      <c r="N211" s="198" t="s">
        <v>29</v>
      </c>
      <c r="O211" s="198">
        <v>0</v>
      </c>
      <c r="P211" s="198">
        <v>0</v>
      </c>
      <c r="Q211" s="198">
        <v>0</v>
      </c>
      <c r="R211" s="198">
        <v>3</v>
      </c>
      <c r="S211" s="198">
        <v>3</v>
      </c>
      <c r="T211" s="198">
        <v>0</v>
      </c>
      <c r="U211" s="198">
        <v>0</v>
      </c>
      <c r="V211" s="198">
        <v>0</v>
      </c>
      <c r="W211" s="198" t="s">
        <v>29</v>
      </c>
      <c r="X211" s="198">
        <f t="shared" si="22"/>
        <v>6</v>
      </c>
    </row>
    <row r="212" spans="1:24" x14ac:dyDescent="0.2">
      <c r="A212" s="383">
        <v>1995</v>
      </c>
      <c r="B212" s="198" t="s">
        <v>29</v>
      </c>
      <c r="C212" s="198">
        <v>14305</v>
      </c>
      <c r="D212" s="198">
        <v>42913</v>
      </c>
      <c r="E212" s="198">
        <v>31117</v>
      </c>
      <c r="F212" s="198">
        <v>27015</v>
      </c>
      <c r="G212" s="198">
        <v>74096</v>
      </c>
      <c r="H212" s="198">
        <v>9293</v>
      </c>
      <c r="I212" s="198">
        <v>136</v>
      </c>
      <c r="J212" s="201" t="s">
        <v>116</v>
      </c>
      <c r="K212" s="198" t="s">
        <v>29</v>
      </c>
      <c r="L212" s="198">
        <f t="shared" si="21"/>
        <v>198875</v>
      </c>
      <c r="M212" s="31"/>
      <c r="N212" s="198" t="s">
        <v>29</v>
      </c>
      <c r="O212" s="198">
        <v>0</v>
      </c>
      <c r="P212" s="198">
        <v>6</v>
      </c>
      <c r="Q212" s="198">
        <v>0</v>
      </c>
      <c r="R212" s="198">
        <v>5</v>
      </c>
      <c r="S212" s="198">
        <v>17</v>
      </c>
      <c r="T212" s="198">
        <v>5</v>
      </c>
      <c r="U212" s="198">
        <v>0</v>
      </c>
      <c r="V212" s="198" t="s">
        <v>29</v>
      </c>
      <c r="W212" s="198" t="s">
        <v>29</v>
      </c>
      <c r="X212" s="198">
        <f t="shared" si="22"/>
        <v>33</v>
      </c>
    </row>
    <row r="213" spans="1:24" x14ac:dyDescent="0.2">
      <c r="A213" s="383">
        <v>1996</v>
      </c>
      <c r="B213" s="198" t="s">
        <v>29</v>
      </c>
      <c r="C213" s="198">
        <v>10294</v>
      </c>
      <c r="D213" s="198">
        <v>16068</v>
      </c>
      <c r="E213" s="198">
        <v>5221</v>
      </c>
      <c r="F213" s="198">
        <v>2261</v>
      </c>
      <c r="G213" s="198">
        <v>7809</v>
      </c>
      <c r="H213" s="198">
        <v>3159</v>
      </c>
      <c r="I213" s="198" t="s">
        <v>29</v>
      </c>
      <c r="J213" s="198" t="s">
        <v>29</v>
      </c>
      <c r="K213" s="198" t="s">
        <v>29</v>
      </c>
      <c r="L213" s="198">
        <f t="shared" si="21"/>
        <v>44812</v>
      </c>
      <c r="M213" s="31"/>
      <c r="N213" s="198" t="s">
        <v>29</v>
      </c>
      <c r="O213" s="198" t="s">
        <v>29</v>
      </c>
      <c r="P213" s="198" t="s">
        <v>29</v>
      </c>
      <c r="Q213" s="198" t="s">
        <v>29</v>
      </c>
      <c r="R213" s="198" t="s">
        <v>29</v>
      </c>
      <c r="S213" s="198" t="s">
        <v>29</v>
      </c>
      <c r="T213" s="198" t="s">
        <v>29</v>
      </c>
      <c r="U213" s="198" t="s">
        <v>29</v>
      </c>
      <c r="V213" s="198" t="s">
        <v>29</v>
      </c>
      <c r="W213" s="198" t="s">
        <v>29</v>
      </c>
      <c r="X213" s="198">
        <f t="shared" si="22"/>
        <v>0</v>
      </c>
    </row>
    <row r="214" spans="1:24" x14ac:dyDescent="0.2">
      <c r="A214" s="383">
        <v>1997</v>
      </c>
      <c r="B214" s="198" t="s">
        <v>29</v>
      </c>
      <c r="C214" s="198">
        <v>16941</v>
      </c>
      <c r="D214" s="198">
        <v>15424</v>
      </c>
      <c r="E214" s="198">
        <v>4168</v>
      </c>
      <c r="F214" s="198">
        <v>26355</v>
      </c>
      <c r="G214" s="198">
        <v>19974</v>
      </c>
      <c r="H214" s="198">
        <v>1470</v>
      </c>
      <c r="I214" s="198">
        <v>95</v>
      </c>
      <c r="J214" s="201" t="s">
        <v>116</v>
      </c>
      <c r="K214" s="198" t="s">
        <v>29</v>
      </c>
      <c r="L214" s="198">
        <f t="shared" si="21"/>
        <v>84427</v>
      </c>
      <c r="M214" s="31"/>
      <c r="N214" s="198" t="s">
        <v>29</v>
      </c>
      <c r="O214" s="198" t="s">
        <v>29</v>
      </c>
      <c r="P214" s="198" t="s">
        <v>29</v>
      </c>
      <c r="Q214" s="198" t="s">
        <v>29</v>
      </c>
      <c r="R214" s="198">
        <v>9</v>
      </c>
      <c r="S214" s="198">
        <v>21</v>
      </c>
      <c r="T214" s="198" t="s">
        <v>29</v>
      </c>
      <c r="U214" s="198" t="s">
        <v>29</v>
      </c>
      <c r="V214" s="198" t="s">
        <v>29</v>
      </c>
      <c r="W214" s="198" t="s">
        <v>29</v>
      </c>
      <c r="X214" s="198">
        <f t="shared" si="22"/>
        <v>30</v>
      </c>
    </row>
    <row r="215" spans="1:24" x14ac:dyDescent="0.2">
      <c r="A215" s="383">
        <v>1998</v>
      </c>
      <c r="B215" s="198" t="s">
        <v>29</v>
      </c>
      <c r="C215" s="198">
        <v>2869</v>
      </c>
      <c r="D215" s="198">
        <v>9382</v>
      </c>
      <c r="E215" s="198">
        <v>10262</v>
      </c>
      <c r="F215" s="198">
        <v>10959</v>
      </c>
      <c r="G215" s="198">
        <v>9033</v>
      </c>
      <c r="H215" s="198">
        <v>901</v>
      </c>
      <c r="I215" s="198">
        <v>62</v>
      </c>
      <c r="J215" s="198" t="s">
        <v>29</v>
      </c>
      <c r="K215" s="198" t="s">
        <v>29</v>
      </c>
      <c r="L215" s="198">
        <f t="shared" si="21"/>
        <v>43468</v>
      </c>
      <c r="M215" s="31"/>
      <c r="N215" s="198" t="s">
        <v>29</v>
      </c>
      <c r="O215" s="198" t="s">
        <v>29</v>
      </c>
      <c r="P215" s="198" t="s">
        <v>29</v>
      </c>
      <c r="Q215" s="198" t="s">
        <v>29</v>
      </c>
      <c r="R215" s="198">
        <v>4</v>
      </c>
      <c r="S215" s="198">
        <v>5</v>
      </c>
      <c r="T215" s="198" t="s">
        <v>29</v>
      </c>
      <c r="U215" s="198" t="s">
        <v>29</v>
      </c>
      <c r="V215" s="198" t="s">
        <v>29</v>
      </c>
      <c r="W215" s="198" t="s">
        <v>29</v>
      </c>
      <c r="X215" s="198">
        <f t="shared" si="22"/>
        <v>9</v>
      </c>
    </row>
    <row r="216" spans="1:24" x14ac:dyDescent="0.2">
      <c r="A216" s="383">
        <v>1999</v>
      </c>
      <c r="B216" s="198" t="s">
        <v>29</v>
      </c>
      <c r="C216" s="198">
        <v>946</v>
      </c>
      <c r="D216" s="198">
        <v>349</v>
      </c>
      <c r="E216" s="198">
        <v>271</v>
      </c>
      <c r="F216" s="198">
        <v>2277</v>
      </c>
      <c r="G216" s="198">
        <v>2101</v>
      </c>
      <c r="H216" s="198">
        <v>1052</v>
      </c>
      <c r="I216" s="198">
        <v>144</v>
      </c>
      <c r="J216" s="198" t="s">
        <v>29</v>
      </c>
      <c r="K216" s="198" t="s">
        <v>29</v>
      </c>
      <c r="L216" s="198">
        <f t="shared" si="21"/>
        <v>7140</v>
      </c>
      <c r="M216" s="31"/>
      <c r="N216" s="198" t="s">
        <v>29</v>
      </c>
      <c r="O216" s="198" t="s">
        <v>29</v>
      </c>
      <c r="P216" s="198" t="s">
        <v>29</v>
      </c>
      <c r="Q216" s="198" t="s">
        <v>29</v>
      </c>
      <c r="R216" s="198" t="s">
        <v>29</v>
      </c>
      <c r="S216" s="198" t="s">
        <v>29</v>
      </c>
      <c r="T216" s="198" t="s">
        <v>29</v>
      </c>
      <c r="U216" s="198" t="s">
        <v>29</v>
      </c>
      <c r="V216" s="198" t="s">
        <v>29</v>
      </c>
      <c r="W216" s="198" t="s">
        <v>29</v>
      </c>
      <c r="X216" s="198">
        <f t="shared" si="22"/>
        <v>0</v>
      </c>
    </row>
    <row r="217" spans="1:24" x14ac:dyDescent="0.2">
      <c r="A217" s="383">
        <v>2000</v>
      </c>
      <c r="B217" s="198" t="s">
        <v>29</v>
      </c>
      <c r="C217" s="198" t="s">
        <v>29</v>
      </c>
      <c r="D217" s="198">
        <v>33927</v>
      </c>
      <c r="E217" s="198">
        <v>19178</v>
      </c>
      <c r="F217" s="198">
        <v>13261</v>
      </c>
      <c r="G217" s="198">
        <v>10799</v>
      </c>
      <c r="H217" s="198">
        <v>2960</v>
      </c>
      <c r="I217" s="198">
        <v>1657</v>
      </c>
      <c r="J217" s="198" t="s">
        <v>29</v>
      </c>
      <c r="K217" s="198" t="s">
        <v>29</v>
      </c>
      <c r="L217" s="198">
        <f t="shared" si="21"/>
        <v>81782</v>
      </c>
      <c r="M217" s="31"/>
      <c r="N217" s="198" t="s">
        <v>29</v>
      </c>
      <c r="O217" s="198" t="s">
        <v>29</v>
      </c>
      <c r="P217" s="198" t="s">
        <v>29</v>
      </c>
      <c r="Q217" s="198" t="s">
        <v>29</v>
      </c>
      <c r="R217" s="198">
        <v>45</v>
      </c>
      <c r="S217" s="198">
        <v>10</v>
      </c>
      <c r="T217" s="198">
        <v>4</v>
      </c>
      <c r="U217" s="198" t="s">
        <v>29</v>
      </c>
      <c r="V217" s="198" t="s">
        <v>29</v>
      </c>
      <c r="W217" s="198" t="s">
        <v>29</v>
      </c>
      <c r="X217" s="198">
        <f t="shared" si="22"/>
        <v>59</v>
      </c>
    </row>
    <row r="218" spans="1:24" x14ac:dyDescent="0.2">
      <c r="A218" s="383">
        <v>2001</v>
      </c>
      <c r="B218" s="198" t="s">
        <v>29</v>
      </c>
      <c r="C218" s="198">
        <v>792</v>
      </c>
      <c r="D218" s="198">
        <v>14229</v>
      </c>
      <c r="E218" s="198">
        <v>3022</v>
      </c>
      <c r="F218" s="198">
        <v>235</v>
      </c>
      <c r="G218" s="198">
        <v>1552</v>
      </c>
      <c r="H218" s="198">
        <v>89</v>
      </c>
      <c r="I218" s="198">
        <v>120</v>
      </c>
      <c r="J218" s="198" t="s">
        <v>29</v>
      </c>
      <c r="K218" s="198" t="s">
        <v>29</v>
      </c>
      <c r="L218" s="198">
        <f t="shared" si="21"/>
        <v>20039</v>
      </c>
      <c r="M218" s="31"/>
      <c r="N218" s="198" t="s">
        <v>29</v>
      </c>
      <c r="O218" s="198" t="s">
        <v>29</v>
      </c>
      <c r="P218" s="198">
        <v>4</v>
      </c>
      <c r="Q218" s="198">
        <v>198</v>
      </c>
      <c r="R218" s="198">
        <v>4</v>
      </c>
      <c r="S218" s="198">
        <v>11</v>
      </c>
      <c r="T218" s="198" t="s">
        <v>29</v>
      </c>
      <c r="U218" s="198" t="s">
        <v>29</v>
      </c>
      <c r="V218" s="198" t="s">
        <v>29</v>
      </c>
      <c r="W218" s="198" t="s">
        <v>29</v>
      </c>
      <c r="X218" s="198">
        <f t="shared" si="22"/>
        <v>217</v>
      </c>
    </row>
    <row r="219" spans="1:24" x14ac:dyDescent="0.2">
      <c r="A219" s="383">
        <v>2002</v>
      </c>
      <c r="B219" s="198" t="s">
        <v>29</v>
      </c>
      <c r="C219" s="198">
        <v>2779</v>
      </c>
      <c r="D219" s="198">
        <v>30310</v>
      </c>
      <c r="E219" s="198">
        <v>4784</v>
      </c>
      <c r="F219" s="198">
        <v>3751</v>
      </c>
      <c r="G219" s="198">
        <v>5441</v>
      </c>
      <c r="H219" s="198">
        <v>611</v>
      </c>
      <c r="I219" s="198">
        <v>27</v>
      </c>
      <c r="J219" s="198" t="s">
        <v>29</v>
      </c>
      <c r="K219" s="198" t="s">
        <v>29</v>
      </c>
      <c r="L219" s="198">
        <f t="shared" si="21"/>
        <v>47703</v>
      </c>
      <c r="M219" s="31"/>
      <c r="N219" s="198" t="s">
        <v>29</v>
      </c>
      <c r="O219" s="198" t="s">
        <v>29</v>
      </c>
      <c r="P219" s="198" t="s">
        <v>29</v>
      </c>
      <c r="Q219" s="198" t="s">
        <v>29</v>
      </c>
      <c r="R219" s="198">
        <v>11</v>
      </c>
      <c r="S219" s="198">
        <v>15</v>
      </c>
      <c r="T219" s="198" t="s">
        <v>29</v>
      </c>
      <c r="U219" s="198" t="s">
        <v>29</v>
      </c>
      <c r="V219" s="198" t="s">
        <v>29</v>
      </c>
      <c r="W219" s="198" t="s">
        <v>29</v>
      </c>
      <c r="X219" s="198">
        <f t="shared" si="22"/>
        <v>26</v>
      </c>
    </row>
    <row r="220" spans="1:24" x14ac:dyDescent="0.2">
      <c r="A220" s="383">
        <v>2003</v>
      </c>
      <c r="B220" s="198" t="s">
        <v>29</v>
      </c>
      <c r="C220" s="198">
        <v>3133</v>
      </c>
      <c r="D220" s="198">
        <v>4434</v>
      </c>
      <c r="E220" s="198">
        <v>1629</v>
      </c>
      <c r="F220" s="198">
        <v>801</v>
      </c>
      <c r="G220" s="198">
        <v>3115</v>
      </c>
      <c r="H220" s="198">
        <v>14</v>
      </c>
      <c r="I220" s="201" t="s">
        <v>116</v>
      </c>
      <c r="J220" s="198" t="s">
        <v>29</v>
      </c>
      <c r="K220" s="198" t="s">
        <v>29</v>
      </c>
      <c r="L220" s="198">
        <f t="shared" si="21"/>
        <v>13126</v>
      </c>
      <c r="M220" s="31"/>
      <c r="N220" s="198" t="s">
        <v>29</v>
      </c>
      <c r="O220" s="198" t="s">
        <v>29</v>
      </c>
      <c r="P220" s="198" t="s">
        <v>29</v>
      </c>
      <c r="Q220" s="198">
        <v>29</v>
      </c>
      <c r="R220" s="198">
        <v>81</v>
      </c>
      <c r="S220" s="198">
        <v>50</v>
      </c>
      <c r="T220" s="198" t="s">
        <v>29</v>
      </c>
      <c r="U220" s="198" t="s">
        <v>29</v>
      </c>
      <c r="V220" s="198" t="s">
        <v>29</v>
      </c>
      <c r="W220" s="198" t="s">
        <v>29</v>
      </c>
      <c r="X220" s="198">
        <f t="shared" si="22"/>
        <v>160</v>
      </c>
    </row>
    <row r="221" spans="1:24" x14ac:dyDescent="0.2">
      <c r="A221" s="383">
        <v>2004</v>
      </c>
      <c r="B221" s="198" t="s">
        <v>29</v>
      </c>
      <c r="C221" s="198" t="s">
        <v>29</v>
      </c>
      <c r="D221" s="198">
        <v>24516</v>
      </c>
      <c r="E221" s="198">
        <v>4476</v>
      </c>
      <c r="F221" s="198">
        <v>1762</v>
      </c>
      <c r="G221" s="198">
        <v>12916</v>
      </c>
      <c r="H221" s="198">
        <v>1074</v>
      </c>
      <c r="I221" s="198">
        <v>101</v>
      </c>
      <c r="J221" s="201" t="s">
        <v>116</v>
      </c>
      <c r="K221" s="198" t="s">
        <v>29</v>
      </c>
      <c r="L221" s="198">
        <f t="shared" si="21"/>
        <v>44845</v>
      </c>
      <c r="M221" s="31"/>
      <c r="N221" s="198" t="s">
        <v>29</v>
      </c>
      <c r="O221" s="198" t="s">
        <v>29</v>
      </c>
      <c r="P221" s="198" t="s">
        <v>29</v>
      </c>
      <c r="Q221" s="198" t="s">
        <v>29</v>
      </c>
      <c r="R221" s="198">
        <v>9</v>
      </c>
      <c r="S221" s="198">
        <v>9</v>
      </c>
      <c r="T221" s="198" t="s">
        <v>29</v>
      </c>
      <c r="U221" s="198" t="s">
        <v>29</v>
      </c>
      <c r="V221" s="198" t="s">
        <v>29</v>
      </c>
      <c r="W221" s="198" t="s">
        <v>29</v>
      </c>
      <c r="X221" s="198">
        <f t="shared" si="22"/>
        <v>18</v>
      </c>
    </row>
    <row r="222" spans="1:24" x14ac:dyDescent="0.2">
      <c r="A222" s="383">
        <v>2005</v>
      </c>
      <c r="B222" s="198" t="s">
        <v>29</v>
      </c>
      <c r="C222" s="198" t="s">
        <v>29</v>
      </c>
      <c r="D222" s="198">
        <v>6194</v>
      </c>
      <c r="E222" s="198">
        <v>2303</v>
      </c>
      <c r="F222" s="198">
        <v>14910</v>
      </c>
      <c r="G222" s="198">
        <v>6809</v>
      </c>
      <c r="H222" s="198">
        <v>414</v>
      </c>
      <c r="I222" s="198">
        <v>76</v>
      </c>
      <c r="J222" s="198" t="s">
        <v>29</v>
      </c>
      <c r="K222" s="198" t="s">
        <v>29</v>
      </c>
      <c r="L222" s="198">
        <f t="shared" si="21"/>
        <v>30706</v>
      </c>
      <c r="M222" s="31"/>
      <c r="N222" s="198" t="s">
        <v>29</v>
      </c>
      <c r="O222" s="198" t="s">
        <v>29</v>
      </c>
      <c r="P222" s="198" t="s">
        <v>29</v>
      </c>
      <c r="Q222" s="198">
        <v>19</v>
      </c>
      <c r="R222" s="198">
        <v>95</v>
      </c>
      <c r="S222" s="198">
        <v>85</v>
      </c>
      <c r="T222" s="198" t="s">
        <v>29</v>
      </c>
      <c r="U222" s="198" t="s">
        <v>29</v>
      </c>
      <c r="V222" s="198" t="s">
        <v>29</v>
      </c>
      <c r="W222" s="198" t="s">
        <v>29</v>
      </c>
      <c r="X222" s="198">
        <f t="shared" si="22"/>
        <v>199</v>
      </c>
    </row>
    <row r="223" spans="1:24" x14ac:dyDescent="0.2">
      <c r="A223" s="383">
        <v>2006</v>
      </c>
      <c r="B223" s="198" t="s">
        <v>29</v>
      </c>
      <c r="C223" s="198" t="s">
        <v>29</v>
      </c>
      <c r="D223" s="198">
        <v>7350</v>
      </c>
      <c r="E223" s="198">
        <v>399</v>
      </c>
      <c r="F223" s="198">
        <v>1318</v>
      </c>
      <c r="G223" s="198">
        <v>1893</v>
      </c>
      <c r="H223" s="198">
        <v>0</v>
      </c>
      <c r="I223" s="198">
        <v>10</v>
      </c>
      <c r="J223" s="198" t="s">
        <v>29</v>
      </c>
      <c r="K223" s="198" t="s">
        <v>29</v>
      </c>
      <c r="L223" s="198">
        <f t="shared" si="21"/>
        <v>10970</v>
      </c>
      <c r="M223" s="31"/>
      <c r="N223" s="198" t="s">
        <v>29</v>
      </c>
      <c r="O223" s="198" t="s">
        <v>29</v>
      </c>
      <c r="P223" s="198" t="s">
        <v>29</v>
      </c>
      <c r="Q223" s="198">
        <v>32</v>
      </c>
      <c r="R223" s="198">
        <v>204</v>
      </c>
      <c r="S223" s="198">
        <v>102</v>
      </c>
      <c r="T223" s="198" t="s">
        <v>29</v>
      </c>
      <c r="U223" s="198" t="s">
        <v>29</v>
      </c>
      <c r="V223" s="198" t="s">
        <v>29</v>
      </c>
      <c r="W223" s="198" t="s">
        <v>29</v>
      </c>
      <c r="X223" s="198">
        <v>338</v>
      </c>
    </row>
    <row r="224" spans="1:24" s="374" customFormat="1" x14ac:dyDescent="0.2">
      <c r="A224" s="402">
        <v>2007</v>
      </c>
      <c r="B224" s="199" t="s">
        <v>29</v>
      </c>
      <c r="C224" s="199" t="s">
        <v>29</v>
      </c>
      <c r="D224" s="199">
        <v>2289</v>
      </c>
      <c r="E224" s="199">
        <v>735</v>
      </c>
      <c r="F224" s="199">
        <v>2098</v>
      </c>
      <c r="G224" s="199">
        <v>681</v>
      </c>
      <c r="H224" s="199">
        <v>346</v>
      </c>
      <c r="I224" s="199">
        <v>112</v>
      </c>
      <c r="J224" s="199" t="s">
        <v>29</v>
      </c>
      <c r="K224" s="199" t="s">
        <v>29</v>
      </c>
      <c r="L224" s="199">
        <f t="shared" si="21"/>
        <v>6261</v>
      </c>
      <c r="M224" s="52"/>
      <c r="N224" s="199" t="s">
        <v>29</v>
      </c>
      <c r="O224" s="199" t="s">
        <v>29</v>
      </c>
      <c r="P224" s="199" t="s">
        <v>29</v>
      </c>
      <c r="Q224" s="199">
        <v>16</v>
      </c>
      <c r="R224" s="199">
        <v>69</v>
      </c>
      <c r="S224" s="199">
        <v>23</v>
      </c>
      <c r="T224" s="199">
        <v>12</v>
      </c>
      <c r="U224" s="199" t="s">
        <v>29</v>
      </c>
      <c r="V224" s="199" t="s">
        <v>29</v>
      </c>
      <c r="W224" s="199" t="s">
        <v>29</v>
      </c>
      <c r="X224" s="199">
        <f>SUM(N224:W224)</f>
        <v>120</v>
      </c>
    </row>
    <row r="225" spans="1:24" s="374" customFormat="1" x14ac:dyDescent="0.2">
      <c r="A225" s="402">
        <v>2008</v>
      </c>
      <c r="B225" s="199" t="s">
        <v>29</v>
      </c>
      <c r="C225" s="199" t="s">
        <v>29</v>
      </c>
      <c r="D225" s="199" t="s">
        <v>29</v>
      </c>
      <c r="E225" s="199" t="s">
        <v>29</v>
      </c>
      <c r="F225" s="199" t="s">
        <v>29</v>
      </c>
      <c r="G225" s="199" t="s">
        <v>29</v>
      </c>
      <c r="H225" s="199" t="s">
        <v>29</v>
      </c>
      <c r="I225" s="199" t="s">
        <v>29</v>
      </c>
      <c r="J225" s="199" t="s">
        <v>29</v>
      </c>
      <c r="K225" s="199" t="s">
        <v>29</v>
      </c>
      <c r="L225" s="199" t="s">
        <v>29</v>
      </c>
      <c r="M225" s="52"/>
      <c r="N225" s="199" t="s">
        <v>29</v>
      </c>
      <c r="O225" s="199" t="s">
        <v>29</v>
      </c>
      <c r="P225" s="199" t="s">
        <v>29</v>
      </c>
      <c r="Q225" s="199" t="s">
        <v>29</v>
      </c>
      <c r="R225" s="199" t="s">
        <v>29</v>
      </c>
      <c r="S225" s="199" t="s">
        <v>29</v>
      </c>
      <c r="T225" s="199" t="s">
        <v>29</v>
      </c>
      <c r="U225" s="199" t="s">
        <v>29</v>
      </c>
      <c r="V225" s="199" t="s">
        <v>29</v>
      </c>
      <c r="W225" s="199" t="s">
        <v>29</v>
      </c>
      <c r="X225" s="199" t="s">
        <v>29</v>
      </c>
    </row>
    <row r="226" spans="1:24" s="374" customFormat="1" x14ac:dyDescent="0.2">
      <c r="A226" s="402">
        <v>2009</v>
      </c>
      <c r="B226" s="199" t="s">
        <v>29</v>
      </c>
      <c r="C226" s="199" t="s">
        <v>29</v>
      </c>
      <c r="D226" s="199" t="s">
        <v>29</v>
      </c>
      <c r="E226" s="199" t="s">
        <v>29</v>
      </c>
      <c r="F226" s="199" t="s">
        <v>29</v>
      </c>
      <c r="G226" s="199" t="s">
        <v>29</v>
      </c>
      <c r="H226" s="199" t="s">
        <v>29</v>
      </c>
      <c r="I226" s="199" t="s">
        <v>29</v>
      </c>
      <c r="J226" s="199" t="s">
        <v>29</v>
      </c>
      <c r="K226" s="199" t="s">
        <v>29</v>
      </c>
      <c r="L226" s="199" t="s">
        <v>29</v>
      </c>
      <c r="M226" s="52"/>
      <c r="N226" s="199" t="s">
        <v>29</v>
      </c>
      <c r="O226" s="199" t="s">
        <v>29</v>
      </c>
      <c r="P226" s="199" t="s">
        <v>29</v>
      </c>
      <c r="Q226" s="199" t="s">
        <v>29</v>
      </c>
      <c r="R226" s="199" t="s">
        <v>29</v>
      </c>
      <c r="S226" s="199" t="s">
        <v>29</v>
      </c>
      <c r="T226" s="199" t="s">
        <v>29</v>
      </c>
      <c r="U226" s="199" t="s">
        <v>29</v>
      </c>
      <c r="V226" s="199" t="s">
        <v>29</v>
      </c>
      <c r="W226" s="199" t="s">
        <v>29</v>
      </c>
      <c r="X226" s="199" t="s">
        <v>29</v>
      </c>
    </row>
    <row r="227" spans="1:24" s="374" customFormat="1" x14ac:dyDescent="0.2">
      <c r="A227" s="402">
        <v>2010</v>
      </c>
      <c r="B227" s="199" t="s">
        <v>29</v>
      </c>
      <c r="C227" s="199" t="s">
        <v>29</v>
      </c>
      <c r="D227" s="199">
        <v>4057</v>
      </c>
      <c r="E227" s="199">
        <v>1692</v>
      </c>
      <c r="F227" s="199">
        <v>5</v>
      </c>
      <c r="G227" s="199">
        <v>387</v>
      </c>
      <c r="H227" s="199">
        <v>154</v>
      </c>
      <c r="I227" s="199">
        <v>0</v>
      </c>
      <c r="J227" s="199" t="s">
        <v>29</v>
      </c>
      <c r="K227" s="199" t="s">
        <v>29</v>
      </c>
      <c r="L227" s="199">
        <f t="shared" ref="L227:L237" si="23">SUM(B227:K227)</f>
        <v>6295</v>
      </c>
      <c r="M227" s="52"/>
      <c r="N227" s="199" t="s">
        <v>29</v>
      </c>
      <c r="O227" s="199" t="s">
        <v>29</v>
      </c>
      <c r="P227" s="199">
        <v>8</v>
      </c>
      <c r="Q227" s="199" t="s">
        <v>29</v>
      </c>
      <c r="R227" s="199" t="s">
        <v>29</v>
      </c>
      <c r="S227" s="199" t="s">
        <v>29</v>
      </c>
      <c r="T227" s="199" t="s">
        <v>29</v>
      </c>
      <c r="U227" s="199" t="s">
        <v>29</v>
      </c>
      <c r="V227" s="199" t="s">
        <v>29</v>
      </c>
      <c r="W227" s="199" t="s">
        <v>29</v>
      </c>
      <c r="X227" s="199">
        <f>SUM(N227:W227)</f>
        <v>8</v>
      </c>
    </row>
    <row r="228" spans="1:24" s="374" customFormat="1" x14ac:dyDescent="0.2">
      <c r="A228" s="402">
        <v>2011</v>
      </c>
      <c r="B228" s="199" t="s">
        <v>29</v>
      </c>
      <c r="C228" s="199" t="s">
        <v>29</v>
      </c>
      <c r="D228" s="199">
        <v>4210</v>
      </c>
      <c r="E228" s="199">
        <v>280</v>
      </c>
      <c r="F228" s="199">
        <v>1170</v>
      </c>
      <c r="G228" s="199">
        <v>3998</v>
      </c>
      <c r="H228" s="199">
        <v>2369</v>
      </c>
      <c r="I228" s="199">
        <v>676</v>
      </c>
      <c r="J228" s="199" t="s">
        <v>29</v>
      </c>
      <c r="K228" s="199" t="s">
        <v>29</v>
      </c>
      <c r="L228" s="199">
        <f t="shared" si="23"/>
        <v>12703</v>
      </c>
      <c r="M228" s="52"/>
      <c r="N228" s="199" t="s">
        <v>29</v>
      </c>
      <c r="O228" s="199" t="s">
        <v>29</v>
      </c>
      <c r="P228" s="199">
        <v>8</v>
      </c>
      <c r="Q228" s="199">
        <v>10</v>
      </c>
      <c r="R228" s="199">
        <v>27</v>
      </c>
      <c r="S228" s="199">
        <v>7</v>
      </c>
      <c r="T228" s="199">
        <v>13</v>
      </c>
      <c r="U228" s="199" t="s">
        <v>29</v>
      </c>
      <c r="V228" s="199" t="s">
        <v>29</v>
      </c>
      <c r="W228" s="199" t="s">
        <v>29</v>
      </c>
      <c r="X228" s="199">
        <f>SUM(N228:W228)</f>
        <v>65</v>
      </c>
    </row>
    <row r="229" spans="1:24" s="374" customFormat="1" x14ac:dyDescent="0.2">
      <c r="A229" s="402">
        <v>2012</v>
      </c>
      <c r="B229" s="199" t="s">
        <v>29</v>
      </c>
      <c r="C229" s="199" t="s">
        <v>29</v>
      </c>
      <c r="D229" s="199">
        <v>14535</v>
      </c>
      <c r="E229" s="199">
        <v>4473</v>
      </c>
      <c r="F229" s="199">
        <v>4376</v>
      </c>
      <c r="G229" s="199">
        <v>6268</v>
      </c>
      <c r="H229" s="199">
        <v>462</v>
      </c>
      <c r="I229" s="199">
        <v>121</v>
      </c>
      <c r="J229" s="199">
        <v>129</v>
      </c>
      <c r="K229" s="199" t="s">
        <v>29</v>
      </c>
      <c r="L229" s="199">
        <f t="shared" si="23"/>
        <v>30364</v>
      </c>
      <c r="M229" s="52"/>
      <c r="N229" s="199" t="s">
        <v>29</v>
      </c>
      <c r="O229" s="199" t="s">
        <v>29</v>
      </c>
      <c r="P229" s="199" t="s">
        <v>29</v>
      </c>
      <c r="Q229" s="199" t="s">
        <v>29</v>
      </c>
      <c r="R229" s="199">
        <v>1</v>
      </c>
      <c r="S229" s="199" t="s">
        <v>29</v>
      </c>
      <c r="T229" s="199" t="s">
        <v>29</v>
      </c>
      <c r="U229" s="199" t="s">
        <v>29</v>
      </c>
      <c r="V229" s="199" t="s">
        <v>29</v>
      </c>
      <c r="W229" s="199" t="s">
        <v>29</v>
      </c>
      <c r="X229" s="199">
        <f>SUM(N229:W229)</f>
        <v>1</v>
      </c>
    </row>
    <row r="230" spans="1:24" s="374" customFormat="1" x14ac:dyDescent="0.2">
      <c r="A230" s="402">
        <v>2013</v>
      </c>
      <c r="B230" s="199" t="s">
        <v>29</v>
      </c>
      <c r="C230" s="199" t="s">
        <v>29</v>
      </c>
      <c r="D230" s="199">
        <v>5225</v>
      </c>
      <c r="E230" s="199">
        <v>1624</v>
      </c>
      <c r="F230" s="199">
        <v>1066</v>
      </c>
      <c r="G230" s="199">
        <v>2261</v>
      </c>
      <c r="H230" s="199">
        <v>440</v>
      </c>
      <c r="I230" s="199">
        <v>18</v>
      </c>
      <c r="J230" s="199">
        <v>0</v>
      </c>
      <c r="K230" s="199" t="s">
        <v>29</v>
      </c>
      <c r="L230" s="199">
        <f t="shared" si="23"/>
        <v>10634</v>
      </c>
      <c r="M230" s="52"/>
      <c r="N230" s="199" t="s">
        <v>29</v>
      </c>
      <c r="O230" s="199" t="s">
        <v>29</v>
      </c>
      <c r="P230" s="199" t="s">
        <v>29</v>
      </c>
      <c r="Q230" s="199" t="s">
        <v>29</v>
      </c>
      <c r="R230" s="199">
        <v>1</v>
      </c>
      <c r="S230" s="199">
        <v>4</v>
      </c>
      <c r="T230" s="199" t="s">
        <v>29</v>
      </c>
      <c r="U230" s="199" t="s">
        <v>29</v>
      </c>
      <c r="V230" s="199" t="s">
        <v>29</v>
      </c>
      <c r="W230" s="199" t="s">
        <v>29</v>
      </c>
      <c r="X230" s="199">
        <f>SUM(N230:W230)</f>
        <v>5</v>
      </c>
    </row>
    <row r="231" spans="1:24" s="374" customFormat="1" x14ac:dyDescent="0.2">
      <c r="A231" s="402">
        <v>2014</v>
      </c>
      <c r="B231" s="199" t="s">
        <v>29</v>
      </c>
      <c r="C231" s="199" t="s">
        <v>29</v>
      </c>
      <c r="D231" s="199">
        <v>11356</v>
      </c>
      <c r="E231" s="199">
        <v>964</v>
      </c>
      <c r="F231" s="199">
        <v>782</v>
      </c>
      <c r="G231" s="199">
        <v>613</v>
      </c>
      <c r="H231" s="199">
        <v>267</v>
      </c>
      <c r="I231" s="199">
        <v>34</v>
      </c>
      <c r="J231" s="199">
        <v>4</v>
      </c>
      <c r="K231" s="199" t="s">
        <v>29</v>
      </c>
      <c r="L231" s="199">
        <f t="shared" si="23"/>
        <v>14020</v>
      </c>
      <c r="M231" s="52"/>
      <c r="N231" s="199" t="s">
        <v>29</v>
      </c>
      <c r="O231" s="199" t="s">
        <v>29</v>
      </c>
      <c r="P231" s="199" t="s">
        <v>29</v>
      </c>
      <c r="Q231" s="199" t="s">
        <v>29</v>
      </c>
      <c r="R231" s="199">
        <v>12</v>
      </c>
      <c r="S231" s="199" t="s">
        <v>29</v>
      </c>
      <c r="T231" s="199" t="s">
        <v>29</v>
      </c>
      <c r="U231" s="199" t="s">
        <v>29</v>
      </c>
      <c r="V231" s="199" t="s">
        <v>29</v>
      </c>
      <c r="W231" s="199" t="s">
        <v>29</v>
      </c>
      <c r="X231" s="199">
        <f>SUM(N231:W231)</f>
        <v>12</v>
      </c>
    </row>
    <row r="232" spans="1:24" s="374" customFormat="1" x14ac:dyDescent="0.2">
      <c r="A232" s="402">
        <v>2015</v>
      </c>
      <c r="B232" s="199" t="s">
        <v>29</v>
      </c>
      <c r="C232" s="199" t="s">
        <v>29</v>
      </c>
      <c r="D232" s="199">
        <v>1697</v>
      </c>
      <c r="E232" s="199">
        <v>490</v>
      </c>
      <c r="F232" s="199">
        <v>543</v>
      </c>
      <c r="G232" s="199">
        <v>313</v>
      </c>
      <c r="H232" s="199">
        <v>27</v>
      </c>
      <c r="I232" s="199">
        <v>0</v>
      </c>
      <c r="J232" s="199" t="s">
        <v>29</v>
      </c>
      <c r="K232" s="199" t="s">
        <v>29</v>
      </c>
      <c r="L232" s="199">
        <f>SUM(B232:K232)</f>
        <v>3070</v>
      </c>
      <c r="M232" s="52"/>
      <c r="N232" s="199" t="s">
        <v>29</v>
      </c>
      <c r="O232" s="199" t="s">
        <v>29</v>
      </c>
      <c r="P232" s="199" t="s">
        <v>29</v>
      </c>
      <c r="Q232" s="199" t="s">
        <v>29</v>
      </c>
      <c r="R232" s="199" t="s">
        <v>29</v>
      </c>
      <c r="S232" s="199" t="s">
        <v>29</v>
      </c>
      <c r="T232" s="199" t="s">
        <v>29</v>
      </c>
      <c r="U232" s="199" t="s">
        <v>29</v>
      </c>
      <c r="V232" s="199" t="s">
        <v>29</v>
      </c>
      <c r="W232" s="199" t="s">
        <v>29</v>
      </c>
      <c r="X232" s="199" t="s">
        <v>29</v>
      </c>
    </row>
    <row r="233" spans="1:24" s="374" customFormat="1" x14ac:dyDescent="0.2">
      <c r="A233" s="402">
        <v>2016</v>
      </c>
      <c r="B233" s="199" t="s">
        <v>29</v>
      </c>
      <c r="C233" s="199" t="s">
        <v>29</v>
      </c>
      <c r="D233" s="199">
        <v>716</v>
      </c>
      <c r="E233" s="199">
        <v>572</v>
      </c>
      <c r="F233" s="199">
        <v>47</v>
      </c>
      <c r="G233" s="199">
        <v>0</v>
      </c>
      <c r="H233" s="199" t="s">
        <v>29</v>
      </c>
      <c r="I233" s="199" t="s">
        <v>29</v>
      </c>
      <c r="J233" s="199" t="s">
        <v>29</v>
      </c>
      <c r="K233" s="199" t="s">
        <v>29</v>
      </c>
      <c r="L233" s="199">
        <f>SUM(B233:K233)</f>
        <v>1335</v>
      </c>
      <c r="M233" s="52"/>
      <c r="N233" s="199" t="s">
        <v>29</v>
      </c>
      <c r="O233" s="199" t="s">
        <v>29</v>
      </c>
      <c r="P233" s="199" t="s">
        <v>29</v>
      </c>
      <c r="Q233" s="199" t="s">
        <v>29</v>
      </c>
      <c r="R233" s="199" t="s">
        <v>29</v>
      </c>
      <c r="S233" s="199" t="s">
        <v>29</v>
      </c>
      <c r="T233" s="199" t="s">
        <v>29</v>
      </c>
      <c r="U233" s="199" t="s">
        <v>29</v>
      </c>
      <c r="V233" s="199" t="s">
        <v>29</v>
      </c>
      <c r="W233" s="199" t="s">
        <v>29</v>
      </c>
      <c r="X233" s="199" t="s">
        <v>29</v>
      </c>
    </row>
    <row r="234" spans="1:24" s="374" customFormat="1" x14ac:dyDescent="0.2">
      <c r="A234" s="402">
        <v>2017</v>
      </c>
      <c r="B234" s="199" t="s">
        <v>29</v>
      </c>
      <c r="C234" s="199" t="s">
        <v>29</v>
      </c>
      <c r="D234" s="199">
        <v>3878</v>
      </c>
      <c r="E234" s="199">
        <v>449</v>
      </c>
      <c r="F234" s="199">
        <v>192</v>
      </c>
      <c r="G234" s="199">
        <v>2035</v>
      </c>
      <c r="H234" s="199" t="s">
        <v>29</v>
      </c>
      <c r="I234" s="199" t="s">
        <v>29</v>
      </c>
      <c r="J234" s="199" t="s">
        <v>29</v>
      </c>
      <c r="K234" s="199" t="s">
        <v>29</v>
      </c>
      <c r="L234" s="199">
        <f>SUM(B234:K234)</f>
        <v>6554</v>
      </c>
      <c r="M234" s="52"/>
      <c r="N234" s="199" t="s">
        <v>29</v>
      </c>
      <c r="O234" s="199" t="s">
        <v>29</v>
      </c>
      <c r="P234" s="199" t="s">
        <v>29</v>
      </c>
      <c r="Q234" s="199" t="s">
        <v>29</v>
      </c>
      <c r="R234" s="199" t="s">
        <v>29</v>
      </c>
      <c r="S234" s="199">
        <v>96</v>
      </c>
      <c r="T234" s="199" t="s">
        <v>29</v>
      </c>
      <c r="U234" s="199" t="s">
        <v>29</v>
      </c>
      <c r="V234" s="199" t="s">
        <v>29</v>
      </c>
      <c r="W234" s="199" t="s">
        <v>29</v>
      </c>
      <c r="X234" s="199">
        <f>SUM(N234:W234)</f>
        <v>96</v>
      </c>
    </row>
    <row r="235" spans="1:24" s="374" customFormat="1" x14ac:dyDescent="0.2">
      <c r="A235" s="122">
        <v>2018</v>
      </c>
      <c r="B235" s="199" t="s">
        <v>29</v>
      </c>
      <c r="C235" s="199" t="s">
        <v>29</v>
      </c>
      <c r="D235" s="199">
        <v>3935</v>
      </c>
      <c r="E235" s="199">
        <v>476</v>
      </c>
      <c r="F235" s="199">
        <v>1157</v>
      </c>
      <c r="G235" s="199">
        <v>123</v>
      </c>
      <c r="H235" s="199" t="s">
        <v>29</v>
      </c>
      <c r="I235" s="199" t="s">
        <v>29</v>
      </c>
      <c r="J235" s="199" t="s">
        <v>29</v>
      </c>
      <c r="K235" s="199" t="s">
        <v>29</v>
      </c>
      <c r="L235" s="199">
        <f>SUM(B235:K235)</f>
        <v>5691</v>
      </c>
      <c r="M235" s="52"/>
      <c r="N235" s="199" t="s">
        <v>29</v>
      </c>
      <c r="O235" s="199" t="s">
        <v>29</v>
      </c>
      <c r="P235" s="199" t="s">
        <v>29</v>
      </c>
      <c r="Q235" s="199" t="s">
        <v>29</v>
      </c>
      <c r="R235" s="199" t="s">
        <v>29</v>
      </c>
      <c r="S235" s="199" t="s">
        <v>29</v>
      </c>
      <c r="T235" s="199" t="s">
        <v>29</v>
      </c>
      <c r="U235" s="199" t="s">
        <v>29</v>
      </c>
      <c r="V235" s="199" t="s">
        <v>29</v>
      </c>
      <c r="W235" s="199" t="s">
        <v>29</v>
      </c>
      <c r="X235" s="199" t="s">
        <v>29</v>
      </c>
    </row>
    <row r="236" spans="1:24" s="487" customFormat="1" x14ac:dyDescent="0.2">
      <c r="A236" s="496" t="s">
        <v>398</v>
      </c>
      <c r="B236" s="199" t="s">
        <v>29</v>
      </c>
      <c r="C236" s="199" t="s">
        <v>29</v>
      </c>
      <c r="D236" s="199">
        <v>13592</v>
      </c>
      <c r="E236" s="199">
        <v>1437</v>
      </c>
      <c r="F236" s="199">
        <v>2159</v>
      </c>
      <c r="G236" s="199">
        <v>2636</v>
      </c>
      <c r="H236" s="199">
        <v>3279</v>
      </c>
      <c r="I236" s="199" t="s">
        <v>29</v>
      </c>
      <c r="J236" s="199" t="s">
        <v>29</v>
      </c>
      <c r="K236" s="199" t="s">
        <v>29</v>
      </c>
      <c r="L236" s="199">
        <f t="shared" ref="L236" si="24">SUM(B236:K236)</f>
        <v>23103</v>
      </c>
      <c r="M236" s="52"/>
      <c r="N236" s="199" t="s">
        <v>29</v>
      </c>
      <c r="O236" s="199" t="s">
        <v>29</v>
      </c>
      <c r="P236" s="199" t="s">
        <v>29</v>
      </c>
      <c r="Q236" s="199" t="s">
        <v>29</v>
      </c>
      <c r="R236" s="199">
        <v>2</v>
      </c>
      <c r="S236" s="199">
        <v>26</v>
      </c>
      <c r="T236" s="199" t="s">
        <v>29</v>
      </c>
      <c r="U236" s="199" t="s">
        <v>29</v>
      </c>
      <c r="V236" s="199" t="s">
        <v>29</v>
      </c>
      <c r="W236" s="199" t="s">
        <v>29</v>
      </c>
      <c r="X236" s="199">
        <f>SUM(N236:W236)</f>
        <v>28</v>
      </c>
    </row>
    <row r="237" spans="1:24" x14ac:dyDescent="0.2">
      <c r="A237" s="496" t="s">
        <v>399</v>
      </c>
      <c r="B237" s="198" t="s">
        <v>29</v>
      </c>
      <c r="C237" s="198" t="s">
        <v>29</v>
      </c>
      <c r="D237" s="198" t="s">
        <v>29</v>
      </c>
      <c r="E237" s="198" t="s">
        <v>116</v>
      </c>
      <c r="F237" s="198" t="s">
        <v>116</v>
      </c>
      <c r="G237" s="198">
        <v>1241</v>
      </c>
      <c r="H237" s="198">
        <v>33</v>
      </c>
      <c r="I237" s="198">
        <v>18</v>
      </c>
      <c r="J237" s="198">
        <v>0</v>
      </c>
      <c r="K237" s="198" t="s">
        <v>29</v>
      </c>
      <c r="L237" s="199">
        <f t="shared" si="23"/>
        <v>1292</v>
      </c>
      <c r="M237" s="31"/>
      <c r="N237" s="199" t="s">
        <v>29</v>
      </c>
      <c r="O237" s="199" t="s">
        <v>29</v>
      </c>
      <c r="P237" s="199" t="s">
        <v>29</v>
      </c>
      <c r="Q237" s="199" t="s">
        <v>29</v>
      </c>
      <c r="R237" s="199" t="s">
        <v>29</v>
      </c>
      <c r="S237" s="199" t="s">
        <v>29</v>
      </c>
      <c r="T237" s="199" t="s">
        <v>29</v>
      </c>
      <c r="U237" s="199" t="s">
        <v>29</v>
      </c>
      <c r="V237" s="199" t="s">
        <v>29</v>
      </c>
      <c r="W237" s="199" t="s">
        <v>29</v>
      </c>
      <c r="X237" s="199" t="s">
        <v>29</v>
      </c>
    </row>
    <row r="239" spans="1:24" x14ac:dyDescent="0.2">
      <c r="A239" s="120" t="s">
        <v>41</v>
      </c>
    </row>
    <row r="240" spans="1:24" x14ac:dyDescent="0.2">
      <c r="A240" s="383">
        <v>1976</v>
      </c>
      <c r="B240" s="200">
        <f t="shared" ref="B240:L240" si="25">IF(AND(B193="-",B146="-",B99="-",B52="-",B5="-"),"-",SUM(B193,B146,B99,B52,B5))</f>
        <v>2686</v>
      </c>
      <c r="C240" s="200">
        <f t="shared" si="25"/>
        <v>1221</v>
      </c>
      <c r="D240" s="200">
        <f t="shared" si="25"/>
        <v>6634</v>
      </c>
      <c r="E240" s="200">
        <f t="shared" si="25"/>
        <v>13031</v>
      </c>
      <c r="F240" s="200">
        <f t="shared" si="25"/>
        <v>14125</v>
      </c>
      <c r="G240" s="200">
        <f t="shared" si="25"/>
        <v>11813</v>
      </c>
      <c r="H240" s="200">
        <f t="shared" si="25"/>
        <v>12619</v>
      </c>
      <c r="I240" s="200">
        <f t="shared" si="25"/>
        <v>5654</v>
      </c>
      <c r="J240" s="200">
        <f t="shared" si="25"/>
        <v>10616</v>
      </c>
      <c r="K240" s="200">
        <f t="shared" si="25"/>
        <v>2594</v>
      </c>
      <c r="L240" s="200">
        <f t="shared" si="25"/>
        <v>80993</v>
      </c>
      <c r="N240" s="200">
        <f t="shared" ref="N240:X240" si="26">IF(AND(N193="-",N146="-",N99="-",N52="-",N5="-"),"-",SUM(N193,N146,N99,N52,N5))</f>
        <v>29</v>
      </c>
      <c r="O240" s="200">
        <f t="shared" si="26"/>
        <v>32</v>
      </c>
      <c r="P240" s="200">
        <f t="shared" si="26"/>
        <v>805</v>
      </c>
      <c r="Q240" s="200">
        <f t="shared" si="26"/>
        <v>6269</v>
      </c>
      <c r="R240" s="200">
        <f t="shared" si="26"/>
        <v>16234</v>
      </c>
      <c r="S240" s="200">
        <f t="shared" si="26"/>
        <v>24369</v>
      </c>
      <c r="T240" s="200">
        <f t="shared" si="26"/>
        <v>9184</v>
      </c>
      <c r="U240" s="200">
        <f t="shared" si="26"/>
        <v>983</v>
      </c>
      <c r="V240" s="200">
        <f t="shared" si="26"/>
        <v>1</v>
      </c>
      <c r="W240" s="200">
        <f t="shared" si="26"/>
        <v>0</v>
      </c>
      <c r="X240" s="200">
        <f t="shared" si="26"/>
        <v>57906</v>
      </c>
    </row>
    <row r="241" spans="1:24" x14ac:dyDescent="0.2">
      <c r="A241" s="383">
        <v>1977</v>
      </c>
      <c r="B241" s="200">
        <f t="shared" ref="B241:L241" si="27">IF(AND(B194="-",B147="-",B100="-",B53="-",B6="-"),"-",SUM(B194,B147,B100,B53,B6))</f>
        <v>4096</v>
      </c>
      <c r="C241" s="200">
        <f t="shared" si="27"/>
        <v>5510</v>
      </c>
      <c r="D241" s="200">
        <f t="shared" si="27"/>
        <v>15525</v>
      </c>
      <c r="E241" s="200">
        <f t="shared" si="27"/>
        <v>5038</v>
      </c>
      <c r="F241" s="200">
        <f t="shared" si="27"/>
        <v>9450</v>
      </c>
      <c r="G241" s="200">
        <f t="shared" si="27"/>
        <v>35221</v>
      </c>
      <c r="H241" s="200">
        <f t="shared" si="27"/>
        <v>14783</v>
      </c>
      <c r="I241" s="200">
        <f t="shared" si="27"/>
        <v>8406</v>
      </c>
      <c r="J241" s="200">
        <f t="shared" si="27"/>
        <v>4063</v>
      </c>
      <c r="K241" s="200">
        <f t="shared" si="27"/>
        <v>1492</v>
      </c>
      <c r="L241" s="200">
        <f t="shared" si="27"/>
        <v>103584</v>
      </c>
      <c r="N241" s="200">
        <f t="shared" ref="N241:X241" si="28">IF(AND(N194="-",N147="-",N100="-",N53="-",N6="-"),"-",SUM(N194,N147,N100,N53,N6))</f>
        <v>12</v>
      </c>
      <c r="O241" s="200">
        <f t="shared" si="28"/>
        <v>0</v>
      </c>
      <c r="P241" s="200">
        <f t="shared" si="28"/>
        <v>348</v>
      </c>
      <c r="Q241" s="200">
        <f t="shared" si="28"/>
        <v>1146</v>
      </c>
      <c r="R241" s="200">
        <f t="shared" si="28"/>
        <v>649</v>
      </c>
      <c r="S241" s="200">
        <f t="shared" si="28"/>
        <v>8032</v>
      </c>
      <c r="T241" s="200">
        <f t="shared" si="28"/>
        <v>3424</v>
      </c>
      <c r="U241" s="200">
        <f t="shared" si="28"/>
        <v>518</v>
      </c>
      <c r="V241" s="200">
        <f t="shared" si="28"/>
        <v>64</v>
      </c>
      <c r="W241" s="200">
        <f t="shared" si="28"/>
        <v>6</v>
      </c>
      <c r="X241" s="200">
        <f t="shared" si="28"/>
        <v>14199</v>
      </c>
    </row>
    <row r="242" spans="1:24" x14ac:dyDescent="0.2">
      <c r="A242" s="383">
        <v>1978</v>
      </c>
      <c r="B242" s="200">
        <f t="shared" ref="B242:L242" si="29">IF(AND(B195="-",B148="-",B101="-",B54="-",B7="-"),"-",SUM(B195,B148,B101,B54,B7))</f>
        <v>9790</v>
      </c>
      <c r="C242" s="200">
        <f t="shared" si="29"/>
        <v>8594</v>
      </c>
      <c r="D242" s="200">
        <f t="shared" si="29"/>
        <v>3149</v>
      </c>
      <c r="E242" s="200">
        <f t="shared" si="29"/>
        <v>2899</v>
      </c>
      <c r="F242" s="200">
        <f t="shared" si="29"/>
        <v>9066</v>
      </c>
      <c r="G242" s="200">
        <f t="shared" si="29"/>
        <v>15050</v>
      </c>
      <c r="H242" s="200">
        <f t="shared" si="29"/>
        <v>9001</v>
      </c>
      <c r="I242" s="200">
        <f t="shared" si="29"/>
        <v>4925</v>
      </c>
      <c r="J242" s="200">
        <f t="shared" si="29"/>
        <v>7642</v>
      </c>
      <c r="K242" s="200">
        <f t="shared" si="29"/>
        <v>2606</v>
      </c>
      <c r="L242" s="200">
        <f t="shared" si="29"/>
        <v>72722</v>
      </c>
      <c r="N242" s="200">
        <f t="shared" ref="N242:X242" si="30">IF(AND(N195="-",N148="-",N101="-",N54="-",N7="-"),"-",SUM(N195,N148,N101,N54,N7))</f>
        <v>0</v>
      </c>
      <c r="O242" s="200">
        <f t="shared" si="30"/>
        <v>0</v>
      </c>
      <c r="P242" s="200">
        <f t="shared" si="30"/>
        <v>1</v>
      </c>
      <c r="Q242" s="200">
        <f t="shared" si="30"/>
        <v>34</v>
      </c>
      <c r="R242" s="200">
        <f t="shared" si="30"/>
        <v>18334</v>
      </c>
      <c r="S242" s="200">
        <f t="shared" si="30"/>
        <v>19709</v>
      </c>
      <c r="T242" s="200">
        <f t="shared" si="30"/>
        <v>3063</v>
      </c>
      <c r="U242" s="200">
        <f t="shared" si="30"/>
        <v>94</v>
      </c>
      <c r="V242" s="200">
        <f t="shared" si="30"/>
        <v>0</v>
      </c>
      <c r="W242" s="200">
        <f t="shared" si="30"/>
        <v>0</v>
      </c>
      <c r="X242" s="200">
        <f t="shared" si="30"/>
        <v>41235</v>
      </c>
    </row>
    <row r="243" spans="1:24" x14ac:dyDescent="0.2">
      <c r="A243" s="383">
        <v>1979</v>
      </c>
      <c r="B243" s="200">
        <f t="shared" ref="B243:L243" si="31">IF(AND(B196="-",B149="-",B102="-",B55="-",B8="-"),"-",SUM(B196,B149,B102,B55,B8))</f>
        <v>7876</v>
      </c>
      <c r="C243" s="200">
        <f t="shared" si="31"/>
        <v>15161</v>
      </c>
      <c r="D243" s="200">
        <f t="shared" si="31"/>
        <v>11597</v>
      </c>
      <c r="E243" s="200">
        <f t="shared" si="31"/>
        <v>5219</v>
      </c>
      <c r="F243" s="200">
        <f t="shared" si="31"/>
        <v>16617</v>
      </c>
      <c r="G243" s="200">
        <f t="shared" si="31"/>
        <v>28382</v>
      </c>
      <c r="H243" s="200">
        <f t="shared" si="31"/>
        <v>14353</v>
      </c>
      <c r="I243" s="200">
        <f t="shared" si="31"/>
        <v>13456</v>
      </c>
      <c r="J243" s="200">
        <f t="shared" si="31"/>
        <v>6967</v>
      </c>
      <c r="K243" s="200">
        <f t="shared" si="31"/>
        <v>0</v>
      </c>
      <c r="L243" s="200">
        <f t="shared" si="31"/>
        <v>119628</v>
      </c>
      <c r="N243" s="200">
        <f t="shared" ref="N243:X243" si="32">IF(AND(N196="-",N149="-",N102="-",N55="-",N8="-"),"-",SUM(N196,N149,N102,N55,N8))</f>
        <v>10</v>
      </c>
      <c r="O243" s="200">
        <f t="shared" si="32"/>
        <v>39</v>
      </c>
      <c r="P243" s="200">
        <f t="shared" si="32"/>
        <v>23</v>
      </c>
      <c r="Q243" s="200">
        <f t="shared" si="32"/>
        <v>196</v>
      </c>
      <c r="R243" s="200">
        <f t="shared" si="32"/>
        <v>4818</v>
      </c>
      <c r="S243" s="200">
        <f t="shared" si="32"/>
        <v>11877</v>
      </c>
      <c r="T243" s="200">
        <f t="shared" si="32"/>
        <v>4258</v>
      </c>
      <c r="U243" s="200">
        <f t="shared" si="32"/>
        <v>57</v>
      </c>
      <c r="V243" s="200">
        <f t="shared" si="32"/>
        <v>0</v>
      </c>
      <c r="W243" s="200" t="str">
        <f t="shared" si="32"/>
        <v>-</v>
      </c>
      <c r="X243" s="200">
        <f t="shared" si="32"/>
        <v>21278</v>
      </c>
    </row>
    <row r="244" spans="1:24" x14ac:dyDescent="0.2">
      <c r="A244" s="383">
        <v>1980</v>
      </c>
      <c r="B244" s="200">
        <f t="shared" ref="B244:L244" si="33">IF(AND(B197="-",B150="-",B103="-",B56="-",B9="-"),"-",SUM(B197,B150,B103,B56,B9))</f>
        <v>4703</v>
      </c>
      <c r="C244" s="200">
        <f t="shared" si="33"/>
        <v>12033</v>
      </c>
      <c r="D244" s="200">
        <f t="shared" si="33"/>
        <v>6671</v>
      </c>
      <c r="E244" s="200">
        <f t="shared" si="33"/>
        <v>5807</v>
      </c>
      <c r="F244" s="200">
        <f t="shared" si="33"/>
        <v>18229</v>
      </c>
      <c r="G244" s="200">
        <f t="shared" si="33"/>
        <v>19379</v>
      </c>
      <c r="H244" s="200">
        <f t="shared" si="33"/>
        <v>8911</v>
      </c>
      <c r="I244" s="200">
        <f t="shared" si="33"/>
        <v>5404</v>
      </c>
      <c r="J244" s="200">
        <f t="shared" si="33"/>
        <v>4048</v>
      </c>
      <c r="K244" s="200">
        <f t="shared" si="33"/>
        <v>0</v>
      </c>
      <c r="L244" s="200">
        <f t="shared" si="33"/>
        <v>85185</v>
      </c>
      <c r="N244" s="200">
        <f t="shared" ref="N244:X244" si="34">IF(AND(N197="-",N150="-",N103="-",N56="-",N9="-"),"-",SUM(N197,N150,N103,N56,N9))</f>
        <v>0</v>
      </c>
      <c r="O244" s="200">
        <f t="shared" si="34"/>
        <v>0</v>
      </c>
      <c r="P244" s="200">
        <f t="shared" si="34"/>
        <v>17</v>
      </c>
      <c r="Q244" s="200">
        <f t="shared" si="34"/>
        <v>78</v>
      </c>
      <c r="R244" s="200">
        <f t="shared" si="34"/>
        <v>3833</v>
      </c>
      <c r="S244" s="200">
        <f t="shared" si="34"/>
        <v>15072</v>
      </c>
      <c r="T244" s="200">
        <f t="shared" si="34"/>
        <v>1985</v>
      </c>
      <c r="U244" s="200">
        <f t="shared" si="34"/>
        <v>178</v>
      </c>
      <c r="V244" s="200">
        <f t="shared" si="34"/>
        <v>8</v>
      </c>
      <c r="W244" s="200" t="str">
        <f t="shared" si="34"/>
        <v>-</v>
      </c>
      <c r="X244" s="200">
        <f t="shared" si="34"/>
        <v>21171</v>
      </c>
    </row>
    <row r="245" spans="1:24" x14ac:dyDescent="0.2">
      <c r="A245" s="383">
        <v>1981</v>
      </c>
      <c r="B245" s="200">
        <f t="shared" ref="B245:L245" si="35">IF(AND(B198="-",B151="-",B104="-",B57="-",B10="-"),"-",SUM(B198,B151,B104,B57,B10))</f>
        <v>3393</v>
      </c>
      <c r="C245" s="200">
        <f t="shared" si="35"/>
        <v>3141</v>
      </c>
      <c r="D245" s="200">
        <f t="shared" si="35"/>
        <v>8471</v>
      </c>
      <c r="E245" s="200">
        <f t="shared" si="35"/>
        <v>3372</v>
      </c>
      <c r="F245" s="200">
        <f t="shared" si="35"/>
        <v>10649</v>
      </c>
      <c r="G245" s="200">
        <f t="shared" si="35"/>
        <v>23703</v>
      </c>
      <c r="H245" s="200">
        <f t="shared" si="35"/>
        <v>16074</v>
      </c>
      <c r="I245" s="200">
        <f t="shared" si="35"/>
        <v>8912</v>
      </c>
      <c r="J245" s="200">
        <f t="shared" si="35"/>
        <v>4993</v>
      </c>
      <c r="K245" s="200">
        <f t="shared" si="35"/>
        <v>1319</v>
      </c>
      <c r="L245" s="200">
        <f t="shared" si="35"/>
        <v>84027</v>
      </c>
      <c r="N245" s="200">
        <f t="shared" ref="N245:X245" si="36">IF(AND(N198="-",N151="-",N104="-",N57="-",N10="-"),"-",SUM(N198,N151,N104,N57,N10))</f>
        <v>0</v>
      </c>
      <c r="O245" s="200">
        <f t="shared" si="36"/>
        <v>0</v>
      </c>
      <c r="P245" s="200">
        <f t="shared" si="36"/>
        <v>0</v>
      </c>
      <c r="Q245" s="200">
        <f t="shared" si="36"/>
        <v>0</v>
      </c>
      <c r="R245" s="200">
        <f t="shared" si="36"/>
        <v>946</v>
      </c>
      <c r="S245" s="200">
        <f t="shared" si="36"/>
        <v>5308</v>
      </c>
      <c r="T245" s="200">
        <f t="shared" si="36"/>
        <v>3983</v>
      </c>
      <c r="U245" s="200">
        <f t="shared" si="36"/>
        <v>197</v>
      </c>
      <c r="V245" s="200">
        <f t="shared" si="36"/>
        <v>147</v>
      </c>
      <c r="W245" s="200">
        <f t="shared" si="36"/>
        <v>0</v>
      </c>
      <c r="X245" s="200">
        <f t="shared" si="36"/>
        <v>10581</v>
      </c>
    </row>
    <row r="246" spans="1:24" x14ac:dyDescent="0.2">
      <c r="A246" s="383">
        <v>1982</v>
      </c>
      <c r="B246" s="200">
        <f t="shared" ref="B246:L246" si="37">IF(AND(B199="-",B152="-",B105="-",B58="-",B11="-"),"-",SUM(B199,B152,B105,B58,B11))</f>
        <v>11187</v>
      </c>
      <c r="C246" s="200">
        <f t="shared" si="37"/>
        <v>11379</v>
      </c>
      <c r="D246" s="200">
        <f t="shared" si="37"/>
        <v>5052</v>
      </c>
      <c r="E246" s="200">
        <f t="shared" si="37"/>
        <v>7406</v>
      </c>
      <c r="F246" s="200">
        <f t="shared" si="37"/>
        <v>15911</v>
      </c>
      <c r="G246" s="200">
        <f t="shared" si="37"/>
        <v>24307</v>
      </c>
      <c r="H246" s="200">
        <f t="shared" si="37"/>
        <v>31220</v>
      </c>
      <c r="I246" s="200">
        <f t="shared" si="37"/>
        <v>15112</v>
      </c>
      <c r="J246" s="200">
        <f t="shared" si="37"/>
        <v>13952</v>
      </c>
      <c r="K246" s="200">
        <f t="shared" si="37"/>
        <v>3198</v>
      </c>
      <c r="L246" s="200">
        <f t="shared" si="37"/>
        <v>138724</v>
      </c>
      <c r="N246" s="200">
        <f t="shared" ref="N246:X246" si="38">IF(AND(N199="-",N152="-",N105="-",N58="-",N11="-"),"-",SUM(N199,N152,N105,N58,N11))</f>
        <v>0</v>
      </c>
      <c r="O246" s="200">
        <f t="shared" si="38"/>
        <v>0</v>
      </c>
      <c r="P246" s="200">
        <f t="shared" si="38"/>
        <v>0</v>
      </c>
      <c r="Q246" s="200">
        <f t="shared" si="38"/>
        <v>532</v>
      </c>
      <c r="R246" s="200">
        <f t="shared" si="38"/>
        <v>10648</v>
      </c>
      <c r="S246" s="200">
        <f t="shared" si="38"/>
        <v>12133</v>
      </c>
      <c r="T246" s="200">
        <f t="shared" si="38"/>
        <v>3242</v>
      </c>
      <c r="U246" s="200">
        <f t="shared" si="38"/>
        <v>139</v>
      </c>
      <c r="V246" s="200">
        <f t="shared" si="38"/>
        <v>0</v>
      </c>
      <c r="W246" s="200">
        <f t="shared" si="38"/>
        <v>0</v>
      </c>
      <c r="X246" s="200">
        <f t="shared" si="38"/>
        <v>26694</v>
      </c>
    </row>
    <row r="247" spans="1:24" x14ac:dyDescent="0.2">
      <c r="A247" s="383">
        <v>1983</v>
      </c>
      <c r="B247" s="200">
        <f t="shared" ref="B247:L247" si="39">IF(AND(B200="-",B153="-",B106="-",B59="-",B12="-"),"-",SUM(B200,B153,B106,B59,B12))</f>
        <v>2627</v>
      </c>
      <c r="C247" s="200">
        <f t="shared" si="39"/>
        <v>3080</v>
      </c>
      <c r="D247" s="200">
        <f t="shared" si="39"/>
        <v>4790</v>
      </c>
      <c r="E247" s="200">
        <f t="shared" si="39"/>
        <v>11389</v>
      </c>
      <c r="F247" s="200">
        <f t="shared" si="39"/>
        <v>12427</v>
      </c>
      <c r="G247" s="200">
        <f t="shared" si="39"/>
        <v>15104</v>
      </c>
      <c r="H247" s="200">
        <f t="shared" si="39"/>
        <v>8189</v>
      </c>
      <c r="I247" s="200">
        <f t="shared" si="39"/>
        <v>4550</v>
      </c>
      <c r="J247" s="200">
        <f t="shared" si="39"/>
        <v>1610</v>
      </c>
      <c r="K247" s="200">
        <f t="shared" si="39"/>
        <v>56</v>
      </c>
      <c r="L247" s="200">
        <f t="shared" si="39"/>
        <v>63822</v>
      </c>
      <c r="N247" s="200">
        <f t="shared" ref="N247:X247" si="40">IF(AND(N200="-",N153="-",N106="-",N59="-",N12="-"),"-",SUM(N200,N153,N106,N59,N12))</f>
        <v>0</v>
      </c>
      <c r="O247" s="200">
        <f t="shared" si="40"/>
        <v>3</v>
      </c>
      <c r="P247" s="200">
        <f t="shared" si="40"/>
        <v>56</v>
      </c>
      <c r="Q247" s="200">
        <f t="shared" si="40"/>
        <v>54</v>
      </c>
      <c r="R247" s="200">
        <f t="shared" si="40"/>
        <v>9640</v>
      </c>
      <c r="S247" s="200">
        <f t="shared" si="40"/>
        <v>13247</v>
      </c>
      <c r="T247" s="200">
        <f t="shared" si="40"/>
        <v>3978</v>
      </c>
      <c r="U247" s="200">
        <f t="shared" si="40"/>
        <v>268</v>
      </c>
      <c r="V247" s="200">
        <f t="shared" si="40"/>
        <v>0</v>
      </c>
      <c r="W247" s="200">
        <f t="shared" si="40"/>
        <v>0</v>
      </c>
      <c r="X247" s="200">
        <f t="shared" si="40"/>
        <v>27246</v>
      </c>
    </row>
    <row r="248" spans="1:24" x14ac:dyDescent="0.2">
      <c r="A248" s="383">
        <v>1984</v>
      </c>
      <c r="B248" s="200">
        <f t="shared" ref="B248:L248" si="41">IF(AND(B201="-",B154="-",B107="-",B60="-",B13="-"),"-",SUM(B201,B154,B107,B60,B13))</f>
        <v>392</v>
      </c>
      <c r="C248" s="200">
        <f t="shared" si="41"/>
        <v>758</v>
      </c>
      <c r="D248" s="200">
        <f t="shared" si="41"/>
        <v>5932</v>
      </c>
      <c r="E248" s="200">
        <f t="shared" si="41"/>
        <v>7434</v>
      </c>
      <c r="F248" s="200">
        <f t="shared" si="41"/>
        <v>17264</v>
      </c>
      <c r="G248" s="200">
        <f t="shared" si="41"/>
        <v>26585</v>
      </c>
      <c r="H248" s="200">
        <f t="shared" si="41"/>
        <v>18901</v>
      </c>
      <c r="I248" s="200">
        <f t="shared" si="41"/>
        <v>7461</v>
      </c>
      <c r="J248" s="200">
        <f t="shared" si="41"/>
        <v>2317</v>
      </c>
      <c r="K248" s="200">
        <f t="shared" si="41"/>
        <v>759</v>
      </c>
      <c r="L248" s="200">
        <f t="shared" si="41"/>
        <v>87803</v>
      </c>
      <c r="N248" s="200">
        <f t="shared" ref="N248:X248" si="42">IF(AND(N201="-",N154="-",N107="-",N60="-",N13="-"),"-",SUM(N201,N154,N107,N60,N13))</f>
        <v>0</v>
      </c>
      <c r="O248" s="200">
        <f t="shared" si="42"/>
        <v>0</v>
      </c>
      <c r="P248" s="200">
        <f t="shared" si="42"/>
        <v>2</v>
      </c>
      <c r="Q248" s="200">
        <f t="shared" si="42"/>
        <v>79</v>
      </c>
      <c r="R248" s="200">
        <f t="shared" si="42"/>
        <v>175</v>
      </c>
      <c r="S248" s="200">
        <f t="shared" si="42"/>
        <v>15819</v>
      </c>
      <c r="T248" s="200">
        <f t="shared" si="42"/>
        <v>2845</v>
      </c>
      <c r="U248" s="200">
        <f t="shared" si="42"/>
        <v>64</v>
      </c>
      <c r="V248" s="200">
        <f t="shared" si="42"/>
        <v>0</v>
      </c>
      <c r="W248" s="200">
        <f t="shared" si="42"/>
        <v>0</v>
      </c>
      <c r="X248" s="200">
        <f t="shared" si="42"/>
        <v>18984</v>
      </c>
    </row>
    <row r="249" spans="1:24" x14ac:dyDescent="0.2">
      <c r="A249" s="383">
        <v>1985</v>
      </c>
      <c r="B249" s="200">
        <f t="shared" ref="B249:L249" si="43">IF(AND(B202="-",B155="-",B108="-",B61="-",B14="-"),"-",SUM(B202,B155,B108,B61,B14))</f>
        <v>12134</v>
      </c>
      <c r="C249" s="200">
        <f t="shared" si="43"/>
        <v>17970</v>
      </c>
      <c r="D249" s="200">
        <f t="shared" si="43"/>
        <v>11950</v>
      </c>
      <c r="E249" s="200">
        <f t="shared" si="43"/>
        <v>17575</v>
      </c>
      <c r="F249" s="200">
        <f t="shared" si="43"/>
        <v>28587</v>
      </c>
      <c r="G249" s="200">
        <f t="shared" si="43"/>
        <v>45422</v>
      </c>
      <c r="H249" s="200">
        <f t="shared" si="43"/>
        <v>23552</v>
      </c>
      <c r="I249" s="200">
        <f t="shared" si="43"/>
        <v>7302</v>
      </c>
      <c r="J249" s="200">
        <f t="shared" si="43"/>
        <v>4898</v>
      </c>
      <c r="K249" s="200">
        <f t="shared" si="43"/>
        <v>1719</v>
      </c>
      <c r="L249" s="200">
        <f t="shared" si="43"/>
        <v>171109</v>
      </c>
      <c r="N249" s="200">
        <f t="shared" ref="N249:X249" si="44">IF(AND(N202="-",N155="-",N108="-",N61="-",N14="-"),"-",SUM(N202,N155,N108,N61,N14))</f>
        <v>0</v>
      </c>
      <c r="O249" s="200">
        <f t="shared" si="44"/>
        <v>0</v>
      </c>
      <c r="P249" s="200">
        <f t="shared" si="44"/>
        <v>48</v>
      </c>
      <c r="Q249" s="200">
        <f t="shared" si="44"/>
        <v>979</v>
      </c>
      <c r="R249" s="200">
        <f t="shared" si="44"/>
        <v>1023</v>
      </c>
      <c r="S249" s="200">
        <f t="shared" si="44"/>
        <v>8798</v>
      </c>
      <c r="T249" s="200">
        <f t="shared" si="44"/>
        <v>4337</v>
      </c>
      <c r="U249" s="200">
        <f t="shared" si="44"/>
        <v>642</v>
      </c>
      <c r="V249" s="200">
        <f t="shared" si="44"/>
        <v>0</v>
      </c>
      <c r="W249" s="200">
        <f t="shared" si="44"/>
        <v>0</v>
      </c>
      <c r="X249" s="200">
        <f t="shared" si="44"/>
        <v>15827</v>
      </c>
    </row>
    <row r="250" spans="1:24" x14ac:dyDescent="0.2">
      <c r="A250" s="383">
        <v>1986</v>
      </c>
      <c r="B250" s="200">
        <f t="shared" ref="B250:L250" si="45">IF(AND(B203="-",B156="-",B109="-",B62="-",B15="-"),"-",SUM(B203,B156,B109,B62,B15))</f>
        <v>1183</v>
      </c>
      <c r="C250" s="200">
        <f t="shared" si="45"/>
        <v>16091</v>
      </c>
      <c r="D250" s="200">
        <f t="shared" si="45"/>
        <v>23458</v>
      </c>
      <c r="E250" s="200">
        <f t="shared" si="45"/>
        <v>9528</v>
      </c>
      <c r="F250" s="200">
        <f t="shared" si="45"/>
        <v>24729</v>
      </c>
      <c r="G250" s="200">
        <f t="shared" si="45"/>
        <v>37415</v>
      </c>
      <c r="H250" s="200">
        <f t="shared" si="45"/>
        <v>21386</v>
      </c>
      <c r="I250" s="200">
        <f t="shared" si="45"/>
        <v>5280</v>
      </c>
      <c r="J250" s="200">
        <f t="shared" si="45"/>
        <v>1962</v>
      </c>
      <c r="K250" s="200">
        <f t="shared" si="45"/>
        <v>584</v>
      </c>
      <c r="L250" s="200">
        <f t="shared" si="45"/>
        <v>141616</v>
      </c>
      <c r="N250" s="200">
        <f t="shared" ref="N250:X250" si="46">IF(AND(N203="-",N156="-",N109="-",N62="-",N15="-"),"-",SUM(N203,N156,N109,N62,N15))</f>
        <v>0</v>
      </c>
      <c r="O250" s="200">
        <f t="shared" si="46"/>
        <v>2</v>
      </c>
      <c r="P250" s="200">
        <f t="shared" si="46"/>
        <v>0</v>
      </c>
      <c r="Q250" s="200">
        <f t="shared" si="46"/>
        <v>495</v>
      </c>
      <c r="R250" s="200">
        <f t="shared" si="46"/>
        <v>5510</v>
      </c>
      <c r="S250" s="200">
        <f t="shared" si="46"/>
        <v>9088</v>
      </c>
      <c r="T250" s="200">
        <f t="shared" si="46"/>
        <v>3616</v>
      </c>
      <c r="U250" s="200">
        <f t="shared" si="46"/>
        <v>15</v>
      </c>
      <c r="V250" s="200">
        <f t="shared" si="46"/>
        <v>2</v>
      </c>
      <c r="W250" s="200">
        <f t="shared" si="46"/>
        <v>0</v>
      </c>
      <c r="X250" s="200">
        <f t="shared" si="46"/>
        <v>18728</v>
      </c>
    </row>
    <row r="251" spans="1:24" x14ac:dyDescent="0.2">
      <c r="A251" s="383">
        <v>1987</v>
      </c>
      <c r="B251" s="200">
        <f t="shared" ref="B251:L251" si="47">IF(AND(B204="-",B157="-",B110="-",B63="-",B16="-"),"-",SUM(B204,B157,B110,B63,B16))</f>
        <v>5520</v>
      </c>
      <c r="C251" s="200">
        <f t="shared" si="47"/>
        <v>14084</v>
      </c>
      <c r="D251" s="200">
        <f t="shared" si="47"/>
        <v>19211</v>
      </c>
      <c r="E251" s="200">
        <f t="shared" si="47"/>
        <v>12368</v>
      </c>
      <c r="F251" s="200">
        <f t="shared" si="47"/>
        <v>23113</v>
      </c>
      <c r="G251" s="200">
        <f t="shared" si="47"/>
        <v>51041</v>
      </c>
      <c r="H251" s="200">
        <f t="shared" si="47"/>
        <v>44051</v>
      </c>
      <c r="I251" s="200">
        <f t="shared" si="47"/>
        <v>14946</v>
      </c>
      <c r="J251" s="200">
        <f t="shared" si="47"/>
        <v>7126</v>
      </c>
      <c r="K251" s="200">
        <f t="shared" si="47"/>
        <v>1083</v>
      </c>
      <c r="L251" s="200">
        <f t="shared" si="47"/>
        <v>192543</v>
      </c>
      <c r="N251" s="200">
        <f t="shared" ref="N251:X251" si="48">IF(AND(N204="-",N157="-",N110="-",N63="-",N16="-"),"-",SUM(N204,N157,N110,N63,N16))</f>
        <v>0</v>
      </c>
      <c r="O251" s="200">
        <f t="shared" si="48"/>
        <v>0</v>
      </c>
      <c r="P251" s="200">
        <f t="shared" si="48"/>
        <v>0</v>
      </c>
      <c r="Q251" s="200">
        <f t="shared" si="48"/>
        <v>85</v>
      </c>
      <c r="R251" s="200">
        <f t="shared" si="48"/>
        <v>5070</v>
      </c>
      <c r="S251" s="200">
        <f t="shared" si="48"/>
        <v>33086</v>
      </c>
      <c r="T251" s="200">
        <f t="shared" si="48"/>
        <v>7519</v>
      </c>
      <c r="U251" s="200">
        <f t="shared" si="48"/>
        <v>1493</v>
      </c>
      <c r="V251" s="200">
        <f t="shared" si="48"/>
        <v>0</v>
      </c>
      <c r="W251" s="200">
        <f t="shared" si="48"/>
        <v>0</v>
      </c>
      <c r="X251" s="200">
        <f t="shared" si="48"/>
        <v>47253</v>
      </c>
    </row>
    <row r="252" spans="1:24" x14ac:dyDescent="0.2">
      <c r="A252" s="383">
        <v>1988</v>
      </c>
      <c r="B252" s="200">
        <f t="shared" ref="B252:L252" si="49">IF(AND(B205="-",B158="-",B111="-",B64="-",B17="-"),"-",SUM(B205,B158,B111,B64,B17))</f>
        <v>6808</v>
      </c>
      <c r="C252" s="200">
        <f t="shared" si="49"/>
        <v>15934</v>
      </c>
      <c r="D252" s="200">
        <f t="shared" si="49"/>
        <v>24943</v>
      </c>
      <c r="E252" s="200">
        <f t="shared" si="49"/>
        <v>20482</v>
      </c>
      <c r="F252" s="200">
        <f t="shared" si="49"/>
        <v>38219</v>
      </c>
      <c r="G252" s="200">
        <f t="shared" si="49"/>
        <v>43329</v>
      </c>
      <c r="H252" s="200">
        <f t="shared" si="49"/>
        <v>12190</v>
      </c>
      <c r="I252" s="200">
        <f t="shared" si="49"/>
        <v>4032</v>
      </c>
      <c r="J252" s="200">
        <f t="shared" si="49"/>
        <v>4610</v>
      </c>
      <c r="K252" s="200">
        <f t="shared" si="49"/>
        <v>814</v>
      </c>
      <c r="L252" s="200">
        <f t="shared" si="49"/>
        <v>171361</v>
      </c>
      <c r="N252" s="200">
        <f t="shared" ref="N252:X252" si="50">IF(AND(N205="-",N158="-",N111="-",N64="-",N17="-"),"-",SUM(N205,N158,N111,N64,N17))</f>
        <v>0</v>
      </c>
      <c r="O252" s="200">
        <f t="shared" si="50"/>
        <v>1</v>
      </c>
      <c r="P252" s="200">
        <f t="shared" si="50"/>
        <v>21</v>
      </c>
      <c r="Q252" s="200">
        <f t="shared" si="50"/>
        <v>876</v>
      </c>
      <c r="R252" s="200">
        <f t="shared" si="50"/>
        <v>4341</v>
      </c>
      <c r="S252" s="200">
        <f t="shared" si="50"/>
        <v>25346</v>
      </c>
      <c r="T252" s="200">
        <f t="shared" si="50"/>
        <v>3680</v>
      </c>
      <c r="U252" s="200">
        <f t="shared" si="50"/>
        <v>445</v>
      </c>
      <c r="V252" s="200">
        <f t="shared" si="50"/>
        <v>0</v>
      </c>
      <c r="W252" s="200">
        <f t="shared" si="50"/>
        <v>0</v>
      </c>
      <c r="X252" s="200">
        <f t="shared" si="50"/>
        <v>34710</v>
      </c>
    </row>
    <row r="253" spans="1:24" x14ac:dyDescent="0.2">
      <c r="A253" s="383">
        <v>1989</v>
      </c>
      <c r="B253" s="200">
        <f t="shared" ref="B253:L253" si="51">IF(AND(B206="-",B159="-",B112="-",B65="-",B18="-"),"-",SUM(B206,B159,B112,B65,B18))</f>
        <v>7950</v>
      </c>
      <c r="C253" s="200">
        <f t="shared" si="51"/>
        <v>12734</v>
      </c>
      <c r="D253" s="200">
        <f t="shared" si="51"/>
        <v>42566</v>
      </c>
      <c r="E253" s="200">
        <f t="shared" si="51"/>
        <v>8554</v>
      </c>
      <c r="F253" s="200">
        <f t="shared" si="51"/>
        <v>27839</v>
      </c>
      <c r="G253" s="200">
        <f t="shared" si="51"/>
        <v>48712</v>
      </c>
      <c r="H253" s="200">
        <f t="shared" si="51"/>
        <v>19748</v>
      </c>
      <c r="I253" s="200">
        <f t="shared" si="51"/>
        <v>12370</v>
      </c>
      <c r="J253" s="200">
        <f t="shared" si="51"/>
        <v>3744</v>
      </c>
      <c r="K253" s="200">
        <f t="shared" si="51"/>
        <v>2410</v>
      </c>
      <c r="L253" s="200">
        <f t="shared" si="51"/>
        <v>186627</v>
      </c>
      <c r="N253" s="200">
        <f t="shared" ref="N253:X253" si="52">IF(AND(N206="-",N159="-",N112="-",N65="-",N18="-"),"-",SUM(N206,N159,N112,N65,N18))</f>
        <v>0</v>
      </c>
      <c r="O253" s="200">
        <f t="shared" si="52"/>
        <v>0</v>
      </c>
      <c r="P253" s="200">
        <f t="shared" si="52"/>
        <v>115</v>
      </c>
      <c r="Q253" s="200">
        <f t="shared" si="52"/>
        <v>1822</v>
      </c>
      <c r="R253" s="200">
        <f t="shared" si="52"/>
        <v>14082</v>
      </c>
      <c r="S253" s="200">
        <f t="shared" si="52"/>
        <v>27208</v>
      </c>
      <c r="T253" s="200">
        <f t="shared" si="52"/>
        <v>6188</v>
      </c>
      <c r="U253" s="200">
        <f t="shared" si="52"/>
        <v>189</v>
      </c>
      <c r="V253" s="200">
        <f t="shared" si="52"/>
        <v>0</v>
      </c>
      <c r="W253" s="200">
        <f t="shared" si="52"/>
        <v>0</v>
      </c>
      <c r="X253" s="200">
        <f t="shared" si="52"/>
        <v>49604</v>
      </c>
    </row>
    <row r="254" spans="1:24" x14ac:dyDescent="0.2">
      <c r="A254" s="383">
        <v>1990</v>
      </c>
      <c r="B254" s="200">
        <f t="shared" ref="B254:L254" si="53">IF(AND(B207="-",B160="-",B113="-",B66="-",B19="-"),"-",SUM(B207,B160,B113,B66,B19))</f>
        <v>6690</v>
      </c>
      <c r="C254" s="200">
        <f t="shared" si="53"/>
        <v>17599</v>
      </c>
      <c r="D254" s="200">
        <f t="shared" si="53"/>
        <v>21645</v>
      </c>
      <c r="E254" s="200">
        <f t="shared" si="53"/>
        <v>6088</v>
      </c>
      <c r="F254" s="200">
        <f t="shared" si="53"/>
        <v>28109</v>
      </c>
      <c r="G254" s="200">
        <f t="shared" si="53"/>
        <v>34015</v>
      </c>
      <c r="H254" s="200">
        <f t="shared" si="53"/>
        <v>15185</v>
      </c>
      <c r="I254" s="200">
        <f t="shared" si="53"/>
        <v>5039</v>
      </c>
      <c r="J254" s="200">
        <f t="shared" si="53"/>
        <v>3756</v>
      </c>
      <c r="K254" s="200">
        <f t="shared" si="53"/>
        <v>1703</v>
      </c>
      <c r="L254" s="200">
        <f t="shared" si="53"/>
        <v>139829</v>
      </c>
      <c r="N254" s="200">
        <f t="shared" ref="N254:X254" si="54">IF(AND(N207="-",N160="-",N113="-",N66="-",N19="-"),"-",SUM(N207,N160,N113,N66,N19))</f>
        <v>0</v>
      </c>
      <c r="O254" s="200">
        <f t="shared" si="54"/>
        <v>0</v>
      </c>
      <c r="P254" s="200">
        <f t="shared" si="54"/>
        <v>144</v>
      </c>
      <c r="Q254" s="200">
        <f t="shared" si="54"/>
        <v>1437</v>
      </c>
      <c r="R254" s="200">
        <f t="shared" si="54"/>
        <v>23058</v>
      </c>
      <c r="S254" s="200">
        <f t="shared" si="54"/>
        <v>21567</v>
      </c>
      <c r="T254" s="200">
        <f t="shared" si="54"/>
        <v>4707</v>
      </c>
      <c r="U254" s="200">
        <f t="shared" si="54"/>
        <v>673</v>
      </c>
      <c r="V254" s="200">
        <f t="shared" si="54"/>
        <v>59</v>
      </c>
      <c r="W254" s="200">
        <f t="shared" si="54"/>
        <v>0</v>
      </c>
      <c r="X254" s="200">
        <f t="shared" si="54"/>
        <v>51645</v>
      </c>
    </row>
    <row r="255" spans="1:24" x14ac:dyDescent="0.2">
      <c r="A255" s="383">
        <v>1991</v>
      </c>
      <c r="B255" s="200">
        <f t="shared" ref="B255:L255" si="55">IF(AND(B208="-",B161="-",B114="-",B67="-",B20="-"),"-",SUM(B208,B161,B114,B67,B20))</f>
        <v>53</v>
      </c>
      <c r="C255" s="200">
        <f t="shared" si="55"/>
        <v>7948</v>
      </c>
      <c r="D255" s="200">
        <f t="shared" si="55"/>
        <v>13029</v>
      </c>
      <c r="E255" s="200">
        <f t="shared" si="55"/>
        <v>4825</v>
      </c>
      <c r="F255" s="200">
        <f t="shared" si="55"/>
        <v>19906</v>
      </c>
      <c r="G255" s="200">
        <f t="shared" si="55"/>
        <v>25123</v>
      </c>
      <c r="H255" s="200">
        <f t="shared" si="55"/>
        <v>5742</v>
      </c>
      <c r="I255" s="200">
        <f t="shared" si="55"/>
        <v>1952</v>
      </c>
      <c r="J255" s="200">
        <f t="shared" si="55"/>
        <v>2232</v>
      </c>
      <c r="K255" s="200">
        <f t="shared" si="55"/>
        <v>23</v>
      </c>
      <c r="L255" s="200">
        <f t="shared" si="55"/>
        <v>80833</v>
      </c>
      <c r="N255" s="200">
        <f t="shared" ref="N255:X255" si="56">IF(AND(N208="-",N161="-",N114="-",N67="-",N20="-"),"-",SUM(N208,N161,N114,N67,N20))</f>
        <v>0</v>
      </c>
      <c r="O255" s="200">
        <f t="shared" si="56"/>
        <v>2</v>
      </c>
      <c r="P255" s="200">
        <f t="shared" si="56"/>
        <v>11</v>
      </c>
      <c r="Q255" s="200">
        <f t="shared" si="56"/>
        <v>681</v>
      </c>
      <c r="R255" s="200">
        <f t="shared" si="56"/>
        <v>34485</v>
      </c>
      <c r="S255" s="200">
        <f t="shared" si="56"/>
        <v>31893</v>
      </c>
      <c r="T255" s="200">
        <f t="shared" si="56"/>
        <v>1599</v>
      </c>
      <c r="U255" s="200">
        <f t="shared" si="56"/>
        <v>543</v>
      </c>
      <c r="V255" s="200">
        <f t="shared" si="56"/>
        <v>49</v>
      </c>
      <c r="W255" s="200">
        <f t="shared" si="56"/>
        <v>0</v>
      </c>
      <c r="X255" s="200">
        <f t="shared" si="56"/>
        <v>69263</v>
      </c>
    </row>
    <row r="256" spans="1:24" x14ac:dyDescent="0.2">
      <c r="A256" s="383">
        <v>1992</v>
      </c>
      <c r="B256" s="200">
        <f t="shared" ref="B256:L256" si="57">IF(AND(B209="-",B162="-",B115="-",B68="-",B21="-"),"-",SUM(B209,B162,B115,B68,B21))</f>
        <v>473</v>
      </c>
      <c r="C256" s="200">
        <f t="shared" si="57"/>
        <v>3407</v>
      </c>
      <c r="D256" s="200">
        <f t="shared" si="57"/>
        <v>5410</v>
      </c>
      <c r="E256" s="200">
        <f t="shared" si="57"/>
        <v>6325</v>
      </c>
      <c r="F256" s="200">
        <f t="shared" si="57"/>
        <v>9460</v>
      </c>
      <c r="G256" s="200">
        <f t="shared" si="57"/>
        <v>24340</v>
      </c>
      <c r="H256" s="200">
        <f t="shared" si="57"/>
        <v>10106</v>
      </c>
      <c r="I256" s="200">
        <f t="shared" si="57"/>
        <v>10280</v>
      </c>
      <c r="J256" s="200">
        <f t="shared" si="57"/>
        <v>3322</v>
      </c>
      <c r="K256" s="200">
        <f t="shared" si="57"/>
        <v>454</v>
      </c>
      <c r="L256" s="200">
        <f t="shared" si="57"/>
        <v>73577</v>
      </c>
      <c r="N256" s="200">
        <f t="shared" ref="N256:X256" si="58">IF(AND(N209="-",N162="-",N115="-",N68="-",N21="-"),"-",SUM(N209,N162,N115,N68,N21))</f>
        <v>1</v>
      </c>
      <c r="O256" s="200">
        <f t="shared" si="58"/>
        <v>8</v>
      </c>
      <c r="P256" s="200">
        <f t="shared" si="58"/>
        <v>10</v>
      </c>
      <c r="Q256" s="200">
        <f t="shared" si="58"/>
        <v>388</v>
      </c>
      <c r="R256" s="200">
        <f t="shared" si="58"/>
        <v>446</v>
      </c>
      <c r="S256" s="200">
        <f t="shared" si="58"/>
        <v>8953</v>
      </c>
      <c r="T256" s="200">
        <f t="shared" si="58"/>
        <v>149</v>
      </c>
      <c r="U256" s="200">
        <f t="shared" si="58"/>
        <v>1517</v>
      </c>
      <c r="V256" s="200">
        <f t="shared" si="58"/>
        <v>49</v>
      </c>
      <c r="W256" s="200">
        <f t="shared" si="58"/>
        <v>0</v>
      </c>
      <c r="X256" s="200">
        <f t="shared" si="58"/>
        <v>11521</v>
      </c>
    </row>
    <row r="257" spans="1:24" x14ac:dyDescent="0.2">
      <c r="A257" s="383">
        <v>1993</v>
      </c>
      <c r="B257" s="200">
        <f t="shared" ref="B257:J257" si="59">IF(AND(B210="-",B163="-",B116="-",B69="-",B22="-"),"-",SUM(B210,B163,B116,B69,B22))</f>
        <v>439</v>
      </c>
      <c r="C257" s="200">
        <f t="shared" si="59"/>
        <v>9855</v>
      </c>
      <c r="D257" s="200">
        <f t="shared" si="59"/>
        <v>15023</v>
      </c>
      <c r="E257" s="200">
        <f t="shared" si="59"/>
        <v>8930</v>
      </c>
      <c r="F257" s="200">
        <f t="shared" si="59"/>
        <v>7594</v>
      </c>
      <c r="G257" s="200">
        <f t="shared" si="59"/>
        <v>40393</v>
      </c>
      <c r="H257" s="200">
        <f t="shared" si="59"/>
        <v>18809</v>
      </c>
      <c r="I257" s="200">
        <f t="shared" si="59"/>
        <v>5387</v>
      </c>
      <c r="J257" s="200">
        <f t="shared" si="59"/>
        <v>3594</v>
      </c>
      <c r="K257" s="201" t="s">
        <v>116</v>
      </c>
      <c r="L257" s="200">
        <f t="shared" ref="L257:L282" si="60">IF(AND(L210="-",L163="-",L116="-",L69="-",L22="-"),"-",SUM(L210,L163,L116,L69,L22))</f>
        <v>110024</v>
      </c>
      <c r="N257" s="200">
        <f t="shared" ref="N257:X257" si="61">IF(AND(N210="-",N163="-",N116="-",N69="-",N22="-"),"-",SUM(N210,N163,N116,N69,N22))</f>
        <v>0</v>
      </c>
      <c r="O257" s="200">
        <f t="shared" si="61"/>
        <v>37</v>
      </c>
      <c r="P257" s="200">
        <f t="shared" si="61"/>
        <v>58</v>
      </c>
      <c r="Q257" s="200">
        <f t="shared" si="61"/>
        <v>851</v>
      </c>
      <c r="R257" s="200">
        <f t="shared" si="61"/>
        <v>2350</v>
      </c>
      <c r="S257" s="200">
        <f t="shared" si="61"/>
        <v>18809</v>
      </c>
      <c r="T257" s="200">
        <f t="shared" si="61"/>
        <v>6577</v>
      </c>
      <c r="U257" s="200">
        <f t="shared" si="61"/>
        <v>1060</v>
      </c>
      <c r="V257" s="200">
        <f t="shared" si="61"/>
        <v>11</v>
      </c>
      <c r="W257" s="200">
        <f t="shared" si="61"/>
        <v>0</v>
      </c>
      <c r="X257" s="200">
        <f t="shared" si="61"/>
        <v>29753</v>
      </c>
    </row>
    <row r="258" spans="1:24" x14ac:dyDescent="0.2">
      <c r="A258" s="383">
        <v>1994</v>
      </c>
      <c r="B258" s="200">
        <f t="shared" ref="B258:J258" si="62">IF(AND(B211="-",B164="-",B117="-",B70="-",B23="-"),"-",SUM(B211,B164,B117,B70,B23))</f>
        <v>1228</v>
      </c>
      <c r="C258" s="200">
        <f t="shared" si="62"/>
        <v>7133</v>
      </c>
      <c r="D258" s="200">
        <f t="shared" si="62"/>
        <v>16428</v>
      </c>
      <c r="E258" s="200">
        <f t="shared" si="62"/>
        <v>18246</v>
      </c>
      <c r="F258" s="200">
        <f t="shared" si="62"/>
        <v>39028</v>
      </c>
      <c r="G258" s="200">
        <f t="shared" si="62"/>
        <v>54545</v>
      </c>
      <c r="H258" s="200">
        <f t="shared" si="62"/>
        <v>27066</v>
      </c>
      <c r="I258" s="200">
        <f t="shared" si="62"/>
        <v>15154</v>
      </c>
      <c r="J258" s="200">
        <f t="shared" si="62"/>
        <v>10987</v>
      </c>
      <c r="K258" s="201" t="s">
        <v>116</v>
      </c>
      <c r="L258" s="200">
        <f t="shared" si="60"/>
        <v>189815</v>
      </c>
      <c r="N258" s="200">
        <f t="shared" ref="N258:X258" si="63">IF(AND(N211="-",N164="-",N117="-",N70="-",N23="-"),"-",SUM(N211,N164,N117,N70,N23))</f>
        <v>0</v>
      </c>
      <c r="O258" s="200">
        <f t="shared" si="63"/>
        <v>0</v>
      </c>
      <c r="P258" s="200">
        <f t="shared" si="63"/>
        <v>20</v>
      </c>
      <c r="Q258" s="200">
        <f t="shared" si="63"/>
        <v>10</v>
      </c>
      <c r="R258" s="200">
        <f t="shared" si="63"/>
        <v>231</v>
      </c>
      <c r="S258" s="200">
        <f t="shared" si="63"/>
        <v>110</v>
      </c>
      <c r="T258" s="200">
        <f t="shared" si="63"/>
        <v>123</v>
      </c>
      <c r="U258" s="200">
        <f t="shared" si="63"/>
        <v>14</v>
      </c>
      <c r="V258" s="200">
        <f t="shared" si="63"/>
        <v>8</v>
      </c>
      <c r="W258" s="200">
        <f t="shared" si="63"/>
        <v>0</v>
      </c>
      <c r="X258" s="200">
        <f t="shared" si="63"/>
        <v>516</v>
      </c>
    </row>
    <row r="259" spans="1:24" x14ac:dyDescent="0.2">
      <c r="A259" s="383">
        <v>1995</v>
      </c>
      <c r="B259" s="200">
        <f t="shared" ref="B259:J259" si="64">IF(AND(B212="-",B165="-",B118="-",B71="-",B24="-"),"-",SUM(B212,B165,B118,B71,B24))</f>
        <v>229</v>
      </c>
      <c r="C259" s="200">
        <f t="shared" si="64"/>
        <v>27335</v>
      </c>
      <c r="D259" s="200">
        <f t="shared" si="64"/>
        <v>57929</v>
      </c>
      <c r="E259" s="200">
        <f t="shared" si="64"/>
        <v>47221</v>
      </c>
      <c r="F259" s="200">
        <f t="shared" si="64"/>
        <v>80323</v>
      </c>
      <c r="G259" s="200">
        <f t="shared" si="64"/>
        <v>133651</v>
      </c>
      <c r="H259" s="200">
        <f t="shared" si="64"/>
        <v>31418</v>
      </c>
      <c r="I259" s="200">
        <f t="shared" si="64"/>
        <v>17006</v>
      </c>
      <c r="J259" s="200">
        <f t="shared" si="64"/>
        <v>2119</v>
      </c>
      <c r="K259" s="201" t="s">
        <v>116</v>
      </c>
      <c r="L259" s="200">
        <f t="shared" si="60"/>
        <v>397231</v>
      </c>
      <c r="N259" s="200">
        <f t="shared" ref="N259:X259" si="65">IF(AND(N212="-",N165="-",N118="-",N71="-",N24="-"),"-",SUM(N212,N165,N118,N71,N24))</f>
        <v>0</v>
      </c>
      <c r="O259" s="200">
        <f t="shared" si="65"/>
        <v>0</v>
      </c>
      <c r="P259" s="200">
        <f t="shared" si="65"/>
        <v>16</v>
      </c>
      <c r="Q259" s="200">
        <f t="shared" si="65"/>
        <v>15</v>
      </c>
      <c r="R259" s="200">
        <f t="shared" si="65"/>
        <v>473</v>
      </c>
      <c r="S259" s="200">
        <f t="shared" si="65"/>
        <v>143</v>
      </c>
      <c r="T259" s="200">
        <f t="shared" si="65"/>
        <v>138</v>
      </c>
      <c r="U259" s="200">
        <f t="shared" si="65"/>
        <v>146</v>
      </c>
      <c r="V259" s="200">
        <f t="shared" si="65"/>
        <v>9</v>
      </c>
      <c r="W259" s="200">
        <f t="shared" si="65"/>
        <v>0</v>
      </c>
      <c r="X259" s="200">
        <f t="shared" si="65"/>
        <v>940</v>
      </c>
    </row>
    <row r="260" spans="1:24" x14ac:dyDescent="0.2">
      <c r="A260" s="383">
        <v>1996</v>
      </c>
      <c r="B260" s="200">
        <f t="shared" ref="B260:J260" si="66">IF(AND(B213="-",B166="-",B119="-",B72="-",B25="-"),"-",SUM(B213,B166,B119,B72,B25))</f>
        <v>11</v>
      </c>
      <c r="C260" s="200">
        <f t="shared" si="66"/>
        <v>31966</v>
      </c>
      <c r="D260" s="200">
        <f t="shared" si="66"/>
        <v>31658</v>
      </c>
      <c r="E260" s="200">
        <f t="shared" si="66"/>
        <v>15249</v>
      </c>
      <c r="F260" s="200">
        <f t="shared" si="66"/>
        <v>33049</v>
      </c>
      <c r="G260" s="200">
        <f t="shared" si="66"/>
        <v>33281</v>
      </c>
      <c r="H260" s="200">
        <f t="shared" si="66"/>
        <v>12443</v>
      </c>
      <c r="I260" s="200">
        <f t="shared" si="66"/>
        <v>5033</v>
      </c>
      <c r="J260" s="200">
        <f t="shared" si="66"/>
        <v>1342</v>
      </c>
      <c r="K260" s="201" t="s">
        <v>116</v>
      </c>
      <c r="L260" s="200">
        <f t="shared" si="60"/>
        <v>164032</v>
      </c>
      <c r="N260" s="200" t="str">
        <f t="shared" ref="N260:X260" si="67">IF(AND(N213="-",N166="-",N119="-",N72="-",N25="-"),"-",SUM(N213,N166,N119,N72,N25))</f>
        <v>-</v>
      </c>
      <c r="O260" s="200" t="str">
        <f t="shared" si="67"/>
        <v>-</v>
      </c>
      <c r="P260" s="200">
        <f t="shared" si="67"/>
        <v>3</v>
      </c>
      <c r="Q260" s="200">
        <f t="shared" si="67"/>
        <v>2</v>
      </c>
      <c r="R260" s="200">
        <f t="shared" si="67"/>
        <v>352</v>
      </c>
      <c r="S260" s="200">
        <f t="shared" si="67"/>
        <v>59</v>
      </c>
      <c r="T260" s="200">
        <f t="shared" si="67"/>
        <v>156</v>
      </c>
      <c r="U260" s="200">
        <f t="shared" si="67"/>
        <v>72</v>
      </c>
      <c r="V260" s="200" t="str">
        <f t="shared" si="67"/>
        <v>-</v>
      </c>
      <c r="W260" s="200" t="str">
        <f t="shared" si="67"/>
        <v>-</v>
      </c>
      <c r="X260" s="200">
        <f t="shared" si="67"/>
        <v>644</v>
      </c>
    </row>
    <row r="261" spans="1:24" x14ac:dyDescent="0.2">
      <c r="A261" s="383">
        <v>1997</v>
      </c>
      <c r="B261" s="201" t="s">
        <v>116</v>
      </c>
      <c r="C261" s="200">
        <f t="shared" ref="C261:K261" si="68">IF(AND(C214="-",C167="-",C120="-",C73="-",C26="-"),"-",SUM(C214,C167,C120,C73,C26))</f>
        <v>20090</v>
      </c>
      <c r="D261" s="200">
        <f t="shared" si="68"/>
        <v>26939</v>
      </c>
      <c r="E261" s="200">
        <f t="shared" si="68"/>
        <v>27517</v>
      </c>
      <c r="F261" s="200">
        <f t="shared" si="68"/>
        <v>47934</v>
      </c>
      <c r="G261" s="200">
        <f t="shared" si="68"/>
        <v>74545</v>
      </c>
      <c r="H261" s="200">
        <f t="shared" si="68"/>
        <v>26407</v>
      </c>
      <c r="I261" s="200">
        <f t="shared" si="68"/>
        <v>3094</v>
      </c>
      <c r="J261" s="200">
        <f t="shared" si="68"/>
        <v>2384</v>
      </c>
      <c r="K261" s="200">
        <f t="shared" si="68"/>
        <v>58</v>
      </c>
      <c r="L261" s="200">
        <f t="shared" si="60"/>
        <v>228968</v>
      </c>
      <c r="N261" s="200" t="str">
        <f t="shared" ref="N261:X261" si="69">IF(AND(N214="-",N167="-",N120="-",N73="-",N26="-"),"-",SUM(N214,N167,N120,N73,N26))</f>
        <v>-</v>
      </c>
      <c r="O261" s="200" t="str">
        <f t="shared" si="69"/>
        <v>-</v>
      </c>
      <c r="P261" s="200" t="str">
        <f t="shared" si="69"/>
        <v>-</v>
      </c>
      <c r="Q261" s="200">
        <f t="shared" si="69"/>
        <v>34</v>
      </c>
      <c r="R261" s="200">
        <f t="shared" si="69"/>
        <v>70</v>
      </c>
      <c r="S261" s="200">
        <f t="shared" si="69"/>
        <v>275</v>
      </c>
      <c r="T261" s="200">
        <f t="shared" si="69"/>
        <v>85</v>
      </c>
      <c r="U261" s="200">
        <f t="shared" si="69"/>
        <v>22</v>
      </c>
      <c r="V261" s="200" t="str">
        <f t="shared" si="69"/>
        <v>-</v>
      </c>
      <c r="W261" s="200" t="str">
        <f t="shared" si="69"/>
        <v>-</v>
      </c>
      <c r="X261" s="200">
        <f t="shared" si="69"/>
        <v>486</v>
      </c>
    </row>
    <row r="262" spans="1:24" x14ac:dyDescent="0.2">
      <c r="A262" s="383">
        <v>1998</v>
      </c>
      <c r="B262" s="201" t="s">
        <v>116</v>
      </c>
      <c r="C262" s="200">
        <f t="shared" ref="C262:J263" si="70">IF(AND(C215="-",C168="-",C121="-",C74="-",C27="-"),"-",SUM(C215,C168,C121,C74,C27))</f>
        <v>2989</v>
      </c>
      <c r="D262" s="200">
        <f t="shared" si="70"/>
        <v>13130</v>
      </c>
      <c r="E262" s="200">
        <f t="shared" si="70"/>
        <v>16026</v>
      </c>
      <c r="F262" s="200">
        <f t="shared" si="70"/>
        <v>24898</v>
      </c>
      <c r="G262" s="200">
        <f t="shared" si="70"/>
        <v>37451</v>
      </c>
      <c r="H262" s="200">
        <f t="shared" si="70"/>
        <v>21205</v>
      </c>
      <c r="I262" s="200">
        <f t="shared" si="70"/>
        <v>4525</v>
      </c>
      <c r="J262" s="200">
        <f t="shared" si="70"/>
        <v>1789</v>
      </c>
      <c r="K262" s="201" t="s">
        <v>116</v>
      </c>
      <c r="L262" s="200">
        <f t="shared" si="60"/>
        <v>122013</v>
      </c>
      <c r="N262" s="200" t="str">
        <f t="shared" ref="N262:X262" si="71">IF(AND(N215="-",N168="-",N121="-",N74="-",N27="-"),"-",SUM(N215,N168,N121,N74,N27))</f>
        <v>-</v>
      </c>
      <c r="O262" s="200" t="str">
        <f t="shared" si="71"/>
        <v>-</v>
      </c>
      <c r="P262" s="200" t="str">
        <f t="shared" si="71"/>
        <v>-</v>
      </c>
      <c r="Q262" s="200" t="str">
        <f t="shared" si="71"/>
        <v>-</v>
      </c>
      <c r="R262" s="200">
        <f t="shared" si="71"/>
        <v>27</v>
      </c>
      <c r="S262" s="200">
        <f t="shared" si="71"/>
        <v>36</v>
      </c>
      <c r="T262" s="200">
        <f t="shared" si="71"/>
        <v>40</v>
      </c>
      <c r="U262" s="200" t="str">
        <f t="shared" si="71"/>
        <v>-</v>
      </c>
      <c r="V262" s="200" t="str">
        <f t="shared" si="71"/>
        <v>-</v>
      </c>
      <c r="W262" s="200" t="str">
        <f t="shared" si="71"/>
        <v>-</v>
      </c>
      <c r="X262" s="200">
        <f t="shared" si="71"/>
        <v>103</v>
      </c>
    </row>
    <row r="263" spans="1:24" x14ac:dyDescent="0.2">
      <c r="A263" s="383">
        <v>1999</v>
      </c>
      <c r="B263" s="200">
        <f>IF(AND(B216="-",B169="-",B122="-",B75="-",B28="-"),"-",SUM(B216,B169,B122,B75,B28))</f>
        <v>0</v>
      </c>
      <c r="C263" s="200">
        <f t="shared" si="70"/>
        <v>1691</v>
      </c>
      <c r="D263" s="200">
        <f t="shared" si="70"/>
        <v>6631</v>
      </c>
      <c r="E263" s="200">
        <f t="shared" si="70"/>
        <v>1639</v>
      </c>
      <c r="F263" s="200">
        <f t="shared" si="70"/>
        <v>15728</v>
      </c>
      <c r="G263" s="200">
        <f t="shared" si="70"/>
        <v>35249</v>
      </c>
      <c r="H263" s="200">
        <f t="shared" si="70"/>
        <v>17664</v>
      </c>
      <c r="I263" s="200">
        <f t="shared" si="70"/>
        <v>6688</v>
      </c>
      <c r="J263" s="200">
        <f t="shared" si="70"/>
        <v>2555</v>
      </c>
      <c r="K263" s="201" t="s">
        <v>116</v>
      </c>
      <c r="L263" s="200">
        <f t="shared" si="60"/>
        <v>87845</v>
      </c>
      <c r="N263" s="200" t="str">
        <f t="shared" ref="N263:X263" si="72">IF(AND(N216="-",N169="-",N122="-",N75="-",N28="-"),"-",SUM(N216,N169,N122,N75,N28))</f>
        <v>-</v>
      </c>
      <c r="O263" s="200" t="str">
        <f t="shared" si="72"/>
        <v>-</v>
      </c>
      <c r="P263" s="200" t="str">
        <f t="shared" si="72"/>
        <v>-</v>
      </c>
      <c r="Q263" s="200">
        <f t="shared" si="72"/>
        <v>12</v>
      </c>
      <c r="R263" s="200">
        <f t="shared" si="72"/>
        <v>224</v>
      </c>
      <c r="S263" s="200">
        <f t="shared" si="72"/>
        <v>168</v>
      </c>
      <c r="T263" s="200">
        <f t="shared" si="72"/>
        <v>186</v>
      </c>
      <c r="U263" s="200">
        <f t="shared" si="72"/>
        <v>12</v>
      </c>
      <c r="V263" s="200">
        <f t="shared" si="72"/>
        <v>6</v>
      </c>
      <c r="W263" s="200" t="str">
        <f t="shared" si="72"/>
        <v>-</v>
      </c>
      <c r="X263" s="200">
        <f t="shared" si="72"/>
        <v>608</v>
      </c>
    </row>
    <row r="264" spans="1:24" x14ac:dyDescent="0.2">
      <c r="A264" s="383">
        <v>2000</v>
      </c>
      <c r="B264" s="201" t="s">
        <v>116</v>
      </c>
      <c r="C264" s="201" t="s">
        <v>116</v>
      </c>
      <c r="D264" s="200">
        <f t="shared" ref="D264:K273" si="73">IF(AND(D217="-",D170="-",D123="-",D76="-",D29="-"),"-",SUM(D217,D170,D123,D76,D29))</f>
        <v>40311</v>
      </c>
      <c r="E264" s="200">
        <f t="shared" si="73"/>
        <v>32406</v>
      </c>
      <c r="F264" s="200">
        <f t="shared" si="73"/>
        <v>37620</v>
      </c>
      <c r="G264" s="200">
        <f t="shared" si="73"/>
        <v>31170</v>
      </c>
      <c r="H264" s="200">
        <f t="shared" si="73"/>
        <v>23973</v>
      </c>
      <c r="I264" s="200">
        <f t="shared" si="73"/>
        <v>11651</v>
      </c>
      <c r="J264" s="200">
        <f t="shared" si="73"/>
        <v>6815</v>
      </c>
      <c r="K264" s="200">
        <f t="shared" si="73"/>
        <v>1905</v>
      </c>
      <c r="L264" s="200">
        <f t="shared" si="60"/>
        <v>185851</v>
      </c>
      <c r="N264" s="200" t="str">
        <f t="shared" ref="N264:X264" si="74">IF(AND(N217="-",N170="-",N123="-",N76="-",N29="-"),"-",SUM(N217,N170,N123,N76,N29))</f>
        <v>-</v>
      </c>
      <c r="O264" s="200" t="str">
        <f t="shared" si="74"/>
        <v>-</v>
      </c>
      <c r="P264" s="200" t="str">
        <f t="shared" si="74"/>
        <v>-</v>
      </c>
      <c r="Q264" s="200" t="str">
        <f t="shared" si="74"/>
        <v>-</v>
      </c>
      <c r="R264" s="200">
        <f t="shared" si="74"/>
        <v>160</v>
      </c>
      <c r="S264" s="200">
        <f t="shared" si="74"/>
        <v>90</v>
      </c>
      <c r="T264" s="200">
        <f t="shared" si="74"/>
        <v>158</v>
      </c>
      <c r="U264" s="200">
        <f t="shared" si="74"/>
        <v>11</v>
      </c>
      <c r="V264" s="200" t="str">
        <f t="shared" si="74"/>
        <v>-</v>
      </c>
      <c r="W264" s="200" t="str">
        <f t="shared" si="74"/>
        <v>-</v>
      </c>
      <c r="X264" s="200">
        <f t="shared" si="74"/>
        <v>419</v>
      </c>
    </row>
    <row r="265" spans="1:24" x14ac:dyDescent="0.2">
      <c r="A265" s="383">
        <v>2001</v>
      </c>
      <c r="B265" s="201" t="s">
        <v>116</v>
      </c>
      <c r="C265" s="200">
        <f t="shared" ref="C265:C282" si="75">IF(AND(C218="-",C171="-",C124="-",C77="-",C30="-"),"-",SUM(C218,C171,C124,C77,C30))</f>
        <v>1256</v>
      </c>
      <c r="D265" s="200">
        <f t="shared" si="73"/>
        <v>18059</v>
      </c>
      <c r="E265" s="200">
        <f t="shared" si="73"/>
        <v>13775</v>
      </c>
      <c r="F265" s="200">
        <f t="shared" si="73"/>
        <v>12382</v>
      </c>
      <c r="G265" s="200">
        <f t="shared" si="73"/>
        <v>25767</v>
      </c>
      <c r="H265" s="200">
        <f t="shared" si="73"/>
        <v>14686</v>
      </c>
      <c r="I265" s="200">
        <f t="shared" si="73"/>
        <v>8564</v>
      </c>
      <c r="J265" s="200">
        <f t="shared" si="73"/>
        <v>3071</v>
      </c>
      <c r="K265" s="200">
        <f t="shared" si="73"/>
        <v>1223</v>
      </c>
      <c r="L265" s="200">
        <f t="shared" si="60"/>
        <v>96547</v>
      </c>
      <c r="N265" s="200" t="str">
        <f t="shared" ref="N265:X265" si="76">IF(AND(N218="-",N171="-",N124="-",N77="-",N30="-"),"-",SUM(N218,N171,N124,N77,N30))</f>
        <v>-</v>
      </c>
      <c r="O265" s="200" t="str">
        <f t="shared" si="76"/>
        <v>-</v>
      </c>
      <c r="P265" s="200">
        <f t="shared" si="76"/>
        <v>4</v>
      </c>
      <c r="Q265" s="200">
        <f t="shared" si="76"/>
        <v>431</v>
      </c>
      <c r="R265" s="200">
        <f t="shared" si="76"/>
        <v>313</v>
      </c>
      <c r="S265" s="200">
        <f t="shared" si="76"/>
        <v>506</v>
      </c>
      <c r="T265" s="200">
        <f t="shared" si="76"/>
        <v>75</v>
      </c>
      <c r="U265" s="200" t="str">
        <f t="shared" si="76"/>
        <v>-</v>
      </c>
      <c r="V265" s="200" t="str">
        <f t="shared" si="76"/>
        <v>-</v>
      </c>
      <c r="W265" s="200" t="str">
        <f t="shared" si="76"/>
        <v>-</v>
      </c>
      <c r="X265" s="200">
        <f t="shared" si="76"/>
        <v>1329</v>
      </c>
    </row>
    <row r="266" spans="1:24" x14ac:dyDescent="0.2">
      <c r="A266" s="383">
        <v>2002</v>
      </c>
      <c r="B266" s="200">
        <f t="shared" ref="B266:B282" si="77">IF(AND(B219="-",B172="-",B125="-",B78="-",B31="-"),"-",SUM(B219,B172,B125,B78,B31))</f>
        <v>14</v>
      </c>
      <c r="C266" s="200">
        <f t="shared" si="75"/>
        <v>2979</v>
      </c>
      <c r="D266" s="200">
        <f t="shared" si="73"/>
        <v>37759</v>
      </c>
      <c r="E266" s="200">
        <f t="shared" si="73"/>
        <v>24475</v>
      </c>
      <c r="F266" s="200">
        <f t="shared" si="73"/>
        <v>35578</v>
      </c>
      <c r="G266" s="200">
        <f t="shared" si="73"/>
        <v>51923</v>
      </c>
      <c r="H266" s="200">
        <f t="shared" si="73"/>
        <v>23738</v>
      </c>
      <c r="I266" s="200">
        <f t="shared" si="73"/>
        <v>5169</v>
      </c>
      <c r="J266" s="200">
        <f t="shared" si="73"/>
        <v>348</v>
      </c>
      <c r="K266" s="200">
        <f t="shared" si="73"/>
        <v>61</v>
      </c>
      <c r="L266" s="200">
        <f t="shared" si="60"/>
        <v>182044</v>
      </c>
      <c r="N266" s="200" t="str">
        <f t="shared" ref="N266:X266" si="78">IF(AND(N219="-",N172="-",N125="-",N78="-",N31="-"),"-",SUM(N219,N172,N125,N78,N31))</f>
        <v>-</v>
      </c>
      <c r="O266" s="200" t="str">
        <f t="shared" si="78"/>
        <v>-</v>
      </c>
      <c r="P266" s="200">
        <f t="shared" si="78"/>
        <v>2</v>
      </c>
      <c r="Q266" s="200">
        <f t="shared" si="78"/>
        <v>32</v>
      </c>
      <c r="R266" s="200">
        <f t="shared" si="78"/>
        <v>352</v>
      </c>
      <c r="S266" s="200">
        <f t="shared" si="78"/>
        <v>359</v>
      </c>
      <c r="T266" s="200">
        <f t="shared" si="78"/>
        <v>74</v>
      </c>
      <c r="U266" s="200">
        <f t="shared" si="78"/>
        <v>9</v>
      </c>
      <c r="V266" s="200" t="str">
        <f t="shared" si="78"/>
        <v>-</v>
      </c>
      <c r="W266" s="200" t="str">
        <f t="shared" si="78"/>
        <v>-</v>
      </c>
      <c r="X266" s="200">
        <f t="shared" si="78"/>
        <v>828</v>
      </c>
    </row>
    <row r="267" spans="1:24" x14ac:dyDescent="0.2">
      <c r="A267" s="383">
        <v>2003</v>
      </c>
      <c r="B267" s="200">
        <f t="shared" si="77"/>
        <v>444</v>
      </c>
      <c r="C267" s="200">
        <f t="shared" si="75"/>
        <v>3978</v>
      </c>
      <c r="D267" s="200">
        <f t="shared" si="73"/>
        <v>9569</v>
      </c>
      <c r="E267" s="200">
        <f t="shared" si="73"/>
        <v>15146</v>
      </c>
      <c r="F267" s="200">
        <f t="shared" si="73"/>
        <v>20883</v>
      </c>
      <c r="G267" s="200">
        <f t="shared" si="73"/>
        <v>30881</v>
      </c>
      <c r="H267" s="200">
        <f t="shared" si="73"/>
        <v>8277</v>
      </c>
      <c r="I267" s="200">
        <f t="shared" si="73"/>
        <v>4448</v>
      </c>
      <c r="J267" s="200">
        <f t="shared" si="73"/>
        <v>1048</v>
      </c>
      <c r="K267" s="200">
        <f t="shared" si="73"/>
        <v>0</v>
      </c>
      <c r="L267" s="200">
        <f t="shared" si="60"/>
        <v>94674</v>
      </c>
      <c r="M267" s="197"/>
      <c r="N267" s="200" t="str">
        <f t="shared" ref="N267:X267" si="79">IF(AND(N220="-",N173="-",N126="-",N79="-",N32="-"),"-",SUM(N220,N173,N126,N79,N32))</f>
        <v>-</v>
      </c>
      <c r="O267" s="200" t="str">
        <f t="shared" si="79"/>
        <v>-</v>
      </c>
      <c r="P267" s="200" t="str">
        <f t="shared" si="79"/>
        <v>-</v>
      </c>
      <c r="Q267" s="200">
        <f t="shared" si="79"/>
        <v>99</v>
      </c>
      <c r="R267" s="200">
        <f t="shared" si="79"/>
        <v>251</v>
      </c>
      <c r="S267" s="200">
        <f t="shared" si="79"/>
        <v>197</v>
      </c>
      <c r="T267" s="200">
        <f t="shared" si="79"/>
        <v>57</v>
      </c>
      <c r="U267" s="200">
        <f t="shared" si="79"/>
        <v>9</v>
      </c>
      <c r="V267" s="200" t="str">
        <f t="shared" si="79"/>
        <v>-</v>
      </c>
      <c r="W267" s="200" t="str">
        <f t="shared" si="79"/>
        <v>-</v>
      </c>
      <c r="X267" s="200">
        <f t="shared" si="79"/>
        <v>613</v>
      </c>
    </row>
    <row r="268" spans="1:24" x14ac:dyDescent="0.2">
      <c r="A268" s="402">
        <v>2004</v>
      </c>
      <c r="B268" s="203">
        <f t="shared" si="77"/>
        <v>41</v>
      </c>
      <c r="C268" s="203">
        <f t="shared" si="75"/>
        <v>510</v>
      </c>
      <c r="D268" s="203">
        <f t="shared" si="73"/>
        <v>31470</v>
      </c>
      <c r="E268" s="203">
        <f t="shared" si="73"/>
        <v>30830</v>
      </c>
      <c r="F268" s="203">
        <f t="shared" si="73"/>
        <v>36153</v>
      </c>
      <c r="G268" s="203">
        <f t="shared" si="73"/>
        <v>75160</v>
      </c>
      <c r="H268" s="203">
        <f t="shared" si="73"/>
        <v>32432</v>
      </c>
      <c r="I268" s="203">
        <f t="shared" si="73"/>
        <v>11362</v>
      </c>
      <c r="J268" s="203">
        <f t="shared" si="73"/>
        <v>2818</v>
      </c>
      <c r="K268" s="203">
        <f t="shared" si="73"/>
        <v>338</v>
      </c>
      <c r="L268" s="203">
        <f t="shared" si="60"/>
        <v>221114</v>
      </c>
      <c r="M268" s="197"/>
      <c r="N268" s="203" t="str">
        <f t="shared" ref="N268:X268" si="80">IF(AND(N221="-",N174="-",N127="-",N80="-",N33="-"),"-",SUM(N221,N174,N127,N80,N33))</f>
        <v>-</v>
      </c>
      <c r="O268" s="203" t="str">
        <f t="shared" si="80"/>
        <v>-</v>
      </c>
      <c r="P268" s="203" t="str">
        <f t="shared" si="80"/>
        <v>-</v>
      </c>
      <c r="Q268" s="203">
        <f t="shared" si="80"/>
        <v>233</v>
      </c>
      <c r="R268" s="203">
        <f t="shared" si="80"/>
        <v>196</v>
      </c>
      <c r="S268" s="203">
        <f t="shared" si="80"/>
        <v>589</v>
      </c>
      <c r="T268" s="203">
        <f t="shared" si="80"/>
        <v>348</v>
      </c>
      <c r="U268" s="203">
        <f t="shared" si="80"/>
        <v>58</v>
      </c>
      <c r="V268" s="203" t="str">
        <f t="shared" si="80"/>
        <v>-</v>
      </c>
      <c r="W268" s="203" t="str">
        <f t="shared" si="80"/>
        <v>-</v>
      </c>
      <c r="X268" s="203">
        <f t="shared" si="80"/>
        <v>1424</v>
      </c>
    </row>
    <row r="269" spans="1:24" x14ac:dyDescent="0.2">
      <c r="A269" s="402">
        <v>2005</v>
      </c>
      <c r="B269" s="203">
        <f t="shared" si="77"/>
        <v>285</v>
      </c>
      <c r="C269" s="203">
        <f t="shared" si="75"/>
        <v>111</v>
      </c>
      <c r="D269" s="203">
        <f t="shared" si="73"/>
        <v>14255</v>
      </c>
      <c r="E269" s="203">
        <f t="shared" si="73"/>
        <v>15298</v>
      </c>
      <c r="F269" s="203">
        <f t="shared" si="73"/>
        <v>38665</v>
      </c>
      <c r="G269" s="203">
        <f t="shared" si="73"/>
        <v>36362</v>
      </c>
      <c r="H269" s="203">
        <f t="shared" si="73"/>
        <v>20275</v>
      </c>
      <c r="I269" s="203">
        <f t="shared" si="73"/>
        <v>13696</v>
      </c>
      <c r="J269" s="203">
        <f t="shared" si="73"/>
        <v>3955</v>
      </c>
      <c r="K269" s="203">
        <f t="shared" si="73"/>
        <v>355</v>
      </c>
      <c r="L269" s="203">
        <f t="shared" si="60"/>
        <v>143257</v>
      </c>
      <c r="M269" s="197"/>
      <c r="N269" s="203" t="str">
        <f t="shared" ref="N269:X269" si="81">IF(AND(N222="-",N175="-",N128="-",N81="-",N34="-"),"-",SUM(N222,N175,N128,N81,N34))</f>
        <v>-</v>
      </c>
      <c r="O269" s="203" t="str">
        <f t="shared" si="81"/>
        <v>-</v>
      </c>
      <c r="P269" s="203" t="str">
        <f t="shared" si="81"/>
        <v>-</v>
      </c>
      <c r="Q269" s="203">
        <f t="shared" si="81"/>
        <v>59</v>
      </c>
      <c r="R269" s="203">
        <f t="shared" si="81"/>
        <v>290</v>
      </c>
      <c r="S269" s="203">
        <f t="shared" si="81"/>
        <v>246</v>
      </c>
      <c r="T269" s="203">
        <f t="shared" si="81"/>
        <v>56</v>
      </c>
      <c r="U269" s="203">
        <f t="shared" si="81"/>
        <v>48</v>
      </c>
      <c r="V269" s="203" t="str">
        <f t="shared" si="81"/>
        <v>-</v>
      </c>
      <c r="W269" s="203" t="str">
        <f t="shared" si="81"/>
        <v>-</v>
      </c>
      <c r="X269" s="203">
        <f t="shared" si="81"/>
        <v>699</v>
      </c>
    </row>
    <row r="270" spans="1:24" s="374" customFormat="1" x14ac:dyDescent="0.2">
      <c r="A270" s="383">
        <v>2006</v>
      </c>
      <c r="B270" s="203">
        <f t="shared" si="77"/>
        <v>55</v>
      </c>
      <c r="C270" s="203">
        <f t="shared" si="75"/>
        <v>109</v>
      </c>
      <c r="D270" s="203">
        <f t="shared" si="73"/>
        <v>9408</v>
      </c>
      <c r="E270" s="203">
        <f t="shared" si="73"/>
        <v>18801</v>
      </c>
      <c r="F270" s="203">
        <f t="shared" si="73"/>
        <v>29785</v>
      </c>
      <c r="G270" s="203">
        <f t="shared" si="73"/>
        <v>28986</v>
      </c>
      <c r="H270" s="203">
        <f t="shared" si="73"/>
        <v>4023</v>
      </c>
      <c r="I270" s="203">
        <f t="shared" si="73"/>
        <v>4802</v>
      </c>
      <c r="J270" s="203">
        <f t="shared" si="73"/>
        <v>256</v>
      </c>
      <c r="K270" s="203">
        <f t="shared" si="73"/>
        <v>67</v>
      </c>
      <c r="L270" s="203">
        <f t="shared" si="60"/>
        <v>96292</v>
      </c>
      <c r="M270" s="197"/>
      <c r="N270" s="203" t="str">
        <f t="shared" ref="N270:X270" si="82">IF(AND(N223="-",N176="-",N129="-",N82="-",N35="-"),"-",SUM(N223,N176,N129,N82,N35))</f>
        <v>-</v>
      </c>
      <c r="O270" s="203" t="str">
        <f t="shared" si="82"/>
        <v>-</v>
      </c>
      <c r="P270" s="203" t="str">
        <f t="shared" si="82"/>
        <v>-</v>
      </c>
      <c r="Q270" s="203">
        <f t="shared" si="82"/>
        <v>199</v>
      </c>
      <c r="R270" s="203">
        <f t="shared" si="82"/>
        <v>669</v>
      </c>
      <c r="S270" s="203">
        <f t="shared" si="82"/>
        <v>621</v>
      </c>
      <c r="T270" s="203">
        <f t="shared" si="82"/>
        <v>49</v>
      </c>
      <c r="U270" s="203">
        <f t="shared" si="82"/>
        <v>88</v>
      </c>
      <c r="V270" s="203" t="str">
        <f t="shared" si="82"/>
        <v>-</v>
      </c>
      <c r="W270" s="203" t="str">
        <f t="shared" si="82"/>
        <v>-</v>
      </c>
      <c r="X270" s="203">
        <f t="shared" si="82"/>
        <v>1626</v>
      </c>
    </row>
    <row r="271" spans="1:24" s="374" customFormat="1" x14ac:dyDescent="0.2">
      <c r="A271" s="122">
        <v>2007</v>
      </c>
      <c r="B271" s="199">
        <f t="shared" si="77"/>
        <v>48</v>
      </c>
      <c r="C271" s="199">
        <f t="shared" si="75"/>
        <v>200</v>
      </c>
      <c r="D271" s="199">
        <f t="shared" si="73"/>
        <v>3152</v>
      </c>
      <c r="E271" s="199">
        <f t="shared" si="73"/>
        <v>7232</v>
      </c>
      <c r="F271" s="199">
        <f t="shared" si="73"/>
        <v>13861</v>
      </c>
      <c r="G271" s="199">
        <f t="shared" si="73"/>
        <v>12965</v>
      </c>
      <c r="H271" s="199">
        <f t="shared" si="73"/>
        <v>7218</v>
      </c>
      <c r="I271" s="199">
        <f t="shared" si="73"/>
        <v>2262</v>
      </c>
      <c r="J271" s="199">
        <f t="shared" si="73"/>
        <v>441</v>
      </c>
      <c r="K271" s="199">
        <f t="shared" si="73"/>
        <v>325</v>
      </c>
      <c r="L271" s="199">
        <f t="shared" si="60"/>
        <v>47704</v>
      </c>
      <c r="M271" s="52"/>
      <c r="N271" s="199" t="str">
        <f t="shared" ref="N271:X271" si="83">IF(AND(N224="-",N177="-",N130="-",N83="-",N36="-"),"-",SUM(N224,N177,N130,N83,N36))</f>
        <v>-</v>
      </c>
      <c r="O271" s="199" t="str">
        <f t="shared" si="83"/>
        <v>-</v>
      </c>
      <c r="P271" s="199" t="str">
        <f t="shared" si="83"/>
        <v>-</v>
      </c>
      <c r="Q271" s="199">
        <f t="shared" si="83"/>
        <v>53</v>
      </c>
      <c r="R271" s="199">
        <f t="shared" si="83"/>
        <v>217</v>
      </c>
      <c r="S271" s="199">
        <f t="shared" si="83"/>
        <v>288</v>
      </c>
      <c r="T271" s="199">
        <f t="shared" si="83"/>
        <v>133</v>
      </c>
      <c r="U271" s="199">
        <f t="shared" si="83"/>
        <v>55</v>
      </c>
      <c r="V271" s="199" t="str">
        <f t="shared" si="83"/>
        <v>-</v>
      </c>
      <c r="W271" s="199" t="str">
        <f t="shared" si="83"/>
        <v>-</v>
      </c>
      <c r="X271" s="199">
        <f t="shared" si="83"/>
        <v>746</v>
      </c>
    </row>
    <row r="272" spans="1:24" s="374" customFormat="1" x14ac:dyDescent="0.2">
      <c r="A272" s="122">
        <v>2008</v>
      </c>
      <c r="B272" s="199">
        <f t="shared" si="77"/>
        <v>0</v>
      </c>
      <c r="C272" s="199">
        <f t="shared" si="75"/>
        <v>6</v>
      </c>
      <c r="D272" s="199" t="str">
        <f t="shared" si="73"/>
        <v>-</v>
      </c>
      <c r="E272" s="199" t="str">
        <f t="shared" si="73"/>
        <v>-</v>
      </c>
      <c r="F272" s="199" t="str">
        <f t="shared" si="73"/>
        <v>-</v>
      </c>
      <c r="G272" s="199" t="str">
        <f t="shared" si="73"/>
        <v>-</v>
      </c>
      <c r="H272" s="199" t="str">
        <f t="shared" si="73"/>
        <v>-</v>
      </c>
      <c r="I272" s="199" t="str">
        <f t="shared" si="73"/>
        <v>-</v>
      </c>
      <c r="J272" s="199" t="str">
        <f t="shared" si="73"/>
        <v>-</v>
      </c>
      <c r="K272" s="199" t="str">
        <f t="shared" si="73"/>
        <v>-</v>
      </c>
      <c r="L272" s="199">
        <f t="shared" si="60"/>
        <v>6</v>
      </c>
      <c r="M272" s="52"/>
      <c r="N272" s="199" t="str">
        <f t="shared" ref="N272:X272" si="84">IF(AND(N225="-",N178="-",N131="-",N84="-",N37="-"),"-",SUM(N225,N178,N131,N84,N37))</f>
        <v>-</v>
      </c>
      <c r="O272" s="199" t="str">
        <f t="shared" si="84"/>
        <v>-</v>
      </c>
      <c r="P272" s="199" t="str">
        <f t="shared" si="84"/>
        <v>-</v>
      </c>
      <c r="Q272" s="199" t="str">
        <f t="shared" si="84"/>
        <v>-</v>
      </c>
      <c r="R272" s="199" t="str">
        <f t="shared" si="84"/>
        <v>-</v>
      </c>
      <c r="S272" s="199" t="str">
        <f t="shared" si="84"/>
        <v>-</v>
      </c>
      <c r="T272" s="199" t="str">
        <f t="shared" si="84"/>
        <v>-</v>
      </c>
      <c r="U272" s="199" t="str">
        <f t="shared" si="84"/>
        <v>-</v>
      </c>
      <c r="V272" s="199" t="str">
        <f t="shared" si="84"/>
        <v>-</v>
      </c>
      <c r="W272" s="199" t="str">
        <f t="shared" si="84"/>
        <v>-</v>
      </c>
      <c r="X272" s="199" t="str">
        <f t="shared" si="84"/>
        <v>-</v>
      </c>
    </row>
    <row r="273" spans="1:24" s="374" customFormat="1" x14ac:dyDescent="0.2">
      <c r="A273" s="402">
        <v>2009</v>
      </c>
      <c r="B273" s="199" t="str">
        <f t="shared" si="77"/>
        <v>-</v>
      </c>
      <c r="C273" s="199" t="str">
        <f t="shared" si="75"/>
        <v>-</v>
      </c>
      <c r="D273" s="199" t="str">
        <f t="shared" si="73"/>
        <v>-</v>
      </c>
      <c r="E273" s="199" t="str">
        <f t="shared" si="73"/>
        <v>-</v>
      </c>
      <c r="F273" s="199" t="str">
        <f t="shared" si="73"/>
        <v>-</v>
      </c>
      <c r="G273" s="199" t="str">
        <f t="shared" si="73"/>
        <v>-</v>
      </c>
      <c r="H273" s="199">
        <f t="shared" si="73"/>
        <v>302</v>
      </c>
      <c r="I273" s="199">
        <f t="shared" si="73"/>
        <v>370</v>
      </c>
      <c r="J273" s="199" t="str">
        <f t="shared" si="73"/>
        <v>-</v>
      </c>
      <c r="K273" s="199" t="str">
        <f t="shared" si="73"/>
        <v>-</v>
      </c>
      <c r="L273" s="199">
        <f t="shared" si="60"/>
        <v>672</v>
      </c>
      <c r="M273" s="52"/>
      <c r="N273" s="199" t="str">
        <f t="shared" ref="N273:X273" si="85">IF(AND(N226="-",N179="-",N132="-",N85="-",N38="-"),"-",SUM(N226,N179,N132,N85,N38))</f>
        <v>-</v>
      </c>
      <c r="O273" s="199" t="str">
        <f t="shared" si="85"/>
        <v>-</v>
      </c>
      <c r="P273" s="199" t="str">
        <f t="shared" si="85"/>
        <v>-</v>
      </c>
      <c r="Q273" s="199" t="str">
        <f t="shared" si="85"/>
        <v>-</v>
      </c>
      <c r="R273" s="199" t="str">
        <f t="shared" si="85"/>
        <v>-</v>
      </c>
      <c r="S273" s="199" t="str">
        <f t="shared" si="85"/>
        <v>-</v>
      </c>
      <c r="T273" s="199" t="str">
        <f t="shared" si="85"/>
        <v>-</v>
      </c>
      <c r="U273" s="199">
        <f t="shared" si="85"/>
        <v>8</v>
      </c>
      <c r="V273" s="199" t="str">
        <f t="shared" si="85"/>
        <v>-</v>
      </c>
      <c r="W273" s="199" t="str">
        <f t="shared" si="85"/>
        <v>-</v>
      </c>
      <c r="X273" s="199">
        <f t="shared" si="85"/>
        <v>8</v>
      </c>
    </row>
    <row r="274" spans="1:24" s="374" customFormat="1" x14ac:dyDescent="0.2">
      <c r="A274" s="402">
        <v>2010</v>
      </c>
      <c r="B274" s="199" t="str">
        <f t="shared" si="77"/>
        <v>-</v>
      </c>
      <c r="C274" s="199" t="str">
        <f t="shared" si="75"/>
        <v>-</v>
      </c>
      <c r="D274" s="199">
        <f t="shared" ref="D274:K282" si="86">IF(AND(D227="-",D180="-",D133="-",D86="-",D39="-"),"-",SUM(D227,D180,D133,D86,D39))</f>
        <v>5265</v>
      </c>
      <c r="E274" s="199">
        <f t="shared" si="86"/>
        <v>2425</v>
      </c>
      <c r="F274" s="199">
        <f t="shared" si="86"/>
        <v>788</v>
      </c>
      <c r="G274" s="199">
        <f t="shared" si="86"/>
        <v>2605</v>
      </c>
      <c r="H274" s="199">
        <f t="shared" si="86"/>
        <v>3300</v>
      </c>
      <c r="I274" s="199">
        <f t="shared" si="86"/>
        <v>426</v>
      </c>
      <c r="J274" s="199" t="str">
        <f t="shared" si="86"/>
        <v>-</v>
      </c>
      <c r="K274" s="199" t="str">
        <f t="shared" si="86"/>
        <v>-</v>
      </c>
      <c r="L274" s="199">
        <f t="shared" si="60"/>
        <v>14809</v>
      </c>
      <c r="M274" s="52"/>
      <c r="N274" s="199" t="str">
        <f t="shared" ref="N274:X274" si="87">IF(AND(N227="-",N180="-",N133="-",N86="-",N39="-"),"-",SUM(N227,N180,N133,N86,N39))</f>
        <v>-</v>
      </c>
      <c r="O274" s="199" t="str">
        <f t="shared" si="87"/>
        <v>-</v>
      </c>
      <c r="P274" s="199">
        <f t="shared" si="87"/>
        <v>8</v>
      </c>
      <c r="Q274" s="199">
        <f t="shared" si="87"/>
        <v>7</v>
      </c>
      <c r="R274" s="199">
        <f t="shared" si="87"/>
        <v>68</v>
      </c>
      <c r="S274" s="199">
        <f t="shared" si="87"/>
        <v>15</v>
      </c>
      <c r="T274" s="199">
        <f t="shared" si="87"/>
        <v>69</v>
      </c>
      <c r="U274" s="199">
        <f t="shared" si="87"/>
        <v>8</v>
      </c>
      <c r="V274" s="199" t="str">
        <f t="shared" si="87"/>
        <v>-</v>
      </c>
      <c r="W274" s="199" t="str">
        <f t="shared" si="87"/>
        <v>-</v>
      </c>
      <c r="X274" s="199">
        <f t="shared" si="87"/>
        <v>175</v>
      </c>
    </row>
    <row r="275" spans="1:24" s="374" customFormat="1" x14ac:dyDescent="0.2">
      <c r="A275" s="402">
        <v>2011</v>
      </c>
      <c r="B275" s="199" t="str">
        <f t="shared" si="77"/>
        <v>-</v>
      </c>
      <c r="C275" s="199" t="str">
        <f t="shared" si="75"/>
        <v>-</v>
      </c>
      <c r="D275" s="199">
        <f t="shared" si="86"/>
        <v>5522</v>
      </c>
      <c r="E275" s="199">
        <f t="shared" si="86"/>
        <v>2585</v>
      </c>
      <c r="F275" s="199">
        <f t="shared" si="86"/>
        <v>3380</v>
      </c>
      <c r="G275" s="199">
        <f t="shared" si="86"/>
        <v>16882</v>
      </c>
      <c r="H275" s="199">
        <f t="shared" si="86"/>
        <v>13100</v>
      </c>
      <c r="I275" s="199">
        <f t="shared" si="86"/>
        <v>7095</v>
      </c>
      <c r="J275" s="199">
        <f t="shared" si="86"/>
        <v>1258</v>
      </c>
      <c r="K275" s="199" t="str">
        <f t="shared" si="86"/>
        <v>-</v>
      </c>
      <c r="L275" s="199">
        <f t="shared" si="60"/>
        <v>49822</v>
      </c>
      <c r="M275" s="52"/>
      <c r="N275" s="199" t="str">
        <f t="shared" ref="N275:X275" si="88">IF(AND(N228="-",N181="-",N134="-",N87="-",N40="-"),"-",SUM(N228,N181,N134,N87,N40))</f>
        <v>-</v>
      </c>
      <c r="O275" s="199" t="str">
        <f t="shared" si="88"/>
        <v>-</v>
      </c>
      <c r="P275" s="199">
        <f t="shared" si="88"/>
        <v>8</v>
      </c>
      <c r="Q275" s="199">
        <f t="shared" si="88"/>
        <v>15</v>
      </c>
      <c r="R275" s="199">
        <f t="shared" si="88"/>
        <v>72</v>
      </c>
      <c r="S275" s="199">
        <f t="shared" si="88"/>
        <v>166</v>
      </c>
      <c r="T275" s="199">
        <f t="shared" si="88"/>
        <v>46</v>
      </c>
      <c r="U275" s="199">
        <f t="shared" si="88"/>
        <v>4</v>
      </c>
      <c r="V275" s="199">
        <f t="shared" si="88"/>
        <v>5</v>
      </c>
      <c r="W275" s="199" t="str">
        <f t="shared" si="88"/>
        <v>-</v>
      </c>
      <c r="X275" s="199">
        <f t="shared" si="88"/>
        <v>316</v>
      </c>
    </row>
    <row r="276" spans="1:24" s="374" customFormat="1" x14ac:dyDescent="0.2">
      <c r="A276" s="402">
        <v>2012</v>
      </c>
      <c r="B276" s="199" t="str">
        <f t="shared" si="77"/>
        <v>-</v>
      </c>
      <c r="C276" s="199" t="str">
        <f t="shared" si="75"/>
        <v>-</v>
      </c>
      <c r="D276" s="199">
        <f t="shared" si="86"/>
        <v>18786</v>
      </c>
      <c r="E276" s="199">
        <f t="shared" si="86"/>
        <v>14723</v>
      </c>
      <c r="F276" s="199">
        <f t="shared" si="86"/>
        <v>27892</v>
      </c>
      <c r="G276" s="199">
        <f t="shared" si="86"/>
        <v>35707</v>
      </c>
      <c r="H276" s="199">
        <f t="shared" si="86"/>
        <v>17475</v>
      </c>
      <c r="I276" s="199">
        <f t="shared" si="86"/>
        <v>7089</v>
      </c>
      <c r="J276" s="199">
        <f t="shared" si="86"/>
        <v>2094</v>
      </c>
      <c r="K276" s="199">
        <f t="shared" si="86"/>
        <v>160</v>
      </c>
      <c r="L276" s="199">
        <f t="shared" si="60"/>
        <v>123926</v>
      </c>
      <c r="M276" s="52"/>
      <c r="N276" s="199" t="str">
        <f t="shared" ref="N276:X276" si="89">IF(AND(N229="-",N182="-",N135="-",N88="-",N41="-"),"-",SUM(N229,N182,N135,N88,N41))</f>
        <v>-</v>
      </c>
      <c r="O276" s="199" t="str">
        <f t="shared" si="89"/>
        <v>-</v>
      </c>
      <c r="P276" s="199" t="str">
        <f t="shared" si="89"/>
        <v>-</v>
      </c>
      <c r="Q276" s="199">
        <f t="shared" si="89"/>
        <v>3</v>
      </c>
      <c r="R276" s="199">
        <f t="shared" si="89"/>
        <v>49</v>
      </c>
      <c r="S276" s="199">
        <f t="shared" si="89"/>
        <v>46</v>
      </c>
      <c r="T276" s="199" t="str">
        <f t="shared" si="89"/>
        <v>-</v>
      </c>
      <c r="U276" s="199">
        <f t="shared" si="89"/>
        <v>3</v>
      </c>
      <c r="V276" s="199" t="str">
        <f t="shared" si="89"/>
        <v>-</v>
      </c>
      <c r="W276" s="199" t="str">
        <f t="shared" si="89"/>
        <v>-</v>
      </c>
      <c r="X276" s="199">
        <f t="shared" si="89"/>
        <v>101</v>
      </c>
    </row>
    <row r="277" spans="1:24" s="374" customFormat="1" x14ac:dyDescent="0.2">
      <c r="A277" s="402">
        <v>2013</v>
      </c>
      <c r="B277" s="199" t="str">
        <f t="shared" si="77"/>
        <v>-</v>
      </c>
      <c r="C277" s="199" t="str">
        <f t="shared" si="75"/>
        <v>-</v>
      </c>
      <c r="D277" s="199">
        <f t="shared" si="86"/>
        <v>13656</v>
      </c>
      <c r="E277" s="199">
        <f t="shared" si="86"/>
        <v>13900</v>
      </c>
      <c r="F277" s="199">
        <f t="shared" si="86"/>
        <v>26243</v>
      </c>
      <c r="G277" s="199">
        <f t="shared" si="86"/>
        <v>40509</v>
      </c>
      <c r="H277" s="199">
        <f t="shared" si="86"/>
        <v>17714</v>
      </c>
      <c r="I277" s="199">
        <f t="shared" si="86"/>
        <v>2606</v>
      </c>
      <c r="J277" s="199">
        <f t="shared" si="86"/>
        <v>1359</v>
      </c>
      <c r="K277" s="199">
        <f t="shared" si="86"/>
        <v>87</v>
      </c>
      <c r="L277" s="199">
        <f t="shared" si="60"/>
        <v>116074</v>
      </c>
      <c r="M277" s="52"/>
      <c r="N277" s="199" t="str">
        <f t="shared" ref="N277:X277" si="90">IF(AND(N230="-",N183="-",N136="-",N89="-",N42="-"),"-",SUM(N230,N183,N136,N89,N42))</f>
        <v>-</v>
      </c>
      <c r="O277" s="199" t="str">
        <f t="shared" si="90"/>
        <v>-</v>
      </c>
      <c r="P277" s="199" t="str">
        <f t="shared" si="90"/>
        <v>-</v>
      </c>
      <c r="Q277" s="199" t="str">
        <f t="shared" si="90"/>
        <v>-</v>
      </c>
      <c r="R277" s="199">
        <f t="shared" si="90"/>
        <v>91</v>
      </c>
      <c r="S277" s="199">
        <f t="shared" si="90"/>
        <v>144</v>
      </c>
      <c r="T277" s="199">
        <f t="shared" si="90"/>
        <v>126</v>
      </c>
      <c r="U277" s="199" t="str">
        <f t="shared" si="90"/>
        <v>-</v>
      </c>
      <c r="V277" s="199" t="str">
        <f t="shared" si="90"/>
        <v>-</v>
      </c>
      <c r="W277" s="199" t="str">
        <f t="shared" si="90"/>
        <v>-</v>
      </c>
      <c r="X277" s="199">
        <f t="shared" si="90"/>
        <v>361</v>
      </c>
    </row>
    <row r="278" spans="1:24" s="374" customFormat="1" x14ac:dyDescent="0.2">
      <c r="A278" s="402">
        <v>2014</v>
      </c>
      <c r="B278" s="199" t="str">
        <f t="shared" si="77"/>
        <v>-</v>
      </c>
      <c r="C278" s="199" t="str">
        <f t="shared" si="75"/>
        <v>-</v>
      </c>
      <c r="D278" s="199">
        <f t="shared" si="86"/>
        <v>13924</v>
      </c>
      <c r="E278" s="199">
        <f t="shared" si="86"/>
        <v>7508</v>
      </c>
      <c r="F278" s="199">
        <f t="shared" si="86"/>
        <v>7978</v>
      </c>
      <c r="G278" s="199">
        <f t="shared" si="86"/>
        <v>19678</v>
      </c>
      <c r="H278" s="199">
        <f t="shared" si="86"/>
        <v>15848</v>
      </c>
      <c r="I278" s="199">
        <f t="shared" si="86"/>
        <v>6706</v>
      </c>
      <c r="J278" s="199">
        <f t="shared" si="86"/>
        <v>3073</v>
      </c>
      <c r="K278" s="199">
        <f t="shared" si="86"/>
        <v>125</v>
      </c>
      <c r="L278" s="199">
        <f t="shared" si="60"/>
        <v>74840</v>
      </c>
      <c r="M278" s="52"/>
      <c r="N278" s="199" t="str">
        <f t="shared" ref="N278:X278" si="91">IF(AND(N231="-",N184="-",N137="-",N90="-",N43="-"),"-",SUM(N231,N184,N137,N90,N43))</f>
        <v>-</v>
      </c>
      <c r="O278" s="199" t="str">
        <f t="shared" si="91"/>
        <v>-</v>
      </c>
      <c r="P278" s="199" t="str">
        <f t="shared" si="91"/>
        <v>-</v>
      </c>
      <c r="Q278" s="199">
        <f t="shared" si="91"/>
        <v>23</v>
      </c>
      <c r="R278" s="199">
        <f t="shared" si="91"/>
        <v>118</v>
      </c>
      <c r="S278" s="199">
        <f t="shared" si="91"/>
        <v>331</v>
      </c>
      <c r="T278" s="199">
        <f t="shared" si="91"/>
        <v>4</v>
      </c>
      <c r="U278" s="199">
        <f t="shared" si="91"/>
        <v>3</v>
      </c>
      <c r="V278" s="199" t="str">
        <f t="shared" si="91"/>
        <v>-</v>
      </c>
      <c r="W278" s="199" t="str">
        <f t="shared" si="91"/>
        <v>-</v>
      </c>
      <c r="X278" s="199">
        <f t="shared" si="91"/>
        <v>479</v>
      </c>
    </row>
    <row r="279" spans="1:24" s="374" customFormat="1" x14ac:dyDescent="0.2">
      <c r="A279" s="402">
        <v>2015</v>
      </c>
      <c r="B279" s="199" t="str">
        <f t="shared" si="77"/>
        <v>-</v>
      </c>
      <c r="C279" s="199" t="str">
        <f t="shared" si="75"/>
        <v>-</v>
      </c>
      <c r="D279" s="199">
        <f t="shared" si="86"/>
        <v>3024</v>
      </c>
      <c r="E279" s="199">
        <f t="shared" si="86"/>
        <v>2793</v>
      </c>
      <c r="F279" s="199">
        <f t="shared" si="86"/>
        <v>3433</v>
      </c>
      <c r="G279" s="199">
        <f t="shared" si="86"/>
        <v>9598</v>
      </c>
      <c r="H279" s="199">
        <f t="shared" si="86"/>
        <v>8842</v>
      </c>
      <c r="I279" s="199">
        <f t="shared" si="86"/>
        <v>8213</v>
      </c>
      <c r="J279" s="199">
        <f t="shared" si="86"/>
        <v>1577</v>
      </c>
      <c r="K279" s="199">
        <f t="shared" si="86"/>
        <v>0</v>
      </c>
      <c r="L279" s="199">
        <f t="shared" si="60"/>
        <v>37480</v>
      </c>
      <c r="M279" s="52"/>
      <c r="N279" s="199" t="str">
        <f t="shared" ref="N279:X279" si="92">IF(AND(N232="-",N185="-",N138="-",N91="-",N44="-"),"-",SUM(N232,N185,N138,N91,N44))</f>
        <v>-</v>
      </c>
      <c r="O279" s="199" t="str">
        <f t="shared" si="92"/>
        <v>-</v>
      </c>
      <c r="P279" s="199" t="str">
        <f t="shared" si="92"/>
        <v>-</v>
      </c>
      <c r="Q279" s="199">
        <f t="shared" si="92"/>
        <v>5</v>
      </c>
      <c r="R279" s="199">
        <f t="shared" si="92"/>
        <v>12</v>
      </c>
      <c r="S279" s="199">
        <f t="shared" si="92"/>
        <v>19</v>
      </c>
      <c r="T279" s="199">
        <f t="shared" si="92"/>
        <v>5</v>
      </c>
      <c r="U279" s="199" t="str">
        <f t="shared" si="92"/>
        <v>-</v>
      </c>
      <c r="V279" s="199" t="str">
        <f t="shared" si="92"/>
        <v>-</v>
      </c>
      <c r="W279" s="199" t="str">
        <f t="shared" si="92"/>
        <v>-</v>
      </c>
      <c r="X279" s="199">
        <f t="shared" si="92"/>
        <v>41</v>
      </c>
    </row>
    <row r="280" spans="1:24" s="374" customFormat="1" x14ac:dyDescent="0.2">
      <c r="A280" s="402">
        <v>2016</v>
      </c>
      <c r="B280" s="199" t="str">
        <f t="shared" si="77"/>
        <v>-</v>
      </c>
      <c r="C280" s="199" t="str">
        <f t="shared" si="75"/>
        <v>-</v>
      </c>
      <c r="D280" s="199">
        <f t="shared" si="86"/>
        <v>2030</v>
      </c>
      <c r="E280" s="199">
        <f t="shared" si="86"/>
        <v>5693</v>
      </c>
      <c r="F280" s="199">
        <f t="shared" si="86"/>
        <v>2465</v>
      </c>
      <c r="G280" s="199">
        <f t="shared" si="86"/>
        <v>12983</v>
      </c>
      <c r="H280" s="199">
        <f t="shared" si="86"/>
        <v>7747</v>
      </c>
      <c r="I280" s="199">
        <f t="shared" si="86"/>
        <v>6456</v>
      </c>
      <c r="J280" s="199">
        <f t="shared" si="86"/>
        <v>638</v>
      </c>
      <c r="K280" s="199">
        <f t="shared" si="86"/>
        <v>0</v>
      </c>
      <c r="L280" s="199">
        <f t="shared" si="60"/>
        <v>38012</v>
      </c>
      <c r="M280" s="52"/>
      <c r="N280" s="199" t="str">
        <f t="shared" ref="N280:X280" si="93">IF(AND(N233="-",N186="-",N139="-",N92="-",N45="-"),"-",SUM(N233,N186,N139,N92,N45))</f>
        <v>-</v>
      </c>
      <c r="O280" s="199" t="str">
        <f t="shared" si="93"/>
        <v>-</v>
      </c>
      <c r="P280" s="199" t="str">
        <f t="shared" si="93"/>
        <v>-</v>
      </c>
      <c r="Q280" s="199" t="str">
        <f t="shared" si="93"/>
        <v>-</v>
      </c>
      <c r="R280" s="199">
        <f t="shared" si="93"/>
        <v>18</v>
      </c>
      <c r="S280" s="199">
        <f t="shared" si="93"/>
        <v>44</v>
      </c>
      <c r="T280" s="199">
        <f t="shared" si="93"/>
        <v>8</v>
      </c>
      <c r="U280" s="199" t="str">
        <f t="shared" si="93"/>
        <v>-</v>
      </c>
      <c r="V280" s="199" t="str">
        <f t="shared" si="93"/>
        <v>-</v>
      </c>
      <c r="W280" s="199" t="str">
        <f t="shared" si="93"/>
        <v>-</v>
      </c>
      <c r="X280" s="199">
        <f t="shared" si="93"/>
        <v>70</v>
      </c>
    </row>
    <row r="281" spans="1:24" s="374" customFormat="1" x14ac:dyDescent="0.2">
      <c r="A281" s="402">
        <v>2017</v>
      </c>
      <c r="B281" s="199" t="str">
        <f t="shared" si="77"/>
        <v>-</v>
      </c>
      <c r="C281" s="199" t="str">
        <f t="shared" si="75"/>
        <v>-</v>
      </c>
      <c r="D281" s="199">
        <f t="shared" si="86"/>
        <v>4298</v>
      </c>
      <c r="E281" s="199">
        <f t="shared" si="86"/>
        <v>2305</v>
      </c>
      <c r="F281" s="199">
        <f t="shared" si="86"/>
        <v>5433</v>
      </c>
      <c r="G281" s="199">
        <f t="shared" si="86"/>
        <v>26241</v>
      </c>
      <c r="H281" s="199">
        <f t="shared" si="86"/>
        <v>18809</v>
      </c>
      <c r="I281" s="199">
        <f t="shared" si="86"/>
        <v>4260</v>
      </c>
      <c r="J281" s="199">
        <f t="shared" si="86"/>
        <v>851</v>
      </c>
      <c r="K281" s="199">
        <f t="shared" si="86"/>
        <v>0</v>
      </c>
      <c r="L281" s="199">
        <f t="shared" si="60"/>
        <v>62197</v>
      </c>
      <c r="M281" s="52"/>
      <c r="N281" s="199" t="str">
        <f t="shared" ref="N281:X281" si="94">IF(AND(N234="-",N187="-",N140="-",N93="-",N46="-"),"-",SUM(N234,N187,N140,N93,N46))</f>
        <v>-</v>
      </c>
      <c r="O281" s="199" t="str">
        <f t="shared" si="94"/>
        <v>-</v>
      </c>
      <c r="P281" s="199" t="str">
        <f t="shared" si="94"/>
        <v>-</v>
      </c>
      <c r="Q281" s="199">
        <f t="shared" si="94"/>
        <v>3</v>
      </c>
      <c r="R281" s="199" t="str">
        <f t="shared" si="94"/>
        <v>-</v>
      </c>
      <c r="S281" s="199">
        <f t="shared" si="94"/>
        <v>418</v>
      </c>
      <c r="T281" s="199">
        <f t="shared" si="94"/>
        <v>44</v>
      </c>
      <c r="U281" s="199" t="str">
        <f t="shared" si="94"/>
        <v>-</v>
      </c>
      <c r="V281" s="199" t="str">
        <f t="shared" si="94"/>
        <v>-</v>
      </c>
      <c r="W281" s="199" t="str">
        <f t="shared" si="94"/>
        <v>-</v>
      </c>
      <c r="X281" s="199">
        <f t="shared" si="94"/>
        <v>465</v>
      </c>
    </row>
    <row r="282" spans="1:24" s="374" customFormat="1" x14ac:dyDescent="0.2">
      <c r="A282" s="122">
        <v>2018</v>
      </c>
      <c r="B282" s="199" t="str">
        <f t="shared" si="77"/>
        <v>-</v>
      </c>
      <c r="C282" s="199" t="str">
        <f t="shared" si="75"/>
        <v>-</v>
      </c>
      <c r="D282" s="199">
        <f t="shared" si="86"/>
        <v>3935</v>
      </c>
      <c r="E282" s="199">
        <f t="shared" si="86"/>
        <v>476</v>
      </c>
      <c r="F282" s="199">
        <f t="shared" si="86"/>
        <v>14772</v>
      </c>
      <c r="G282" s="199">
        <f t="shared" si="86"/>
        <v>42450</v>
      </c>
      <c r="H282" s="199">
        <f t="shared" si="86"/>
        <v>14698</v>
      </c>
      <c r="I282" s="199">
        <f t="shared" si="86"/>
        <v>6811</v>
      </c>
      <c r="J282" s="199">
        <f t="shared" si="86"/>
        <v>4172</v>
      </c>
      <c r="K282" s="199" t="str">
        <f t="shared" si="86"/>
        <v>-</v>
      </c>
      <c r="L282" s="199">
        <f t="shared" si="60"/>
        <v>87314</v>
      </c>
      <c r="M282" s="52"/>
      <c r="N282" s="199" t="str">
        <f t="shared" ref="N282:X282" si="95">IF(AND(N235="-",N188="-",N141="-",N94="-",N47="-"),"-",SUM(N235,N188,N141,N94,N47))</f>
        <v>-</v>
      </c>
      <c r="O282" s="199" t="str">
        <f t="shared" si="95"/>
        <v>-</v>
      </c>
      <c r="P282" s="199" t="str">
        <f t="shared" si="95"/>
        <v>-</v>
      </c>
      <c r="Q282" s="199" t="str">
        <f t="shared" si="95"/>
        <v>-</v>
      </c>
      <c r="R282" s="199">
        <f t="shared" si="95"/>
        <v>54</v>
      </c>
      <c r="S282" s="199">
        <f t="shared" si="95"/>
        <v>96</v>
      </c>
      <c r="T282" s="199">
        <f t="shared" si="95"/>
        <v>37</v>
      </c>
      <c r="U282" s="199">
        <f t="shared" si="95"/>
        <v>8</v>
      </c>
      <c r="V282" s="199" t="str">
        <f t="shared" si="95"/>
        <v>-</v>
      </c>
      <c r="W282" s="199" t="str">
        <f t="shared" si="95"/>
        <v>-</v>
      </c>
      <c r="X282" s="199">
        <f t="shared" si="95"/>
        <v>195</v>
      </c>
    </row>
    <row r="283" spans="1:24" s="487" customFormat="1" x14ac:dyDescent="0.2">
      <c r="A283" s="496" t="s">
        <v>398</v>
      </c>
      <c r="B283" s="199" t="str">
        <f t="shared" ref="B283:L284" si="96">IF(AND(B236="-",B189="-",B142="-",B95="-",B48="-"),"-",SUM(B236,B189,B142,B95,B48))</f>
        <v>-</v>
      </c>
      <c r="C283" s="199" t="str">
        <f t="shared" si="96"/>
        <v>-</v>
      </c>
      <c r="D283" s="199">
        <f t="shared" si="96"/>
        <v>16780</v>
      </c>
      <c r="E283" s="199">
        <f t="shared" si="96"/>
        <v>3479</v>
      </c>
      <c r="F283" s="199">
        <f t="shared" si="96"/>
        <v>20871</v>
      </c>
      <c r="G283" s="199">
        <f t="shared" si="96"/>
        <v>22213</v>
      </c>
      <c r="H283" s="199">
        <f t="shared" si="96"/>
        <v>20919</v>
      </c>
      <c r="I283" s="199">
        <f t="shared" si="96"/>
        <v>3734</v>
      </c>
      <c r="J283" s="199">
        <f t="shared" si="96"/>
        <v>468</v>
      </c>
      <c r="K283" s="199" t="str">
        <f t="shared" si="96"/>
        <v>-</v>
      </c>
      <c r="L283" s="199">
        <f t="shared" si="96"/>
        <v>88464</v>
      </c>
      <c r="M283" s="52"/>
      <c r="N283" s="199" t="str">
        <f t="shared" ref="N283:X284" si="97">IF(AND(N236="-",N189="-",N142="-",N95="-",N48="-"),"-",SUM(N236,N189,N142,N95,N48))</f>
        <v>-</v>
      </c>
      <c r="O283" s="199" t="str">
        <f t="shared" si="97"/>
        <v>-</v>
      </c>
      <c r="P283" s="199" t="str">
        <f t="shared" si="97"/>
        <v>-</v>
      </c>
      <c r="Q283" s="199">
        <f t="shared" si="97"/>
        <v>2</v>
      </c>
      <c r="R283" s="199">
        <f t="shared" si="97"/>
        <v>162</v>
      </c>
      <c r="S283" s="199">
        <f t="shared" si="97"/>
        <v>117</v>
      </c>
      <c r="T283" s="199">
        <f t="shared" si="97"/>
        <v>396</v>
      </c>
      <c r="U283" s="199">
        <f t="shared" si="97"/>
        <v>14</v>
      </c>
      <c r="V283" s="199">
        <f t="shared" si="97"/>
        <v>5</v>
      </c>
      <c r="W283" s="199" t="str">
        <f t="shared" si="97"/>
        <v>-</v>
      </c>
      <c r="X283" s="199">
        <f t="shared" si="97"/>
        <v>696</v>
      </c>
    </row>
    <row r="284" spans="1:24" x14ac:dyDescent="0.2">
      <c r="A284" s="496" t="s">
        <v>399</v>
      </c>
      <c r="B284" s="199" t="str">
        <f t="shared" si="96"/>
        <v>-</v>
      </c>
      <c r="C284" s="199" t="str">
        <f t="shared" si="96"/>
        <v>-</v>
      </c>
      <c r="D284" s="199" t="str">
        <f t="shared" si="96"/>
        <v>-</v>
      </c>
      <c r="E284" s="199" t="s">
        <v>116</v>
      </c>
      <c r="F284" s="199" t="s">
        <v>116</v>
      </c>
      <c r="G284" s="199">
        <f t="shared" si="96"/>
        <v>23505</v>
      </c>
      <c r="H284" s="199">
        <f t="shared" si="96"/>
        <v>9920</v>
      </c>
      <c r="I284" s="199">
        <f t="shared" si="96"/>
        <v>4047</v>
      </c>
      <c r="J284" s="199">
        <f t="shared" si="96"/>
        <v>2279</v>
      </c>
      <c r="K284" s="199">
        <f t="shared" si="96"/>
        <v>21</v>
      </c>
      <c r="L284" s="199">
        <f t="shared" si="96"/>
        <v>39772</v>
      </c>
      <c r="M284" s="52"/>
      <c r="N284" s="199" t="str">
        <f t="shared" si="97"/>
        <v>-</v>
      </c>
      <c r="O284" s="199" t="str">
        <f t="shared" si="97"/>
        <v>-</v>
      </c>
      <c r="P284" s="199" t="str">
        <f t="shared" si="97"/>
        <v>-</v>
      </c>
      <c r="Q284" s="199" t="str">
        <f t="shared" si="97"/>
        <v>-</v>
      </c>
      <c r="R284" s="199" t="str">
        <f t="shared" si="97"/>
        <v>-</v>
      </c>
      <c r="S284" s="199">
        <f t="shared" si="97"/>
        <v>48</v>
      </c>
      <c r="T284" s="199" t="str">
        <f t="shared" si="97"/>
        <v>-</v>
      </c>
      <c r="U284" s="199">
        <f t="shared" si="97"/>
        <v>4</v>
      </c>
      <c r="V284" s="199" t="str">
        <f t="shared" si="97"/>
        <v>-</v>
      </c>
      <c r="W284" s="199" t="str">
        <f t="shared" si="97"/>
        <v>-</v>
      </c>
      <c r="X284" s="199">
        <f t="shared" si="97"/>
        <v>52</v>
      </c>
    </row>
    <row r="285" spans="1:24" x14ac:dyDescent="0.2">
      <c r="A285" s="533" t="s">
        <v>75</v>
      </c>
      <c r="B285" s="533"/>
      <c r="C285" s="533"/>
      <c r="D285" s="533"/>
      <c r="E285" s="533"/>
      <c r="F285" s="533"/>
      <c r="G285" s="533"/>
      <c r="H285" s="533"/>
      <c r="I285" s="533"/>
      <c r="J285" s="533"/>
      <c r="K285" s="533"/>
      <c r="L285" s="533"/>
      <c r="M285" s="533"/>
      <c r="N285" s="533"/>
      <c r="O285" s="533"/>
      <c r="P285" s="533"/>
      <c r="Q285" s="533"/>
      <c r="R285" s="533"/>
      <c r="S285" s="533"/>
      <c r="T285" s="533"/>
      <c r="U285" s="533"/>
      <c r="V285" s="533"/>
      <c r="W285" s="533"/>
      <c r="X285" s="533"/>
    </row>
    <row r="286" spans="1:24" ht="11.25" customHeight="1" x14ac:dyDescent="0.2">
      <c r="A286" s="534" t="s">
        <v>400</v>
      </c>
      <c r="B286" s="534"/>
      <c r="C286" s="534"/>
      <c r="D286" s="534"/>
      <c r="E286" s="534"/>
      <c r="F286" s="534"/>
      <c r="G286" s="534"/>
      <c r="H286" s="534"/>
      <c r="I286" s="534"/>
      <c r="J286" s="534"/>
      <c r="K286" s="534"/>
      <c r="L286" s="534"/>
      <c r="M286" s="534"/>
      <c r="N286" s="534"/>
      <c r="O286" s="534"/>
      <c r="P286" s="534"/>
      <c r="Q286" s="534"/>
      <c r="R286" s="534"/>
      <c r="S286" s="534"/>
      <c r="T286" s="534"/>
      <c r="U286" s="534"/>
      <c r="V286" s="534"/>
      <c r="W286" s="534"/>
      <c r="X286" s="534"/>
    </row>
    <row r="288" spans="1:24" s="310" customFormat="1" x14ac:dyDescent="0.2">
      <c r="A288" s="240"/>
      <c r="B288" s="241"/>
      <c r="C288" s="241"/>
      <c r="D288" s="241"/>
      <c r="E288" s="241"/>
      <c r="F288" s="241"/>
      <c r="G288" s="241"/>
      <c r="H288" s="241"/>
      <c r="I288" s="241"/>
      <c r="J288" s="241"/>
      <c r="K288" s="241"/>
      <c r="L288" s="241"/>
      <c r="M288" s="242"/>
      <c r="N288" s="241"/>
      <c r="O288" s="241"/>
      <c r="P288" s="241"/>
      <c r="Q288" s="241"/>
      <c r="R288" s="241"/>
      <c r="S288" s="241"/>
      <c r="T288" s="241"/>
      <c r="U288" s="241"/>
      <c r="V288" s="241"/>
      <c r="W288" s="241"/>
      <c r="X288" s="241"/>
    </row>
    <row r="294" spans="1:24" x14ac:dyDescent="0.2">
      <c r="A294" s="531" t="s">
        <v>252</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row>
    <row r="295" spans="1:24" x14ac:dyDescent="0.2">
      <c r="A295" s="389" t="s">
        <v>33</v>
      </c>
      <c r="B295" s="381" t="s">
        <v>42</v>
      </c>
      <c r="C295" s="381" t="s">
        <v>43</v>
      </c>
      <c r="D295" s="381" t="s">
        <v>34</v>
      </c>
      <c r="E295" s="381" t="s">
        <v>35</v>
      </c>
      <c r="F295" s="381" t="s">
        <v>36</v>
      </c>
      <c r="G295" s="381" t="s">
        <v>37</v>
      </c>
      <c r="H295" s="381" t="s">
        <v>38</v>
      </c>
      <c r="I295" s="381" t="s">
        <v>39</v>
      </c>
      <c r="J295" s="381" t="s">
        <v>40</v>
      </c>
      <c r="K295" s="381" t="s">
        <v>44</v>
      </c>
      <c r="L295" s="381" t="s">
        <v>28</v>
      </c>
      <c r="M295" s="453"/>
      <c r="N295" s="381" t="s">
        <v>42</v>
      </c>
      <c r="O295" s="381" t="s">
        <v>43</v>
      </c>
      <c r="P295" s="381" t="s">
        <v>34</v>
      </c>
      <c r="Q295" s="381" t="s">
        <v>35</v>
      </c>
      <c r="R295" s="381" t="s">
        <v>36</v>
      </c>
      <c r="S295" s="381" t="s">
        <v>37</v>
      </c>
      <c r="T295" s="381" t="s">
        <v>38</v>
      </c>
      <c r="U295" s="381" t="s">
        <v>39</v>
      </c>
      <c r="V295" s="381" t="s">
        <v>40</v>
      </c>
      <c r="W295" s="381" t="s">
        <v>44</v>
      </c>
      <c r="X295" s="381" t="s">
        <v>28</v>
      </c>
    </row>
    <row r="296" spans="1:24" x14ac:dyDescent="0.2">
      <c r="A296" s="402"/>
      <c r="B296" s="529" t="s">
        <v>67</v>
      </c>
      <c r="C296" s="529"/>
      <c r="D296" s="529"/>
      <c r="E296" s="529"/>
      <c r="F296" s="529"/>
      <c r="G296" s="529"/>
      <c r="H296" s="529"/>
      <c r="I296" s="529"/>
      <c r="J296" s="529"/>
      <c r="K296" s="529"/>
      <c r="L296" s="529"/>
      <c r="M296" s="23"/>
      <c r="N296" s="529" t="s">
        <v>68</v>
      </c>
      <c r="O296" s="529"/>
      <c r="P296" s="529"/>
      <c r="Q296" s="529"/>
      <c r="R296" s="529"/>
      <c r="S296" s="529"/>
      <c r="T296" s="529"/>
      <c r="U296" s="529"/>
      <c r="V296" s="529"/>
      <c r="W296" s="529"/>
      <c r="X296" s="529"/>
    </row>
    <row r="297" spans="1:24" x14ac:dyDescent="0.2">
      <c r="A297" s="159" t="s">
        <v>22</v>
      </c>
      <c r="B297" s="203"/>
      <c r="C297" s="203"/>
      <c r="D297" s="203"/>
      <c r="E297" s="203"/>
      <c r="F297" s="203"/>
      <c r="G297" s="203"/>
      <c r="H297" s="203"/>
      <c r="I297" s="203"/>
      <c r="J297" s="203"/>
      <c r="K297" s="203"/>
      <c r="L297" s="203"/>
      <c r="M297" s="197"/>
      <c r="N297" s="203"/>
      <c r="O297" s="203"/>
      <c r="P297" s="203"/>
      <c r="Q297" s="203"/>
      <c r="R297" s="203"/>
      <c r="S297" s="203"/>
      <c r="T297" s="203"/>
      <c r="U297" s="203"/>
      <c r="V297" s="203"/>
      <c r="W297" s="203"/>
      <c r="X297" s="203"/>
    </row>
    <row r="298" spans="1:24" x14ac:dyDescent="0.2">
      <c r="A298" s="402" t="s">
        <v>87</v>
      </c>
      <c r="B298" s="101" t="s">
        <v>116</v>
      </c>
      <c r="C298" s="101" t="s">
        <v>116</v>
      </c>
      <c r="D298" s="203" t="s">
        <v>29</v>
      </c>
      <c r="E298" s="203">
        <f t="shared" ref="E298:X298" si="98">AVERAGE(E15:E19)</f>
        <v>414</v>
      </c>
      <c r="F298" s="203">
        <f t="shared" si="98"/>
        <v>4551.6000000000004</v>
      </c>
      <c r="G298" s="203">
        <f t="shared" si="98"/>
        <v>7688.6</v>
      </c>
      <c r="H298" s="203">
        <f t="shared" si="98"/>
        <v>1640.2</v>
      </c>
      <c r="I298" s="203">
        <f t="shared" si="98"/>
        <v>315.2</v>
      </c>
      <c r="J298" s="203" t="s">
        <v>29</v>
      </c>
      <c r="K298" s="203" t="s">
        <v>29</v>
      </c>
      <c r="L298" s="203">
        <f t="shared" si="98"/>
        <v>14609.6</v>
      </c>
      <c r="M298" s="197"/>
      <c r="N298" s="101" t="s">
        <v>116</v>
      </c>
      <c r="O298" s="101" t="s">
        <v>116</v>
      </c>
      <c r="P298" s="203" t="s">
        <v>29</v>
      </c>
      <c r="Q298" s="203">
        <f t="shared" si="98"/>
        <v>70.599999999999994</v>
      </c>
      <c r="R298" s="203">
        <f t="shared" si="98"/>
        <v>3560.8</v>
      </c>
      <c r="S298" s="203">
        <f t="shared" si="98"/>
        <v>8430</v>
      </c>
      <c r="T298" s="203">
        <f t="shared" si="98"/>
        <v>1644.6</v>
      </c>
      <c r="U298" s="203">
        <f t="shared" si="98"/>
        <v>141</v>
      </c>
      <c r="V298" s="203" t="s">
        <v>29</v>
      </c>
      <c r="W298" s="203" t="s">
        <v>29</v>
      </c>
      <c r="X298" s="203">
        <f t="shared" si="98"/>
        <v>13847</v>
      </c>
    </row>
    <row r="299" spans="1:24" x14ac:dyDescent="0.2">
      <c r="A299" s="402" t="s">
        <v>14</v>
      </c>
      <c r="B299" s="203" t="s">
        <v>29</v>
      </c>
      <c r="C299" s="203" t="s">
        <v>29</v>
      </c>
      <c r="D299" s="203" t="s">
        <v>29</v>
      </c>
      <c r="E299" s="203">
        <f>AVERAGE(E20:E24)</f>
        <v>1315.5</v>
      </c>
      <c r="F299" s="203">
        <f>AVERAGE(F20:F24)</f>
        <v>1402.25</v>
      </c>
      <c r="G299" s="203">
        <f>AVERAGE(G20:G24)</f>
        <v>1101.3333333333333</v>
      </c>
      <c r="H299" s="203">
        <f>AVERAGE(H20:H24)</f>
        <v>300.75</v>
      </c>
      <c r="I299" s="203">
        <f>AVERAGE(I20:I24)</f>
        <v>405.4</v>
      </c>
      <c r="J299" s="203" t="s">
        <v>29</v>
      </c>
      <c r="K299" s="203" t="s">
        <v>29</v>
      </c>
      <c r="L299" s="203">
        <f>AVERAGE(L20:L24)</f>
        <v>3481</v>
      </c>
      <c r="M299" s="197"/>
      <c r="N299" s="203" t="s">
        <v>29</v>
      </c>
      <c r="O299" s="203" t="s">
        <v>29</v>
      </c>
      <c r="P299" s="203" t="s">
        <v>29</v>
      </c>
      <c r="Q299" s="203">
        <f>AVERAGE(Q20:Q24)</f>
        <v>5</v>
      </c>
      <c r="R299" s="203">
        <f>AVERAGE(R20:R24)</f>
        <v>2222.5</v>
      </c>
      <c r="S299" s="203">
        <f>AVERAGE(S20:S24)</f>
        <v>5171.333333333333</v>
      </c>
      <c r="T299" s="203">
        <f>AVERAGE(T20:T24)</f>
        <v>724.5</v>
      </c>
      <c r="U299" s="203">
        <f>AVERAGE(U20:U24)</f>
        <v>132.80000000000001</v>
      </c>
      <c r="V299" s="203" t="s">
        <v>29</v>
      </c>
      <c r="W299" s="203" t="s">
        <v>29</v>
      </c>
      <c r="X299" s="203">
        <f>AVERAGE(X20:X24)</f>
        <v>5597.2</v>
      </c>
    </row>
    <row r="300" spans="1:24" x14ac:dyDescent="0.2">
      <c r="A300" s="402" t="s">
        <v>207</v>
      </c>
      <c r="B300" s="203" t="s">
        <v>29</v>
      </c>
      <c r="C300" s="203" t="s">
        <v>29</v>
      </c>
      <c r="D300" s="203" t="s">
        <v>29</v>
      </c>
      <c r="E300" s="203">
        <f>AVERAGE(E25:E29)</f>
        <v>166</v>
      </c>
      <c r="F300" s="203">
        <f>AVERAGE(F25:F29)</f>
        <v>827.2</v>
      </c>
      <c r="G300" s="203">
        <f>AVERAGE(G25:G29)</f>
        <v>680</v>
      </c>
      <c r="H300" s="203">
        <f>AVERAGE(H25:H29)</f>
        <v>658.6</v>
      </c>
      <c r="I300" s="203">
        <f>AVERAGE(I25:I29)</f>
        <v>81.2</v>
      </c>
      <c r="J300" s="203" t="s">
        <v>29</v>
      </c>
      <c r="K300" s="203" t="s">
        <v>29</v>
      </c>
      <c r="L300" s="203">
        <f>AVERAGE(L25:L29)</f>
        <v>2413</v>
      </c>
      <c r="M300" s="197"/>
      <c r="N300" s="203" t="s">
        <v>29</v>
      </c>
      <c r="O300" s="203" t="s">
        <v>29</v>
      </c>
      <c r="P300" s="203" t="s">
        <v>29</v>
      </c>
      <c r="Q300" s="203">
        <f>AVERAGE(Q25:Q29)</f>
        <v>4</v>
      </c>
      <c r="R300" s="203">
        <f>AVERAGE(R25:R29)</f>
        <v>27</v>
      </c>
      <c r="S300" s="203">
        <f>AVERAGE(S25:S29)</f>
        <v>23.25</v>
      </c>
      <c r="T300" s="203">
        <f>AVERAGE(T25:T29)</f>
        <v>21.4</v>
      </c>
      <c r="U300" s="203">
        <f>AVERAGE(U25:U29)</f>
        <v>19</v>
      </c>
      <c r="V300" s="203" t="s">
        <v>29</v>
      </c>
      <c r="W300" s="203" t="s">
        <v>29</v>
      </c>
      <c r="X300" s="203">
        <f>AVERAGE(X25:X29)</f>
        <v>60.8</v>
      </c>
    </row>
    <row r="301" spans="1:24" x14ac:dyDescent="0.2">
      <c r="A301" s="402" t="s">
        <v>238</v>
      </c>
      <c r="B301" s="203" t="str">
        <f t="shared" ref="B301:K301" si="99">B30</f>
        <v>-</v>
      </c>
      <c r="C301" s="203" t="str">
        <f t="shared" si="99"/>
        <v>-</v>
      </c>
      <c r="D301" s="203" t="str">
        <f t="shared" si="99"/>
        <v>-</v>
      </c>
      <c r="E301" s="203">
        <f>AVERAGE(E30:E34)</f>
        <v>265.39999999999998</v>
      </c>
      <c r="F301" s="203">
        <f>AVERAGE(F30:F34)</f>
        <v>403.2</v>
      </c>
      <c r="G301" s="203">
        <f>AVERAGE(G30:G34)</f>
        <v>237</v>
      </c>
      <c r="H301" s="203">
        <f>AVERAGE(H30:H34)</f>
        <v>307.60000000000002</v>
      </c>
      <c r="I301" s="203">
        <f>AVERAGE(I30:I34)</f>
        <v>91.2</v>
      </c>
      <c r="J301" s="203" t="str">
        <f t="shared" si="99"/>
        <v>-</v>
      </c>
      <c r="K301" s="203" t="str">
        <f t="shared" si="99"/>
        <v>-</v>
      </c>
      <c r="L301" s="203">
        <f>AVERAGE(L30:L34)</f>
        <v>1071.5</v>
      </c>
      <c r="M301" s="197"/>
      <c r="N301" s="203" t="str">
        <f t="shared" ref="N301:W301" si="100">N30</f>
        <v>-</v>
      </c>
      <c r="O301" s="203" t="str">
        <f t="shared" si="100"/>
        <v>-</v>
      </c>
      <c r="P301" s="203" t="str">
        <f t="shared" si="100"/>
        <v>-</v>
      </c>
      <c r="Q301" s="203">
        <f>AVERAGE(Q30:Q34)</f>
        <v>5.5</v>
      </c>
      <c r="R301" s="203">
        <f>AVERAGE(R30:R34)</f>
        <v>18.600000000000001</v>
      </c>
      <c r="S301" s="203">
        <f>AVERAGE(S30:S34)</f>
        <v>22.333333333333332</v>
      </c>
      <c r="T301" s="203">
        <f>AVERAGE(T30:T34)</f>
        <v>14.6</v>
      </c>
      <c r="U301" s="203" t="str">
        <f t="shared" si="100"/>
        <v>-</v>
      </c>
      <c r="V301" s="203" t="str">
        <f t="shared" si="100"/>
        <v>-</v>
      </c>
      <c r="W301" s="203" t="str">
        <f t="shared" si="100"/>
        <v>-</v>
      </c>
      <c r="X301" s="203">
        <f>AVERAGE(X30:X34)</f>
        <v>48.8</v>
      </c>
    </row>
    <row r="302" spans="1:24" x14ac:dyDescent="0.2">
      <c r="A302" s="402">
        <v>2006</v>
      </c>
      <c r="B302" s="203" t="str">
        <f>B35</f>
        <v>-</v>
      </c>
      <c r="C302" s="203" t="str">
        <f t="shared" ref="C302:L302" si="101">C35</f>
        <v>-</v>
      </c>
      <c r="D302" s="203" t="str">
        <f t="shared" si="101"/>
        <v>-</v>
      </c>
      <c r="E302" s="203">
        <f t="shared" si="101"/>
        <v>252</v>
      </c>
      <c r="F302" s="203">
        <f t="shared" si="101"/>
        <v>273</v>
      </c>
      <c r="G302" s="203">
        <f t="shared" si="101"/>
        <v>216</v>
      </c>
      <c r="H302" s="203" t="str">
        <f t="shared" si="101"/>
        <v>-</v>
      </c>
      <c r="I302" s="203">
        <f t="shared" si="101"/>
        <v>15</v>
      </c>
      <c r="J302" s="203" t="str">
        <f t="shared" si="101"/>
        <v>-</v>
      </c>
      <c r="K302" s="203" t="str">
        <f t="shared" si="101"/>
        <v>-</v>
      </c>
      <c r="L302" s="203">
        <f t="shared" si="101"/>
        <v>756</v>
      </c>
      <c r="M302" s="197"/>
      <c r="N302" s="203" t="str">
        <f t="shared" ref="N302:X302" si="102">N35</f>
        <v>-</v>
      </c>
      <c r="O302" s="203" t="str">
        <f t="shared" si="102"/>
        <v>-</v>
      </c>
      <c r="P302" s="203" t="str">
        <f t="shared" si="102"/>
        <v>-</v>
      </c>
      <c r="Q302" s="203">
        <f t="shared" si="102"/>
        <v>3</v>
      </c>
      <c r="R302" s="203">
        <f t="shared" si="102"/>
        <v>9</v>
      </c>
      <c r="S302" s="203">
        <f t="shared" si="102"/>
        <v>8</v>
      </c>
      <c r="T302" s="203" t="str">
        <f t="shared" si="102"/>
        <v>-</v>
      </c>
      <c r="U302" s="203" t="str">
        <f t="shared" si="102"/>
        <v>-</v>
      </c>
      <c r="V302" s="203" t="str">
        <f t="shared" si="102"/>
        <v>-</v>
      </c>
      <c r="W302" s="203" t="str">
        <f t="shared" si="102"/>
        <v>-</v>
      </c>
      <c r="X302" s="203">
        <f t="shared" si="102"/>
        <v>20</v>
      </c>
    </row>
    <row r="303" spans="1:24" s="374" customFormat="1" x14ac:dyDescent="0.2">
      <c r="A303" s="402">
        <v>2007</v>
      </c>
      <c r="B303" s="203" t="str">
        <f>B36</f>
        <v>-</v>
      </c>
      <c r="C303" s="203" t="str">
        <f t="shared" ref="C303:L303" si="103">C36</f>
        <v>-</v>
      </c>
      <c r="D303" s="203" t="str">
        <f t="shared" si="103"/>
        <v>-</v>
      </c>
      <c r="E303" s="203">
        <f t="shared" si="103"/>
        <v>30</v>
      </c>
      <c r="F303" s="203">
        <f t="shared" si="103"/>
        <v>198</v>
      </c>
      <c r="G303" s="203">
        <f t="shared" si="103"/>
        <v>589</v>
      </c>
      <c r="H303" s="203">
        <f t="shared" si="103"/>
        <v>27</v>
      </c>
      <c r="I303" s="203">
        <f t="shared" si="103"/>
        <v>27</v>
      </c>
      <c r="J303" s="203" t="str">
        <f t="shared" si="103"/>
        <v>-</v>
      </c>
      <c r="K303" s="203" t="str">
        <f t="shared" si="103"/>
        <v>-</v>
      </c>
      <c r="L303" s="203">
        <f t="shared" si="103"/>
        <v>871</v>
      </c>
      <c r="M303" s="197"/>
      <c r="N303" s="203" t="str">
        <f t="shared" ref="N303:X303" si="104">N36</f>
        <v>-</v>
      </c>
      <c r="O303" s="203" t="str">
        <f t="shared" si="104"/>
        <v>-</v>
      </c>
      <c r="P303" s="203" t="str">
        <f t="shared" si="104"/>
        <v>-</v>
      </c>
      <c r="Q303" s="203" t="str">
        <f t="shared" si="104"/>
        <v>-</v>
      </c>
      <c r="R303" s="203">
        <f t="shared" si="104"/>
        <v>8</v>
      </c>
      <c r="S303" s="203">
        <f t="shared" si="104"/>
        <v>43</v>
      </c>
      <c r="T303" s="203" t="str">
        <f t="shared" si="104"/>
        <v>-</v>
      </c>
      <c r="U303" s="203">
        <f t="shared" si="104"/>
        <v>5</v>
      </c>
      <c r="V303" s="203" t="str">
        <f t="shared" si="104"/>
        <v>-</v>
      </c>
      <c r="W303" s="203" t="str">
        <f t="shared" si="104"/>
        <v>-</v>
      </c>
      <c r="X303" s="203">
        <f t="shared" si="104"/>
        <v>56</v>
      </c>
    </row>
    <row r="304" spans="1:24" s="374" customFormat="1" x14ac:dyDescent="0.2">
      <c r="A304" s="402">
        <v>2008</v>
      </c>
      <c r="B304" s="203" t="str">
        <f>B37</f>
        <v>-</v>
      </c>
      <c r="C304" s="203" t="str">
        <f t="shared" ref="C304:L304" si="105">C37</f>
        <v>-</v>
      </c>
      <c r="D304" s="203" t="str">
        <f t="shared" si="105"/>
        <v>-</v>
      </c>
      <c r="E304" s="203" t="str">
        <f t="shared" si="105"/>
        <v>-</v>
      </c>
      <c r="F304" s="203" t="str">
        <f t="shared" si="105"/>
        <v>-</v>
      </c>
      <c r="G304" s="203" t="str">
        <f t="shared" si="105"/>
        <v>-</v>
      </c>
      <c r="H304" s="203" t="str">
        <f t="shared" si="105"/>
        <v>-</v>
      </c>
      <c r="I304" s="203" t="str">
        <f t="shared" si="105"/>
        <v>-</v>
      </c>
      <c r="J304" s="203" t="str">
        <f t="shared" si="105"/>
        <v>-</v>
      </c>
      <c r="K304" s="203" t="str">
        <f t="shared" si="105"/>
        <v>-</v>
      </c>
      <c r="L304" s="203" t="str">
        <f t="shared" si="105"/>
        <v>-</v>
      </c>
      <c r="M304" s="197"/>
      <c r="N304" s="203" t="str">
        <f t="shared" ref="N304:X304" si="106">N37</f>
        <v>-</v>
      </c>
      <c r="O304" s="203" t="str">
        <f t="shared" si="106"/>
        <v>-</v>
      </c>
      <c r="P304" s="203" t="str">
        <f t="shared" si="106"/>
        <v>-</v>
      </c>
      <c r="Q304" s="203" t="str">
        <f t="shared" si="106"/>
        <v>-</v>
      </c>
      <c r="R304" s="203" t="str">
        <f t="shared" si="106"/>
        <v>-</v>
      </c>
      <c r="S304" s="203" t="str">
        <f t="shared" si="106"/>
        <v>-</v>
      </c>
      <c r="T304" s="203" t="str">
        <f t="shared" si="106"/>
        <v>-</v>
      </c>
      <c r="U304" s="203" t="str">
        <f t="shared" si="106"/>
        <v>-</v>
      </c>
      <c r="V304" s="203" t="str">
        <f t="shared" si="106"/>
        <v>-</v>
      </c>
      <c r="W304" s="203" t="str">
        <f t="shared" si="106"/>
        <v>-</v>
      </c>
      <c r="X304" s="203" t="str">
        <f t="shared" si="106"/>
        <v>-</v>
      </c>
    </row>
    <row r="305" spans="1:24" s="374" customFormat="1" x14ac:dyDescent="0.2">
      <c r="A305" s="402">
        <v>2009</v>
      </c>
      <c r="B305" s="203" t="str">
        <f>B38</f>
        <v>-</v>
      </c>
      <c r="C305" s="203" t="str">
        <f t="shared" ref="C305:L305" si="107">C38</f>
        <v>-</v>
      </c>
      <c r="D305" s="203" t="str">
        <f t="shared" si="107"/>
        <v>-</v>
      </c>
      <c r="E305" s="203" t="str">
        <f t="shared" si="107"/>
        <v>-</v>
      </c>
      <c r="F305" s="203" t="str">
        <f t="shared" si="107"/>
        <v>-</v>
      </c>
      <c r="G305" s="203" t="str">
        <f t="shared" si="107"/>
        <v>-</v>
      </c>
      <c r="H305" s="203">
        <f t="shared" si="107"/>
        <v>36</v>
      </c>
      <c r="I305" s="203">
        <f t="shared" si="107"/>
        <v>111</v>
      </c>
      <c r="J305" s="203" t="str">
        <f t="shared" si="107"/>
        <v>-</v>
      </c>
      <c r="K305" s="203" t="str">
        <f t="shared" si="107"/>
        <v>-</v>
      </c>
      <c r="L305" s="203">
        <f t="shared" si="107"/>
        <v>147</v>
      </c>
      <c r="M305" s="197"/>
      <c r="N305" s="203" t="str">
        <f t="shared" ref="N305:X305" si="108">N38</f>
        <v>-</v>
      </c>
      <c r="O305" s="203" t="str">
        <f t="shared" si="108"/>
        <v>-</v>
      </c>
      <c r="P305" s="203" t="str">
        <f t="shared" si="108"/>
        <v>-</v>
      </c>
      <c r="Q305" s="203" t="str">
        <f t="shared" si="108"/>
        <v>-</v>
      </c>
      <c r="R305" s="203" t="str">
        <f t="shared" si="108"/>
        <v>-</v>
      </c>
      <c r="S305" s="203" t="str">
        <f t="shared" si="108"/>
        <v>-</v>
      </c>
      <c r="T305" s="203" t="str">
        <f t="shared" si="108"/>
        <v>-</v>
      </c>
      <c r="U305" s="203">
        <f t="shared" si="108"/>
        <v>3</v>
      </c>
      <c r="V305" s="203" t="str">
        <f t="shared" si="108"/>
        <v>-</v>
      </c>
      <c r="W305" s="203" t="str">
        <f t="shared" si="108"/>
        <v>-</v>
      </c>
      <c r="X305" s="203">
        <f t="shared" si="108"/>
        <v>3</v>
      </c>
    </row>
    <row r="306" spans="1:24" s="374" customFormat="1" x14ac:dyDescent="0.2">
      <c r="A306" s="402">
        <v>2010</v>
      </c>
      <c r="B306" s="203" t="str">
        <f t="shared" ref="B306:L306" si="109">B39</f>
        <v>-</v>
      </c>
      <c r="C306" s="203" t="str">
        <f t="shared" si="109"/>
        <v>-</v>
      </c>
      <c r="D306" s="203" t="str">
        <f t="shared" si="109"/>
        <v>-</v>
      </c>
      <c r="E306" s="203">
        <f t="shared" si="109"/>
        <v>0</v>
      </c>
      <c r="F306" s="203">
        <f t="shared" si="109"/>
        <v>0</v>
      </c>
      <c r="G306" s="203">
        <f t="shared" si="109"/>
        <v>0</v>
      </c>
      <c r="H306" s="203">
        <f t="shared" si="109"/>
        <v>0</v>
      </c>
      <c r="I306" s="203">
        <f t="shared" si="109"/>
        <v>0</v>
      </c>
      <c r="J306" s="203" t="str">
        <f t="shared" si="109"/>
        <v>-</v>
      </c>
      <c r="K306" s="203" t="str">
        <f t="shared" si="109"/>
        <v>-</v>
      </c>
      <c r="L306" s="203">
        <f t="shared" si="109"/>
        <v>0</v>
      </c>
      <c r="M306" s="197"/>
      <c r="N306" s="203" t="str">
        <f t="shared" ref="N306:X306" si="110">N39</f>
        <v>-</v>
      </c>
      <c r="O306" s="203" t="str">
        <f t="shared" si="110"/>
        <v>-</v>
      </c>
      <c r="P306" s="203" t="str">
        <f t="shared" si="110"/>
        <v>-</v>
      </c>
      <c r="Q306" s="203" t="str">
        <f t="shared" si="110"/>
        <v>-</v>
      </c>
      <c r="R306" s="203" t="str">
        <f t="shared" si="110"/>
        <v>-</v>
      </c>
      <c r="S306" s="203" t="str">
        <f t="shared" si="110"/>
        <v>-</v>
      </c>
      <c r="T306" s="203" t="str">
        <f t="shared" si="110"/>
        <v>-</v>
      </c>
      <c r="U306" s="203" t="str">
        <f t="shared" si="110"/>
        <v>-</v>
      </c>
      <c r="V306" s="203" t="str">
        <f t="shared" si="110"/>
        <v>-</v>
      </c>
      <c r="W306" s="203" t="str">
        <f t="shared" si="110"/>
        <v>-</v>
      </c>
      <c r="X306" s="203" t="str">
        <f t="shared" si="110"/>
        <v>-</v>
      </c>
    </row>
    <row r="307" spans="1:24" s="374" customFormat="1" x14ac:dyDescent="0.2">
      <c r="A307" s="402">
        <v>2011</v>
      </c>
      <c r="B307" s="203" t="str">
        <f t="shared" ref="B307:L307" si="111">B40</f>
        <v>-</v>
      </c>
      <c r="C307" s="203" t="str">
        <f t="shared" si="111"/>
        <v>-</v>
      </c>
      <c r="D307" s="203" t="str">
        <f t="shared" si="111"/>
        <v>-</v>
      </c>
      <c r="E307" s="203">
        <f t="shared" si="111"/>
        <v>36</v>
      </c>
      <c r="F307" s="203">
        <f t="shared" si="111"/>
        <v>12</v>
      </c>
      <c r="G307" s="203">
        <f t="shared" si="111"/>
        <v>42</v>
      </c>
      <c r="H307" s="203">
        <f t="shared" si="111"/>
        <v>18</v>
      </c>
      <c r="I307" s="203">
        <f t="shared" si="111"/>
        <v>5</v>
      </c>
      <c r="J307" s="203" t="str">
        <f t="shared" si="111"/>
        <v>-</v>
      </c>
      <c r="K307" s="203" t="str">
        <f t="shared" si="111"/>
        <v>-</v>
      </c>
      <c r="L307" s="203">
        <f t="shared" si="111"/>
        <v>113</v>
      </c>
      <c r="M307" s="197"/>
      <c r="N307" s="203" t="str">
        <f t="shared" ref="N307:X307" si="112">N40</f>
        <v>-</v>
      </c>
      <c r="O307" s="203" t="str">
        <f t="shared" si="112"/>
        <v>-</v>
      </c>
      <c r="P307" s="203" t="str">
        <f t="shared" si="112"/>
        <v>-</v>
      </c>
      <c r="Q307" s="203" t="str">
        <f t="shared" si="112"/>
        <v>-</v>
      </c>
      <c r="R307" s="203" t="str">
        <f t="shared" si="112"/>
        <v>-</v>
      </c>
      <c r="S307" s="203" t="str">
        <f t="shared" si="112"/>
        <v>-</v>
      </c>
      <c r="T307" s="203" t="str">
        <f t="shared" si="112"/>
        <v>-</v>
      </c>
      <c r="U307" s="203" t="str">
        <f t="shared" si="112"/>
        <v>-</v>
      </c>
      <c r="V307" s="203" t="str">
        <f t="shared" si="112"/>
        <v>-</v>
      </c>
      <c r="W307" s="203" t="str">
        <f t="shared" si="112"/>
        <v>-</v>
      </c>
      <c r="X307" s="203" t="str">
        <f t="shared" si="112"/>
        <v>-</v>
      </c>
    </row>
    <row r="308" spans="1:24" s="374" customFormat="1" x14ac:dyDescent="0.2">
      <c r="A308" s="402">
        <v>2012</v>
      </c>
      <c r="B308" s="203" t="str">
        <f t="shared" ref="B308:L308" si="113">B41</f>
        <v>-</v>
      </c>
      <c r="C308" s="203" t="str">
        <f t="shared" si="113"/>
        <v>-</v>
      </c>
      <c r="D308" s="203" t="str">
        <f t="shared" si="113"/>
        <v>-</v>
      </c>
      <c r="E308" s="203">
        <f t="shared" si="113"/>
        <v>115</v>
      </c>
      <c r="F308" s="203">
        <f t="shared" si="113"/>
        <v>761</v>
      </c>
      <c r="G308" s="203">
        <f t="shared" si="113"/>
        <v>4761</v>
      </c>
      <c r="H308" s="203">
        <f t="shared" si="113"/>
        <v>1469</v>
      </c>
      <c r="I308" s="203">
        <f t="shared" si="113"/>
        <v>326</v>
      </c>
      <c r="J308" s="203" t="str">
        <f t="shared" si="113"/>
        <v>-</v>
      </c>
      <c r="K308" s="203" t="str">
        <f t="shared" si="113"/>
        <v>-</v>
      </c>
      <c r="L308" s="203">
        <f t="shared" si="113"/>
        <v>7432</v>
      </c>
      <c r="M308" s="197"/>
      <c r="N308" s="203" t="str">
        <f t="shared" ref="N308:X308" si="114">N41</f>
        <v>-</v>
      </c>
      <c r="O308" s="203" t="str">
        <f t="shared" si="114"/>
        <v>-</v>
      </c>
      <c r="P308" s="203" t="str">
        <f t="shared" si="114"/>
        <v>-</v>
      </c>
      <c r="Q308" s="203" t="str">
        <f t="shared" si="114"/>
        <v>-</v>
      </c>
      <c r="R308" s="203">
        <f t="shared" si="114"/>
        <v>23</v>
      </c>
      <c r="S308" s="203">
        <f t="shared" si="114"/>
        <v>27</v>
      </c>
      <c r="T308" s="203" t="str">
        <f t="shared" si="114"/>
        <v>-</v>
      </c>
      <c r="U308" s="203" t="str">
        <f t="shared" si="114"/>
        <v>-</v>
      </c>
      <c r="V308" s="203" t="str">
        <f t="shared" si="114"/>
        <v>-</v>
      </c>
      <c r="W308" s="203" t="str">
        <f t="shared" si="114"/>
        <v>-</v>
      </c>
      <c r="X308" s="203">
        <f t="shared" si="114"/>
        <v>50</v>
      </c>
    </row>
    <row r="309" spans="1:24" s="374" customFormat="1" x14ac:dyDescent="0.2">
      <c r="A309" s="402">
        <v>2013</v>
      </c>
      <c r="B309" s="203" t="str">
        <f t="shared" ref="B309:L309" si="115">B42</f>
        <v>-</v>
      </c>
      <c r="C309" s="203" t="str">
        <f t="shared" si="115"/>
        <v>-</v>
      </c>
      <c r="D309" s="203" t="str">
        <f t="shared" si="115"/>
        <v>-</v>
      </c>
      <c r="E309" s="203">
        <f t="shared" si="115"/>
        <v>140</v>
      </c>
      <c r="F309" s="203">
        <f t="shared" si="115"/>
        <v>2913</v>
      </c>
      <c r="G309" s="203">
        <f t="shared" si="115"/>
        <v>2726</v>
      </c>
      <c r="H309" s="203">
        <f t="shared" si="115"/>
        <v>284</v>
      </c>
      <c r="I309" s="203">
        <f t="shared" si="115"/>
        <v>0</v>
      </c>
      <c r="J309" s="203" t="str">
        <f t="shared" si="115"/>
        <v>-</v>
      </c>
      <c r="K309" s="203" t="str">
        <f t="shared" si="115"/>
        <v>-</v>
      </c>
      <c r="L309" s="203">
        <f t="shared" si="115"/>
        <v>6063</v>
      </c>
      <c r="M309" s="197"/>
      <c r="N309" s="203" t="str">
        <f t="shared" ref="N309:X309" si="116">N42</f>
        <v>-</v>
      </c>
      <c r="O309" s="203" t="str">
        <f t="shared" si="116"/>
        <v>-</v>
      </c>
      <c r="P309" s="203" t="str">
        <f t="shared" si="116"/>
        <v>-</v>
      </c>
      <c r="Q309" s="203" t="str">
        <f t="shared" si="116"/>
        <v>-</v>
      </c>
      <c r="R309" s="203">
        <f t="shared" si="116"/>
        <v>22</v>
      </c>
      <c r="S309" s="203">
        <f t="shared" si="116"/>
        <v>19</v>
      </c>
      <c r="T309" s="203" t="str">
        <f t="shared" si="116"/>
        <v>-</v>
      </c>
      <c r="U309" s="203" t="str">
        <f t="shared" si="116"/>
        <v>-</v>
      </c>
      <c r="V309" s="203" t="str">
        <f t="shared" si="116"/>
        <v>-</v>
      </c>
      <c r="W309" s="203" t="str">
        <f t="shared" si="116"/>
        <v>-</v>
      </c>
      <c r="X309" s="203">
        <f t="shared" si="116"/>
        <v>41</v>
      </c>
    </row>
    <row r="310" spans="1:24" s="374" customFormat="1" x14ac:dyDescent="0.2">
      <c r="A310" s="402">
        <v>2014</v>
      </c>
      <c r="B310" s="203" t="str">
        <f t="shared" ref="B310:L310" si="117">B43</f>
        <v>-</v>
      </c>
      <c r="C310" s="203" t="str">
        <f t="shared" si="117"/>
        <v>-</v>
      </c>
      <c r="D310" s="203" t="str">
        <f t="shared" si="117"/>
        <v>-</v>
      </c>
      <c r="E310" s="203">
        <f t="shared" si="117"/>
        <v>1522</v>
      </c>
      <c r="F310" s="203">
        <f t="shared" si="117"/>
        <v>402</v>
      </c>
      <c r="G310" s="203">
        <f t="shared" si="117"/>
        <v>1284</v>
      </c>
      <c r="H310" s="203">
        <f t="shared" si="117"/>
        <v>25</v>
      </c>
      <c r="I310" s="203">
        <f t="shared" si="117"/>
        <v>0</v>
      </c>
      <c r="J310" s="203" t="str">
        <f t="shared" si="117"/>
        <v>-</v>
      </c>
      <c r="K310" s="203" t="str">
        <f t="shared" si="117"/>
        <v>-</v>
      </c>
      <c r="L310" s="203">
        <f t="shared" si="117"/>
        <v>3233</v>
      </c>
      <c r="M310" s="197"/>
      <c r="N310" s="203" t="str">
        <f t="shared" ref="N310:X310" si="118">N43</f>
        <v>-</v>
      </c>
      <c r="O310" s="203" t="str">
        <f t="shared" si="118"/>
        <v>-</v>
      </c>
      <c r="P310" s="203" t="str">
        <f t="shared" si="118"/>
        <v>-</v>
      </c>
      <c r="Q310" s="203" t="str">
        <f t="shared" si="118"/>
        <v>-</v>
      </c>
      <c r="R310" s="203">
        <f t="shared" si="118"/>
        <v>16</v>
      </c>
      <c r="S310" s="203">
        <f t="shared" si="118"/>
        <v>50</v>
      </c>
      <c r="T310" s="203" t="str">
        <f t="shared" si="118"/>
        <v>-</v>
      </c>
      <c r="U310" s="203" t="str">
        <f t="shared" si="118"/>
        <v>-</v>
      </c>
      <c r="V310" s="203" t="str">
        <f t="shared" si="118"/>
        <v>-</v>
      </c>
      <c r="W310" s="203" t="str">
        <f t="shared" si="118"/>
        <v>-</v>
      </c>
      <c r="X310" s="203">
        <f t="shared" si="118"/>
        <v>66</v>
      </c>
    </row>
    <row r="311" spans="1:24" s="374" customFormat="1" x14ac:dyDescent="0.2">
      <c r="A311" s="402">
        <v>2015</v>
      </c>
      <c r="B311" s="203" t="str">
        <f t="shared" ref="B311:L311" si="119">B44</f>
        <v>-</v>
      </c>
      <c r="C311" s="203" t="str">
        <f t="shared" si="119"/>
        <v>-</v>
      </c>
      <c r="D311" s="203" t="str">
        <f t="shared" si="119"/>
        <v>-</v>
      </c>
      <c r="E311" s="203">
        <f t="shared" si="119"/>
        <v>23</v>
      </c>
      <c r="F311" s="203">
        <f t="shared" si="119"/>
        <v>19</v>
      </c>
      <c r="G311" s="203">
        <f t="shared" si="119"/>
        <v>0</v>
      </c>
      <c r="H311" s="203">
        <f t="shared" si="119"/>
        <v>22</v>
      </c>
      <c r="I311" s="203">
        <f t="shared" si="119"/>
        <v>0</v>
      </c>
      <c r="J311" s="203" t="str">
        <f t="shared" si="119"/>
        <v>-</v>
      </c>
      <c r="K311" s="203" t="str">
        <f t="shared" si="119"/>
        <v>-</v>
      </c>
      <c r="L311" s="203">
        <f t="shared" si="119"/>
        <v>64</v>
      </c>
      <c r="M311" s="197"/>
      <c r="N311" s="203" t="str">
        <f t="shared" ref="N311:X311" si="120">N44</f>
        <v>-</v>
      </c>
      <c r="O311" s="203" t="str">
        <f t="shared" si="120"/>
        <v>-</v>
      </c>
      <c r="P311" s="203" t="str">
        <f t="shared" si="120"/>
        <v>-</v>
      </c>
      <c r="Q311" s="203" t="str">
        <f t="shared" si="120"/>
        <v>-</v>
      </c>
      <c r="R311" s="203" t="str">
        <f t="shared" si="120"/>
        <v>-</v>
      </c>
      <c r="S311" s="203" t="str">
        <f t="shared" si="120"/>
        <v>-</v>
      </c>
      <c r="T311" s="203" t="str">
        <f t="shared" si="120"/>
        <v>-</v>
      </c>
      <c r="U311" s="203" t="str">
        <f t="shared" si="120"/>
        <v>-</v>
      </c>
      <c r="V311" s="203" t="str">
        <f t="shared" si="120"/>
        <v>-</v>
      </c>
      <c r="W311" s="203" t="str">
        <f t="shared" si="120"/>
        <v>-</v>
      </c>
      <c r="X311" s="203" t="str">
        <f t="shared" si="120"/>
        <v>-</v>
      </c>
    </row>
    <row r="312" spans="1:24" s="374" customFormat="1" x14ac:dyDescent="0.2">
      <c r="A312" s="402">
        <v>2016</v>
      </c>
      <c r="B312" s="203" t="str">
        <f t="shared" ref="B312:L312" si="121">B45</f>
        <v>-</v>
      </c>
      <c r="C312" s="203" t="str">
        <f t="shared" si="121"/>
        <v>-</v>
      </c>
      <c r="D312" s="203" t="str">
        <f t="shared" si="121"/>
        <v>-</v>
      </c>
      <c r="E312" s="203">
        <f t="shared" si="121"/>
        <v>4</v>
      </c>
      <c r="F312" s="203">
        <f t="shared" si="121"/>
        <v>9</v>
      </c>
      <c r="G312" s="203">
        <f t="shared" si="121"/>
        <v>20</v>
      </c>
      <c r="H312" s="203">
        <f t="shared" si="121"/>
        <v>0</v>
      </c>
      <c r="I312" s="203">
        <f t="shared" si="121"/>
        <v>0</v>
      </c>
      <c r="J312" s="203" t="str">
        <f t="shared" si="121"/>
        <v>-</v>
      </c>
      <c r="K312" s="203" t="str">
        <f t="shared" si="121"/>
        <v>-</v>
      </c>
      <c r="L312" s="203">
        <f t="shared" si="121"/>
        <v>33</v>
      </c>
      <c r="M312" s="197"/>
      <c r="N312" s="203" t="str">
        <f t="shared" ref="N312:X312" si="122">N45</f>
        <v>-</v>
      </c>
      <c r="O312" s="203" t="str">
        <f t="shared" si="122"/>
        <v>-</v>
      </c>
      <c r="P312" s="203" t="str">
        <f t="shared" si="122"/>
        <v>-</v>
      </c>
      <c r="Q312" s="203" t="str">
        <f t="shared" si="122"/>
        <v>-</v>
      </c>
      <c r="R312" s="203" t="str">
        <f t="shared" si="122"/>
        <v>-</v>
      </c>
      <c r="S312" s="203" t="str">
        <f t="shared" si="122"/>
        <v>-</v>
      </c>
      <c r="T312" s="203" t="str">
        <f t="shared" si="122"/>
        <v>-</v>
      </c>
      <c r="U312" s="203" t="str">
        <f t="shared" si="122"/>
        <v>-</v>
      </c>
      <c r="V312" s="203" t="str">
        <f t="shared" si="122"/>
        <v>-</v>
      </c>
      <c r="W312" s="203" t="str">
        <f t="shared" si="122"/>
        <v>-</v>
      </c>
      <c r="X312" s="203" t="str">
        <f t="shared" si="122"/>
        <v>-</v>
      </c>
    </row>
    <row r="313" spans="1:24" s="374" customFormat="1" x14ac:dyDescent="0.2">
      <c r="A313" s="402">
        <v>2017</v>
      </c>
      <c r="B313" s="203" t="str">
        <f t="shared" ref="B313:L313" si="123">B46</f>
        <v>-</v>
      </c>
      <c r="C313" s="203" t="str">
        <f t="shared" si="123"/>
        <v>-</v>
      </c>
      <c r="D313" s="203" t="str">
        <f t="shared" si="123"/>
        <v>-</v>
      </c>
      <c r="E313" s="203" t="str">
        <f t="shared" si="123"/>
        <v>-</v>
      </c>
      <c r="F313" s="203" t="str">
        <f t="shared" si="123"/>
        <v>-</v>
      </c>
      <c r="G313" s="203" t="str">
        <f t="shared" si="123"/>
        <v>-</v>
      </c>
      <c r="H313" s="203" t="str">
        <f t="shared" si="123"/>
        <v>-</v>
      </c>
      <c r="I313" s="203" t="str">
        <f t="shared" si="123"/>
        <v>-</v>
      </c>
      <c r="J313" s="203" t="str">
        <f t="shared" si="123"/>
        <v>-</v>
      </c>
      <c r="K313" s="203" t="str">
        <f t="shared" si="123"/>
        <v>-</v>
      </c>
      <c r="L313" s="203" t="str">
        <f t="shared" si="123"/>
        <v>-</v>
      </c>
      <c r="M313" s="197"/>
      <c r="N313" s="203" t="str">
        <f t="shared" ref="N313:X313" si="124">N46</f>
        <v>-</v>
      </c>
      <c r="O313" s="203" t="str">
        <f t="shared" si="124"/>
        <v>-</v>
      </c>
      <c r="P313" s="203" t="str">
        <f t="shared" si="124"/>
        <v>-</v>
      </c>
      <c r="Q313" s="203" t="str">
        <f t="shared" si="124"/>
        <v>-</v>
      </c>
      <c r="R313" s="203" t="str">
        <f t="shared" si="124"/>
        <v>-</v>
      </c>
      <c r="S313" s="203" t="str">
        <f t="shared" si="124"/>
        <v>-</v>
      </c>
      <c r="T313" s="203" t="str">
        <f t="shared" si="124"/>
        <v>-</v>
      </c>
      <c r="U313" s="203" t="str">
        <f t="shared" si="124"/>
        <v>-</v>
      </c>
      <c r="V313" s="203" t="str">
        <f t="shared" si="124"/>
        <v>-</v>
      </c>
      <c r="W313" s="203" t="str">
        <f t="shared" si="124"/>
        <v>-</v>
      </c>
      <c r="X313" s="203" t="str">
        <f t="shared" si="124"/>
        <v>-</v>
      </c>
    </row>
    <row r="314" spans="1:24" s="374" customFormat="1" x14ac:dyDescent="0.2">
      <c r="A314" s="122">
        <v>2018</v>
      </c>
      <c r="B314" s="203" t="str">
        <f t="shared" ref="B314:L314" si="125">B47</f>
        <v>-</v>
      </c>
      <c r="C314" s="203" t="str">
        <f t="shared" si="125"/>
        <v>-</v>
      </c>
      <c r="D314" s="203" t="str">
        <f t="shared" si="125"/>
        <v>-</v>
      </c>
      <c r="E314" s="203" t="str">
        <f t="shared" si="125"/>
        <v>-</v>
      </c>
      <c r="F314" s="203">
        <f t="shared" si="125"/>
        <v>124</v>
      </c>
      <c r="G314" s="203">
        <f t="shared" si="125"/>
        <v>128</v>
      </c>
      <c r="H314" s="203">
        <f t="shared" si="125"/>
        <v>76</v>
      </c>
      <c r="I314" s="203">
        <f t="shared" si="125"/>
        <v>0</v>
      </c>
      <c r="J314" s="203" t="str">
        <f t="shared" si="125"/>
        <v>-</v>
      </c>
      <c r="K314" s="203" t="str">
        <f t="shared" si="125"/>
        <v>-</v>
      </c>
      <c r="L314" s="203">
        <f t="shared" si="125"/>
        <v>328</v>
      </c>
      <c r="M314" s="197"/>
      <c r="N314" s="203" t="str">
        <f t="shared" ref="N314:X314" si="126">N47</f>
        <v>-</v>
      </c>
      <c r="O314" s="203" t="str">
        <f t="shared" si="126"/>
        <v>-</v>
      </c>
      <c r="P314" s="203" t="str">
        <f t="shared" si="126"/>
        <v>-</v>
      </c>
      <c r="Q314" s="203" t="str">
        <f t="shared" si="126"/>
        <v>-</v>
      </c>
      <c r="R314" s="203">
        <f t="shared" si="126"/>
        <v>8</v>
      </c>
      <c r="S314" s="203">
        <f t="shared" si="126"/>
        <v>16</v>
      </c>
      <c r="T314" s="203" t="str">
        <f t="shared" si="126"/>
        <v>-</v>
      </c>
      <c r="U314" s="203" t="str">
        <f t="shared" si="126"/>
        <v>-</v>
      </c>
      <c r="V314" s="203" t="str">
        <f t="shared" si="126"/>
        <v>-</v>
      </c>
      <c r="W314" s="203" t="str">
        <f t="shared" si="126"/>
        <v>-</v>
      </c>
      <c r="X314" s="203">
        <f t="shared" si="126"/>
        <v>24</v>
      </c>
    </row>
    <row r="315" spans="1:24" s="487" customFormat="1" x14ac:dyDescent="0.2">
      <c r="A315" s="496" t="s">
        <v>398</v>
      </c>
      <c r="B315" s="203" t="str">
        <f>B48</f>
        <v>-</v>
      </c>
      <c r="C315" s="203" t="str">
        <f t="shared" ref="C315:X316" si="127">C48</f>
        <v>-</v>
      </c>
      <c r="D315" s="203" t="str">
        <f t="shared" si="127"/>
        <v>-</v>
      </c>
      <c r="E315" s="203">
        <f t="shared" si="127"/>
        <v>1</v>
      </c>
      <c r="F315" s="203">
        <f t="shared" si="127"/>
        <v>33</v>
      </c>
      <c r="G315" s="203">
        <f t="shared" si="127"/>
        <v>10</v>
      </c>
      <c r="H315" s="203">
        <f t="shared" si="127"/>
        <v>13</v>
      </c>
      <c r="I315" s="203">
        <f t="shared" si="127"/>
        <v>4</v>
      </c>
      <c r="J315" s="203" t="str">
        <f t="shared" si="127"/>
        <v>-</v>
      </c>
      <c r="K315" s="203" t="str">
        <f t="shared" si="127"/>
        <v>-</v>
      </c>
      <c r="L315" s="203">
        <f t="shared" si="127"/>
        <v>61</v>
      </c>
      <c r="M315" s="197"/>
      <c r="N315" s="203" t="str">
        <f t="shared" si="127"/>
        <v>-</v>
      </c>
      <c r="O315" s="203" t="str">
        <f t="shared" si="127"/>
        <v>-</v>
      </c>
      <c r="P315" s="203" t="str">
        <f t="shared" si="127"/>
        <v>-</v>
      </c>
      <c r="Q315" s="203" t="str">
        <f t="shared" si="127"/>
        <v>-</v>
      </c>
      <c r="R315" s="203" t="str">
        <f t="shared" si="127"/>
        <v>-</v>
      </c>
      <c r="S315" s="203">
        <f t="shared" si="127"/>
        <v>4</v>
      </c>
      <c r="T315" s="203">
        <f t="shared" si="127"/>
        <v>4</v>
      </c>
      <c r="U315" s="203" t="str">
        <f t="shared" si="127"/>
        <v>-</v>
      </c>
      <c r="V315" s="203" t="str">
        <f t="shared" si="127"/>
        <v>-</v>
      </c>
      <c r="W315" s="203" t="str">
        <f t="shared" si="127"/>
        <v>-</v>
      </c>
      <c r="X315" s="203">
        <f t="shared" si="127"/>
        <v>8</v>
      </c>
    </row>
    <row r="316" spans="1:24" x14ac:dyDescent="0.2">
      <c r="A316" s="496" t="s">
        <v>399</v>
      </c>
      <c r="B316" s="203" t="str">
        <f>B49</f>
        <v>-</v>
      </c>
      <c r="C316" s="203" t="str">
        <f t="shared" si="127"/>
        <v>-</v>
      </c>
      <c r="D316" s="203" t="str">
        <f t="shared" si="127"/>
        <v>-</v>
      </c>
      <c r="E316" s="203" t="str">
        <f t="shared" si="127"/>
        <v>-</v>
      </c>
      <c r="F316" s="203" t="str">
        <f t="shared" si="127"/>
        <v>--</v>
      </c>
      <c r="G316" s="203">
        <f t="shared" si="127"/>
        <v>314</v>
      </c>
      <c r="H316" s="203">
        <f t="shared" si="127"/>
        <v>65</v>
      </c>
      <c r="I316" s="203" t="str">
        <f t="shared" si="127"/>
        <v>-</v>
      </c>
      <c r="J316" s="203" t="str">
        <f t="shared" si="127"/>
        <v>-</v>
      </c>
      <c r="K316" s="203" t="str">
        <f t="shared" si="127"/>
        <v>-</v>
      </c>
      <c r="L316" s="203">
        <f t="shared" si="127"/>
        <v>379</v>
      </c>
      <c r="M316" s="197"/>
      <c r="N316" s="203" t="str">
        <f t="shared" si="127"/>
        <v>-</v>
      </c>
      <c r="O316" s="203" t="str">
        <f t="shared" si="127"/>
        <v>-</v>
      </c>
      <c r="P316" s="203" t="str">
        <f t="shared" si="127"/>
        <v>-</v>
      </c>
      <c r="Q316" s="203" t="str">
        <f t="shared" si="127"/>
        <v>-</v>
      </c>
      <c r="R316" s="203" t="str">
        <f t="shared" si="127"/>
        <v>-</v>
      </c>
      <c r="S316" s="203">
        <f t="shared" si="127"/>
        <v>14</v>
      </c>
      <c r="T316" s="203" t="str">
        <f t="shared" si="127"/>
        <v>-</v>
      </c>
      <c r="U316" s="203" t="str">
        <f t="shared" si="127"/>
        <v>-</v>
      </c>
      <c r="V316" s="203" t="str">
        <f t="shared" si="127"/>
        <v>-</v>
      </c>
      <c r="W316" s="203" t="str">
        <f t="shared" si="127"/>
        <v>-</v>
      </c>
      <c r="X316" s="203">
        <f t="shared" si="127"/>
        <v>14</v>
      </c>
    </row>
    <row r="317" spans="1:24" ht="6.75" customHeight="1" x14ac:dyDescent="0.2">
      <c r="A317" s="402"/>
      <c r="B317" s="203"/>
      <c r="C317" s="203"/>
      <c r="D317" s="203"/>
      <c r="E317" s="203"/>
      <c r="F317" s="203"/>
      <c r="G317" s="203"/>
      <c r="H317" s="203"/>
      <c r="I317" s="203"/>
      <c r="J317" s="203"/>
      <c r="K317" s="203"/>
      <c r="L317" s="203"/>
      <c r="M317" s="197"/>
      <c r="N317" s="203"/>
      <c r="O317" s="203"/>
      <c r="P317" s="203"/>
      <c r="Q317" s="203"/>
      <c r="R317" s="203"/>
      <c r="S317" s="203"/>
      <c r="T317" s="203"/>
      <c r="U317" s="203"/>
      <c r="V317" s="203"/>
      <c r="W317" s="203"/>
      <c r="X317" s="203"/>
    </row>
    <row r="318" spans="1:24" x14ac:dyDescent="0.2">
      <c r="A318" s="159" t="str">
        <f>A51</f>
        <v>Eureka</v>
      </c>
      <c r="B318" s="203"/>
      <c r="C318" s="203"/>
      <c r="D318" s="203"/>
      <c r="E318" s="203"/>
      <c r="F318" s="203"/>
      <c r="G318" s="203"/>
      <c r="H318" s="203"/>
      <c r="I318" s="203"/>
      <c r="J318" s="203"/>
      <c r="K318" s="203"/>
      <c r="L318" s="203"/>
      <c r="M318" s="197"/>
      <c r="N318" s="203"/>
      <c r="O318" s="203"/>
      <c r="P318" s="203"/>
      <c r="Q318" s="203"/>
      <c r="R318" s="203"/>
      <c r="S318" s="203"/>
      <c r="T318" s="203"/>
      <c r="U318" s="203"/>
      <c r="V318" s="203"/>
      <c r="W318" s="203"/>
      <c r="X318" s="203"/>
    </row>
    <row r="319" spans="1:24" x14ac:dyDescent="0.2">
      <c r="A319" s="402" t="s">
        <v>87</v>
      </c>
      <c r="B319" s="101" t="s">
        <v>116</v>
      </c>
      <c r="C319" s="101" t="s">
        <v>116</v>
      </c>
      <c r="D319" s="203" t="s">
        <v>29</v>
      </c>
      <c r="E319" s="203">
        <f t="shared" ref="E319:X319" si="128">AVERAGE(E62:E66)</f>
        <v>952.8</v>
      </c>
      <c r="F319" s="203">
        <f t="shared" si="128"/>
        <v>4925.6000000000004</v>
      </c>
      <c r="G319" s="203">
        <f t="shared" si="128"/>
        <v>6722.4</v>
      </c>
      <c r="H319" s="203">
        <f t="shared" si="128"/>
        <v>3013.6</v>
      </c>
      <c r="I319" s="203">
        <f t="shared" si="128"/>
        <v>183.8</v>
      </c>
      <c r="J319" s="203">
        <f t="shared" si="128"/>
        <v>0</v>
      </c>
      <c r="K319" s="203" t="s">
        <v>29</v>
      </c>
      <c r="L319" s="203">
        <f t="shared" si="128"/>
        <v>15798.2</v>
      </c>
      <c r="M319" s="197"/>
      <c r="N319" s="101" t="s">
        <v>116</v>
      </c>
      <c r="O319" s="101" t="s">
        <v>116</v>
      </c>
      <c r="P319" s="203" t="s">
        <v>29</v>
      </c>
      <c r="Q319" s="203">
        <f t="shared" si="128"/>
        <v>660.4</v>
      </c>
      <c r="R319" s="203">
        <f t="shared" si="128"/>
        <v>5551.4</v>
      </c>
      <c r="S319" s="203">
        <f t="shared" si="128"/>
        <v>12444.8</v>
      </c>
      <c r="T319" s="203">
        <f t="shared" si="128"/>
        <v>2725.6</v>
      </c>
      <c r="U319" s="203">
        <f t="shared" si="128"/>
        <v>268.8</v>
      </c>
      <c r="V319" s="203">
        <f t="shared" si="128"/>
        <v>0</v>
      </c>
      <c r="W319" s="203" t="s">
        <v>29</v>
      </c>
      <c r="X319" s="203">
        <f t="shared" si="128"/>
        <v>21651</v>
      </c>
    </row>
    <row r="320" spans="1:24" x14ac:dyDescent="0.2">
      <c r="A320" s="402" t="s">
        <v>14</v>
      </c>
      <c r="B320" s="203" t="s">
        <v>29</v>
      </c>
      <c r="C320" s="203" t="s">
        <v>29</v>
      </c>
      <c r="D320" s="203" t="s">
        <v>29</v>
      </c>
      <c r="E320" s="203">
        <f t="shared" ref="E320:J320" si="129">AVERAGE(E67:E71)</f>
        <v>620.5</v>
      </c>
      <c r="F320" s="203">
        <f t="shared" si="129"/>
        <v>3096.5</v>
      </c>
      <c r="G320" s="203">
        <f t="shared" si="129"/>
        <v>1890.3333333333333</v>
      </c>
      <c r="H320" s="203">
        <f t="shared" si="129"/>
        <v>725.25</v>
      </c>
      <c r="I320" s="203">
        <f t="shared" si="129"/>
        <v>625.20000000000005</v>
      </c>
      <c r="J320" s="203">
        <f t="shared" si="129"/>
        <v>1</v>
      </c>
      <c r="K320" s="203" t="s">
        <v>29</v>
      </c>
      <c r="L320" s="203">
        <f>AVERAGE(L67:L71)</f>
        <v>5313.4</v>
      </c>
      <c r="M320" s="197"/>
      <c r="N320" s="203" t="s">
        <v>29</v>
      </c>
      <c r="O320" s="203" t="s">
        <v>29</v>
      </c>
      <c r="P320" s="203" t="s">
        <v>29</v>
      </c>
      <c r="Q320" s="203">
        <f t="shared" ref="Q320:V320" si="130">AVERAGE(Q67:Q71)</f>
        <v>208.66666666666666</v>
      </c>
      <c r="R320" s="203">
        <f t="shared" si="130"/>
        <v>3364</v>
      </c>
      <c r="S320" s="203">
        <f t="shared" si="130"/>
        <v>5066.666666666667</v>
      </c>
      <c r="T320" s="203">
        <f t="shared" si="130"/>
        <v>505.5</v>
      </c>
      <c r="U320" s="203">
        <f t="shared" si="130"/>
        <v>381</v>
      </c>
      <c r="V320" s="203">
        <f t="shared" si="130"/>
        <v>2</v>
      </c>
      <c r="W320" s="203" t="s">
        <v>29</v>
      </c>
      <c r="X320" s="203">
        <f>AVERAGE(X67:X71)</f>
        <v>6642.2</v>
      </c>
    </row>
    <row r="321" spans="1:25" x14ac:dyDescent="0.2">
      <c r="A321" s="402" t="s">
        <v>207</v>
      </c>
      <c r="B321" s="203" t="s">
        <v>29</v>
      </c>
      <c r="C321" s="203" t="s">
        <v>29</v>
      </c>
      <c r="D321" s="203" t="s">
        <v>29</v>
      </c>
      <c r="E321" s="203">
        <f>AVERAGE(E72:E76)</f>
        <v>805.2</v>
      </c>
      <c r="F321" s="203">
        <f>AVERAGE(F72:F76)</f>
        <v>1948.4</v>
      </c>
      <c r="G321" s="203">
        <f>AVERAGE(G72:G76)</f>
        <v>992</v>
      </c>
      <c r="H321" s="203">
        <f>AVERAGE(H72:H76)</f>
        <v>2064.4</v>
      </c>
      <c r="I321" s="203">
        <f>AVERAGE(I72:I76)</f>
        <v>238.6</v>
      </c>
      <c r="J321" s="203" t="s">
        <v>29</v>
      </c>
      <c r="K321" s="203" t="s">
        <v>29</v>
      </c>
      <c r="L321" s="203">
        <f>AVERAGE(L72:L76)</f>
        <v>6048.6</v>
      </c>
      <c r="M321" s="197"/>
      <c r="N321" s="203" t="s">
        <v>29</v>
      </c>
      <c r="O321" s="203" t="s">
        <v>29</v>
      </c>
      <c r="P321" s="203" t="s">
        <v>29</v>
      </c>
      <c r="Q321" s="203">
        <f>AVERAGE(Q72:Q76)</f>
        <v>12</v>
      </c>
      <c r="R321" s="203">
        <f>AVERAGE(R72:R76)</f>
        <v>38.4</v>
      </c>
      <c r="S321" s="203">
        <f>AVERAGE(S72:S76)</f>
        <v>15.8</v>
      </c>
      <c r="T321" s="203">
        <f>AVERAGE(T72:T76)</f>
        <v>44.4</v>
      </c>
      <c r="U321" s="203">
        <f>AVERAGE(U72:U76)</f>
        <v>12</v>
      </c>
      <c r="V321" s="203" t="s">
        <v>29</v>
      </c>
      <c r="W321" s="203" t="s">
        <v>29</v>
      </c>
      <c r="X321" s="203">
        <f>AVERAGE(X72:X76)</f>
        <v>108.2</v>
      </c>
    </row>
    <row r="322" spans="1:25" x14ac:dyDescent="0.2">
      <c r="A322" s="402" t="s">
        <v>238</v>
      </c>
      <c r="B322" s="203" t="str">
        <f t="shared" ref="B322:K322" si="131">B77</f>
        <v>-</v>
      </c>
      <c r="C322" s="203" t="str">
        <f t="shared" si="131"/>
        <v>-</v>
      </c>
      <c r="D322" s="203" t="str">
        <f t="shared" si="131"/>
        <v>-</v>
      </c>
      <c r="E322" s="203">
        <f>AVERAGE(E77:E81)</f>
        <v>2608.8000000000002</v>
      </c>
      <c r="F322" s="203">
        <f>AVERAGE(F77:F81)</f>
        <v>3761.6</v>
      </c>
      <c r="G322" s="203">
        <f>AVERAGE(G77:G81)</f>
        <v>2062.4</v>
      </c>
      <c r="H322" s="203">
        <f>AVERAGE(H77:H81)</f>
        <v>4074.2</v>
      </c>
      <c r="I322" s="203">
        <f>AVERAGE(I77:I81)</f>
        <v>1807.6</v>
      </c>
      <c r="J322" s="203" t="str">
        <f t="shared" si="131"/>
        <v>-</v>
      </c>
      <c r="K322" s="203" t="str">
        <f t="shared" si="131"/>
        <v>-</v>
      </c>
      <c r="L322" s="203">
        <f>AVERAGE(L77:L81)</f>
        <v>14314.6</v>
      </c>
      <c r="M322" s="197"/>
      <c r="N322" s="203" t="str">
        <f t="shared" ref="N322:W322" si="132">N77</f>
        <v>-</v>
      </c>
      <c r="O322" s="203" t="str">
        <f t="shared" si="132"/>
        <v>-</v>
      </c>
      <c r="P322" s="203" t="str">
        <f t="shared" si="132"/>
        <v>-</v>
      </c>
      <c r="Q322" s="203">
        <f>AVERAGE(Q77:Q81)</f>
        <v>51</v>
      </c>
      <c r="R322" s="203">
        <f>AVERAGE(R77:R81)</f>
        <v>83.2</v>
      </c>
      <c r="S322" s="203">
        <f>AVERAGE(S77:S81)</f>
        <v>25.6</v>
      </c>
      <c r="T322" s="203">
        <f>AVERAGE(T77:T81)</f>
        <v>41</v>
      </c>
      <c r="U322" s="203">
        <f>AVERAGE(U77:U81)</f>
        <v>27</v>
      </c>
      <c r="V322" s="203" t="str">
        <f t="shared" si="132"/>
        <v>-</v>
      </c>
      <c r="W322" s="203" t="str">
        <f t="shared" si="132"/>
        <v>-</v>
      </c>
      <c r="X322" s="203">
        <f>AVERAGE(X77:X81)</f>
        <v>217</v>
      </c>
      <c r="Y322" s="203"/>
    </row>
    <row r="323" spans="1:25" x14ac:dyDescent="0.2">
      <c r="A323" s="402">
        <v>2006</v>
      </c>
      <c r="B323" s="203" t="str">
        <f>B82</f>
        <v>-</v>
      </c>
      <c r="C323" s="203" t="str">
        <f t="shared" ref="C323:L323" si="133">C82</f>
        <v>-</v>
      </c>
      <c r="D323" s="203" t="str">
        <f t="shared" si="133"/>
        <v>-</v>
      </c>
      <c r="E323" s="203">
        <f t="shared" si="133"/>
        <v>4316</v>
      </c>
      <c r="F323" s="203">
        <f t="shared" si="133"/>
        <v>5413</v>
      </c>
      <c r="G323" s="203">
        <f t="shared" si="133"/>
        <v>2113</v>
      </c>
      <c r="H323" s="203" t="str">
        <f t="shared" si="133"/>
        <v>-</v>
      </c>
      <c r="I323" s="203">
        <f t="shared" si="133"/>
        <v>3805</v>
      </c>
      <c r="J323" s="203" t="str">
        <f t="shared" si="133"/>
        <v>-</v>
      </c>
      <c r="K323" s="203" t="str">
        <f t="shared" si="133"/>
        <v>-</v>
      </c>
      <c r="L323" s="203">
        <f t="shared" si="133"/>
        <v>15647</v>
      </c>
      <c r="M323" s="197"/>
      <c r="N323" s="203" t="str">
        <f t="shared" ref="N323:X323" si="134">N82</f>
        <v>-</v>
      </c>
      <c r="O323" s="203" t="str">
        <f t="shared" si="134"/>
        <v>-</v>
      </c>
      <c r="P323" s="203" t="str">
        <f t="shared" si="134"/>
        <v>-</v>
      </c>
      <c r="Q323" s="203">
        <f t="shared" si="134"/>
        <v>88</v>
      </c>
      <c r="R323" s="203">
        <f t="shared" si="134"/>
        <v>20</v>
      </c>
      <c r="S323" s="203">
        <f t="shared" si="134"/>
        <v>25</v>
      </c>
      <c r="T323" s="203" t="str">
        <f t="shared" si="134"/>
        <v>-</v>
      </c>
      <c r="U323" s="203">
        <f t="shared" si="134"/>
        <v>88</v>
      </c>
      <c r="V323" s="203" t="str">
        <f t="shared" si="134"/>
        <v>-</v>
      </c>
      <c r="W323" s="203" t="str">
        <f t="shared" si="134"/>
        <v>-</v>
      </c>
      <c r="X323" s="203">
        <f t="shared" si="134"/>
        <v>221</v>
      </c>
    </row>
    <row r="324" spans="1:25" s="374" customFormat="1" x14ac:dyDescent="0.2">
      <c r="A324" s="402">
        <v>2007</v>
      </c>
      <c r="B324" s="203" t="str">
        <f>B83</f>
        <v>-</v>
      </c>
      <c r="C324" s="203" t="str">
        <f t="shared" ref="C324:L324" si="135">C83</f>
        <v>-</v>
      </c>
      <c r="D324" s="203" t="str">
        <f t="shared" si="135"/>
        <v>-</v>
      </c>
      <c r="E324" s="203">
        <f t="shared" si="135"/>
        <v>797</v>
      </c>
      <c r="F324" s="203">
        <f t="shared" si="135"/>
        <v>5050</v>
      </c>
      <c r="G324" s="203">
        <f t="shared" si="135"/>
        <v>4296</v>
      </c>
      <c r="H324" s="203">
        <f t="shared" si="135"/>
        <v>6037</v>
      </c>
      <c r="I324" s="203">
        <f t="shared" si="135"/>
        <v>1845</v>
      </c>
      <c r="J324" s="203" t="str">
        <f t="shared" si="135"/>
        <v>-</v>
      </c>
      <c r="K324" s="203" t="str">
        <f t="shared" si="135"/>
        <v>-</v>
      </c>
      <c r="L324" s="203">
        <f t="shared" si="135"/>
        <v>18025</v>
      </c>
      <c r="M324" s="197"/>
      <c r="N324" s="203" t="str">
        <f t="shared" ref="N324:X324" si="136">N83</f>
        <v>-</v>
      </c>
      <c r="O324" s="203" t="str">
        <f t="shared" si="136"/>
        <v>-</v>
      </c>
      <c r="P324" s="203" t="str">
        <f t="shared" si="136"/>
        <v>-</v>
      </c>
      <c r="Q324" s="203" t="str">
        <f t="shared" si="136"/>
        <v>-</v>
      </c>
      <c r="R324" s="203">
        <f t="shared" si="136"/>
        <v>105</v>
      </c>
      <c r="S324" s="203">
        <f t="shared" si="136"/>
        <v>96</v>
      </c>
      <c r="T324" s="203">
        <f t="shared" si="136"/>
        <v>108</v>
      </c>
      <c r="U324" s="203">
        <f t="shared" si="136"/>
        <v>36</v>
      </c>
      <c r="V324" s="203" t="str">
        <f t="shared" si="136"/>
        <v>-</v>
      </c>
      <c r="W324" s="203" t="str">
        <f t="shared" si="136"/>
        <v>-</v>
      </c>
      <c r="X324" s="203">
        <f t="shared" si="136"/>
        <v>345</v>
      </c>
    </row>
    <row r="325" spans="1:25" s="374" customFormat="1" x14ac:dyDescent="0.2">
      <c r="A325" s="402">
        <v>2008</v>
      </c>
      <c r="B325" s="203" t="str">
        <f>B84</f>
        <v>-</v>
      </c>
      <c r="C325" s="203" t="str">
        <f t="shared" ref="C325:L325" si="137">C84</f>
        <v>-</v>
      </c>
      <c r="D325" s="203" t="str">
        <f t="shared" si="137"/>
        <v>-</v>
      </c>
      <c r="E325" s="203" t="str">
        <f t="shared" si="137"/>
        <v>-</v>
      </c>
      <c r="F325" s="203" t="str">
        <f t="shared" si="137"/>
        <v>-</v>
      </c>
      <c r="G325" s="203" t="str">
        <f t="shared" si="137"/>
        <v>-</v>
      </c>
      <c r="H325" s="203" t="str">
        <f t="shared" si="137"/>
        <v>-</v>
      </c>
      <c r="I325" s="203" t="str">
        <f t="shared" si="137"/>
        <v>-</v>
      </c>
      <c r="J325" s="203" t="str">
        <f t="shared" si="137"/>
        <v>-</v>
      </c>
      <c r="K325" s="203" t="str">
        <f t="shared" si="137"/>
        <v>-</v>
      </c>
      <c r="L325" s="203" t="str">
        <f t="shared" si="137"/>
        <v>-</v>
      </c>
      <c r="M325" s="197"/>
      <c r="N325" s="203" t="str">
        <f t="shared" ref="N325:X325" si="138">N84</f>
        <v>-</v>
      </c>
      <c r="O325" s="203" t="str">
        <f t="shared" si="138"/>
        <v>-</v>
      </c>
      <c r="P325" s="203" t="str">
        <f t="shared" si="138"/>
        <v>-</v>
      </c>
      <c r="Q325" s="203" t="str">
        <f t="shared" si="138"/>
        <v>-</v>
      </c>
      <c r="R325" s="203" t="str">
        <f t="shared" si="138"/>
        <v>-</v>
      </c>
      <c r="S325" s="203" t="str">
        <f t="shared" si="138"/>
        <v>-</v>
      </c>
      <c r="T325" s="203" t="str">
        <f t="shared" si="138"/>
        <v>-</v>
      </c>
      <c r="U325" s="203" t="str">
        <f t="shared" si="138"/>
        <v>-</v>
      </c>
      <c r="V325" s="203" t="str">
        <f t="shared" si="138"/>
        <v>-</v>
      </c>
      <c r="W325" s="203" t="str">
        <f t="shared" si="138"/>
        <v>-</v>
      </c>
      <c r="X325" s="203" t="str">
        <f t="shared" si="138"/>
        <v>-</v>
      </c>
    </row>
    <row r="326" spans="1:25" s="374" customFormat="1" x14ac:dyDescent="0.2">
      <c r="A326" s="402">
        <v>2009</v>
      </c>
      <c r="B326" s="203" t="str">
        <f>B85</f>
        <v>-</v>
      </c>
      <c r="C326" s="203" t="str">
        <f t="shared" ref="C326:L326" si="139">C85</f>
        <v>-</v>
      </c>
      <c r="D326" s="203" t="str">
        <f t="shared" si="139"/>
        <v>-</v>
      </c>
      <c r="E326" s="203" t="str">
        <f t="shared" si="139"/>
        <v>-</v>
      </c>
      <c r="F326" s="203" t="str">
        <f t="shared" si="139"/>
        <v>-</v>
      </c>
      <c r="G326" s="203" t="str">
        <f t="shared" si="139"/>
        <v>-</v>
      </c>
      <c r="H326" s="203">
        <f t="shared" si="139"/>
        <v>266</v>
      </c>
      <c r="I326" s="203">
        <f t="shared" si="139"/>
        <v>259</v>
      </c>
      <c r="J326" s="203" t="str">
        <f t="shared" si="139"/>
        <v>-</v>
      </c>
      <c r="K326" s="203" t="str">
        <f t="shared" si="139"/>
        <v>-</v>
      </c>
      <c r="L326" s="203">
        <f t="shared" si="139"/>
        <v>525</v>
      </c>
      <c r="M326" s="197"/>
      <c r="N326" s="203" t="str">
        <f t="shared" ref="N326:X326" si="140">N85</f>
        <v>-</v>
      </c>
      <c r="O326" s="203" t="str">
        <f t="shared" si="140"/>
        <v>-</v>
      </c>
      <c r="P326" s="203" t="str">
        <f t="shared" si="140"/>
        <v>-</v>
      </c>
      <c r="Q326" s="203" t="str">
        <f t="shared" si="140"/>
        <v>-</v>
      </c>
      <c r="R326" s="203" t="str">
        <f t="shared" si="140"/>
        <v>-</v>
      </c>
      <c r="S326" s="203" t="str">
        <f t="shared" si="140"/>
        <v>-</v>
      </c>
      <c r="T326" s="203" t="str">
        <f t="shared" si="140"/>
        <v>-</v>
      </c>
      <c r="U326" s="203">
        <f t="shared" si="140"/>
        <v>5</v>
      </c>
      <c r="V326" s="203" t="str">
        <f t="shared" si="140"/>
        <v>-</v>
      </c>
      <c r="W326" s="203" t="str">
        <f t="shared" si="140"/>
        <v>-</v>
      </c>
      <c r="X326" s="203">
        <f t="shared" si="140"/>
        <v>5</v>
      </c>
    </row>
    <row r="327" spans="1:25" s="374" customFormat="1" x14ac:dyDescent="0.2">
      <c r="A327" s="402">
        <v>2010</v>
      </c>
      <c r="B327" s="203" t="str">
        <f t="shared" ref="B327:L327" si="141">B86</f>
        <v>-</v>
      </c>
      <c r="C327" s="203" t="str">
        <f t="shared" si="141"/>
        <v>-</v>
      </c>
      <c r="D327" s="203" t="str">
        <f t="shared" si="141"/>
        <v>-</v>
      </c>
      <c r="E327" s="203">
        <f t="shared" si="141"/>
        <v>17</v>
      </c>
      <c r="F327" s="203">
        <f t="shared" si="141"/>
        <v>158</v>
      </c>
      <c r="G327" s="203">
        <f t="shared" si="141"/>
        <v>37</v>
      </c>
      <c r="H327" s="203">
        <f t="shared" si="141"/>
        <v>477</v>
      </c>
      <c r="I327" s="203">
        <f t="shared" si="141"/>
        <v>31</v>
      </c>
      <c r="J327" s="203" t="str">
        <f t="shared" si="141"/>
        <v>-</v>
      </c>
      <c r="K327" s="203" t="str">
        <f t="shared" si="141"/>
        <v>-</v>
      </c>
      <c r="L327" s="203">
        <f t="shared" si="141"/>
        <v>720</v>
      </c>
      <c r="M327" s="197"/>
      <c r="N327" s="203" t="str">
        <f t="shared" ref="N327:X327" si="142">N86</f>
        <v>-</v>
      </c>
      <c r="O327" s="203" t="str">
        <f t="shared" si="142"/>
        <v>-</v>
      </c>
      <c r="P327" s="203" t="str">
        <f t="shared" si="142"/>
        <v>-</v>
      </c>
      <c r="Q327" s="203" t="str">
        <f t="shared" si="142"/>
        <v>-</v>
      </c>
      <c r="R327" s="203" t="str">
        <f t="shared" si="142"/>
        <v>-</v>
      </c>
      <c r="S327" s="203" t="str">
        <f t="shared" si="142"/>
        <v>-</v>
      </c>
      <c r="T327" s="203">
        <f t="shared" si="142"/>
        <v>50</v>
      </c>
      <c r="U327" s="203" t="str">
        <f t="shared" si="142"/>
        <v>-</v>
      </c>
      <c r="V327" s="203" t="str">
        <f t="shared" si="142"/>
        <v>-</v>
      </c>
      <c r="W327" s="203" t="str">
        <f t="shared" si="142"/>
        <v>-</v>
      </c>
      <c r="X327" s="203">
        <f t="shared" si="142"/>
        <v>50</v>
      </c>
    </row>
    <row r="328" spans="1:25" s="374" customFormat="1" x14ac:dyDescent="0.2">
      <c r="A328" s="402">
        <v>2011</v>
      </c>
      <c r="B328" s="203" t="str">
        <f t="shared" ref="B328:L328" si="143">B87</f>
        <v>-</v>
      </c>
      <c r="C328" s="203" t="str">
        <f t="shared" si="143"/>
        <v>-</v>
      </c>
      <c r="D328" s="203" t="str">
        <f t="shared" si="143"/>
        <v>-</v>
      </c>
      <c r="E328" s="203">
        <f t="shared" si="143"/>
        <v>630</v>
      </c>
      <c r="F328" s="203">
        <f t="shared" si="143"/>
        <v>934</v>
      </c>
      <c r="G328" s="203">
        <f t="shared" si="143"/>
        <v>4342</v>
      </c>
      <c r="H328" s="203">
        <f t="shared" si="143"/>
        <v>3672</v>
      </c>
      <c r="I328" s="203">
        <f t="shared" si="143"/>
        <v>296</v>
      </c>
      <c r="J328" s="203" t="str">
        <f t="shared" si="143"/>
        <v>-</v>
      </c>
      <c r="K328" s="203" t="str">
        <f t="shared" si="143"/>
        <v>-</v>
      </c>
      <c r="L328" s="203">
        <f t="shared" si="143"/>
        <v>9874</v>
      </c>
      <c r="M328" s="197"/>
      <c r="N328" s="203" t="str">
        <f t="shared" ref="N328:X328" si="144">N87</f>
        <v>-</v>
      </c>
      <c r="O328" s="203" t="str">
        <f t="shared" si="144"/>
        <v>-</v>
      </c>
      <c r="P328" s="203" t="str">
        <f t="shared" si="144"/>
        <v>-</v>
      </c>
      <c r="Q328" s="203">
        <f t="shared" si="144"/>
        <v>5</v>
      </c>
      <c r="R328" s="203">
        <f t="shared" si="144"/>
        <v>10</v>
      </c>
      <c r="S328" s="203">
        <f t="shared" si="144"/>
        <v>50</v>
      </c>
      <c r="T328" s="203">
        <f t="shared" si="144"/>
        <v>29</v>
      </c>
      <c r="U328" s="203">
        <f t="shared" si="144"/>
        <v>4</v>
      </c>
      <c r="V328" s="203" t="str">
        <f t="shared" si="144"/>
        <v>-</v>
      </c>
      <c r="W328" s="203" t="str">
        <f t="shared" si="144"/>
        <v>-</v>
      </c>
      <c r="X328" s="203">
        <f t="shared" si="144"/>
        <v>98</v>
      </c>
    </row>
    <row r="329" spans="1:25" s="374" customFormat="1" x14ac:dyDescent="0.2">
      <c r="A329" s="402">
        <v>2012</v>
      </c>
      <c r="B329" s="203" t="str">
        <f t="shared" ref="B329:L329" si="145">B88</f>
        <v>-</v>
      </c>
      <c r="C329" s="203" t="str">
        <f t="shared" si="145"/>
        <v>-</v>
      </c>
      <c r="D329" s="203" t="str">
        <f t="shared" si="145"/>
        <v>-</v>
      </c>
      <c r="E329" s="203">
        <f t="shared" si="145"/>
        <v>3462</v>
      </c>
      <c r="F329" s="203">
        <f t="shared" si="145"/>
        <v>10104</v>
      </c>
      <c r="G329" s="203">
        <f t="shared" si="145"/>
        <v>7049</v>
      </c>
      <c r="H329" s="203">
        <f t="shared" si="145"/>
        <v>9019</v>
      </c>
      <c r="I329" s="203">
        <f t="shared" si="145"/>
        <v>2378</v>
      </c>
      <c r="J329" s="203" t="str">
        <f t="shared" si="145"/>
        <v>-</v>
      </c>
      <c r="K329" s="203" t="str">
        <f t="shared" si="145"/>
        <v>-</v>
      </c>
      <c r="L329" s="203">
        <f t="shared" si="145"/>
        <v>32012</v>
      </c>
      <c r="M329" s="197"/>
      <c r="N329" s="203" t="str">
        <f t="shared" ref="N329:X329" si="146">N88</f>
        <v>-</v>
      </c>
      <c r="O329" s="203" t="str">
        <f t="shared" si="146"/>
        <v>-</v>
      </c>
      <c r="P329" s="203" t="str">
        <f t="shared" si="146"/>
        <v>-</v>
      </c>
      <c r="Q329" s="203" t="str">
        <f t="shared" si="146"/>
        <v>-</v>
      </c>
      <c r="R329" s="203">
        <f t="shared" si="146"/>
        <v>12</v>
      </c>
      <c r="S329" s="203">
        <f t="shared" si="146"/>
        <v>5</v>
      </c>
      <c r="T329" s="203" t="str">
        <f t="shared" si="146"/>
        <v>-</v>
      </c>
      <c r="U329" s="203" t="str">
        <f t="shared" si="146"/>
        <v>-</v>
      </c>
      <c r="V329" s="203" t="str">
        <f t="shared" si="146"/>
        <v>-</v>
      </c>
      <c r="W329" s="203" t="str">
        <f t="shared" si="146"/>
        <v>-</v>
      </c>
      <c r="X329" s="203">
        <f t="shared" si="146"/>
        <v>17</v>
      </c>
    </row>
    <row r="330" spans="1:25" s="374" customFormat="1" x14ac:dyDescent="0.2">
      <c r="A330" s="402">
        <v>2013</v>
      </c>
      <c r="B330" s="203" t="str">
        <f t="shared" ref="B330:L330" si="147">B89</f>
        <v>-</v>
      </c>
      <c r="C330" s="203" t="str">
        <f t="shared" si="147"/>
        <v>-</v>
      </c>
      <c r="D330" s="203" t="str">
        <f t="shared" si="147"/>
        <v>-</v>
      </c>
      <c r="E330" s="203">
        <f t="shared" si="147"/>
        <v>2423</v>
      </c>
      <c r="F330" s="203">
        <f t="shared" si="147"/>
        <v>7601</v>
      </c>
      <c r="G330" s="203">
        <f t="shared" si="147"/>
        <v>8579</v>
      </c>
      <c r="H330" s="203">
        <f t="shared" si="147"/>
        <v>8876</v>
      </c>
      <c r="I330" s="203">
        <f t="shared" si="147"/>
        <v>439</v>
      </c>
      <c r="J330" s="203" t="str">
        <f t="shared" si="147"/>
        <v>-</v>
      </c>
      <c r="K330" s="203" t="str">
        <f t="shared" si="147"/>
        <v>-</v>
      </c>
      <c r="L330" s="203">
        <f t="shared" si="147"/>
        <v>27918</v>
      </c>
      <c r="M330" s="197"/>
      <c r="N330" s="203" t="str">
        <f t="shared" ref="N330:X330" si="148">N89</f>
        <v>-</v>
      </c>
      <c r="O330" s="203" t="str">
        <f t="shared" si="148"/>
        <v>-</v>
      </c>
      <c r="P330" s="203" t="str">
        <f t="shared" si="148"/>
        <v>-</v>
      </c>
      <c r="Q330" s="203" t="str">
        <f t="shared" si="148"/>
        <v>-</v>
      </c>
      <c r="R330" s="203">
        <f t="shared" si="148"/>
        <v>35</v>
      </c>
      <c r="S330" s="203">
        <f t="shared" si="148"/>
        <v>39</v>
      </c>
      <c r="T330" s="203">
        <f t="shared" si="148"/>
        <v>122</v>
      </c>
      <c r="U330" s="203" t="str">
        <f t="shared" si="148"/>
        <v>-</v>
      </c>
      <c r="V330" s="203" t="str">
        <f t="shared" si="148"/>
        <v>-</v>
      </c>
      <c r="W330" s="203" t="str">
        <f t="shared" si="148"/>
        <v>-</v>
      </c>
      <c r="X330" s="203">
        <f t="shared" si="148"/>
        <v>196</v>
      </c>
    </row>
    <row r="331" spans="1:25" s="374" customFormat="1" x14ac:dyDescent="0.2">
      <c r="A331" s="402">
        <v>2014</v>
      </c>
      <c r="B331" s="203" t="str">
        <f t="shared" ref="B331:L331" si="149">B90</f>
        <v>-</v>
      </c>
      <c r="C331" s="203" t="str">
        <f t="shared" si="149"/>
        <v>-</v>
      </c>
      <c r="D331" s="203" t="str">
        <f t="shared" si="149"/>
        <v>-</v>
      </c>
      <c r="E331" s="203">
        <f t="shared" si="149"/>
        <v>2074</v>
      </c>
      <c r="F331" s="203">
        <f t="shared" si="149"/>
        <v>4877</v>
      </c>
      <c r="G331" s="203">
        <f t="shared" si="149"/>
        <v>3159</v>
      </c>
      <c r="H331" s="203">
        <f t="shared" si="149"/>
        <v>2181</v>
      </c>
      <c r="I331" s="203">
        <f t="shared" si="149"/>
        <v>303</v>
      </c>
      <c r="J331" s="203" t="str">
        <f t="shared" si="149"/>
        <v>-</v>
      </c>
      <c r="K331" s="203" t="str">
        <f t="shared" si="149"/>
        <v>-</v>
      </c>
      <c r="L331" s="203">
        <f t="shared" si="149"/>
        <v>12594</v>
      </c>
      <c r="M331" s="197"/>
      <c r="N331" s="203" t="str">
        <f t="shared" ref="N331:X331" si="150">N90</f>
        <v>-</v>
      </c>
      <c r="O331" s="203" t="str">
        <f t="shared" si="150"/>
        <v>-</v>
      </c>
      <c r="P331" s="203" t="str">
        <f t="shared" si="150"/>
        <v>-</v>
      </c>
      <c r="Q331" s="203">
        <f t="shared" si="150"/>
        <v>19</v>
      </c>
      <c r="R331" s="203">
        <f t="shared" si="150"/>
        <v>72</v>
      </c>
      <c r="S331" s="203">
        <f t="shared" si="150"/>
        <v>118</v>
      </c>
      <c r="T331" s="203">
        <f t="shared" si="150"/>
        <v>4</v>
      </c>
      <c r="U331" s="203">
        <f t="shared" si="150"/>
        <v>3</v>
      </c>
      <c r="V331" s="203" t="str">
        <f t="shared" si="150"/>
        <v>-</v>
      </c>
      <c r="W331" s="203" t="str">
        <f t="shared" si="150"/>
        <v>-</v>
      </c>
      <c r="X331" s="203">
        <f t="shared" si="150"/>
        <v>216</v>
      </c>
    </row>
    <row r="332" spans="1:25" s="374" customFormat="1" x14ac:dyDescent="0.2">
      <c r="A332" s="402">
        <v>2015</v>
      </c>
      <c r="B332" s="203" t="str">
        <f t="shared" ref="B332:L332" si="151">B91</f>
        <v>-</v>
      </c>
      <c r="C332" s="203" t="str">
        <f t="shared" si="151"/>
        <v>-</v>
      </c>
      <c r="D332" s="203" t="str">
        <f t="shared" si="151"/>
        <v>-</v>
      </c>
      <c r="E332" s="203">
        <f t="shared" si="151"/>
        <v>877</v>
      </c>
      <c r="F332" s="203">
        <f t="shared" si="151"/>
        <v>260</v>
      </c>
      <c r="G332" s="203">
        <f t="shared" si="151"/>
        <v>1088</v>
      </c>
      <c r="H332" s="203">
        <f t="shared" si="151"/>
        <v>1385</v>
      </c>
      <c r="I332" s="203">
        <f t="shared" si="151"/>
        <v>16</v>
      </c>
      <c r="J332" s="203" t="str">
        <f t="shared" si="151"/>
        <v>-</v>
      </c>
      <c r="K332" s="203" t="str">
        <f t="shared" si="151"/>
        <v>-</v>
      </c>
      <c r="L332" s="203">
        <f t="shared" si="151"/>
        <v>3626</v>
      </c>
      <c r="M332" s="197"/>
      <c r="N332" s="203" t="str">
        <f t="shared" ref="N332:X332" si="152">N91</f>
        <v>-</v>
      </c>
      <c r="O332" s="203" t="str">
        <f t="shared" si="152"/>
        <v>-</v>
      </c>
      <c r="P332" s="203" t="str">
        <f t="shared" si="152"/>
        <v>-</v>
      </c>
      <c r="Q332" s="203" t="str">
        <f t="shared" si="152"/>
        <v>-</v>
      </c>
      <c r="R332" s="203">
        <f t="shared" si="152"/>
        <v>8</v>
      </c>
      <c r="S332" s="203">
        <f t="shared" si="152"/>
        <v>4</v>
      </c>
      <c r="T332" s="203" t="str">
        <f t="shared" si="152"/>
        <v>-</v>
      </c>
      <c r="U332" s="203" t="str">
        <f t="shared" si="152"/>
        <v>-</v>
      </c>
      <c r="V332" s="203" t="str">
        <f t="shared" si="152"/>
        <v>-</v>
      </c>
      <c r="W332" s="203" t="str">
        <f t="shared" si="152"/>
        <v>-</v>
      </c>
      <c r="X332" s="203">
        <f t="shared" si="152"/>
        <v>12</v>
      </c>
    </row>
    <row r="333" spans="1:25" s="374" customFormat="1" x14ac:dyDescent="0.2">
      <c r="A333" s="402">
        <v>2016</v>
      </c>
      <c r="B333" s="203" t="str">
        <f t="shared" ref="B333:L333" si="153">B92</f>
        <v>-</v>
      </c>
      <c r="C333" s="203" t="str">
        <f t="shared" si="153"/>
        <v>-</v>
      </c>
      <c r="D333" s="203" t="str">
        <f t="shared" si="153"/>
        <v>-</v>
      </c>
      <c r="E333" s="203">
        <f t="shared" si="153"/>
        <v>1450</v>
      </c>
      <c r="F333" s="203">
        <f t="shared" si="153"/>
        <v>934</v>
      </c>
      <c r="G333" s="203">
        <f t="shared" si="153"/>
        <v>1414</v>
      </c>
      <c r="H333" s="203">
        <f t="shared" si="153"/>
        <v>646</v>
      </c>
      <c r="I333" s="203">
        <f t="shared" si="153"/>
        <v>523</v>
      </c>
      <c r="J333" s="203" t="str">
        <f t="shared" si="153"/>
        <v>-</v>
      </c>
      <c r="K333" s="203" t="str">
        <f t="shared" si="153"/>
        <v>-</v>
      </c>
      <c r="L333" s="203">
        <f t="shared" si="153"/>
        <v>4967</v>
      </c>
      <c r="M333" s="197"/>
      <c r="N333" s="203" t="str">
        <f t="shared" ref="N333:X333" si="154">N92</f>
        <v>-</v>
      </c>
      <c r="O333" s="203" t="str">
        <f t="shared" si="154"/>
        <v>-</v>
      </c>
      <c r="P333" s="203" t="str">
        <f t="shared" si="154"/>
        <v>-</v>
      </c>
      <c r="Q333" s="203" t="str">
        <f t="shared" si="154"/>
        <v>-</v>
      </c>
      <c r="R333" s="203">
        <f t="shared" si="154"/>
        <v>18</v>
      </c>
      <c r="S333" s="203">
        <f t="shared" si="154"/>
        <v>9</v>
      </c>
      <c r="T333" s="203" t="str">
        <f t="shared" si="154"/>
        <v>-</v>
      </c>
      <c r="U333" s="203" t="str">
        <f t="shared" si="154"/>
        <v>-</v>
      </c>
      <c r="V333" s="203" t="str">
        <f t="shared" si="154"/>
        <v>-</v>
      </c>
      <c r="W333" s="203" t="str">
        <f t="shared" si="154"/>
        <v>-</v>
      </c>
      <c r="X333" s="203">
        <f t="shared" si="154"/>
        <v>27</v>
      </c>
    </row>
    <row r="334" spans="1:25" s="374" customFormat="1" x14ac:dyDescent="0.2">
      <c r="A334" s="402">
        <v>2017</v>
      </c>
      <c r="B334" s="203" t="str">
        <f t="shared" ref="B334:L334" si="155">B93</f>
        <v>-</v>
      </c>
      <c r="C334" s="203" t="str">
        <f t="shared" si="155"/>
        <v>-</v>
      </c>
      <c r="D334" s="203" t="str">
        <f t="shared" si="155"/>
        <v>-</v>
      </c>
      <c r="E334" s="203" t="str">
        <f t="shared" si="155"/>
        <v>-</v>
      </c>
      <c r="F334" s="203" t="str">
        <f t="shared" si="155"/>
        <v>-</v>
      </c>
      <c r="G334" s="203" t="str">
        <f t="shared" si="155"/>
        <v>-</v>
      </c>
      <c r="H334" s="203" t="str">
        <f t="shared" si="155"/>
        <v>-</v>
      </c>
      <c r="I334" s="203" t="str">
        <f t="shared" si="155"/>
        <v>-</v>
      </c>
      <c r="J334" s="203" t="str">
        <f t="shared" si="155"/>
        <v>-</v>
      </c>
      <c r="K334" s="203" t="str">
        <f t="shared" si="155"/>
        <v>-</v>
      </c>
      <c r="L334" s="203" t="str">
        <f t="shared" si="155"/>
        <v>-</v>
      </c>
      <c r="M334" s="197"/>
      <c r="N334" s="203" t="str">
        <f t="shared" ref="N334:X334" si="156">N93</f>
        <v>-</v>
      </c>
      <c r="O334" s="203" t="str">
        <f t="shared" si="156"/>
        <v>-</v>
      </c>
      <c r="P334" s="203" t="str">
        <f t="shared" si="156"/>
        <v>-</v>
      </c>
      <c r="Q334" s="203" t="str">
        <f t="shared" si="156"/>
        <v>-</v>
      </c>
      <c r="R334" s="203" t="str">
        <f t="shared" si="156"/>
        <v>-</v>
      </c>
      <c r="S334" s="203" t="str">
        <f t="shared" si="156"/>
        <v>-</v>
      </c>
      <c r="T334" s="203" t="str">
        <f t="shared" si="156"/>
        <v>-</v>
      </c>
      <c r="U334" s="203" t="str">
        <f t="shared" si="156"/>
        <v>-</v>
      </c>
      <c r="V334" s="203" t="str">
        <f t="shared" si="156"/>
        <v>-</v>
      </c>
      <c r="W334" s="203" t="str">
        <f t="shared" si="156"/>
        <v>-</v>
      </c>
      <c r="X334" s="203" t="str">
        <f t="shared" si="156"/>
        <v>-</v>
      </c>
    </row>
    <row r="335" spans="1:25" s="374" customFormat="1" x14ac:dyDescent="0.2">
      <c r="A335" s="122">
        <v>2018</v>
      </c>
      <c r="B335" s="203" t="str">
        <f t="shared" ref="B335:L335" si="157">B94</f>
        <v>-</v>
      </c>
      <c r="C335" s="203" t="str">
        <f t="shared" si="157"/>
        <v>-</v>
      </c>
      <c r="D335" s="203" t="str">
        <f t="shared" si="157"/>
        <v>-</v>
      </c>
      <c r="E335" s="203" t="str">
        <f t="shared" si="157"/>
        <v>-</v>
      </c>
      <c r="F335" s="203">
        <f t="shared" si="157"/>
        <v>1590</v>
      </c>
      <c r="G335" s="203">
        <f t="shared" si="157"/>
        <v>734</v>
      </c>
      <c r="H335" s="203">
        <f t="shared" si="157"/>
        <v>1059</v>
      </c>
      <c r="I335" s="203">
        <f t="shared" si="157"/>
        <v>27</v>
      </c>
      <c r="J335" s="203" t="str">
        <f t="shared" si="157"/>
        <v>-</v>
      </c>
      <c r="K335" s="203" t="str">
        <f t="shared" si="157"/>
        <v>-</v>
      </c>
      <c r="L335" s="203">
        <f t="shared" si="157"/>
        <v>3410</v>
      </c>
      <c r="M335" s="197"/>
      <c r="N335" s="203" t="str">
        <f t="shared" ref="N335:X335" si="158">N94</f>
        <v>-</v>
      </c>
      <c r="O335" s="203" t="str">
        <f t="shared" si="158"/>
        <v>-</v>
      </c>
      <c r="P335" s="203" t="str">
        <f t="shared" si="158"/>
        <v>-</v>
      </c>
      <c r="Q335" s="203" t="str">
        <f t="shared" si="158"/>
        <v>-</v>
      </c>
      <c r="R335" s="203">
        <f t="shared" si="158"/>
        <v>41</v>
      </c>
      <c r="S335" s="203">
        <f t="shared" si="158"/>
        <v>4</v>
      </c>
      <c r="T335" s="203">
        <f t="shared" si="158"/>
        <v>33</v>
      </c>
      <c r="U335" s="203" t="str">
        <f t="shared" si="158"/>
        <v>-</v>
      </c>
      <c r="V335" s="203" t="str">
        <f t="shared" si="158"/>
        <v>-</v>
      </c>
      <c r="W335" s="203" t="str">
        <f t="shared" si="158"/>
        <v>-</v>
      </c>
      <c r="X335" s="203">
        <f t="shared" si="158"/>
        <v>78</v>
      </c>
    </row>
    <row r="336" spans="1:25" s="487" customFormat="1" x14ac:dyDescent="0.2">
      <c r="A336" s="496" t="s">
        <v>398</v>
      </c>
      <c r="B336" s="203" t="str">
        <f>B95</f>
        <v>-</v>
      </c>
      <c r="C336" s="203" t="str">
        <f t="shared" ref="C336:X337" si="159">C95</f>
        <v>-</v>
      </c>
      <c r="D336" s="203" t="str">
        <f t="shared" si="159"/>
        <v>-</v>
      </c>
      <c r="E336" s="203">
        <f t="shared" si="159"/>
        <v>315</v>
      </c>
      <c r="F336" s="203">
        <f t="shared" si="159"/>
        <v>2273</v>
      </c>
      <c r="G336" s="203">
        <f t="shared" si="159"/>
        <v>1308</v>
      </c>
      <c r="H336" s="203">
        <f t="shared" si="159"/>
        <v>941</v>
      </c>
      <c r="I336" s="203">
        <f t="shared" si="159"/>
        <v>59</v>
      </c>
      <c r="J336" s="203" t="str">
        <f t="shared" si="159"/>
        <v>-</v>
      </c>
      <c r="K336" s="203" t="str">
        <f t="shared" si="159"/>
        <v>-</v>
      </c>
      <c r="L336" s="203">
        <f t="shared" si="159"/>
        <v>4896</v>
      </c>
      <c r="M336" s="197"/>
      <c r="N336" s="203" t="str">
        <f t="shared" si="159"/>
        <v>-</v>
      </c>
      <c r="O336" s="203" t="str">
        <f t="shared" si="159"/>
        <v>-</v>
      </c>
      <c r="P336" s="203" t="str">
        <f t="shared" si="159"/>
        <v>-</v>
      </c>
      <c r="Q336" s="203" t="str">
        <f t="shared" si="159"/>
        <v>-</v>
      </c>
      <c r="R336" s="203">
        <f t="shared" si="159"/>
        <v>47</v>
      </c>
      <c r="S336" s="203">
        <f t="shared" si="159"/>
        <v>61</v>
      </c>
      <c r="T336" s="203">
        <f t="shared" si="159"/>
        <v>39</v>
      </c>
      <c r="U336" s="203" t="str">
        <f t="shared" si="159"/>
        <v>-</v>
      </c>
      <c r="V336" s="203" t="str">
        <f t="shared" si="159"/>
        <v>-</v>
      </c>
      <c r="W336" s="203" t="str">
        <f t="shared" si="159"/>
        <v>-</v>
      </c>
      <c r="X336" s="203">
        <f t="shared" si="159"/>
        <v>147</v>
      </c>
    </row>
    <row r="337" spans="1:24" x14ac:dyDescent="0.2">
      <c r="A337" s="496" t="s">
        <v>399</v>
      </c>
      <c r="B337" s="203" t="str">
        <f>B96</f>
        <v>-</v>
      </c>
      <c r="C337" s="203" t="str">
        <f t="shared" si="159"/>
        <v>-</v>
      </c>
      <c r="D337" s="203" t="str">
        <f t="shared" si="159"/>
        <v>-</v>
      </c>
      <c r="E337" s="203" t="str">
        <f t="shared" si="159"/>
        <v>-</v>
      </c>
      <c r="F337" s="203" t="str">
        <f t="shared" si="159"/>
        <v>--</v>
      </c>
      <c r="G337" s="203">
        <f t="shared" si="159"/>
        <v>1244</v>
      </c>
      <c r="H337" s="203">
        <f t="shared" si="159"/>
        <v>193</v>
      </c>
      <c r="I337" s="203" t="str">
        <f t="shared" si="159"/>
        <v>-</v>
      </c>
      <c r="J337" s="203" t="str">
        <f t="shared" si="159"/>
        <v>-</v>
      </c>
      <c r="K337" s="203" t="str">
        <f t="shared" si="159"/>
        <v>-</v>
      </c>
      <c r="L337" s="203">
        <f t="shared" si="159"/>
        <v>1437</v>
      </c>
      <c r="M337" s="197"/>
      <c r="N337" s="203" t="str">
        <f t="shared" si="159"/>
        <v>-</v>
      </c>
      <c r="O337" s="203" t="str">
        <f t="shared" si="159"/>
        <v>-</v>
      </c>
      <c r="P337" s="203" t="str">
        <f t="shared" si="159"/>
        <v>-</v>
      </c>
      <c r="Q337" s="203" t="str">
        <f t="shared" si="159"/>
        <v>-</v>
      </c>
      <c r="R337" s="203" t="str">
        <f t="shared" si="159"/>
        <v>-</v>
      </c>
      <c r="S337" s="203">
        <f t="shared" si="159"/>
        <v>4</v>
      </c>
      <c r="T337" s="203" t="str">
        <f t="shared" si="159"/>
        <v>-</v>
      </c>
      <c r="U337" s="203" t="str">
        <f t="shared" si="159"/>
        <v>-</v>
      </c>
      <c r="V337" s="203" t="str">
        <f t="shared" si="159"/>
        <v>-</v>
      </c>
      <c r="W337" s="203" t="str">
        <f t="shared" si="159"/>
        <v>-</v>
      </c>
      <c r="X337" s="203">
        <f t="shared" si="159"/>
        <v>4</v>
      </c>
    </row>
    <row r="338" spans="1:24" ht="9" customHeight="1" x14ac:dyDescent="0.2">
      <c r="B338" s="203"/>
      <c r="C338" s="203"/>
      <c r="D338" s="203"/>
      <c r="E338" s="203"/>
      <c r="F338" s="203"/>
      <c r="G338" s="203"/>
      <c r="H338" s="203"/>
      <c r="I338" s="203"/>
      <c r="J338" s="203"/>
      <c r="K338" s="203"/>
      <c r="L338" s="203"/>
      <c r="M338" s="197"/>
      <c r="N338" s="203"/>
      <c r="O338" s="203"/>
      <c r="P338" s="203"/>
      <c r="Q338" s="203"/>
      <c r="R338" s="203"/>
      <c r="S338" s="203"/>
      <c r="T338" s="203"/>
      <c r="U338" s="203"/>
      <c r="V338" s="203"/>
      <c r="W338" s="203"/>
      <c r="X338" s="203"/>
    </row>
    <row r="339" spans="1:24" ht="15" customHeight="1" x14ac:dyDescent="0.2">
      <c r="A339" s="528" t="s">
        <v>253</v>
      </c>
      <c r="B339" s="528"/>
      <c r="C339" s="528"/>
      <c r="D339" s="528"/>
      <c r="E339" s="528"/>
      <c r="F339" s="528"/>
      <c r="G339" s="528"/>
      <c r="H339" s="528"/>
      <c r="I339" s="528"/>
      <c r="J339" s="528"/>
      <c r="K339" s="528"/>
      <c r="L339" s="528"/>
      <c r="M339" s="528"/>
      <c r="N339" s="528"/>
      <c r="O339" s="528"/>
      <c r="P339" s="528"/>
      <c r="Q339" s="528"/>
      <c r="R339" s="528"/>
      <c r="S339" s="528"/>
      <c r="T339" s="528"/>
      <c r="U339" s="528"/>
      <c r="V339" s="528"/>
      <c r="W339" s="528"/>
      <c r="X339" s="528"/>
    </row>
    <row r="340" spans="1:24" x14ac:dyDescent="0.2">
      <c r="A340" s="119" t="s">
        <v>33</v>
      </c>
      <c r="B340" s="382" t="s">
        <v>42</v>
      </c>
      <c r="C340" s="382" t="s">
        <v>43</v>
      </c>
      <c r="D340" s="382" t="s">
        <v>34</v>
      </c>
      <c r="E340" s="382" t="s">
        <v>35</v>
      </c>
      <c r="F340" s="382" t="s">
        <v>36</v>
      </c>
      <c r="G340" s="382" t="s">
        <v>37</v>
      </c>
      <c r="H340" s="382" t="s">
        <v>38</v>
      </c>
      <c r="I340" s="382" t="s">
        <v>39</v>
      </c>
      <c r="J340" s="382" t="s">
        <v>40</v>
      </c>
      <c r="K340" s="382" t="s">
        <v>44</v>
      </c>
      <c r="L340" s="382" t="s">
        <v>28</v>
      </c>
      <c r="M340" s="19"/>
      <c r="N340" s="382" t="s">
        <v>42</v>
      </c>
      <c r="O340" s="382" t="s">
        <v>43</v>
      </c>
      <c r="P340" s="382" t="s">
        <v>34</v>
      </c>
      <c r="Q340" s="382" t="s">
        <v>35</v>
      </c>
      <c r="R340" s="382" t="s">
        <v>36</v>
      </c>
      <c r="S340" s="382" t="s">
        <v>37</v>
      </c>
      <c r="T340" s="382" t="s">
        <v>38</v>
      </c>
      <c r="U340" s="382" t="s">
        <v>39</v>
      </c>
      <c r="V340" s="382" t="s">
        <v>40</v>
      </c>
      <c r="W340" s="382" t="s">
        <v>44</v>
      </c>
      <c r="X340" s="382" t="s">
        <v>28</v>
      </c>
    </row>
    <row r="341" spans="1:24" x14ac:dyDescent="0.2">
      <c r="B341" s="529" t="s">
        <v>67</v>
      </c>
      <c r="C341" s="529"/>
      <c r="D341" s="529"/>
      <c r="E341" s="529"/>
      <c r="F341" s="529"/>
      <c r="G341" s="529"/>
      <c r="H341" s="529"/>
      <c r="I341" s="529"/>
      <c r="J341" s="529"/>
      <c r="K341" s="529"/>
      <c r="L341" s="529"/>
      <c r="M341" s="19"/>
      <c r="N341" s="529" t="s">
        <v>68</v>
      </c>
      <c r="O341" s="529"/>
      <c r="P341" s="529"/>
      <c r="Q341" s="529"/>
      <c r="R341" s="529"/>
      <c r="S341" s="529"/>
      <c r="T341" s="529"/>
      <c r="U341" s="529"/>
      <c r="V341" s="529"/>
      <c r="W341" s="529"/>
      <c r="X341" s="529"/>
    </row>
    <row r="342" spans="1:24" x14ac:dyDescent="0.2">
      <c r="A342" s="159" t="str">
        <f>A98</f>
        <v>Fort Bragg</v>
      </c>
    </row>
    <row r="343" spans="1:24" x14ac:dyDescent="0.2">
      <c r="A343" s="383" t="s">
        <v>87</v>
      </c>
      <c r="B343" s="200">
        <f t="shared" ref="B343:L343" si="160">AVERAGE(B109:B113)</f>
        <v>0</v>
      </c>
      <c r="C343" s="200">
        <f t="shared" si="160"/>
        <v>0.8</v>
      </c>
      <c r="D343" s="200">
        <f t="shared" si="160"/>
        <v>84.6</v>
      </c>
      <c r="E343" s="200">
        <f t="shared" si="160"/>
        <v>359.8</v>
      </c>
      <c r="F343" s="200">
        <f t="shared" si="160"/>
        <v>2626.4</v>
      </c>
      <c r="G343" s="200">
        <f t="shared" si="160"/>
        <v>3857.4</v>
      </c>
      <c r="H343" s="200">
        <f t="shared" si="160"/>
        <v>674.4</v>
      </c>
      <c r="I343" s="200">
        <f t="shared" si="160"/>
        <v>70.599999999999994</v>
      </c>
      <c r="J343" s="200">
        <f t="shared" si="160"/>
        <v>2.4</v>
      </c>
      <c r="K343" s="200">
        <f t="shared" si="160"/>
        <v>0</v>
      </c>
      <c r="L343" s="200">
        <f t="shared" si="160"/>
        <v>7676.4</v>
      </c>
      <c r="N343" s="200">
        <f t="shared" ref="N343:X343" si="161">AVERAGE(N109:N113)</f>
        <v>0</v>
      </c>
      <c r="O343" s="200">
        <f t="shared" si="161"/>
        <v>0</v>
      </c>
      <c r="P343" s="200">
        <f t="shared" si="161"/>
        <v>0</v>
      </c>
      <c r="Q343" s="200">
        <f t="shared" si="161"/>
        <v>38.4</v>
      </c>
      <c r="R343" s="200">
        <f t="shared" si="161"/>
        <v>860</v>
      </c>
      <c r="S343" s="200">
        <f t="shared" si="161"/>
        <v>1862</v>
      </c>
      <c r="T343" s="200">
        <f t="shared" si="161"/>
        <v>263.8</v>
      </c>
      <c r="U343" s="200">
        <f t="shared" si="161"/>
        <v>69.599999999999994</v>
      </c>
      <c r="V343" s="200">
        <f t="shared" si="161"/>
        <v>0</v>
      </c>
      <c r="W343" s="200">
        <f t="shared" si="161"/>
        <v>0</v>
      </c>
      <c r="X343" s="200">
        <f t="shared" si="161"/>
        <v>3093.8</v>
      </c>
    </row>
    <row r="344" spans="1:24" x14ac:dyDescent="0.2">
      <c r="A344" s="383" t="s">
        <v>14</v>
      </c>
      <c r="B344" s="200">
        <f>AVERAGE(B114:B118)</f>
        <v>51.6</v>
      </c>
      <c r="C344" s="200">
        <f>AVERAGE(C114:C118)</f>
        <v>84.6</v>
      </c>
      <c r="D344" s="200">
        <f>AVERAGE(D114:D118)</f>
        <v>428.8</v>
      </c>
      <c r="E344" s="200">
        <f t="shared" ref="E344:L344" si="162">AVERAGE(E114:E118)</f>
        <v>1182.4000000000001</v>
      </c>
      <c r="F344" s="200">
        <f t="shared" si="162"/>
        <v>5939.6</v>
      </c>
      <c r="G344" s="200">
        <f t="shared" si="162"/>
        <v>2869</v>
      </c>
      <c r="H344" s="200">
        <f t="shared" si="162"/>
        <v>2377.75</v>
      </c>
      <c r="I344" s="200">
        <f t="shared" si="162"/>
        <v>456</v>
      </c>
      <c r="J344" s="200">
        <f t="shared" si="162"/>
        <v>42.5</v>
      </c>
      <c r="K344" s="200">
        <f t="shared" si="162"/>
        <v>0.5</v>
      </c>
      <c r="L344" s="200">
        <f t="shared" si="162"/>
        <v>11800.8</v>
      </c>
      <c r="N344" s="200">
        <f t="shared" ref="N344:X344" si="163">AVERAGE(N114:N118)</f>
        <v>0</v>
      </c>
      <c r="O344" s="200">
        <f t="shared" si="163"/>
        <v>1</v>
      </c>
      <c r="P344" s="200">
        <f t="shared" si="163"/>
        <v>4.4000000000000004</v>
      </c>
      <c r="Q344" s="200">
        <f t="shared" si="163"/>
        <v>176.6</v>
      </c>
      <c r="R344" s="200">
        <f t="shared" si="163"/>
        <v>1847</v>
      </c>
      <c r="S344" s="200">
        <f t="shared" si="163"/>
        <v>7157.333333333333</v>
      </c>
      <c r="T344" s="200">
        <f t="shared" si="163"/>
        <v>678.25</v>
      </c>
      <c r="U344" s="200">
        <f t="shared" si="163"/>
        <v>111.2</v>
      </c>
      <c r="V344" s="200">
        <f t="shared" si="163"/>
        <v>10</v>
      </c>
      <c r="W344" s="200">
        <f t="shared" si="163"/>
        <v>0</v>
      </c>
      <c r="X344" s="200">
        <f t="shared" si="163"/>
        <v>6985.2</v>
      </c>
    </row>
    <row r="345" spans="1:24" x14ac:dyDescent="0.2">
      <c r="A345" s="383" t="s">
        <v>207</v>
      </c>
      <c r="B345" s="200">
        <f t="shared" ref="B345:J345" si="164">AVERAGE(B119:B123)</f>
        <v>5.5</v>
      </c>
      <c r="C345" s="200">
        <f t="shared" si="164"/>
        <v>111.5</v>
      </c>
      <c r="D345" s="200">
        <f t="shared" si="164"/>
        <v>641.25</v>
      </c>
      <c r="E345" s="200">
        <f t="shared" si="164"/>
        <v>1433.4</v>
      </c>
      <c r="F345" s="200">
        <f t="shared" si="164"/>
        <v>4923.2</v>
      </c>
      <c r="G345" s="200">
        <f t="shared" si="164"/>
        <v>3267.6</v>
      </c>
      <c r="H345" s="200">
        <f t="shared" si="164"/>
        <v>3312.2</v>
      </c>
      <c r="I345" s="200">
        <f t="shared" si="164"/>
        <v>727.8</v>
      </c>
      <c r="J345" s="200">
        <f t="shared" si="164"/>
        <v>37</v>
      </c>
      <c r="K345" s="200" t="s">
        <v>29</v>
      </c>
      <c r="L345" s="200">
        <f>AVERAGE(L119:L123)</f>
        <v>14290.8</v>
      </c>
      <c r="N345" s="200" t="s">
        <v>29</v>
      </c>
      <c r="O345" s="200" t="s">
        <v>29</v>
      </c>
      <c r="P345" s="200">
        <f t="shared" ref="P345:U345" si="165">AVERAGE(P119:P123)</f>
        <v>3</v>
      </c>
      <c r="Q345" s="200">
        <f t="shared" si="165"/>
        <v>8</v>
      </c>
      <c r="R345" s="200">
        <f t="shared" si="165"/>
        <v>65.5</v>
      </c>
      <c r="S345" s="200">
        <f t="shared" si="165"/>
        <v>19.75</v>
      </c>
      <c r="T345" s="200">
        <f t="shared" si="165"/>
        <v>46.2</v>
      </c>
      <c r="U345" s="200">
        <f t="shared" si="165"/>
        <v>16.5</v>
      </c>
      <c r="V345" s="200" t="s">
        <v>29</v>
      </c>
      <c r="W345" s="200" t="s">
        <v>29</v>
      </c>
      <c r="X345" s="200">
        <f>AVERAGE(X119:X123)</f>
        <v>123.2</v>
      </c>
    </row>
    <row r="346" spans="1:24" x14ac:dyDescent="0.2">
      <c r="A346" s="383" t="s">
        <v>238</v>
      </c>
      <c r="B346" s="200">
        <f>AVERAGE(B124:B128)</f>
        <v>196</v>
      </c>
      <c r="C346" s="200">
        <f>AVERAGE(C124:C128)</f>
        <v>426</v>
      </c>
      <c r="D346" s="200">
        <f>AVERAGE(D124:D128)</f>
        <v>746</v>
      </c>
      <c r="E346" s="200">
        <f>AVERAGE(E124:E128)</f>
        <v>2128.8000000000002</v>
      </c>
      <c r="F346" s="200">
        <f t="shared" ref="F346:L346" si="166">AVERAGE(F124:F128)</f>
        <v>6469.2</v>
      </c>
      <c r="G346" s="200">
        <f t="shared" si="166"/>
        <v>9036</v>
      </c>
      <c r="H346" s="200">
        <f t="shared" si="166"/>
        <v>4379</v>
      </c>
      <c r="I346" s="200">
        <f t="shared" si="166"/>
        <v>397</v>
      </c>
      <c r="J346" s="200">
        <f t="shared" si="166"/>
        <v>27.6</v>
      </c>
      <c r="K346" s="200">
        <f t="shared" si="166"/>
        <v>0.4</v>
      </c>
      <c r="L346" s="200">
        <f t="shared" si="166"/>
        <v>23766.799999999999</v>
      </c>
      <c r="N346" s="200" t="str">
        <f t="shared" ref="N346:W346" si="167">N124</f>
        <v>-</v>
      </c>
      <c r="O346" s="200" t="str">
        <f t="shared" si="167"/>
        <v>-</v>
      </c>
      <c r="P346" s="200" t="str">
        <f t="shared" si="167"/>
        <v>-</v>
      </c>
      <c r="Q346" s="200">
        <f>AVERAGE(Q124:Q128)</f>
        <v>21</v>
      </c>
      <c r="R346" s="200">
        <f>AVERAGE(R124:R128)</f>
        <v>88.75</v>
      </c>
      <c r="S346" s="200">
        <f>AVERAGE(S124:S128)</f>
        <v>119</v>
      </c>
      <c r="T346" s="200">
        <f>AVERAGE(T124:T128)</f>
        <v>33.200000000000003</v>
      </c>
      <c r="U346" s="200">
        <f>AVERAGE(U124:U128)</f>
        <v>13</v>
      </c>
      <c r="V346" s="200" t="str">
        <f t="shared" si="167"/>
        <v>-</v>
      </c>
      <c r="W346" s="200" t="str">
        <f t="shared" si="167"/>
        <v>-</v>
      </c>
      <c r="X346" s="200">
        <f>AVERAGE(X124:X128)</f>
        <v>241</v>
      </c>
    </row>
    <row r="347" spans="1:24" x14ac:dyDescent="0.2">
      <c r="A347" s="383">
        <v>2006</v>
      </c>
      <c r="B347" s="200">
        <f t="shared" ref="B347:L347" si="168">B129</f>
        <v>55</v>
      </c>
      <c r="C347" s="200">
        <f t="shared" si="168"/>
        <v>109</v>
      </c>
      <c r="D347" s="200">
        <f t="shared" si="168"/>
        <v>255</v>
      </c>
      <c r="E347" s="200">
        <f t="shared" si="168"/>
        <v>1418</v>
      </c>
      <c r="F347" s="200">
        <f t="shared" si="168"/>
        <v>4630</v>
      </c>
      <c r="G347" s="200">
        <f t="shared" si="168"/>
        <v>4672</v>
      </c>
      <c r="H347" s="200">
        <f t="shared" si="168"/>
        <v>2743</v>
      </c>
      <c r="I347" s="200">
        <f t="shared" si="168"/>
        <v>111</v>
      </c>
      <c r="J347" s="200">
        <f t="shared" si="168"/>
        <v>0</v>
      </c>
      <c r="K347" s="200">
        <f t="shared" si="168"/>
        <v>0</v>
      </c>
      <c r="L347" s="200">
        <f t="shared" si="168"/>
        <v>13993</v>
      </c>
      <c r="N347" s="200" t="str">
        <f t="shared" ref="N347:X347" si="169">N129</f>
        <v>-</v>
      </c>
      <c r="O347" s="200" t="str">
        <f t="shared" si="169"/>
        <v>-</v>
      </c>
      <c r="P347" s="200" t="str">
        <f t="shared" si="169"/>
        <v>-</v>
      </c>
      <c r="Q347" s="200">
        <f t="shared" si="169"/>
        <v>19</v>
      </c>
      <c r="R347" s="200">
        <f t="shared" si="169"/>
        <v>140</v>
      </c>
      <c r="S347" s="200">
        <f t="shared" si="169"/>
        <v>176</v>
      </c>
      <c r="T347" s="200">
        <f t="shared" si="169"/>
        <v>40</v>
      </c>
      <c r="U347" s="200" t="str">
        <f t="shared" si="169"/>
        <v>-</v>
      </c>
      <c r="V347" s="200" t="str">
        <f t="shared" si="169"/>
        <v>-</v>
      </c>
      <c r="W347" s="200" t="str">
        <f t="shared" si="169"/>
        <v>-</v>
      </c>
      <c r="X347" s="200">
        <f t="shared" si="169"/>
        <v>375</v>
      </c>
    </row>
    <row r="348" spans="1:24" s="374" customFormat="1" x14ac:dyDescent="0.2">
      <c r="A348" s="402">
        <v>2007</v>
      </c>
      <c r="B348" s="203">
        <f t="shared" ref="B348:L348" si="170">B130</f>
        <v>48</v>
      </c>
      <c r="C348" s="203">
        <f t="shared" si="170"/>
        <v>200</v>
      </c>
      <c r="D348" s="203">
        <f t="shared" si="170"/>
        <v>67</v>
      </c>
      <c r="E348" s="203">
        <f t="shared" si="170"/>
        <v>1425</v>
      </c>
      <c r="F348" s="203">
        <f t="shared" si="170"/>
        <v>1873</v>
      </c>
      <c r="G348" s="203">
        <f t="shared" si="170"/>
        <v>1980</v>
      </c>
      <c r="H348" s="203">
        <f t="shared" si="170"/>
        <v>158</v>
      </c>
      <c r="I348" s="203">
        <f t="shared" si="170"/>
        <v>0</v>
      </c>
      <c r="J348" s="203">
        <f t="shared" si="170"/>
        <v>0</v>
      </c>
      <c r="K348" s="203">
        <f t="shared" si="170"/>
        <v>0</v>
      </c>
      <c r="L348" s="203">
        <f t="shared" si="170"/>
        <v>5751</v>
      </c>
      <c r="M348" s="197"/>
      <c r="N348" s="203" t="str">
        <f t="shared" ref="N348:X348" si="171">N130</f>
        <v>-</v>
      </c>
      <c r="O348" s="203" t="str">
        <f t="shared" si="171"/>
        <v>-</v>
      </c>
      <c r="P348" s="203" t="str">
        <f t="shared" si="171"/>
        <v>-</v>
      </c>
      <c r="Q348" s="203" t="str">
        <f t="shared" si="171"/>
        <v>-</v>
      </c>
      <c r="R348" s="203">
        <f t="shared" si="171"/>
        <v>5</v>
      </c>
      <c r="S348" s="203">
        <f t="shared" si="171"/>
        <v>12</v>
      </c>
      <c r="T348" s="203">
        <f t="shared" si="171"/>
        <v>4</v>
      </c>
      <c r="U348" s="203" t="str">
        <f t="shared" si="171"/>
        <v>-</v>
      </c>
      <c r="V348" s="203" t="str">
        <f t="shared" si="171"/>
        <v>-</v>
      </c>
      <c r="W348" s="203" t="str">
        <f t="shared" si="171"/>
        <v>-</v>
      </c>
      <c r="X348" s="203">
        <f t="shared" si="171"/>
        <v>21</v>
      </c>
    </row>
    <row r="349" spans="1:24" s="374" customFormat="1" x14ac:dyDescent="0.2">
      <c r="A349" s="402">
        <v>2008</v>
      </c>
      <c r="B349" s="203">
        <f t="shared" ref="B349:L349" si="172">B131</f>
        <v>0</v>
      </c>
      <c r="C349" s="203">
        <f t="shared" si="172"/>
        <v>6</v>
      </c>
      <c r="D349" s="203" t="str">
        <f t="shared" si="172"/>
        <v>-</v>
      </c>
      <c r="E349" s="203" t="str">
        <f t="shared" si="172"/>
        <v>-</v>
      </c>
      <c r="F349" s="203" t="str">
        <f t="shared" si="172"/>
        <v>-</v>
      </c>
      <c r="G349" s="203" t="str">
        <f t="shared" si="172"/>
        <v>-</v>
      </c>
      <c r="H349" s="203" t="str">
        <f t="shared" si="172"/>
        <v>-</v>
      </c>
      <c r="I349" s="203" t="str">
        <f t="shared" si="172"/>
        <v>-</v>
      </c>
      <c r="J349" s="203" t="str">
        <f t="shared" si="172"/>
        <v>-</v>
      </c>
      <c r="K349" s="203" t="str">
        <f t="shared" si="172"/>
        <v>-</v>
      </c>
      <c r="L349" s="203">
        <f t="shared" si="172"/>
        <v>6</v>
      </c>
      <c r="M349" s="197"/>
      <c r="N349" s="203" t="str">
        <f t="shared" ref="N349:X349" si="173">N131</f>
        <v>-</v>
      </c>
      <c r="O349" s="203" t="str">
        <f t="shared" si="173"/>
        <v>-</v>
      </c>
      <c r="P349" s="203" t="str">
        <f t="shared" si="173"/>
        <v>-</v>
      </c>
      <c r="Q349" s="203" t="str">
        <f t="shared" si="173"/>
        <v>-</v>
      </c>
      <c r="R349" s="203" t="str">
        <f t="shared" si="173"/>
        <v>-</v>
      </c>
      <c r="S349" s="203" t="str">
        <f t="shared" si="173"/>
        <v>-</v>
      </c>
      <c r="T349" s="203" t="str">
        <f t="shared" si="173"/>
        <v>-</v>
      </c>
      <c r="U349" s="203" t="str">
        <f t="shared" si="173"/>
        <v>-</v>
      </c>
      <c r="V349" s="203" t="str">
        <f t="shared" si="173"/>
        <v>-</v>
      </c>
      <c r="W349" s="203" t="str">
        <f t="shared" si="173"/>
        <v>-</v>
      </c>
      <c r="X349" s="203" t="str">
        <f t="shared" si="173"/>
        <v>-</v>
      </c>
    </row>
    <row r="350" spans="1:24" s="374" customFormat="1" x14ac:dyDescent="0.2">
      <c r="A350" s="402">
        <v>2009</v>
      </c>
      <c r="B350" s="203" t="str">
        <f t="shared" ref="B350:L350" si="174">B132</f>
        <v>-</v>
      </c>
      <c r="C350" s="203" t="str">
        <f t="shared" si="174"/>
        <v>-</v>
      </c>
      <c r="D350" s="203" t="str">
        <f t="shared" si="174"/>
        <v>-</v>
      </c>
      <c r="E350" s="203" t="str">
        <f t="shared" si="174"/>
        <v>-</v>
      </c>
      <c r="F350" s="203" t="str">
        <f t="shared" si="174"/>
        <v>-</v>
      </c>
      <c r="G350" s="203" t="str">
        <f t="shared" si="174"/>
        <v>-</v>
      </c>
      <c r="H350" s="203" t="str">
        <f t="shared" si="174"/>
        <v>-</v>
      </c>
      <c r="I350" s="203" t="str">
        <f t="shared" si="174"/>
        <v>-</v>
      </c>
      <c r="J350" s="203" t="str">
        <f t="shared" si="174"/>
        <v>-</v>
      </c>
      <c r="K350" s="203" t="str">
        <f t="shared" si="174"/>
        <v>-</v>
      </c>
      <c r="L350" s="203" t="str">
        <f t="shared" si="174"/>
        <v>-</v>
      </c>
      <c r="M350" s="197"/>
      <c r="N350" s="203" t="str">
        <f t="shared" ref="N350:X350" si="175">N132</f>
        <v>-</v>
      </c>
      <c r="O350" s="203" t="str">
        <f t="shared" si="175"/>
        <v>-</v>
      </c>
      <c r="P350" s="203" t="str">
        <f t="shared" si="175"/>
        <v>-</v>
      </c>
      <c r="Q350" s="203" t="str">
        <f t="shared" si="175"/>
        <v>-</v>
      </c>
      <c r="R350" s="203" t="str">
        <f t="shared" si="175"/>
        <v>-</v>
      </c>
      <c r="S350" s="203" t="str">
        <f t="shared" si="175"/>
        <v>-</v>
      </c>
      <c r="T350" s="203" t="str">
        <f t="shared" si="175"/>
        <v>-</v>
      </c>
      <c r="U350" s="203" t="str">
        <f t="shared" si="175"/>
        <v>-</v>
      </c>
      <c r="V350" s="203" t="str">
        <f t="shared" si="175"/>
        <v>-</v>
      </c>
      <c r="W350" s="203" t="str">
        <f t="shared" si="175"/>
        <v>-</v>
      </c>
      <c r="X350" s="203" t="str">
        <f t="shared" si="175"/>
        <v>-</v>
      </c>
    </row>
    <row r="351" spans="1:24" s="374" customFormat="1" x14ac:dyDescent="0.2">
      <c r="A351" s="402">
        <v>2010</v>
      </c>
      <c r="B351" s="203" t="str">
        <f t="shared" ref="B351:L351" si="176">B133</f>
        <v>-</v>
      </c>
      <c r="C351" s="203" t="str">
        <f t="shared" si="176"/>
        <v>-</v>
      </c>
      <c r="D351" s="203">
        <f t="shared" si="176"/>
        <v>204</v>
      </c>
      <c r="E351" s="203">
        <f t="shared" si="176"/>
        <v>264</v>
      </c>
      <c r="F351" s="203">
        <f t="shared" si="176"/>
        <v>27</v>
      </c>
      <c r="G351" s="203">
        <f t="shared" si="176"/>
        <v>417</v>
      </c>
      <c r="H351" s="203">
        <f t="shared" si="176"/>
        <v>657</v>
      </c>
      <c r="I351" s="203">
        <f t="shared" si="176"/>
        <v>109</v>
      </c>
      <c r="J351" s="203" t="str">
        <f t="shared" si="176"/>
        <v>-</v>
      </c>
      <c r="K351" s="203" t="str">
        <f t="shared" si="176"/>
        <v>-</v>
      </c>
      <c r="L351" s="203">
        <f t="shared" si="176"/>
        <v>1678</v>
      </c>
      <c r="M351" s="197"/>
      <c r="N351" s="203" t="str">
        <f t="shared" ref="N351:X351" si="177">N133</f>
        <v>-</v>
      </c>
      <c r="O351" s="203" t="str">
        <f t="shared" si="177"/>
        <v>-</v>
      </c>
      <c r="P351" s="203" t="str">
        <f t="shared" si="177"/>
        <v>-</v>
      </c>
      <c r="Q351" s="203">
        <f t="shared" si="177"/>
        <v>7</v>
      </c>
      <c r="R351" s="203" t="str">
        <f t="shared" si="177"/>
        <v>-</v>
      </c>
      <c r="S351" s="203">
        <f t="shared" si="177"/>
        <v>15</v>
      </c>
      <c r="T351" s="203">
        <f t="shared" si="177"/>
        <v>19</v>
      </c>
      <c r="U351" s="203" t="str">
        <f t="shared" si="177"/>
        <v>-</v>
      </c>
      <c r="V351" s="203" t="str">
        <f t="shared" si="177"/>
        <v>-</v>
      </c>
      <c r="W351" s="203" t="str">
        <f t="shared" si="177"/>
        <v>-</v>
      </c>
      <c r="X351" s="203">
        <f t="shared" si="177"/>
        <v>41</v>
      </c>
    </row>
    <row r="352" spans="1:24" s="374" customFormat="1" x14ac:dyDescent="0.2">
      <c r="A352" s="402">
        <v>2011</v>
      </c>
      <c r="B352" s="203" t="str">
        <f t="shared" ref="B352:L352" si="178">B134</f>
        <v>-</v>
      </c>
      <c r="C352" s="203" t="str">
        <f t="shared" si="178"/>
        <v>-</v>
      </c>
      <c r="D352" s="203">
        <f t="shared" si="178"/>
        <v>880</v>
      </c>
      <c r="E352" s="203">
        <f t="shared" si="178"/>
        <v>705</v>
      </c>
      <c r="F352" s="203">
        <f t="shared" si="178"/>
        <v>938</v>
      </c>
      <c r="G352" s="203">
        <f t="shared" si="178"/>
        <v>4043</v>
      </c>
      <c r="H352" s="203">
        <f t="shared" si="178"/>
        <v>510</v>
      </c>
      <c r="I352" s="203">
        <f t="shared" si="178"/>
        <v>204</v>
      </c>
      <c r="J352" s="203">
        <f t="shared" si="178"/>
        <v>118</v>
      </c>
      <c r="K352" s="203" t="str">
        <f t="shared" si="178"/>
        <v>-</v>
      </c>
      <c r="L352" s="203">
        <f t="shared" si="178"/>
        <v>7398</v>
      </c>
      <c r="M352" s="197"/>
      <c r="N352" s="203" t="str">
        <f t="shared" ref="N352:X352" si="179">N134</f>
        <v>-</v>
      </c>
      <c r="O352" s="203" t="str">
        <f t="shared" si="179"/>
        <v>-</v>
      </c>
      <c r="P352" s="203" t="str">
        <f t="shared" si="179"/>
        <v>-</v>
      </c>
      <c r="Q352" s="203" t="str">
        <f t="shared" si="179"/>
        <v>-</v>
      </c>
      <c r="R352" s="203">
        <f t="shared" si="179"/>
        <v>18</v>
      </c>
      <c r="S352" s="203">
        <f t="shared" si="179"/>
        <v>83</v>
      </c>
      <c r="T352" s="203">
        <f t="shared" si="179"/>
        <v>4</v>
      </c>
      <c r="U352" s="203" t="str">
        <f t="shared" si="179"/>
        <v>-</v>
      </c>
      <c r="V352" s="203">
        <f t="shared" si="179"/>
        <v>5</v>
      </c>
      <c r="W352" s="203" t="str">
        <f t="shared" si="179"/>
        <v>-</v>
      </c>
      <c r="X352" s="203">
        <f t="shared" si="179"/>
        <v>110</v>
      </c>
    </row>
    <row r="353" spans="1:24" s="374" customFormat="1" x14ac:dyDescent="0.2">
      <c r="A353" s="402">
        <v>2012</v>
      </c>
      <c r="B353" s="203" t="str">
        <f t="shared" ref="B353:L353" si="180">B135</f>
        <v>-</v>
      </c>
      <c r="C353" s="203" t="str">
        <f t="shared" si="180"/>
        <v>-</v>
      </c>
      <c r="D353" s="203">
        <f t="shared" si="180"/>
        <v>414</v>
      </c>
      <c r="E353" s="203">
        <f t="shared" si="180"/>
        <v>1530</v>
      </c>
      <c r="F353" s="203">
        <f t="shared" si="180"/>
        <v>1951</v>
      </c>
      <c r="G353" s="203">
        <f t="shared" si="180"/>
        <v>2300</v>
      </c>
      <c r="H353" s="203">
        <f t="shared" si="180"/>
        <v>1185</v>
      </c>
      <c r="I353" s="203">
        <f t="shared" si="180"/>
        <v>393</v>
      </c>
      <c r="J353" s="203">
        <f t="shared" si="180"/>
        <v>84</v>
      </c>
      <c r="K353" s="203">
        <f t="shared" si="180"/>
        <v>72</v>
      </c>
      <c r="L353" s="203">
        <f t="shared" si="180"/>
        <v>7929</v>
      </c>
      <c r="M353" s="197"/>
      <c r="N353" s="203" t="str">
        <f t="shared" ref="N353:X353" si="181">N135</f>
        <v>-</v>
      </c>
      <c r="O353" s="203" t="str">
        <f t="shared" si="181"/>
        <v>-</v>
      </c>
      <c r="P353" s="203" t="str">
        <f t="shared" si="181"/>
        <v>-</v>
      </c>
      <c r="Q353" s="203" t="str">
        <f t="shared" si="181"/>
        <v>-</v>
      </c>
      <c r="R353" s="203">
        <f t="shared" si="181"/>
        <v>13</v>
      </c>
      <c r="S353" s="203">
        <f t="shared" si="181"/>
        <v>9</v>
      </c>
      <c r="T353" s="203" t="str">
        <f t="shared" si="181"/>
        <v>-</v>
      </c>
      <c r="U353" s="203">
        <f t="shared" si="181"/>
        <v>3</v>
      </c>
      <c r="V353" s="203" t="str">
        <f t="shared" si="181"/>
        <v>-</v>
      </c>
      <c r="W353" s="203" t="str">
        <f t="shared" si="181"/>
        <v>-</v>
      </c>
      <c r="X353" s="203">
        <f t="shared" si="181"/>
        <v>25</v>
      </c>
    </row>
    <row r="354" spans="1:24" s="374" customFormat="1" x14ac:dyDescent="0.2">
      <c r="A354" s="402">
        <v>2013</v>
      </c>
      <c r="B354" s="203" t="str">
        <f t="shared" ref="B354:L354" si="182">B136</f>
        <v>-</v>
      </c>
      <c r="C354" s="203" t="str">
        <f t="shared" si="182"/>
        <v>-</v>
      </c>
      <c r="D354" s="203">
        <f t="shared" si="182"/>
        <v>310</v>
      </c>
      <c r="E354" s="203">
        <f t="shared" si="182"/>
        <v>695</v>
      </c>
      <c r="F354" s="203">
        <f t="shared" si="182"/>
        <v>2459</v>
      </c>
      <c r="G354" s="203">
        <f t="shared" si="182"/>
        <v>5145</v>
      </c>
      <c r="H354" s="203">
        <f t="shared" si="182"/>
        <v>1296</v>
      </c>
      <c r="I354" s="203">
        <f t="shared" si="182"/>
        <v>258</v>
      </c>
      <c r="J354" s="203">
        <f t="shared" si="182"/>
        <v>5</v>
      </c>
      <c r="K354" s="203">
        <f t="shared" si="182"/>
        <v>0</v>
      </c>
      <c r="L354" s="203">
        <f t="shared" si="182"/>
        <v>10168</v>
      </c>
      <c r="M354" s="197"/>
      <c r="N354" s="203" t="str">
        <f t="shared" ref="N354:X354" si="183">N136</f>
        <v>-</v>
      </c>
      <c r="O354" s="203" t="str">
        <f t="shared" si="183"/>
        <v>-</v>
      </c>
      <c r="P354" s="203" t="str">
        <f t="shared" si="183"/>
        <v>-</v>
      </c>
      <c r="Q354" s="203" t="str">
        <f t="shared" si="183"/>
        <v>-</v>
      </c>
      <c r="R354" s="203">
        <f t="shared" si="183"/>
        <v>9</v>
      </c>
      <c r="S354" s="203">
        <f t="shared" si="183"/>
        <v>20</v>
      </c>
      <c r="T354" s="203">
        <f t="shared" si="183"/>
        <v>4</v>
      </c>
      <c r="U354" s="203" t="str">
        <f t="shared" si="183"/>
        <v>-</v>
      </c>
      <c r="V354" s="203" t="str">
        <f t="shared" si="183"/>
        <v>-</v>
      </c>
      <c r="W354" s="203" t="str">
        <f t="shared" si="183"/>
        <v>-</v>
      </c>
      <c r="X354" s="203">
        <f t="shared" si="183"/>
        <v>33</v>
      </c>
    </row>
    <row r="355" spans="1:24" s="374" customFormat="1" x14ac:dyDescent="0.2">
      <c r="A355" s="402">
        <v>2014</v>
      </c>
      <c r="B355" s="203" t="str">
        <f t="shared" ref="B355:L355" si="184">B137</f>
        <v>-</v>
      </c>
      <c r="C355" s="203" t="str">
        <f t="shared" si="184"/>
        <v>-</v>
      </c>
      <c r="D355" s="203">
        <f t="shared" si="184"/>
        <v>714</v>
      </c>
      <c r="E355" s="203">
        <f t="shared" si="184"/>
        <v>630</v>
      </c>
      <c r="F355" s="203">
        <f t="shared" si="184"/>
        <v>1358</v>
      </c>
      <c r="G355" s="203">
        <f t="shared" si="184"/>
        <v>9035</v>
      </c>
      <c r="H355" s="203">
        <f t="shared" si="184"/>
        <v>696</v>
      </c>
      <c r="I355" s="203">
        <f t="shared" si="184"/>
        <v>103</v>
      </c>
      <c r="J355" s="203">
        <f t="shared" si="184"/>
        <v>4</v>
      </c>
      <c r="K355" s="203">
        <f t="shared" si="184"/>
        <v>0</v>
      </c>
      <c r="L355" s="203">
        <f t="shared" si="184"/>
        <v>12540</v>
      </c>
      <c r="M355" s="197"/>
      <c r="N355" s="203" t="str">
        <f t="shared" ref="N355:X355" si="185">N137</f>
        <v>-</v>
      </c>
      <c r="O355" s="203" t="str">
        <f t="shared" si="185"/>
        <v>-</v>
      </c>
      <c r="P355" s="203" t="str">
        <f t="shared" si="185"/>
        <v>-</v>
      </c>
      <c r="Q355" s="203" t="str">
        <f t="shared" si="185"/>
        <v>-</v>
      </c>
      <c r="R355" s="203">
        <f t="shared" si="185"/>
        <v>18</v>
      </c>
      <c r="S355" s="203">
        <f t="shared" si="185"/>
        <v>123</v>
      </c>
      <c r="T355" s="203" t="str">
        <f t="shared" si="185"/>
        <v>-</v>
      </c>
      <c r="U355" s="203" t="str">
        <f t="shared" si="185"/>
        <v>-</v>
      </c>
      <c r="V355" s="203" t="str">
        <f t="shared" si="185"/>
        <v>-</v>
      </c>
      <c r="W355" s="203" t="str">
        <f t="shared" si="185"/>
        <v>-</v>
      </c>
      <c r="X355" s="203">
        <f t="shared" si="185"/>
        <v>141</v>
      </c>
    </row>
    <row r="356" spans="1:24" s="374" customFormat="1" x14ac:dyDescent="0.2">
      <c r="A356" s="402">
        <v>2015</v>
      </c>
      <c r="B356" s="203" t="str">
        <f t="shared" ref="B356:L356" si="186">B138</f>
        <v>-</v>
      </c>
      <c r="C356" s="203" t="str">
        <f t="shared" si="186"/>
        <v>-</v>
      </c>
      <c r="D356" s="203">
        <f t="shared" si="186"/>
        <v>394</v>
      </c>
      <c r="E356" s="203">
        <f t="shared" si="186"/>
        <v>331</v>
      </c>
      <c r="F356" s="203">
        <f t="shared" si="186"/>
        <v>215</v>
      </c>
      <c r="G356" s="203">
        <f t="shared" si="186"/>
        <v>3071</v>
      </c>
      <c r="H356" s="203">
        <f t="shared" si="186"/>
        <v>1295</v>
      </c>
      <c r="I356" s="203">
        <f t="shared" si="186"/>
        <v>183</v>
      </c>
      <c r="J356" s="203">
        <f t="shared" si="186"/>
        <v>4</v>
      </c>
      <c r="K356" s="203">
        <f t="shared" si="186"/>
        <v>0</v>
      </c>
      <c r="L356" s="203">
        <f t="shared" si="186"/>
        <v>5493</v>
      </c>
      <c r="M356" s="197"/>
      <c r="N356" s="203" t="str">
        <f t="shared" ref="N356:X356" si="187">N138</f>
        <v>-</v>
      </c>
      <c r="O356" s="203" t="str">
        <f t="shared" si="187"/>
        <v>-</v>
      </c>
      <c r="P356" s="203" t="str">
        <f t="shared" si="187"/>
        <v>-</v>
      </c>
      <c r="Q356" s="203">
        <f t="shared" si="187"/>
        <v>5</v>
      </c>
      <c r="R356" s="203" t="str">
        <f t="shared" si="187"/>
        <v>-</v>
      </c>
      <c r="S356" s="203">
        <f t="shared" si="187"/>
        <v>13</v>
      </c>
      <c r="T356" s="203">
        <f t="shared" si="187"/>
        <v>5</v>
      </c>
      <c r="U356" s="203" t="str">
        <f t="shared" si="187"/>
        <v>-</v>
      </c>
      <c r="V356" s="203" t="str">
        <f t="shared" si="187"/>
        <v>-</v>
      </c>
      <c r="W356" s="203" t="str">
        <f t="shared" si="187"/>
        <v>-</v>
      </c>
      <c r="X356" s="203">
        <f t="shared" si="187"/>
        <v>23</v>
      </c>
    </row>
    <row r="357" spans="1:24" s="374" customFormat="1" x14ac:dyDescent="0.2">
      <c r="A357" s="402">
        <v>2016</v>
      </c>
      <c r="B357" s="203" t="str">
        <f t="shared" ref="B357:L357" si="188">B139</f>
        <v>-</v>
      </c>
      <c r="C357" s="203" t="str">
        <f t="shared" si="188"/>
        <v>-</v>
      </c>
      <c r="D357" s="203">
        <f t="shared" si="188"/>
        <v>108</v>
      </c>
      <c r="E357" s="203">
        <f t="shared" si="188"/>
        <v>104</v>
      </c>
      <c r="F357" s="203">
        <f t="shared" si="188"/>
        <v>222</v>
      </c>
      <c r="G357" s="203">
        <f t="shared" si="188"/>
        <v>3524</v>
      </c>
      <c r="H357" s="203">
        <f t="shared" si="188"/>
        <v>990</v>
      </c>
      <c r="I357" s="203">
        <f t="shared" si="188"/>
        <v>75</v>
      </c>
      <c r="J357" s="203">
        <f t="shared" si="188"/>
        <v>8</v>
      </c>
      <c r="K357" s="203">
        <f t="shared" si="188"/>
        <v>0</v>
      </c>
      <c r="L357" s="203">
        <f t="shared" si="188"/>
        <v>5031</v>
      </c>
      <c r="M357" s="197"/>
      <c r="N357" s="203" t="str">
        <f t="shared" ref="N357:X357" si="189">N139</f>
        <v>-</v>
      </c>
      <c r="O357" s="203" t="str">
        <f t="shared" si="189"/>
        <v>-</v>
      </c>
      <c r="P357" s="203" t="str">
        <f t="shared" si="189"/>
        <v>-</v>
      </c>
      <c r="Q357" s="203" t="str">
        <f t="shared" si="189"/>
        <v>-</v>
      </c>
      <c r="R357" s="203" t="str">
        <f t="shared" si="189"/>
        <v>-</v>
      </c>
      <c r="S357" s="203">
        <f t="shared" si="189"/>
        <v>35</v>
      </c>
      <c r="T357" s="203" t="str">
        <f t="shared" si="189"/>
        <v>-</v>
      </c>
      <c r="U357" s="203" t="str">
        <f t="shared" si="189"/>
        <v>-</v>
      </c>
      <c r="V357" s="203" t="str">
        <f t="shared" si="189"/>
        <v>-</v>
      </c>
      <c r="W357" s="203" t="str">
        <f t="shared" si="189"/>
        <v>-</v>
      </c>
      <c r="X357" s="203">
        <f t="shared" si="189"/>
        <v>35</v>
      </c>
    </row>
    <row r="358" spans="1:24" s="374" customFormat="1" x14ac:dyDescent="0.2">
      <c r="A358" s="402">
        <v>2017</v>
      </c>
      <c r="B358" s="203" t="str">
        <f t="shared" ref="B358:L358" si="190">B140</f>
        <v>-</v>
      </c>
      <c r="C358" s="203" t="str">
        <f t="shared" si="190"/>
        <v>-</v>
      </c>
      <c r="D358" s="203">
        <f t="shared" si="190"/>
        <v>22</v>
      </c>
      <c r="E358" s="203">
        <f t="shared" si="190"/>
        <v>650</v>
      </c>
      <c r="F358" s="203" t="str">
        <f t="shared" si="190"/>
        <v>-</v>
      </c>
      <c r="G358" s="203" t="str">
        <f t="shared" si="190"/>
        <v>-</v>
      </c>
      <c r="H358" s="203">
        <f t="shared" si="190"/>
        <v>837</v>
      </c>
      <c r="I358" s="203">
        <f t="shared" si="190"/>
        <v>370</v>
      </c>
      <c r="J358" s="203">
        <f t="shared" si="190"/>
        <v>8</v>
      </c>
      <c r="K358" s="203">
        <f t="shared" si="190"/>
        <v>0</v>
      </c>
      <c r="L358" s="203">
        <f t="shared" si="190"/>
        <v>1887</v>
      </c>
      <c r="M358" s="197"/>
      <c r="N358" s="203" t="str">
        <f t="shared" ref="N358:X358" si="191">N140</f>
        <v>-</v>
      </c>
      <c r="O358" s="203" t="str">
        <f t="shared" si="191"/>
        <v>-</v>
      </c>
      <c r="P358" s="203" t="str">
        <f t="shared" si="191"/>
        <v>-</v>
      </c>
      <c r="Q358" s="203" t="str">
        <f t="shared" si="191"/>
        <v>-</v>
      </c>
      <c r="R358" s="203" t="str">
        <f t="shared" si="191"/>
        <v>-</v>
      </c>
      <c r="S358" s="203" t="str">
        <f t="shared" si="191"/>
        <v>-</v>
      </c>
      <c r="T358" s="203">
        <f t="shared" si="191"/>
        <v>4</v>
      </c>
      <c r="U358" s="203" t="str">
        <f t="shared" si="191"/>
        <v>-</v>
      </c>
      <c r="V358" s="203" t="str">
        <f t="shared" si="191"/>
        <v>-</v>
      </c>
      <c r="W358" s="203" t="str">
        <f t="shared" si="191"/>
        <v>-</v>
      </c>
      <c r="X358" s="203">
        <f t="shared" si="191"/>
        <v>4</v>
      </c>
    </row>
    <row r="359" spans="1:24" s="374" customFormat="1" x14ac:dyDescent="0.2">
      <c r="A359" s="122">
        <v>2018</v>
      </c>
      <c r="B359" s="203" t="str">
        <f t="shared" ref="B359:L359" si="192">B141</f>
        <v>-</v>
      </c>
      <c r="C359" s="203" t="str">
        <f t="shared" si="192"/>
        <v>-</v>
      </c>
      <c r="D359" s="203" t="str">
        <f t="shared" si="192"/>
        <v>-</v>
      </c>
      <c r="E359" s="203" t="str">
        <f t="shared" si="192"/>
        <v>-</v>
      </c>
      <c r="F359" s="203">
        <f t="shared" si="192"/>
        <v>540</v>
      </c>
      <c r="G359" s="203">
        <f t="shared" si="192"/>
        <v>3217</v>
      </c>
      <c r="H359" s="203">
        <f t="shared" si="192"/>
        <v>1846</v>
      </c>
      <c r="I359" s="203">
        <f t="shared" si="192"/>
        <v>95</v>
      </c>
      <c r="J359" s="203">
        <f t="shared" si="192"/>
        <v>0</v>
      </c>
      <c r="K359" s="203" t="str">
        <f t="shared" si="192"/>
        <v>-</v>
      </c>
      <c r="L359" s="203">
        <f t="shared" si="192"/>
        <v>5698</v>
      </c>
      <c r="M359" s="197"/>
      <c r="N359" s="203" t="str">
        <f t="shared" ref="N359:X359" si="193">N141</f>
        <v>-</v>
      </c>
      <c r="O359" s="203" t="str">
        <f t="shared" si="193"/>
        <v>-</v>
      </c>
      <c r="P359" s="203" t="str">
        <f t="shared" si="193"/>
        <v>-</v>
      </c>
      <c r="Q359" s="203" t="str">
        <f t="shared" si="193"/>
        <v>-</v>
      </c>
      <c r="R359" s="203" t="str">
        <f t="shared" si="193"/>
        <v>-</v>
      </c>
      <c r="S359" s="203">
        <f t="shared" si="193"/>
        <v>13</v>
      </c>
      <c r="T359" s="203">
        <f t="shared" si="193"/>
        <v>4</v>
      </c>
      <c r="U359" s="203">
        <f t="shared" si="193"/>
        <v>8</v>
      </c>
      <c r="V359" s="203" t="str">
        <f t="shared" si="193"/>
        <v>-</v>
      </c>
      <c r="W359" s="203" t="str">
        <f t="shared" si="193"/>
        <v>-</v>
      </c>
      <c r="X359" s="203">
        <f t="shared" si="193"/>
        <v>25</v>
      </c>
    </row>
    <row r="360" spans="1:24" s="487" customFormat="1" x14ac:dyDescent="0.2">
      <c r="A360" s="496" t="s">
        <v>398</v>
      </c>
      <c r="B360" s="203" t="str">
        <f t="shared" ref="B360:L361" si="194">B142</f>
        <v>-</v>
      </c>
      <c r="C360" s="203" t="str">
        <f t="shared" si="194"/>
        <v>-</v>
      </c>
      <c r="D360" s="203">
        <f t="shared" si="194"/>
        <v>206</v>
      </c>
      <c r="E360" s="203">
        <f t="shared" si="194"/>
        <v>81</v>
      </c>
      <c r="F360" s="203">
        <f t="shared" si="194"/>
        <v>947</v>
      </c>
      <c r="G360" s="203">
        <f t="shared" si="194"/>
        <v>1701</v>
      </c>
      <c r="H360" s="203">
        <f t="shared" si="194"/>
        <v>825</v>
      </c>
      <c r="I360" s="203">
        <f t="shared" si="194"/>
        <v>101</v>
      </c>
      <c r="J360" s="203">
        <f t="shared" si="194"/>
        <v>0</v>
      </c>
      <c r="K360" s="203" t="str">
        <f t="shared" si="194"/>
        <v>-</v>
      </c>
      <c r="L360" s="203">
        <f t="shared" si="194"/>
        <v>3861</v>
      </c>
      <c r="M360" s="197"/>
      <c r="N360" s="203" t="str">
        <f t="shared" ref="N360:X361" si="195">N142</f>
        <v>-</v>
      </c>
      <c r="O360" s="203" t="str">
        <f t="shared" si="195"/>
        <v>-</v>
      </c>
      <c r="P360" s="203" t="str">
        <f t="shared" si="195"/>
        <v>-</v>
      </c>
      <c r="Q360" s="203" t="str">
        <f t="shared" si="195"/>
        <v>-</v>
      </c>
      <c r="R360" s="203">
        <f t="shared" si="195"/>
        <v>13</v>
      </c>
      <c r="S360" s="203">
        <f t="shared" si="195"/>
        <v>22</v>
      </c>
      <c r="T360" s="203">
        <f t="shared" si="195"/>
        <v>5</v>
      </c>
      <c r="U360" s="203" t="str">
        <f t="shared" si="195"/>
        <v>-</v>
      </c>
      <c r="V360" s="203" t="str">
        <f t="shared" si="195"/>
        <v>-</v>
      </c>
      <c r="W360" s="203" t="str">
        <f t="shared" si="195"/>
        <v>-</v>
      </c>
      <c r="X360" s="203">
        <f t="shared" si="195"/>
        <v>40</v>
      </c>
    </row>
    <row r="361" spans="1:24" x14ac:dyDescent="0.2">
      <c r="A361" s="496" t="s">
        <v>399</v>
      </c>
      <c r="B361" s="200" t="str">
        <f t="shared" si="194"/>
        <v>-</v>
      </c>
      <c r="C361" s="200" t="str">
        <f t="shared" si="194"/>
        <v>-</v>
      </c>
      <c r="D361" s="200" t="str">
        <f t="shared" si="194"/>
        <v>-</v>
      </c>
      <c r="E361" s="200" t="str">
        <f t="shared" si="194"/>
        <v>--</v>
      </c>
      <c r="F361" s="200" t="str">
        <f t="shared" si="194"/>
        <v>--</v>
      </c>
      <c r="G361" s="200">
        <f t="shared" si="194"/>
        <v>1198</v>
      </c>
      <c r="H361" s="200">
        <f t="shared" si="194"/>
        <v>565</v>
      </c>
      <c r="I361" s="200">
        <f t="shared" si="194"/>
        <v>114</v>
      </c>
      <c r="J361" s="200">
        <f t="shared" si="194"/>
        <v>0</v>
      </c>
      <c r="K361" s="200">
        <f t="shared" si="194"/>
        <v>0</v>
      </c>
      <c r="L361" s="203">
        <f t="shared" si="194"/>
        <v>1877</v>
      </c>
      <c r="N361" s="200" t="str">
        <f t="shared" si="195"/>
        <v>-</v>
      </c>
      <c r="O361" s="200" t="str">
        <f t="shared" si="195"/>
        <v>-</v>
      </c>
      <c r="P361" s="200" t="str">
        <f t="shared" si="195"/>
        <v>-</v>
      </c>
      <c r="Q361" s="200" t="str">
        <f t="shared" si="195"/>
        <v>-</v>
      </c>
      <c r="R361" s="200" t="str">
        <f t="shared" si="195"/>
        <v>-</v>
      </c>
      <c r="S361" s="200">
        <f t="shared" si="195"/>
        <v>19</v>
      </c>
      <c r="T361" s="200" t="str">
        <f t="shared" si="195"/>
        <v>-</v>
      </c>
      <c r="U361" s="200">
        <f t="shared" si="195"/>
        <v>4</v>
      </c>
      <c r="V361" s="200" t="str">
        <f t="shared" si="195"/>
        <v>-</v>
      </c>
      <c r="W361" s="200" t="str">
        <f t="shared" si="195"/>
        <v>-</v>
      </c>
      <c r="X361" s="200">
        <f t="shared" si="195"/>
        <v>23</v>
      </c>
    </row>
    <row r="362" spans="1:24" x14ac:dyDescent="0.2">
      <c r="A362" s="402"/>
      <c r="L362" s="203"/>
    </row>
    <row r="363" spans="1:24" x14ac:dyDescent="0.2">
      <c r="A363" s="418" t="str">
        <f>A145</f>
        <v>San Francisco</v>
      </c>
    </row>
    <row r="364" spans="1:24" x14ac:dyDescent="0.2">
      <c r="A364" s="383" t="s">
        <v>87</v>
      </c>
      <c r="B364" s="200">
        <f t="shared" ref="B364:L364" si="196">AVERAGE(B156:B160)</f>
        <v>4510.3999999999996</v>
      </c>
      <c r="C364" s="200">
        <f t="shared" si="196"/>
        <v>10976</v>
      </c>
      <c r="D364" s="200">
        <f t="shared" si="196"/>
        <v>16873</v>
      </c>
      <c r="E364" s="200">
        <f t="shared" si="196"/>
        <v>8315</v>
      </c>
      <c r="F364" s="200">
        <f t="shared" si="196"/>
        <v>12171.8</v>
      </c>
      <c r="G364" s="200">
        <f t="shared" si="196"/>
        <v>17167.2</v>
      </c>
      <c r="H364" s="200">
        <f t="shared" si="196"/>
        <v>15479.4</v>
      </c>
      <c r="I364" s="200">
        <f t="shared" si="196"/>
        <v>7596.4</v>
      </c>
      <c r="J364" s="200">
        <f t="shared" si="196"/>
        <v>4108.2</v>
      </c>
      <c r="K364" s="200">
        <f t="shared" si="196"/>
        <v>1094</v>
      </c>
      <c r="L364" s="200">
        <f t="shared" si="196"/>
        <v>98291.4</v>
      </c>
      <c r="N364" s="200">
        <f t="shared" ref="N364:X364" si="197">AVERAGE(N156:N160)</f>
        <v>0</v>
      </c>
      <c r="O364" s="200">
        <f t="shared" si="197"/>
        <v>0.6</v>
      </c>
      <c r="P364" s="200">
        <f t="shared" si="197"/>
        <v>38.4</v>
      </c>
      <c r="Q364" s="200">
        <f t="shared" si="197"/>
        <v>158.80000000000001</v>
      </c>
      <c r="R364" s="200">
        <f t="shared" si="197"/>
        <v>338.6</v>
      </c>
      <c r="S364" s="200">
        <f t="shared" si="197"/>
        <v>378.6</v>
      </c>
      <c r="T364" s="200">
        <f t="shared" si="197"/>
        <v>479.6</v>
      </c>
      <c r="U364" s="200">
        <f t="shared" si="197"/>
        <v>83</v>
      </c>
      <c r="V364" s="200">
        <f t="shared" si="197"/>
        <v>12.2</v>
      </c>
      <c r="W364" s="200">
        <f t="shared" si="197"/>
        <v>0</v>
      </c>
      <c r="X364" s="200">
        <f t="shared" si="197"/>
        <v>1489.8</v>
      </c>
    </row>
    <row r="365" spans="1:24" x14ac:dyDescent="0.2">
      <c r="A365" s="383" t="s">
        <v>14</v>
      </c>
      <c r="B365" s="200">
        <f>AVERAGE(B161:B165)</f>
        <v>248.75</v>
      </c>
      <c r="C365" s="200">
        <f t="shared" ref="C365:L365" si="198">AVERAGE(C161:C165)</f>
        <v>5049.8</v>
      </c>
      <c r="D365" s="200">
        <f t="shared" si="198"/>
        <v>7027.8</v>
      </c>
      <c r="E365" s="200">
        <f t="shared" si="198"/>
        <v>6921.4</v>
      </c>
      <c r="F365" s="200">
        <f t="shared" si="198"/>
        <v>14149.4</v>
      </c>
      <c r="G365" s="200">
        <f t="shared" si="198"/>
        <v>33403.800000000003</v>
      </c>
      <c r="H365" s="200">
        <f t="shared" si="198"/>
        <v>13386.6</v>
      </c>
      <c r="I365" s="200">
        <f t="shared" si="198"/>
        <v>8221.4</v>
      </c>
      <c r="J365" s="200">
        <f t="shared" si="198"/>
        <v>3590.8</v>
      </c>
      <c r="K365" s="200">
        <f t="shared" si="198"/>
        <v>52</v>
      </c>
      <c r="L365" s="200">
        <f t="shared" si="198"/>
        <v>91970.8</v>
      </c>
      <c r="N365" s="200">
        <f t="shared" ref="N365:X365" si="199">AVERAGE(N161:N165)</f>
        <v>0.5</v>
      </c>
      <c r="O365" s="200">
        <f t="shared" si="199"/>
        <v>8.4</v>
      </c>
      <c r="P365" s="200">
        <f t="shared" si="199"/>
        <v>17.399999999999999</v>
      </c>
      <c r="Q365" s="200">
        <f t="shared" si="199"/>
        <v>71</v>
      </c>
      <c r="R365" s="200">
        <f t="shared" si="199"/>
        <v>1035.4000000000001</v>
      </c>
      <c r="S365" s="200">
        <f t="shared" si="199"/>
        <v>1183.5999999999999</v>
      </c>
      <c r="T365" s="200">
        <f t="shared" si="199"/>
        <v>156.80000000000001</v>
      </c>
      <c r="U365" s="200">
        <f t="shared" si="199"/>
        <v>31</v>
      </c>
      <c r="V365" s="200">
        <f t="shared" si="199"/>
        <v>13.4</v>
      </c>
      <c r="W365" s="200">
        <f t="shared" si="199"/>
        <v>0</v>
      </c>
      <c r="X365" s="200">
        <f t="shared" si="199"/>
        <v>2517.1999999999998</v>
      </c>
    </row>
    <row r="366" spans="1:24" x14ac:dyDescent="0.2">
      <c r="A366" s="383" t="s">
        <v>207</v>
      </c>
      <c r="B366" s="200" t="s">
        <v>29</v>
      </c>
      <c r="C366" s="200">
        <f t="shared" ref="C366:L366" si="200">AVERAGE(C166:C170)</f>
        <v>6310</v>
      </c>
      <c r="D366" s="200">
        <f t="shared" si="200"/>
        <v>8190.8</v>
      </c>
      <c r="E366" s="200">
        <f t="shared" si="200"/>
        <v>8342.7999999999993</v>
      </c>
      <c r="F366" s="200">
        <f t="shared" si="200"/>
        <v>13124.4</v>
      </c>
      <c r="G366" s="200">
        <f t="shared" si="200"/>
        <v>27456.400000000001</v>
      </c>
      <c r="H366" s="200">
        <f t="shared" si="200"/>
        <v>12394.8</v>
      </c>
      <c r="I366" s="200">
        <f t="shared" si="200"/>
        <v>4759</v>
      </c>
      <c r="J366" s="200">
        <f t="shared" si="200"/>
        <v>2954.8</v>
      </c>
      <c r="K366" s="200">
        <f t="shared" si="200"/>
        <v>981.5</v>
      </c>
      <c r="L366" s="200">
        <f t="shared" si="200"/>
        <v>82663.600000000006</v>
      </c>
      <c r="N366" s="200" t="s">
        <v>29</v>
      </c>
      <c r="O366" s="200" t="s">
        <v>29</v>
      </c>
      <c r="P366" s="200" t="s">
        <v>29</v>
      </c>
      <c r="Q366" s="200">
        <f t="shared" ref="Q366:V366" si="201">AVERAGE(Q166:Q170)</f>
        <v>8</v>
      </c>
      <c r="R366" s="200">
        <f t="shared" si="201"/>
        <v>60</v>
      </c>
      <c r="S366" s="200">
        <f t="shared" si="201"/>
        <v>68.2</v>
      </c>
      <c r="T366" s="200">
        <f t="shared" si="201"/>
        <v>12.2</v>
      </c>
      <c r="U366" s="200">
        <f t="shared" si="201"/>
        <v>14.5</v>
      </c>
      <c r="V366" s="200">
        <f t="shared" si="201"/>
        <v>6</v>
      </c>
      <c r="W366" s="200" t="s">
        <v>29</v>
      </c>
      <c r="X366" s="200">
        <f>AVERAGE(X166:X170)</f>
        <v>140.19999999999999</v>
      </c>
    </row>
    <row r="367" spans="1:24" x14ac:dyDescent="0.2">
      <c r="A367" s="383" t="s">
        <v>238</v>
      </c>
      <c r="B367" s="200" t="str">
        <f>B171</f>
        <v>-</v>
      </c>
      <c r="C367" s="200" t="str">
        <f>C171</f>
        <v>-</v>
      </c>
      <c r="D367" s="200">
        <f>AVERAGE(D171:D175)</f>
        <v>5539.8</v>
      </c>
      <c r="E367" s="200">
        <f>AVERAGE(E171:E175)</f>
        <v>11659</v>
      </c>
      <c r="F367" s="200">
        <f>AVERAGE(F171:F175)</f>
        <v>13806.4</v>
      </c>
      <c r="G367" s="200">
        <f t="shared" ref="G367:L367" si="202">AVERAGE(G171:G175)</f>
        <v>26716.6</v>
      </c>
      <c r="H367" s="200">
        <f t="shared" si="202"/>
        <v>10680.4</v>
      </c>
      <c r="I367" s="200">
        <f t="shared" si="202"/>
        <v>6287.2</v>
      </c>
      <c r="J367" s="200">
        <f t="shared" si="202"/>
        <v>2220.4</v>
      </c>
      <c r="K367" s="200">
        <f t="shared" si="202"/>
        <v>395</v>
      </c>
      <c r="L367" s="200">
        <f t="shared" si="202"/>
        <v>77304.800000000003</v>
      </c>
      <c r="N367" s="200" t="str">
        <f>N171</f>
        <v>-</v>
      </c>
      <c r="O367" s="200" t="str">
        <f>O171</f>
        <v>-</v>
      </c>
      <c r="P367" s="200">
        <f t="shared" ref="P367:U367" si="203">AVERAGE(P171:P175)</f>
        <v>2</v>
      </c>
      <c r="Q367" s="200">
        <f t="shared" si="203"/>
        <v>55.8</v>
      </c>
      <c r="R367" s="200">
        <f t="shared" si="203"/>
        <v>67.599999999999994</v>
      </c>
      <c r="S367" s="200">
        <f t="shared" si="203"/>
        <v>187.4</v>
      </c>
      <c r="T367" s="200">
        <f t="shared" si="203"/>
        <v>55.333333333333336</v>
      </c>
      <c r="U367" s="200">
        <f t="shared" si="203"/>
        <v>8.5</v>
      </c>
      <c r="V367" s="200" t="str">
        <f>V171</f>
        <v>-</v>
      </c>
      <c r="W367" s="200" t="str">
        <f>W171</f>
        <v>-</v>
      </c>
      <c r="X367" s="200">
        <f>AVERAGE(X171:X175)</f>
        <v>347.8</v>
      </c>
    </row>
    <row r="368" spans="1:24" x14ac:dyDescent="0.2">
      <c r="A368" s="383">
        <v>2006</v>
      </c>
      <c r="B368" s="200" t="str">
        <f t="shared" ref="B368:L368" si="204">B176</f>
        <v>-</v>
      </c>
      <c r="C368" s="200" t="str">
        <f t="shared" si="204"/>
        <v>-</v>
      </c>
      <c r="D368" s="200">
        <f t="shared" si="204"/>
        <v>1803</v>
      </c>
      <c r="E368" s="200">
        <f t="shared" si="204"/>
        <v>12416</v>
      </c>
      <c r="F368" s="200">
        <f t="shared" si="204"/>
        <v>18151</v>
      </c>
      <c r="G368" s="200">
        <f t="shared" si="204"/>
        <v>20092</v>
      </c>
      <c r="H368" s="200">
        <f t="shared" si="204"/>
        <v>1280</v>
      </c>
      <c r="I368" s="200">
        <f t="shared" si="204"/>
        <v>861</v>
      </c>
      <c r="J368" s="200">
        <f t="shared" si="204"/>
        <v>256</v>
      </c>
      <c r="K368" s="200">
        <f t="shared" si="204"/>
        <v>67</v>
      </c>
      <c r="L368" s="200">
        <f t="shared" si="204"/>
        <v>54926</v>
      </c>
      <c r="N368" s="200" t="str">
        <f t="shared" ref="N368:X368" si="205">N176</f>
        <v>-</v>
      </c>
      <c r="O368" s="200" t="str">
        <f t="shared" si="205"/>
        <v>-</v>
      </c>
      <c r="P368" s="200" t="str">
        <f t="shared" si="205"/>
        <v>-</v>
      </c>
      <c r="Q368" s="200">
        <f t="shared" si="205"/>
        <v>57</v>
      </c>
      <c r="R368" s="200">
        <f t="shared" si="205"/>
        <v>296</v>
      </c>
      <c r="S368" s="200">
        <f t="shared" si="205"/>
        <v>310</v>
      </c>
      <c r="T368" s="200">
        <f t="shared" si="205"/>
        <v>9</v>
      </c>
      <c r="U368" s="200" t="str">
        <f t="shared" si="205"/>
        <v>-</v>
      </c>
      <c r="V368" s="200" t="str">
        <f t="shared" si="205"/>
        <v>-</v>
      </c>
      <c r="W368" s="200" t="str">
        <f t="shared" si="205"/>
        <v>-</v>
      </c>
      <c r="X368" s="200">
        <f t="shared" si="205"/>
        <v>672</v>
      </c>
    </row>
    <row r="369" spans="1:24" s="374" customFormat="1" x14ac:dyDescent="0.2">
      <c r="A369" s="402">
        <v>2007</v>
      </c>
      <c r="B369" s="203" t="str">
        <f t="shared" ref="B369:L369" si="206">B177</f>
        <v>-</v>
      </c>
      <c r="C369" s="203" t="str">
        <f t="shared" si="206"/>
        <v>-</v>
      </c>
      <c r="D369" s="203">
        <f t="shared" si="206"/>
        <v>796</v>
      </c>
      <c r="E369" s="203">
        <f t="shared" si="206"/>
        <v>4245</v>
      </c>
      <c r="F369" s="203">
        <f t="shared" si="206"/>
        <v>4642</v>
      </c>
      <c r="G369" s="203">
        <f t="shared" si="206"/>
        <v>5419</v>
      </c>
      <c r="H369" s="203">
        <f t="shared" si="206"/>
        <v>650</v>
      </c>
      <c r="I369" s="203">
        <f t="shared" si="206"/>
        <v>278</v>
      </c>
      <c r="J369" s="203">
        <f t="shared" si="206"/>
        <v>441</v>
      </c>
      <c r="K369" s="203">
        <f t="shared" si="206"/>
        <v>325</v>
      </c>
      <c r="L369" s="203">
        <f t="shared" si="206"/>
        <v>16796</v>
      </c>
      <c r="M369" s="197"/>
      <c r="N369" s="203" t="str">
        <f t="shared" ref="N369:X369" si="207">N177</f>
        <v>-</v>
      </c>
      <c r="O369" s="203" t="str">
        <f t="shared" si="207"/>
        <v>-</v>
      </c>
      <c r="P369" s="203" t="str">
        <f t="shared" si="207"/>
        <v>-</v>
      </c>
      <c r="Q369" s="203">
        <f t="shared" si="207"/>
        <v>37</v>
      </c>
      <c r="R369" s="203">
        <f t="shared" si="207"/>
        <v>30</v>
      </c>
      <c r="S369" s="203">
        <f t="shared" si="207"/>
        <v>114</v>
      </c>
      <c r="T369" s="203">
        <f t="shared" si="207"/>
        <v>9</v>
      </c>
      <c r="U369" s="203">
        <f t="shared" si="207"/>
        <v>14</v>
      </c>
      <c r="V369" s="203" t="str">
        <f t="shared" si="207"/>
        <v>-</v>
      </c>
      <c r="W369" s="203" t="str">
        <f t="shared" si="207"/>
        <v>-</v>
      </c>
      <c r="X369" s="203">
        <f t="shared" si="207"/>
        <v>204</v>
      </c>
    </row>
    <row r="370" spans="1:24" s="374" customFormat="1" x14ac:dyDescent="0.2">
      <c r="A370" s="402">
        <v>2008</v>
      </c>
      <c r="B370" s="203" t="str">
        <f t="shared" ref="B370:L370" si="208">B178</f>
        <v>-</v>
      </c>
      <c r="C370" s="203" t="str">
        <f t="shared" si="208"/>
        <v>-</v>
      </c>
      <c r="D370" s="203" t="str">
        <f t="shared" si="208"/>
        <v>-</v>
      </c>
      <c r="E370" s="203" t="str">
        <f t="shared" si="208"/>
        <v>-</v>
      </c>
      <c r="F370" s="203" t="str">
        <f t="shared" si="208"/>
        <v>-</v>
      </c>
      <c r="G370" s="203" t="str">
        <f t="shared" si="208"/>
        <v>-</v>
      </c>
      <c r="H370" s="203" t="str">
        <f t="shared" si="208"/>
        <v>-</v>
      </c>
      <c r="I370" s="203" t="str">
        <f t="shared" si="208"/>
        <v>-</v>
      </c>
      <c r="J370" s="203" t="str">
        <f t="shared" si="208"/>
        <v>-</v>
      </c>
      <c r="K370" s="203" t="str">
        <f t="shared" si="208"/>
        <v>-</v>
      </c>
      <c r="L370" s="203" t="str">
        <f t="shared" si="208"/>
        <v>-</v>
      </c>
      <c r="M370" s="197"/>
      <c r="N370" s="203" t="str">
        <f t="shared" ref="N370:X370" si="209">N178</f>
        <v>-</v>
      </c>
      <c r="O370" s="203" t="str">
        <f t="shared" si="209"/>
        <v>-</v>
      </c>
      <c r="P370" s="203" t="str">
        <f t="shared" si="209"/>
        <v>-</v>
      </c>
      <c r="Q370" s="203" t="str">
        <f t="shared" si="209"/>
        <v>-</v>
      </c>
      <c r="R370" s="203" t="str">
        <f t="shared" si="209"/>
        <v>-</v>
      </c>
      <c r="S370" s="203" t="str">
        <f t="shared" si="209"/>
        <v>-</v>
      </c>
      <c r="T370" s="203" t="str">
        <f t="shared" si="209"/>
        <v>-</v>
      </c>
      <c r="U370" s="203" t="str">
        <f t="shared" si="209"/>
        <v>-</v>
      </c>
      <c r="V370" s="203" t="str">
        <f t="shared" si="209"/>
        <v>-</v>
      </c>
      <c r="W370" s="203" t="str">
        <f t="shared" si="209"/>
        <v>-</v>
      </c>
      <c r="X370" s="203" t="str">
        <f t="shared" si="209"/>
        <v>-</v>
      </c>
    </row>
    <row r="371" spans="1:24" s="374" customFormat="1" ht="11.25" customHeight="1" x14ac:dyDescent="0.2">
      <c r="A371" s="402">
        <v>2009</v>
      </c>
      <c r="B371" s="203" t="str">
        <f t="shared" ref="B371:L371" si="210">B179</f>
        <v>-</v>
      </c>
      <c r="C371" s="203" t="str">
        <f t="shared" si="210"/>
        <v>-</v>
      </c>
      <c r="D371" s="203" t="str">
        <f t="shared" si="210"/>
        <v>-</v>
      </c>
      <c r="E371" s="203" t="str">
        <f t="shared" si="210"/>
        <v>-</v>
      </c>
      <c r="F371" s="203" t="str">
        <f t="shared" si="210"/>
        <v>-</v>
      </c>
      <c r="G371" s="203" t="str">
        <f t="shared" si="210"/>
        <v>-</v>
      </c>
      <c r="H371" s="203" t="str">
        <f t="shared" si="210"/>
        <v>-</v>
      </c>
      <c r="I371" s="203" t="str">
        <f t="shared" si="210"/>
        <v>-</v>
      </c>
      <c r="J371" s="203" t="str">
        <f t="shared" si="210"/>
        <v>-</v>
      </c>
      <c r="K371" s="203" t="str">
        <f t="shared" si="210"/>
        <v>-</v>
      </c>
      <c r="L371" s="203" t="str">
        <f t="shared" si="210"/>
        <v>-</v>
      </c>
      <c r="M371" s="197"/>
      <c r="N371" s="203" t="str">
        <f t="shared" ref="N371:X371" si="211">N179</f>
        <v>-</v>
      </c>
      <c r="O371" s="203" t="str">
        <f t="shared" si="211"/>
        <v>-</v>
      </c>
      <c r="P371" s="203" t="str">
        <f t="shared" si="211"/>
        <v>-</v>
      </c>
      <c r="Q371" s="203" t="str">
        <f t="shared" si="211"/>
        <v>-</v>
      </c>
      <c r="R371" s="203" t="str">
        <f t="shared" si="211"/>
        <v>-</v>
      </c>
      <c r="S371" s="203" t="str">
        <f t="shared" si="211"/>
        <v>-</v>
      </c>
      <c r="T371" s="203" t="str">
        <f t="shared" si="211"/>
        <v>-</v>
      </c>
      <c r="U371" s="203" t="str">
        <f t="shared" si="211"/>
        <v>-</v>
      </c>
      <c r="V371" s="203" t="str">
        <f t="shared" si="211"/>
        <v>-</v>
      </c>
      <c r="W371" s="203" t="str">
        <f t="shared" si="211"/>
        <v>-</v>
      </c>
      <c r="X371" s="203" t="str">
        <f t="shared" si="211"/>
        <v>-</v>
      </c>
    </row>
    <row r="372" spans="1:24" s="374" customFormat="1" ht="11.25" customHeight="1" x14ac:dyDescent="0.2">
      <c r="A372" s="402">
        <v>2010</v>
      </c>
      <c r="B372" s="203" t="str">
        <f t="shared" ref="B372:L372" si="212">B180</f>
        <v>-</v>
      </c>
      <c r="C372" s="203" t="str">
        <f t="shared" si="212"/>
        <v>-</v>
      </c>
      <c r="D372" s="203">
        <f t="shared" si="212"/>
        <v>1004</v>
      </c>
      <c r="E372" s="203">
        <f t="shared" si="212"/>
        <v>452</v>
      </c>
      <c r="F372" s="203">
        <f t="shared" si="212"/>
        <v>598</v>
      </c>
      <c r="G372" s="203">
        <f t="shared" si="212"/>
        <v>1764</v>
      </c>
      <c r="H372" s="203">
        <f t="shared" si="212"/>
        <v>2012</v>
      </c>
      <c r="I372" s="203">
        <f t="shared" si="212"/>
        <v>286</v>
      </c>
      <c r="J372" s="203" t="str">
        <f t="shared" si="212"/>
        <v>-</v>
      </c>
      <c r="K372" s="203" t="str">
        <f t="shared" si="212"/>
        <v>-</v>
      </c>
      <c r="L372" s="203">
        <f t="shared" si="212"/>
        <v>6116</v>
      </c>
      <c r="M372" s="197"/>
      <c r="N372" s="203" t="str">
        <f t="shared" ref="N372:X372" si="213">N180</f>
        <v>-</v>
      </c>
      <c r="O372" s="203" t="str">
        <f t="shared" si="213"/>
        <v>-</v>
      </c>
      <c r="P372" s="203" t="str">
        <f t="shared" si="213"/>
        <v>-</v>
      </c>
      <c r="Q372" s="203" t="str">
        <f t="shared" si="213"/>
        <v>-</v>
      </c>
      <c r="R372" s="203">
        <f t="shared" si="213"/>
        <v>68</v>
      </c>
      <c r="S372" s="203" t="str">
        <f t="shared" si="213"/>
        <v>-</v>
      </c>
      <c r="T372" s="203" t="str">
        <f t="shared" si="213"/>
        <v>-</v>
      </c>
      <c r="U372" s="203">
        <f t="shared" si="213"/>
        <v>8</v>
      </c>
      <c r="V372" s="203" t="str">
        <f t="shared" si="213"/>
        <v>-</v>
      </c>
      <c r="W372" s="203" t="str">
        <f t="shared" si="213"/>
        <v>-</v>
      </c>
      <c r="X372" s="203">
        <f t="shared" si="213"/>
        <v>76</v>
      </c>
    </row>
    <row r="373" spans="1:24" s="374" customFormat="1" x14ac:dyDescent="0.2">
      <c r="A373" s="402">
        <v>2011</v>
      </c>
      <c r="B373" s="203" t="str">
        <f t="shared" ref="B373:L373" si="214">B181</f>
        <v>-</v>
      </c>
      <c r="C373" s="203" t="str">
        <f t="shared" si="214"/>
        <v>-</v>
      </c>
      <c r="D373" s="203">
        <f t="shared" si="214"/>
        <v>432</v>
      </c>
      <c r="E373" s="203">
        <f t="shared" si="214"/>
        <v>934</v>
      </c>
      <c r="F373" s="203">
        <f t="shared" si="214"/>
        <v>326</v>
      </c>
      <c r="G373" s="203">
        <f t="shared" si="214"/>
        <v>4457</v>
      </c>
      <c r="H373" s="203">
        <f t="shared" si="214"/>
        <v>6531</v>
      </c>
      <c r="I373" s="203">
        <f t="shared" si="214"/>
        <v>5914</v>
      </c>
      <c r="J373" s="203">
        <f t="shared" si="214"/>
        <v>1140</v>
      </c>
      <c r="K373" s="203" t="str">
        <f t="shared" si="214"/>
        <v>-</v>
      </c>
      <c r="L373" s="203">
        <f t="shared" si="214"/>
        <v>19734</v>
      </c>
      <c r="M373" s="197"/>
      <c r="N373" s="203" t="str">
        <f t="shared" ref="N373:X373" si="215">N181</f>
        <v>-</v>
      </c>
      <c r="O373" s="203" t="str">
        <f t="shared" si="215"/>
        <v>-</v>
      </c>
      <c r="P373" s="203" t="str">
        <f t="shared" si="215"/>
        <v>-</v>
      </c>
      <c r="Q373" s="203" t="str">
        <f t="shared" si="215"/>
        <v>-</v>
      </c>
      <c r="R373" s="203">
        <f t="shared" si="215"/>
        <v>17</v>
      </c>
      <c r="S373" s="203">
        <f t="shared" si="215"/>
        <v>26</v>
      </c>
      <c r="T373" s="203" t="str">
        <f t="shared" si="215"/>
        <v>-</v>
      </c>
      <c r="U373" s="203" t="str">
        <f t="shared" si="215"/>
        <v>-</v>
      </c>
      <c r="V373" s="203" t="str">
        <f t="shared" si="215"/>
        <v>-</v>
      </c>
      <c r="W373" s="203" t="str">
        <f t="shared" si="215"/>
        <v>-</v>
      </c>
      <c r="X373" s="203">
        <f t="shared" si="215"/>
        <v>43</v>
      </c>
    </row>
    <row r="374" spans="1:24" s="374" customFormat="1" x14ac:dyDescent="0.2">
      <c r="A374" s="402">
        <v>2012</v>
      </c>
      <c r="B374" s="203" t="str">
        <f t="shared" ref="B374:L374" si="216">B182</f>
        <v>-</v>
      </c>
      <c r="C374" s="203" t="str">
        <f t="shared" si="216"/>
        <v>-</v>
      </c>
      <c r="D374" s="203">
        <f t="shared" si="216"/>
        <v>3837</v>
      </c>
      <c r="E374" s="203">
        <f t="shared" si="216"/>
        <v>5143</v>
      </c>
      <c r="F374" s="203">
        <f t="shared" si="216"/>
        <v>10700</v>
      </c>
      <c r="G374" s="203">
        <f t="shared" si="216"/>
        <v>15329</v>
      </c>
      <c r="H374" s="203">
        <f t="shared" si="216"/>
        <v>5340</v>
      </c>
      <c r="I374" s="203">
        <f t="shared" si="216"/>
        <v>3871</v>
      </c>
      <c r="J374" s="203">
        <f t="shared" si="216"/>
        <v>1881</v>
      </c>
      <c r="K374" s="203">
        <f t="shared" si="216"/>
        <v>88</v>
      </c>
      <c r="L374" s="203">
        <f t="shared" si="216"/>
        <v>46189</v>
      </c>
      <c r="M374" s="197"/>
      <c r="N374" s="203" t="str">
        <f t="shared" ref="N374:X374" si="217">N182</f>
        <v>-</v>
      </c>
      <c r="O374" s="203" t="str">
        <f t="shared" si="217"/>
        <v>-</v>
      </c>
      <c r="P374" s="203" t="str">
        <f t="shared" si="217"/>
        <v>-</v>
      </c>
      <c r="Q374" s="203">
        <f t="shared" si="217"/>
        <v>3</v>
      </c>
      <c r="R374" s="203" t="str">
        <f t="shared" si="217"/>
        <v>-</v>
      </c>
      <c r="S374" s="203">
        <f t="shared" si="217"/>
        <v>5</v>
      </c>
      <c r="T374" s="203" t="str">
        <f t="shared" si="217"/>
        <v>-</v>
      </c>
      <c r="U374" s="203" t="str">
        <f t="shared" si="217"/>
        <v>-</v>
      </c>
      <c r="V374" s="203" t="str">
        <f t="shared" si="217"/>
        <v>-</v>
      </c>
      <c r="W374" s="203" t="str">
        <f t="shared" si="217"/>
        <v>-</v>
      </c>
      <c r="X374" s="203">
        <f t="shared" si="217"/>
        <v>8</v>
      </c>
    </row>
    <row r="375" spans="1:24" s="374" customFormat="1" x14ac:dyDescent="0.2">
      <c r="A375" s="402">
        <v>2013</v>
      </c>
      <c r="B375" s="203" t="str">
        <f t="shared" ref="B375:L375" si="218">B183</f>
        <v>-</v>
      </c>
      <c r="C375" s="203" t="str">
        <f t="shared" si="218"/>
        <v>-</v>
      </c>
      <c r="D375" s="203">
        <f t="shared" si="218"/>
        <v>8121</v>
      </c>
      <c r="E375" s="203">
        <f t="shared" si="218"/>
        <v>9018</v>
      </c>
      <c r="F375" s="203">
        <f t="shared" si="218"/>
        <v>12204</v>
      </c>
      <c r="G375" s="203">
        <f t="shared" si="218"/>
        <v>21798</v>
      </c>
      <c r="H375" s="203">
        <f t="shared" si="218"/>
        <v>6818</v>
      </c>
      <c r="I375" s="203">
        <f t="shared" si="218"/>
        <v>1891</v>
      </c>
      <c r="J375" s="203">
        <f t="shared" si="218"/>
        <v>1354</v>
      </c>
      <c r="K375" s="203">
        <f t="shared" si="218"/>
        <v>87</v>
      </c>
      <c r="L375" s="203">
        <f t="shared" si="218"/>
        <v>61291</v>
      </c>
      <c r="M375" s="197"/>
      <c r="N375" s="203" t="str">
        <f t="shared" ref="N375:X375" si="219">N183</f>
        <v>-</v>
      </c>
      <c r="O375" s="203" t="str">
        <f t="shared" si="219"/>
        <v>-</v>
      </c>
      <c r="P375" s="203" t="str">
        <f t="shared" si="219"/>
        <v>-</v>
      </c>
      <c r="Q375" s="203" t="str">
        <f t="shared" si="219"/>
        <v>-</v>
      </c>
      <c r="R375" s="203">
        <f t="shared" si="219"/>
        <v>24</v>
      </c>
      <c r="S375" s="203">
        <f t="shared" si="219"/>
        <v>62</v>
      </c>
      <c r="T375" s="203" t="str">
        <f t="shared" si="219"/>
        <v>-</v>
      </c>
      <c r="U375" s="203" t="str">
        <f t="shared" si="219"/>
        <v>-</v>
      </c>
      <c r="V375" s="203" t="str">
        <f t="shared" si="219"/>
        <v>-</v>
      </c>
      <c r="W375" s="203" t="str">
        <f t="shared" si="219"/>
        <v>-</v>
      </c>
      <c r="X375" s="203">
        <f t="shared" si="219"/>
        <v>86</v>
      </c>
    </row>
    <row r="376" spans="1:24" s="374" customFormat="1" x14ac:dyDescent="0.2">
      <c r="A376" s="402">
        <v>2014</v>
      </c>
      <c r="B376" s="203" t="str">
        <f t="shared" ref="B376:L376" si="220">B184</f>
        <v>-</v>
      </c>
      <c r="C376" s="203" t="str">
        <f t="shared" si="220"/>
        <v>-</v>
      </c>
      <c r="D376" s="203">
        <f t="shared" si="220"/>
        <v>1854</v>
      </c>
      <c r="E376" s="203">
        <f t="shared" si="220"/>
        <v>2318</v>
      </c>
      <c r="F376" s="203">
        <f t="shared" si="220"/>
        <v>559</v>
      </c>
      <c r="G376" s="203">
        <f t="shared" si="220"/>
        <v>5587</v>
      </c>
      <c r="H376" s="203">
        <f t="shared" si="220"/>
        <v>12679</v>
      </c>
      <c r="I376" s="203">
        <f t="shared" si="220"/>
        <v>6266</v>
      </c>
      <c r="J376" s="203">
        <f t="shared" si="220"/>
        <v>3065</v>
      </c>
      <c r="K376" s="203">
        <f t="shared" si="220"/>
        <v>125</v>
      </c>
      <c r="L376" s="203">
        <f t="shared" si="220"/>
        <v>32453</v>
      </c>
      <c r="M376" s="197"/>
      <c r="N376" s="203" t="str">
        <f t="shared" ref="N376:X376" si="221">N184</f>
        <v>-</v>
      </c>
      <c r="O376" s="203" t="str">
        <f t="shared" si="221"/>
        <v>-</v>
      </c>
      <c r="P376" s="203" t="str">
        <f t="shared" si="221"/>
        <v>-</v>
      </c>
      <c r="Q376" s="203">
        <f t="shared" si="221"/>
        <v>4</v>
      </c>
      <c r="R376" s="203" t="str">
        <f t="shared" si="221"/>
        <v>-</v>
      </c>
      <c r="S376" s="203">
        <f t="shared" si="221"/>
        <v>40</v>
      </c>
      <c r="T376" s="203" t="str">
        <f t="shared" si="221"/>
        <v>-</v>
      </c>
      <c r="U376" s="203" t="str">
        <f t="shared" si="221"/>
        <v>-</v>
      </c>
      <c r="V376" s="203" t="str">
        <f t="shared" si="221"/>
        <v>-</v>
      </c>
      <c r="W376" s="203" t="str">
        <f t="shared" si="221"/>
        <v>-</v>
      </c>
      <c r="X376" s="203">
        <f t="shared" si="221"/>
        <v>44</v>
      </c>
    </row>
    <row r="377" spans="1:24" s="374" customFormat="1" x14ac:dyDescent="0.2">
      <c r="A377" s="402">
        <v>2015</v>
      </c>
      <c r="B377" s="203" t="str">
        <f t="shared" ref="B377:L377" si="222">B185</f>
        <v>-</v>
      </c>
      <c r="C377" s="203" t="str">
        <f t="shared" si="222"/>
        <v>-</v>
      </c>
      <c r="D377" s="203">
        <f t="shared" si="222"/>
        <v>933</v>
      </c>
      <c r="E377" s="203">
        <f t="shared" si="222"/>
        <v>1072</v>
      </c>
      <c r="F377" s="203">
        <f t="shared" si="222"/>
        <v>2396</v>
      </c>
      <c r="G377" s="203">
        <f t="shared" si="222"/>
        <v>5126</v>
      </c>
      <c r="H377" s="203">
        <f t="shared" si="222"/>
        <v>6113</v>
      </c>
      <c r="I377" s="203">
        <f t="shared" si="222"/>
        <v>8014</v>
      </c>
      <c r="J377" s="203">
        <f t="shared" si="222"/>
        <v>1573</v>
      </c>
      <c r="K377" s="203" t="str">
        <f t="shared" si="222"/>
        <v>-</v>
      </c>
      <c r="L377" s="203">
        <f t="shared" si="222"/>
        <v>25227</v>
      </c>
      <c r="M377" s="197"/>
      <c r="N377" s="203" t="str">
        <f t="shared" ref="N377:X377" si="223">N185</f>
        <v>-</v>
      </c>
      <c r="O377" s="203" t="str">
        <f t="shared" si="223"/>
        <v>-</v>
      </c>
      <c r="P377" s="203" t="str">
        <f t="shared" si="223"/>
        <v>-</v>
      </c>
      <c r="Q377" s="203" t="str">
        <f t="shared" si="223"/>
        <v>-</v>
      </c>
      <c r="R377" s="203">
        <f t="shared" si="223"/>
        <v>4</v>
      </c>
      <c r="S377" s="203">
        <f t="shared" si="223"/>
        <v>2</v>
      </c>
      <c r="T377" s="203" t="str">
        <f t="shared" si="223"/>
        <v>-</v>
      </c>
      <c r="U377" s="203" t="str">
        <f t="shared" si="223"/>
        <v>-</v>
      </c>
      <c r="V377" s="203" t="str">
        <f t="shared" si="223"/>
        <v>-</v>
      </c>
      <c r="W377" s="203" t="str">
        <f t="shared" si="223"/>
        <v>-</v>
      </c>
      <c r="X377" s="203">
        <f t="shared" si="223"/>
        <v>6</v>
      </c>
    </row>
    <row r="378" spans="1:24" s="374" customFormat="1" x14ac:dyDescent="0.2">
      <c r="A378" s="402">
        <v>2016</v>
      </c>
      <c r="B378" s="203" t="str">
        <f t="shared" ref="B378:L378" si="224">B186</f>
        <v>-</v>
      </c>
      <c r="C378" s="203" t="str">
        <f t="shared" si="224"/>
        <v>-</v>
      </c>
      <c r="D378" s="203">
        <f t="shared" si="224"/>
        <v>1206</v>
      </c>
      <c r="E378" s="203">
        <f t="shared" si="224"/>
        <v>3563</v>
      </c>
      <c r="F378" s="203">
        <f t="shared" si="224"/>
        <v>1253</v>
      </c>
      <c r="G378" s="203">
        <f t="shared" si="224"/>
        <v>8025</v>
      </c>
      <c r="H378" s="203">
        <f t="shared" si="224"/>
        <v>6111</v>
      </c>
      <c r="I378" s="203">
        <f t="shared" si="224"/>
        <v>5858</v>
      </c>
      <c r="J378" s="203">
        <f t="shared" si="224"/>
        <v>630</v>
      </c>
      <c r="K378" s="203" t="str">
        <f t="shared" si="224"/>
        <v>-</v>
      </c>
      <c r="L378" s="203">
        <f t="shared" si="224"/>
        <v>26646</v>
      </c>
      <c r="M378" s="197"/>
      <c r="N378" s="203" t="str">
        <f t="shared" ref="N378:X378" si="225">N186</f>
        <v>-</v>
      </c>
      <c r="O378" s="203" t="str">
        <f t="shared" si="225"/>
        <v>-</v>
      </c>
      <c r="P378" s="203" t="str">
        <f t="shared" si="225"/>
        <v>-</v>
      </c>
      <c r="Q378" s="203" t="str">
        <f t="shared" si="225"/>
        <v>-</v>
      </c>
      <c r="R378" s="203" t="str">
        <f t="shared" si="225"/>
        <v>-</v>
      </c>
      <c r="S378" s="203" t="str">
        <f t="shared" si="225"/>
        <v>-</v>
      </c>
      <c r="T378" s="203">
        <f t="shared" si="225"/>
        <v>8</v>
      </c>
      <c r="U378" s="203" t="str">
        <f t="shared" si="225"/>
        <v>-</v>
      </c>
      <c r="V378" s="203" t="str">
        <f t="shared" si="225"/>
        <v>-</v>
      </c>
      <c r="W378" s="203" t="str">
        <f t="shared" si="225"/>
        <v>-</v>
      </c>
      <c r="X378" s="203">
        <f t="shared" si="225"/>
        <v>8</v>
      </c>
    </row>
    <row r="379" spans="1:24" s="374" customFormat="1" x14ac:dyDescent="0.2">
      <c r="A379" s="402">
        <v>2017</v>
      </c>
      <c r="B379" s="203" t="str">
        <f t="shared" ref="B379:L379" si="226">B187</f>
        <v>-</v>
      </c>
      <c r="C379" s="203" t="str">
        <f t="shared" si="226"/>
        <v>-</v>
      </c>
      <c r="D379" s="203">
        <f t="shared" si="226"/>
        <v>398</v>
      </c>
      <c r="E379" s="203">
        <f t="shared" si="226"/>
        <v>1206</v>
      </c>
      <c r="F379" s="203">
        <f t="shared" si="226"/>
        <v>5241</v>
      </c>
      <c r="G379" s="203">
        <f t="shared" si="226"/>
        <v>24206</v>
      </c>
      <c r="H379" s="203">
        <f t="shared" si="226"/>
        <v>17972</v>
      </c>
      <c r="I379" s="203">
        <f t="shared" si="226"/>
        <v>3890</v>
      </c>
      <c r="J379" s="203">
        <f t="shared" si="226"/>
        <v>843</v>
      </c>
      <c r="K379" s="203" t="str">
        <f t="shared" si="226"/>
        <v>-</v>
      </c>
      <c r="L379" s="203">
        <f t="shared" si="226"/>
        <v>53756</v>
      </c>
      <c r="M379" s="197"/>
      <c r="N379" s="203" t="str">
        <f t="shared" ref="N379:X379" si="227">N187</f>
        <v>-</v>
      </c>
      <c r="O379" s="203" t="str">
        <f t="shared" si="227"/>
        <v>-</v>
      </c>
      <c r="P379" s="203" t="str">
        <f t="shared" si="227"/>
        <v>-</v>
      </c>
      <c r="Q379" s="203">
        <f t="shared" si="227"/>
        <v>3</v>
      </c>
      <c r="R379" s="203" t="str">
        <f t="shared" si="227"/>
        <v>-</v>
      </c>
      <c r="S379" s="203">
        <f t="shared" si="227"/>
        <v>322</v>
      </c>
      <c r="T379" s="203">
        <f t="shared" si="227"/>
        <v>40</v>
      </c>
      <c r="U379" s="203" t="str">
        <f t="shared" si="227"/>
        <v>-</v>
      </c>
      <c r="V379" s="203" t="str">
        <f t="shared" si="227"/>
        <v>-</v>
      </c>
      <c r="W379" s="203" t="str">
        <f t="shared" si="227"/>
        <v>-</v>
      </c>
      <c r="X379" s="203">
        <f t="shared" si="227"/>
        <v>365</v>
      </c>
    </row>
    <row r="380" spans="1:24" s="374" customFormat="1" x14ac:dyDescent="0.2">
      <c r="A380" s="122">
        <v>2018</v>
      </c>
      <c r="B380" s="203" t="str">
        <f t="shared" ref="B380:L380" si="228">B188</f>
        <v>-</v>
      </c>
      <c r="C380" s="203" t="str">
        <f t="shared" si="228"/>
        <v>-</v>
      </c>
      <c r="D380" s="203" t="str">
        <f t="shared" si="228"/>
        <v>-</v>
      </c>
      <c r="E380" s="203" t="str">
        <f t="shared" si="228"/>
        <v>-</v>
      </c>
      <c r="F380" s="203">
        <f t="shared" si="228"/>
        <v>11361</v>
      </c>
      <c r="G380" s="203">
        <f t="shared" si="228"/>
        <v>38248</v>
      </c>
      <c r="H380" s="203">
        <f t="shared" si="228"/>
        <v>11717</v>
      </c>
      <c r="I380" s="203">
        <f t="shared" si="228"/>
        <v>6689</v>
      </c>
      <c r="J380" s="203">
        <f t="shared" si="228"/>
        <v>4172</v>
      </c>
      <c r="K380" s="203" t="str">
        <f t="shared" si="228"/>
        <v>-</v>
      </c>
      <c r="L380" s="203">
        <f t="shared" si="228"/>
        <v>72187</v>
      </c>
      <c r="M380" s="197"/>
      <c r="N380" s="203" t="str">
        <f t="shared" ref="N380:X380" si="229">N188</f>
        <v>-</v>
      </c>
      <c r="O380" s="203" t="str">
        <f t="shared" si="229"/>
        <v>-</v>
      </c>
      <c r="P380" s="203" t="str">
        <f t="shared" si="229"/>
        <v>-</v>
      </c>
      <c r="Q380" s="203" t="str">
        <f t="shared" si="229"/>
        <v>-</v>
      </c>
      <c r="R380" s="203">
        <f t="shared" si="229"/>
        <v>5</v>
      </c>
      <c r="S380" s="203">
        <f t="shared" si="229"/>
        <v>63</v>
      </c>
      <c r="T380" s="203" t="str">
        <f t="shared" si="229"/>
        <v>-</v>
      </c>
      <c r="U380" s="203" t="str">
        <f t="shared" si="229"/>
        <v>-</v>
      </c>
      <c r="V380" s="203" t="str">
        <f t="shared" si="229"/>
        <v>-</v>
      </c>
      <c r="W380" s="203" t="str">
        <f t="shared" si="229"/>
        <v>-</v>
      </c>
      <c r="X380" s="203">
        <f t="shared" si="229"/>
        <v>68</v>
      </c>
    </row>
    <row r="381" spans="1:24" s="487" customFormat="1" x14ac:dyDescent="0.2">
      <c r="A381" s="496" t="s">
        <v>398</v>
      </c>
      <c r="B381" s="203" t="str">
        <f t="shared" ref="B381:L382" si="230">B189</f>
        <v>-</v>
      </c>
      <c r="C381" s="203" t="str">
        <f t="shared" si="230"/>
        <v>-</v>
      </c>
      <c r="D381" s="203">
        <f t="shared" si="230"/>
        <v>2982</v>
      </c>
      <c r="E381" s="203">
        <f t="shared" si="230"/>
        <v>1645</v>
      </c>
      <c r="F381" s="203">
        <f t="shared" si="230"/>
        <v>15459</v>
      </c>
      <c r="G381" s="203">
        <f t="shared" si="230"/>
        <v>16558</v>
      </c>
      <c r="H381" s="203">
        <f t="shared" si="230"/>
        <v>15861</v>
      </c>
      <c r="I381" s="203">
        <f t="shared" si="230"/>
        <v>3570</v>
      </c>
      <c r="J381" s="203">
        <f t="shared" si="230"/>
        <v>468</v>
      </c>
      <c r="K381" s="203" t="str">
        <f t="shared" si="230"/>
        <v>-</v>
      </c>
      <c r="L381" s="203">
        <f t="shared" si="230"/>
        <v>56543</v>
      </c>
      <c r="M381" s="197"/>
      <c r="N381" s="203" t="str">
        <f t="shared" ref="N381:X382" si="231">N189</f>
        <v>-</v>
      </c>
      <c r="O381" s="203" t="str">
        <f t="shared" si="231"/>
        <v>-</v>
      </c>
      <c r="P381" s="203" t="str">
        <f t="shared" si="231"/>
        <v>-</v>
      </c>
      <c r="Q381" s="203">
        <f t="shared" si="231"/>
        <v>2</v>
      </c>
      <c r="R381" s="203">
        <f t="shared" si="231"/>
        <v>100</v>
      </c>
      <c r="S381" s="203">
        <f t="shared" si="231"/>
        <v>4</v>
      </c>
      <c r="T381" s="203">
        <f t="shared" si="231"/>
        <v>348</v>
      </c>
      <c r="U381" s="203">
        <f t="shared" si="231"/>
        <v>14</v>
      </c>
      <c r="V381" s="203">
        <f t="shared" si="231"/>
        <v>5</v>
      </c>
      <c r="W381" s="203" t="str">
        <f t="shared" si="231"/>
        <v>-</v>
      </c>
      <c r="X381" s="203">
        <f t="shared" si="231"/>
        <v>473</v>
      </c>
    </row>
    <row r="382" spans="1:24" x14ac:dyDescent="0.2">
      <c r="A382" s="496" t="s">
        <v>399</v>
      </c>
      <c r="B382" s="200" t="str">
        <f t="shared" si="230"/>
        <v>-</v>
      </c>
      <c r="C382" s="200" t="str">
        <f t="shared" si="230"/>
        <v>-</v>
      </c>
      <c r="D382" s="200" t="str">
        <f t="shared" si="230"/>
        <v>-</v>
      </c>
      <c r="E382" s="200" t="str">
        <f t="shared" si="230"/>
        <v>--</v>
      </c>
      <c r="F382" s="200" t="str">
        <f t="shared" si="230"/>
        <v>--</v>
      </c>
      <c r="G382" s="200">
        <f t="shared" si="230"/>
        <v>19508</v>
      </c>
      <c r="H382" s="200">
        <f t="shared" si="230"/>
        <v>9064</v>
      </c>
      <c r="I382" s="200">
        <f t="shared" si="230"/>
        <v>3915</v>
      </c>
      <c r="J382" s="200">
        <f t="shared" si="230"/>
        <v>2279</v>
      </c>
      <c r="K382" s="200">
        <f t="shared" si="230"/>
        <v>21</v>
      </c>
      <c r="L382" s="200">
        <f t="shared" si="230"/>
        <v>34787</v>
      </c>
      <c r="N382" s="200" t="str">
        <f t="shared" si="231"/>
        <v>-</v>
      </c>
      <c r="O382" s="200" t="str">
        <f t="shared" si="231"/>
        <v>-</v>
      </c>
      <c r="P382" s="200" t="str">
        <f t="shared" si="231"/>
        <v>-</v>
      </c>
      <c r="Q382" s="200" t="str">
        <f t="shared" si="231"/>
        <v>-</v>
      </c>
      <c r="R382" s="200" t="str">
        <f t="shared" si="231"/>
        <v>-</v>
      </c>
      <c r="S382" s="200">
        <f t="shared" si="231"/>
        <v>11</v>
      </c>
      <c r="T382" s="200" t="str">
        <f t="shared" si="231"/>
        <v>-</v>
      </c>
      <c r="U382" s="200" t="str">
        <f t="shared" si="231"/>
        <v>-</v>
      </c>
      <c r="V382" s="200" t="str">
        <f t="shared" si="231"/>
        <v>-</v>
      </c>
      <c r="W382" s="200" t="str">
        <f t="shared" si="231"/>
        <v>-</v>
      </c>
      <c r="X382" s="200">
        <f t="shared" si="231"/>
        <v>11</v>
      </c>
    </row>
    <row r="384" spans="1:24" x14ac:dyDescent="0.2">
      <c r="A384" s="528" t="s">
        <v>254</v>
      </c>
      <c r="B384" s="528"/>
      <c r="C384" s="528"/>
      <c r="D384" s="528"/>
      <c r="E384" s="528"/>
      <c r="F384" s="528"/>
      <c r="G384" s="528"/>
      <c r="H384" s="528"/>
      <c r="I384" s="528"/>
      <c r="J384" s="528"/>
      <c r="K384" s="528"/>
      <c r="L384" s="528"/>
      <c r="M384" s="528"/>
      <c r="N384" s="528"/>
      <c r="O384" s="528"/>
      <c r="P384" s="528"/>
      <c r="Q384" s="528"/>
      <c r="R384" s="528"/>
      <c r="S384" s="528"/>
      <c r="T384" s="528"/>
      <c r="U384" s="528"/>
      <c r="V384" s="528"/>
      <c r="W384" s="528"/>
      <c r="X384" s="528"/>
    </row>
    <row r="385" spans="1:24" x14ac:dyDescent="0.2">
      <c r="A385" s="119" t="s">
        <v>33</v>
      </c>
      <c r="B385" s="382" t="s">
        <v>42</v>
      </c>
      <c r="C385" s="382" t="s">
        <v>43</v>
      </c>
      <c r="D385" s="382" t="s">
        <v>34</v>
      </c>
      <c r="E385" s="382" t="s">
        <v>35</v>
      </c>
      <c r="F385" s="382" t="s">
        <v>36</v>
      </c>
      <c r="G385" s="382" t="s">
        <v>37</v>
      </c>
      <c r="H385" s="382" t="s">
        <v>38</v>
      </c>
      <c r="I385" s="382" t="s">
        <v>39</v>
      </c>
      <c r="J385" s="382" t="s">
        <v>40</v>
      </c>
      <c r="K385" s="382" t="s">
        <v>44</v>
      </c>
      <c r="L385" s="382" t="s">
        <v>28</v>
      </c>
      <c r="M385" s="19"/>
      <c r="N385" s="382" t="s">
        <v>42</v>
      </c>
      <c r="O385" s="382" t="s">
        <v>43</v>
      </c>
      <c r="P385" s="382" t="s">
        <v>34</v>
      </c>
      <c r="Q385" s="382" t="s">
        <v>35</v>
      </c>
      <c r="R385" s="382" t="s">
        <v>36</v>
      </c>
      <c r="S385" s="382" t="s">
        <v>37</v>
      </c>
      <c r="T385" s="382" t="s">
        <v>38</v>
      </c>
      <c r="U385" s="382" t="s">
        <v>39</v>
      </c>
      <c r="V385" s="382" t="s">
        <v>40</v>
      </c>
      <c r="W385" s="382" t="s">
        <v>44</v>
      </c>
      <c r="X385" s="382" t="s">
        <v>28</v>
      </c>
    </row>
    <row r="386" spans="1:24" x14ac:dyDescent="0.2">
      <c r="B386" s="529" t="s">
        <v>67</v>
      </c>
      <c r="C386" s="529"/>
      <c r="D386" s="529"/>
      <c r="E386" s="529"/>
      <c r="F386" s="529"/>
      <c r="G386" s="529"/>
      <c r="H386" s="529"/>
      <c r="I386" s="529"/>
      <c r="J386" s="529"/>
      <c r="K386" s="529"/>
      <c r="L386" s="529"/>
      <c r="M386" s="19"/>
      <c r="N386" s="529" t="s">
        <v>68</v>
      </c>
      <c r="O386" s="529"/>
      <c r="P386" s="529"/>
      <c r="Q386" s="529"/>
      <c r="R386" s="529"/>
      <c r="S386" s="529"/>
      <c r="T386" s="529"/>
      <c r="U386" s="529"/>
      <c r="V386" s="529"/>
      <c r="W386" s="529"/>
      <c r="X386" s="529"/>
    </row>
    <row r="387" spans="1:24" x14ac:dyDescent="0.2">
      <c r="A387" s="418" t="str">
        <f>A192</f>
        <v>Monterey</v>
      </c>
    </row>
    <row r="388" spans="1:24" x14ac:dyDescent="0.2">
      <c r="A388" s="383" t="s">
        <v>87</v>
      </c>
      <c r="B388" s="200">
        <f t="shared" ref="B388:L388" si="232">AVERAGE(B203:B207)</f>
        <v>1119.8</v>
      </c>
      <c r="C388" s="200">
        <f t="shared" si="232"/>
        <v>4311.6000000000004</v>
      </c>
      <c r="D388" s="200">
        <f t="shared" si="232"/>
        <v>9407</v>
      </c>
      <c r="E388" s="200">
        <f t="shared" si="232"/>
        <v>1362.4</v>
      </c>
      <c r="F388" s="200">
        <f t="shared" si="232"/>
        <v>4126.3999999999996</v>
      </c>
      <c r="G388" s="200">
        <f t="shared" si="232"/>
        <v>7466.8</v>
      </c>
      <c r="H388" s="200">
        <f t="shared" si="232"/>
        <v>1704.4</v>
      </c>
      <c r="I388" s="200">
        <f t="shared" si="232"/>
        <v>167.4</v>
      </c>
      <c r="J388" s="200">
        <f t="shared" si="232"/>
        <v>129</v>
      </c>
      <c r="K388" s="200">
        <f t="shared" si="232"/>
        <v>224.8</v>
      </c>
      <c r="L388" s="200">
        <f t="shared" si="232"/>
        <v>30019.599999999999</v>
      </c>
      <c r="N388" s="200">
        <f t="shared" ref="N388:X388" si="233">AVERAGE(N203:N207)</f>
        <v>0</v>
      </c>
      <c r="O388" s="200">
        <f t="shared" si="233"/>
        <v>0</v>
      </c>
      <c r="P388" s="200">
        <f t="shared" si="233"/>
        <v>17.600000000000001</v>
      </c>
      <c r="Q388" s="200">
        <f t="shared" si="233"/>
        <v>14.8</v>
      </c>
      <c r="R388" s="200">
        <f t="shared" si="233"/>
        <v>101.4</v>
      </c>
      <c r="S388" s="200">
        <f t="shared" si="233"/>
        <v>143.6</v>
      </c>
      <c r="T388" s="200">
        <f t="shared" si="233"/>
        <v>28.4</v>
      </c>
      <c r="U388" s="200">
        <f t="shared" si="233"/>
        <v>0.6</v>
      </c>
      <c r="V388" s="200">
        <f t="shared" si="233"/>
        <v>0</v>
      </c>
      <c r="W388" s="200">
        <f t="shared" si="233"/>
        <v>0</v>
      </c>
      <c r="X388" s="200">
        <f t="shared" si="233"/>
        <v>306.39999999999998</v>
      </c>
    </row>
    <row r="389" spans="1:24" x14ac:dyDescent="0.2">
      <c r="A389" s="383" t="s">
        <v>14</v>
      </c>
      <c r="B389" s="200">
        <f>AVERAGE(B208:B212)</f>
        <v>292.25</v>
      </c>
      <c r="C389" s="200">
        <f t="shared" ref="C389:L389" si="234">AVERAGE(C208:C212)</f>
        <v>6001.2</v>
      </c>
      <c r="D389" s="200">
        <f t="shared" si="234"/>
        <v>14107.2</v>
      </c>
      <c r="E389" s="200">
        <f t="shared" si="234"/>
        <v>7456.8</v>
      </c>
      <c r="F389" s="200">
        <f t="shared" si="234"/>
        <v>7574.2</v>
      </c>
      <c r="G389" s="200">
        <f t="shared" si="234"/>
        <v>18690.2</v>
      </c>
      <c r="H389" s="200">
        <f t="shared" si="234"/>
        <v>2518.6</v>
      </c>
      <c r="I389" s="200">
        <f t="shared" si="234"/>
        <v>247.8</v>
      </c>
      <c r="J389" s="200">
        <f t="shared" si="234"/>
        <v>1032.25</v>
      </c>
      <c r="K389" s="200">
        <f t="shared" si="234"/>
        <v>372</v>
      </c>
      <c r="L389" s="200">
        <f t="shared" si="234"/>
        <v>57730</v>
      </c>
      <c r="N389" s="200">
        <f t="shared" ref="N389:X389" si="235">AVERAGE(N208:N212)</f>
        <v>0</v>
      </c>
      <c r="O389" s="200">
        <f t="shared" si="235"/>
        <v>0</v>
      </c>
      <c r="P389" s="200">
        <f t="shared" si="235"/>
        <v>1.5</v>
      </c>
      <c r="Q389" s="200">
        <f t="shared" si="235"/>
        <v>12.2</v>
      </c>
      <c r="R389" s="200">
        <f t="shared" si="235"/>
        <v>245.4</v>
      </c>
      <c r="S389" s="200">
        <f t="shared" si="235"/>
        <v>360.8</v>
      </c>
      <c r="T389" s="200">
        <f t="shared" si="235"/>
        <v>33.799999999999997</v>
      </c>
      <c r="U389" s="200">
        <f t="shared" si="235"/>
        <v>0</v>
      </c>
      <c r="V389" s="200">
        <f t="shared" si="235"/>
        <v>5.666666666666667</v>
      </c>
      <c r="W389" s="200">
        <f t="shared" si="235"/>
        <v>0</v>
      </c>
      <c r="X389" s="200">
        <f t="shared" si="235"/>
        <v>656.8</v>
      </c>
    </row>
    <row r="390" spans="1:24" x14ac:dyDescent="0.2">
      <c r="A390" s="383" t="s">
        <v>207</v>
      </c>
      <c r="B390" s="200" t="s">
        <v>29</v>
      </c>
      <c r="C390" s="200">
        <f t="shared" ref="C390:I390" si="236">AVERAGE(C213:C217)</f>
        <v>7762.5</v>
      </c>
      <c r="D390" s="200">
        <f t="shared" si="236"/>
        <v>15030</v>
      </c>
      <c r="E390" s="200">
        <f t="shared" si="236"/>
        <v>7820</v>
      </c>
      <c r="F390" s="200">
        <f t="shared" si="236"/>
        <v>11022.6</v>
      </c>
      <c r="G390" s="200">
        <f t="shared" si="236"/>
        <v>9943.2000000000007</v>
      </c>
      <c r="H390" s="200">
        <f t="shared" si="236"/>
        <v>1908.4</v>
      </c>
      <c r="I390" s="200">
        <f t="shared" si="236"/>
        <v>489.5</v>
      </c>
      <c r="J390" s="200" t="s">
        <v>29</v>
      </c>
      <c r="K390" s="200" t="s">
        <v>29</v>
      </c>
      <c r="L390" s="200">
        <f>AVERAGE(L213:L217)</f>
        <v>52325.8</v>
      </c>
      <c r="N390" s="200" t="s">
        <v>29</v>
      </c>
      <c r="O390" s="200" t="s">
        <v>29</v>
      </c>
      <c r="P390" s="200" t="s">
        <v>29</v>
      </c>
      <c r="Q390" s="200" t="s">
        <v>29</v>
      </c>
      <c r="R390" s="200">
        <f>AVERAGE(R213:R217)</f>
        <v>19.333333333333332</v>
      </c>
      <c r="S390" s="200">
        <f>AVERAGE(S213:S217)</f>
        <v>12</v>
      </c>
      <c r="T390" s="200">
        <f>AVERAGE(T213:T217)</f>
        <v>4</v>
      </c>
      <c r="U390" s="200" t="s">
        <v>29</v>
      </c>
      <c r="V390" s="200" t="s">
        <v>29</v>
      </c>
      <c r="W390" s="200" t="s">
        <v>29</v>
      </c>
      <c r="X390" s="200">
        <f>AVERAGE(X213:X217)</f>
        <v>19.600000000000001</v>
      </c>
    </row>
    <row r="391" spans="1:24" x14ac:dyDescent="0.2">
      <c r="A391" s="383" t="s">
        <v>238</v>
      </c>
      <c r="B391" s="200" t="str">
        <f>B218</f>
        <v>-</v>
      </c>
      <c r="C391" s="200">
        <f t="shared" ref="C391:I391" si="237">AVERAGE(C218:C222)</f>
        <v>2234.6666666666665</v>
      </c>
      <c r="D391" s="200">
        <f t="shared" si="237"/>
        <v>15936.6</v>
      </c>
      <c r="E391" s="200">
        <f t="shared" si="237"/>
        <v>3242.8</v>
      </c>
      <c r="F391" s="200">
        <f t="shared" si="237"/>
        <v>4291.8</v>
      </c>
      <c r="G391" s="200">
        <f t="shared" si="237"/>
        <v>5966.6</v>
      </c>
      <c r="H391" s="200">
        <f t="shared" si="237"/>
        <v>440.4</v>
      </c>
      <c r="I391" s="200">
        <f t="shared" si="237"/>
        <v>81</v>
      </c>
      <c r="J391" s="60" t="s">
        <v>116</v>
      </c>
      <c r="K391" s="200" t="s">
        <v>29</v>
      </c>
      <c r="L391" s="200">
        <f>AVERAGE(L218:L222)</f>
        <v>31283.8</v>
      </c>
      <c r="N391" s="200" t="str">
        <f t="shared" ref="N391:W391" si="238">N218</f>
        <v>-</v>
      </c>
      <c r="O391" s="200" t="str">
        <f t="shared" si="238"/>
        <v>-</v>
      </c>
      <c r="P391" s="200">
        <f>AVERAGE(P218:P222)</f>
        <v>4</v>
      </c>
      <c r="Q391" s="200">
        <f>AVERAGE(Q218:Q222)</f>
        <v>82</v>
      </c>
      <c r="R391" s="200">
        <f>AVERAGE(R218:R222)</f>
        <v>40</v>
      </c>
      <c r="S391" s="200">
        <f>AVERAGE(S218:S222)</f>
        <v>34</v>
      </c>
      <c r="T391" s="200" t="str">
        <f t="shared" si="238"/>
        <v>-</v>
      </c>
      <c r="U391" s="200" t="str">
        <f t="shared" si="238"/>
        <v>-</v>
      </c>
      <c r="V391" s="200" t="str">
        <f t="shared" si="238"/>
        <v>-</v>
      </c>
      <c r="W391" s="200" t="str">
        <f t="shared" si="238"/>
        <v>-</v>
      </c>
      <c r="X391" s="200">
        <f>AVERAGE(X218:X222)</f>
        <v>124</v>
      </c>
    </row>
    <row r="392" spans="1:24" x14ac:dyDescent="0.2">
      <c r="A392" s="383">
        <v>2006</v>
      </c>
      <c r="B392" s="200" t="str">
        <f t="shared" ref="B392:L392" si="239">B223</f>
        <v>-</v>
      </c>
      <c r="C392" s="200" t="str">
        <f t="shared" si="239"/>
        <v>-</v>
      </c>
      <c r="D392" s="200">
        <f t="shared" si="239"/>
        <v>7350</v>
      </c>
      <c r="E392" s="200">
        <f t="shared" si="239"/>
        <v>399</v>
      </c>
      <c r="F392" s="200">
        <f t="shared" si="239"/>
        <v>1318</v>
      </c>
      <c r="G392" s="200">
        <f t="shared" si="239"/>
        <v>1893</v>
      </c>
      <c r="H392" s="200">
        <f t="shared" si="239"/>
        <v>0</v>
      </c>
      <c r="I392" s="200">
        <f t="shared" si="239"/>
        <v>10</v>
      </c>
      <c r="J392" s="200" t="str">
        <f t="shared" si="239"/>
        <v>-</v>
      </c>
      <c r="K392" s="200" t="str">
        <f t="shared" si="239"/>
        <v>-</v>
      </c>
      <c r="L392" s="200">
        <f t="shared" si="239"/>
        <v>10970</v>
      </c>
      <c r="N392" s="200" t="str">
        <f t="shared" ref="N392:X392" si="240">N223</f>
        <v>-</v>
      </c>
      <c r="O392" s="200" t="str">
        <f t="shared" si="240"/>
        <v>-</v>
      </c>
      <c r="P392" s="200" t="str">
        <f t="shared" si="240"/>
        <v>-</v>
      </c>
      <c r="Q392" s="200">
        <f t="shared" si="240"/>
        <v>32</v>
      </c>
      <c r="R392" s="200">
        <f t="shared" si="240"/>
        <v>204</v>
      </c>
      <c r="S392" s="200">
        <f t="shared" si="240"/>
        <v>102</v>
      </c>
      <c r="T392" s="200" t="str">
        <f t="shared" si="240"/>
        <v>-</v>
      </c>
      <c r="U392" s="200" t="str">
        <f t="shared" si="240"/>
        <v>-</v>
      </c>
      <c r="V392" s="200" t="str">
        <f t="shared" si="240"/>
        <v>-</v>
      </c>
      <c r="W392" s="200" t="str">
        <f t="shared" si="240"/>
        <v>-</v>
      </c>
      <c r="X392" s="200">
        <f t="shared" si="240"/>
        <v>338</v>
      </c>
    </row>
    <row r="393" spans="1:24" s="374" customFormat="1" x14ac:dyDescent="0.2">
      <c r="A393" s="402">
        <v>2007</v>
      </c>
      <c r="B393" s="203" t="str">
        <f t="shared" ref="B393:I393" si="241">B224</f>
        <v>-</v>
      </c>
      <c r="C393" s="203" t="str">
        <f t="shared" si="241"/>
        <v>-</v>
      </c>
      <c r="D393" s="203">
        <f t="shared" si="241"/>
        <v>2289</v>
      </c>
      <c r="E393" s="203">
        <f t="shared" si="241"/>
        <v>735</v>
      </c>
      <c r="F393" s="203">
        <f t="shared" si="241"/>
        <v>2098</v>
      </c>
      <c r="G393" s="203">
        <f t="shared" si="241"/>
        <v>681</v>
      </c>
      <c r="H393" s="203">
        <f t="shared" si="241"/>
        <v>346</v>
      </c>
      <c r="I393" s="203">
        <f t="shared" si="241"/>
        <v>112</v>
      </c>
      <c r="J393" s="203">
        <v>0</v>
      </c>
      <c r="K393" s="203" t="str">
        <f t="shared" ref="K393:L395" si="242">K224</f>
        <v>-</v>
      </c>
      <c r="L393" s="203">
        <f t="shared" si="242"/>
        <v>6261</v>
      </c>
      <c r="M393" s="197"/>
      <c r="N393" s="203" t="str">
        <f t="shared" ref="N393:X393" si="243">N224</f>
        <v>-</v>
      </c>
      <c r="O393" s="203" t="str">
        <f t="shared" si="243"/>
        <v>-</v>
      </c>
      <c r="P393" s="203" t="str">
        <f t="shared" si="243"/>
        <v>-</v>
      </c>
      <c r="Q393" s="203">
        <f t="shared" si="243"/>
        <v>16</v>
      </c>
      <c r="R393" s="203">
        <f t="shared" si="243"/>
        <v>69</v>
      </c>
      <c r="S393" s="203">
        <f t="shared" si="243"/>
        <v>23</v>
      </c>
      <c r="T393" s="203">
        <f t="shared" si="243"/>
        <v>12</v>
      </c>
      <c r="U393" s="203" t="str">
        <f t="shared" si="243"/>
        <v>-</v>
      </c>
      <c r="V393" s="203" t="str">
        <f t="shared" si="243"/>
        <v>-</v>
      </c>
      <c r="W393" s="203" t="str">
        <f t="shared" si="243"/>
        <v>-</v>
      </c>
      <c r="X393" s="203">
        <f t="shared" si="243"/>
        <v>120</v>
      </c>
    </row>
    <row r="394" spans="1:24" s="374" customFormat="1" x14ac:dyDescent="0.2">
      <c r="A394" s="402">
        <v>2008</v>
      </c>
      <c r="B394" s="203" t="str">
        <f t="shared" ref="B394:J394" si="244">B225</f>
        <v>-</v>
      </c>
      <c r="C394" s="203" t="str">
        <f t="shared" si="244"/>
        <v>-</v>
      </c>
      <c r="D394" s="203" t="str">
        <f t="shared" si="244"/>
        <v>-</v>
      </c>
      <c r="E394" s="203" t="str">
        <f t="shared" si="244"/>
        <v>-</v>
      </c>
      <c r="F394" s="203" t="str">
        <f t="shared" si="244"/>
        <v>-</v>
      </c>
      <c r="G394" s="203" t="str">
        <f t="shared" si="244"/>
        <v>-</v>
      </c>
      <c r="H394" s="203" t="str">
        <f t="shared" si="244"/>
        <v>-</v>
      </c>
      <c r="I394" s="203" t="str">
        <f t="shared" si="244"/>
        <v>-</v>
      </c>
      <c r="J394" s="203" t="str">
        <f t="shared" si="244"/>
        <v>-</v>
      </c>
      <c r="K394" s="203" t="str">
        <f t="shared" si="242"/>
        <v>-</v>
      </c>
      <c r="L394" s="203" t="str">
        <f t="shared" si="242"/>
        <v>-</v>
      </c>
      <c r="M394" s="197"/>
      <c r="N394" s="203" t="str">
        <f t="shared" ref="N394:X394" si="245">N225</f>
        <v>-</v>
      </c>
      <c r="O394" s="203" t="str">
        <f t="shared" si="245"/>
        <v>-</v>
      </c>
      <c r="P394" s="203" t="str">
        <f t="shared" si="245"/>
        <v>-</v>
      </c>
      <c r="Q394" s="203" t="str">
        <f t="shared" si="245"/>
        <v>-</v>
      </c>
      <c r="R394" s="203" t="str">
        <f t="shared" si="245"/>
        <v>-</v>
      </c>
      <c r="S394" s="203" t="str">
        <f t="shared" si="245"/>
        <v>-</v>
      </c>
      <c r="T394" s="203" t="str">
        <f t="shared" si="245"/>
        <v>-</v>
      </c>
      <c r="U394" s="203" t="str">
        <f t="shared" si="245"/>
        <v>-</v>
      </c>
      <c r="V394" s="203" t="str">
        <f t="shared" si="245"/>
        <v>-</v>
      </c>
      <c r="W394" s="203" t="str">
        <f t="shared" si="245"/>
        <v>-</v>
      </c>
      <c r="X394" s="203" t="str">
        <f t="shared" si="245"/>
        <v>-</v>
      </c>
    </row>
    <row r="395" spans="1:24" s="374" customFormat="1" x14ac:dyDescent="0.2">
      <c r="A395" s="402">
        <v>2009</v>
      </c>
      <c r="B395" s="203" t="str">
        <f t="shared" ref="B395:J395" si="246">B226</f>
        <v>-</v>
      </c>
      <c r="C395" s="203" t="str">
        <f t="shared" si="246"/>
        <v>-</v>
      </c>
      <c r="D395" s="203" t="str">
        <f t="shared" si="246"/>
        <v>-</v>
      </c>
      <c r="E395" s="203" t="str">
        <f t="shared" si="246"/>
        <v>-</v>
      </c>
      <c r="F395" s="203" t="str">
        <f t="shared" si="246"/>
        <v>-</v>
      </c>
      <c r="G395" s="203" t="str">
        <f t="shared" si="246"/>
        <v>-</v>
      </c>
      <c r="H395" s="203" t="str">
        <f t="shared" si="246"/>
        <v>-</v>
      </c>
      <c r="I395" s="203" t="str">
        <f t="shared" si="246"/>
        <v>-</v>
      </c>
      <c r="J395" s="203" t="str">
        <f t="shared" si="246"/>
        <v>-</v>
      </c>
      <c r="K395" s="203" t="str">
        <f t="shared" si="242"/>
        <v>-</v>
      </c>
      <c r="L395" s="203" t="str">
        <f t="shared" si="242"/>
        <v>-</v>
      </c>
      <c r="M395" s="197"/>
      <c r="N395" s="203" t="str">
        <f t="shared" ref="N395:X395" si="247">N226</f>
        <v>-</v>
      </c>
      <c r="O395" s="203" t="str">
        <f t="shared" si="247"/>
        <v>-</v>
      </c>
      <c r="P395" s="203" t="str">
        <f t="shared" si="247"/>
        <v>-</v>
      </c>
      <c r="Q395" s="203" t="str">
        <f t="shared" si="247"/>
        <v>-</v>
      </c>
      <c r="R395" s="203" t="str">
        <f t="shared" si="247"/>
        <v>-</v>
      </c>
      <c r="S395" s="203" t="str">
        <f t="shared" si="247"/>
        <v>-</v>
      </c>
      <c r="T395" s="203" t="str">
        <f t="shared" si="247"/>
        <v>-</v>
      </c>
      <c r="U395" s="203" t="str">
        <f t="shared" si="247"/>
        <v>-</v>
      </c>
      <c r="V395" s="203" t="str">
        <f t="shared" si="247"/>
        <v>-</v>
      </c>
      <c r="W395" s="203" t="str">
        <f t="shared" si="247"/>
        <v>-</v>
      </c>
      <c r="X395" s="203" t="str">
        <f t="shared" si="247"/>
        <v>-</v>
      </c>
    </row>
    <row r="396" spans="1:24" s="374" customFormat="1" x14ac:dyDescent="0.2">
      <c r="A396" s="402">
        <v>2010</v>
      </c>
      <c r="B396" s="203" t="str">
        <f t="shared" ref="B396:K396" si="248">B227</f>
        <v>-</v>
      </c>
      <c r="C396" s="203" t="str">
        <f t="shared" si="248"/>
        <v>-</v>
      </c>
      <c r="D396" s="203">
        <f t="shared" si="248"/>
        <v>4057</v>
      </c>
      <c r="E396" s="203">
        <f t="shared" si="248"/>
        <v>1692</v>
      </c>
      <c r="F396" s="203">
        <f t="shared" si="248"/>
        <v>5</v>
      </c>
      <c r="G396" s="203">
        <f t="shared" si="248"/>
        <v>387</v>
      </c>
      <c r="H396" s="203">
        <f t="shared" si="248"/>
        <v>154</v>
      </c>
      <c r="I396" s="203">
        <f t="shared" si="248"/>
        <v>0</v>
      </c>
      <c r="J396" s="203" t="str">
        <f t="shared" si="248"/>
        <v>-</v>
      </c>
      <c r="K396" s="203" t="str">
        <f t="shared" si="248"/>
        <v>-</v>
      </c>
      <c r="L396" s="203">
        <f>L227</f>
        <v>6295</v>
      </c>
      <c r="M396" s="197"/>
      <c r="N396" s="203" t="str">
        <f t="shared" ref="N396:X396" si="249">N227</f>
        <v>-</v>
      </c>
      <c r="O396" s="203" t="str">
        <f t="shared" si="249"/>
        <v>-</v>
      </c>
      <c r="P396" s="203">
        <f t="shared" si="249"/>
        <v>8</v>
      </c>
      <c r="Q396" s="203" t="str">
        <f t="shared" si="249"/>
        <v>-</v>
      </c>
      <c r="R396" s="203" t="str">
        <f t="shared" si="249"/>
        <v>-</v>
      </c>
      <c r="S396" s="203" t="str">
        <f t="shared" si="249"/>
        <v>-</v>
      </c>
      <c r="T396" s="203" t="str">
        <f t="shared" si="249"/>
        <v>-</v>
      </c>
      <c r="U396" s="203" t="str">
        <f t="shared" si="249"/>
        <v>-</v>
      </c>
      <c r="V396" s="203" t="str">
        <f t="shared" si="249"/>
        <v>-</v>
      </c>
      <c r="W396" s="203" t="str">
        <f t="shared" si="249"/>
        <v>-</v>
      </c>
      <c r="X396" s="203">
        <f t="shared" si="249"/>
        <v>8</v>
      </c>
    </row>
    <row r="397" spans="1:24" s="374" customFormat="1" x14ac:dyDescent="0.2">
      <c r="A397" s="402">
        <v>2011</v>
      </c>
      <c r="B397" s="203" t="str">
        <f t="shared" ref="B397:L397" si="250">B228</f>
        <v>-</v>
      </c>
      <c r="C397" s="203" t="str">
        <f t="shared" si="250"/>
        <v>-</v>
      </c>
      <c r="D397" s="203">
        <f t="shared" si="250"/>
        <v>4210</v>
      </c>
      <c r="E397" s="203">
        <f t="shared" si="250"/>
        <v>280</v>
      </c>
      <c r="F397" s="203">
        <f t="shared" si="250"/>
        <v>1170</v>
      </c>
      <c r="G397" s="203">
        <f t="shared" si="250"/>
        <v>3998</v>
      </c>
      <c r="H397" s="203">
        <f t="shared" si="250"/>
        <v>2369</v>
      </c>
      <c r="I397" s="203">
        <f t="shared" si="250"/>
        <v>676</v>
      </c>
      <c r="J397" s="203" t="str">
        <f t="shared" si="250"/>
        <v>-</v>
      </c>
      <c r="K397" s="203" t="str">
        <f t="shared" si="250"/>
        <v>-</v>
      </c>
      <c r="L397" s="203">
        <f t="shared" si="250"/>
        <v>12703</v>
      </c>
      <c r="M397" s="197"/>
      <c r="N397" s="203" t="str">
        <f t="shared" ref="N397:X397" si="251">N228</f>
        <v>-</v>
      </c>
      <c r="O397" s="203" t="str">
        <f t="shared" si="251"/>
        <v>-</v>
      </c>
      <c r="P397" s="203">
        <f t="shared" si="251"/>
        <v>8</v>
      </c>
      <c r="Q397" s="203">
        <f t="shared" si="251"/>
        <v>10</v>
      </c>
      <c r="R397" s="203">
        <f t="shared" si="251"/>
        <v>27</v>
      </c>
      <c r="S397" s="203">
        <f t="shared" si="251"/>
        <v>7</v>
      </c>
      <c r="T397" s="203">
        <f t="shared" si="251"/>
        <v>13</v>
      </c>
      <c r="U397" s="203" t="str">
        <f t="shared" si="251"/>
        <v>-</v>
      </c>
      <c r="V397" s="203" t="str">
        <f t="shared" si="251"/>
        <v>-</v>
      </c>
      <c r="W397" s="203" t="str">
        <f t="shared" si="251"/>
        <v>-</v>
      </c>
      <c r="X397" s="203">
        <f t="shared" si="251"/>
        <v>65</v>
      </c>
    </row>
    <row r="398" spans="1:24" s="374" customFormat="1" x14ac:dyDescent="0.2">
      <c r="A398" s="402">
        <v>2012</v>
      </c>
      <c r="B398" s="203" t="str">
        <f t="shared" ref="B398:L398" si="252">B229</f>
        <v>-</v>
      </c>
      <c r="C398" s="203" t="str">
        <f t="shared" si="252"/>
        <v>-</v>
      </c>
      <c r="D398" s="203">
        <f t="shared" si="252"/>
        <v>14535</v>
      </c>
      <c r="E398" s="203">
        <f t="shared" si="252"/>
        <v>4473</v>
      </c>
      <c r="F398" s="203">
        <f t="shared" si="252"/>
        <v>4376</v>
      </c>
      <c r="G398" s="203">
        <f t="shared" si="252"/>
        <v>6268</v>
      </c>
      <c r="H398" s="203">
        <f t="shared" si="252"/>
        <v>462</v>
      </c>
      <c r="I398" s="203">
        <f t="shared" si="252"/>
        <v>121</v>
      </c>
      <c r="J398" s="203">
        <f t="shared" si="252"/>
        <v>129</v>
      </c>
      <c r="K398" s="203" t="str">
        <f t="shared" si="252"/>
        <v>-</v>
      </c>
      <c r="L398" s="203">
        <f t="shared" si="252"/>
        <v>30364</v>
      </c>
      <c r="M398" s="197"/>
      <c r="N398" s="203" t="str">
        <f t="shared" ref="N398:X398" si="253">N229</f>
        <v>-</v>
      </c>
      <c r="O398" s="203" t="str">
        <f t="shared" si="253"/>
        <v>-</v>
      </c>
      <c r="P398" s="203" t="str">
        <f t="shared" si="253"/>
        <v>-</v>
      </c>
      <c r="Q398" s="203" t="str">
        <f t="shared" si="253"/>
        <v>-</v>
      </c>
      <c r="R398" s="203">
        <f t="shared" si="253"/>
        <v>1</v>
      </c>
      <c r="S398" s="203" t="str">
        <f t="shared" si="253"/>
        <v>-</v>
      </c>
      <c r="T398" s="203" t="str">
        <f t="shared" si="253"/>
        <v>-</v>
      </c>
      <c r="U398" s="203" t="str">
        <f t="shared" si="253"/>
        <v>-</v>
      </c>
      <c r="V398" s="203" t="str">
        <f t="shared" si="253"/>
        <v>-</v>
      </c>
      <c r="W398" s="203" t="str">
        <f t="shared" si="253"/>
        <v>-</v>
      </c>
      <c r="X398" s="203">
        <f t="shared" si="253"/>
        <v>1</v>
      </c>
    </row>
    <row r="399" spans="1:24" s="374" customFormat="1" x14ac:dyDescent="0.2">
      <c r="A399" s="402">
        <v>2013</v>
      </c>
      <c r="B399" s="203" t="str">
        <f t="shared" ref="B399:L399" si="254">B230</f>
        <v>-</v>
      </c>
      <c r="C399" s="203" t="str">
        <f t="shared" si="254"/>
        <v>-</v>
      </c>
      <c r="D399" s="203">
        <f t="shared" si="254"/>
        <v>5225</v>
      </c>
      <c r="E399" s="203">
        <f t="shared" si="254"/>
        <v>1624</v>
      </c>
      <c r="F399" s="203">
        <f t="shared" si="254"/>
        <v>1066</v>
      </c>
      <c r="G399" s="203">
        <f t="shared" si="254"/>
        <v>2261</v>
      </c>
      <c r="H399" s="203">
        <f t="shared" si="254"/>
        <v>440</v>
      </c>
      <c r="I399" s="203">
        <f t="shared" si="254"/>
        <v>18</v>
      </c>
      <c r="J399" s="203">
        <f t="shared" si="254"/>
        <v>0</v>
      </c>
      <c r="K399" s="203" t="str">
        <f t="shared" si="254"/>
        <v>-</v>
      </c>
      <c r="L399" s="203">
        <f t="shared" si="254"/>
        <v>10634</v>
      </c>
      <c r="M399" s="197"/>
      <c r="N399" s="203" t="str">
        <f t="shared" ref="N399:X399" si="255">N230</f>
        <v>-</v>
      </c>
      <c r="O399" s="203" t="str">
        <f t="shared" si="255"/>
        <v>-</v>
      </c>
      <c r="P399" s="203" t="str">
        <f t="shared" si="255"/>
        <v>-</v>
      </c>
      <c r="Q399" s="203" t="str">
        <f t="shared" si="255"/>
        <v>-</v>
      </c>
      <c r="R399" s="203">
        <f t="shared" si="255"/>
        <v>1</v>
      </c>
      <c r="S399" s="203">
        <f t="shared" si="255"/>
        <v>4</v>
      </c>
      <c r="T399" s="203" t="str">
        <f t="shared" si="255"/>
        <v>-</v>
      </c>
      <c r="U399" s="203" t="str">
        <f t="shared" si="255"/>
        <v>-</v>
      </c>
      <c r="V399" s="203" t="str">
        <f t="shared" si="255"/>
        <v>-</v>
      </c>
      <c r="W399" s="203" t="str">
        <f t="shared" si="255"/>
        <v>-</v>
      </c>
      <c r="X399" s="203">
        <f t="shared" si="255"/>
        <v>5</v>
      </c>
    </row>
    <row r="400" spans="1:24" s="374" customFormat="1" x14ac:dyDescent="0.2">
      <c r="A400" s="402">
        <v>2014</v>
      </c>
      <c r="B400" s="203" t="str">
        <f t="shared" ref="B400:L400" si="256">B231</f>
        <v>-</v>
      </c>
      <c r="C400" s="203" t="str">
        <f t="shared" si="256"/>
        <v>-</v>
      </c>
      <c r="D400" s="203">
        <f t="shared" si="256"/>
        <v>11356</v>
      </c>
      <c r="E400" s="203">
        <f t="shared" si="256"/>
        <v>964</v>
      </c>
      <c r="F400" s="203">
        <f t="shared" si="256"/>
        <v>782</v>
      </c>
      <c r="G400" s="203">
        <f t="shared" si="256"/>
        <v>613</v>
      </c>
      <c r="H400" s="203">
        <f t="shared" si="256"/>
        <v>267</v>
      </c>
      <c r="I400" s="203">
        <f t="shared" si="256"/>
        <v>34</v>
      </c>
      <c r="J400" s="203">
        <f t="shared" si="256"/>
        <v>4</v>
      </c>
      <c r="K400" s="203" t="str">
        <f t="shared" si="256"/>
        <v>-</v>
      </c>
      <c r="L400" s="203">
        <f t="shared" si="256"/>
        <v>14020</v>
      </c>
      <c r="M400" s="197"/>
      <c r="N400" s="203" t="str">
        <f t="shared" ref="N400:X400" si="257">N231</f>
        <v>-</v>
      </c>
      <c r="O400" s="203" t="str">
        <f t="shared" si="257"/>
        <v>-</v>
      </c>
      <c r="P400" s="203" t="str">
        <f t="shared" si="257"/>
        <v>-</v>
      </c>
      <c r="Q400" s="203" t="str">
        <f t="shared" si="257"/>
        <v>-</v>
      </c>
      <c r="R400" s="203">
        <f t="shared" si="257"/>
        <v>12</v>
      </c>
      <c r="S400" s="203" t="str">
        <f t="shared" si="257"/>
        <v>-</v>
      </c>
      <c r="T400" s="203" t="str">
        <f t="shared" si="257"/>
        <v>-</v>
      </c>
      <c r="U400" s="203" t="str">
        <f t="shared" si="257"/>
        <v>-</v>
      </c>
      <c r="V400" s="203" t="str">
        <f t="shared" si="257"/>
        <v>-</v>
      </c>
      <c r="W400" s="203" t="str">
        <f t="shared" si="257"/>
        <v>-</v>
      </c>
      <c r="X400" s="203">
        <f t="shared" si="257"/>
        <v>12</v>
      </c>
    </row>
    <row r="401" spans="1:24" s="374" customFormat="1" x14ac:dyDescent="0.2">
      <c r="A401" s="402">
        <v>2015</v>
      </c>
      <c r="B401" s="203" t="str">
        <f t="shared" ref="B401:L401" si="258">B232</f>
        <v>-</v>
      </c>
      <c r="C401" s="203" t="str">
        <f t="shared" si="258"/>
        <v>-</v>
      </c>
      <c r="D401" s="203">
        <f t="shared" si="258"/>
        <v>1697</v>
      </c>
      <c r="E401" s="203">
        <f t="shared" si="258"/>
        <v>490</v>
      </c>
      <c r="F401" s="203">
        <f t="shared" si="258"/>
        <v>543</v>
      </c>
      <c r="G401" s="203">
        <f t="shared" si="258"/>
        <v>313</v>
      </c>
      <c r="H401" s="203">
        <f t="shared" si="258"/>
        <v>27</v>
      </c>
      <c r="I401" s="203">
        <f t="shared" si="258"/>
        <v>0</v>
      </c>
      <c r="J401" s="203" t="str">
        <f t="shared" si="258"/>
        <v>-</v>
      </c>
      <c r="K401" s="203" t="str">
        <f t="shared" si="258"/>
        <v>-</v>
      </c>
      <c r="L401" s="203">
        <f t="shared" si="258"/>
        <v>3070</v>
      </c>
      <c r="M401" s="197"/>
      <c r="N401" s="203" t="str">
        <f t="shared" ref="N401:X401" si="259">N232</f>
        <v>-</v>
      </c>
      <c r="O401" s="203" t="str">
        <f t="shared" si="259"/>
        <v>-</v>
      </c>
      <c r="P401" s="203" t="str">
        <f t="shared" si="259"/>
        <v>-</v>
      </c>
      <c r="Q401" s="203" t="str">
        <f t="shared" si="259"/>
        <v>-</v>
      </c>
      <c r="R401" s="203" t="str">
        <f t="shared" si="259"/>
        <v>-</v>
      </c>
      <c r="S401" s="203" t="str">
        <f t="shared" si="259"/>
        <v>-</v>
      </c>
      <c r="T401" s="203" t="str">
        <f t="shared" si="259"/>
        <v>-</v>
      </c>
      <c r="U401" s="203" t="str">
        <f t="shared" si="259"/>
        <v>-</v>
      </c>
      <c r="V401" s="203" t="str">
        <f t="shared" si="259"/>
        <v>-</v>
      </c>
      <c r="W401" s="203" t="str">
        <f t="shared" si="259"/>
        <v>-</v>
      </c>
      <c r="X401" s="203" t="str">
        <f t="shared" si="259"/>
        <v>-</v>
      </c>
    </row>
    <row r="402" spans="1:24" s="374" customFormat="1" x14ac:dyDescent="0.2">
      <c r="A402" s="402">
        <v>2016</v>
      </c>
      <c r="B402" s="203" t="str">
        <f t="shared" ref="B402:L402" si="260">B233</f>
        <v>-</v>
      </c>
      <c r="C402" s="203" t="str">
        <f t="shared" si="260"/>
        <v>-</v>
      </c>
      <c r="D402" s="203">
        <f t="shared" si="260"/>
        <v>716</v>
      </c>
      <c r="E402" s="203">
        <f t="shared" si="260"/>
        <v>572</v>
      </c>
      <c r="F402" s="203">
        <f t="shared" si="260"/>
        <v>47</v>
      </c>
      <c r="G402" s="203">
        <f t="shared" si="260"/>
        <v>0</v>
      </c>
      <c r="H402" s="203" t="str">
        <f t="shared" si="260"/>
        <v>-</v>
      </c>
      <c r="I402" s="203" t="str">
        <f t="shared" si="260"/>
        <v>-</v>
      </c>
      <c r="J402" s="203" t="str">
        <f t="shared" si="260"/>
        <v>-</v>
      </c>
      <c r="K402" s="203" t="str">
        <f t="shared" si="260"/>
        <v>-</v>
      </c>
      <c r="L402" s="203">
        <f t="shared" si="260"/>
        <v>1335</v>
      </c>
      <c r="M402" s="197"/>
      <c r="N402" s="203" t="str">
        <f t="shared" ref="N402:X402" si="261">N233</f>
        <v>-</v>
      </c>
      <c r="O402" s="203" t="str">
        <f t="shared" si="261"/>
        <v>-</v>
      </c>
      <c r="P402" s="203" t="str">
        <f t="shared" si="261"/>
        <v>-</v>
      </c>
      <c r="Q402" s="203" t="str">
        <f t="shared" si="261"/>
        <v>-</v>
      </c>
      <c r="R402" s="203" t="str">
        <f t="shared" si="261"/>
        <v>-</v>
      </c>
      <c r="S402" s="203" t="str">
        <f t="shared" si="261"/>
        <v>-</v>
      </c>
      <c r="T402" s="203" t="str">
        <f t="shared" si="261"/>
        <v>-</v>
      </c>
      <c r="U402" s="203" t="str">
        <f t="shared" si="261"/>
        <v>-</v>
      </c>
      <c r="V402" s="203" t="str">
        <f t="shared" si="261"/>
        <v>-</v>
      </c>
      <c r="W402" s="203" t="str">
        <f t="shared" si="261"/>
        <v>-</v>
      </c>
      <c r="X402" s="203" t="str">
        <f t="shared" si="261"/>
        <v>-</v>
      </c>
    </row>
    <row r="403" spans="1:24" s="374" customFormat="1" x14ac:dyDescent="0.2">
      <c r="A403" s="402">
        <v>2017</v>
      </c>
      <c r="B403" s="203" t="str">
        <f t="shared" ref="B403:L403" si="262">B234</f>
        <v>-</v>
      </c>
      <c r="C403" s="203" t="str">
        <f t="shared" si="262"/>
        <v>-</v>
      </c>
      <c r="D403" s="203">
        <f t="shared" si="262"/>
        <v>3878</v>
      </c>
      <c r="E403" s="203">
        <f t="shared" si="262"/>
        <v>449</v>
      </c>
      <c r="F403" s="203">
        <f t="shared" si="262"/>
        <v>192</v>
      </c>
      <c r="G403" s="203">
        <f t="shared" si="262"/>
        <v>2035</v>
      </c>
      <c r="H403" s="203" t="str">
        <f t="shared" si="262"/>
        <v>-</v>
      </c>
      <c r="I403" s="203" t="str">
        <f t="shared" si="262"/>
        <v>-</v>
      </c>
      <c r="J403" s="203" t="str">
        <f t="shared" si="262"/>
        <v>-</v>
      </c>
      <c r="K403" s="203" t="str">
        <f t="shared" si="262"/>
        <v>-</v>
      </c>
      <c r="L403" s="203">
        <f t="shared" si="262"/>
        <v>6554</v>
      </c>
      <c r="M403" s="197"/>
      <c r="N403" s="203" t="str">
        <f t="shared" ref="N403:X403" si="263">N234</f>
        <v>-</v>
      </c>
      <c r="O403" s="203" t="str">
        <f t="shared" si="263"/>
        <v>-</v>
      </c>
      <c r="P403" s="203" t="str">
        <f t="shared" si="263"/>
        <v>-</v>
      </c>
      <c r="Q403" s="203" t="str">
        <f t="shared" si="263"/>
        <v>-</v>
      </c>
      <c r="R403" s="203" t="str">
        <f t="shared" si="263"/>
        <v>-</v>
      </c>
      <c r="S403" s="203">
        <f t="shared" si="263"/>
        <v>96</v>
      </c>
      <c r="T403" s="203" t="str">
        <f t="shared" si="263"/>
        <v>-</v>
      </c>
      <c r="U403" s="203" t="str">
        <f t="shared" si="263"/>
        <v>-</v>
      </c>
      <c r="V403" s="203" t="str">
        <f t="shared" si="263"/>
        <v>-</v>
      </c>
      <c r="W403" s="203" t="str">
        <f t="shared" si="263"/>
        <v>-</v>
      </c>
      <c r="X403" s="203">
        <f t="shared" si="263"/>
        <v>96</v>
      </c>
    </row>
    <row r="404" spans="1:24" s="374" customFormat="1" x14ac:dyDescent="0.2">
      <c r="A404" s="122">
        <v>2018</v>
      </c>
      <c r="B404" s="203" t="str">
        <f t="shared" ref="B404:L404" si="264">B235</f>
        <v>-</v>
      </c>
      <c r="C404" s="203" t="str">
        <f t="shared" si="264"/>
        <v>-</v>
      </c>
      <c r="D404" s="203">
        <f t="shared" si="264"/>
        <v>3935</v>
      </c>
      <c r="E404" s="203">
        <f t="shared" si="264"/>
        <v>476</v>
      </c>
      <c r="F404" s="203">
        <f t="shared" si="264"/>
        <v>1157</v>
      </c>
      <c r="G404" s="203">
        <f t="shared" si="264"/>
        <v>123</v>
      </c>
      <c r="H404" s="203" t="str">
        <f t="shared" si="264"/>
        <v>-</v>
      </c>
      <c r="I404" s="203" t="str">
        <f t="shared" si="264"/>
        <v>-</v>
      </c>
      <c r="J404" s="203" t="str">
        <f t="shared" si="264"/>
        <v>-</v>
      </c>
      <c r="K404" s="203" t="str">
        <f t="shared" si="264"/>
        <v>-</v>
      </c>
      <c r="L404" s="203">
        <f t="shared" si="264"/>
        <v>5691</v>
      </c>
      <c r="M404" s="197"/>
      <c r="N404" s="203" t="str">
        <f t="shared" ref="N404:X404" si="265">N235</f>
        <v>-</v>
      </c>
      <c r="O404" s="203" t="str">
        <f t="shared" si="265"/>
        <v>-</v>
      </c>
      <c r="P404" s="203" t="str">
        <f t="shared" si="265"/>
        <v>-</v>
      </c>
      <c r="Q404" s="203" t="str">
        <f t="shared" si="265"/>
        <v>-</v>
      </c>
      <c r="R404" s="203" t="str">
        <f t="shared" si="265"/>
        <v>-</v>
      </c>
      <c r="S404" s="203" t="str">
        <f t="shared" si="265"/>
        <v>-</v>
      </c>
      <c r="T404" s="203" t="str">
        <f t="shared" si="265"/>
        <v>-</v>
      </c>
      <c r="U404" s="203" t="str">
        <f t="shared" si="265"/>
        <v>-</v>
      </c>
      <c r="V404" s="203" t="str">
        <f t="shared" si="265"/>
        <v>-</v>
      </c>
      <c r="W404" s="203" t="str">
        <f t="shared" si="265"/>
        <v>-</v>
      </c>
      <c r="X404" s="203" t="str">
        <f t="shared" si="265"/>
        <v>-</v>
      </c>
    </row>
    <row r="405" spans="1:24" s="487" customFormat="1" x14ac:dyDescent="0.2">
      <c r="A405" s="496" t="s">
        <v>398</v>
      </c>
      <c r="B405" s="203" t="str">
        <f t="shared" ref="B405:L406" si="266">B236</f>
        <v>-</v>
      </c>
      <c r="C405" s="203" t="str">
        <f t="shared" si="266"/>
        <v>-</v>
      </c>
      <c r="D405" s="203">
        <f t="shared" si="266"/>
        <v>13592</v>
      </c>
      <c r="E405" s="203">
        <f t="shared" si="266"/>
        <v>1437</v>
      </c>
      <c r="F405" s="203">
        <f t="shared" si="266"/>
        <v>2159</v>
      </c>
      <c r="G405" s="203">
        <f t="shared" si="266"/>
        <v>2636</v>
      </c>
      <c r="H405" s="203">
        <f t="shared" si="266"/>
        <v>3279</v>
      </c>
      <c r="I405" s="203" t="str">
        <f t="shared" si="266"/>
        <v>-</v>
      </c>
      <c r="J405" s="203" t="str">
        <f t="shared" si="266"/>
        <v>-</v>
      </c>
      <c r="K405" s="203" t="str">
        <f t="shared" si="266"/>
        <v>-</v>
      </c>
      <c r="L405" s="203">
        <f t="shared" si="266"/>
        <v>23103</v>
      </c>
      <c r="M405" s="197"/>
      <c r="N405" s="203" t="str">
        <f t="shared" ref="N405:X406" si="267">N236</f>
        <v>-</v>
      </c>
      <c r="O405" s="203" t="str">
        <f t="shared" si="267"/>
        <v>-</v>
      </c>
      <c r="P405" s="203" t="str">
        <f t="shared" si="267"/>
        <v>-</v>
      </c>
      <c r="Q405" s="203" t="str">
        <f t="shared" si="267"/>
        <v>-</v>
      </c>
      <c r="R405" s="203">
        <f t="shared" si="267"/>
        <v>2</v>
      </c>
      <c r="S405" s="203">
        <f t="shared" si="267"/>
        <v>26</v>
      </c>
      <c r="T405" s="203" t="str">
        <f t="shared" si="267"/>
        <v>-</v>
      </c>
      <c r="U405" s="203" t="str">
        <f t="shared" si="267"/>
        <v>-</v>
      </c>
      <c r="V405" s="203" t="str">
        <f t="shared" si="267"/>
        <v>-</v>
      </c>
      <c r="W405" s="203" t="str">
        <f t="shared" si="267"/>
        <v>-</v>
      </c>
      <c r="X405" s="203">
        <f t="shared" si="267"/>
        <v>28</v>
      </c>
    </row>
    <row r="406" spans="1:24" x14ac:dyDescent="0.2">
      <c r="A406" s="496" t="s">
        <v>399</v>
      </c>
      <c r="B406" s="200" t="str">
        <f t="shared" si="266"/>
        <v>-</v>
      </c>
      <c r="C406" s="200" t="str">
        <f t="shared" si="266"/>
        <v>-</v>
      </c>
      <c r="D406" s="200" t="str">
        <f t="shared" si="266"/>
        <v>-</v>
      </c>
      <c r="E406" s="200" t="str">
        <f t="shared" si="266"/>
        <v>--</v>
      </c>
      <c r="F406" s="200" t="str">
        <f t="shared" si="266"/>
        <v>--</v>
      </c>
      <c r="G406" s="200">
        <f t="shared" si="266"/>
        <v>1241</v>
      </c>
      <c r="H406" s="200">
        <f t="shared" si="266"/>
        <v>33</v>
      </c>
      <c r="I406" s="200">
        <f t="shared" si="266"/>
        <v>18</v>
      </c>
      <c r="J406" s="200">
        <f t="shared" si="266"/>
        <v>0</v>
      </c>
      <c r="K406" s="200" t="str">
        <f t="shared" si="266"/>
        <v>-</v>
      </c>
      <c r="L406" s="200">
        <f t="shared" si="266"/>
        <v>1292</v>
      </c>
      <c r="N406" s="200" t="str">
        <f t="shared" si="267"/>
        <v>-</v>
      </c>
      <c r="O406" s="200" t="str">
        <f t="shared" si="267"/>
        <v>-</v>
      </c>
      <c r="P406" s="200" t="str">
        <f t="shared" si="267"/>
        <v>-</v>
      </c>
      <c r="Q406" s="200" t="str">
        <f t="shared" si="267"/>
        <v>-</v>
      </c>
      <c r="R406" s="200" t="str">
        <f t="shared" si="267"/>
        <v>-</v>
      </c>
      <c r="S406" s="200" t="str">
        <f t="shared" si="267"/>
        <v>-</v>
      </c>
      <c r="T406" s="200" t="str">
        <f t="shared" si="267"/>
        <v>-</v>
      </c>
      <c r="U406" s="200" t="str">
        <f t="shared" si="267"/>
        <v>-</v>
      </c>
      <c r="V406" s="200" t="str">
        <f t="shared" si="267"/>
        <v>-</v>
      </c>
      <c r="W406" s="200" t="str">
        <f t="shared" si="267"/>
        <v>-</v>
      </c>
      <c r="X406" s="200" t="str">
        <f t="shared" si="267"/>
        <v>-</v>
      </c>
    </row>
    <row r="408" spans="1:24" x14ac:dyDescent="0.2">
      <c r="A408" s="419" t="str">
        <f>A239</f>
        <v>Total Statewide</v>
      </c>
    </row>
    <row r="409" spans="1:24" x14ac:dyDescent="0.2">
      <c r="A409" s="383" t="s">
        <v>87</v>
      </c>
      <c r="B409" s="200">
        <f t="shared" ref="B409:L409" si="268">AVERAGE(B250:B254)</f>
        <v>5630.2</v>
      </c>
      <c r="C409" s="200">
        <f t="shared" si="268"/>
        <v>15288.4</v>
      </c>
      <c r="D409" s="200">
        <f t="shared" si="268"/>
        <v>26364.6</v>
      </c>
      <c r="E409" s="200">
        <f t="shared" si="268"/>
        <v>11404</v>
      </c>
      <c r="F409" s="200">
        <f t="shared" si="268"/>
        <v>28401.8</v>
      </c>
      <c r="G409" s="200">
        <f t="shared" si="268"/>
        <v>42902.400000000001</v>
      </c>
      <c r="H409" s="200">
        <f t="shared" si="268"/>
        <v>22512</v>
      </c>
      <c r="I409" s="200">
        <f t="shared" si="268"/>
        <v>8333.4</v>
      </c>
      <c r="J409" s="200">
        <f t="shared" si="268"/>
        <v>4239.6000000000004</v>
      </c>
      <c r="K409" s="200">
        <f t="shared" si="268"/>
        <v>1318.8</v>
      </c>
      <c r="L409" s="200">
        <f t="shared" si="268"/>
        <v>166395.20000000001</v>
      </c>
      <c r="N409" s="200">
        <f t="shared" ref="N409:X409" si="269">AVERAGE(N250:N254)</f>
        <v>0</v>
      </c>
      <c r="O409" s="200">
        <f t="shared" si="269"/>
        <v>0.6</v>
      </c>
      <c r="P409" s="200">
        <f t="shared" si="269"/>
        <v>56</v>
      </c>
      <c r="Q409" s="200">
        <f t="shared" si="269"/>
        <v>943</v>
      </c>
      <c r="R409" s="200">
        <f t="shared" si="269"/>
        <v>10412.200000000001</v>
      </c>
      <c r="S409" s="200">
        <f t="shared" si="269"/>
        <v>23259</v>
      </c>
      <c r="T409" s="200">
        <f t="shared" si="269"/>
        <v>5142</v>
      </c>
      <c r="U409" s="200">
        <f t="shared" si="269"/>
        <v>563</v>
      </c>
      <c r="V409" s="200">
        <f t="shared" si="269"/>
        <v>12.2</v>
      </c>
      <c r="W409" s="200">
        <f t="shared" si="269"/>
        <v>0</v>
      </c>
      <c r="X409" s="200">
        <f t="shared" si="269"/>
        <v>40388</v>
      </c>
    </row>
    <row r="410" spans="1:24" x14ac:dyDescent="0.2">
      <c r="A410" s="383" t="s">
        <v>14</v>
      </c>
      <c r="B410" s="200">
        <f>AVERAGE(B255:B259)</f>
        <v>484.4</v>
      </c>
      <c r="C410" s="200">
        <f t="shared" ref="C410:L410" si="270">AVERAGE(C255:C259)</f>
        <v>11135.6</v>
      </c>
      <c r="D410" s="200">
        <f t="shared" si="270"/>
        <v>21563.8</v>
      </c>
      <c r="E410" s="200">
        <f t="shared" si="270"/>
        <v>17109.400000000001</v>
      </c>
      <c r="F410" s="200">
        <f t="shared" si="270"/>
        <v>31262.2</v>
      </c>
      <c r="G410" s="200">
        <f t="shared" si="270"/>
        <v>55610.400000000001</v>
      </c>
      <c r="H410" s="200">
        <f t="shared" si="270"/>
        <v>18628.2</v>
      </c>
      <c r="I410" s="200">
        <f t="shared" si="270"/>
        <v>9955.7999999999993</v>
      </c>
      <c r="J410" s="200">
        <f t="shared" si="270"/>
        <v>4450.8</v>
      </c>
      <c r="K410" s="200">
        <f t="shared" si="270"/>
        <v>238.5</v>
      </c>
      <c r="L410" s="200">
        <f t="shared" si="270"/>
        <v>170296</v>
      </c>
      <c r="N410" s="200">
        <f t="shared" ref="N410:X410" si="271">AVERAGE(N255:N259)</f>
        <v>0.2</v>
      </c>
      <c r="O410" s="200">
        <f t="shared" si="271"/>
        <v>9.4</v>
      </c>
      <c r="P410" s="200">
        <f t="shared" si="271"/>
        <v>23</v>
      </c>
      <c r="Q410" s="200">
        <f t="shared" si="271"/>
        <v>389</v>
      </c>
      <c r="R410" s="200">
        <f t="shared" si="271"/>
        <v>7597</v>
      </c>
      <c r="S410" s="200">
        <f t="shared" si="271"/>
        <v>11981.6</v>
      </c>
      <c r="T410" s="200">
        <f t="shared" si="271"/>
        <v>1717.2</v>
      </c>
      <c r="U410" s="200">
        <f t="shared" si="271"/>
        <v>656</v>
      </c>
      <c r="V410" s="200">
        <f t="shared" si="271"/>
        <v>25.2</v>
      </c>
      <c r="W410" s="200">
        <f t="shared" si="271"/>
        <v>0</v>
      </c>
      <c r="X410" s="200">
        <f t="shared" si="271"/>
        <v>22398.6</v>
      </c>
    </row>
    <row r="411" spans="1:24" x14ac:dyDescent="0.2">
      <c r="A411" s="383" t="s">
        <v>207</v>
      </c>
      <c r="B411" s="200">
        <f>AVERAGE(B260:B264)</f>
        <v>5.5</v>
      </c>
      <c r="C411" s="200">
        <f t="shared" ref="C411:L411" si="272">AVERAGE(C260:C264)</f>
        <v>14184</v>
      </c>
      <c r="D411" s="200">
        <f t="shared" si="272"/>
        <v>23733.8</v>
      </c>
      <c r="E411" s="200">
        <f t="shared" si="272"/>
        <v>18567.400000000001</v>
      </c>
      <c r="F411" s="200">
        <f t="shared" si="272"/>
        <v>31845.8</v>
      </c>
      <c r="G411" s="200">
        <f t="shared" si="272"/>
        <v>42339.199999999997</v>
      </c>
      <c r="H411" s="200">
        <f t="shared" si="272"/>
        <v>20338.400000000001</v>
      </c>
      <c r="I411" s="200">
        <f t="shared" si="272"/>
        <v>6198.2</v>
      </c>
      <c r="J411" s="200">
        <f t="shared" si="272"/>
        <v>2977</v>
      </c>
      <c r="K411" s="200">
        <f t="shared" si="272"/>
        <v>981.5</v>
      </c>
      <c r="L411" s="200">
        <f t="shared" si="272"/>
        <v>157741.79999999999</v>
      </c>
      <c r="N411" s="200" t="s">
        <v>29</v>
      </c>
      <c r="O411" s="200" t="s">
        <v>29</v>
      </c>
      <c r="P411" s="200">
        <f t="shared" ref="P411:V411" si="273">AVERAGE(P260:P264)</f>
        <v>3</v>
      </c>
      <c r="Q411" s="200">
        <f t="shared" si="273"/>
        <v>16</v>
      </c>
      <c r="R411" s="200">
        <f t="shared" si="273"/>
        <v>166.6</v>
      </c>
      <c r="S411" s="200">
        <f t="shared" si="273"/>
        <v>125.6</v>
      </c>
      <c r="T411" s="200">
        <f t="shared" si="273"/>
        <v>125</v>
      </c>
      <c r="U411" s="200">
        <f t="shared" si="273"/>
        <v>29.25</v>
      </c>
      <c r="V411" s="200">
        <f t="shared" si="273"/>
        <v>6</v>
      </c>
      <c r="W411" s="200" t="s">
        <v>29</v>
      </c>
      <c r="X411" s="200">
        <f>AVERAGE(X260:X264)</f>
        <v>452</v>
      </c>
    </row>
    <row r="412" spans="1:24" x14ac:dyDescent="0.2">
      <c r="A412" s="383" t="s">
        <v>238</v>
      </c>
      <c r="B412" s="200">
        <f>AVERAGE(B265:B269)</f>
        <v>196</v>
      </c>
      <c r="C412" s="200">
        <f>AVERAGE(C265:C269)</f>
        <v>1766.8</v>
      </c>
      <c r="D412" s="200">
        <f>AVERAGE(D265:D269)</f>
        <v>22222.400000000001</v>
      </c>
      <c r="E412" s="200">
        <f>AVERAGE(E265:E269)</f>
        <v>19904.8</v>
      </c>
      <c r="F412" s="200">
        <f>AVERAGE(F265:F269)</f>
        <v>28732.2</v>
      </c>
      <c r="G412" s="200">
        <f t="shared" ref="G412:L412" si="274">AVERAGE(G265:G269)</f>
        <v>44018.6</v>
      </c>
      <c r="H412" s="200">
        <f t="shared" si="274"/>
        <v>19881.599999999999</v>
      </c>
      <c r="I412" s="200">
        <f t="shared" si="274"/>
        <v>8647.7999999999993</v>
      </c>
      <c r="J412" s="200">
        <f t="shared" si="274"/>
        <v>2248</v>
      </c>
      <c r="K412" s="200">
        <f t="shared" si="274"/>
        <v>395.4</v>
      </c>
      <c r="L412" s="200">
        <f t="shared" si="274"/>
        <v>147527.20000000001</v>
      </c>
      <c r="N412" s="200" t="str">
        <f>N265</f>
        <v>-</v>
      </c>
      <c r="O412" s="200" t="str">
        <f>O265</f>
        <v>-</v>
      </c>
      <c r="P412" s="200">
        <f t="shared" ref="P412:U412" si="275">AVERAGE(P265:P269)</f>
        <v>3</v>
      </c>
      <c r="Q412" s="200">
        <f t="shared" si="275"/>
        <v>170.8</v>
      </c>
      <c r="R412" s="200">
        <f t="shared" si="275"/>
        <v>280.39999999999998</v>
      </c>
      <c r="S412" s="200">
        <f t="shared" si="275"/>
        <v>379.4</v>
      </c>
      <c r="T412" s="200">
        <f t="shared" si="275"/>
        <v>122</v>
      </c>
      <c r="U412" s="200">
        <f t="shared" si="275"/>
        <v>31</v>
      </c>
      <c r="V412" s="200" t="str">
        <f>V265</f>
        <v>-</v>
      </c>
      <c r="W412" s="200" t="str">
        <f>W265</f>
        <v>-</v>
      </c>
      <c r="X412" s="200">
        <f>AVERAGE(X265:X269)</f>
        <v>978.6</v>
      </c>
    </row>
    <row r="413" spans="1:24" s="374" customFormat="1" x14ac:dyDescent="0.2">
      <c r="A413" s="383">
        <v>2006</v>
      </c>
      <c r="B413" s="203">
        <f t="shared" ref="B413:L413" si="276">B270</f>
        <v>55</v>
      </c>
      <c r="C413" s="203">
        <f t="shared" si="276"/>
        <v>109</v>
      </c>
      <c r="D413" s="203">
        <f t="shared" si="276"/>
        <v>9408</v>
      </c>
      <c r="E413" s="203">
        <f t="shared" si="276"/>
        <v>18801</v>
      </c>
      <c r="F413" s="203">
        <f t="shared" si="276"/>
        <v>29785</v>
      </c>
      <c r="G413" s="203">
        <f t="shared" si="276"/>
        <v>28986</v>
      </c>
      <c r="H413" s="203">
        <f t="shared" si="276"/>
        <v>4023</v>
      </c>
      <c r="I413" s="203">
        <f t="shared" si="276"/>
        <v>4802</v>
      </c>
      <c r="J413" s="203">
        <f t="shared" si="276"/>
        <v>256</v>
      </c>
      <c r="K413" s="203">
        <f t="shared" si="276"/>
        <v>67</v>
      </c>
      <c r="L413" s="203">
        <f t="shared" si="276"/>
        <v>96292</v>
      </c>
      <c r="M413" s="197"/>
      <c r="N413" s="203" t="str">
        <f t="shared" ref="N413:X413" si="277">N270</f>
        <v>-</v>
      </c>
      <c r="O413" s="203" t="str">
        <f t="shared" si="277"/>
        <v>-</v>
      </c>
      <c r="P413" s="203" t="str">
        <f t="shared" si="277"/>
        <v>-</v>
      </c>
      <c r="Q413" s="203">
        <f t="shared" si="277"/>
        <v>199</v>
      </c>
      <c r="R413" s="203">
        <f t="shared" si="277"/>
        <v>669</v>
      </c>
      <c r="S413" s="203">
        <f t="shared" si="277"/>
        <v>621</v>
      </c>
      <c r="T413" s="203">
        <f t="shared" si="277"/>
        <v>49</v>
      </c>
      <c r="U413" s="203">
        <f t="shared" si="277"/>
        <v>88</v>
      </c>
      <c r="V413" s="203" t="str">
        <f t="shared" si="277"/>
        <v>-</v>
      </c>
      <c r="W413" s="203" t="str">
        <f t="shared" si="277"/>
        <v>-</v>
      </c>
      <c r="X413" s="203">
        <f t="shared" si="277"/>
        <v>1626</v>
      </c>
    </row>
    <row r="414" spans="1:24" s="374" customFormat="1" x14ac:dyDescent="0.2">
      <c r="A414" s="383">
        <v>2007</v>
      </c>
      <c r="B414" s="203">
        <f t="shared" ref="B414:L414" si="278">B271</f>
        <v>48</v>
      </c>
      <c r="C414" s="203">
        <f t="shared" si="278"/>
        <v>200</v>
      </c>
      <c r="D414" s="203">
        <f t="shared" si="278"/>
        <v>3152</v>
      </c>
      <c r="E414" s="203">
        <f t="shared" si="278"/>
        <v>7232</v>
      </c>
      <c r="F414" s="203">
        <f t="shared" si="278"/>
        <v>13861</v>
      </c>
      <c r="G414" s="203">
        <f t="shared" si="278"/>
        <v>12965</v>
      </c>
      <c r="H414" s="203">
        <f t="shared" si="278"/>
        <v>7218</v>
      </c>
      <c r="I414" s="203">
        <f t="shared" si="278"/>
        <v>2262</v>
      </c>
      <c r="J414" s="203">
        <f t="shared" si="278"/>
        <v>441</v>
      </c>
      <c r="K414" s="203">
        <f t="shared" si="278"/>
        <v>325</v>
      </c>
      <c r="L414" s="203">
        <f t="shared" si="278"/>
        <v>47704</v>
      </c>
      <c r="M414" s="197"/>
      <c r="N414" s="203" t="str">
        <f t="shared" ref="N414:X414" si="279">N271</f>
        <v>-</v>
      </c>
      <c r="O414" s="203" t="str">
        <f t="shared" si="279"/>
        <v>-</v>
      </c>
      <c r="P414" s="203" t="str">
        <f t="shared" si="279"/>
        <v>-</v>
      </c>
      <c r="Q414" s="203">
        <f t="shared" si="279"/>
        <v>53</v>
      </c>
      <c r="R414" s="203">
        <f t="shared" si="279"/>
        <v>217</v>
      </c>
      <c r="S414" s="203">
        <f t="shared" si="279"/>
        <v>288</v>
      </c>
      <c r="T414" s="203">
        <f t="shared" si="279"/>
        <v>133</v>
      </c>
      <c r="U414" s="203">
        <f t="shared" si="279"/>
        <v>55</v>
      </c>
      <c r="V414" s="203" t="str">
        <f t="shared" si="279"/>
        <v>-</v>
      </c>
      <c r="W414" s="203" t="str">
        <f t="shared" si="279"/>
        <v>-</v>
      </c>
      <c r="X414" s="203">
        <f t="shared" si="279"/>
        <v>746</v>
      </c>
    </row>
    <row r="415" spans="1:24" s="374" customFormat="1" x14ac:dyDescent="0.2">
      <c r="A415" s="402">
        <v>2008</v>
      </c>
      <c r="B415" s="203">
        <f t="shared" ref="B415:L415" si="280">B272</f>
        <v>0</v>
      </c>
      <c r="C415" s="203">
        <f t="shared" si="280"/>
        <v>6</v>
      </c>
      <c r="D415" s="203" t="str">
        <f t="shared" si="280"/>
        <v>-</v>
      </c>
      <c r="E415" s="203" t="str">
        <f t="shared" si="280"/>
        <v>-</v>
      </c>
      <c r="F415" s="203" t="str">
        <f t="shared" si="280"/>
        <v>-</v>
      </c>
      <c r="G415" s="203" t="str">
        <f t="shared" si="280"/>
        <v>-</v>
      </c>
      <c r="H415" s="203" t="str">
        <f t="shared" si="280"/>
        <v>-</v>
      </c>
      <c r="I415" s="203" t="str">
        <f t="shared" si="280"/>
        <v>-</v>
      </c>
      <c r="J415" s="203" t="str">
        <f t="shared" si="280"/>
        <v>-</v>
      </c>
      <c r="K415" s="203" t="str">
        <f t="shared" si="280"/>
        <v>-</v>
      </c>
      <c r="L415" s="203">
        <f t="shared" si="280"/>
        <v>6</v>
      </c>
      <c r="M415" s="197"/>
      <c r="N415" s="203" t="str">
        <f t="shared" ref="N415:X415" si="281">N272</f>
        <v>-</v>
      </c>
      <c r="O415" s="203" t="str">
        <f t="shared" si="281"/>
        <v>-</v>
      </c>
      <c r="P415" s="203" t="str">
        <f t="shared" si="281"/>
        <v>-</v>
      </c>
      <c r="Q415" s="203" t="str">
        <f t="shared" si="281"/>
        <v>-</v>
      </c>
      <c r="R415" s="203" t="str">
        <f t="shared" si="281"/>
        <v>-</v>
      </c>
      <c r="S415" s="203" t="str">
        <f t="shared" si="281"/>
        <v>-</v>
      </c>
      <c r="T415" s="203" t="str">
        <f t="shared" si="281"/>
        <v>-</v>
      </c>
      <c r="U415" s="203" t="str">
        <f t="shared" si="281"/>
        <v>-</v>
      </c>
      <c r="V415" s="203" t="str">
        <f t="shared" si="281"/>
        <v>-</v>
      </c>
      <c r="W415" s="203" t="str">
        <f t="shared" si="281"/>
        <v>-</v>
      </c>
      <c r="X415" s="203" t="str">
        <f t="shared" si="281"/>
        <v>-</v>
      </c>
    </row>
    <row r="416" spans="1:24" s="374" customFormat="1" x14ac:dyDescent="0.2">
      <c r="A416" s="402">
        <v>2009</v>
      </c>
      <c r="B416" s="203" t="str">
        <f t="shared" ref="B416:L416" si="282">B273</f>
        <v>-</v>
      </c>
      <c r="C416" s="203" t="str">
        <f t="shared" si="282"/>
        <v>-</v>
      </c>
      <c r="D416" s="203" t="str">
        <f t="shared" si="282"/>
        <v>-</v>
      </c>
      <c r="E416" s="203" t="str">
        <f t="shared" si="282"/>
        <v>-</v>
      </c>
      <c r="F416" s="203" t="str">
        <f t="shared" si="282"/>
        <v>-</v>
      </c>
      <c r="G416" s="203" t="str">
        <f t="shared" si="282"/>
        <v>-</v>
      </c>
      <c r="H416" s="203">
        <f t="shared" si="282"/>
        <v>302</v>
      </c>
      <c r="I416" s="203">
        <f t="shared" si="282"/>
        <v>370</v>
      </c>
      <c r="J416" s="203" t="str">
        <f t="shared" si="282"/>
        <v>-</v>
      </c>
      <c r="K416" s="203" t="str">
        <f t="shared" si="282"/>
        <v>-</v>
      </c>
      <c r="L416" s="203">
        <f t="shared" si="282"/>
        <v>672</v>
      </c>
      <c r="M416" s="197"/>
      <c r="N416" s="203" t="str">
        <f t="shared" ref="N416:X416" si="283">N273</f>
        <v>-</v>
      </c>
      <c r="O416" s="203" t="str">
        <f t="shared" si="283"/>
        <v>-</v>
      </c>
      <c r="P416" s="203" t="str">
        <f t="shared" si="283"/>
        <v>-</v>
      </c>
      <c r="Q416" s="203" t="str">
        <f t="shared" si="283"/>
        <v>-</v>
      </c>
      <c r="R416" s="203" t="str">
        <f t="shared" si="283"/>
        <v>-</v>
      </c>
      <c r="S416" s="203" t="str">
        <f t="shared" si="283"/>
        <v>-</v>
      </c>
      <c r="T416" s="203" t="str">
        <f t="shared" si="283"/>
        <v>-</v>
      </c>
      <c r="U416" s="203">
        <f t="shared" si="283"/>
        <v>8</v>
      </c>
      <c r="V416" s="203" t="str">
        <f t="shared" si="283"/>
        <v>-</v>
      </c>
      <c r="W416" s="203" t="str">
        <f t="shared" si="283"/>
        <v>-</v>
      </c>
      <c r="X416" s="203">
        <f t="shared" si="283"/>
        <v>8</v>
      </c>
    </row>
    <row r="417" spans="1:24" s="374" customFormat="1" x14ac:dyDescent="0.2">
      <c r="A417" s="402">
        <v>2010</v>
      </c>
      <c r="B417" s="203" t="str">
        <f t="shared" ref="B417:L417" si="284">B274</f>
        <v>-</v>
      </c>
      <c r="C417" s="203" t="str">
        <f t="shared" si="284"/>
        <v>-</v>
      </c>
      <c r="D417" s="203">
        <f t="shared" si="284"/>
        <v>5265</v>
      </c>
      <c r="E417" s="203">
        <f t="shared" si="284"/>
        <v>2425</v>
      </c>
      <c r="F417" s="203">
        <f t="shared" si="284"/>
        <v>788</v>
      </c>
      <c r="G417" s="203">
        <f t="shared" si="284"/>
        <v>2605</v>
      </c>
      <c r="H417" s="203">
        <f t="shared" si="284"/>
        <v>3300</v>
      </c>
      <c r="I417" s="203">
        <f t="shared" si="284"/>
        <v>426</v>
      </c>
      <c r="J417" s="203" t="str">
        <f t="shared" si="284"/>
        <v>-</v>
      </c>
      <c r="K417" s="203" t="str">
        <f t="shared" si="284"/>
        <v>-</v>
      </c>
      <c r="L417" s="203">
        <f t="shared" si="284"/>
        <v>14809</v>
      </c>
      <c r="M417" s="197"/>
      <c r="N417" s="203" t="str">
        <f t="shared" ref="N417:X417" si="285">N274</f>
        <v>-</v>
      </c>
      <c r="O417" s="203" t="str">
        <f t="shared" si="285"/>
        <v>-</v>
      </c>
      <c r="P417" s="203">
        <f t="shared" si="285"/>
        <v>8</v>
      </c>
      <c r="Q417" s="203">
        <f t="shared" si="285"/>
        <v>7</v>
      </c>
      <c r="R417" s="203">
        <f t="shared" si="285"/>
        <v>68</v>
      </c>
      <c r="S417" s="203">
        <f t="shared" si="285"/>
        <v>15</v>
      </c>
      <c r="T417" s="203">
        <f t="shared" si="285"/>
        <v>69</v>
      </c>
      <c r="U417" s="203">
        <f t="shared" si="285"/>
        <v>8</v>
      </c>
      <c r="V417" s="203" t="str">
        <f t="shared" si="285"/>
        <v>-</v>
      </c>
      <c r="W417" s="203" t="str">
        <f t="shared" si="285"/>
        <v>-</v>
      </c>
      <c r="X417" s="203">
        <f t="shared" si="285"/>
        <v>175</v>
      </c>
    </row>
    <row r="418" spans="1:24" s="374" customFormat="1" x14ac:dyDescent="0.2">
      <c r="A418" s="402">
        <v>2011</v>
      </c>
      <c r="B418" s="203" t="str">
        <f t="shared" ref="B418:L418" si="286">B275</f>
        <v>-</v>
      </c>
      <c r="C418" s="203" t="str">
        <f t="shared" si="286"/>
        <v>-</v>
      </c>
      <c r="D418" s="203">
        <f t="shared" si="286"/>
        <v>5522</v>
      </c>
      <c r="E418" s="203">
        <f t="shared" si="286"/>
        <v>2585</v>
      </c>
      <c r="F418" s="203">
        <f t="shared" si="286"/>
        <v>3380</v>
      </c>
      <c r="G418" s="203">
        <f t="shared" si="286"/>
        <v>16882</v>
      </c>
      <c r="H418" s="203">
        <f t="shared" si="286"/>
        <v>13100</v>
      </c>
      <c r="I418" s="203">
        <f t="shared" si="286"/>
        <v>7095</v>
      </c>
      <c r="J418" s="203">
        <f t="shared" si="286"/>
        <v>1258</v>
      </c>
      <c r="K418" s="203" t="str">
        <f t="shared" si="286"/>
        <v>-</v>
      </c>
      <c r="L418" s="203">
        <f t="shared" si="286"/>
        <v>49822</v>
      </c>
      <c r="M418" s="197"/>
      <c r="N418" s="203" t="str">
        <f t="shared" ref="N418:X418" si="287">N275</f>
        <v>-</v>
      </c>
      <c r="O418" s="203" t="str">
        <f t="shared" si="287"/>
        <v>-</v>
      </c>
      <c r="P418" s="203">
        <f t="shared" si="287"/>
        <v>8</v>
      </c>
      <c r="Q418" s="203">
        <f t="shared" si="287"/>
        <v>15</v>
      </c>
      <c r="R418" s="203">
        <f t="shared" si="287"/>
        <v>72</v>
      </c>
      <c r="S418" s="203">
        <f t="shared" si="287"/>
        <v>166</v>
      </c>
      <c r="T418" s="203">
        <f t="shared" si="287"/>
        <v>46</v>
      </c>
      <c r="U418" s="203">
        <f t="shared" si="287"/>
        <v>4</v>
      </c>
      <c r="V418" s="203">
        <f t="shared" si="287"/>
        <v>5</v>
      </c>
      <c r="W418" s="203" t="str">
        <f t="shared" si="287"/>
        <v>-</v>
      </c>
      <c r="X418" s="203">
        <f t="shared" si="287"/>
        <v>316</v>
      </c>
    </row>
    <row r="419" spans="1:24" s="374" customFormat="1" x14ac:dyDescent="0.2">
      <c r="A419" s="402">
        <v>2012</v>
      </c>
      <c r="B419" s="203" t="str">
        <f t="shared" ref="B419:L419" si="288">B276</f>
        <v>-</v>
      </c>
      <c r="C419" s="203" t="str">
        <f t="shared" si="288"/>
        <v>-</v>
      </c>
      <c r="D419" s="203">
        <f t="shared" si="288"/>
        <v>18786</v>
      </c>
      <c r="E419" s="203">
        <f t="shared" si="288"/>
        <v>14723</v>
      </c>
      <c r="F419" s="203">
        <f t="shared" si="288"/>
        <v>27892</v>
      </c>
      <c r="G419" s="203">
        <f t="shared" si="288"/>
        <v>35707</v>
      </c>
      <c r="H419" s="203">
        <f t="shared" si="288"/>
        <v>17475</v>
      </c>
      <c r="I419" s="203">
        <f t="shared" si="288"/>
        <v>7089</v>
      </c>
      <c r="J419" s="203">
        <f t="shared" si="288"/>
        <v>2094</v>
      </c>
      <c r="K419" s="203">
        <f t="shared" si="288"/>
        <v>160</v>
      </c>
      <c r="L419" s="203">
        <f t="shared" si="288"/>
        <v>123926</v>
      </c>
      <c r="M419" s="197"/>
      <c r="N419" s="203" t="str">
        <f t="shared" ref="N419:X419" si="289">N276</f>
        <v>-</v>
      </c>
      <c r="O419" s="203" t="str">
        <f t="shared" si="289"/>
        <v>-</v>
      </c>
      <c r="P419" s="203" t="str">
        <f t="shared" si="289"/>
        <v>-</v>
      </c>
      <c r="Q419" s="203">
        <f t="shared" si="289"/>
        <v>3</v>
      </c>
      <c r="R419" s="203">
        <f t="shared" si="289"/>
        <v>49</v>
      </c>
      <c r="S419" s="203">
        <f t="shared" si="289"/>
        <v>46</v>
      </c>
      <c r="T419" s="203" t="str">
        <f t="shared" si="289"/>
        <v>-</v>
      </c>
      <c r="U419" s="203">
        <f t="shared" si="289"/>
        <v>3</v>
      </c>
      <c r="V419" s="203" t="str">
        <f t="shared" si="289"/>
        <v>-</v>
      </c>
      <c r="W419" s="203" t="str">
        <f t="shared" si="289"/>
        <v>-</v>
      </c>
      <c r="X419" s="203">
        <f t="shared" si="289"/>
        <v>101</v>
      </c>
    </row>
    <row r="420" spans="1:24" s="374" customFormat="1" x14ac:dyDescent="0.2">
      <c r="A420" s="402">
        <v>2013</v>
      </c>
      <c r="B420" s="203" t="str">
        <f t="shared" ref="B420:L420" si="290">B277</f>
        <v>-</v>
      </c>
      <c r="C420" s="203" t="str">
        <f t="shared" si="290"/>
        <v>-</v>
      </c>
      <c r="D420" s="203">
        <f t="shared" si="290"/>
        <v>13656</v>
      </c>
      <c r="E420" s="203">
        <f t="shared" si="290"/>
        <v>13900</v>
      </c>
      <c r="F420" s="203">
        <f t="shared" si="290"/>
        <v>26243</v>
      </c>
      <c r="G420" s="203">
        <f t="shared" si="290"/>
        <v>40509</v>
      </c>
      <c r="H420" s="203">
        <f t="shared" si="290"/>
        <v>17714</v>
      </c>
      <c r="I420" s="203">
        <f t="shared" si="290"/>
        <v>2606</v>
      </c>
      <c r="J420" s="203">
        <f t="shared" si="290"/>
        <v>1359</v>
      </c>
      <c r="K420" s="203">
        <f t="shared" si="290"/>
        <v>87</v>
      </c>
      <c r="L420" s="203">
        <f t="shared" si="290"/>
        <v>116074</v>
      </c>
      <c r="M420" s="197"/>
      <c r="N420" s="203" t="str">
        <f t="shared" ref="N420:X420" si="291">N277</f>
        <v>-</v>
      </c>
      <c r="O420" s="203" t="str">
        <f t="shared" si="291"/>
        <v>-</v>
      </c>
      <c r="P420" s="203" t="str">
        <f t="shared" si="291"/>
        <v>-</v>
      </c>
      <c r="Q420" s="203" t="str">
        <f t="shared" si="291"/>
        <v>-</v>
      </c>
      <c r="R420" s="203">
        <f t="shared" si="291"/>
        <v>91</v>
      </c>
      <c r="S420" s="203">
        <f t="shared" si="291"/>
        <v>144</v>
      </c>
      <c r="T420" s="203">
        <f t="shared" si="291"/>
        <v>126</v>
      </c>
      <c r="U420" s="203" t="str">
        <f t="shared" si="291"/>
        <v>-</v>
      </c>
      <c r="V420" s="203" t="str">
        <f t="shared" si="291"/>
        <v>-</v>
      </c>
      <c r="W420" s="203" t="str">
        <f t="shared" si="291"/>
        <v>-</v>
      </c>
      <c r="X420" s="203">
        <f t="shared" si="291"/>
        <v>361</v>
      </c>
    </row>
    <row r="421" spans="1:24" s="374" customFormat="1" x14ac:dyDescent="0.2">
      <c r="A421" s="402">
        <v>2014</v>
      </c>
      <c r="B421" s="203" t="str">
        <f t="shared" ref="B421:L421" si="292">B278</f>
        <v>-</v>
      </c>
      <c r="C421" s="203" t="str">
        <f t="shared" si="292"/>
        <v>-</v>
      </c>
      <c r="D421" s="203">
        <f t="shared" si="292"/>
        <v>13924</v>
      </c>
      <c r="E421" s="203">
        <f t="shared" si="292"/>
        <v>7508</v>
      </c>
      <c r="F421" s="203">
        <f t="shared" si="292"/>
        <v>7978</v>
      </c>
      <c r="G421" s="203">
        <f t="shared" si="292"/>
        <v>19678</v>
      </c>
      <c r="H421" s="203">
        <f t="shared" si="292"/>
        <v>15848</v>
      </c>
      <c r="I421" s="203">
        <f t="shared" si="292"/>
        <v>6706</v>
      </c>
      <c r="J421" s="203">
        <f t="shared" si="292"/>
        <v>3073</v>
      </c>
      <c r="K421" s="203">
        <f t="shared" si="292"/>
        <v>125</v>
      </c>
      <c r="L421" s="203">
        <f t="shared" si="292"/>
        <v>74840</v>
      </c>
      <c r="M421" s="197"/>
      <c r="N421" s="203" t="str">
        <f t="shared" ref="N421:X421" si="293">N278</f>
        <v>-</v>
      </c>
      <c r="O421" s="203" t="str">
        <f t="shared" si="293"/>
        <v>-</v>
      </c>
      <c r="P421" s="203" t="str">
        <f t="shared" si="293"/>
        <v>-</v>
      </c>
      <c r="Q421" s="203">
        <f t="shared" si="293"/>
        <v>23</v>
      </c>
      <c r="R421" s="203">
        <f t="shared" si="293"/>
        <v>118</v>
      </c>
      <c r="S421" s="203">
        <f t="shared" si="293"/>
        <v>331</v>
      </c>
      <c r="T421" s="203">
        <f t="shared" si="293"/>
        <v>4</v>
      </c>
      <c r="U421" s="203">
        <f t="shared" si="293"/>
        <v>3</v>
      </c>
      <c r="V421" s="203" t="str">
        <f t="shared" si="293"/>
        <v>-</v>
      </c>
      <c r="W421" s="203" t="str">
        <f t="shared" si="293"/>
        <v>-</v>
      </c>
      <c r="X421" s="203">
        <f t="shared" si="293"/>
        <v>479</v>
      </c>
    </row>
    <row r="422" spans="1:24" s="374" customFormat="1" x14ac:dyDescent="0.2">
      <c r="A422" s="402">
        <v>2015</v>
      </c>
      <c r="B422" s="203" t="str">
        <f t="shared" ref="B422:L422" si="294">B279</f>
        <v>-</v>
      </c>
      <c r="C422" s="203" t="str">
        <f t="shared" si="294"/>
        <v>-</v>
      </c>
      <c r="D422" s="203">
        <f t="shared" si="294"/>
        <v>3024</v>
      </c>
      <c r="E422" s="203">
        <f t="shared" si="294"/>
        <v>2793</v>
      </c>
      <c r="F422" s="203">
        <f t="shared" si="294"/>
        <v>3433</v>
      </c>
      <c r="G422" s="203">
        <f t="shared" si="294"/>
        <v>9598</v>
      </c>
      <c r="H422" s="203">
        <f t="shared" si="294"/>
        <v>8842</v>
      </c>
      <c r="I422" s="203">
        <f t="shared" si="294"/>
        <v>8213</v>
      </c>
      <c r="J422" s="203">
        <f t="shared" si="294"/>
        <v>1577</v>
      </c>
      <c r="K422" s="203">
        <f t="shared" si="294"/>
        <v>0</v>
      </c>
      <c r="L422" s="203">
        <f t="shared" si="294"/>
        <v>37480</v>
      </c>
      <c r="M422" s="197"/>
      <c r="N422" s="203" t="str">
        <f t="shared" ref="N422:X422" si="295">N279</f>
        <v>-</v>
      </c>
      <c r="O422" s="203" t="str">
        <f t="shared" si="295"/>
        <v>-</v>
      </c>
      <c r="P422" s="203" t="str">
        <f t="shared" si="295"/>
        <v>-</v>
      </c>
      <c r="Q422" s="203">
        <f t="shared" si="295"/>
        <v>5</v>
      </c>
      <c r="R422" s="203">
        <f t="shared" si="295"/>
        <v>12</v>
      </c>
      <c r="S422" s="203">
        <f t="shared" si="295"/>
        <v>19</v>
      </c>
      <c r="T422" s="203">
        <f t="shared" si="295"/>
        <v>5</v>
      </c>
      <c r="U422" s="203" t="str">
        <f t="shared" si="295"/>
        <v>-</v>
      </c>
      <c r="V422" s="203" t="str">
        <f t="shared" si="295"/>
        <v>-</v>
      </c>
      <c r="W422" s="203" t="str">
        <f t="shared" si="295"/>
        <v>-</v>
      </c>
      <c r="X422" s="203">
        <f t="shared" si="295"/>
        <v>41</v>
      </c>
    </row>
    <row r="423" spans="1:24" s="374" customFormat="1" x14ac:dyDescent="0.2">
      <c r="A423" s="402">
        <v>2016</v>
      </c>
      <c r="B423" s="203" t="str">
        <f t="shared" ref="B423:L423" si="296">B280</f>
        <v>-</v>
      </c>
      <c r="C423" s="203" t="str">
        <f t="shared" si="296"/>
        <v>-</v>
      </c>
      <c r="D423" s="203">
        <f t="shared" si="296"/>
        <v>2030</v>
      </c>
      <c r="E423" s="203">
        <f t="shared" si="296"/>
        <v>5693</v>
      </c>
      <c r="F423" s="203">
        <f t="shared" si="296"/>
        <v>2465</v>
      </c>
      <c r="G423" s="203">
        <f t="shared" si="296"/>
        <v>12983</v>
      </c>
      <c r="H423" s="203">
        <f t="shared" si="296"/>
        <v>7747</v>
      </c>
      <c r="I423" s="203">
        <f t="shared" si="296"/>
        <v>6456</v>
      </c>
      <c r="J423" s="203">
        <f t="shared" si="296"/>
        <v>638</v>
      </c>
      <c r="K423" s="203">
        <f t="shared" si="296"/>
        <v>0</v>
      </c>
      <c r="L423" s="203">
        <f t="shared" si="296"/>
        <v>38012</v>
      </c>
      <c r="M423" s="197"/>
      <c r="N423" s="203" t="str">
        <f t="shared" ref="N423:X423" si="297">N280</f>
        <v>-</v>
      </c>
      <c r="O423" s="203" t="str">
        <f t="shared" si="297"/>
        <v>-</v>
      </c>
      <c r="P423" s="203" t="str">
        <f t="shared" si="297"/>
        <v>-</v>
      </c>
      <c r="Q423" s="203" t="str">
        <f t="shared" si="297"/>
        <v>-</v>
      </c>
      <c r="R423" s="203">
        <f t="shared" si="297"/>
        <v>18</v>
      </c>
      <c r="S423" s="203">
        <f t="shared" si="297"/>
        <v>44</v>
      </c>
      <c r="T423" s="203">
        <f t="shared" si="297"/>
        <v>8</v>
      </c>
      <c r="U423" s="203" t="str">
        <f t="shared" si="297"/>
        <v>-</v>
      </c>
      <c r="V423" s="203" t="str">
        <f t="shared" si="297"/>
        <v>-</v>
      </c>
      <c r="W423" s="203" t="str">
        <f t="shared" si="297"/>
        <v>-</v>
      </c>
      <c r="X423" s="203">
        <f t="shared" si="297"/>
        <v>70</v>
      </c>
    </row>
    <row r="424" spans="1:24" s="374" customFormat="1" x14ac:dyDescent="0.2">
      <c r="A424" s="402">
        <v>2017</v>
      </c>
      <c r="B424" s="203" t="str">
        <f t="shared" ref="B424:L424" si="298">B281</f>
        <v>-</v>
      </c>
      <c r="C424" s="203" t="str">
        <f t="shared" si="298"/>
        <v>-</v>
      </c>
      <c r="D424" s="203">
        <f t="shared" si="298"/>
        <v>4298</v>
      </c>
      <c r="E424" s="203">
        <f t="shared" si="298"/>
        <v>2305</v>
      </c>
      <c r="F424" s="203">
        <f t="shared" si="298"/>
        <v>5433</v>
      </c>
      <c r="G424" s="203">
        <f t="shared" si="298"/>
        <v>26241</v>
      </c>
      <c r="H424" s="203">
        <f t="shared" si="298"/>
        <v>18809</v>
      </c>
      <c r="I424" s="203">
        <f t="shared" si="298"/>
        <v>4260</v>
      </c>
      <c r="J424" s="203">
        <f t="shared" si="298"/>
        <v>851</v>
      </c>
      <c r="K424" s="203">
        <f t="shared" si="298"/>
        <v>0</v>
      </c>
      <c r="L424" s="203">
        <f t="shared" si="298"/>
        <v>62197</v>
      </c>
      <c r="M424" s="197"/>
      <c r="N424" s="203" t="str">
        <f t="shared" ref="N424:X424" si="299">N281</f>
        <v>-</v>
      </c>
      <c r="O424" s="203" t="str">
        <f t="shared" si="299"/>
        <v>-</v>
      </c>
      <c r="P424" s="203" t="str">
        <f t="shared" si="299"/>
        <v>-</v>
      </c>
      <c r="Q424" s="203">
        <f t="shared" si="299"/>
        <v>3</v>
      </c>
      <c r="R424" s="203" t="str">
        <f t="shared" si="299"/>
        <v>-</v>
      </c>
      <c r="S424" s="203">
        <f t="shared" si="299"/>
        <v>418</v>
      </c>
      <c r="T424" s="203">
        <f t="shared" si="299"/>
        <v>44</v>
      </c>
      <c r="U424" s="203" t="str">
        <f t="shared" si="299"/>
        <v>-</v>
      </c>
      <c r="V424" s="203" t="str">
        <f t="shared" si="299"/>
        <v>-</v>
      </c>
      <c r="W424" s="203" t="str">
        <f t="shared" si="299"/>
        <v>-</v>
      </c>
      <c r="X424" s="203">
        <f t="shared" si="299"/>
        <v>465</v>
      </c>
    </row>
    <row r="425" spans="1:24" s="374" customFormat="1" x14ac:dyDescent="0.2">
      <c r="A425" s="122">
        <v>2018</v>
      </c>
      <c r="B425" s="203" t="str">
        <f t="shared" ref="B425:L425" si="300">B282</f>
        <v>-</v>
      </c>
      <c r="C425" s="203" t="str">
        <f t="shared" si="300"/>
        <v>-</v>
      </c>
      <c r="D425" s="203">
        <f t="shared" si="300"/>
        <v>3935</v>
      </c>
      <c r="E425" s="203">
        <f t="shared" si="300"/>
        <v>476</v>
      </c>
      <c r="F425" s="203">
        <f t="shared" si="300"/>
        <v>14772</v>
      </c>
      <c r="G425" s="203">
        <f t="shared" si="300"/>
        <v>42450</v>
      </c>
      <c r="H425" s="203">
        <f t="shared" si="300"/>
        <v>14698</v>
      </c>
      <c r="I425" s="203">
        <f t="shared" si="300"/>
        <v>6811</v>
      </c>
      <c r="J425" s="203">
        <f t="shared" si="300"/>
        <v>4172</v>
      </c>
      <c r="K425" s="203" t="str">
        <f t="shared" si="300"/>
        <v>-</v>
      </c>
      <c r="L425" s="203">
        <f t="shared" si="300"/>
        <v>87314</v>
      </c>
      <c r="M425" s="197"/>
      <c r="N425" s="203" t="str">
        <f t="shared" ref="N425:X425" si="301">N282</f>
        <v>-</v>
      </c>
      <c r="O425" s="203" t="str">
        <f t="shared" si="301"/>
        <v>-</v>
      </c>
      <c r="P425" s="203" t="str">
        <f t="shared" si="301"/>
        <v>-</v>
      </c>
      <c r="Q425" s="203" t="str">
        <f t="shared" si="301"/>
        <v>-</v>
      </c>
      <c r="R425" s="203">
        <f t="shared" si="301"/>
        <v>54</v>
      </c>
      <c r="S425" s="203">
        <f t="shared" si="301"/>
        <v>96</v>
      </c>
      <c r="T425" s="203">
        <f t="shared" si="301"/>
        <v>37</v>
      </c>
      <c r="U425" s="203">
        <f t="shared" si="301"/>
        <v>8</v>
      </c>
      <c r="V425" s="203" t="str">
        <f t="shared" si="301"/>
        <v>-</v>
      </c>
      <c r="W425" s="203" t="str">
        <f t="shared" si="301"/>
        <v>-</v>
      </c>
      <c r="X425" s="203">
        <f t="shared" si="301"/>
        <v>195</v>
      </c>
    </row>
    <row r="426" spans="1:24" s="487" customFormat="1" x14ac:dyDescent="0.2">
      <c r="A426" s="496" t="s">
        <v>398</v>
      </c>
      <c r="B426" s="203" t="str">
        <f t="shared" ref="B426:L427" si="302">B283</f>
        <v>-</v>
      </c>
      <c r="C426" s="203" t="str">
        <f t="shared" si="302"/>
        <v>-</v>
      </c>
      <c r="D426" s="203">
        <f t="shared" si="302"/>
        <v>16780</v>
      </c>
      <c r="E426" s="203">
        <f t="shared" si="302"/>
        <v>3479</v>
      </c>
      <c r="F426" s="203">
        <f t="shared" si="302"/>
        <v>20871</v>
      </c>
      <c r="G426" s="203">
        <f t="shared" si="302"/>
        <v>22213</v>
      </c>
      <c r="H426" s="203">
        <f t="shared" si="302"/>
        <v>20919</v>
      </c>
      <c r="I426" s="203">
        <f t="shared" si="302"/>
        <v>3734</v>
      </c>
      <c r="J426" s="203">
        <f t="shared" si="302"/>
        <v>468</v>
      </c>
      <c r="K426" s="203" t="str">
        <f t="shared" si="302"/>
        <v>-</v>
      </c>
      <c r="L426" s="203">
        <f t="shared" si="302"/>
        <v>88464</v>
      </c>
      <c r="M426" s="197"/>
      <c r="N426" s="203" t="str">
        <f t="shared" ref="N426:X427" si="303">N283</f>
        <v>-</v>
      </c>
      <c r="O426" s="203" t="str">
        <f t="shared" si="303"/>
        <v>-</v>
      </c>
      <c r="P426" s="203" t="str">
        <f t="shared" si="303"/>
        <v>-</v>
      </c>
      <c r="Q426" s="203">
        <f t="shared" si="303"/>
        <v>2</v>
      </c>
      <c r="R426" s="203">
        <f t="shared" si="303"/>
        <v>162</v>
      </c>
      <c r="S426" s="203">
        <f t="shared" si="303"/>
        <v>117</v>
      </c>
      <c r="T426" s="203">
        <f t="shared" si="303"/>
        <v>396</v>
      </c>
      <c r="U426" s="203">
        <f t="shared" si="303"/>
        <v>14</v>
      </c>
      <c r="V426" s="203">
        <f t="shared" si="303"/>
        <v>5</v>
      </c>
      <c r="W426" s="203" t="str">
        <f t="shared" si="303"/>
        <v>-</v>
      </c>
      <c r="X426" s="203">
        <f t="shared" si="303"/>
        <v>696</v>
      </c>
    </row>
    <row r="427" spans="1:24" x14ac:dyDescent="0.2">
      <c r="A427" s="496" t="s">
        <v>399</v>
      </c>
      <c r="B427" s="20" t="str">
        <f t="shared" si="302"/>
        <v>-</v>
      </c>
      <c r="C427" s="20" t="str">
        <f t="shared" si="302"/>
        <v>-</v>
      </c>
      <c r="D427" s="20" t="str">
        <f t="shared" si="302"/>
        <v>-</v>
      </c>
      <c r="E427" s="20" t="str">
        <f t="shared" si="302"/>
        <v>--</v>
      </c>
      <c r="F427" s="20" t="str">
        <f t="shared" si="302"/>
        <v>--</v>
      </c>
      <c r="G427" s="20">
        <f t="shared" si="302"/>
        <v>23505</v>
      </c>
      <c r="H427" s="20">
        <f t="shared" si="302"/>
        <v>9920</v>
      </c>
      <c r="I427" s="20">
        <f t="shared" si="302"/>
        <v>4047</v>
      </c>
      <c r="J427" s="20">
        <f t="shared" si="302"/>
        <v>2279</v>
      </c>
      <c r="K427" s="20">
        <f t="shared" si="302"/>
        <v>21</v>
      </c>
      <c r="L427" s="20">
        <f t="shared" si="302"/>
        <v>39772</v>
      </c>
      <c r="M427" s="32"/>
      <c r="N427" s="20" t="str">
        <f t="shared" si="303"/>
        <v>-</v>
      </c>
      <c r="O427" s="20" t="str">
        <f t="shared" si="303"/>
        <v>-</v>
      </c>
      <c r="P427" s="20" t="str">
        <f t="shared" si="303"/>
        <v>-</v>
      </c>
      <c r="Q427" s="20" t="str">
        <f t="shared" si="303"/>
        <v>-</v>
      </c>
      <c r="R427" s="20" t="str">
        <f t="shared" si="303"/>
        <v>-</v>
      </c>
      <c r="S427" s="20">
        <f t="shared" si="303"/>
        <v>48</v>
      </c>
      <c r="T427" s="20" t="str">
        <f t="shared" si="303"/>
        <v>-</v>
      </c>
      <c r="U427" s="20">
        <f t="shared" si="303"/>
        <v>4</v>
      </c>
      <c r="V427" s="20" t="str">
        <f t="shared" si="303"/>
        <v>-</v>
      </c>
      <c r="W427" s="20" t="str">
        <f t="shared" si="303"/>
        <v>-</v>
      </c>
      <c r="X427" s="20">
        <f t="shared" si="303"/>
        <v>52</v>
      </c>
    </row>
    <row r="428" spans="1:24" x14ac:dyDescent="0.2">
      <c r="A428" s="518" t="str">
        <f>A285</f>
        <v>a/  Preliminary.</v>
      </c>
      <c r="B428" s="518"/>
      <c r="C428" s="518"/>
      <c r="D428" s="518"/>
      <c r="E428" s="518"/>
      <c r="F428" s="518"/>
      <c r="G428" s="518"/>
      <c r="H428" s="518"/>
      <c r="I428" s="518"/>
      <c r="J428" s="518"/>
      <c r="K428" s="518"/>
      <c r="L428" s="518"/>
      <c r="M428" s="518"/>
      <c r="N428" s="518"/>
      <c r="O428" s="518"/>
      <c r="P428" s="518"/>
      <c r="Q428" s="518"/>
      <c r="R428" s="518"/>
      <c r="S428" s="518"/>
      <c r="T428" s="518"/>
      <c r="U428" s="518"/>
      <c r="V428" s="518"/>
      <c r="W428" s="518"/>
      <c r="X428" s="518"/>
    </row>
    <row r="429" spans="1:24" x14ac:dyDescent="0.2">
      <c r="A429" s="530" t="str">
        <f>A286</f>
        <v>b/  Recreational estimates are not available for May and June due to restrictions on sampling caused by the COVID-19 pandemic.</v>
      </c>
      <c r="B429" s="530"/>
      <c r="C429" s="530"/>
      <c r="D429" s="530"/>
      <c r="E429" s="530"/>
      <c r="F429" s="530"/>
      <c r="G429" s="530"/>
      <c r="H429" s="530"/>
      <c r="I429" s="530"/>
      <c r="J429" s="530"/>
      <c r="K429" s="530"/>
      <c r="L429" s="530"/>
      <c r="M429" s="530"/>
      <c r="N429" s="530"/>
      <c r="O429" s="530"/>
      <c r="P429" s="530"/>
      <c r="Q429" s="530"/>
      <c r="R429" s="530"/>
      <c r="S429" s="530"/>
      <c r="T429" s="530"/>
      <c r="U429" s="530"/>
      <c r="V429" s="530"/>
      <c r="W429" s="530"/>
      <c r="X429" s="530"/>
    </row>
    <row r="446" spans="1:1" x14ac:dyDescent="0.2">
      <c r="A446" s="122"/>
    </row>
  </sheetData>
  <mergeCells count="16">
    <mergeCell ref="A294:X294"/>
    <mergeCell ref="A1:X1"/>
    <mergeCell ref="B3:L3"/>
    <mergeCell ref="N3:X3"/>
    <mergeCell ref="A285:X285"/>
    <mergeCell ref="A286:X286"/>
    <mergeCell ref="B386:L386"/>
    <mergeCell ref="N386:X386"/>
    <mergeCell ref="A428:X428"/>
    <mergeCell ref="A429:X429"/>
    <mergeCell ref="B296:L296"/>
    <mergeCell ref="N296:X296"/>
    <mergeCell ref="A339:X339"/>
    <mergeCell ref="B341:L341"/>
    <mergeCell ref="N341:X341"/>
    <mergeCell ref="A384:X384"/>
  </mergeCells>
  <pageMargins left="0.7" right="0.7" top="0.75" bottom="0.75" header="0.3" footer="0.3"/>
  <pageSetup scale="94" orientation="landscape" r:id="rId1"/>
  <rowBreaks count="2" manualBreakCount="2">
    <brk id="338" max="16383" man="1"/>
    <brk id="383"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9"/>
  <dimension ref="A1:M184"/>
  <sheetViews>
    <sheetView showGridLines="0" zoomScaleNormal="100" zoomScaleSheetLayoutView="90" workbookViewId="0">
      <selection activeCell="O37" sqref="O37"/>
    </sheetView>
  </sheetViews>
  <sheetFormatPr defaultRowHeight="15.75" x14ac:dyDescent="0.25"/>
  <cols>
    <col min="1" max="1" width="14.125" bestFit="1" customWidth="1"/>
    <col min="2" max="2" width="8.375" bestFit="1" customWidth="1"/>
    <col min="3" max="4" width="9.125" bestFit="1" customWidth="1"/>
    <col min="5" max="5" width="9.375" bestFit="1" customWidth="1"/>
    <col min="6" max="6" width="8.875" bestFit="1" customWidth="1"/>
    <col min="7" max="7" width="9.375" bestFit="1" customWidth="1"/>
    <col min="8" max="8" width="7.5" bestFit="1" customWidth="1"/>
    <col min="9" max="9" width="8.625" bestFit="1" customWidth="1"/>
    <col min="10" max="10" width="7.5" bestFit="1" customWidth="1"/>
    <col min="11" max="11" width="7.875" bestFit="1" customWidth="1"/>
  </cols>
  <sheetData>
    <row r="1" spans="1:13" ht="11.25" customHeight="1" x14ac:dyDescent="0.25">
      <c r="A1" s="118" t="s">
        <v>298</v>
      </c>
      <c r="B1" s="78"/>
      <c r="C1" s="78"/>
      <c r="D1" s="78"/>
      <c r="E1" s="133"/>
      <c r="F1" s="133"/>
      <c r="G1" s="133"/>
      <c r="H1" s="78"/>
      <c r="I1" s="78"/>
      <c r="J1" s="78"/>
      <c r="K1" s="43"/>
      <c r="L1" s="134"/>
      <c r="M1" s="295" t="s">
        <v>255</v>
      </c>
    </row>
    <row r="2" spans="1:13" ht="11.25" customHeight="1" x14ac:dyDescent="0.25">
      <c r="A2" s="132" t="s">
        <v>52</v>
      </c>
      <c r="B2" s="138"/>
      <c r="C2" s="138"/>
      <c r="D2" s="138"/>
      <c r="E2" s="139"/>
      <c r="F2" s="139"/>
      <c r="G2" s="138" t="s">
        <v>27</v>
      </c>
      <c r="H2" s="138"/>
      <c r="I2" s="138"/>
      <c r="J2" s="138"/>
      <c r="K2" s="138"/>
      <c r="L2" s="140"/>
      <c r="M2" s="295"/>
    </row>
    <row r="3" spans="1:13" ht="11.25" customHeight="1" x14ac:dyDescent="0.25">
      <c r="A3" s="124" t="s">
        <v>264</v>
      </c>
      <c r="B3" s="111" t="s">
        <v>112</v>
      </c>
      <c r="C3" s="111" t="s">
        <v>53</v>
      </c>
      <c r="D3" s="111" t="s">
        <v>54</v>
      </c>
      <c r="E3" s="111" t="s">
        <v>55</v>
      </c>
      <c r="F3" s="111" t="s">
        <v>56</v>
      </c>
      <c r="G3" s="111" t="s">
        <v>57</v>
      </c>
      <c r="H3" s="111" t="s">
        <v>58</v>
      </c>
      <c r="I3" s="111" t="s">
        <v>59</v>
      </c>
      <c r="J3" s="111" t="s">
        <v>60</v>
      </c>
      <c r="K3" s="111" t="s">
        <v>61</v>
      </c>
      <c r="L3" s="35"/>
      <c r="M3" s="295"/>
    </row>
    <row r="4" spans="1:13" ht="11.25" customHeight="1" x14ac:dyDescent="0.25">
      <c r="A4" s="535" t="s">
        <v>113</v>
      </c>
      <c r="B4" s="535"/>
      <c r="C4" s="535"/>
      <c r="D4" s="535"/>
      <c r="E4" s="535"/>
      <c r="F4" s="535"/>
      <c r="G4" s="535"/>
      <c r="H4" s="535"/>
      <c r="I4" s="535"/>
      <c r="J4" s="535"/>
      <c r="K4" s="535"/>
    </row>
    <row r="5" spans="1:13" ht="11.25" hidden="1" customHeight="1" x14ac:dyDescent="0.25">
      <c r="A5" s="115" t="s">
        <v>32</v>
      </c>
      <c r="B5" s="78" t="e">
        <f>#REF!</f>
        <v>#REF!</v>
      </c>
      <c r="C5" s="78" t="e">
        <f>#REF!</f>
        <v>#REF!</v>
      </c>
      <c r="D5" s="78" t="e">
        <f>#REF!</f>
        <v>#REF!</v>
      </c>
      <c r="E5" s="133" t="e">
        <f>#REF!</f>
        <v>#REF!</v>
      </c>
      <c r="F5" s="133" t="e">
        <f>#REF!</f>
        <v>#REF!</v>
      </c>
      <c r="G5" s="133" t="e">
        <f>#REF!</f>
        <v>#REF!</v>
      </c>
      <c r="H5" s="78">
        <v>0.1</v>
      </c>
      <c r="I5" s="78">
        <v>0.7</v>
      </c>
      <c r="J5" s="78">
        <v>0.1</v>
      </c>
      <c r="K5" s="43" t="e">
        <f t="shared" ref="K5:K25" si="0">SUM(G5:J5)</f>
        <v>#REF!</v>
      </c>
    </row>
    <row r="6" spans="1:13" ht="11.25" customHeight="1" x14ac:dyDescent="0.25">
      <c r="A6" s="115" t="s">
        <v>62</v>
      </c>
      <c r="B6" s="78">
        <f>'A-7'!L387</f>
        <v>1095.8</v>
      </c>
      <c r="C6" s="78">
        <f>'A-7'!L409</f>
        <v>3408.8</v>
      </c>
      <c r="D6" s="78">
        <f>'A-7'!L434</f>
        <v>6008</v>
      </c>
      <c r="E6" s="78">
        <f>'A-7'!L456</f>
        <v>9959.7999999999993</v>
      </c>
      <c r="F6" s="78">
        <f>'A-7'!L481</f>
        <v>5023.6000000000004</v>
      </c>
      <c r="G6" s="78">
        <f>'A-7'!L528</f>
        <v>25496</v>
      </c>
      <c r="H6" s="78">
        <v>8</v>
      </c>
      <c r="I6" s="78">
        <v>295</v>
      </c>
      <c r="J6" s="78">
        <v>210</v>
      </c>
      <c r="K6" s="43">
        <f t="shared" si="0"/>
        <v>26009</v>
      </c>
    </row>
    <row r="7" spans="1:13" ht="11.25" customHeight="1" x14ac:dyDescent="0.25">
      <c r="A7" s="115" t="s">
        <v>87</v>
      </c>
      <c r="B7" s="78">
        <f>'A-7'!L388</f>
        <v>659</v>
      </c>
      <c r="C7" s="78">
        <f>'A-7'!L410</f>
        <v>6886.6</v>
      </c>
      <c r="D7" s="78">
        <f>'A-7'!L435</f>
        <v>8649.7999999999993</v>
      </c>
      <c r="E7" s="78">
        <f>'A-7'!L457</f>
        <v>20306.599999999999</v>
      </c>
      <c r="F7" s="78">
        <f>'A-7'!L482</f>
        <v>1651.6</v>
      </c>
      <c r="G7" s="78">
        <f>'A-7'!L529</f>
        <v>38153.599999999999</v>
      </c>
      <c r="H7" s="78">
        <v>3</v>
      </c>
      <c r="I7" s="78">
        <v>73.599999999999994</v>
      </c>
      <c r="J7" s="78">
        <v>44.4</v>
      </c>
      <c r="K7" s="43">
        <f t="shared" si="0"/>
        <v>38274.6</v>
      </c>
    </row>
    <row r="8" spans="1:13" ht="11.25" customHeight="1" x14ac:dyDescent="0.25">
      <c r="A8" s="115" t="s">
        <v>14</v>
      </c>
      <c r="B8" s="78">
        <f>'A-7'!L389</f>
        <v>374.33333333333331</v>
      </c>
      <c r="C8" s="78">
        <f>'A-7'!L411</f>
        <v>1940.8</v>
      </c>
      <c r="D8" s="78">
        <f>'A-7'!L436</f>
        <v>4722</v>
      </c>
      <c r="E8" s="78">
        <f>'A-7'!L458</f>
        <v>2011.4</v>
      </c>
      <c r="F8" s="78">
        <f>'A-7'!L483</f>
        <v>195.66666666666666</v>
      </c>
      <c r="G8" s="78">
        <f>'A-7'!L530</f>
        <v>9016.2000000000007</v>
      </c>
      <c r="H8" s="78">
        <v>0</v>
      </c>
      <c r="I8" s="78">
        <f>AVERAGE(17,71,1,0)</f>
        <v>22.25</v>
      </c>
      <c r="J8" s="78">
        <f>AVERAGE(13,3,5,8)</f>
        <v>7.25</v>
      </c>
      <c r="K8" s="43">
        <f t="shared" si="0"/>
        <v>9045.7000000000007</v>
      </c>
    </row>
    <row r="9" spans="1:13" ht="11.25" customHeight="1" x14ac:dyDescent="0.25">
      <c r="A9" s="118" t="s">
        <v>207</v>
      </c>
      <c r="B9" s="78">
        <f>'A-7'!L390</f>
        <v>70</v>
      </c>
      <c r="C9" s="78">
        <f>'A-7'!L412</f>
        <v>946.6</v>
      </c>
      <c r="D9" s="78">
        <f>'A-7'!L437</f>
        <v>3732.8</v>
      </c>
      <c r="E9" s="78">
        <f>'A-7'!L459</f>
        <v>2135.4</v>
      </c>
      <c r="F9" s="78">
        <f>'A-7'!L484</f>
        <v>316.2</v>
      </c>
      <c r="G9" s="78">
        <f>'A-7'!L531</f>
        <v>7187</v>
      </c>
      <c r="H9" s="78">
        <v>0</v>
      </c>
      <c r="I9" s="78">
        <f>AVERAGE(0,0,0,26,33)</f>
        <v>11.8</v>
      </c>
      <c r="J9" s="78">
        <f>AVERAGE(94,5,17,8.5)</f>
        <v>31.125</v>
      </c>
      <c r="K9" s="43">
        <f t="shared" si="0"/>
        <v>7229.9250000000002</v>
      </c>
    </row>
    <row r="10" spans="1:13" ht="11.25" customHeight="1" x14ac:dyDescent="0.25">
      <c r="A10" s="118" t="s">
        <v>238</v>
      </c>
      <c r="B10" s="78">
        <f>'A-7'!L391</f>
        <v>389.6</v>
      </c>
      <c r="C10" s="78">
        <f>'A-7'!L413</f>
        <v>1591.4</v>
      </c>
      <c r="D10" s="78">
        <f>'A-7'!L438</f>
        <v>4663.8</v>
      </c>
      <c r="E10" s="78">
        <f>'A-7'!L460</f>
        <v>4935.2</v>
      </c>
      <c r="F10" s="78">
        <f>'A-7'!L485</f>
        <v>438.8</v>
      </c>
      <c r="G10" s="78">
        <f>'A-7'!L532</f>
        <v>12018.8</v>
      </c>
      <c r="H10" s="208">
        <v>0</v>
      </c>
      <c r="I10" s="208">
        <f>AVERAGE(19,286,101,221,0)</f>
        <v>125.4</v>
      </c>
      <c r="J10" s="208">
        <f>AVERAGE(26,7,9,0,0)</f>
        <v>8.4</v>
      </c>
      <c r="K10" s="43">
        <f t="shared" si="0"/>
        <v>12152.599999999999</v>
      </c>
    </row>
    <row r="11" spans="1:13" ht="11.25" customHeight="1" x14ac:dyDescent="0.25">
      <c r="A11" s="115">
        <v>2006</v>
      </c>
      <c r="B11" s="78">
        <f>'A-7'!L392</f>
        <v>984</v>
      </c>
      <c r="C11" s="78">
        <f>'A-7'!L414</f>
        <v>751</v>
      </c>
      <c r="D11" s="78">
        <f>'A-7'!L439</f>
        <v>2216</v>
      </c>
      <c r="E11" s="78">
        <f>'A-7'!L461</f>
        <v>367</v>
      </c>
      <c r="F11" s="78">
        <f>'A-7'!L486</f>
        <v>184</v>
      </c>
      <c r="G11" s="78">
        <f>'A-7'!L533</f>
        <v>4502</v>
      </c>
      <c r="H11" s="78">
        <v>0</v>
      </c>
      <c r="I11" s="78">
        <v>0</v>
      </c>
      <c r="J11" s="78">
        <v>0</v>
      </c>
      <c r="K11" s="43">
        <f t="shared" si="0"/>
        <v>4502</v>
      </c>
    </row>
    <row r="12" spans="1:13" ht="11.25" customHeight="1" x14ac:dyDescent="0.25">
      <c r="A12" s="115">
        <v>2007</v>
      </c>
      <c r="B12" s="78">
        <f>'A-7'!L393</f>
        <v>330</v>
      </c>
      <c r="C12" s="78">
        <f>'A-7'!L415</f>
        <v>698</v>
      </c>
      <c r="D12" s="78">
        <f>'A-7'!L440</f>
        <v>1104</v>
      </c>
      <c r="E12" s="78">
        <f>'A-7'!L462</f>
        <v>2620</v>
      </c>
      <c r="F12" s="78">
        <f>'A-7'!L487</f>
        <v>465</v>
      </c>
      <c r="G12" s="78">
        <f>'A-7'!L534</f>
        <v>5217</v>
      </c>
      <c r="H12" s="78">
        <v>0</v>
      </c>
      <c r="I12" s="78">
        <v>0</v>
      </c>
      <c r="J12" s="78">
        <v>0</v>
      </c>
      <c r="K12" s="43">
        <f t="shared" si="0"/>
        <v>5217</v>
      </c>
    </row>
    <row r="13" spans="1:13" ht="11.25" customHeight="1" x14ac:dyDescent="0.25">
      <c r="A13" s="115">
        <v>2008</v>
      </c>
      <c r="B13" s="78">
        <f>'A-7'!L394</f>
        <v>655</v>
      </c>
      <c r="C13" s="78">
        <f>'A-7'!L416</f>
        <v>49</v>
      </c>
      <c r="D13" s="78" t="str">
        <f>'A-7'!L441</f>
        <v>-</v>
      </c>
      <c r="E13" s="78">
        <f>'A-7'!L463</f>
        <v>48</v>
      </c>
      <c r="F13" s="78">
        <f>'A-7'!L488</f>
        <v>51</v>
      </c>
      <c r="G13" s="78">
        <f>'A-7'!L535</f>
        <v>803</v>
      </c>
      <c r="H13" s="78">
        <v>0</v>
      </c>
      <c r="I13" s="78">
        <v>0</v>
      </c>
      <c r="J13" s="78" t="s">
        <v>29</v>
      </c>
      <c r="K13" s="43">
        <f t="shared" si="0"/>
        <v>803</v>
      </c>
    </row>
    <row r="14" spans="1:13" ht="11.25" customHeight="1" x14ac:dyDescent="0.25">
      <c r="A14" s="118">
        <v>2009</v>
      </c>
      <c r="B14" s="78">
        <f>'A-7'!L395</f>
        <v>540</v>
      </c>
      <c r="C14" s="78">
        <f>'A-7'!L417</f>
        <v>271</v>
      </c>
      <c r="D14" s="78">
        <f>'A-7'!L442</f>
        <v>286</v>
      </c>
      <c r="E14" s="78">
        <f>'A-7'!L464</f>
        <v>137</v>
      </c>
      <c r="F14" s="78" t="str">
        <f>'A-7'!L489</f>
        <v>-</v>
      </c>
      <c r="G14" s="78">
        <f>'A-7'!L536</f>
        <v>1234</v>
      </c>
      <c r="H14" s="78">
        <v>0</v>
      </c>
      <c r="I14" s="78">
        <v>0</v>
      </c>
      <c r="J14" s="78" t="s">
        <v>29</v>
      </c>
      <c r="K14" s="43">
        <f t="shared" si="0"/>
        <v>1234</v>
      </c>
    </row>
    <row r="15" spans="1:13" ht="11.25" customHeight="1" x14ac:dyDescent="0.25">
      <c r="A15" s="118">
        <v>2010</v>
      </c>
      <c r="B15" s="78">
        <f>'A-7'!L396</f>
        <v>632</v>
      </c>
      <c r="C15" s="78">
        <f>'A-7'!L418</f>
        <v>404</v>
      </c>
      <c r="D15" s="78">
        <f>'A-7'!L443</f>
        <v>1524</v>
      </c>
      <c r="E15" s="78">
        <f>'A-7'!L465</f>
        <v>1555</v>
      </c>
      <c r="F15" s="78">
        <f>'A-7'!L490</f>
        <v>181</v>
      </c>
      <c r="G15" s="78">
        <f>'A-7'!L537</f>
        <v>4296</v>
      </c>
      <c r="H15" s="78">
        <v>0</v>
      </c>
      <c r="I15" s="78">
        <v>0</v>
      </c>
      <c r="J15" s="78" t="s">
        <v>29</v>
      </c>
      <c r="K15" s="43">
        <f t="shared" si="0"/>
        <v>4296</v>
      </c>
    </row>
    <row r="16" spans="1:13" ht="11.25" customHeight="1" x14ac:dyDescent="0.25">
      <c r="A16" s="118">
        <v>2011</v>
      </c>
      <c r="B16" s="78">
        <f>'A-7'!L397</f>
        <v>289</v>
      </c>
      <c r="C16" s="78">
        <f>'A-7'!L419</f>
        <v>220</v>
      </c>
      <c r="D16" s="78">
        <f>'A-7'!L444</f>
        <v>748</v>
      </c>
      <c r="E16" s="78">
        <f>'A-7'!L466</f>
        <v>2206</v>
      </c>
      <c r="F16" s="78">
        <f>'A-7'!L491</f>
        <v>289</v>
      </c>
      <c r="G16" s="78">
        <f>'A-7'!L538</f>
        <v>3752</v>
      </c>
      <c r="H16" s="78">
        <v>0</v>
      </c>
      <c r="I16" s="78">
        <v>0</v>
      </c>
      <c r="J16" s="78" t="s">
        <v>29</v>
      </c>
      <c r="K16" s="43">
        <f t="shared" si="0"/>
        <v>3752</v>
      </c>
    </row>
    <row r="17" spans="1:11" ht="11.25" customHeight="1" x14ac:dyDescent="0.25">
      <c r="A17" s="118">
        <v>2012</v>
      </c>
      <c r="B17" s="78">
        <f>'A-7'!L398</f>
        <v>416</v>
      </c>
      <c r="C17" s="78">
        <f>'A-7'!L420</f>
        <v>635</v>
      </c>
      <c r="D17" s="78">
        <f>'A-7'!L445</f>
        <v>2112</v>
      </c>
      <c r="E17" s="78">
        <f>'A-7'!L467</f>
        <v>2711</v>
      </c>
      <c r="F17" s="78">
        <f>'A-7'!L492</f>
        <v>382</v>
      </c>
      <c r="G17" s="78">
        <f>'A-7'!L539</f>
        <v>6256</v>
      </c>
      <c r="H17" s="78">
        <v>0</v>
      </c>
      <c r="I17" s="78">
        <v>0</v>
      </c>
      <c r="J17" s="78" t="s">
        <v>29</v>
      </c>
      <c r="K17" s="43">
        <f t="shared" si="0"/>
        <v>6256</v>
      </c>
    </row>
    <row r="18" spans="1:11" ht="11.25" customHeight="1" x14ac:dyDescent="0.25">
      <c r="A18" s="118">
        <v>2013</v>
      </c>
      <c r="B18" s="78">
        <f>'A-7'!L399</f>
        <v>287</v>
      </c>
      <c r="C18" s="78">
        <f>'A-7'!L421</f>
        <v>830</v>
      </c>
      <c r="D18" s="78">
        <f>'A-7'!L446</f>
        <v>1722</v>
      </c>
      <c r="E18" s="78">
        <f>'A-7'!L468</f>
        <v>5440</v>
      </c>
      <c r="F18" s="78">
        <f>'A-7'!L493</f>
        <v>707</v>
      </c>
      <c r="G18" s="78">
        <f>'A-7'!L540</f>
        <v>8986</v>
      </c>
      <c r="H18" s="78">
        <v>0</v>
      </c>
      <c r="I18" s="78">
        <v>0</v>
      </c>
      <c r="J18" s="78" t="s">
        <v>29</v>
      </c>
      <c r="K18" s="43">
        <f t="shared" si="0"/>
        <v>8986</v>
      </c>
    </row>
    <row r="19" spans="1:11" ht="11.25" customHeight="1" x14ac:dyDescent="0.25">
      <c r="A19" s="118">
        <v>2014</v>
      </c>
      <c r="B19" s="78">
        <f>'A-7'!L400</f>
        <v>816</v>
      </c>
      <c r="C19" s="78">
        <f>'A-7'!L422</f>
        <v>556</v>
      </c>
      <c r="D19" s="78">
        <f>'A-7'!L447</f>
        <v>3697</v>
      </c>
      <c r="E19" s="78">
        <f>'A-7'!L469</f>
        <v>4864</v>
      </c>
      <c r="F19" s="78">
        <f>'A-7'!L494</f>
        <v>770</v>
      </c>
      <c r="G19" s="78">
        <f>'A-7'!L541</f>
        <v>10703</v>
      </c>
      <c r="H19" s="78">
        <v>0</v>
      </c>
      <c r="I19" s="78">
        <v>0</v>
      </c>
      <c r="J19" s="78" t="s">
        <v>29</v>
      </c>
      <c r="K19" s="43">
        <f t="shared" si="0"/>
        <v>10703</v>
      </c>
    </row>
    <row r="20" spans="1:11" ht="11.25" customHeight="1" x14ac:dyDescent="0.25">
      <c r="A20" s="118">
        <v>2015</v>
      </c>
      <c r="B20" s="78">
        <f>'A-7'!L401</f>
        <v>818</v>
      </c>
      <c r="C20" s="78">
        <f>'A-7'!L423</f>
        <v>866</v>
      </c>
      <c r="D20" s="78">
        <f>'A-7'!L448</f>
        <v>2752</v>
      </c>
      <c r="E20" s="78">
        <f>'A-7'!L470</f>
        <v>3773</v>
      </c>
      <c r="F20" s="78">
        <f>'A-7'!L495</f>
        <v>520</v>
      </c>
      <c r="G20" s="78">
        <f>'A-7'!L542</f>
        <v>8729</v>
      </c>
      <c r="H20" s="78">
        <v>0</v>
      </c>
      <c r="I20" s="78">
        <v>0</v>
      </c>
      <c r="J20" s="78" t="s">
        <v>29</v>
      </c>
      <c r="K20" s="43">
        <f t="shared" si="0"/>
        <v>8729</v>
      </c>
    </row>
    <row r="21" spans="1:11" ht="11.25" customHeight="1" x14ac:dyDescent="0.25">
      <c r="A21" s="118">
        <v>2016</v>
      </c>
      <c r="B21" s="78">
        <f>'A-7'!L402</f>
        <v>225</v>
      </c>
      <c r="C21" s="78">
        <f>'A-7'!L424</f>
        <v>237</v>
      </c>
      <c r="D21" s="78">
        <f>'A-7'!L449</f>
        <v>2756</v>
      </c>
      <c r="E21" s="78">
        <f>'A-7'!L471</f>
        <v>1047</v>
      </c>
      <c r="F21" s="78">
        <f>'A-7'!L496</f>
        <v>127</v>
      </c>
      <c r="G21" s="78">
        <f>'A-7'!L543</f>
        <v>4392</v>
      </c>
      <c r="H21" s="78">
        <v>0</v>
      </c>
      <c r="I21" s="78">
        <v>0</v>
      </c>
      <c r="J21" s="78" t="s">
        <v>29</v>
      </c>
      <c r="K21" s="43">
        <f t="shared" si="0"/>
        <v>4392</v>
      </c>
    </row>
    <row r="22" spans="1:11" ht="11.25" customHeight="1" x14ac:dyDescent="0.25">
      <c r="A22" s="118">
        <v>2017</v>
      </c>
      <c r="B22" s="78">
        <f>'A-7'!L403</f>
        <v>342</v>
      </c>
      <c r="C22" s="78">
        <f>'A-7'!L425</f>
        <v>182</v>
      </c>
      <c r="D22" s="78">
        <f>'A-7'!L450</f>
        <v>1264</v>
      </c>
      <c r="E22" s="78">
        <f>'A-7'!L472</f>
        <v>155</v>
      </c>
      <c r="F22" s="78">
        <f>'A-7'!L497</f>
        <v>109</v>
      </c>
      <c r="G22" s="78">
        <f>'A-7'!L544</f>
        <v>2052</v>
      </c>
      <c r="H22" s="78">
        <v>0</v>
      </c>
      <c r="I22" s="78">
        <v>0</v>
      </c>
      <c r="J22" s="78" t="s">
        <v>29</v>
      </c>
      <c r="K22" s="43">
        <f t="shared" si="0"/>
        <v>2052</v>
      </c>
    </row>
    <row r="23" spans="1:11" s="357" customFormat="1" ht="11.25" customHeight="1" x14ac:dyDescent="0.25">
      <c r="A23" s="118">
        <v>2018</v>
      </c>
      <c r="B23" s="78">
        <f>'A-7'!L404</f>
        <v>98</v>
      </c>
      <c r="C23" s="78">
        <f>'A-7'!L426</f>
        <v>179</v>
      </c>
      <c r="D23" s="78">
        <f>'A-7'!L451</f>
        <v>1043</v>
      </c>
      <c r="E23" s="78">
        <f>'A-7'!L473</f>
        <v>778</v>
      </c>
      <c r="F23" s="78">
        <f>'A-7'!L498</f>
        <v>475</v>
      </c>
      <c r="G23" s="78">
        <f>'A-7'!L545</f>
        <v>2573</v>
      </c>
      <c r="H23" s="78">
        <v>0</v>
      </c>
      <c r="I23" s="78">
        <v>0</v>
      </c>
      <c r="J23" s="78" t="s">
        <v>29</v>
      </c>
      <c r="K23" s="43">
        <f t="shared" si="0"/>
        <v>2573</v>
      </c>
    </row>
    <row r="24" spans="1:11" s="357" customFormat="1" ht="11.25" customHeight="1" x14ac:dyDescent="0.25">
      <c r="A24" s="118">
        <v>2019</v>
      </c>
      <c r="B24" s="78">
        <f>'A-7'!L405</f>
        <v>187</v>
      </c>
      <c r="C24" s="78">
        <f>'A-7'!L427</f>
        <v>137</v>
      </c>
      <c r="D24" s="78">
        <f>'A-7'!L452</f>
        <v>1592</v>
      </c>
      <c r="E24" s="78">
        <f>'A-7'!L474</f>
        <v>387</v>
      </c>
      <c r="F24" s="78">
        <f>'A-7'!L499</f>
        <v>236</v>
      </c>
      <c r="G24" s="78">
        <f>'A-7'!L546</f>
        <v>2539</v>
      </c>
      <c r="H24" s="78">
        <v>0</v>
      </c>
      <c r="I24" s="78">
        <v>0</v>
      </c>
      <c r="J24" s="78" t="s">
        <v>29</v>
      </c>
      <c r="K24" s="43">
        <f t="shared" ref="K24" si="1">SUM(G24:J24)</f>
        <v>2539</v>
      </c>
    </row>
    <row r="25" spans="1:11" ht="11.25" customHeight="1" x14ac:dyDescent="0.25">
      <c r="A25" s="118" t="s">
        <v>393</v>
      </c>
      <c r="B25" s="78">
        <f>'A-7'!L406</f>
        <v>66</v>
      </c>
      <c r="C25" s="78">
        <f>'A-7'!L428</f>
        <v>134</v>
      </c>
      <c r="D25" s="78">
        <f>'A-7'!L453</f>
        <v>1243</v>
      </c>
      <c r="E25" s="78">
        <f>'A-7'!L475</f>
        <v>465</v>
      </c>
      <c r="F25" s="78">
        <f>'A-7'!L500</f>
        <v>122</v>
      </c>
      <c r="G25" s="78">
        <f>'A-7'!L547</f>
        <v>2030</v>
      </c>
      <c r="H25" s="78">
        <v>0</v>
      </c>
      <c r="I25" s="78">
        <v>0</v>
      </c>
      <c r="J25" s="78" t="s">
        <v>29</v>
      </c>
      <c r="K25" s="43">
        <f t="shared" si="0"/>
        <v>2030</v>
      </c>
    </row>
    <row r="26" spans="1:11" ht="11.25" customHeight="1" x14ac:dyDescent="0.25">
      <c r="B26" s="76"/>
      <c r="C26" s="76"/>
      <c r="D26" s="76"/>
      <c r="E26" s="82"/>
      <c r="F26" s="82"/>
      <c r="G26" s="82"/>
      <c r="H26" s="76"/>
      <c r="I26" s="76"/>
      <c r="J26" s="76"/>
      <c r="K26" s="79"/>
    </row>
    <row r="27" spans="1:11" ht="11.25" customHeight="1" x14ac:dyDescent="0.25">
      <c r="A27" s="535" t="s">
        <v>114</v>
      </c>
      <c r="B27" s="535"/>
      <c r="C27" s="535"/>
      <c r="D27" s="535"/>
      <c r="E27" s="535"/>
      <c r="F27" s="535"/>
      <c r="G27" s="535"/>
      <c r="H27" s="535"/>
      <c r="I27" s="535"/>
      <c r="J27" s="535"/>
      <c r="K27" s="535"/>
    </row>
    <row r="28" spans="1:11" ht="11.25" hidden="1" customHeight="1" x14ac:dyDescent="0.25">
      <c r="A28" s="112" t="s">
        <v>32</v>
      </c>
      <c r="B28" s="50" t="e">
        <f>'A-8'!#REF!</f>
        <v>#REF!</v>
      </c>
      <c r="C28" s="50" t="e">
        <f>'A-8'!#REF!</f>
        <v>#REF!</v>
      </c>
      <c r="D28" s="50" t="e">
        <f>'A-8'!#REF!</f>
        <v>#REF!</v>
      </c>
      <c r="E28" s="81" t="e">
        <f>'A-8'!#REF!</f>
        <v>#REF!</v>
      </c>
      <c r="F28" s="81" t="e">
        <f>'A-8'!#REF!</f>
        <v>#REF!</v>
      </c>
      <c r="G28" s="81" t="e">
        <f>'A-8'!#REF!</f>
        <v>#REF!</v>
      </c>
      <c r="H28" s="50">
        <v>300</v>
      </c>
      <c r="I28" s="50">
        <v>2800</v>
      </c>
      <c r="J28" s="50">
        <v>900</v>
      </c>
      <c r="K28" s="42" t="e">
        <f t="shared" ref="K28:K33" si="2">SUM(G28:J28)</f>
        <v>#REF!</v>
      </c>
    </row>
    <row r="29" spans="1:11" ht="11.25" customHeight="1" x14ac:dyDescent="0.25">
      <c r="A29" s="112" t="s">
        <v>62</v>
      </c>
      <c r="B29" s="50">
        <f>'A-8'!L531</f>
        <v>5555.8</v>
      </c>
      <c r="C29" s="50">
        <f>'A-8'!L553</f>
        <v>5901.4</v>
      </c>
      <c r="D29" s="50">
        <f>'A-8'!L578</f>
        <v>27916.6</v>
      </c>
      <c r="E29" s="50">
        <f>'A-8'!L600</f>
        <v>63506.6</v>
      </c>
      <c r="F29" s="50">
        <f>'A-8'!L625</f>
        <v>42622.6</v>
      </c>
      <c r="G29" s="50">
        <f>'A-8'!L672</f>
        <v>145503</v>
      </c>
      <c r="H29" s="50">
        <v>89</v>
      </c>
      <c r="I29" s="50">
        <v>2982</v>
      </c>
      <c r="J29" s="50">
        <v>2157</v>
      </c>
      <c r="K29" s="42">
        <f t="shared" si="2"/>
        <v>150731</v>
      </c>
    </row>
    <row r="30" spans="1:11" ht="11.25" customHeight="1" x14ac:dyDescent="0.25">
      <c r="A30" s="112" t="s">
        <v>87</v>
      </c>
      <c r="B30" s="50">
        <f>'A-8'!L532</f>
        <v>3477.2</v>
      </c>
      <c r="C30" s="50">
        <f>'A-8'!L554</f>
        <v>26241.599999999999</v>
      </c>
      <c r="D30" s="50">
        <f>'A-8'!L579</f>
        <v>82956.800000000003</v>
      </c>
      <c r="E30" s="50">
        <f>'A-8'!L601</f>
        <v>253426.4</v>
      </c>
      <c r="F30" s="50">
        <f>'A-8'!L626</f>
        <v>28824.6</v>
      </c>
      <c r="G30" s="50">
        <f>'A-8'!L673</f>
        <v>394926.6</v>
      </c>
      <c r="H30" s="50">
        <v>137</v>
      </c>
      <c r="I30" s="50">
        <v>1179</v>
      </c>
      <c r="J30" s="50">
        <v>1385.8</v>
      </c>
      <c r="K30" s="42">
        <f>SUM(G30:J30)</f>
        <v>397628.39999999997</v>
      </c>
    </row>
    <row r="31" spans="1:11" ht="11.25" customHeight="1" x14ac:dyDescent="0.25">
      <c r="A31" s="112" t="s">
        <v>14</v>
      </c>
      <c r="B31" s="50">
        <f>'A-8'!L533</f>
        <v>937.33333333333337</v>
      </c>
      <c r="C31" s="50">
        <f>'A-8'!L555</f>
        <v>6886.8</v>
      </c>
      <c r="D31" s="50">
        <f>'A-8'!L580</f>
        <v>76934.2</v>
      </c>
      <c r="E31" s="50">
        <f>'A-8'!L602</f>
        <v>15554</v>
      </c>
      <c r="F31" s="50">
        <f>'A-8'!L627</f>
        <v>1678.6666666666667</v>
      </c>
      <c r="G31" s="50">
        <f>'A-8'!L674</f>
        <v>100944.6</v>
      </c>
      <c r="H31" s="50">
        <v>0</v>
      </c>
      <c r="I31" s="50">
        <f>AVERAGE(33,813,0,0)</f>
        <v>211.5</v>
      </c>
      <c r="J31" s="50">
        <f>AVERAGE(150,29,119,804)</f>
        <v>275.5</v>
      </c>
      <c r="K31" s="42">
        <f>SUM(G31:J31)</f>
        <v>101431.6</v>
      </c>
    </row>
    <row r="32" spans="1:11" ht="11.25" customHeight="1" x14ac:dyDescent="0.25">
      <c r="A32" s="117" t="s">
        <v>207</v>
      </c>
      <c r="B32" s="50">
        <f>'A-8'!L534</f>
        <v>572</v>
      </c>
      <c r="C32" s="50">
        <f>'A-8'!L556</f>
        <v>8191</v>
      </c>
      <c r="D32" s="50">
        <f>'A-8'!L581</f>
        <v>81290.399999999994</v>
      </c>
      <c r="E32" s="50">
        <f>'A-8'!L603</f>
        <v>36042.400000000001</v>
      </c>
      <c r="F32" s="50">
        <f>'A-8'!L628</f>
        <v>3541.6</v>
      </c>
      <c r="G32" s="50">
        <f>'A-8'!L675</f>
        <v>129523</v>
      </c>
      <c r="H32" s="50">
        <v>0</v>
      </c>
      <c r="I32" s="50">
        <f>AVERAGE(0,0,0,181,90)</f>
        <v>54.2</v>
      </c>
      <c r="J32" s="50">
        <f>AVERAGE(1967,148,658,90,124)</f>
        <v>597.4</v>
      </c>
      <c r="K32" s="42">
        <f>SUM(G32:J32)</f>
        <v>130174.59999999999</v>
      </c>
    </row>
    <row r="33" spans="1:11" ht="11.25" customHeight="1" x14ac:dyDescent="0.25">
      <c r="A33" s="117" t="s">
        <v>238</v>
      </c>
      <c r="B33" s="50">
        <f>'A-8'!L535</f>
        <v>8095</v>
      </c>
      <c r="C33" s="50">
        <f>'A-8'!L557</f>
        <v>25572.2</v>
      </c>
      <c r="D33" s="50">
        <f>'A-8'!L582</f>
        <v>126126</v>
      </c>
      <c r="E33" s="50">
        <f>'A-8'!L604</f>
        <v>117528.8</v>
      </c>
      <c r="F33" s="50">
        <f>'A-8'!L629</f>
        <v>5244.8</v>
      </c>
      <c r="G33" s="50">
        <f>'A-8'!L676</f>
        <v>282566.8</v>
      </c>
      <c r="H33" s="209">
        <v>0</v>
      </c>
      <c r="I33" s="50">
        <f>AVERAGE(1194,14966,3188,8522,0)</f>
        <v>5574</v>
      </c>
      <c r="J33" s="50">
        <f>AVERAGE(539,182,833,0,0)</f>
        <v>310.8</v>
      </c>
      <c r="K33" s="42">
        <f t="shared" si="2"/>
        <v>288451.59999999998</v>
      </c>
    </row>
    <row r="34" spans="1:11" ht="11.25" customHeight="1" x14ac:dyDescent="0.25">
      <c r="A34" s="112">
        <v>2006</v>
      </c>
      <c r="B34" s="50">
        <f>'A-8'!L59</f>
        <v>10489</v>
      </c>
      <c r="C34" s="50">
        <f>'A-8'!L130</f>
        <v>2756</v>
      </c>
      <c r="D34" s="50">
        <f>'A-8'!L201</f>
        <v>18895</v>
      </c>
      <c r="E34" s="50">
        <f>'A-8'!L272</f>
        <v>1979</v>
      </c>
      <c r="F34" s="50">
        <f>'A-8'!L343</f>
        <v>738</v>
      </c>
      <c r="G34" s="50">
        <f>'A-8'!L485</f>
        <v>34857</v>
      </c>
      <c r="H34" s="50">
        <v>0</v>
      </c>
      <c r="I34" s="50">
        <v>0</v>
      </c>
      <c r="J34" s="50">
        <v>0</v>
      </c>
      <c r="K34" s="42">
        <f t="shared" ref="K34:K48" si="3">SUM(G34:J34)</f>
        <v>34857</v>
      </c>
    </row>
    <row r="35" spans="1:11" ht="11.25" customHeight="1" x14ac:dyDescent="0.25">
      <c r="A35" s="115">
        <v>2007</v>
      </c>
      <c r="B35" s="78">
        <f>'A-8'!L60</f>
        <v>1443</v>
      </c>
      <c r="C35" s="78">
        <f>'A-8'!L131</f>
        <v>4178</v>
      </c>
      <c r="D35" s="78">
        <f>'A-8'!L202</f>
        <v>4064</v>
      </c>
      <c r="E35" s="78">
        <f>'A-8'!L273</f>
        <v>21705</v>
      </c>
      <c r="F35" s="78">
        <f>'A-8'!L344</f>
        <v>4097</v>
      </c>
      <c r="G35" s="78">
        <f>'A-8'!L486</f>
        <v>35487</v>
      </c>
      <c r="H35" s="78">
        <v>0</v>
      </c>
      <c r="I35" s="78">
        <v>0</v>
      </c>
      <c r="J35" s="78">
        <v>0</v>
      </c>
      <c r="K35" s="43">
        <f t="shared" si="3"/>
        <v>35487</v>
      </c>
    </row>
    <row r="36" spans="1:11" ht="11.25" customHeight="1" x14ac:dyDescent="0.25">
      <c r="A36" s="115">
        <v>2008</v>
      </c>
      <c r="B36" s="78">
        <f>'A-8'!L61</f>
        <v>5434</v>
      </c>
      <c r="C36" s="78">
        <f>'A-8'!L132</f>
        <v>76</v>
      </c>
      <c r="D36" s="78" t="str">
        <f>'A-8'!L203</f>
        <v>-</v>
      </c>
      <c r="E36" s="78">
        <f>'A-8'!L274</f>
        <v>208</v>
      </c>
      <c r="F36" s="78">
        <f>'A-8'!L345</f>
        <v>236</v>
      </c>
      <c r="G36" s="78">
        <f>'A-8'!L487</f>
        <v>5954</v>
      </c>
      <c r="H36" s="78">
        <v>0</v>
      </c>
      <c r="I36" s="78">
        <v>0</v>
      </c>
      <c r="J36" s="78" t="s">
        <v>29</v>
      </c>
      <c r="K36" s="43">
        <f t="shared" si="3"/>
        <v>5954</v>
      </c>
    </row>
    <row r="37" spans="1:11" ht="11.25" customHeight="1" x14ac:dyDescent="0.25">
      <c r="A37" s="118">
        <v>2009</v>
      </c>
      <c r="B37" s="78">
        <f>'A-8'!L62</f>
        <v>712</v>
      </c>
      <c r="C37" s="78">
        <f>'A-8'!L133</f>
        <v>144</v>
      </c>
      <c r="D37" s="78" t="str">
        <f>'A-8'!L204</f>
        <v>-</v>
      </c>
      <c r="E37" s="78">
        <f>'A-8'!L275</f>
        <v>293</v>
      </c>
      <c r="F37" s="78" t="str">
        <f>'A-8'!L346</f>
        <v>-</v>
      </c>
      <c r="G37" s="78">
        <f>'A-8'!L488</f>
        <v>1149</v>
      </c>
      <c r="H37" s="78">
        <v>0</v>
      </c>
      <c r="I37" s="78">
        <v>0</v>
      </c>
      <c r="J37" s="78" t="s">
        <v>29</v>
      </c>
      <c r="K37" s="43">
        <f t="shared" si="3"/>
        <v>1149</v>
      </c>
    </row>
    <row r="38" spans="1:11" ht="11.25" customHeight="1" x14ac:dyDescent="0.25">
      <c r="A38" s="118">
        <v>2010</v>
      </c>
      <c r="B38" s="78">
        <f>'A-8'!L63</f>
        <v>11120</v>
      </c>
      <c r="C38" s="78">
        <f>'A-8'!L134</f>
        <v>3648</v>
      </c>
      <c r="D38" s="78">
        <f>'A-8'!L205</f>
        <v>12377</v>
      </c>
      <c r="E38" s="78">
        <f>'A-8'!L276</f>
        <v>11419</v>
      </c>
      <c r="F38" s="78">
        <f>'A-8'!L347</f>
        <v>869</v>
      </c>
      <c r="G38" s="78">
        <f>'A-8'!L489</f>
        <v>39433</v>
      </c>
      <c r="H38" s="78">
        <v>0</v>
      </c>
      <c r="I38" s="78">
        <v>0</v>
      </c>
      <c r="J38" s="78" t="s">
        <v>29</v>
      </c>
      <c r="K38" s="43">
        <f t="shared" si="3"/>
        <v>39433</v>
      </c>
    </row>
    <row r="39" spans="1:11" ht="11.25" customHeight="1" x14ac:dyDescent="0.25">
      <c r="A39" s="118">
        <v>2011</v>
      </c>
      <c r="B39" s="78">
        <f>'A-8'!L64</f>
        <v>2836</v>
      </c>
      <c r="C39" s="78">
        <f>'A-8'!L135</f>
        <v>1106</v>
      </c>
      <c r="D39" s="78">
        <f>'A-8'!L206</f>
        <v>4980</v>
      </c>
      <c r="E39" s="78">
        <f>'A-8'!L277</f>
        <v>21833</v>
      </c>
      <c r="F39" s="78">
        <f>'A-8'!L348</f>
        <v>1326</v>
      </c>
      <c r="G39" s="78">
        <f>'A-8'!L490</f>
        <v>32081</v>
      </c>
      <c r="H39" s="78">
        <v>0</v>
      </c>
      <c r="I39" s="78">
        <v>0</v>
      </c>
      <c r="J39" s="78" t="s">
        <v>29</v>
      </c>
      <c r="K39" s="43">
        <f t="shared" si="3"/>
        <v>32081</v>
      </c>
    </row>
    <row r="40" spans="1:11" ht="11.25" customHeight="1" x14ac:dyDescent="0.25">
      <c r="A40" s="118">
        <v>2012</v>
      </c>
      <c r="B40" s="78">
        <f>'A-8'!L65</f>
        <v>8444</v>
      </c>
      <c r="C40" s="78">
        <f>'A-8'!L136</f>
        <v>7397</v>
      </c>
      <c r="D40" s="78">
        <f>'A-8'!L207</f>
        <v>26612</v>
      </c>
      <c r="E40" s="78">
        <f>'A-8'!L278</f>
        <v>25204</v>
      </c>
      <c r="F40" s="78">
        <f>'A-8'!L349</f>
        <v>5444</v>
      </c>
      <c r="G40" s="78">
        <f>'A-8'!L491</f>
        <v>73101</v>
      </c>
      <c r="H40" s="78">
        <v>0</v>
      </c>
      <c r="I40" s="78">
        <v>0</v>
      </c>
      <c r="J40" s="78" t="s">
        <v>29</v>
      </c>
      <c r="K40" s="43">
        <f t="shared" si="3"/>
        <v>73101</v>
      </c>
    </row>
    <row r="41" spans="1:11" ht="11.25" customHeight="1" x14ac:dyDescent="0.25">
      <c r="A41" s="118">
        <v>2013</v>
      </c>
      <c r="B41" s="78">
        <f>'A-8'!L66</f>
        <v>1945</v>
      </c>
      <c r="C41" s="78">
        <f>'A-8'!L137</f>
        <v>8880</v>
      </c>
      <c r="D41" s="78">
        <f>'A-8'!L208</f>
        <v>15700</v>
      </c>
      <c r="E41" s="78">
        <f>'A-8'!L279</f>
        <v>79416</v>
      </c>
      <c r="F41" s="78">
        <f>'A-8'!L350</f>
        <v>6816</v>
      </c>
      <c r="G41" s="78">
        <f>'A-8'!L492</f>
        <v>112757</v>
      </c>
      <c r="H41" s="78">
        <v>0</v>
      </c>
      <c r="I41" s="78">
        <v>0</v>
      </c>
      <c r="J41" s="78" t="s">
        <v>29</v>
      </c>
      <c r="K41" s="43">
        <f t="shared" si="3"/>
        <v>112757</v>
      </c>
    </row>
    <row r="42" spans="1:11" ht="11.25" customHeight="1" x14ac:dyDescent="0.25">
      <c r="A42" s="117">
        <v>2014</v>
      </c>
      <c r="B42" s="78">
        <f>'A-8'!L67</f>
        <v>16182</v>
      </c>
      <c r="C42" s="78">
        <f>'A-8'!L138</f>
        <v>7009</v>
      </c>
      <c r="D42" s="78">
        <f>'A-8'!L209</f>
        <v>83122</v>
      </c>
      <c r="E42" s="78">
        <f>'A-8'!L280</f>
        <v>85637</v>
      </c>
      <c r="F42" s="78">
        <f>'A-8'!L351</f>
        <v>16146</v>
      </c>
      <c r="G42" s="78">
        <f>'A-8'!L493</f>
        <v>208096</v>
      </c>
      <c r="H42" s="78">
        <v>0</v>
      </c>
      <c r="I42" s="78">
        <v>0</v>
      </c>
      <c r="J42" s="78" t="s">
        <v>29</v>
      </c>
      <c r="K42" s="43">
        <f t="shared" si="3"/>
        <v>208096</v>
      </c>
    </row>
    <row r="43" spans="1:11" ht="11.25" customHeight="1" x14ac:dyDescent="0.25">
      <c r="A43" s="118">
        <v>2015</v>
      </c>
      <c r="B43" s="78">
        <f>'A-8'!L68</f>
        <v>10882</v>
      </c>
      <c r="C43" s="78">
        <f>'A-8'!L139</f>
        <v>8845</v>
      </c>
      <c r="D43" s="78">
        <f>'A-8'!L210</f>
        <v>36858</v>
      </c>
      <c r="E43" s="78">
        <f>'A-8'!L281</f>
        <v>43451</v>
      </c>
      <c r="F43" s="78">
        <f>'A-8'!L352</f>
        <v>4223</v>
      </c>
      <c r="G43" s="78">
        <f>'A-8'!L494</f>
        <v>104259</v>
      </c>
      <c r="H43" s="78">
        <v>0</v>
      </c>
      <c r="I43" s="78">
        <v>0</v>
      </c>
      <c r="J43" s="78" t="s">
        <v>29</v>
      </c>
      <c r="K43" s="43">
        <f t="shared" si="3"/>
        <v>104259</v>
      </c>
    </row>
    <row r="44" spans="1:11" ht="11.25" customHeight="1" x14ac:dyDescent="0.25">
      <c r="A44" s="118">
        <v>2016</v>
      </c>
      <c r="B44" s="78">
        <f>'A-8'!L69</f>
        <v>2058</v>
      </c>
      <c r="C44" s="78">
        <f>'A-8'!L140</f>
        <v>1067</v>
      </c>
      <c r="D44" s="78">
        <f>'A-8'!L211</f>
        <v>31281</v>
      </c>
      <c r="E44" s="78">
        <f>'A-8'!L282</f>
        <v>7543</v>
      </c>
      <c r="F44" s="78">
        <f>'A-8'!L353</f>
        <v>398</v>
      </c>
      <c r="G44" s="78">
        <f>'A-8'!L495</f>
        <v>42347</v>
      </c>
      <c r="H44" s="78">
        <v>0</v>
      </c>
      <c r="I44" s="78">
        <v>0</v>
      </c>
      <c r="J44" s="78" t="s">
        <v>29</v>
      </c>
      <c r="K44" s="43">
        <f t="shared" si="3"/>
        <v>42347</v>
      </c>
    </row>
    <row r="45" spans="1:11" ht="11.25" customHeight="1" x14ac:dyDescent="0.25">
      <c r="A45" s="118">
        <v>2017</v>
      </c>
      <c r="B45" s="78">
        <f>'A-8'!L70</f>
        <v>2627</v>
      </c>
      <c r="C45" s="78">
        <f>'A-8'!L141</f>
        <v>717</v>
      </c>
      <c r="D45" s="78">
        <f>'A-8'!L212</f>
        <v>17438</v>
      </c>
      <c r="E45" s="78">
        <f>'A-8'!L283</f>
        <v>734</v>
      </c>
      <c r="F45" s="78">
        <f>'A-8'!L354</f>
        <v>329</v>
      </c>
      <c r="G45" s="78">
        <f>'A-8'!L496</f>
        <v>21845</v>
      </c>
      <c r="H45" s="78">
        <v>0</v>
      </c>
      <c r="I45" s="78">
        <v>0</v>
      </c>
      <c r="J45" s="78" t="s">
        <v>29</v>
      </c>
      <c r="K45" s="43">
        <f t="shared" si="3"/>
        <v>21845</v>
      </c>
    </row>
    <row r="46" spans="1:11" s="357" customFormat="1" ht="11.25" customHeight="1" x14ac:dyDescent="0.25">
      <c r="A46" s="118">
        <v>2018</v>
      </c>
      <c r="B46" s="78">
        <f>'A-8'!L71</f>
        <v>333</v>
      </c>
      <c r="C46" s="78">
        <f>'A-8'!L142</f>
        <v>465</v>
      </c>
      <c r="D46" s="78">
        <f>'A-8'!L213</f>
        <v>14487</v>
      </c>
      <c r="E46" s="78">
        <f>'A-8'!L284</f>
        <v>5277</v>
      </c>
      <c r="F46" s="78">
        <f>'A-8'!L355</f>
        <v>3899</v>
      </c>
      <c r="G46" s="78">
        <f>'A-8'!L497</f>
        <v>24461</v>
      </c>
      <c r="H46" s="78">
        <v>0</v>
      </c>
      <c r="I46" s="78">
        <v>0</v>
      </c>
      <c r="J46" s="78" t="s">
        <v>29</v>
      </c>
      <c r="K46" s="43">
        <f t="shared" si="3"/>
        <v>24461</v>
      </c>
    </row>
    <row r="47" spans="1:11" s="357" customFormat="1" ht="11.25" customHeight="1" x14ac:dyDescent="0.25">
      <c r="A47" s="118">
        <v>2019</v>
      </c>
      <c r="B47" s="78">
        <f>'A-8'!L72</f>
        <v>508</v>
      </c>
      <c r="C47" s="78">
        <f>'A-8'!L143</f>
        <v>567</v>
      </c>
      <c r="D47" s="78">
        <f>'A-8'!L214</f>
        <v>22764</v>
      </c>
      <c r="E47" s="78">
        <f>'A-8'!L285</f>
        <v>3171</v>
      </c>
      <c r="F47" s="78">
        <f>'A-8'!L356</f>
        <v>1872</v>
      </c>
      <c r="G47" s="78">
        <f>'A-8'!L498</f>
        <v>28882</v>
      </c>
      <c r="H47" s="78">
        <v>0</v>
      </c>
      <c r="I47" s="78">
        <v>0</v>
      </c>
      <c r="J47" s="78" t="s">
        <v>29</v>
      </c>
      <c r="K47" s="43">
        <f t="shared" ref="K47" si="4">SUM(G47:J47)</f>
        <v>28882</v>
      </c>
    </row>
    <row r="48" spans="1:11" ht="11.25" customHeight="1" x14ac:dyDescent="0.25">
      <c r="A48" s="118" t="s">
        <v>393</v>
      </c>
      <c r="B48" s="78">
        <f>'A-8'!L73</f>
        <v>190</v>
      </c>
      <c r="C48" s="78">
        <f>'A-8'!L144</f>
        <v>683</v>
      </c>
      <c r="D48" s="78">
        <f>'A-8'!L215</f>
        <v>8840</v>
      </c>
      <c r="E48" s="78">
        <f>'A-8'!L286</f>
        <v>2217</v>
      </c>
      <c r="F48" s="78">
        <f>'A-8'!L357</f>
        <v>825</v>
      </c>
      <c r="G48" s="78">
        <f>'A-8'!L499</f>
        <v>12755</v>
      </c>
      <c r="H48" s="78">
        <v>0</v>
      </c>
      <c r="I48" s="78">
        <v>0</v>
      </c>
      <c r="J48" s="78" t="s">
        <v>29</v>
      </c>
      <c r="K48" s="43">
        <f t="shared" si="3"/>
        <v>12755</v>
      </c>
    </row>
    <row r="49" spans="1:12" ht="11.25" customHeight="1" x14ac:dyDescent="0.25">
      <c r="B49" s="76"/>
      <c r="C49" s="76"/>
      <c r="D49" s="76"/>
      <c r="E49" s="82"/>
      <c r="F49" s="82"/>
      <c r="G49" s="82"/>
      <c r="H49" s="76"/>
      <c r="I49" s="76"/>
      <c r="J49" s="76"/>
      <c r="K49" s="79"/>
    </row>
    <row r="50" spans="1:12" ht="11.25" customHeight="1" x14ac:dyDescent="0.25">
      <c r="A50" s="124" t="s">
        <v>323</v>
      </c>
      <c r="B50" s="75"/>
      <c r="C50" s="75"/>
      <c r="D50" s="75"/>
      <c r="E50" s="80"/>
      <c r="F50" s="80"/>
      <c r="G50" s="80"/>
      <c r="H50" s="75"/>
      <c r="I50" s="75"/>
      <c r="J50" s="75"/>
      <c r="K50" s="41"/>
      <c r="L50" s="35"/>
    </row>
    <row r="51" spans="1:12" ht="11.25" customHeight="1" x14ac:dyDescent="0.25">
      <c r="A51" s="112" t="s">
        <v>52</v>
      </c>
      <c r="B51" s="45"/>
      <c r="C51" s="45"/>
      <c r="D51" s="45"/>
      <c r="E51" s="81"/>
      <c r="F51" s="81"/>
      <c r="G51" s="81" t="s">
        <v>27</v>
      </c>
      <c r="H51" s="45"/>
      <c r="I51" s="45"/>
      <c r="J51" s="45"/>
      <c r="K51" s="45"/>
      <c r="L51" s="77"/>
    </row>
    <row r="52" spans="1:12" ht="11.25" customHeight="1" x14ac:dyDescent="0.25">
      <c r="A52" s="124" t="s">
        <v>264</v>
      </c>
      <c r="B52" s="44" t="s">
        <v>112</v>
      </c>
      <c r="C52" s="44" t="s">
        <v>53</v>
      </c>
      <c r="D52" s="44" t="s">
        <v>54</v>
      </c>
      <c r="E52" s="80" t="s">
        <v>55</v>
      </c>
      <c r="F52" s="80" t="s">
        <v>56</v>
      </c>
      <c r="G52" s="80" t="s">
        <v>57</v>
      </c>
      <c r="H52" s="44" t="s">
        <v>58</v>
      </c>
      <c r="I52" s="44" t="s">
        <v>59</v>
      </c>
      <c r="J52" s="44" t="s">
        <v>60</v>
      </c>
      <c r="K52" s="44" t="s">
        <v>61</v>
      </c>
      <c r="L52" s="77"/>
    </row>
    <row r="53" spans="1:12" ht="11.25" customHeight="1" x14ac:dyDescent="0.25">
      <c r="A53" s="535" t="s">
        <v>115</v>
      </c>
      <c r="B53" s="535"/>
      <c r="C53" s="535"/>
      <c r="D53" s="535"/>
      <c r="E53" s="535"/>
      <c r="F53" s="535"/>
      <c r="G53" s="535"/>
      <c r="H53" s="535"/>
      <c r="I53" s="535"/>
      <c r="J53" s="535"/>
      <c r="K53" s="535"/>
    </row>
    <row r="54" spans="1:12" ht="11.25" hidden="1" customHeight="1" x14ac:dyDescent="0.25">
      <c r="A54" s="112" t="s">
        <v>32</v>
      </c>
      <c r="B54" s="50" t="e">
        <f>'A-8'!#REF!</f>
        <v>#REF!</v>
      </c>
      <c r="C54" s="50" t="e">
        <f>'A-8'!#REF!</f>
        <v>#REF!</v>
      </c>
      <c r="D54" s="50" t="e">
        <f>'A-8'!#REF!</f>
        <v>#REF!</v>
      </c>
      <c r="E54" s="81" t="e">
        <f>'A-8'!#REF!</f>
        <v>#REF!</v>
      </c>
      <c r="F54" s="81" t="e">
        <f>'A-8'!#REF!</f>
        <v>#REF!</v>
      </c>
      <c r="G54" s="81" t="e">
        <f>'A-8'!#REF!</f>
        <v>#REF!</v>
      </c>
      <c r="H54" s="50">
        <v>1800</v>
      </c>
      <c r="I54" s="50">
        <v>9300</v>
      </c>
      <c r="J54" s="50">
        <v>300</v>
      </c>
      <c r="K54" s="42" t="e">
        <f t="shared" ref="K54:K59" si="5">SUM(G54:J54)</f>
        <v>#REF!</v>
      </c>
    </row>
    <row r="55" spans="1:12" ht="11.25" customHeight="1" x14ac:dyDescent="0.25">
      <c r="A55" s="112" t="s">
        <v>62</v>
      </c>
      <c r="B55" s="50">
        <f>'A-8'!S531</f>
        <v>21305</v>
      </c>
      <c r="C55" s="50">
        <f>'A-8'!S553</f>
        <v>84330.5</v>
      </c>
      <c r="D55" s="50">
        <f>'A-8'!S578</f>
        <v>109714.5</v>
      </c>
      <c r="E55" s="50">
        <f>'A-8'!S600</f>
        <v>131469.5</v>
      </c>
      <c r="F55" s="50">
        <f>'A-8'!S625</f>
        <v>24728.25</v>
      </c>
      <c r="G55" s="50">
        <f>'A-8'!S672</f>
        <v>301499.2</v>
      </c>
      <c r="H55" s="50">
        <v>0</v>
      </c>
      <c r="I55" s="50">
        <v>9590</v>
      </c>
      <c r="J55" s="50">
        <v>621</v>
      </c>
      <c r="K55" s="42">
        <f t="shared" si="5"/>
        <v>311710.2</v>
      </c>
    </row>
    <row r="56" spans="1:12" ht="11.25" customHeight="1" x14ac:dyDescent="0.25">
      <c r="A56" s="112" t="s">
        <v>87</v>
      </c>
      <c r="B56" s="50">
        <f>'A-8'!S532</f>
        <v>21363.75</v>
      </c>
      <c r="C56" s="50">
        <f>'A-8'!S554</f>
        <v>106658.4</v>
      </c>
      <c r="D56" s="50">
        <f>'A-8'!S579</f>
        <v>135872.20000000001</v>
      </c>
      <c r="E56" s="50">
        <f>'A-8'!S601</f>
        <v>132522</v>
      </c>
      <c r="F56" s="50">
        <f>'A-8'!S626</f>
        <v>6374.5</v>
      </c>
      <c r="G56" s="50">
        <f>'A-8'!S673</f>
        <v>397243.2</v>
      </c>
      <c r="H56" s="50">
        <v>7.2</v>
      </c>
      <c r="I56" s="50">
        <v>4178.5</v>
      </c>
      <c r="J56" s="50">
        <v>279</v>
      </c>
      <c r="K56" s="42">
        <f>SUM(G56:J56)</f>
        <v>401707.9</v>
      </c>
    </row>
    <row r="57" spans="1:12" ht="11.25" customHeight="1" x14ac:dyDescent="0.25">
      <c r="A57" s="112" t="s">
        <v>14</v>
      </c>
      <c r="B57" s="50">
        <f>'A-8'!S533</f>
        <v>9949</v>
      </c>
      <c r="C57" s="50">
        <f>'A-8'!S555</f>
        <v>48905</v>
      </c>
      <c r="D57" s="50">
        <f>'A-8'!S580</f>
        <v>41189.666666666664</v>
      </c>
      <c r="E57" s="50">
        <f>'A-8'!S602</f>
        <v>35624.666666666664</v>
      </c>
      <c r="F57" s="50" t="str">
        <f>'A-8'!S627</f>
        <v>-</v>
      </c>
      <c r="G57" s="50">
        <f>'A-8'!S674</f>
        <v>119366.66666666667</v>
      </c>
      <c r="H57" s="50">
        <v>0</v>
      </c>
      <c r="I57" s="50">
        <f>AVERAGE(280,137,5,0)</f>
        <v>105.5</v>
      </c>
      <c r="J57" s="50">
        <f>AVERAGE(55)</f>
        <v>55</v>
      </c>
      <c r="K57" s="42">
        <f>SUM(G57:J57)</f>
        <v>119527.16666666667</v>
      </c>
    </row>
    <row r="58" spans="1:12" ht="11.25" customHeight="1" x14ac:dyDescent="0.25">
      <c r="A58" s="117" t="s">
        <v>207</v>
      </c>
      <c r="B58" s="50">
        <f>'A-8'!S534</f>
        <v>12258</v>
      </c>
      <c r="C58" s="50" t="str">
        <f>'A-8'!S556</f>
        <v>-</v>
      </c>
      <c r="D58" s="50" t="str">
        <f>'A-8'!S581</f>
        <v>-</v>
      </c>
      <c r="E58" s="50">
        <f>'A-8'!S603</f>
        <v>8</v>
      </c>
      <c r="F58" s="50" t="str">
        <f>'A-8'!S628</f>
        <v>-</v>
      </c>
      <c r="G58" s="50">
        <f>'A-8'!S675</f>
        <v>6133</v>
      </c>
      <c r="H58" s="50">
        <v>0</v>
      </c>
      <c r="I58" s="50">
        <f>AVERAGE(0,172,0)</f>
        <v>57.333333333333336</v>
      </c>
      <c r="J58" s="74" t="s">
        <v>29</v>
      </c>
      <c r="K58" s="42">
        <f>SUM(G58:J58)</f>
        <v>6190.333333333333</v>
      </c>
    </row>
    <row r="59" spans="1:12" ht="11.25" customHeight="1" x14ac:dyDescent="0.25">
      <c r="A59" s="117" t="s">
        <v>238</v>
      </c>
      <c r="B59" s="50">
        <f>'A-8'!S535</f>
        <v>5749.2</v>
      </c>
      <c r="C59" s="50" t="str">
        <f>'A-8'!S557</f>
        <v>-</v>
      </c>
      <c r="D59" s="50" t="str">
        <f>'A-8'!S582</f>
        <v>-</v>
      </c>
      <c r="E59" s="50" t="str">
        <f>'A-8'!S604</f>
        <v>-</v>
      </c>
      <c r="F59" s="50" t="str">
        <f>'A-8'!S629</f>
        <v>-</v>
      </c>
      <c r="G59" s="50">
        <f>'A-8'!S676</f>
        <v>5749.2</v>
      </c>
      <c r="H59" s="50">
        <v>0</v>
      </c>
      <c r="I59" s="50">
        <f>AVERAGE(34,0,270,453)</f>
        <v>189.25</v>
      </c>
      <c r="J59" s="50" t="s">
        <v>29</v>
      </c>
      <c r="K59" s="42">
        <f t="shared" si="5"/>
        <v>5938.45</v>
      </c>
      <c r="L59" s="13"/>
    </row>
    <row r="60" spans="1:12" ht="11.25" customHeight="1" x14ac:dyDescent="0.25">
      <c r="A60" s="115">
        <v>2006</v>
      </c>
      <c r="B60" s="78">
        <f>'A-8'!S59</f>
        <v>1414</v>
      </c>
      <c r="C60" s="78" t="str">
        <f>'A-8'!S130</f>
        <v>-</v>
      </c>
      <c r="D60" s="78" t="str">
        <f>'A-8'!S201</f>
        <v>-</v>
      </c>
      <c r="E60" s="78" t="str">
        <f>'A-8'!S272</f>
        <v>-</v>
      </c>
      <c r="F60" s="78" t="str">
        <f>'A-8'!S343</f>
        <v>-</v>
      </c>
      <c r="G60" s="78">
        <f>'A-8'!S485</f>
        <v>1414</v>
      </c>
      <c r="H60" s="78">
        <v>0</v>
      </c>
      <c r="I60" s="78">
        <v>0</v>
      </c>
      <c r="J60" s="78" t="s">
        <v>29</v>
      </c>
      <c r="K60" s="43">
        <f t="shared" ref="K60:K74" si="6">SUM(G60:J60)</f>
        <v>1414</v>
      </c>
    </row>
    <row r="61" spans="1:12" ht="11.25" customHeight="1" x14ac:dyDescent="0.25">
      <c r="A61" s="115">
        <v>2007</v>
      </c>
      <c r="B61" s="78">
        <f>'A-8'!S60</f>
        <v>11554</v>
      </c>
      <c r="C61" s="78">
        <f>'A-8'!S131</f>
        <v>1279</v>
      </c>
      <c r="D61" s="78">
        <f>'A-8'!S202</f>
        <v>1883</v>
      </c>
      <c r="E61" s="78">
        <f>'A-8'!S273</f>
        <v>2393</v>
      </c>
      <c r="F61" s="78" t="str">
        <f>'A-8'!S344</f>
        <v>-</v>
      </c>
      <c r="G61" s="78">
        <f>'A-8'!S486</f>
        <v>17109</v>
      </c>
      <c r="H61" s="78">
        <v>0</v>
      </c>
      <c r="I61" s="78">
        <v>0</v>
      </c>
      <c r="J61" s="78" t="s">
        <v>29</v>
      </c>
      <c r="K61" s="43">
        <f t="shared" si="6"/>
        <v>17109</v>
      </c>
    </row>
    <row r="62" spans="1:12" ht="11.25" customHeight="1" x14ac:dyDescent="0.25">
      <c r="A62" s="115">
        <v>2008</v>
      </c>
      <c r="B62" s="78">
        <f>'A-8'!S61</f>
        <v>434</v>
      </c>
      <c r="C62" s="78" t="str">
        <f>'A-8'!S132</f>
        <v>-</v>
      </c>
      <c r="D62" s="78" t="str">
        <f>'A-8'!S203</f>
        <v>-</v>
      </c>
      <c r="E62" s="78" t="str">
        <f>'A-8'!S274</f>
        <v>-</v>
      </c>
      <c r="F62" s="78" t="str">
        <f>'A-8'!S345</f>
        <v>-</v>
      </c>
      <c r="G62" s="78">
        <f>'A-8'!S487</f>
        <v>434</v>
      </c>
      <c r="H62" s="78">
        <v>0</v>
      </c>
      <c r="I62" s="78">
        <v>0</v>
      </c>
      <c r="J62" s="78" t="s">
        <v>29</v>
      </c>
      <c r="K62" s="43">
        <f t="shared" si="6"/>
        <v>434</v>
      </c>
    </row>
    <row r="63" spans="1:12" ht="11.25" customHeight="1" x14ac:dyDescent="0.25">
      <c r="A63" s="118">
        <v>2009</v>
      </c>
      <c r="B63" s="78">
        <f>'A-8'!S62</f>
        <v>12684</v>
      </c>
      <c r="C63" s="78">
        <f>'A-8'!S133</f>
        <v>3490</v>
      </c>
      <c r="D63" s="78">
        <f>'A-8'!S204</f>
        <v>5105</v>
      </c>
      <c r="E63" s="78">
        <f>'A-8'!S275</f>
        <v>683</v>
      </c>
      <c r="F63" s="78" t="str">
        <f>'A-8'!S346</f>
        <v>-</v>
      </c>
      <c r="G63" s="78">
        <f>'A-8'!S488</f>
        <v>21962</v>
      </c>
      <c r="H63" s="78">
        <v>0</v>
      </c>
      <c r="I63" s="78">
        <v>0</v>
      </c>
      <c r="J63" s="78" t="s">
        <v>29</v>
      </c>
      <c r="K63" s="43">
        <f t="shared" si="6"/>
        <v>21962</v>
      </c>
    </row>
    <row r="64" spans="1:12" ht="11.25" customHeight="1" x14ac:dyDescent="0.25">
      <c r="A64" s="118">
        <v>2010</v>
      </c>
      <c r="B64" s="78">
        <f>'A-8'!S63</f>
        <v>1040</v>
      </c>
      <c r="C64" s="78" t="str">
        <f>'A-8'!S134</f>
        <v>-</v>
      </c>
      <c r="D64" s="78" t="str">
        <f>'A-8'!S205</f>
        <v>-</v>
      </c>
      <c r="E64" s="78" t="str">
        <f>'A-8'!S276</f>
        <v>-</v>
      </c>
      <c r="F64" s="78" t="str">
        <f>'A-8'!S347</f>
        <v>-</v>
      </c>
      <c r="G64" s="78">
        <f>'A-8'!S489</f>
        <v>1040</v>
      </c>
      <c r="H64" s="78">
        <v>0</v>
      </c>
      <c r="I64" s="78">
        <v>0</v>
      </c>
      <c r="J64" s="78" t="s">
        <v>29</v>
      </c>
      <c r="K64" s="43">
        <f t="shared" si="6"/>
        <v>1040</v>
      </c>
    </row>
    <row r="65" spans="1:11" ht="11.25" customHeight="1" x14ac:dyDescent="0.25">
      <c r="A65" s="118">
        <v>2011</v>
      </c>
      <c r="B65" s="78">
        <f>'A-8'!S64</f>
        <v>464</v>
      </c>
      <c r="C65" s="78" t="str">
        <f>'A-8'!S135</f>
        <v>-</v>
      </c>
      <c r="D65" s="78" t="str">
        <f>'A-8'!S206</f>
        <v>-</v>
      </c>
      <c r="E65" s="78" t="str">
        <f>'A-8'!S277</f>
        <v>-</v>
      </c>
      <c r="F65" s="78" t="str">
        <f>'A-8'!S348</f>
        <v>-</v>
      </c>
      <c r="G65" s="78">
        <f>'A-8'!S490</f>
        <v>464</v>
      </c>
      <c r="H65" s="78">
        <v>0</v>
      </c>
      <c r="I65" s="78">
        <v>0</v>
      </c>
      <c r="J65" s="78" t="s">
        <v>29</v>
      </c>
      <c r="K65" s="43">
        <f t="shared" si="6"/>
        <v>464</v>
      </c>
    </row>
    <row r="66" spans="1:11" ht="11.25" customHeight="1" x14ac:dyDescent="0.25">
      <c r="A66" s="118">
        <v>2012</v>
      </c>
      <c r="B66" s="78">
        <f>'A-8'!S65</f>
        <v>624</v>
      </c>
      <c r="C66" s="78" t="str">
        <f>'A-8'!S136</f>
        <v>-</v>
      </c>
      <c r="D66" s="78" t="str">
        <f>'A-8'!S207</f>
        <v>-</v>
      </c>
      <c r="E66" s="78" t="str">
        <f>'A-8'!S278</f>
        <v>-</v>
      </c>
      <c r="F66" s="78" t="str">
        <f>'A-8'!S349</f>
        <v>-</v>
      </c>
      <c r="G66" s="78">
        <f>'A-8'!S491</f>
        <v>624</v>
      </c>
      <c r="H66" s="78">
        <v>0</v>
      </c>
      <c r="I66" s="78">
        <v>0</v>
      </c>
      <c r="J66" s="78" t="s">
        <v>29</v>
      </c>
      <c r="K66" s="43">
        <f t="shared" si="6"/>
        <v>624</v>
      </c>
    </row>
    <row r="67" spans="1:11" ht="11.25" customHeight="1" x14ac:dyDescent="0.25">
      <c r="A67" s="118">
        <v>2013</v>
      </c>
      <c r="B67" s="78">
        <f>'A-8'!S66</f>
        <v>452</v>
      </c>
      <c r="C67" s="78" t="str">
        <f>'A-8'!S137</f>
        <v>-</v>
      </c>
      <c r="D67" s="78" t="str">
        <f>'A-8'!S208</f>
        <v>-</v>
      </c>
      <c r="E67" s="78" t="str">
        <f>'A-8'!S279</f>
        <v>-</v>
      </c>
      <c r="F67" s="78" t="str">
        <f>'A-8'!S350</f>
        <v>-</v>
      </c>
      <c r="G67" s="78">
        <f>'A-8'!S492</f>
        <v>452</v>
      </c>
      <c r="H67" s="78">
        <v>0</v>
      </c>
      <c r="I67" s="78">
        <v>0</v>
      </c>
      <c r="J67" s="78" t="s">
        <v>29</v>
      </c>
      <c r="K67" s="43">
        <f t="shared" si="6"/>
        <v>452</v>
      </c>
    </row>
    <row r="68" spans="1:11" ht="11.25" customHeight="1" x14ac:dyDescent="0.25">
      <c r="A68" s="118">
        <v>2014</v>
      </c>
      <c r="B68" s="78">
        <f>'A-8'!S67</f>
        <v>7702</v>
      </c>
      <c r="C68" s="78">
        <f>'A-8'!S138</f>
        <v>1104</v>
      </c>
      <c r="D68" s="78">
        <f>'A-8'!S209</f>
        <v>1222</v>
      </c>
      <c r="E68" s="78">
        <f>'A-8'!S280</f>
        <v>970</v>
      </c>
      <c r="F68" s="78" t="str">
        <f>'A-8'!S351</f>
        <v>-</v>
      </c>
      <c r="G68" s="78">
        <f>'A-8'!S493</f>
        <v>10998</v>
      </c>
      <c r="H68" s="78">
        <v>0</v>
      </c>
      <c r="I68" s="78">
        <v>0</v>
      </c>
      <c r="J68" s="78" t="s">
        <v>29</v>
      </c>
      <c r="K68" s="43">
        <f t="shared" si="6"/>
        <v>10998</v>
      </c>
    </row>
    <row r="69" spans="1:11" ht="11.25" customHeight="1" x14ac:dyDescent="0.25">
      <c r="A69" s="118">
        <v>2015</v>
      </c>
      <c r="B69" s="78">
        <f>'A-8'!S68</f>
        <v>2213</v>
      </c>
      <c r="C69" s="78" t="str">
        <f>'A-8'!S139</f>
        <v>-</v>
      </c>
      <c r="D69" s="78" t="str">
        <f>'A-8'!S210</f>
        <v>-</v>
      </c>
      <c r="E69" s="78" t="str">
        <f>'A-8'!S281</f>
        <v>-</v>
      </c>
      <c r="F69" s="78" t="str">
        <f>'A-8'!S352</f>
        <v>-</v>
      </c>
      <c r="G69" s="78">
        <f>'A-8'!S494</f>
        <v>2213</v>
      </c>
      <c r="H69" s="78">
        <v>0</v>
      </c>
      <c r="I69" s="78">
        <v>0</v>
      </c>
      <c r="J69" s="78" t="s">
        <v>29</v>
      </c>
      <c r="K69" s="43">
        <f t="shared" si="6"/>
        <v>2213</v>
      </c>
    </row>
    <row r="70" spans="1:11" ht="11.25" customHeight="1" x14ac:dyDescent="0.25">
      <c r="A70" s="118">
        <v>2016</v>
      </c>
      <c r="B70" s="78" t="str">
        <f>'A-8'!S69</f>
        <v>-</v>
      </c>
      <c r="C70" s="78" t="str">
        <f>'A-8'!S140</f>
        <v>-</v>
      </c>
      <c r="D70" s="78" t="str">
        <f>'A-8'!S211</f>
        <v>-</v>
      </c>
      <c r="E70" s="78" t="str">
        <f>'A-8'!S282</f>
        <v>-</v>
      </c>
      <c r="F70" s="78" t="str">
        <f>'A-8'!S353</f>
        <v>-</v>
      </c>
      <c r="G70" s="78" t="str">
        <f>'A-8'!S495</f>
        <v>-</v>
      </c>
      <c r="H70" s="78">
        <v>0</v>
      </c>
      <c r="I70" s="78">
        <v>0</v>
      </c>
      <c r="J70" s="78" t="s">
        <v>29</v>
      </c>
      <c r="K70" s="43">
        <f t="shared" si="6"/>
        <v>0</v>
      </c>
    </row>
    <row r="71" spans="1:11" ht="11.25" customHeight="1" x14ac:dyDescent="0.25">
      <c r="A71" s="118">
        <v>2017</v>
      </c>
      <c r="B71" s="78">
        <f>'A-8'!S70</f>
        <v>470</v>
      </c>
      <c r="C71" s="78" t="str">
        <f>'A-8'!S141</f>
        <v>-</v>
      </c>
      <c r="D71" s="78" t="str">
        <f>'A-8'!S212</f>
        <v>-</v>
      </c>
      <c r="E71" s="78" t="str">
        <f>'A-8'!S283</f>
        <v>-</v>
      </c>
      <c r="F71" s="78" t="str">
        <f>'A-8'!S354</f>
        <v>-</v>
      </c>
      <c r="G71" s="78">
        <f>'A-8'!S496</f>
        <v>470</v>
      </c>
      <c r="H71" s="78">
        <v>0</v>
      </c>
      <c r="I71" s="78">
        <v>0</v>
      </c>
      <c r="J71" s="78" t="s">
        <v>29</v>
      </c>
      <c r="K71" s="43">
        <f t="shared" si="6"/>
        <v>470</v>
      </c>
    </row>
    <row r="72" spans="1:11" s="357" customFormat="1" ht="11.25" customHeight="1" x14ac:dyDescent="0.25">
      <c r="A72" s="118">
        <v>2018</v>
      </c>
      <c r="B72" s="78">
        <f>'A-8'!S71</f>
        <v>92</v>
      </c>
      <c r="C72" s="78" t="str">
        <f>'A-8'!S142</f>
        <v>-</v>
      </c>
      <c r="D72" s="78" t="str">
        <f>'A-8'!S213</f>
        <v>-</v>
      </c>
      <c r="E72" s="78" t="str">
        <f>'A-8'!S284</f>
        <v>-</v>
      </c>
      <c r="F72" s="78" t="str">
        <f>'A-8'!S355</f>
        <v>-</v>
      </c>
      <c r="G72" s="78">
        <f>'A-8'!S497</f>
        <v>92</v>
      </c>
      <c r="H72" s="78">
        <v>0</v>
      </c>
      <c r="I72" s="78">
        <v>0</v>
      </c>
      <c r="J72" s="78" t="s">
        <v>29</v>
      </c>
      <c r="K72" s="43">
        <f t="shared" si="6"/>
        <v>92</v>
      </c>
    </row>
    <row r="73" spans="1:11" s="357" customFormat="1" ht="11.25" customHeight="1" x14ac:dyDescent="0.25">
      <c r="A73" s="118">
        <v>2019</v>
      </c>
      <c r="B73" s="78">
        <f>'A-8'!S72</f>
        <v>1412</v>
      </c>
      <c r="C73" s="78" t="str">
        <f>'A-8'!S143</f>
        <v>-</v>
      </c>
      <c r="D73" s="78" t="str">
        <f>'A-8'!S214</f>
        <v>-</v>
      </c>
      <c r="E73" s="78" t="str">
        <f>'A-8'!S285</f>
        <v>-</v>
      </c>
      <c r="F73" s="78" t="str">
        <f>'A-8'!S356</f>
        <v>-</v>
      </c>
      <c r="G73" s="78">
        <f>'A-8'!S498</f>
        <v>1412</v>
      </c>
      <c r="H73" s="78">
        <v>0</v>
      </c>
      <c r="I73" s="78">
        <v>0</v>
      </c>
      <c r="J73" s="78" t="s">
        <v>29</v>
      </c>
      <c r="K73" s="43">
        <f t="shared" ref="K73" si="7">SUM(G73:J73)</f>
        <v>1412</v>
      </c>
    </row>
    <row r="74" spans="1:11" ht="11.25" customHeight="1" x14ac:dyDescent="0.25">
      <c r="A74" s="118" t="s">
        <v>393</v>
      </c>
      <c r="B74" s="78">
        <f>'A-8'!S73</f>
        <v>129</v>
      </c>
      <c r="C74" s="78" t="str">
        <f>'A-8'!S144</f>
        <v>-</v>
      </c>
      <c r="D74" s="78" t="str">
        <f>'A-8'!S215</f>
        <v>-</v>
      </c>
      <c r="E74" s="78" t="str">
        <f>'A-8'!S286</f>
        <v>-</v>
      </c>
      <c r="F74" s="78" t="str">
        <f>'A-8'!S357</f>
        <v>-</v>
      </c>
      <c r="G74" s="78">
        <f>'A-8'!S499</f>
        <v>129</v>
      </c>
      <c r="H74" s="78">
        <v>0</v>
      </c>
      <c r="I74" s="78">
        <v>0</v>
      </c>
      <c r="J74" s="78" t="s">
        <v>29</v>
      </c>
      <c r="K74" s="43">
        <f t="shared" si="6"/>
        <v>129</v>
      </c>
    </row>
    <row r="75" spans="1:11" s="334" customFormat="1" ht="55.5" customHeight="1" x14ac:dyDescent="0.25">
      <c r="A75" s="536" t="s">
        <v>194</v>
      </c>
      <c r="B75" s="536"/>
      <c r="C75" s="536"/>
      <c r="D75" s="536"/>
      <c r="E75" s="536"/>
      <c r="F75" s="536"/>
      <c r="G75" s="536"/>
      <c r="H75" s="536"/>
      <c r="I75" s="536"/>
      <c r="J75" s="536"/>
      <c r="K75" s="536"/>
    </row>
    <row r="76" spans="1:11" ht="11.25" customHeight="1" x14ac:dyDescent="0.25">
      <c r="A76" s="296" t="s">
        <v>48</v>
      </c>
      <c r="B76" s="297"/>
      <c r="C76" s="297"/>
      <c r="D76" s="297"/>
      <c r="E76" s="297"/>
      <c r="F76" s="297"/>
      <c r="G76" s="297"/>
      <c r="H76" s="297"/>
      <c r="I76" s="297"/>
      <c r="J76" s="297"/>
      <c r="K76" s="297"/>
    </row>
    <row r="77" spans="1:11" ht="11.25" customHeight="1" x14ac:dyDescent="0.25">
      <c r="A77" s="297"/>
      <c r="B77" s="297"/>
      <c r="C77" s="297"/>
      <c r="D77" s="297"/>
      <c r="E77" s="297"/>
      <c r="F77" s="297"/>
      <c r="G77" s="297"/>
      <c r="H77" s="297"/>
      <c r="I77" s="297"/>
      <c r="J77" s="297"/>
      <c r="K77" s="297"/>
    </row>
    <row r="78" spans="1:11" ht="11.25" customHeight="1" x14ac:dyDescent="0.25">
      <c r="A78" s="297"/>
      <c r="B78" s="297"/>
      <c r="C78" s="297"/>
      <c r="D78" s="297"/>
      <c r="E78" s="297"/>
      <c r="F78" s="297"/>
      <c r="G78" s="297"/>
      <c r="H78" s="297"/>
      <c r="I78" s="297"/>
      <c r="J78" s="297"/>
      <c r="K78" s="297"/>
    </row>
    <row r="79" spans="1:11" ht="11.25" customHeight="1" x14ac:dyDescent="0.25">
      <c r="B79" s="296"/>
      <c r="C79" s="296"/>
      <c r="D79" s="296"/>
      <c r="E79" s="296"/>
      <c r="F79" s="296"/>
      <c r="G79" s="296"/>
      <c r="H79" s="296"/>
      <c r="I79" s="296"/>
      <c r="J79" s="296"/>
      <c r="K79" s="296"/>
    </row>
    <row r="184" spans="1:1" x14ac:dyDescent="0.25">
      <c r="A184" s="117"/>
    </row>
  </sheetData>
  <mergeCells count="4">
    <mergeCell ref="A4:K4"/>
    <mergeCell ref="A75:K75"/>
    <mergeCell ref="A53:K53"/>
    <mergeCell ref="A27:K27"/>
  </mergeCells>
  <pageMargins left="0.7" right="0.7" top="0.75" bottom="0.75" header="0.3" footer="0.3"/>
  <pageSetup orientation="landscape" r:id="rId1"/>
  <rowBreaks count="1" manualBreakCount="1">
    <brk id="49" max="10"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0"/>
  <dimension ref="A1:L640"/>
  <sheetViews>
    <sheetView showGridLines="0" topLeftCell="A376" zoomScale="90" zoomScaleNormal="90" zoomScaleSheetLayoutView="90" workbookViewId="0">
      <selection activeCell="S408" sqref="S408"/>
    </sheetView>
  </sheetViews>
  <sheetFormatPr defaultColWidth="8" defaultRowHeight="11.25" x14ac:dyDescent="0.2"/>
  <cols>
    <col min="1" max="1" width="8.875" style="364" customWidth="1"/>
    <col min="2" max="12" width="8.875" style="74" customWidth="1"/>
    <col min="13" max="16384" width="8" style="318"/>
  </cols>
  <sheetData>
    <row r="1" spans="1:12" s="314" customFormat="1" ht="12.75" customHeight="1" x14ac:dyDescent="0.25">
      <c r="A1" s="543" t="s">
        <v>289</v>
      </c>
      <c r="B1" s="543"/>
      <c r="C1" s="543"/>
      <c r="D1" s="543"/>
      <c r="E1" s="543"/>
      <c r="F1" s="543"/>
      <c r="G1" s="543"/>
      <c r="H1" s="543"/>
      <c r="I1" s="543"/>
      <c r="J1" s="543"/>
      <c r="K1" s="543"/>
      <c r="L1" s="543"/>
    </row>
    <row r="2" spans="1:12" s="315" customFormat="1" ht="12.75" customHeight="1" x14ac:dyDescent="0.25">
      <c r="A2" s="544" t="s">
        <v>49</v>
      </c>
      <c r="B2" s="363"/>
      <c r="C2" s="363"/>
      <c r="D2" s="363"/>
      <c r="E2" s="363"/>
      <c r="F2" s="363"/>
      <c r="G2" s="363"/>
      <c r="H2" s="363"/>
      <c r="I2" s="363"/>
      <c r="J2" s="363"/>
      <c r="K2" s="363"/>
      <c r="L2" s="363"/>
    </row>
    <row r="3" spans="1:12" s="213" customFormat="1" x14ac:dyDescent="0.25">
      <c r="A3" s="545"/>
      <c r="B3" s="212" t="s">
        <v>43</v>
      </c>
      <c r="C3" s="212" t="s">
        <v>34</v>
      </c>
      <c r="D3" s="212" t="s">
        <v>35</v>
      </c>
      <c r="E3" s="212" t="s">
        <v>36</v>
      </c>
      <c r="F3" s="212" t="s">
        <v>37</v>
      </c>
      <c r="G3" s="212" t="s">
        <v>38</v>
      </c>
      <c r="H3" s="212" t="s">
        <v>39</v>
      </c>
      <c r="I3" s="212" t="s">
        <v>40</v>
      </c>
      <c r="J3" s="212" t="s">
        <v>44</v>
      </c>
      <c r="K3" s="212" t="s">
        <v>83</v>
      </c>
      <c r="L3" s="212" t="s">
        <v>28</v>
      </c>
    </row>
    <row r="4" spans="1:12" s="213" customFormat="1" x14ac:dyDescent="0.25">
      <c r="A4" s="214" t="s">
        <v>112</v>
      </c>
      <c r="B4" s="215"/>
      <c r="C4" s="215"/>
      <c r="D4" s="215"/>
      <c r="E4" s="215"/>
      <c r="F4" s="215"/>
      <c r="G4" s="215"/>
      <c r="H4" s="215"/>
      <c r="I4" s="215"/>
      <c r="J4" s="215"/>
      <c r="K4" s="215"/>
      <c r="L4" s="215"/>
    </row>
    <row r="5" spans="1:12" s="213" customFormat="1" x14ac:dyDescent="0.25">
      <c r="A5" s="216">
        <v>1971</v>
      </c>
      <c r="B5" s="215" t="s">
        <v>29</v>
      </c>
      <c r="C5" s="215">
        <v>14</v>
      </c>
      <c r="D5" s="215">
        <v>184</v>
      </c>
      <c r="E5" s="215">
        <v>539</v>
      </c>
      <c r="F5" s="215">
        <v>597</v>
      </c>
      <c r="G5" s="215">
        <v>710</v>
      </c>
      <c r="H5" s="215">
        <v>499</v>
      </c>
      <c r="I5" s="215">
        <v>85</v>
      </c>
      <c r="J5" s="215" t="s">
        <v>29</v>
      </c>
      <c r="K5" s="215" t="s">
        <v>29</v>
      </c>
      <c r="L5" s="215">
        <f t="shared" ref="L5:L43" si="0">SUM(B5:K5)</f>
        <v>2628</v>
      </c>
    </row>
    <row r="6" spans="1:12" s="213" customFormat="1" x14ac:dyDescent="0.25">
      <c r="A6" s="216">
        <v>1972</v>
      </c>
      <c r="B6" s="215" t="s">
        <v>29</v>
      </c>
      <c r="C6" s="215">
        <v>3</v>
      </c>
      <c r="D6" s="215">
        <v>145</v>
      </c>
      <c r="E6" s="215">
        <v>329</v>
      </c>
      <c r="F6" s="215">
        <v>486</v>
      </c>
      <c r="G6" s="215">
        <v>587</v>
      </c>
      <c r="H6" s="215">
        <v>394</v>
      </c>
      <c r="I6" s="215">
        <v>11</v>
      </c>
      <c r="J6" s="215" t="s">
        <v>29</v>
      </c>
      <c r="K6" s="215" t="s">
        <v>29</v>
      </c>
      <c r="L6" s="215">
        <f t="shared" si="0"/>
        <v>1955</v>
      </c>
    </row>
    <row r="7" spans="1:12" s="213" customFormat="1" x14ac:dyDescent="0.25">
      <c r="A7" s="216">
        <v>1973</v>
      </c>
      <c r="B7" s="215" t="s">
        <v>29</v>
      </c>
      <c r="C7" s="215">
        <v>49</v>
      </c>
      <c r="D7" s="215">
        <v>143</v>
      </c>
      <c r="E7" s="215">
        <v>347</v>
      </c>
      <c r="F7" s="215">
        <v>409</v>
      </c>
      <c r="G7" s="215">
        <v>336</v>
      </c>
      <c r="H7" s="215">
        <v>134</v>
      </c>
      <c r="I7" s="215">
        <v>52</v>
      </c>
      <c r="J7" s="215" t="s">
        <v>29</v>
      </c>
      <c r="K7" s="215" t="s">
        <v>29</v>
      </c>
      <c r="L7" s="215">
        <f t="shared" si="0"/>
        <v>1470</v>
      </c>
    </row>
    <row r="8" spans="1:12" s="213" customFormat="1" x14ac:dyDescent="0.25">
      <c r="A8" s="216">
        <v>1974</v>
      </c>
      <c r="B8" s="215" t="s">
        <v>29</v>
      </c>
      <c r="C8" s="215">
        <v>36</v>
      </c>
      <c r="D8" s="215">
        <v>257</v>
      </c>
      <c r="E8" s="215">
        <v>164</v>
      </c>
      <c r="F8" s="215">
        <v>456</v>
      </c>
      <c r="G8" s="215">
        <v>426</v>
      </c>
      <c r="H8" s="215">
        <v>226</v>
      </c>
      <c r="I8" s="215">
        <v>18</v>
      </c>
      <c r="J8" s="215" t="s">
        <v>29</v>
      </c>
      <c r="K8" s="215" t="s">
        <v>29</v>
      </c>
      <c r="L8" s="215">
        <f t="shared" si="0"/>
        <v>1583</v>
      </c>
    </row>
    <row r="9" spans="1:12" s="213" customFormat="1" x14ac:dyDescent="0.25">
      <c r="A9" s="216">
        <v>1975</v>
      </c>
      <c r="B9" s="215" t="s">
        <v>29</v>
      </c>
      <c r="C9" s="215">
        <v>14</v>
      </c>
      <c r="D9" s="215">
        <v>204</v>
      </c>
      <c r="E9" s="215">
        <v>379</v>
      </c>
      <c r="F9" s="215">
        <v>567</v>
      </c>
      <c r="G9" s="215">
        <v>333</v>
      </c>
      <c r="H9" s="215">
        <v>257</v>
      </c>
      <c r="I9" s="215">
        <v>20</v>
      </c>
      <c r="J9" s="215" t="s">
        <v>29</v>
      </c>
      <c r="K9" s="215" t="s">
        <v>29</v>
      </c>
      <c r="L9" s="215">
        <f t="shared" si="0"/>
        <v>1774</v>
      </c>
    </row>
    <row r="10" spans="1:12" s="213" customFormat="1" x14ac:dyDescent="0.25">
      <c r="A10" s="216">
        <v>1976</v>
      </c>
      <c r="B10" s="215" t="s">
        <v>29</v>
      </c>
      <c r="C10" s="215" t="s">
        <v>29</v>
      </c>
      <c r="D10" s="215">
        <v>385</v>
      </c>
      <c r="E10" s="215">
        <v>856</v>
      </c>
      <c r="F10" s="215">
        <v>1177</v>
      </c>
      <c r="G10" s="215">
        <v>893</v>
      </c>
      <c r="H10" s="215">
        <v>644</v>
      </c>
      <c r="I10" s="215">
        <v>121</v>
      </c>
      <c r="J10" s="215" t="s">
        <v>29</v>
      </c>
      <c r="K10" s="215" t="s">
        <v>29</v>
      </c>
      <c r="L10" s="215">
        <f t="shared" si="0"/>
        <v>4076</v>
      </c>
    </row>
    <row r="11" spans="1:12" s="213" customFormat="1" x14ac:dyDescent="0.25">
      <c r="A11" s="216">
        <v>1977</v>
      </c>
      <c r="B11" s="215" t="s">
        <v>29</v>
      </c>
      <c r="C11" s="215" t="s">
        <v>29</v>
      </c>
      <c r="D11" s="215">
        <v>319</v>
      </c>
      <c r="E11" s="215">
        <v>412</v>
      </c>
      <c r="F11" s="215">
        <v>2688</v>
      </c>
      <c r="G11" s="215">
        <v>552</v>
      </c>
      <c r="H11" s="215">
        <v>261</v>
      </c>
      <c r="I11" s="215">
        <v>90</v>
      </c>
      <c r="J11" s="215" t="s">
        <v>29</v>
      </c>
      <c r="K11" s="215" t="s">
        <v>29</v>
      </c>
      <c r="L11" s="215">
        <f t="shared" si="0"/>
        <v>4322</v>
      </c>
    </row>
    <row r="12" spans="1:12" s="213" customFormat="1" x14ac:dyDescent="0.25">
      <c r="A12" s="216">
        <v>1978</v>
      </c>
      <c r="B12" s="215" t="s">
        <v>29</v>
      </c>
      <c r="C12" s="215" t="s">
        <v>29</v>
      </c>
      <c r="D12" s="215">
        <v>73</v>
      </c>
      <c r="E12" s="215">
        <v>213</v>
      </c>
      <c r="F12" s="215">
        <v>893</v>
      </c>
      <c r="G12" s="215">
        <v>547</v>
      </c>
      <c r="H12" s="215">
        <v>201</v>
      </c>
      <c r="I12" s="215">
        <v>58</v>
      </c>
      <c r="J12" s="215" t="s">
        <v>29</v>
      </c>
      <c r="K12" s="215" t="s">
        <v>29</v>
      </c>
      <c r="L12" s="215">
        <f t="shared" si="0"/>
        <v>1985</v>
      </c>
    </row>
    <row r="13" spans="1:12" s="213" customFormat="1" x14ac:dyDescent="0.25">
      <c r="A13" s="216">
        <v>1979</v>
      </c>
      <c r="B13" s="215" t="s">
        <v>29</v>
      </c>
      <c r="C13" s="215" t="s">
        <v>29</v>
      </c>
      <c r="D13" s="215">
        <v>102</v>
      </c>
      <c r="E13" s="215">
        <v>3</v>
      </c>
      <c r="F13" s="215">
        <v>823</v>
      </c>
      <c r="G13" s="215">
        <v>1459</v>
      </c>
      <c r="H13" s="215">
        <v>29</v>
      </c>
      <c r="I13" s="215">
        <v>1</v>
      </c>
      <c r="J13" s="215" t="s">
        <v>29</v>
      </c>
      <c r="K13" s="215">
        <v>1</v>
      </c>
      <c r="L13" s="215">
        <f t="shared" si="0"/>
        <v>2418</v>
      </c>
    </row>
    <row r="14" spans="1:12" s="213" customFormat="1" x14ac:dyDescent="0.25">
      <c r="A14" s="216">
        <v>1980</v>
      </c>
      <c r="B14" s="215" t="s">
        <v>29</v>
      </c>
      <c r="C14" s="215" t="s">
        <v>29</v>
      </c>
      <c r="D14" s="215">
        <v>144</v>
      </c>
      <c r="E14" s="215">
        <v>13</v>
      </c>
      <c r="F14" s="215">
        <v>519</v>
      </c>
      <c r="G14" s="215">
        <v>768</v>
      </c>
      <c r="H14" s="215">
        <v>121</v>
      </c>
      <c r="I14" s="215">
        <v>8</v>
      </c>
      <c r="J14" s="215" t="s">
        <v>29</v>
      </c>
      <c r="K14" s="215" t="s">
        <v>29</v>
      </c>
      <c r="L14" s="215">
        <f t="shared" si="0"/>
        <v>1573</v>
      </c>
    </row>
    <row r="15" spans="1:12" s="213" customFormat="1" x14ac:dyDescent="0.25">
      <c r="A15" s="216">
        <v>1981</v>
      </c>
      <c r="B15" s="215" t="s">
        <v>29</v>
      </c>
      <c r="C15" s="215" t="s">
        <v>29</v>
      </c>
      <c r="D15" s="215">
        <v>518</v>
      </c>
      <c r="E15" s="215">
        <v>0</v>
      </c>
      <c r="F15" s="215">
        <v>1137</v>
      </c>
      <c r="G15" s="215">
        <v>764</v>
      </c>
      <c r="H15" s="215">
        <v>0</v>
      </c>
      <c r="I15" s="215">
        <v>1</v>
      </c>
      <c r="J15" s="215" t="s">
        <v>29</v>
      </c>
      <c r="K15" s="215" t="s">
        <v>29</v>
      </c>
      <c r="L15" s="215">
        <f t="shared" si="0"/>
        <v>2420</v>
      </c>
    </row>
    <row r="16" spans="1:12" s="213" customFormat="1" x14ac:dyDescent="0.25">
      <c r="A16" s="216">
        <v>1982</v>
      </c>
      <c r="B16" s="215" t="s">
        <v>29</v>
      </c>
      <c r="C16" s="215" t="s">
        <v>29</v>
      </c>
      <c r="D16" s="215">
        <v>476</v>
      </c>
      <c r="E16" s="215">
        <v>0</v>
      </c>
      <c r="F16" s="215">
        <v>423</v>
      </c>
      <c r="G16" s="215">
        <v>0</v>
      </c>
      <c r="H16" s="215">
        <v>0</v>
      </c>
      <c r="I16" s="215">
        <v>0</v>
      </c>
      <c r="J16" s="215" t="s">
        <v>29</v>
      </c>
      <c r="K16" s="215" t="s">
        <v>29</v>
      </c>
      <c r="L16" s="215">
        <f t="shared" si="0"/>
        <v>899</v>
      </c>
    </row>
    <row r="17" spans="1:12" s="213" customFormat="1" x14ac:dyDescent="0.25">
      <c r="A17" s="216">
        <v>1983</v>
      </c>
      <c r="B17" s="215" t="s">
        <v>29</v>
      </c>
      <c r="C17" s="215" t="s">
        <v>29</v>
      </c>
      <c r="D17" s="215">
        <v>566</v>
      </c>
      <c r="E17" s="215">
        <v>0</v>
      </c>
      <c r="F17" s="215">
        <v>50</v>
      </c>
      <c r="G17" s="215">
        <v>241</v>
      </c>
      <c r="H17" s="215">
        <v>164</v>
      </c>
      <c r="I17" s="215">
        <v>0</v>
      </c>
      <c r="J17" s="215" t="s">
        <v>29</v>
      </c>
      <c r="K17" s="215" t="s">
        <v>29</v>
      </c>
      <c r="L17" s="215">
        <f t="shared" si="0"/>
        <v>1021</v>
      </c>
    </row>
    <row r="18" spans="1:12" s="213" customFormat="1" x14ac:dyDescent="0.25">
      <c r="A18" s="216">
        <v>1984</v>
      </c>
      <c r="B18" s="215" t="s">
        <v>29</v>
      </c>
      <c r="C18" s="215" t="s">
        <v>29</v>
      </c>
      <c r="D18" s="215">
        <v>72</v>
      </c>
      <c r="E18" s="215">
        <v>0</v>
      </c>
      <c r="F18" s="215">
        <v>0</v>
      </c>
      <c r="G18" s="215">
        <v>416</v>
      </c>
      <c r="H18" s="215">
        <v>0</v>
      </c>
      <c r="I18" s="215">
        <v>0</v>
      </c>
      <c r="J18" s="215" t="s">
        <v>29</v>
      </c>
      <c r="K18" s="215" t="s">
        <v>29</v>
      </c>
      <c r="L18" s="215">
        <f t="shared" si="0"/>
        <v>488</v>
      </c>
    </row>
    <row r="19" spans="1:12" s="213" customFormat="1" x14ac:dyDescent="0.25">
      <c r="A19" s="216">
        <v>1985</v>
      </c>
      <c r="B19" s="215" t="s">
        <v>29</v>
      </c>
      <c r="C19" s="215" t="s">
        <v>29</v>
      </c>
      <c r="D19" s="215">
        <v>380</v>
      </c>
      <c r="E19" s="215">
        <v>0</v>
      </c>
      <c r="F19" s="215">
        <v>0</v>
      </c>
      <c r="G19" s="215">
        <v>270</v>
      </c>
      <c r="H19" s="215">
        <v>0</v>
      </c>
      <c r="I19" s="215">
        <v>1</v>
      </c>
      <c r="J19" s="215" t="s">
        <v>29</v>
      </c>
      <c r="K19" s="215" t="s">
        <v>29</v>
      </c>
      <c r="L19" s="215">
        <f t="shared" si="0"/>
        <v>651</v>
      </c>
    </row>
    <row r="20" spans="1:12" s="213" customFormat="1" x14ac:dyDescent="0.25">
      <c r="A20" s="213">
        <v>1986</v>
      </c>
      <c r="B20" s="215" t="s">
        <v>29</v>
      </c>
      <c r="C20" s="215" t="s">
        <v>29</v>
      </c>
      <c r="D20" s="215">
        <v>337</v>
      </c>
      <c r="E20" s="215" t="s">
        <v>29</v>
      </c>
      <c r="F20" s="215" t="s">
        <v>29</v>
      </c>
      <c r="G20" s="215">
        <v>814</v>
      </c>
      <c r="H20" s="215" t="s">
        <v>29</v>
      </c>
      <c r="I20" s="215" t="s">
        <v>29</v>
      </c>
      <c r="J20" s="215" t="s">
        <v>29</v>
      </c>
      <c r="K20" s="215" t="s">
        <v>29</v>
      </c>
      <c r="L20" s="215">
        <f t="shared" si="0"/>
        <v>1151</v>
      </c>
    </row>
    <row r="21" spans="1:12" s="213" customFormat="1" x14ac:dyDescent="0.25">
      <c r="A21" s="213">
        <v>1987</v>
      </c>
      <c r="B21" s="215" t="s">
        <v>29</v>
      </c>
      <c r="C21" s="215" t="s">
        <v>29</v>
      </c>
      <c r="D21" s="215">
        <v>133</v>
      </c>
      <c r="E21" s="215" t="s">
        <v>29</v>
      </c>
      <c r="F21" s="215">
        <v>183</v>
      </c>
      <c r="G21" s="215" t="s">
        <v>29</v>
      </c>
      <c r="H21" s="215" t="s">
        <v>29</v>
      </c>
      <c r="I21" s="215" t="s">
        <v>29</v>
      </c>
      <c r="J21" s="215" t="s">
        <v>29</v>
      </c>
      <c r="K21" s="215" t="s">
        <v>29</v>
      </c>
      <c r="L21" s="215">
        <f t="shared" si="0"/>
        <v>316</v>
      </c>
    </row>
    <row r="22" spans="1:12" s="213" customFormat="1" x14ac:dyDescent="0.25">
      <c r="A22" s="213">
        <v>1988</v>
      </c>
      <c r="B22" s="215" t="s">
        <v>29</v>
      </c>
      <c r="C22" s="215" t="s">
        <v>29</v>
      </c>
      <c r="D22" s="215">
        <v>111</v>
      </c>
      <c r="E22" s="215">
        <v>52</v>
      </c>
      <c r="F22" s="215" t="s">
        <v>29</v>
      </c>
      <c r="G22" s="215" t="s">
        <v>29</v>
      </c>
      <c r="H22" s="215" t="s">
        <v>29</v>
      </c>
      <c r="I22" s="215" t="s">
        <v>29</v>
      </c>
      <c r="J22" s="215" t="s">
        <v>29</v>
      </c>
      <c r="K22" s="215" t="s">
        <v>29</v>
      </c>
      <c r="L22" s="215">
        <f t="shared" si="0"/>
        <v>163</v>
      </c>
    </row>
    <row r="23" spans="1:12" s="213" customFormat="1" x14ac:dyDescent="0.25">
      <c r="A23" s="213">
        <v>1989</v>
      </c>
      <c r="B23" s="215" t="s">
        <v>29</v>
      </c>
      <c r="C23" s="215" t="s">
        <v>29</v>
      </c>
      <c r="D23" s="215">
        <v>79</v>
      </c>
      <c r="E23" s="215">
        <v>19</v>
      </c>
      <c r="F23" s="215" t="s">
        <v>29</v>
      </c>
      <c r="G23" s="215">
        <v>616</v>
      </c>
      <c r="H23" s="215">
        <v>212</v>
      </c>
      <c r="I23" s="215" t="s">
        <v>29</v>
      </c>
      <c r="J23" s="215" t="s">
        <v>29</v>
      </c>
      <c r="K23" s="215" t="s">
        <v>29</v>
      </c>
      <c r="L23" s="215">
        <f t="shared" si="0"/>
        <v>926</v>
      </c>
    </row>
    <row r="24" spans="1:12" s="213" customFormat="1" x14ac:dyDescent="0.25">
      <c r="A24" s="213">
        <v>1990</v>
      </c>
      <c r="B24" s="215" t="s">
        <v>29</v>
      </c>
      <c r="C24" s="215" t="s">
        <v>29</v>
      </c>
      <c r="D24" s="215">
        <v>70</v>
      </c>
      <c r="E24" s="215">
        <v>8</v>
      </c>
      <c r="F24" s="215" t="s">
        <v>29</v>
      </c>
      <c r="G24" s="215">
        <v>306</v>
      </c>
      <c r="H24" s="215">
        <v>333</v>
      </c>
      <c r="I24" s="215">
        <v>22</v>
      </c>
      <c r="J24" s="215" t="s">
        <v>29</v>
      </c>
      <c r="K24" s="215" t="s">
        <v>29</v>
      </c>
      <c r="L24" s="215">
        <f t="shared" si="0"/>
        <v>739</v>
      </c>
    </row>
    <row r="25" spans="1:12" s="213" customFormat="1" x14ac:dyDescent="0.25">
      <c r="A25" s="213">
        <v>1991</v>
      </c>
      <c r="B25" s="215" t="s">
        <v>29</v>
      </c>
      <c r="C25" s="215" t="s">
        <v>29</v>
      </c>
      <c r="D25" s="215">
        <v>92</v>
      </c>
      <c r="E25" s="215">
        <v>9</v>
      </c>
      <c r="F25" s="215" t="s">
        <v>29</v>
      </c>
      <c r="G25" s="215">
        <v>407</v>
      </c>
      <c r="H25" s="215">
        <v>151</v>
      </c>
      <c r="I25" s="215" t="s">
        <v>29</v>
      </c>
      <c r="J25" s="215" t="s">
        <v>29</v>
      </c>
      <c r="K25" s="215" t="s">
        <v>29</v>
      </c>
      <c r="L25" s="215">
        <f t="shared" si="0"/>
        <v>659</v>
      </c>
    </row>
    <row r="26" spans="1:12" s="213" customFormat="1" x14ac:dyDescent="0.25">
      <c r="A26" s="213">
        <v>1992</v>
      </c>
      <c r="B26" s="215" t="s">
        <v>29</v>
      </c>
      <c r="C26" s="215" t="s">
        <v>29</v>
      </c>
      <c r="D26" s="215">
        <v>61</v>
      </c>
      <c r="E26" s="215">
        <v>114</v>
      </c>
      <c r="F26" s="215">
        <v>49</v>
      </c>
      <c r="G26" s="215">
        <v>35</v>
      </c>
      <c r="H26" s="215" t="s">
        <v>29</v>
      </c>
      <c r="I26" s="215" t="s">
        <v>29</v>
      </c>
      <c r="J26" s="215" t="s">
        <v>29</v>
      </c>
      <c r="K26" s="215" t="s">
        <v>29</v>
      </c>
      <c r="L26" s="215">
        <f t="shared" si="0"/>
        <v>259</v>
      </c>
    </row>
    <row r="27" spans="1:12" s="213" customFormat="1" x14ac:dyDescent="0.25">
      <c r="A27" s="213">
        <v>1993</v>
      </c>
      <c r="B27" s="215" t="s">
        <v>29</v>
      </c>
      <c r="C27" s="215" t="s">
        <v>29</v>
      </c>
      <c r="D27" s="215">
        <v>22</v>
      </c>
      <c r="E27" s="215">
        <v>6</v>
      </c>
      <c r="F27" s="215">
        <v>51</v>
      </c>
      <c r="G27" s="215">
        <v>55</v>
      </c>
      <c r="H27" s="215">
        <v>71</v>
      </c>
      <c r="I27" s="215" t="s">
        <v>29</v>
      </c>
      <c r="J27" s="215" t="s">
        <v>29</v>
      </c>
      <c r="K27" s="215" t="s">
        <v>29</v>
      </c>
      <c r="L27" s="215">
        <f t="shared" si="0"/>
        <v>205</v>
      </c>
    </row>
    <row r="28" spans="1:12" s="213" customFormat="1" x14ac:dyDescent="0.25">
      <c r="A28" s="213">
        <v>1994</v>
      </c>
      <c r="B28" s="215" t="s">
        <v>29</v>
      </c>
      <c r="C28" s="215" t="s">
        <v>29</v>
      </c>
      <c r="D28" s="215" t="s">
        <v>29</v>
      </c>
      <c r="E28" s="215" t="s">
        <v>29</v>
      </c>
      <c r="F28" s="215" t="s">
        <v>29</v>
      </c>
      <c r="G28" s="215" t="s">
        <v>29</v>
      </c>
      <c r="H28" s="215" t="s">
        <v>29</v>
      </c>
      <c r="I28" s="215" t="s">
        <v>29</v>
      </c>
      <c r="J28" s="215" t="s">
        <v>29</v>
      </c>
      <c r="K28" s="215" t="s">
        <v>29</v>
      </c>
      <c r="L28" s="215" t="s">
        <v>29</v>
      </c>
    </row>
    <row r="29" spans="1:12" s="213" customFormat="1" x14ac:dyDescent="0.25">
      <c r="A29" s="213">
        <v>1995</v>
      </c>
      <c r="B29" s="215" t="s">
        <v>29</v>
      </c>
      <c r="C29" s="215" t="s">
        <v>29</v>
      </c>
      <c r="D29" s="215" t="s">
        <v>29</v>
      </c>
      <c r="E29" s="215" t="s">
        <v>29</v>
      </c>
      <c r="F29" s="215" t="s">
        <v>29</v>
      </c>
      <c r="G29" s="215" t="s">
        <v>29</v>
      </c>
      <c r="H29" s="215" t="s">
        <v>29</v>
      </c>
      <c r="I29" s="215" t="s">
        <v>29</v>
      </c>
      <c r="J29" s="215" t="s">
        <v>29</v>
      </c>
      <c r="K29" s="215" t="s">
        <v>29</v>
      </c>
      <c r="L29" s="215" t="s">
        <v>29</v>
      </c>
    </row>
    <row r="30" spans="1:12" s="213" customFormat="1" x14ac:dyDescent="0.25">
      <c r="A30" s="213">
        <v>1996</v>
      </c>
      <c r="B30" s="215" t="s">
        <v>29</v>
      </c>
      <c r="C30" s="215" t="s">
        <v>29</v>
      </c>
      <c r="D30" s="215" t="s">
        <v>29</v>
      </c>
      <c r="E30" s="215" t="s">
        <v>29</v>
      </c>
      <c r="F30" s="215" t="s">
        <v>29</v>
      </c>
      <c r="G30" s="215" t="s">
        <v>29</v>
      </c>
      <c r="H30" s="215" t="s">
        <v>29</v>
      </c>
      <c r="I30" s="215" t="s">
        <v>29</v>
      </c>
      <c r="J30" s="215" t="s">
        <v>29</v>
      </c>
      <c r="K30" s="215" t="s">
        <v>29</v>
      </c>
      <c r="L30" s="215"/>
    </row>
    <row r="31" spans="1:12" s="213" customFormat="1" x14ac:dyDescent="0.25">
      <c r="A31" s="213">
        <v>1997</v>
      </c>
      <c r="B31" s="215" t="s">
        <v>29</v>
      </c>
      <c r="C31" s="215" t="s">
        <v>29</v>
      </c>
      <c r="D31" s="215">
        <v>6</v>
      </c>
      <c r="E31" s="215">
        <v>2</v>
      </c>
      <c r="F31" s="215" t="s">
        <v>29</v>
      </c>
      <c r="G31" s="215" t="s">
        <v>29</v>
      </c>
      <c r="H31" s="215" t="s">
        <v>29</v>
      </c>
      <c r="I31" s="215" t="s">
        <v>29</v>
      </c>
      <c r="J31" s="215" t="s">
        <v>29</v>
      </c>
      <c r="K31" s="215" t="s">
        <v>29</v>
      </c>
      <c r="L31" s="215">
        <f t="shared" si="0"/>
        <v>8</v>
      </c>
    </row>
    <row r="32" spans="1:12" s="213" customFormat="1" x14ac:dyDescent="0.25">
      <c r="A32" s="213">
        <v>1998</v>
      </c>
      <c r="B32" s="215" t="s">
        <v>29</v>
      </c>
      <c r="C32" s="215" t="s">
        <v>29</v>
      </c>
      <c r="D32" s="217">
        <v>0</v>
      </c>
      <c r="E32" s="217">
        <v>0</v>
      </c>
      <c r="F32" s="215" t="s">
        <v>29</v>
      </c>
      <c r="G32" s="215" t="s">
        <v>29</v>
      </c>
      <c r="H32" s="215" t="s">
        <v>29</v>
      </c>
      <c r="I32" s="215" t="s">
        <v>29</v>
      </c>
      <c r="J32" s="215" t="s">
        <v>29</v>
      </c>
      <c r="K32" s="215" t="s">
        <v>29</v>
      </c>
      <c r="L32" s="215">
        <f t="shared" si="0"/>
        <v>0</v>
      </c>
    </row>
    <row r="33" spans="1:12" s="213" customFormat="1" x14ac:dyDescent="0.25">
      <c r="A33" s="213">
        <v>1999</v>
      </c>
      <c r="B33" s="215" t="s">
        <v>29</v>
      </c>
      <c r="C33" s="215" t="s">
        <v>29</v>
      </c>
      <c r="D33" s="217">
        <v>0</v>
      </c>
      <c r="E33" s="217">
        <v>1</v>
      </c>
      <c r="F33" s="215" t="s">
        <v>29</v>
      </c>
      <c r="G33" s="215" t="s">
        <v>29</v>
      </c>
      <c r="H33" s="215" t="s">
        <v>29</v>
      </c>
      <c r="I33" s="215" t="s">
        <v>29</v>
      </c>
      <c r="J33" s="215" t="s">
        <v>29</v>
      </c>
      <c r="K33" s="215" t="s">
        <v>29</v>
      </c>
      <c r="L33" s="215">
        <f t="shared" si="0"/>
        <v>1</v>
      </c>
    </row>
    <row r="34" spans="1:12" s="213" customFormat="1" x14ac:dyDescent="0.25">
      <c r="A34" s="213">
        <v>2000</v>
      </c>
      <c r="B34" s="215" t="s">
        <v>29</v>
      </c>
      <c r="C34" s="215" t="s">
        <v>29</v>
      </c>
      <c r="D34" s="215">
        <v>1</v>
      </c>
      <c r="E34" s="215">
        <v>6</v>
      </c>
      <c r="F34" s="215" t="s">
        <v>29</v>
      </c>
      <c r="G34" s="215">
        <v>246</v>
      </c>
      <c r="H34" s="215">
        <v>18</v>
      </c>
      <c r="I34" s="215" t="s">
        <v>29</v>
      </c>
      <c r="J34" s="215" t="s">
        <v>29</v>
      </c>
      <c r="K34" s="215" t="s">
        <v>29</v>
      </c>
      <c r="L34" s="215">
        <f t="shared" si="0"/>
        <v>271</v>
      </c>
    </row>
    <row r="35" spans="1:12" s="213" customFormat="1" x14ac:dyDescent="0.25">
      <c r="A35" s="213">
        <v>2001</v>
      </c>
      <c r="B35" s="215" t="s">
        <v>29</v>
      </c>
      <c r="C35" s="215" t="s">
        <v>29</v>
      </c>
      <c r="D35" s="215">
        <v>5</v>
      </c>
      <c r="E35" s="215">
        <v>26</v>
      </c>
      <c r="F35" s="215">
        <v>84</v>
      </c>
      <c r="G35" s="215">
        <v>100</v>
      </c>
      <c r="H35" s="215">
        <v>27</v>
      </c>
      <c r="I35" s="215" t="s">
        <v>29</v>
      </c>
      <c r="J35" s="215" t="s">
        <v>29</v>
      </c>
      <c r="K35" s="215" t="s">
        <v>29</v>
      </c>
      <c r="L35" s="215">
        <f t="shared" si="0"/>
        <v>242</v>
      </c>
    </row>
    <row r="36" spans="1:12" s="213" customFormat="1" x14ac:dyDescent="0.25">
      <c r="A36" s="213">
        <v>2002</v>
      </c>
      <c r="B36" s="215" t="s">
        <v>29</v>
      </c>
      <c r="C36" s="215" t="s">
        <v>29</v>
      </c>
      <c r="D36" s="215">
        <v>24</v>
      </c>
      <c r="E36" s="215">
        <v>56</v>
      </c>
      <c r="F36" s="215">
        <v>156</v>
      </c>
      <c r="G36" s="215">
        <v>194</v>
      </c>
      <c r="H36" s="215" t="s">
        <v>29</v>
      </c>
      <c r="I36" s="215" t="s">
        <v>29</v>
      </c>
      <c r="J36" s="215" t="s">
        <v>29</v>
      </c>
      <c r="K36" s="215" t="s">
        <v>29</v>
      </c>
      <c r="L36" s="215">
        <f t="shared" si="0"/>
        <v>430</v>
      </c>
    </row>
    <row r="37" spans="1:12" s="213" customFormat="1" x14ac:dyDescent="0.25">
      <c r="A37" s="218">
        <v>2003</v>
      </c>
      <c r="B37" s="215" t="s">
        <v>29</v>
      </c>
      <c r="C37" s="215" t="s">
        <v>29</v>
      </c>
      <c r="D37" s="215">
        <v>95</v>
      </c>
      <c r="E37" s="215">
        <v>20</v>
      </c>
      <c r="F37" s="215">
        <v>111</v>
      </c>
      <c r="G37" s="215">
        <v>143</v>
      </c>
      <c r="H37" s="215">
        <v>44</v>
      </c>
      <c r="I37" s="215" t="s">
        <v>29</v>
      </c>
      <c r="J37" s="215" t="s">
        <v>29</v>
      </c>
      <c r="K37" s="215" t="s">
        <v>29</v>
      </c>
      <c r="L37" s="215">
        <f t="shared" si="0"/>
        <v>413</v>
      </c>
    </row>
    <row r="38" spans="1:12" s="213" customFormat="1" x14ac:dyDescent="0.25">
      <c r="A38" s="218">
        <v>2004</v>
      </c>
      <c r="B38" s="215" t="s">
        <v>29</v>
      </c>
      <c r="C38" s="215" t="s">
        <v>29</v>
      </c>
      <c r="D38" s="215">
        <v>48</v>
      </c>
      <c r="E38" s="215">
        <v>1</v>
      </c>
      <c r="F38" s="215">
        <v>66</v>
      </c>
      <c r="G38" s="215">
        <v>88</v>
      </c>
      <c r="H38" s="215">
        <v>144</v>
      </c>
      <c r="I38" s="215" t="s">
        <v>29</v>
      </c>
      <c r="J38" s="215" t="s">
        <v>29</v>
      </c>
      <c r="K38" s="215" t="s">
        <v>29</v>
      </c>
      <c r="L38" s="215">
        <f t="shared" si="0"/>
        <v>347</v>
      </c>
    </row>
    <row r="39" spans="1:12" s="213" customFormat="1" x14ac:dyDescent="0.25">
      <c r="A39" s="218">
        <v>2005</v>
      </c>
      <c r="B39" s="215" t="s">
        <v>29</v>
      </c>
      <c r="C39" s="215" t="s">
        <v>29</v>
      </c>
      <c r="D39" s="215">
        <v>216</v>
      </c>
      <c r="E39" s="215">
        <v>36</v>
      </c>
      <c r="F39" s="215">
        <v>30</v>
      </c>
      <c r="G39" s="215">
        <v>234</v>
      </c>
      <c r="H39" s="215" t="s">
        <v>29</v>
      </c>
      <c r="I39" s="215" t="s">
        <v>29</v>
      </c>
      <c r="J39" s="215" t="s">
        <v>29</v>
      </c>
      <c r="K39" s="215" t="s">
        <v>29</v>
      </c>
      <c r="L39" s="215">
        <f t="shared" si="0"/>
        <v>516</v>
      </c>
    </row>
    <row r="40" spans="1:12" s="213" customFormat="1" x14ac:dyDescent="0.2">
      <c r="A40" s="218">
        <v>2006</v>
      </c>
      <c r="B40" s="215" t="s">
        <v>29</v>
      </c>
      <c r="C40" s="215" t="s">
        <v>29</v>
      </c>
      <c r="D40" s="219">
        <v>516</v>
      </c>
      <c r="E40" s="219">
        <v>296</v>
      </c>
      <c r="F40" s="215" t="s">
        <v>29</v>
      </c>
      <c r="G40" s="219">
        <v>79</v>
      </c>
      <c r="H40" s="219">
        <v>93</v>
      </c>
      <c r="I40" s="215" t="s">
        <v>29</v>
      </c>
      <c r="J40" s="215" t="s">
        <v>29</v>
      </c>
      <c r="K40" s="215" t="s">
        <v>29</v>
      </c>
      <c r="L40" s="215">
        <f t="shared" si="0"/>
        <v>984</v>
      </c>
    </row>
    <row r="41" spans="1:12" s="218" customFormat="1" x14ac:dyDescent="0.2">
      <c r="A41" s="218">
        <v>2007</v>
      </c>
      <c r="B41" s="220" t="s">
        <v>29</v>
      </c>
      <c r="C41" s="220" t="s">
        <v>29</v>
      </c>
      <c r="D41" s="221">
        <v>77</v>
      </c>
      <c r="E41" s="221">
        <v>46</v>
      </c>
      <c r="F41" s="221">
        <v>40</v>
      </c>
      <c r="G41" s="221">
        <v>153</v>
      </c>
      <c r="H41" s="221">
        <v>14</v>
      </c>
      <c r="I41" s="220" t="s">
        <v>29</v>
      </c>
      <c r="J41" s="220" t="s">
        <v>29</v>
      </c>
      <c r="K41" s="220" t="s">
        <v>29</v>
      </c>
      <c r="L41" s="220">
        <f t="shared" si="0"/>
        <v>330</v>
      </c>
    </row>
    <row r="42" spans="1:12" s="218" customFormat="1" x14ac:dyDescent="0.2">
      <c r="A42" s="218">
        <v>2008</v>
      </c>
      <c r="B42" s="220" t="s">
        <v>29</v>
      </c>
      <c r="C42" s="220" t="s">
        <v>29</v>
      </c>
      <c r="D42" s="221">
        <v>272</v>
      </c>
      <c r="E42" s="221">
        <v>282</v>
      </c>
      <c r="F42" s="221">
        <v>33</v>
      </c>
      <c r="G42" s="221">
        <v>58</v>
      </c>
      <c r="H42" s="221">
        <v>10</v>
      </c>
      <c r="I42" s="220" t="s">
        <v>29</v>
      </c>
      <c r="J42" s="220" t="s">
        <v>29</v>
      </c>
      <c r="K42" s="220" t="s">
        <v>29</v>
      </c>
      <c r="L42" s="220">
        <f t="shared" si="0"/>
        <v>655</v>
      </c>
    </row>
    <row r="43" spans="1:12" s="218" customFormat="1" x14ac:dyDescent="0.2">
      <c r="A43" s="218">
        <v>2009</v>
      </c>
      <c r="B43" s="220" t="s">
        <v>29</v>
      </c>
      <c r="C43" s="220" t="s">
        <v>29</v>
      </c>
      <c r="D43" s="221">
        <v>72</v>
      </c>
      <c r="E43" s="221">
        <v>85</v>
      </c>
      <c r="F43" s="221">
        <v>239</v>
      </c>
      <c r="G43" s="221">
        <v>135</v>
      </c>
      <c r="H43" s="221">
        <v>9</v>
      </c>
      <c r="I43" s="220" t="s">
        <v>29</v>
      </c>
      <c r="J43" s="220" t="s">
        <v>29</v>
      </c>
      <c r="K43" s="220" t="s">
        <v>29</v>
      </c>
      <c r="L43" s="220">
        <f t="shared" si="0"/>
        <v>540</v>
      </c>
    </row>
    <row r="44" spans="1:12" s="218" customFormat="1" x14ac:dyDescent="0.2">
      <c r="A44" s="218">
        <v>2010</v>
      </c>
      <c r="B44" s="220" t="s">
        <v>29</v>
      </c>
      <c r="C44" s="220" t="s">
        <v>29</v>
      </c>
      <c r="D44" s="221">
        <v>68</v>
      </c>
      <c r="E44" s="221">
        <f>9+117+36+126</f>
        <v>288</v>
      </c>
      <c r="F44" s="221">
        <f>33+19+5+13+71</f>
        <v>141</v>
      </c>
      <c r="G44" s="221">
        <v>119</v>
      </c>
      <c r="H44" s="221">
        <v>16</v>
      </c>
      <c r="I44" s="220" t="s">
        <v>29</v>
      </c>
      <c r="J44" s="220" t="s">
        <v>29</v>
      </c>
      <c r="K44" s="220" t="s">
        <v>29</v>
      </c>
      <c r="L44" s="220">
        <f>SUM(B44:K44)</f>
        <v>632</v>
      </c>
    </row>
    <row r="45" spans="1:12" s="218" customFormat="1" x14ac:dyDescent="0.2">
      <c r="A45" s="218">
        <v>2011</v>
      </c>
      <c r="B45" s="220" t="s">
        <v>29</v>
      </c>
      <c r="C45" s="220" t="s">
        <v>29</v>
      </c>
      <c r="D45" s="221">
        <v>85</v>
      </c>
      <c r="E45" s="221">
        <v>124</v>
      </c>
      <c r="F45" s="221">
        <v>41</v>
      </c>
      <c r="G45" s="221">
        <v>24</v>
      </c>
      <c r="H45" s="221">
        <v>15</v>
      </c>
      <c r="I45" s="220" t="s">
        <v>29</v>
      </c>
      <c r="J45" s="220" t="s">
        <v>29</v>
      </c>
      <c r="K45" s="220" t="s">
        <v>29</v>
      </c>
      <c r="L45" s="220">
        <f>SUM(B45:K45)</f>
        <v>289</v>
      </c>
    </row>
    <row r="46" spans="1:12" s="218" customFormat="1" x14ac:dyDescent="0.2">
      <c r="A46" s="218">
        <v>2012</v>
      </c>
      <c r="B46" s="220" t="s">
        <v>29</v>
      </c>
      <c r="C46" s="220" t="s">
        <v>29</v>
      </c>
      <c r="D46" s="221">
        <v>58</v>
      </c>
      <c r="E46" s="221">
        <v>223</v>
      </c>
      <c r="F46" s="221">
        <v>37</v>
      </c>
      <c r="G46" s="221">
        <v>25</v>
      </c>
      <c r="H46" s="221">
        <v>73</v>
      </c>
      <c r="I46" s="220" t="s">
        <v>29</v>
      </c>
      <c r="J46" s="220" t="s">
        <v>29</v>
      </c>
      <c r="K46" s="220" t="s">
        <v>29</v>
      </c>
      <c r="L46" s="220">
        <f t="shared" ref="L46:L54" si="1">SUM(B46:K46)</f>
        <v>416</v>
      </c>
    </row>
    <row r="47" spans="1:12" s="218" customFormat="1" x14ac:dyDescent="0.2">
      <c r="A47" s="218">
        <v>2013</v>
      </c>
      <c r="B47" s="220" t="s">
        <v>29</v>
      </c>
      <c r="C47" s="220" t="s">
        <v>29</v>
      </c>
      <c r="D47" s="221">
        <v>64</v>
      </c>
      <c r="E47" s="221">
        <v>119</v>
      </c>
      <c r="F47" s="221">
        <v>32</v>
      </c>
      <c r="G47" s="221">
        <v>46</v>
      </c>
      <c r="H47" s="221">
        <v>26</v>
      </c>
      <c r="I47" s="220" t="s">
        <v>29</v>
      </c>
      <c r="J47" s="220" t="s">
        <v>29</v>
      </c>
      <c r="K47" s="220" t="s">
        <v>29</v>
      </c>
      <c r="L47" s="220">
        <f t="shared" si="1"/>
        <v>287</v>
      </c>
    </row>
    <row r="48" spans="1:12" s="218" customFormat="1" x14ac:dyDescent="0.2">
      <c r="A48" s="218">
        <v>2014</v>
      </c>
      <c r="B48" s="220" t="s">
        <v>29</v>
      </c>
      <c r="C48" s="220" t="s">
        <v>29</v>
      </c>
      <c r="D48" s="221">
        <v>455</v>
      </c>
      <c r="E48" s="221">
        <v>79</v>
      </c>
      <c r="F48" s="221">
        <v>161</v>
      </c>
      <c r="G48" s="221">
        <v>65</v>
      </c>
      <c r="H48" s="221">
        <v>56</v>
      </c>
      <c r="I48" s="220" t="s">
        <v>29</v>
      </c>
      <c r="J48" s="220" t="s">
        <v>29</v>
      </c>
      <c r="K48" s="220" t="s">
        <v>29</v>
      </c>
      <c r="L48" s="220">
        <f t="shared" si="1"/>
        <v>816</v>
      </c>
    </row>
    <row r="49" spans="1:12" s="218" customFormat="1" x14ac:dyDescent="0.2">
      <c r="A49" s="218">
        <v>2015</v>
      </c>
      <c r="B49" s="220" t="s">
        <v>29</v>
      </c>
      <c r="C49" s="220" t="s">
        <v>29</v>
      </c>
      <c r="D49" s="221">
        <v>531</v>
      </c>
      <c r="E49" s="221">
        <v>88</v>
      </c>
      <c r="F49" s="221">
        <v>48</v>
      </c>
      <c r="G49" s="221">
        <v>61</v>
      </c>
      <c r="H49" s="221">
        <v>90</v>
      </c>
      <c r="I49" s="220" t="s">
        <v>29</v>
      </c>
      <c r="J49" s="220" t="s">
        <v>29</v>
      </c>
      <c r="K49" s="220" t="s">
        <v>29</v>
      </c>
      <c r="L49" s="220">
        <f t="shared" si="1"/>
        <v>818</v>
      </c>
    </row>
    <row r="50" spans="1:12" s="218" customFormat="1" x14ac:dyDescent="0.2">
      <c r="A50" s="218">
        <v>2016</v>
      </c>
      <c r="B50" s="220" t="s">
        <v>29</v>
      </c>
      <c r="C50" s="220" t="s">
        <v>29</v>
      </c>
      <c r="D50" s="221">
        <v>71</v>
      </c>
      <c r="E50" s="221">
        <v>82</v>
      </c>
      <c r="F50" s="221">
        <v>21</v>
      </c>
      <c r="G50" s="221">
        <v>51</v>
      </c>
      <c r="H50" s="221" t="s">
        <v>29</v>
      </c>
      <c r="I50" s="220" t="s">
        <v>29</v>
      </c>
      <c r="J50" s="220" t="s">
        <v>29</v>
      </c>
      <c r="K50" s="220" t="s">
        <v>29</v>
      </c>
      <c r="L50" s="220">
        <f t="shared" si="1"/>
        <v>225</v>
      </c>
    </row>
    <row r="51" spans="1:12" s="213" customFormat="1" x14ac:dyDescent="0.2">
      <c r="A51" s="218">
        <v>2017</v>
      </c>
      <c r="B51" s="215" t="s">
        <v>29</v>
      </c>
      <c r="C51" s="215" t="s">
        <v>29</v>
      </c>
      <c r="D51" s="219">
        <v>82</v>
      </c>
      <c r="E51" s="219">
        <v>92</v>
      </c>
      <c r="F51" s="219">
        <v>11</v>
      </c>
      <c r="G51" s="219">
        <v>104</v>
      </c>
      <c r="H51" s="219">
        <v>53</v>
      </c>
      <c r="I51" s="215" t="s">
        <v>29</v>
      </c>
      <c r="J51" s="215" t="s">
        <v>29</v>
      </c>
      <c r="K51" s="215" t="s">
        <v>29</v>
      </c>
      <c r="L51" s="215">
        <f t="shared" si="1"/>
        <v>342</v>
      </c>
    </row>
    <row r="52" spans="1:12" s="218" customFormat="1" x14ac:dyDescent="0.2">
      <c r="A52" s="218">
        <v>2018</v>
      </c>
      <c r="B52" s="220" t="s">
        <v>29</v>
      </c>
      <c r="C52" s="220" t="s">
        <v>29</v>
      </c>
      <c r="D52" s="221">
        <v>16</v>
      </c>
      <c r="E52" s="221">
        <v>50</v>
      </c>
      <c r="F52" s="221">
        <v>3</v>
      </c>
      <c r="G52" s="221">
        <v>29</v>
      </c>
      <c r="H52" s="221">
        <v>0</v>
      </c>
      <c r="I52" s="220" t="s">
        <v>29</v>
      </c>
      <c r="J52" s="220" t="s">
        <v>29</v>
      </c>
      <c r="K52" s="220" t="s">
        <v>29</v>
      </c>
      <c r="L52" s="220">
        <f>SUM(B52:K52)</f>
        <v>98</v>
      </c>
    </row>
    <row r="53" spans="1:12" s="218" customFormat="1" x14ac:dyDescent="0.2">
      <c r="A53" s="218">
        <v>2019</v>
      </c>
      <c r="B53" s="220" t="s">
        <v>29</v>
      </c>
      <c r="C53" s="220" t="s">
        <v>29</v>
      </c>
      <c r="D53" s="221">
        <v>9</v>
      </c>
      <c r="E53" s="221">
        <v>17</v>
      </c>
      <c r="F53" s="221">
        <v>97</v>
      </c>
      <c r="G53" s="221">
        <v>40</v>
      </c>
      <c r="H53" s="221">
        <v>24</v>
      </c>
      <c r="I53" s="220" t="s">
        <v>29</v>
      </c>
      <c r="J53" s="220" t="s">
        <v>29</v>
      </c>
      <c r="K53" s="220" t="s">
        <v>29</v>
      </c>
      <c r="L53" s="220">
        <f t="shared" ref="L53" si="2">SUM(B53:K53)</f>
        <v>187</v>
      </c>
    </row>
    <row r="54" spans="1:12" s="213" customFormat="1" x14ac:dyDescent="0.2">
      <c r="A54" s="218" t="s">
        <v>393</v>
      </c>
      <c r="B54" s="215" t="s">
        <v>29</v>
      </c>
      <c r="C54" s="215" t="s">
        <v>29</v>
      </c>
      <c r="D54" s="219">
        <v>17</v>
      </c>
      <c r="E54" s="219">
        <v>13</v>
      </c>
      <c r="F54" s="219">
        <v>20</v>
      </c>
      <c r="G54" s="219">
        <v>13</v>
      </c>
      <c r="H54" s="219">
        <v>3</v>
      </c>
      <c r="I54" s="215" t="s">
        <v>29</v>
      </c>
      <c r="J54" s="215" t="s">
        <v>29</v>
      </c>
      <c r="K54" s="215" t="s">
        <v>29</v>
      </c>
      <c r="L54" s="215">
        <f t="shared" si="1"/>
        <v>66</v>
      </c>
    </row>
    <row r="55" spans="1:12" s="314" customFormat="1" x14ac:dyDescent="0.25">
      <c r="A55" s="364"/>
      <c r="B55" s="222"/>
      <c r="C55" s="222"/>
      <c r="D55" s="222"/>
      <c r="E55" s="222"/>
      <c r="F55" s="222"/>
      <c r="G55" s="222"/>
      <c r="H55" s="222"/>
      <c r="I55" s="222"/>
      <c r="J55" s="222"/>
      <c r="K55" s="222"/>
      <c r="L55" s="222"/>
    </row>
    <row r="56" spans="1:12" s="213" customFormat="1" x14ac:dyDescent="0.25">
      <c r="A56" s="214" t="s">
        <v>53</v>
      </c>
      <c r="B56" s="215"/>
      <c r="C56" s="215"/>
      <c r="D56" s="215"/>
      <c r="E56" s="215"/>
      <c r="F56" s="215"/>
      <c r="G56" s="215"/>
      <c r="H56" s="215"/>
      <c r="I56" s="215"/>
      <c r="J56" s="215"/>
      <c r="K56" s="215"/>
      <c r="L56" s="215"/>
    </row>
    <row r="57" spans="1:12" s="213" customFormat="1" x14ac:dyDescent="0.25">
      <c r="A57" s="216">
        <v>1971</v>
      </c>
      <c r="B57" s="215" t="s">
        <v>29</v>
      </c>
      <c r="C57" s="215">
        <v>0</v>
      </c>
      <c r="D57" s="215">
        <v>6</v>
      </c>
      <c r="E57" s="215">
        <v>844</v>
      </c>
      <c r="F57" s="215">
        <v>2901</v>
      </c>
      <c r="G57" s="215">
        <v>3330</v>
      </c>
      <c r="H57" s="215">
        <v>583</v>
      </c>
      <c r="I57" s="215">
        <v>79</v>
      </c>
      <c r="J57" s="215" t="s">
        <v>29</v>
      </c>
      <c r="K57" s="215" t="s">
        <v>29</v>
      </c>
      <c r="L57" s="215">
        <f t="shared" ref="L57:L95" si="3">SUM(B57:K57)</f>
        <v>7743</v>
      </c>
    </row>
    <row r="58" spans="1:12" s="213" customFormat="1" x14ac:dyDescent="0.25">
      <c r="A58" s="216">
        <v>1972</v>
      </c>
      <c r="B58" s="215" t="s">
        <v>29</v>
      </c>
      <c r="C58" s="215">
        <v>1</v>
      </c>
      <c r="D58" s="215">
        <v>5</v>
      </c>
      <c r="E58" s="215">
        <v>745</v>
      </c>
      <c r="F58" s="215">
        <v>1996</v>
      </c>
      <c r="G58" s="215">
        <v>2811</v>
      </c>
      <c r="H58" s="215">
        <v>631</v>
      </c>
      <c r="I58" s="215">
        <v>29</v>
      </c>
      <c r="J58" s="215" t="s">
        <v>29</v>
      </c>
      <c r="K58" s="215" t="s">
        <v>29</v>
      </c>
      <c r="L58" s="215">
        <f t="shared" si="3"/>
        <v>6218</v>
      </c>
    </row>
    <row r="59" spans="1:12" s="213" customFormat="1" x14ac:dyDescent="0.25">
      <c r="A59" s="216">
        <v>1973</v>
      </c>
      <c r="B59" s="215" t="s">
        <v>29</v>
      </c>
      <c r="C59" s="215">
        <v>3</v>
      </c>
      <c r="D59" s="215">
        <v>3</v>
      </c>
      <c r="E59" s="215">
        <v>674</v>
      </c>
      <c r="F59" s="215">
        <v>2286</v>
      </c>
      <c r="G59" s="215">
        <v>2428</v>
      </c>
      <c r="H59" s="215">
        <v>577</v>
      </c>
      <c r="I59" s="215">
        <v>99</v>
      </c>
      <c r="J59" s="215" t="s">
        <v>29</v>
      </c>
      <c r="K59" s="215" t="s">
        <v>29</v>
      </c>
      <c r="L59" s="215">
        <f t="shared" si="3"/>
        <v>6070</v>
      </c>
    </row>
    <row r="60" spans="1:12" s="213" customFormat="1" x14ac:dyDescent="0.25">
      <c r="A60" s="216">
        <v>1974</v>
      </c>
      <c r="B60" s="215" t="s">
        <v>29</v>
      </c>
      <c r="C60" s="215">
        <v>0</v>
      </c>
      <c r="D60" s="215">
        <v>8</v>
      </c>
      <c r="E60" s="215">
        <v>593</v>
      </c>
      <c r="F60" s="215">
        <v>3138</v>
      </c>
      <c r="G60" s="215">
        <v>2919</v>
      </c>
      <c r="H60" s="215">
        <v>622</v>
      </c>
      <c r="I60" s="215">
        <v>41</v>
      </c>
      <c r="J60" s="215" t="s">
        <v>29</v>
      </c>
      <c r="K60" s="215" t="s">
        <v>29</v>
      </c>
      <c r="L60" s="215">
        <f t="shared" si="3"/>
        <v>7321</v>
      </c>
    </row>
    <row r="61" spans="1:12" s="213" customFormat="1" x14ac:dyDescent="0.25">
      <c r="A61" s="216">
        <v>1975</v>
      </c>
      <c r="B61" s="215" t="s">
        <v>29</v>
      </c>
      <c r="C61" s="215">
        <v>0</v>
      </c>
      <c r="D61" s="215">
        <v>3</v>
      </c>
      <c r="E61" s="215">
        <v>1218</v>
      </c>
      <c r="F61" s="215">
        <v>2720</v>
      </c>
      <c r="G61" s="215">
        <v>2652</v>
      </c>
      <c r="H61" s="215">
        <v>288</v>
      </c>
      <c r="I61" s="215">
        <v>4</v>
      </c>
      <c r="J61" s="215" t="s">
        <v>29</v>
      </c>
      <c r="K61" s="215" t="s">
        <v>29</v>
      </c>
      <c r="L61" s="215">
        <f t="shared" si="3"/>
        <v>6885</v>
      </c>
    </row>
    <row r="62" spans="1:12" s="213" customFormat="1" x14ac:dyDescent="0.25">
      <c r="A62" s="216">
        <v>1976</v>
      </c>
      <c r="B62" s="215" t="s">
        <v>29</v>
      </c>
      <c r="C62" s="215" t="s">
        <v>29</v>
      </c>
      <c r="D62" s="215">
        <v>13</v>
      </c>
      <c r="E62" s="215">
        <v>2282</v>
      </c>
      <c r="F62" s="215">
        <v>3243</v>
      </c>
      <c r="G62" s="215">
        <v>3693</v>
      </c>
      <c r="H62" s="215">
        <v>634</v>
      </c>
      <c r="I62" s="215">
        <v>99</v>
      </c>
      <c r="J62" s="215" t="s">
        <v>29</v>
      </c>
      <c r="K62" s="215" t="s">
        <v>29</v>
      </c>
      <c r="L62" s="215">
        <f t="shared" si="3"/>
        <v>9964</v>
      </c>
    </row>
    <row r="63" spans="1:12" s="213" customFormat="1" x14ac:dyDescent="0.25">
      <c r="A63" s="216">
        <v>1977</v>
      </c>
      <c r="B63" s="215" t="s">
        <v>29</v>
      </c>
      <c r="C63" s="215" t="s">
        <v>29</v>
      </c>
      <c r="D63" s="215">
        <v>15</v>
      </c>
      <c r="E63" s="215">
        <v>1405</v>
      </c>
      <c r="F63" s="215">
        <v>7257</v>
      </c>
      <c r="G63" s="215">
        <v>1914</v>
      </c>
      <c r="H63" s="215">
        <v>376</v>
      </c>
      <c r="I63" s="215">
        <v>62</v>
      </c>
      <c r="J63" s="215" t="s">
        <v>29</v>
      </c>
      <c r="K63" s="215" t="s">
        <v>29</v>
      </c>
      <c r="L63" s="215">
        <f t="shared" si="3"/>
        <v>11029</v>
      </c>
    </row>
    <row r="64" spans="1:12" s="213" customFormat="1" x14ac:dyDescent="0.25">
      <c r="A64" s="216">
        <v>1978</v>
      </c>
      <c r="B64" s="215" t="s">
        <v>29</v>
      </c>
      <c r="C64" s="215" t="s">
        <v>29</v>
      </c>
      <c r="D64" s="215">
        <v>15</v>
      </c>
      <c r="E64" s="215">
        <v>1994</v>
      </c>
      <c r="F64" s="215">
        <v>2929</v>
      </c>
      <c r="G64" s="215">
        <v>1650</v>
      </c>
      <c r="H64" s="215">
        <v>196</v>
      </c>
      <c r="I64" s="215">
        <v>99</v>
      </c>
      <c r="J64" s="215" t="s">
        <v>29</v>
      </c>
      <c r="K64" s="215" t="s">
        <v>29</v>
      </c>
      <c r="L64" s="215">
        <f t="shared" si="3"/>
        <v>6883</v>
      </c>
    </row>
    <row r="65" spans="1:12" s="213" customFormat="1" x14ac:dyDescent="0.25">
      <c r="A65" s="216">
        <v>1979</v>
      </c>
      <c r="B65" s="215" t="s">
        <v>29</v>
      </c>
      <c r="C65" s="215" t="s">
        <v>29</v>
      </c>
      <c r="D65" s="215">
        <v>40</v>
      </c>
      <c r="E65" s="215">
        <v>3</v>
      </c>
      <c r="F65" s="215">
        <v>3088</v>
      </c>
      <c r="G65" s="215">
        <v>2773</v>
      </c>
      <c r="H65" s="215">
        <v>32</v>
      </c>
      <c r="I65" s="215">
        <v>18</v>
      </c>
      <c r="J65" s="215" t="s">
        <v>29</v>
      </c>
      <c r="K65" s="215" t="s">
        <v>29</v>
      </c>
      <c r="L65" s="215">
        <f t="shared" si="3"/>
        <v>5954</v>
      </c>
    </row>
    <row r="66" spans="1:12" s="213" customFormat="1" x14ac:dyDescent="0.25">
      <c r="A66" s="216">
        <v>1980</v>
      </c>
      <c r="B66" s="215" t="s">
        <v>29</v>
      </c>
      <c r="C66" s="215" t="s">
        <v>29</v>
      </c>
      <c r="D66" s="215">
        <v>31</v>
      </c>
      <c r="E66" s="215">
        <v>76</v>
      </c>
      <c r="F66" s="215">
        <v>1352</v>
      </c>
      <c r="G66" s="215">
        <v>3250</v>
      </c>
      <c r="H66" s="215">
        <v>342</v>
      </c>
      <c r="I66" s="215">
        <v>31</v>
      </c>
      <c r="J66" s="215" t="s">
        <v>29</v>
      </c>
      <c r="K66" s="215" t="s">
        <v>29</v>
      </c>
      <c r="L66" s="215">
        <f t="shared" si="3"/>
        <v>5082</v>
      </c>
    </row>
    <row r="67" spans="1:12" s="213" customFormat="1" x14ac:dyDescent="0.25">
      <c r="A67" s="216">
        <v>1981</v>
      </c>
      <c r="B67" s="215" t="s">
        <v>29</v>
      </c>
      <c r="C67" s="215" t="s">
        <v>29</v>
      </c>
      <c r="D67" s="215">
        <v>222</v>
      </c>
      <c r="E67" s="215">
        <v>0</v>
      </c>
      <c r="F67" s="215">
        <v>5649</v>
      </c>
      <c r="G67" s="215">
        <v>2681</v>
      </c>
      <c r="H67" s="215">
        <v>96</v>
      </c>
      <c r="I67" s="215">
        <v>53</v>
      </c>
      <c r="J67" s="215">
        <v>0</v>
      </c>
      <c r="K67" s="215" t="s">
        <v>29</v>
      </c>
      <c r="L67" s="215">
        <f t="shared" si="3"/>
        <v>8701</v>
      </c>
    </row>
    <row r="68" spans="1:12" s="213" customFormat="1" x14ac:dyDescent="0.25">
      <c r="A68" s="216">
        <v>1982</v>
      </c>
      <c r="B68" s="215" t="s">
        <v>29</v>
      </c>
      <c r="C68" s="215" t="s">
        <v>29</v>
      </c>
      <c r="D68" s="215">
        <v>161</v>
      </c>
      <c r="E68" s="215">
        <v>105</v>
      </c>
      <c r="F68" s="215">
        <v>2801</v>
      </c>
      <c r="G68" s="215">
        <v>272</v>
      </c>
      <c r="H68" s="215">
        <v>123</v>
      </c>
      <c r="I68" s="215">
        <v>105</v>
      </c>
      <c r="J68" s="215">
        <v>0</v>
      </c>
      <c r="K68" s="215" t="s">
        <v>29</v>
      </c>
      <c r="L68" s="215">
        <f t="shared" si="3"/>
        <v>3567</v>
      </c>
    </row>
    <row r="69" spans="1:12" s="213" customFormat="1" x14ac:dyDescent="0.25">
      <c r="A69" s="216">
        <v>1983</v>
      </c>
      <c r="B69" s="215" t="s">
        <v>29</v>
      </c>
      <c r="C69" s="215" t="s">
        <v>29</v>
      </c>
      <c r="D69" s="215">
        <v>69</v>
      </c>
      <c r="E69" s="215">
        <v>42</v>
      </c>
      <c r="F69" s="215">
        <v>1068</v>
      </c>
      <c r="G69" s="215">
        <v>1260</v>
      </c>
      <c r="H69" s="215">
        <v>300</v>
      </c>
      <c r="I69" s="215">
        <v>186</v>
      </c>
      <c r="J69" s="215">
        <v>2</v>
      </c>
      <c r="K69" s="215" t="s">
        <v>29</v>
      </c>
      <c r="L69" s="215">
        <f t="shared" si="3"/>
        <v>2927</v>
      </c>
    </row>
    <row r="70" spans="1:12" s="213" customFormat="1" x14ac:dyDescent="0.25">
      <c r="A70" s="216">
        <v>1984</v>
      </c>
      <c r="B70" s="215" t="s">
        <v>29</v>
      </c>
      <c r="C70" s="215" t="s">
        <v>29</v>
      </c>
      <c r="D70" s="215">
        <v>12</v>
      </c>
      <c r="E70" s="215">
        <v>11</v>
      </c>
      <c r="F70" s="215">
        <v>76</v>
      </c>
      <c r="G70" s="215">
        <v>294</v>
      </c>
      <c r="H70" s="215">
        <v>45</v>
      </c>
      <c r="I70" s="215">
        <v>39</v>
      </c>
      <c r="J70" s="215">
        <v>7</v>
      </c>
      <c r="K70" s="215" t="s">
        <v>29</v>
      </c>
      <c r="L70" s="215">
        <f t="shared" si="3"/>
        <v>484</v>
      </c>
    </row>
    <row r="71" spans="1:12" s="213" customFormat="1" x14ac:dyDescent="0.25">
      <c r="A71" s="216">
        <v>1985</v>
      </c>
      <c r="B71" s="215" t="s">
        <v>29</v>
      </c>
      <c r="C71" s="215" t="s">
        <v>29</v>
      </c>
      <c r="D71" s="215">
        <v>25</v>
      </c>
      <c r="E71" s="215">
        <v>77</v>
      </c>
      <c r="F71" s="215">
        <v>555</v>
      </c>
      <c r="G71" s="215">
        <v>488</v>
      </c>
      <c r="H71" s="215">
        <v>134</v>
      </c>
      <c r="I71" s="215">
        <v>86</v>
      </c>
      <c r="J71" s="215">
        <v>0</v>
      </c>
      <c r="K71" s="215" t="s">
        <v>29</v>
      </c>
      <c r="L71" s="215">
        <f t="shared" si="3"/>
        <v>1365</v>
      </c>
    </row>
    <row r="72" spans="1:12" s="213" customFormat="1" x14ac:dyDescent="0.25">
      <c r="A72" s="213">
        <v>1986</v>
      </c>
      <c r="B72" s="215" t="s">
        <v>29</v>
      </c>
      <c r="C72" s="215" t="s">
        <v>29</v>
      </c>
      <c r="D72" s="215">
        <v>35</v>
      </c>
      <c r="E72" s="215">
        <v>28</v>
      </c>
      <c r="F72" s="215">
        <v>2688</v>
      </c>
      <c r="G72" s="215">
        <v>326</v>
      </c>
      <c r="H72" s="215">
        <v>463</v>
      </c>
      <c r="I72" s="215">
        <v>148</v>
      </c>
      <c r="J72" s="215">
        <v>17</v>
      </c>
      <c r="K72" s="215" t="s">
        <v>29</v>
      </c>
      <c r="L72" s="215">
        <f t="shared" si="3"/>
        <v>3705</v>
      </c>
    </row>
    <row r="73" spans="1:12" s="213" customFormat="1" x14ac:dyDescent="0.25">
      <c r="A73" s="213">
        <v>1987</v>
      </c>
      <c r="B73" s="215" t="s">
        <v>29</v>
      </c>
      <c r="C73" s="215" t="s">
        <v>29</v>
      </c>
      <c r="D73" s="215">
        <v>90</v>
      </c>
      <c r="E73" s="215">
        <v>289</v>
      </c>
      <c r="F73" s="215">
        <v>2644</v>
      </c>
      <c r="G73" s="215">
        <v>2147</v>
      </c>
      <c r="H73" s="215">
        <v>1232</v>
      </c>
      <c r="I73" s="215">
        <v>903</v>
      </c>
      <c r="J73" s="215" t="s">
        <v>29</v>
      </c>
      <c r="K73" s="215" t="s">
        <v>29</v>
      </c>
      <c r="L73" s="215">
        <f t="shared" si="3"/>
        <v>7305</v>
      </c>
    </row>
    <row r="74" spans="1:12" s="213" customFormat="1" x14ac:dyDescent="0.25">
      <c r="A74" s="213">
        <v>1988</v>
      </c>
      <c r="B74" s="215" t="s">
        <v>29</v>
      </c>
      <c r="C74" s="215" t="s">
        <v>29</v>
      </c>
      <c r="D74" s="215">
        <v>171</v>
      </c>
      <c r="E74" s="215">
        <v>564</v>
      </c>
      <c r="F74" s="215">
        <v>4467</v>
      </c>
      <c r="G74" s="215">
        <v>2876</v>
      </c>
      <c r="H74" s="215">
        <v>1462</v>
      </c>
      <c r="I74" s="215">
        <v>919</v>
      </c>
      <c r="J74" s="215" t="s">
        <v>29</v>
      </c>
      <c r="K74" s="215" t="s">
        <v>29</v>
      </c>
      <c r="L74" s="215">
        <f t="shared" si="3"/>
        <v>10459</v>
      </c>
    </row>
    <row r="75" spans="1:12" s="213" customFormat="1" x14ac:dyDescent="0.25">
      <c r="A75" s="213">
        <v>1989</v>
      </c>
      <c r="B75" s="215" t="s">
        <v>29</v>
      </c>
      <c r="C75" s="215" t="s">
        <v>29</v>
      </c>
      <c r="D75" s="215">
        <v>500</v>
      </c>
      <c r="E75" s="215">
        <v>661</v>
      </c>
      <c r="F75" s="215">
        <v>3232</v>
      </c>
      <c r="G75" s="215">
        <v>1531</v>
      </c>
      <c r="H75" s="215">
        <v>1319</v>
      </c>
      <c r="I75" s="215">
        <v>588</v>
      </c>
      <c r="J75" s="215" t="s">
        <v>29</v>
      </c>
      <c r="K75" s="215" t="s">
        <v>29</v>
      </c>
      <c r="L75" s="215">
        <f t="shared" si="3"/>
        <v>7831</v>
      </c>
    </row>
    <row r="76" spans="1:12" s="213" customFormat="1" x14ac:dyDescent="0.25">
      <c r="A76" s="213">
        <v>1990</v>
      </c>
      <c r="B76" s="215" t="s">
        <v>29</v>
      </c>
      <c r="C76" s="215" t="s">
        <v>29</v>
      </c>
      <c r="D76" s="215">
        <v>115</v>
      </c>
      <c r="E76" s="215">
        <v>97</v>
      </c>
      <c r="F76" s="215">
        <v>1622</v>
      </c>
      <c r="G76" s="215">
        <v>2276</v>
      </c>
      <c r="H76" s="215">
        <v>559</v>
      </c>
      <c r="I76" s="215">
        <v>464</v>
      </c>
      <c r="J76" s="215" t="s">
        <v>29</v>
      </c>
      <c r="K76" s="215" t="s">
        <v>29</v>
      </c>
      <c r="L76" s="215">
        <f t="shared" si="3"/>
        <v>5133</v>
      </c>
    </row>
    <row r="77" spans="1:12" s="213" customFormat="1" x14ac:dyDescent="0.25">
      <c r="A77" s="213">
        <v>1991</v>
      </c>
      <c r="B77" s="215" t="s">
        <v>29</v>
      </c>
      <c r="C77" s="215" t="s">
        <v>29</v>
      </c>
      <c r="D77" s="215">
        <v>91</v>
      </c>
      <c r="E77" s="215">
        <v>87</v>
      </c>
      <c r="F77" s="215">
        <v>1727</v>
      </c>
      <c r="G77" s="215">
        <v>362</v>
      </c>
      <c r="H77" s="215">
        <v>517</v>
      </c>
      <c r="I77" s="215">
        <v>678</v>
      </c>
      <c r="J77" s="215" t="s">
        <v>29</v>
      </c>
      <c r="K77" s="215" t="s">
        <v>29</v>
      </c>
      <c r="L77" s="215">
        <f t="shared" si="3"/>
        <v>3462</v>
      </c>
    </row>
    <row r="78" spans="1:12" s="213" customFormat="1" x14ac:dyDescent="0.25">
      <c r="A78" s="213">
        <v>1992</v>
      </c>
      <c r="B78" s="215" t="s">
        <v>29</v>
      </c>
      <c r="C78" s="215" t="s">
        <v>29</v>
      </c>
      <c r="D78" s="215">
        <v>98</v>
      </c>
      <c r="E78" s="215" t="s">
        <v>29</v>
      </c>
      <c r="F78" s="215">
        <v>246</v>
      </c>
      <c r="G78" s="215">
        <v>839</v>
      </c>
      <c r="H78" s="215">
        <v>689</v>
      </c>
      <c r="I78" s="215">
        <v>744</v>
      </c>
      <c r="J78" s="215" t="s">
        <v>29</v>
      </c>
      <c r="K78" s="215" t="s">
        <v>29</v>
      </c>
      <c r="L78" s="215">
        <f t="shared" si="3"/>
        <v>2616</v>
      </c>
    </row>
    <row r="79" spans="1:12" s="213" customFormat="1" x14ac:dyDescent="0.25">
      <c r="A79" s="213">
        <v>1993</v>
      </c>
      <c r="B79" s="215" t="s">
        <v>29</v>
      </c>
      <c r="C79" s="215" t="s">
        <v>29</v>
      </c>
      <c r="D79" s="215">
        <v>125</v>
      </c>
      <c r="E79" s="215">
        <v>65</v>
      </c>
      <c r="F79" s="215">
        <v>169</v>
      </c>
      <c r="G79" s="215">
        <v>155</v>
      </c>
      <c r="H79" s="215">
        <v>751</v>
      </c>
      <c r="I79" s="215">
        <v>502</v>
      </c>
      <c r="J79" s="215" t="s">
        <v>29</v>
      </c>
      <c r="K79" s="215" t="s">
        <v>29</v>
      </c>
      <c r="L79" s="215">
        <f t="shared" si="3"/>
        <v>1767</v>
      </c>
    </row>
    <row r="80" spans="1:12" s="213" customFormat="1" x14ac:dyDescent="0.25">
      <c r="A80" s="213">
        <v>1994</v>
      </c>
      <c r="B80" s="215" t="s">
        <v>29</v>
      </c>
      <c r="C80" s="215" t="s">
        <v>29</v>
      </c>
      <c r="D80" s="215">
        <v>38</v>
      </c>
      <c r="E80" s="215">
        <v>81</v>
      </c>
      <c r="F80" s="215" t="s">
        <v>29</v>
      </c>
      <c r="G80" s="215" t="s">
        <v>29</v>
      </c>
      <c r="H80" s="215" t="s">
        <v>29</v>
      </c>
      <c r="I80" s="215">
        <v>428</v>
      </c>
      <c r="J80" s="215">
        <v>2</v>
      </c>
      <c r="K80" s="215" t="s">
        <v>29</v>
      </c>
      <c r="L80" s="215">
        <f t="shared" si="3"/>
        <v>549</v>
      </c>
    </row>
    <row r="81" spans="1:12" s="213" customFormat="1" x14ac:dyDescent="0.25">
      <c r="A81" s="213">
        <v>1995</v>
      </c>
      <c r="B81" s="215" t="s">
        <v>29</v>
      </c>
      <c r="C81" s="215" t="s">
        <v>29</v>
      </c>
      <c r="D81" s="215">
        <v>128</v>
      </c>
      <c r="E81" s="215">
        <v>145</v>
      </c>
      <c r="F81" s="215" t="s">
        <v>29</v>
      </c>
      <c r="G81" s="215">
        <v>549</v>
      </c>
      <c r="H81" s="215">
        <v>275</v>
      </c>
      <c r="I81" s="215">
        <v>213</v>
      </c>
      <c r="J81" s="215" t="s">
        <v>29</v>
      </c>
      <c r="K81" s="215" t="s">
        <v>29</v>
      </c>
      <c r="L81" s="215">
        <f t="shared" si="3"/>
        <v>1310</v>
      </c>
    </row>
    <row r="82" spans="1:12" s="213" customFormat="1" x14ac:dyDescent="0.25">
      <c r="A82" s="213">
        <v>1996</v>
      </c>
      <c r="B82" s="215" t="s">
        <v>29</v>
      </c>
      <c r="C82" s="215" t="s">
        <v>29</v>
      </c>
      <c r="D82" s="215">
        <v>105</v>
      </c>
      <c r="E82" s="215">
        <v>341</v>
      </c>
      <c r="F82" s="215" t="s">
        <v>29</v>
      </c>
      <c r="G82" s="215">
        <v>206</v>
      </c>
      <c r="H82" s="215">
        <v>490</v>
      </c>
      <c r="I82" s="215">
        <v>257</v>
      </c>
      <c r="J82" s="215" t="s">
        <v>29</v>
      </c>
      <c r="K82" s="215" t="s">
        <v>29</v>
      </c>
      <c r="L82" s="215">
        <f t="shared" si="3"/>
        <v>1399</v>
      </c>
    </row>
    <row r="83" spans="1:12" s="213" customFormat="1" x14ac:dyDescent="0.25">
      <c r="A83" s="213">
        <v>1997</v>
      </c>
      <c r="B83" s="215" t="s">
        <v>29</v>
      </c>
      <c r="C83" s="215">
        <v>5</v>
      </c>
      <c r="D83" s="215">
        <v>61</v>
      </c>
      <c r="E83" s="215">
        <v>123</v>
      </c>
      <c r="F83" s="215" t="s">
        <v>29</v>
      </c>
      <c r="G83" s="215">
        <v>108</v>
      </c>
      <c r="H83" s="215">
        <v>217</v>
      </c>
      <c r="I83" s="215">
        <v>178</v>
      </c>
      <c r="J83" s="215">
        <v>11</v>
      </c>
      <c r="K83" s="215" t="s">
        <v>29</v>
      </c>
      <c r="L83" s="215">
        <f t="shared" si="3"/>
        <v>703</v>
      </c>
    </row>
    <row r="84" spans="1:12" s="213" customFormat="1" x14ac:dyDescent="0.25">
      <c r="A84" s="213">
        <v>1998</v>
      </c>
      <c r="B84" s="215" t="s">
        <v>29</v>
      </c>
      <c r="C84" s="215">
        <v>23</v>
      </c>
      <c r="D84" s="215">
        <v>93</v>
      </c>
      <c r="E84" s="215">
        <v>119</v>
      </c>
      <c r="F84" s="215" t="s">
        <v>29</v>
      </c>
      <c r="G84" s="215">
        <v>233</v>
      </c>
      <c r="H84" s="215">
        <v>283</v>
      </c>
      <c r="I84" s="215">
        <v>259</v>
      </c>
      <c r="J84" s="215">
        <v>34</v>
      </c>
      <c r="K84" s="215" t="s">
        <v>29</v>
      </c>
      <c r="L84" s="215">
        <f t="shared" si="3"/>
        <v>1044</v>
      </c>
    </row>
    <row r="85" spans="1:12" s="213" customFormat="1" x14ac:dyDescent="0.25">
      <c r="A85" s="213">
        <v>1999</v>
      </c>
      <c r="B85" s="215" t="s">
        <v>29</v>
      </c>
      <c r="C85" s="215">
        <v>1</v>
      </c>
      <c r="D85" s="215">
        <v>41</v>
      </c>
      <c r="E85" s="215">
        <v>105</v>
      </c>
      <c r="F85" s="215">
        <v>48</v>
      </c>
      <c r="G85" s="215">
        <v>177</v>
      </c>
      <c r="H85" s="215">
        <v>225</v>
      </c>
      <c r="I85" s="215">
        <v>95</v>
      </c>
      <c r="J85" s="215">
        <v>2</v>
      </c>
      <c r="K85" s="215" t="s">
        <v>29</v>
      </c>
      <c r="L85" s="215">
        <f t="shared" si="3"/>
        <v>694</v>
      </c>
    </row>
    <row r="86" spans="1:12" s="213" customFormat="1" x14ac:dyDescent="0.25">
      <c r="A86" s="213">
        <v>2000</v>
      </c>
      <c r="B86" s="215" t="s">
        <v>29</v>
      </c>
      <c r="C86" s="215">
        <v>1</v>
      </c>
      <c r="D86" s="215">
        <v>54</v>
      </c>
      <c r="E86" s="215">
        <v>252</v>
      </c>
      <c r="F86" s="215">
        <v>73</v>
      </c>
      <c r="G86" s="215">
        <v>204</v>
      </c>
      <c r="H86" s="215">
        <v>166</v>
      </c>
      <c r="I86" s="215">
        <v>139</v>
      </c>
      <c r="J86" s="215">
        <v>4</v>
      </c>
      <c r="K86" s="215" t="s">
        <v>29</v>
      </c>
      <c r="L86" s="215">
        <f t="shared" si="3"/>
        <v>893</v>
      </c>
    </row>
    <row r="87" spans="1:12" s="213" customFormat="1" x14ac:dyDescent="0.25">
      <c r="A87" s="213">
        <v>2001</v>
      </c>
      <c r="B87" s="215" t="s">
        <v>29</v>
      </c>
      <c r="C87" s="215">
        <v>46</v>
      </c>
      <c r="D87" s="215">
        <v>101</v>
      </c>
      <c r="E87" s="215">
        <v>227</v>
      </c>
      <c r="F87" s="215">
        <v>307</v>
      </c>
      <c r="G87" s="215">
        <v>302</v>
      </c>
      <c r="H87" s="215">
        <v>248</v>
      </c>
      <c r="I87" s="215">
        <v>117</v>
      </c>
      <c r="J87" s="215">
        <v>9</v>
      </c>
      <c r="K87" s="215" t="s">
        <v>29</v>
      </c>
      <c r="L87" s="215">
        <f t="shared" si="3"/>
        <v>1357</v>
      </c>
    </row>
    <row r="88" spans="1:12" s="213" customFormat="1" x14ac:dyDescent="0.25">
      <c r="A88" s="213">
        <v>2002</v>
      </c>
      <c r="B88" s="215">
        <v>13</v>
      </c>
      <c r="C88" s="215">
        <v>19</v>
      </c>
      <c r="D88" s="215">
        <v>132</v>
      </c>
      <c r="E88" s="215">
        <v>242</v>
      </c>
      <c r="F88" s="215">
        <v>125</v>
      </c>
      <c r="G88" s="215">
        <v>323</v>
      </c>
      <c r="H88" s="215">
        <v>396</v>
      </c>
      <c r="I88" s="215">
        <v>394</v>
      </c>
      <c r="J88" s="215">
        <v>4</v>
      </c>
      <c r="K88" s="215" t="s">
        <v>29</v>
      </c>
      <c r="L88" s="215">
        <f t="shared" si="3"/>
        <v>1648</v>
      </c>
    </row>
    <row r="89" spans="1:12" s="213" customFormat="1" x14ac:dyDescent="0.25">
      <c r="A89" s="218">
        <v>2003</v>
      </c>
      <c r="B89" s="215">
        <v>9</v>
      </c>
      <c r="C89" s="215">
        <v>15</v>
      </c>
      <c r="D89" s="215">
        <v>534</v>
      </c>
      <c r="E89" s="215">
        <v>453</v>
      </c>
      <c r="F89" s="215">
        <v>159</v>
      </c>
      <c r="G89" s="215">
        <v>148</v>
      </c>
      <c r="H89" s="215">
        <v>285</v>
      </c>
      <c r="I89" s="215">
        <v>264</v>
      </c>
      <c r="J89" s="215">
        <v>22</v>
      </c>
      <c r="K89" s="215" t="s">
        <v>29</v>
      </c>
      <c r="L89" s="215">
        <f t="shared" si="3"/>
        <v>1889</v>
      </c>
    </row>
    <row r="90" spans="1:12" s="213" customFormat="1" x14ac:dyDescent="0.25">
      <c r="A90" s="218">
        <v>2004</v>
      </c>
      <c r="B90" s="215">
        <v>15</v>
      </c>
      <c r="C90" s="215">
        <v>201</v>
      </c>
      <c r="D90" s="215">
        <v>226</v>
      </c>
      <c r="E90" s="215">
        <v>136</v>
      </c>
      <c r="F90" s="215">
        <v>106</v>
      </c>
      <c r="G90" s="215">
        <v>126</v>
      </c>
      <c r="H90" s="215">
        <v>290</v>
      </c>
      <c r="I90" s="215">
        <v>227</v>
      </c>
      <c r="J90" s="215">
        <v>14</v>
      </c>
      <c r="K90" s="215" t="s">
        <v>29</v>
      </c>
      <c r="L90" s="215">
        <f t="shared" si="3"/>
        <v>1341</v>
      </c>
    </row>
    <row r="91" spans="1:12" s="213" customFormat="1" x14ac:dyDescent="0.25">
      <c r="A91" s="218">
        <v>2005</v>
      </c>
      <c r="B91" s="215">
        <v>247</v>
      </c>
      <c r="C91" s="215">
        <v>40</v>
      </c>
      <c r="D91" s="215">
        <v>347</v>
      </c>
      <c r="E91" s="215">
        <v>710</v>
      </c>
      <c r="F91" s="215" t="s">
        <v>29</v>
      </c>
      <c r="G91" s="215" t="s">
        <v>29</v>
      </c>
      <c r="H91" s="215">
        <v>287</v>
      </c>
      <c r="I91" s="215">
        <v>90</v>
      </c>
      <c r="J91" s="215">
        <v>1</v>
      </c>
      <c r="K91" s="215" t="s">
        <v>29</v>
      </c>
      <c r="L91" s="215">
        <f t="shared" si="3"/>
        <v>1722</v>
      </c>
    </row>
    <row r="92" spans="1:12" s="213" customFormat="1" x14ac:dyDescent="0.2">
      <c r="A92" s="218">
        <v>2006</v>
      </c>
      <c r="B92" s="219" t="s">
        <v>29</v>
      </c>
      <c r="C92" s="219" t="s">
        <v>29</v>
      </c>
      <c r="D92" s="219" t="s">
        <v>29</v>
      </c>
      <c r="E92" s="219">
        <v>179</v>
      </c>
      <c r="F92" s="219">
        <v>12</v>
      </c>
      <c r="G92" s="219">
        <v>34</v>
      </c>
      <c r="H92" s="219">
        <v>178</v>
      </c>
      <c r="I92" s="219">
        <v>317</v>
      </c>
      <c r="J92" s="219">
        <v>31</v>
      </c>
      <c r="K92" s="219" t="s">
        <v>29</v>
      </c>
      <c r="L92" s="215">
        <f t="shared" si="3"/>
        <v>751</v>
      </c>
    </row>
    <row r="93" spans="1:12" s="218" customFormat="1" x14ac:dyDescent="0.2">
      <c r="A93" s="218">
        <v>2007</v>
      </c>
      <c r="B93" s="221" t="s">
        <v>29</v>
      </c>
      <c r="C93" s="221">
        <v>8</v>
      </c>
      <c r="D93" s="221">
        <v>280</v>
      </c>
      <c r="E93" s="221">
        <v>100</v>
      </c>
      <c r="F93" s="221">
        <v>4</v>
      </c>
      <c r="G93" s="221">
        <v>86</v>
      </c>
      <c r="H93" s="221">
        <v>95</v>
      </c>
      <c r="I93" s="221">
        <v>95</v>
      </c>
      <c r="J93" s="221">
        <v>30</v>
      </c>
      <c r="K93" s="221" t="s">
        <v>29</v>
      </c>
      <c r="L93" s="220">
        <f t="shared" si="3"/>
        <v>698</v>
      </c>
    </row>
    <row r="94" spans="1:12" s="218" customFormat="1" x14ac:dyDescent="0.2">
      <c r="A94" s="218">
        <v>2008</v>
      </c>
      <c r="B94" s="221" t="s">
        <v>29</v>
      </c>
      <c r="C94" s="221" t="s">
        <v>29</v>
      </c>
      <c r="D94" s="221" t="s">
        <v>29</v>
      </c>
      <c r="E94" s="221" t="s">
        <v>29</v>
      </c>
      <c r="F94" s="221" t="s">
        <v>29</v>
      </c>
      <c r="G94" s="221" t="s">
        <v>29</v>
      </c>
      <c r="H94" s="221">
        <v>37</v>
      </c>
      <c r="I94" s="221">
        <v>12</v>
      </c>
      <c r="J94" s="223" t="s">
        <v>116</v>
      </c>
      <c r="K94" s="221" t="s">
        <v>29</v>
      </c>
      <c r="L94" s="220">
        <f t="shared" si="3"/>
        <v>49</v>
      </c>
    </row>
    <row r="95" spans="1:12" s="218" customFormat="1" x14ac:dyDescent="0.2">
      <c r="A95" s="218">
        <v>2009</v>
      </c>
      <c r="B95" s="221" t="s">
        <v>29</v>
      </c>
      <c r="C95" s="221" t="s">
        <v>29</v>
      </c>
      <c r="D95" s="221" t="s">
        <v>29</v>
      </c>
      <c r="E95" s="221" t="s">
        <v>29</v>
      </c>
      <c r="F95" s="221" t="s">
        <v>29</v>
      </c>
      <c r="G95" s="221" t="s">
        <v>29</v>
      </c>
      <c r="H95" s="221">
        <v>247</v>
      </c>
      <c r="I95" s="221">
        <v>24</v>
      </c>
      <c r="J95" s="221" t="s">
        <v>29</v>
      </c>
      <c r="K95" s="221" t="s">
        <v>29</v>
      </c>
      <c r="L95" s="220">
        <f t="shared" si="3"/>
        <v>271</v>
      </c>
    </row>
    <row r="96" spans="1:12" s="218" customFormat="1" x14ac:dyDescent="0.2">
      <c r="A96" s="218">
        <v>2010</v>
      </c>
      <c r="B96" s="221" t="s">
        <v>29</v>
      </c>
      <c r="C96" s="221" t="s">
        <v>29</v>
      </c>
      <c r="D96" s="221">
        <v>33</v>
      </c>
      <c r="E96" s="221">
        <v>177</v>
      </c>
      <c r="F96" s="221">
        <f>78+18+3+6+4</f>
        <v>109</v>
      </c>
      <c r="G96" s="221">
        <v>39</v>
      </c>
      <c r="H96" s="221">
        <v>37</v>
      </c>
      <c r="I96" s="221">
        <f>1+6+2</f>
        <v>9</v>
      </c>
      <c r="J96" s="221" t="s">
        <v>29</v>
      </c>
      <c r="K96" s="221" t="s">
        <v>29</v>
      </c>
      <c r="L96" s="220">
        <f>SUM(B96:K96)</f>
        <v>404</v>
      </c>
    </row>
    <row r="97" spans="1:12" s="218" customFormat="1" x14ac:dyDescent="0.2">
      <c r="A97" s="218">
        <v>2011</v>
      </c>
      <c r="B97" s="221" t="s">
        <v>29</v>
      </c>
      <c r="C97" s="221" t="s">
        <v>29</v>
      </c>
      <c r="D97" s="221">
        <v>25</v>
      </c>
      <c r="E97" s="221">
        <v>96</v>
      </c>
      <c r="F97" s="221">
        <v>21</v>
      </c>
      <c r="G97" s="221">
        <v>23</v>
      </c>
      <c r="H97" s="221">
        <v>42</v>
      </c>
      <c r="I97" s="221">
        <v>13</v>
      </c>
      <c r="J97" s="221" t="s">
        <v>29</v>
      </c>
      <c r="K97" s="221" t="s">
        <v>29</v>
      </c>
      <c r="L97" s="220">
        <f>SUM(B97:K97)</f>
        <v>220</v>
      </c>
    </row>
    <row r="98" spans="1:12" s="218" customFormat="1" x14ac:dyDescent="0.2">
      <c r="A98" s="218">
        <v>2012</v>
      </c>
      <c r="B98" s="221" t="s">
        <v>29</v>
      </c>
      <c r="C98" s="221">
        <v>52</v>
      </c>
      <c r="D98" s="221">
        <v>175</v>
      </c>
      <c r="E98" s="221">
        <v>91</v>
      </c>
      <c r="F98" s="221">
        <v>36</v>
      </c>
      <c r="G98" s="221">
        <v>22</v>
      </c>
      <c r="H98" s="221">
        <v>102</v>
      </c>
      <c r="I98" s="221">
        <v>157</v>
      </c>
      <c r="J98" s="221" t="s">
        <v>29</v>
      </c>
      <c r="K98" s="221" t="s">
        <v>29</v>
      </c>
      <c r="L98" s="220">
        <f t="shared" ref="L98:L106" si="4">SUM(B98:K98)</f>
        <v>635</v>
      </c>
    </row>
    <row r="99" spans="1:12" s="218" customFormat="1" x14ac:dyDescent="0.2">
      <c r="A99" s="218">
        <v>2013</v>
      </c>
      <c r="B99" s="221" t="s">
        <v>29</v>
      </c>
      <c r="C99" s="221">
        <v>189</v>
      </c>
      <c r="D99" s="221">
        <v>87</v>
      </c>
      <c r="E99" s="221">
        <v>52</v>
      </c>
      <c r="F99" s="221">
        <v>40</v>
      </c>
      <c r="G99" s="221">
        <v>196</v>
      </c>
      <c r="H99" s="221">
        <v>192</v>
      </c>
      <c r="I99" s="221">
        <v>74</v>
      </c>
      <c r="J99" s="221" t="s">
        <v>29</v>
      </c>
      <c r="K99" s="221" t="s">
        <v>29</v>
      </c>
      <c r="L99" s="220">
        <f t="shared" si="4"/>
        <v>830</v>
      </c>
    </row>
    <row r="100" spans="1:12" s="218" customFormat="1" x14ac:dyDescent="0.2">
      <c r="A100" s="218">
        <v>2014</v>
      </c>
      <c r="B100" s="221" t="s">
        <v>29</v>
      </c>
      <c r="C100" s="221">
        <v>10</v>
      </c>
      <c r="D100" s="221">
        <v>96</v>
      </c>
      <c r="E100" s="221">
        <v>159</v>
      </c>
      <c r="F100" s="221">
        <v>60</v>
      </c>
      <c r="G100" s="221">
        <v>40</v>
      </c>
      <c r="H100" s="221">
        <v>177</v>
      </c>
      <c r="I100" s="221">
        <v>14</v>
      </c>
      <c r="J100" s="221" t="s">
        <v>29</v>
      </c>
      <c r="K100" s="221" t="s">
        <v>29</v>
      </c>
      <c r="L100" s="220">
        <f t="shared" si="4"/>
        <v>556</v>
      </c>
    </row>
    <row r="101" spans="1:12" s="218" customFormat="1" x14ac:dyDescent="0.2">
      <c r="A101" s="218">
        <v>2015</v>
      </c>
      <c r="B101" s="221" t="s">
        <v>29</v>
      </c>
      <c r="C101" s="221">
        <v>50</v>
      </c>
      <c r="D101" s="221">
        <v>321</v>
      </c>
      <c r="E101" s="221">
        <v>249</v>
      </c>
      <c r="F101" s="221">
        <v>9</v>
      </c>
      <c r="G101" s="221">
        <v>26</v>
      </c>
      <c r="H101" s="221">
        <v>140</v>
      </c>
      <c r="I101" s="221">
        <v>71</v>
      </c>
      <c r="J101" s="221" t="s">
        <v>29</v>
      </c>
      <c r="K101" s="221" t="s">
        <v>29</v>
      </c>
      <c r="L101" s="220">
        <f t="shared" si="4"/>
        <v>866</v>
      </c>
    </row>
    <row r="102" spans="1:12" s="218" customFormat="1" x14ac:dyDescent="0.2">
      <c r="A102" s="218">
        <v>2016</v>
      </c>
      <c r="B102" s="221" t="s">
        <v>29</v>
      </c>
      <c r="C102" s="221">
        <v>44</v>
      </c>
      <c r="D102" s="221">
        <v>38</v>
      </c>
      <c r="E102" s="221">
        <v>66</v>
      </c>
      <c r="F102" s="221">
        <v>8</v>
      </c>
      <c r="G102" s="221">
        <v>12</v>
      </c>
      <c r="H102" s="221">
        <v>55</v>
      </c>
      <c r="I102" s="221">
        <v>14</v>
      </c>
      <c r="J102" s="221" t="s">
        <v>29</v>
      </c>
      <c r="K102" s="221" t="s">
        <v>29</v>
      </c>
      <c r="L102" s="220">
        <f t="shared" si="4"/>
        <v>237</v>
      </c>
    </row>
    <row r="103" spans="1:12" s="213" customFormat="1" x14ac:dyDescent="0.2">
      <c r="A103" s="218">
        <v>2017</v>
      </c>
      <c r="B103" s="219" t="s">
        <v>29</v>
      </c>
      <c r="C103" s="219">
        <v>7</v>
      </c>
      <c r="D103" s="219">
        <v>34</v>
      </c>
      <c r="E103" s="219">
        <v>46</v>
      </c>
      <c r="F103" s="219">
        <v>8</v>
      </c>
      <c r="G103" s="219" t="s">
        <v>29</v>
      </c>
      <c r="H103" s="219">
        <v>70</v>
      </c>
      <c r="I103" s="219">
        <v>17</v>
      </c>
      <c r="J103" s="219" t="s">
        <v>29</v>
      </c>
      <c r="K103" s="219" t="s">
        <v>29</v>
      </c>
      <c r="L103" s="220">
        <f t="shared" si="4"/>
        <v>182</v>
      </c>
    </row>
    <row r="104" spans="1:12" s="218" customFormat="1" x14ac:dyDescent="0.2">
      <c r="A104" s="218">
        <v>2018</v>
      </c>
      <c r="B104" s="221" t="s">
        <v>29</v>
      </c>
      <c r="C104" s="221" t="s">
        <v>29</v>
      </c>
      <c r="D104" s="221">
        <v>60</v>
      </c>
      <c r="E104" s="221">
        <v>44</v>
      </c>
      <c r="F104" s="221">
        <v>5</v>
      </c>
      <c r="G104" s="221">
        <v>36</v>
      </c>
      <c r="H104" s="221">
        <v>23</v>
      </c>
      <c r="I104" s="221">
        <v>11</v>
      </c>
      <c r="J104" s="221" t="s">
        <v>29</v>
      </c>
      <c r="K104" s="221" t="s">
        <v>29</v>
      </c>
      <c r="L104" s="220">
        <f>SUM(B104:K104)</f>
        <v>179</v>
      </c>
    </row>
    <row r="105" spans="1:12" s="218" customFormat="1" x14ac:dyDescent="0.2">
      <c r="A105" s="218">
        <v>2019</v>
      </c>
      <c r="B105" s="221" t="s">
        <v>29</v>
      </c>
      <c r="C105" s="221">
        <v>3</v>
      </c>
      <c r="D105" s="221">
        <v>45</v>
      </c>
      <c r="E105" s="221">
        <v>22</v>
      </c>
      <c r="F105" s="221">
        <v>16</v>
      </c>
      <c r="G105" s="221">
        <v>12</v>
      </c>
      <c r="H105" s="221">
        <v>15</v>
      </c>
      <c r="I105" s="221">
        <v>24</v>
      </c>
      <c r="J105" s="221" t="s">
        <v>29</v>
      </c>
      <c r="K105" s="221" t="s">
        <v>29</v>
      </c>
      <c r="L105" s="220">
        <f t="shared" ref="L105" si="5">SUM(B105:K105)</f>
        <v>137</v>
      </c>
    </row>
    <row r="106" spans="1:12" s="213" customFormat="1" x14ac:dyDescent="0.2">
      <c r="A106" s="218" t="s">
        <v>393</v>
      </c>
      <c r="B106" s="219" t="s">
        <v>29</v>
      </c>
      <c r="C106" s="219">
        <v>2</v>
      </c>
      <c r="D106" s="219">
        <v>4</v>
      </c>
      <c r="E106" s="219">
        <v>48</v>
      </c>
      <c r="F106" s="219">
        <v>8</v>
      </c>
      <c r="G106" s="219">
        <v>12</v>
      </c>
      <c r="H106" s="219">
        <v>35</v>
      </c>
      <c r="I106" s="219">
        <v>25</v>
      </c>
      <c r="J106" s="219" t="s">
        <v>29</v>
      </c>
      <c r="K106" s="219" t="s">
        <v>29</v>
      </c>
      <c r="L106" s="220">
        <f t="shared" si="4"/>
        <v>134</v>
      </c>
    </row>
    <row r="107" spans="1:12" s="314" customFormat="1" x14ac:dyDescent="0.25">
      <c r="A107" s="364"/>
      <c r="B107" s="222"/>
      <c r="C107" s="222"/>
      <c r="D107" s="222"/>
      <c r="E107" s="222"/>
      <c r="F107" s="222"/>
      <c r="G107" s="222"/>
      <c r="H107" s="222"/>
      <c r="I107" s="222"/>
      <c r="J107" s="222"/>
      <c r="K107" s="222"/>
      <c r="L107" s="222"/>
    </row>
    <row r="108" spans="1:12" s="364" customFormat="1" x14ac:dyDescent="0.25">
      <c r="A108" s="109" t="s">
        <v>54</v>
      </c>
      <c r="B108" s="224"/>
      <c r="C108" s="224"/>
      <c r="D108" s="224"/>
      <c r="E108" s="224"/>
      <c r="F108" s="224"/>
      <c r="G108" s="224"/>
      <c r="H108" s="224"/>
      <c r="I108" s="224"/>
      <c r="J108" s="224"/>
      <c r="K108" s="224"/>
      <c r="L108" s="224"/>
    </row>
    <row r="109" spans="1:12" s="213" customFormat="1" x14ac:dyDescent="0.25">
      <c r="A109" s="216">
        <v>1971</v>
      </c>
      <c r="B109" s="215" t="s">
        <v>29</v>
      </c>
      <c r="C109" s="215">
        <v>1</v>
      </c>
      <c r="D109" s="215">
        <v>152</v>
      </c>
      <c r="E109" s="215">
        <v>1991</v>
      </c>
      <c r="F109" s="215">
        <v>3597</v>
      </c>
      <c r="G109" s="215">
        <v>5066</v>
      </c>
      <c r="H109" s="215">
        <v>944</v>
      </c>
      <c r="I109" s="215">
        <v>298</v>
      </c>
      <c r="J109" s="215" t="s">
        <v>29</v>
      </c>
      <c r="K109" s="215" t="s">
        <v>29</v>
      </c>
      <c r="L109" s="215">
        <f t="shared" ref="L109:L141" si="6">SUM(B109:K109)</f>
        <v>12049</v>
      </c>
    </row>
    <row r="110" spans="1:12" s="213" customFormat="1" x14ac:dyDescent="0.25">
      <c r="A110" s="216">
        <v>1972</v>
      </c>
      <c r="B110" s="215" t="s">
        <v>29</v>
      </c>
      <c r="C110" s="215">
        <v>0</v>
      </c>
      <c r="D110" s="215">
        <v>118</v>
      </c>
      <c r="E110" s="215">
        <v>2277</v>
      </c>
      <c r="F110" s="215">
        <v>4308</v>
      </c>
      <c r="G110" s="215">
        <v>4054</v>
      </c>
      <c r="H110" s="215">
        <v>855</v>
      </c>
      <c r="I110" s="215">
        <v>185</v>
      </c>
      <c r="J110" s="215" t="s">
        <v>29</v>
      </c>
      <c r="K110" s="215" t="s">
        <v>29</v>
      </c>
      <c r="L110" s="215">
        <f t="shared" si="6"/>
        <v>11797</v>
      </c>
    </row>
    <row r="111" spans="1:12" s="213" customFormat="1" x14ac:dyDescent="0.25">
      <c r="A111" s="216">
        <v>1973</v>
      </c>
      <c r="B111" s="215" t="s">
        <v>29</v>
      </c>
      <c r="C111" s="215">
        <v>16</v>
      </c>
      <c r="D111" s="215">
        <v>139</v>
      </c>
      <c r="E111" s="215">
        <v>1356</v>
      </c>
      <c r="F111" s="215">
        <v>4341</v>
      </c>
      <c r="G111" s="215">
        <v>7605</v>
      </c>
      <c r="H111" s="215">
        <v>2864</v>
      </c>
      <c r="I111" s="215">
        <v>1628</v>
      </c>
      <c r="J111" s="215" t="s">
        <v>29</v>
      </c>
      <c r="K111" s="215" t="s">
        <v>29</v>
      </c>
      <c r="L111" s="215">
        <f t="shared" si="6"/>
        <v>17949</v>
      </c>
    </row>
    <row r="112" spans="1:12" s="213" customFormat="1" x14ac:dyDescent="0.25">
      <c r="A112" s="216">
        <v>1974</v>
      </c>
      <c r="B112" s="215" t="s">
        <v>29</v>
      </c>
      <c r="C112" s="215">
        <v>30</v>
      </c>
      <c r="D112" s="215">
        <v>56</v>
      </c>
      <c r="E112" s="215">
        <v>1445</v>
      </c>
      <c r="F112" s="215">
        <v>7381</v>
      </c>
      <c r="G112" s="215">
        <v>6345</v>
      </c>
      <c r="H112" s="215">
        <v>2580</v>
      </c>
      <c r="I112" s="215">
        <v>106</v>
      </c>
      <c r="J112" s="215" t="s">
        <v>29</v>
      </c>
      <c r="K112" s="215" t="s">
        <v>29</v>
      </c>
      <c r="L112" s="215">
        <f t="shared" si="6"/>
        <v>17943</v>
      </c>
    </row>
    <row r="113" spans="1:12" s="213" customFormat="1" x14ac:dyDescent="0.25">
      <c r="A113" s="216">
        <v>1975</v>
      </c>
      <c r="B113" s="215" t="s">
        <v>29</v>
      </c>
      <c r="C113" s="215">
        <v>7</v>
      </c>
      <c r="D113" s="215">
        <v>138</v>
      </c>
      <c r="E113" s="215">
        <v>2927</v>
      </c>
      <c r="F113" s="215">
        <v>4590</v>
      </c>
      <c r="G113" s="215">
        <v>4753</v>
      </c>
      <c r="H113" s="215">
        <v>1273</v>
      </c>
      <c r="I113" s="215">
        <v>166</v>
      </c>
      <c r="J113" s="215" t="s">
        <v>29</v>
      </c>
      <c r="K113" s="215" t="s">
        <v>29</v>
      </c>
      <c r="L113" s="215">
        <f t="shared" si="6"/>
        <v>13854</v>
      </c>
    </row>
    <row r="114" spans="1:12" s="213" customFormat="1" x14ac:dyDescent="0.25">
      <c r="A114" s="216">
        <v>1976</v>
      </c>
      <c r="B114" s="215" t="s">
        <v>29</v>
      </c>
      <c r="C114" s="215" t="s">
        <v>29</v>
      </c>
      <c r="D114" s="215">
        <v>161</v>
      </c>
      <c r="E114" s="215">
        <v>3647</v>
      </c>
      <c r="F114" s="215">
        <v>8052</v>
      </c>
      <c r="G114" s="215">
        <v>8383</v>
      </c>
      <c r="H114" s="215">
        <v>2226</v>
      </c>
      <c r="I114" s="215">
        <v>910</v>
      </c>
      <c r="J114" s="215" t="s">
        <v>29</v>
      </c>
      <c r="K114" s="215" t="s">
        <v>29</v>
      </c>
      <c r="L114" s="215">
        <f t="shared" si="6"/>
        <v>23379</v>
      </c>
    </row>
    <row r="115" spans="1:12" s="213" customFormat="1" x14ac:dyDescent="0.25">
      <c r="A115" s="216">
        <v>1977</v>
      </c>
      <c r="B115" s="215" t="s">
        <v>29</v>
      </c>
      <c r="C115" s="215" t="s">
        <v>29</v>
      </c>
      <c r="D115" s="215">
        <v>693</v>
      </c>
      <c r="E115" s="215">
        <v>1887</v>
      </c>
      <c r="F115" s="215">
        <v>10792</v>
      </c>
      <c r="G115" s="215">
        <v>5462</v>
      </c>
      <c r="H115" s="215">
        <v>1204</v>
      </c>
      <c r="I115" s="215">
        <v>190</v>
      </c>
      <c r="J115" s="215" t="s">
        <v>29</v>
      </c>
      <c r="K115" s="215" t="s">
        <v>29</v>
      </c>
      <c r="L115" s="215">
        <f t="shared" si="6"/>
        <v>20228</v>
      </c>
    </row>
    <row r="116" spans="1:12" s="213" customFormat="1" x14ac:dyDescent="0.25">
      <c r="A116" s="216">
        <v>1978</v>
      </c>
      <c r="B116" s="215" t="s">
        <v>29</v>
      </c>
      <c r="C116" s="215" t="s">
        <v>29</v>
      </c>
      <c r="D116" s="215">
        <v>75</v>
      </c>
      <c r="E116" s="215">
        <v>2466</v>
      </c>
      <c r="F116" s="215">
        <v>5122</v>
      </c>
      <c r="G116" s="215">
        <v>3907</v>
      </c>
      <c r="H116" s="215">
        <v>903</v>
      </c>
      <c r="I116" s="215">
        <v>263</v>
      </c>
      <c r="J116" s="215">
        <v>1</v>
      </c>
      <c r="K116" s="215" t="s">
        <v>29</v>
      </c>
      <c r="L116" s="215">
        <f t="shared" si="6"/>
        <v>12737</v>
      </c>
    </row>
    <row r="117" spans="1:12" s="213" customFormat="1" x14ac:dyDescent="0.25">
      <c r="A117" s="216">
        <v>1979</v>
      </c>
      <c r="B117" s="215" t="s">
        <v>29</v>
      </c>
      <c r="C117" s="215" t="s">
        <v>29</v>
      </c>
      <c r="D117" s="215">
        <v>267</v>
      </c>
      <c r="E117" s="215">
        <v>4</v>
      </c>
      <c r="F117" s="215">
        <v>5920</v>
      </c>
      <c r="G117" s="215">
        <v>5372</v>
      </c>
      <c r="H117" s="215">
        <v>151</v>
      </c>
      <c r="I117" s="215">
        <v>65</v>
      </c>
      <c r="J117" s="215">
        <v>1</v>
      </c>
      <c r="K117" s="215" t="s">
        <v>29</v>
      </c>
      <c r="L117" s="215">
        <f t="shared" si="6"/>
        <v>11780</v>
      </c>
    </row>
    <row r="118" spans="1:12" s="213" customFormat="1" x14ac:dyDescent="0.25">
      <c r="A118" s="216">
        <v>1980</v>
      </c>
      <c r="B118" s="215" t="s">
        <v>29</v>
      </c>
      <c r="C118" s="215" t="s">
        <v>29</v>
      </c>
      <c r="D118" s="215">
        <v>302</v>
      </c>
      <c r="E118" s="215">
        <v>305</v>
      </c>
      <c r="F118" s="215">
        <v>1963</v>
      </c>
      <c r="G118" s="215">
        <v>3744</v>
      </c>
      <c r="H118" s="215">
        <v>531</v>
      </c>
      <c r="I118" s="215">
        <v>177</v>
      </c>
      <c r="J118" s="215" t="s">
        <v>29</v>
      </c>
      <c r="K118" s="215" t="s">
        <v>29</v>
      </c>
      <c r="L118" s="215">
        <f t="shared" si="6"/>
        <v>7022</v>
      </c>
    </row>
    <row r="119" spans="1:12" s="213" customFormat="1" x14ac:dyDescent="0.25">
      <c r="A119" s="216">
        <v>1981</v>
      </c>
      <c r="B119" s="215" t="s">
        <v>29</v>
      </c>
      <c r="C119" s="215" t="s">
        <v>29</v>
      </c>
      <c r="D119" s="215">
        <v>1267</v>
      </c>
      <c r="E119" s="215">
        <v>0</v>
      </c>
      <c r="F119" s="215">
        <v>5094</v>
      </c>
      <c r="G119" s="215">
        <v>4747</v>
      </c>
      <c r="H119" s="215">
        <v>67</v>
      </c>
      <c r="I119" s="215">
        <v>65</v>
      </c>
      <c r="J119" s="215">
        <v>0</v>
      </c>
      <c r="K119" s="215" t="s">
        <v>29</v>
      </c>
      <c r="L119" s="215">
        <f t="shared" si="6"/>
        <v>11240</v>
      </c>
    </row>
    <row r="120" spans="1:12" s="213" customFormat="1" x14ac:dyDescent="0.25">
      <c r="A120" s="216">
        <v>1982</v>
      </c>
      <c r="B120" s="215" t="s">
        <v>29</v>
      </c>
      <c r="C120" s="215" t="s">
        <v>29</v>
      </c>
      <c r="D120" s="215">
        <v>544</v>
      </c>
      <c r="E120" s="215">
        <v>688</v>
      </c>
      <c r="F120" s="215">
        <v>3503</v>
      </c>
      <c r="G120" s="215">
        <v>345</v>
      </c>
      <c r="H120" s="215">
        <v>293</v>
      </c>
      <c r="I120" s="215">
        <v>398</v>
      </c>
      <c r="J120" s="215">
        <v>0</v>
      </c>
      <c r="K120" s="215" t="s">
        <v>29</v>
      </c>
      <c r="L120" s="215">
        <f t="shared" si="6"/>
        <v>5771</v>
      </c>
    </row>
    <row r="121" spans="1:12" s="213" customFormat="1" x14ac:dyDescent="0.25">
      <c r="A121" s="216">
        <v>1983</v>
      </c>
      <c r="B121" s="215" t="s">
        <v>29</v>
      </c>
      <c r="C121" s="215" t="s">
        <v>29</v>
      </c>
      <c r="D121" s="215">
        <v>232</v>
      </c>
      <c r="E121" s="215">
        <v>228</v>
      </c>
      <c r="F121" s="215">
        <v>3939</v>
      </c>
      <c r="G121" s="215">
        <v>1848</v>
      </c>
      <c r="H121" s="215">
        <v>484</v>
      </c>
      <c r="I121" s="215">
        <v>255</v>
      </c>
      <c r="J121" s="215">
        <v>18</v>
      </c>
      <c r="K121" s="215" t="s">
        <v>29</v>
      </c>
      <c r="L121" s="215">
        <f t="shared" si="6"/>
        <v>7004</v>
      </c>
    </row>
    <row r="122" spans="1:12" s="213" customFormat="1" x14ac:dyDescent="0.25">
      <c r="A122" s="216">
        <v>1984</v>
      </c>
      <c r="B122" s="215" t="s">
        <v>29</v>
      </c>
      <c r="C122" s="215" t="s">
        <v>29</v>
      </c>
      <c r="D122" s="215">
        <v>52</v>
      </c>
      <c r="E122" s="215">
        <v>159</v>
      </c>
      <c r="F122" s="215">
        <v>922</v>
      </c>
      <c r="G122" s="215">
        <v>776</v>
      </c>
      <c r="H122" s="215">
        <v>29</v>
      </c>
      <c r="I122" s="215">
        <v>0</v>
      </c>
      <c r="J122" s="215">
        <v>0</v>
      </c>
      <c r="K122" s="215" t="s">
        <v>29</v>
      </c>
      <c r="L122" s="215">
        <f t="shared" si="6"/>
        <v>1938</v>
      </c>
    </row>
    <row r="123" spans="1:12" s="213" customFormat="1" x14ac:dyDescent="0.25">
      <c r="A123" s="216">
        <v>1985</v>
      </c>
      <c r="B123" s="215" t="s">
        <v>29</v>
      </c>
      <c r="C123" s="215" t="s">
        <v>29</v>
      </c>
      <c r="D123" s="215">
        <v>907</v>
      </c>
      <c r="E123" s="215">
        <v>426</v>
      </c>
      <c r="F123" s="215">
        <v>1561</v>
      </c>
      <c r="G123" s="215">
        <v>922</v>
      </c>
      <c r="H123" s="215">
        <v>118</v>
      </c>
      <c r="I123" s="215">
        <v>153</v>
      </c>
      <c r="J123" s="215">
        <v>0</v>
      </c>
      <c r="K123" s="215" t="s">
        <v>29</v>
      </c>
      <c r="L123" s="215">
        <f t="shared" si="6"/>
        <v>4087</v>
      </c>
    </row>
    <row r="124" spans="1:12" s="213" customFormat="1" x14ac:dyDescent="0.25">
      <c r="A124" s="213">
        <v>1986</v>
      </c>
      <c r="B124" s="215" t="s">
        <v>29</v>
      </c>
      <c r="C124" s="215" t="s">
        <v>29</v>
      </c>
      <c r="D124" s="215">
        <v>864</v>
      </c>
      <c r="E124" s="215">
        <v>826</v>
      </c>
      <c r="F124" s="215">
        <v>5453</v>
      </c>
      <c r="G124" s="215">
        <v>414</v>
      </c>
      <c r="H124" s="215">
        <v>345</v>
      </c>
      <c r="I124" s="215">
        <v>739</v>
      </c>
      <c r="J124" s="215" t="s">
        <v>29</v>
      </c>
      <c r="K124" s="215" t="s">
        <v>29</v>
      </c>
      <c r="L124" s="215">
        <f t="shared" si="6"/>
        <v>8641</v>
      </c>
    </row>
    <row r="125" spans="1:12" s="213" customFormat="1" x14ac:dyDescent="0.25">
      <c r="A125" s="213">
        <v>1987</v>
      </c>
      <c r="B125" s="215" t="s">
        <v>29</v>
      </c>
      <c r="C125" s="215" t="s">
        <v>29</v>
      </c>
      <c r="D125" s="215">
        <v>1014</v>
      </c>
      <c r="E125" s="215">
        <v>945</v>
      </c>
      <c r="F125" s="215">
        <v>3145</v>
      </c>
      <c r="G125" s="215">
        <v>1584</v>
      </c>
      <c r="H125" s="215">
        <v>1198</v>
      </c>
      <c r="I125" s="215">
        <v>821</v>
      </c>
      <c r="J125" s="215" t="s">
        <v>29</v>
      </c>
      <c r="K125" s="215" t="s">
        <v>29</v>
      </c>
      <c r="L125" s="215">
        <f t="shared" si="6"/>
        <v>8707</v>
      </c>
    </row>
    <row r="126" spans="1:12" s="213" customFormat="1" x14ac:dyDescent="0.25">
      <c r="A126" s="213">
        <v>1988</v>
      </c>
      <c r="B126" s="215" t="s">
        <v>29</v>
      </c>
      <c r="C126" s="215" t="s">
        <v>29</v>
      </c>
      <c r="D126" s="215">
        <v>855</v>
      </c>
      <c r="E126" s="215">
        <v>1053</v>
      </c>
      <c r="F126" s="215">
        <v>4793</v>
      </c>
      <c r="G126" s="215">
        <v>4021</v>
      </c>
      <c r="H126" s="215">
        <v>875</v>
      </c>
      <c r="I126" s="215">
        <v>815</v>
      </c>
      <c r="J126" s="215" t="s">
        <v>29</v>
      </c>
      <c r="K126" s="215" t="s">
        <v>29</v>
      </c>
      <c r="L126" s="215">
        <f t="shared" si="6"/>
        <v>12412</v>
      </c>
    </row>
    <row r="127" spans="1:12" s="213" customFormat="1" x14ac:dyDescent="0.25">
      <c r="A127" s="213">
        <v>1989</v>
      </c>
      <c r="B127" s="215" t="s">
        <v>29</v>
      </c>
      <c r="C127" s="215" t="s">
        <v>29</v>
      </c>
      <c r="D127" s="215">
        <v>938</v>
      </c>
      <c r="E127" s="215">
        <v>1652</v>
      </c>
      <c r="F127" s="215">
        <v>4229</v>
      </c>
      <c r="G127" s="215">
        <v>1405</v>
      </c>
      <c r="H127" s="215">
        <v>491</v>
      </c>
      <c r="I127" s="215">
        <v>473</v>
      </c>
      <c r="J127" s="215" t="s">
        <v>29</v>
      </c>
      <c r="K127" s="215" t="s">
        <v>29</v>
      </c>
      <c r="L127" s="215">
        <f t="shared" si="6"/>
        <v>9188</v>
      </c>
    </row>
    <row r="128" spans="1:12" s="213" customFormat="1" x14ac:dyDescent="0.25">
      <c r="A128" s="213">
        <v>1990</v>
      </c>
      <c r="B128" s="215" t="s">
        <v>29</v>
      </c>
      <c r="C128" s="215" t="s">
        <v>29</v>
      </c>
      <c r="D128" s="215">
        <v>459</v>
      </c>
      <c r="E128" s="215">
        <v>1423</v>
      </c>
      <c r="F128" s="215">
        <v>1555</v>
      </c>
      <c r="G128" s="215">
        <v>560</v>
      </c>
      <c r="H128" s="215">
        <v>184</v>
      </c>
      <c r="I128" s="215">
        <v>120</v>
      </c>
      <c r="J128" s="215" t="s">
        <v>29</v>
      </c>
      <c r="K128" s="215" t="s">
        <v>29</v>
      </c>
      <c r="L128" s="215">
        <f t="shared" si="6"/>
        <v>4301</v>
      </c>
    </row>
    <row r="129" spans="1:12" s="213" customFormat="1" x14ac:dyDescent="0.25">
      <c r="A129" s="213">
        <v>1991</v>
      </c>
      <c r="B129" s="215" t="s">
        <v>29</v>
      </c>
      <c r="C129" s="215" t="s">
        <v>29</v>
      </c>
      <c r="D129" s="215">
        <v>571</v>
      </c>
      <c r="E129" s="215">
        <v>2044</v>
      </c>
      <c r="F129" s="215">
        <v>894</v>
      </c>
      <c r="G129" s="215">
        <v>587</v>
      </c>
      <c r="H129" s="215">
        <v>527</v>
      </c>
      <c r="I129" s="215">
        <v>439</v>
      </c>
      <c r="J129" s="215" t="s">
        <v>29</v>
      </c>
      <c r="K129" s="215" t="s">
        <v>29</v>
      </c>
      <c r="L129" s="215">
        <f t="shared" si="6"/>
        <v>5062</v>
      </c>
    </row>
    <row r="130" spans="1:12" s="213" customFormat="1" x14ac:dyDescent="0.25">
      <c r="A130" s="213">
        <v>1992</v>
      </c>
      <c r="B130" s="215" t="s">
        <v>29</v>
      </c>
      <c r="C130" s="215" t="s">
        <v>29</v>
      </c>
      <c r="D130" s="215">
        <v>1405</v>
      </c>
      <c r="E130" s="215" t="s">
        <v>29</v>
      </c>
      <c r="F130" s="215">
        <v>1119</v>
      </c>
      <c r="G130" s="215">
        <v>1684</v>
      </c>
      <c r="H130" s="215">
        <v>746</v>
      </c>
      <c r="I130" s="215">
        <v>884</v>
      </c>
      <c r="J130" s="215" t="s">
        <v>29</v>
      </c>
      <c r="K130" s="215" t="s">
        <v>29</v>
      </c>
      <c r="L130" s="215">
        <f t="shared" si="6"/>
        <v>5838</v>
      </c>
    </row>
    <row r="131" spans="1:12" s="213" customFormat="1" x14ac:dyDescent="0.25">
      <c r="A131" s="213">
        <v>1993</v>
      </c>
      <c r="B131" s="215" t="s">
        <v>29</v>
      </c>
      <c r="C131" s="215" t="s">
        <v>29</v>
      </c>
      <c r="D131" s="215">
        <v>1352</v>
      </c>
      <c r="E131" s="215">
        <v>1083</v>
      </c>
      <c r="F131" s="215">
        <v>1516</v>
      </c>
      <c r="G131" s="215">
        <v>770</v>
      </c>
      <c r="H131" s="215">
        <v>725</v>
      </c>
      <c r="I131" s="215">
        <v>462</v>
      </c>
      <c r="J131" s="215" t="s">
        <v>29</v>
      </c>
      <c r="K131" s="215" t="s">
        <v>29</v>
      </c>
      <c r="L131" s="215">
        <f t="shared" si="6"/>
        <v>5908</v>
      </c>
    </row>
    <row r="132" spans="1:12" s="213" customFormat="1" x14ac:dyDescent="0.25">
      <c r="A132" s="213">
        <v>1994</v>
      </c>
      <c r="B132" s="215" t="s">
        <v>29</v>
      </c>
      <c r="C132" s="215" t="s">
        <v>29</v>
      </c>
      <c r="D132" s="215">
        <v>813</v>
      </c>
      <c r="E132" s="215">
        <v>831</v>
      </c>
      <c r="F132" s="215" t="s">
        <v>29</v>
      </c>
      <c r="G132" s="215" t="s">
        <v>29</v>
      </c>
      <c r="H132" s="215">
        <v>201</v>
      </c>
      <c r="I132" s="215">
        <v>289</v>
      </c>
      <c r="J132" s="215" t="s">
        <v>29</v>
      </c>
      <c r="K132" s="215" t="s">
        <v>29</v>
      </c>
      <c r="L132" s="215">
        <f t="shared" si="6"/>
        <v>2134</v>
      </c>
    </row>
    <row r="133" spans="1:12" s="213" customFormat="1" x14ac:dyDescent="0.25">
      <c r="A133" s="213">
        <v>1995</v>
      </c>
      <c r="B133" s="215" t="s">
        <v>29</v>
      </c>
      <c r="C133" s="215" t="s">
        <v>29</v>
      </c>
      <c r="D133" s="215">
        <v>583</v>
      </c>
      <c r="E133" s="215">
        <v>987</v>
      </c>
      <c r="F133" s="215" t="s">
        <v>29</v>
      </c>
      <c r="G133" s="215">
        <v>1596</v>
      </c>
      <c r="H133" s="215">
        <v>808</v>
      </c>
      <c r="I133" s="215">
        <v>694</v>
      </c>
      <c r="J133" s="215" t="s">
        <v>29</v>
      </c>
      <c r="K133" s="215" t="s">
        <v>29</v>
      </c>
      <c r="L133" s="215">
        <f t="shared" si="6"/>
        <v>4668</v>
      </c>
    </row>
    <row r="134" spans="1:12" s="213" customFormat="1" x14ac:dyDescent="0.25">
      <c r="A134" s="213">
        <v>1996</v>
      </c>
      <c r="B134" s="215" t="s">
        <v>29</v>
      </c>
      <c r="C134" s="215" t="s">
        <v>29</v>
      </c>
      <c r="D134" s="215">
        <v>1023</v>
      </c>
      <c r="E134" s="215">
        <v>1125</v>
      </c>
      <c r="F134" s="215" t="s">
        <v>29</v>
      </c>
      <c r="G134" s="215">
        <v>1308</v>
      </c>
      <c r="H134" s="215">
        <v>773</v>
      </c>
      <c r="I134" s="215">
        <v>529</v>
      </c>
      <c r="J134" s="215" t="s">
        <v>29</v>
      </c>
      <c r="K134" s="215" t="s">
        <v>29</v>
      </c>
      <c r="L134" s="215">
        <f t="shared" si="6"/>
        <v>4758</v>
      </c>
    </row>
    <row r="135" spans="1:12" s="213" customFormat="1" x14ac:dyDescent="0.25">
      <c r="A135" s="213">
        <v>1997</v>
      </c>
      <c r="B135" s="215" t="s">
        <v>29</v>
      </c>
      <c r="C135" s="215">
        <v>226</v>
      </c>
      <c r="D135" s="215">
        <v>1388</v>
      </c>
      <c r="E135" s="215">
        <v>1331</v>
      </c>
      <c r="F135" s="215" t="s">
        <v>29</v>
      </c>
      <c r="G135" s="215">
        <v>1296</v>
      </c>
      <c r="H135" s="215">
        <v>728</v>
      </c>
      <c r="I135" s="215">
        <v>202</v>
      </c>
      <c r="J135" s="215" t="s">
        <v>29</v>
      </c>
      <c r="K135" s="215" t="s">
        <v>29</v>
      </c>
      <c r="L135" s="215">
        <f t="shared" si="6"/>
        <v>5171</v>
      </c>
    </row>
    <row r="136" spans="1:12" s="213" customFormat="1" x14ac:dyDescent="0.25">
      <c r="A136" s="213">
        <v>1998</v>
      </c>
      <c r="B136" s="215" t="s">
        <v>29</v>
      </c>
      <c r="C136" s="215">
        <v>667</v>
      </c>
      <c r="D136" s="215">
        <v>1339</v>
      </c>
      <c r="E136" s="215">
        <v>1175</v>
      </c>
      <c r="F136" s="215" t="s">
        <v>29</v>
      </c>
      <c r="G136" s="215">
        <v>950</v>
      </c>
      <c r="H136" s="215">
        <v>217</v>
      </c>
      <c r="I136" s="215">
        <v>148</v>
      </c>
      <c r="J136" s="215" t="s">
        <v>29</v>
      </c>
      <c r="K136" s="215" t="s">
        <v>29</v>
      </c>
      <c r="L136" s="215">
        <f t="shared" si="6"/>
        <v>4496</v>
      </c>
    </row>
    <row r="137" spans="1:12" s="213" customFormat="1" x14ac:dyDescent="0.25">
      <c r="A137" s="213">
        <v>1999</v>
      </c>
      <c r="B137" s="215" t="s">
        <v>29</v>
      </c>
      <c r="C137" s="215">
        <v>148</v>
      </c>
      <c r="D137" s="215">
        <v>389</v>
      </c>
      <c r="E137" s="215">
        <v>456</v>
      </c>
      <c r="F137" s="215">
        <v>284</v>
      </c>
      <c r="G137" s="215">
        <v>135</v>
      </c>
      <c r="H137" s="215">
        <v>26</v>
      </c>
      <c r="I137" s="215">
        <v>104</v>
      </c>
      <c r="J137" s="215" t="s">
        <v>29</v>
      </c>
      <c r="K137" s="215" t="s">
        <v>29</v>
      </c>
      <c r="L137" s="215">
        <f t="shared" si="6"/>
        <v>1542</v>
      </c>
    </row>
    <row r="138" spans="1:12" s="213" customFormat="1" x14ac:dyDescent="0.25">
      <c r="A138" s="213">
        <v>2000</v>
      </c>
      <c r="B138" s="215" t="s">
        <v>29</v>
      </c>
      <c r="C138" s="215">
        <v>81</v>
      </c>
      <c r="D138" s="215">
        <v>460</v>
      </c>
      <c r="E138" s="215">
        <v>486</v>
      </c>
      <c r="F138" s="215">
        <v>374</v>
      </c>
      <c r="G138" s="215">
        <v>551</v>
      </c>
      <c r="H138" s="215">
        <v>523</v>
      </c>
      <c r="I138" s="215">
        <v>222</v>
      </c>
      <c r="J138" s="215" t="s">
        <v>29</v>
      </c>
      <c r="K138" s="215" t="s">
        <v>29</v>
      </c>
      <c r="L138" s="215">
        <f t="shared" si="6"/>
        <v>2697</v>
      </c>
    </row>
    <row r="139" spans="1:12" s="213" customFormat="1" x14ac:dyDescent="0.25">
      <c r="A139" s="213">
        <v>2001</v>
      </c>
      <c r="B139" s="215" t="s">
        <v>29</v>
      </c>
      <c r="C139" s="215">
        <v>446</v>
      </c>
      <c r="D139" s="215">
        <v>1264</v>
      </c>
      <c r="E139" s="215">
        <v>1033</v>
      </c>
      <c r="F139" s="215">
        <v>495</v>
      </c>
      <c r="G139" s="215">
        <v>1081</v>
      </c>
      <c r="H139" s="215">
        <v>591</v>
      </c>
      <c r="I139" s="215">
        <v>338</v>
      </c>
      <c r="J139" s="215" t="s">
        <v>29</v>
      </c>
      <c r="K139" s="215" t="s">
        <v>29</v>
      </c>
      <c r="L139" s="215">
        <f t="shared" si="6"/>
        <v>5248</v>
      </c>
    </row>
    <row r="140" spans="1:12" s="213" customFormat="1" x14ac:dyDescent="0.25">
      <c r="A140" s="213">
        <v>2002</v>
      </c>
      <c r="B140" s="215">
        <v>186</v>
      </c>
      <c r="C140" s="215">
        <v>345</v>
      </c>
      <c r="D140" s="215">
        <v>788</v>
      </c>
      <c r="E140" s="215">
        <v>471</v>
      </c>
      <c r="F140" s="215">
        <v>278</v>
      </c>
      <c r="G140" s="215">
        <v>411</v>
      </c>
      <c r="H140" s="215">
        <v>746</v>
      </c>
      <c r="I140" s="215">
        <v>1166</v>
      </c>
      <c r="J140" s="215" t="s">
        <v>29</v>
      </c>
      <c r="K140" s="215" t="s">
        <v>29</v>
      </c>
      <c r="L140" s="215">
        <f t="shared" si="6"/>
        <v>4391</v>
      </c>
    </row>
    <row r="141" spans="1:12" s="213" customFormat="1" x14ac:dyDescent="0.25">
      <c r="A141" s="218">
        <v>2003</v>
      </c>
      <c r="B141" s="215">
        <v>41</v>
      </c>
      <c r="C141" s="215">
        <v>265</v>
      </c>
      <c r="D141" s="215">
        <v>884</v>
      </c>
      <c r="E141" s="215">
        <v>528</v>
      </c>
      <c r="F141" s="215">
        <v>470</v>
      </c>
      <c r="G141" s="215">
        <v>626</v>
      </c>
      <c r="H141" s="215">
        <v>927</v>
      </c>
      <c r="I141" s="215">
        <v>821</v>
      </c>
      <c r="J141" s="215" t="s">
        <v>29</v>
      </c>
      <c r="K141" s="215" t="s">
        <v>29</v>
      </c>
      <c r="L141" s="215">
        <f t="shared" si="6"/>
        <v>4562</v>
      </c>
    </row>
    <row r="142" spans="1:12" s="213" customFormat="1" x14ac:dyDescent="0.25">
      <c r="A142" s="218">
        <v>2004</v>
      </c>
      <c r="B142" s="215">
        <v>485</v>
      </c>
      <c r="C142" s="215">
        <v>1060</v>
      </c>
      <c r="D142" s="215">
        <v>1279</v>
      </c>
      <c r="E142" s="215">
        <v>628</v>
      </c>
      <c r="F142" s="215">
        <v>383</v>
      </c>
      <c r="G142" s="215">
        <v>405</v>
      </c>
      <c r="H142" s="215">
        <v>496</v>
      </c>
      <c r="I142" s="215">
        <v>103</v>
      </c>
      <c r="J142" s="215" t="s">
        <v>29</v>
      </c>
      <c r="K142" s="215" t="s">
        <v>29</v>
      </c>
      <c r="L142" s="215">
        <f>SUM(B142:K142)</f>
        <v>4839</v>
      </c>
    </row>
    <row r="143" spans="1:12" s="213" customFormat="1" x14ac:dyDescent="0.25">
      <c r="A143" s="218">
        <v>2005</v>
      </c>
      <c r="B143" s="215">
        <v>296</v>
      </c>
      <c r="C143" s="215">
        <v>145</v>
      </c>
      <c r="D143" s="215">
        <v>554</v>
      </c>
      <c r="E143" s="215">
        <v>1953</v>
      </c>
      <c r="F143" s="215" t="s">
        <v>29</v>
      </c>
      <c r="G143" s="215" t="s">
        <v>29</v>
      </c>
      <c r="H143" s="215">
        <v>1005</v>
      </c>
      <c r="I143" s="215">
        <v>326</v>
      </c>
      <c r="J143" s="215" t="s">
        <v>29</v>
      </c>
      <c r="K143" s="215" t="s">
        <v>29</v>
      </c>
      <c r="L143" s="215">
        <f>SUM(B143:K143)</f>
        <v>4279</v>
      </c>
    </row>
    <row r="144" spans="1:12" s="213" customFormat="1" x14ac:dyDescent="0.2">
      <c r="A144" s="218">
        <v>2006</v>
      </c>
      <c r="B144" s="219" t="s">
        <v>29</v>
      </c>
      <c r="C144" s="219" t="s">
        <v>29</v>
      </c>
      <c r="D144" s="219" t="s">
        <v>29</v>
      </c>
      <c r="E144" s="219">
        <v>838</v>
      </c>
      <c r="F144" s="219">
        <v>471</v>
      </c>
      <c r="G144" s="219">
        <v>151</v>
      </c>
      <c r="H144" s="219">
        <v>413</v>
      </c>
      <c r="I144" s="219">
        <v>250</v>
      </c>
      <c r="J144" s="219">
        <v>93</v>
      </c>
      <c r="K144" s="219" t="s">
        <v>29</v>
      </c>
      <c r="L144" s="215">
        <f>SUM(B144:K144)</f>
        <v>2216</v>
      </c>
    </row>
    <row r="145" spans="1:12" s="218" customFormat="1" x14ac:dyDescent="0.2">
      <c r="A145" s="218">
        <v>2007</v>
      </c>
      <c r="B145" s="221" t="s">
        <v>29</v>
      </c>
      <c r="C145" s="221">
        <v>81</v>
      </c>
      <c r="D145" s="221">
        <v>347</v>
      </c>
      <c r="E145" s="221">
        <v>286</v>
      </c>
      <c r="F145" s="221">
        <v>94</v>
      </c>
      <c r="G145" s="221">
        <v>170</v>
      </c>
      <c r="H145" s="221">
        <v>91</v>
      </c>
      <c r="I145" s="221">
        <v>29</v>
      </c>
      <c r="J145" s="221">
        <v>6</v>
      </c>
      <c r="K145" s="221" t="s">
        <v>29</v>
      </c>
      <c r="L145" s="220">
        <f>SUM(B145:K145)</f>
        <v>1104</v>
      </c>
    </row>
    <row r="146" spans="1:12" s="218" customFormat="1" x14ac:dyDescent="0.2">
      <c r="A146" s="218">
        <v>2008</v>
      </c>
      <c r="B146" s="221" t="s">
        <v>29</v>
      </c>
      <c r="C146" s="221" t="s">
        <v>29</v>
      </c>
      <c r="D146" s="221" t="s">
        <v>29</v>
      </c>
      <c r="E146" s="221" t="s">
        <v>29</v>
      </c>
      <c r="F146" s="221" t="s">
        <v>29</v>
      </c>
      <c r="G146" s="221" t="s">
        <v>29</v>
      </c>
      <c r="H146" s="221" t="s">
        <v>29</v>
      </c>
      <c r="I146" s="221" t="s">
        <v>29</v>
      </c>
      <c r="J146" s="221" t="s">
        <v>29</v>
      </c>
      <c r="K146" s="221" t="s">
        <v>29</v>
      </c>
      <c r="L146" s="220" t="s">
        <v>29</v>
      </c>
    </row>
    <row r="147" spans="1:12" s="218" customFormat="1" x14ac:dyDescent="0.2">
      <c r="A147" s="218">
        <v>2009</v>
      </c>
      <c r="B147" s="221" t="s">
        <v>29</v>
      </c>
      <c r="C147" s="221" t="s">
        <v>29</v>
      </c>
      <c r="D147" s="221" t="s">
        <v>29</v>
      </c>
      <c r="E147" s="221" t="s">
        <v>29</v>
      </c>
      <c r="F147" s="221" t="s">
        <v>29</v>
      </c>
      <c r="G147" s="221" t="s">
        <v>29</v>
      </c>
      <c r="H147" s="221">
        <v>286</v>
      </c>
      <c r="I147" s="221" t="s">
        <v>29</v>
      </c>
      <c r="J147" s="221" t="s">
        <v>29</v>
      </c>
      <c r="K147" s="221" t="s">
        <v>29</v>
      </c>
      <c r="L147" s="220">
        <f t="shared" ref="L147:L158" si="7">SUM(B147:K147)</f>
        <v>286</v>
      </c>
    </row>
    <row r="148" spans="1:12" s="218" customFormat="1" x14ac:dyDescent="0.2">
      <c r="A148" s="218">
        <v>2010</v>
      </c>
      <c r="B148" s="221" t="s">
        <v>29</v>
      </c>
      <c r="C148" s="221" t="s">
        <v>29</v>
      </c>
      <c r="D148" s="221">
        <v>477</v>
      </c>
      <c r="E148" s="221">
        <v>411</v>
      </c>
      <c r="F148" s="221">
        <v>290</v>
      </c>
      <c r="G148" s="221">
        <f>185+96+46+19</f>
        <v>346</v>
      </c>
      <c r="H148" s="221" t="s">
        <v>29</v>
      </c>
      <c r="I148" s="221" t="s">
        <v>29</v>
      </c>
      <c r="J148" s="221" t="s">
        <v>29</v>
      </c>
      <c r="K148" s="221" t="s">
        <v>29</v>
      </c>
      <c r="L148" s="220">
        <f t="shared" si="7"/>
        <v>1524</v>
      </c>
    </row>
    <row r="149" spans="1:12" s="218" customFormat="1" x14ac:dyDescent="0.2">
      <c r="A149" s="218">
        <v>2011</v>
      </c>
      <c r="B149" s="221" t="s">
        <v>29</v>
      </c>
      <c r="C149" s="221">
        <v>60</v>
      </c>
      <c r="D149" s="221">
        <v>325</v>
      </c>
      <c r="E149" s="221">
        <v>229</v>
      </c>
      <c r="F149" s="221">
        <v>22</v>
      </c>
      <c r="G149" s="221">
        <v>101</v>
      </c>
      <c r="H149" s="221" t="s">
        <v>29</v>
      </c>
      <c r="I149" s="221">
        <v>11</v>
      </c>
      <c r="J149" s="221" t="s">
        <v>29</v>
      </c>
      <c r="K149" s="221" t="s">
        <v>29</v>
      </c>
      <c r="L149" s="220">
        <f t="shared" si="7"/>
        <v>748</v>
      </c>
    </row>
    <row r="150" spans="1:12" s="218" customFormat="1" x14ac:dyDescent="0.2">
      <c r="A150" s="218">
        <v>2012</v>
      </c>
      <c r="B150" s="221" t="s">
        <v>29</v>
      </c>
      <c r="C150" s="221">
        <v>155</v>
      </c>
      <c r="D150" s="221">
        <v>475</v>
      </c>
      <c r="E150" s="221">
        <v>335</v>
      </c>
      <c r="F150" s="221">
        <v>114</v>
      </c>
      <c r="G150" s="221">
        <v>312</v>
      </c>
      <c r="H150" s="221">
        <v>465</v>
      </c>
      <c r="I150" s="221">
        <v>256</v>
      </c>
      <c r="J150" s="221" t="s">
        <v>29</v>
      </c>
      <c r="K150" s="221" t="s">
        <v>29</v>
      </c>
      <c r="L150" s="220">
        <f t="shared" si="7"/>
        <v>2112</v>
      </c>
    </row>
    <row r="151" spans="1:12" s="218" customFormat="1" x14ac:dyDescent="0.2">
      <c r="A151" s="218">
        <v>2013</v>
      </c>
      <c r="B151" s="221" t="s">
        <v>29</v>
      </c>
      <c r="C151" s="221">
        <v>334</v>
      </c>
      <c r="D151" s="221">
        <v>484</v>
      </c>
      <c r="E151" s="221">
        <v>263</v>
      </c>
      <c r="F151" s="221">
        <v>141</v>
      </c>
      <c r="G151" s="221">
        <v>325</v>
      </c>
      <c r="H151" s="221">
        <v>98</v>
      </c>
      <c r="I151" s="221">
        <v>77</v>
      </c>
      <c r="J151" s="221" t="s">
        <v>29</v>
      </c>
      <c r="K151" s="221" t="s">
        <v>29</v>
      </c>
      <c r="L151" s="220">
        <f t="shared" si="7"/>
        <v>1722</v>
      </c>
    </row>
    <row r="152" spans="1:12" s="218" customFormat="1" x14ac:dyDescent="0.2">
      <c r="A152" s="218">
        <v>2014</v>
      </c>
      <c r="B152" s="221" t="s">
        <v>29</v>
      </c>
      <c r="C152" s="221">
        <v>469</v>
      </c>
      <c r="D152" s="221">
        <v>1076</v>
      </c>
      <c r="E152" s="221">
        <v>507</v>
      </c>
      <c r="F152" s="221">
        <v>354</v>
      </c>
      <c r="G152" s="221">
        <v>932</v>
      </c>
      <c r="H152" s="221">
        <v>255</v>
      </c>
      <c r="I152" s="221">
        <v>104</v>
      </c>
      <c r="J152" s="221" t="s">
        <v>29</v>
      </c>
      <c r="K152" s="221" t="s">
        <v>29</v>
      </c>
      <c r="L152" s="220">
        <f t="shared" si="7"/>
        <v>3697</v>
      </c>
    </row>
    <row r="153" spans="1:12" s="218" customFormat="1" x14ac:dyDescent="0.2">
      <c r="A153" s="218">
        <v>2015</v>
      </c>
      <c r="B153" s="221" t="s">
        <v>29</v>
      </c>
      <c r="C153" s="221">
        <v>738</v>
      </c>
      <c r="D153" s="221">
        <v>317</v>
      </c>
      <c r="E153" s="221">
        <v>230</v>
      </c>
      <c r="F153" s="221">
        <v>782</v>
      </c>
      <c r="G153" s="221">
        <v>530</v>
      </c>
      <c r="H153" s="221">
        <v>155</v>
      </c>
      <c r="I153" s="221" t="s">
        <v>29</v>
      </c>
      <c r="J153" s="221" t="s">
        <v>29</v>
      </c>
      <c r="K153" s="221" t="s">
        <v>29</v>
      </c>
      <c r="L153" s="220">
        <f t="shared" si="7"/>
        <v>2752</v>
      </c>
    </row>
    <row r="154" spans="1:12" s="218" customFormat="1" x14ac:dyDescent="0.2">
      <c r="A154" s="218">
        <v>2016</v>
      </c>
      <c r="B154" s="221" t="s">
        <v>29</v>
      </c>
      <c r="C154" s="221">
        <v>666</v>
      </c>
      <c r="D154" s="221">
        <v>625</v>
      </c>
      <c r="E154" s="221">
        <v>309</v>
      </c>
      <c r="F154" s="221">
        <v>388</v>
      </c>
      <c r="G154" s="221">
        <v>547</v>
      </c>
      <c r="H154" s="221">
        <v>217</v>
      </c>
      <c r="I154" s="221">
        <v>4</v>
      </c>
      <c r="J154" s="221" t="s">
        <v>29</v>
      </c>
      <c r="K154" s="221" t="s">
        <v>29</v>
      </c>
      <c r="L154" s="220">
        <f t="shared" si="7"/>
        <v>2756</v>
      </c>
    </row>
    <row r="155" spans="1:12" s="213" customFormat="1" x14ac:dyDescent="0.2">
      <c r="A155" s="218">
        <v>2017</v>
      </c>
      <c r="B155" s="219" t="s">
        <v>29</v>
      </c>
      <c r="C155" s="219">
        <v>99</v>
      </c>
      <c r="D155" s="219">
        <v>149</v>
      </c>
      <c r="E155" s="219">
        <v>345</v>
      </c>
      <c r="F155" s="219">
        <v>647</v>
      </c>
      <c r="G155" s="219" t="s">
        <v>29</v>
      </c>
      <c r="H155" s="221">
        <v>18</v>
      </c>
      <c r="I155" s="219">
        <v>6</v>
      </c>
      <c r="J155" s="219" t="s">
        <v>29</v>
      </c>
      <c r="K155" s="219" t="s">
        <v>29</v>
      </c>
      <c r="L155" s="220">
        <f t="shared" si="7"/>
        <v>1264</v>
      </c>
    </row>
    <row r="156" spans="1:12" s="218" customFormat="1" x14ac:dyDescent="0.2">
      <c r="A156" s="218">
        <v>2018</v>
      </c>
      <c r="B156" s="221" t="s">
        <v>29</v>
      </c>
      <c r="C156" s="221" t="s">
        <v>29</v>
      </c>
      <c r="D156" s="221">
        <v>161</v>
      </c>
      <c r="E156" s="221">
        <v>119</v>
      </c>
      <c r="F156" s="221">
        <v>191</v>
      </c>
      <c r="G156" s="221">
        <v>534</v>
      </c>
      <c r="H156" s="221">
        <v>36</v>
      </c>
      <c r="I156" s="221">
        <v>2</v>
      </c>
      <c r="J156" s="221" t="s">
        <v>29</v>
      </c>
      <c r="K156" s="221" t="s">
        <v>29</v>
      </c>
      <c r="L156" s="220">
        <f>SUM(B156:K156)</f>
        <v>1043</v>
      </c>
    </row>
    <row r="157" spans="1:12" s="218" customFormat="1" x14ac:dyDescent="0.2">
      <c r="A157" s="218">
        <v>2019</v>
      </c>
      <c r="B157" s="221" t="s">
        <v>29</v>
      </c>
      <c r="C157" s="221">
        <v>30</v>
      </c>
      <c r="D157" s="221">
        <v>60</v>
      </c>
      <c r="E157" s="221">
        <v>235</v>
      </c>
      <c r="F157" s="221">
        <v>828</v>
      </c>
      <c r="G157" s="221">
        <v>355</v>
      </c>
      <c r="H157" s="221">
        <v>75</v>
      </c>
      <c r="I157" s="221">
        <v>9</v>
      </c>
      <c r="J157" s="221" t="s">
        <v>29</v>
      </c>
      <c r="K157" s="221" t="s">
        <v>29</v>
      </c>
      <c r="L157" s="220">
        <f t="shared" ref="L157" si="8">SUM(B157:K157)</f>
        <v>1592</v>
      </c>
    </row>
    <row r="158" spans="1:12" s="213" customFormat="1" x14ac:dyDescent="0.2">
      <c r="A158" s="218" t="s">
        <v>393</v>
      </c>
      <c r="B158" s="219" t="s">
        <v>29</v>
      </c>
      <c r="C158" s="219">
        <v>93</v>
      </c>
      <c r="D158" s="219">
        <v>82</v>
      </c>
      <c r="E158" s="219">
        <v>290</v>
      </c>
      <c r="F158" s="219">
        <v>422</v>
      </c>
      <c r="G158" s="219">
        <v>234</v>
      </c>
      <c r="H158" s="221">
        <v>109</v>
      </c>
      <c r="I158" s="219">
        <v>13</v>
      </c>
      <c r="J158" s="219" t="s">
        <v>29</v>
      </c>
      <c r="K158" s="219" t="s">
        <v>29</v>
      </c>
      <c r="L158" s="220">
        <f t="shared" si="7"/>
        <v>1243</v>
      </c>
    </row>
    <row r="159" spans="1:12" s="314" customFormat="1" x14ac:dyDescent="0.25">
      <c r="A159" s="364"/>
      <c r="B159" s="222"/>
      <c r="C159" s="222"/>
      <c r="D159" s="222"/>
      <c r="E159" s="222"/>
      <c r="F159" s="222"/>
      <c r="G159" s="222"/>
      <c r="H159" s="222"/>
      <c r="I159" s="222"/>
      <c r="J159" s="222"/>
      <c r="K159" s="222"/>
      <c r="L159" s="222"/>
    </row>
    <row r="160" spans="1:12" s="314" customFormat="1" x14ac:dyDescent="0.25">
      <c r="A160" s="109" t="s">
        <v>55</v>
      </c>
      <c r="B160" s="222"/>
      <c r="C160" s="222"/>
      <c r="D160" s="222"/>
      <c r="E160" s="222"/>
      <c r="F160" s="222"/>
      <c r="G160" s="222"/>
      <c r="H160" s="222"/>
      <c r="I160" s="222"/>
      <c r="J160" s="222"/>
      <c r="K160" s="222"/>
      <c r="L160" s="222"/>
    </row>
    <row r="161" spans="1:12" s="213" customFormat="1" x14ac:dyDescent="0.25">
      <c r="A161" s="216">
        <v>1971</v>
      </c>
      <c r="B161" s="215" t="s">
        <v>29</v>
      </c>
      <c r="C161" s="215">
        <v>3</v>
      </c>
      <c r="D161" s="215">
        <v>81</v>
      </c>
      <c r="E161" s="215">
        <v>2455</v>
      </c>
      <c r="F161" s="215">
        <v>5867</v>
      </c>
      <c r="G161" s="215">
        <v>5086</v>
      </c>
      <c r="H161" s="215">
        <v>1379</v>
      </c>
      <c r="I161" s="215">
        <v>463</v>
      </c>
      <c r="J161" s="215" t="s">
        <v>29</v>
      </c>
      <c r="K161" s="215" t="s">
        <v>29</v>
      </c>
      <c r="L161" s="215">
        <f>SUM(B161:K161)</f>
        <v>15334</v>
      </c>
    </row>
    <row r="162" spans="1:12" s="213" customFormat="1" x14ac:dyDescent="0.25">
      <c r="A162" s="216">
        <v>1972</v>
      </c>
      <c r="B162" s="215" t="s">
        <v>29</v>
      </c>
      <c r="C162" s="215">
        <v>1</v>
      </c>
      <c r="D162" s="215">
        <v>96</v>
      </c>
      <c r="E162" s="215">
        <v>2518</v>
      </c>
      <c r="F162" s="215">
        <v>6533</v>
      </c>
      <c r="G162" s="215">
        <v>2610</v>
      </c>
      <c r="H162" s="215">
        <v>459</v>
      </c>
      <c r="I162" s="215">
        <v>47</v>
      </c>
      <c r="J162" s="215" t="s">
        <v>29</v>
      </c>
      <c r="K162" s="215" t="s">
        <v>29</v>
      </c>
      <c r="L162" s="215">
        <f t="shared" ref="L162:L199" si="9">SUM(B162:K162)</f>
        <v>12264</v>
      </c>
    </row>
    <row r="163" spans="1:12" s="213" customFormat="1" x14ac:dyDescent="0.25">
      <c r="A163" s="216">
        <v>1973</v>
      </c>
      <c r="B163" s="215" t="s">
        <v>29</v>
      </c>
      <c r="C163" s="215">
        <v>8</v>
      </c>
      <c r="D163" s="215">
        <v>69</v>
      </c>
      <c r="E163" s="215">
        <v>2269</v>
      </c>
      <c r="F163" s="215">
        <v>6865</v>
      </c>
      <c r="G163" s="215">
        <v>6487</v>
      </c>
      <c r="H163" s="215">
        <v>2345</v>
      </c>
      <c r="I163" s="215">
        <v>1235</v>
      </c>
      <c r="J163" s="215" t="s">
        <v>29</v>
      </c>
      <c r="K163" s="215" t="s">
        <v>29</v>
      </c>
      <c r="L163" s="215">
        <f t="shared" si="9"/>
        <v>19278</v>
      </c>
    </row>
    <row r="164" spans="1:12" s="213" customFormat="1" x14ac:dyDescent="0.25">
      <c r="A164" s="216">
        <v>1974</v>
      </c>
      <c r="B164" s="215" t="s">
        <v>29</v>
      </c>
      <c r="C164" s="215">
        <v>10</v>
      </c>
      <c r="D164" s="215">
        <v>82</v>
      </c>
      <c r="E164" s="215">
        <v>2129</v>
      </c>
      <c r="F164" s="215">
        <v>7951</v>
      </c>
      <c r="G164" s="215">
        <v>5726</v>
      </c>
      <c r="H164" s="215">
        <v>2241</v>
      </c>
      <c r="I164" s="215">
        <v>847</v>
      </c>
      <c r="J164" s="215">
        <v>8</v>
      </c>
      <c r="K164" s="215">
        <v>0</v>
      </c>
      <c r="L164" s="215">
        <f t="shared" si="9"/>
        <v>18994</v>
      </c>
    </row>
    <row r="165" spans="1:12" s="213" customFormat="1" x14ac:dyDescent="0.25">
      <c r="A165" s="216">
        <v>1975</v>
      </c>
      <c r="B165" s="215" t="s">
        <v>29</v>
      </c>
      <c r="C165" s="215">
        <v>18</v>
      </c>
      <c r="D165" s="215">
        <v>95</v>
      </c>
      <c r="E165" s="215">
        <v>4267</v>
      </c>
      <c r="F165" s="215">
        <v>5794</v>
      </c>
      <c r="G165" s="215">
        <v>3427</v>
      </c>
      <c r="H165" s="215">
        <v>2202</v>
      </c>
      <c r="I165" s="215">
        <v>309</v>
      </c>
      <c r="J165" s="215">
        <v>0</v>
      </c>
      <c r="K165" s="215">
        <v>0</v>
      </c>
      <c r="L165" s="215">
        <f t="shared" si="9"/>
        <v>16112</v>
      </c>
    </row>
    <row r="166" spans="1:12" s="213" customFormat="1" x14ac:dyDescent="0.25">
      <c r="A166" s="216">
        <v>1976</v>
      </c>
      <c r="B166" s="215" t="s">
        <v>29</v>
      </c>
      <c r="C166" s="215" t="s">
        <v>29</v>
      </c>
      <c r="D166" s="215">
        <v>367</v>
      </c>
      <c r="E166" s="215">
        <v>5314</v>
      </c>
      <c r="F166" s="215">
        <v>11265</v>
      </c>
      <c r="G166" s="215">
        <v>8686</v>
      </c>
      <c r="H166" s="215">
        <v>2639</v>
      </c>
      <c r="I166" s="215">
        <v>204</v>
      </c>
      <c r="J166" s="215" t="s">
        <v>29</v>
      </c>
      <c r="K166" s="215" t="s">
        <v>29</v>
      </c>
      <c r="L166" s="215">
        <f t="shared" si="9"/>
        <v>28475</v>
      </c>
    </row>
    <row r="167" spans="1:12" s="213" customFormat="1" x14ac:dyDescent="0.25">
      <c r="A167" s="216">
        <v>1977</v>
      </c>
      <c r="B167" s="215" t="s">
        <v>29</v>
      </c>
      <c r="C167" s="215" t="s">
        <v>29</v>
      </c>
      <c r="D167" s="215">
        <v>1033</v>
      </c>
      <c r="E167" s="215">
        <v>3297</v>
      </c>
      <c r="F167" s="215">
        <v>20823</v>
      </c>
      <c r="G167" s="215">
        <v>7549</v>
      </c>
      <c r="H167" s="215">
        <v>1898</v>
      </c>
      <c r="I167" s="215">
        <v>431</v>
      </c>
      <c r="J167" s="215" t="s">
        <v>29</v>
      </c>
      <c r="K167" s="215" t="s">
        <v>29</v>
      </c>
      <c r="L167" s="215">
        <f t="shared" si="9"/>
        <v>35031</v>
      </c>
    </row>
    <row r="168" spans="1:12" s="213" customFormat="1" x14ac:dyDescent="0.25">
      <c r="A168" s="216">
        <v>1978</v>
      </c>
      <c r="B168" s="215" t="s">
        <v>29</v>
      </c>
      <c r="C168" s="215" t="s">
        <v>29</v>
      </c>
      <c r="D168" s="215">
        <v>247</v>
      </c>
      <c r="E168" s="215">
        <v>2744</v>
      </c>
      <c r="F168" s="215">
        <v>5104</v>
      </c>
      <c r="G168" s="215">
        <v>4566</v>
      </c>
      <c r="H168" s="215">
        <v>1864</v>
      </c>
      <c r="I168" s="215">
        <v>402</v>
      </c>
      <c r="J168" s="215">
        <v>24</v>
      </c>
      <c r="K168" s="215" t="s">
        <v>29</v>
      </c>
      <c r="L168" s="215">
        <f t="shared" si="9"/>
        <v>14951</v>
      </c>
    </row>
    <row r="169" spans="1:12" s="213" customFormat="1" x14ac:dyDescent="0.25">
      <c r="A169" s="216">
        <v>1979</v>
      </c>
      <c r="B169" s="215" t="s">
        <v>29</v>
      </c>
      <c r="C169" s="215" t="s">
        <v>29</v>
      </c>
      <c r="D169" s="215">
        <v>666</v>
      </c>
      <c r="E169" s="215">
        <v>5</v>
      </c>
      <c r="F169" s="215">
        <v>8236</v>
      </c>
      <c r="G169" s="215">
        <v>5764</v>
      </c>
      <c r="H169" s="215">
        <v>308</v>
      </c>
      <c r="I169" s="215">
        <v>340</v>
      </c>
      <c r="J169" s="215">
        <v>0</v>
      </c>
      <c r="K169" s="215" t="s">
        <v>29</v>
      </c>
      <c r="L169" s="215">
        <f t="shared" si="9"/>
        <v>15319</v>
      </c>
    </row>
    <row r="170" spans="1:12" s="213" customFormat="1" x14ac:dyDescent="0.25">
      <c r="A170" s="216">
        <v>1980</v>
      </c>
      <c r="B170" s="215" t="s">
        <v>29</v>
      </c>
      <c r="C170" s="215" t="s">
        <v>29</v>
      </c>
      <c r="D170" s="215">
        <v>307</v>
      </c>
      <c r="E170" s="215">
        <v>1294</v>
      </c>
      <c r="F170" s="215">
        <v>2793</v>
      </c>
      <c r="G170" s="215">
        <v>3780</v>
      </c>
      <c r="H170" s="215">
        <v>748</v>
      </c>
      <c r="I170" s="215">
        <v>398</v>
      </c>
      <c r="J170" s="215">
        <v>3</v>
      </c>
      <c r="K170" s="215" t="s">
        <v>29</v>
      </c>
      <c r="L170" s="215">
        <f t="shared" si="9"/>
        <v>9323</v>
      </c>
    </row>
    <row r="171" spans="1:12" s="213" customFormat="1" x14ac:dyDescent="0.25">
      <c r="A171" s="216">
        <v>1981</v>
      </c>
      <c r="B171" s="215" t="s">
        <v>29</v>
      </c>
      <c r="C171" s="215" t="s">
        <v>29</v>
      </c>
      <c r="D171" s="215">
        <v>570</v>
      </c>
      <c r="E171" s="215">
        <v>0</v>
      </c>
      <c r="F171" s="215">
        <v>7367</v>
      </c>
      <c r="G171" s="215">
        <v>5114</v>
      </c>
      <c r="H171" s="215">
        <v>160</v>
      </c>
      <c r="I171" s="215">
        <v>170</v>
      </c>
      <c r="J171" s="215">
        <v>0</v>
      </c>
      <c r="K171" s="215" t="s">
        <v>29</v>
      </c>
      <c r="L171" s="215">
        <f t="shared" si="9"/>
        <v>13381</v>
      </c>
    </row>
    <row r="172" spans="1:12" s="213" customFormat="1" x14ac:dyDescent="0.25">
      <c r="A172" s="216">
        <v>1982</v>
      </c>
      <c r="B172" s="215" t="s">
        <v>29</v>
      </c>
      <c r="C172" s="215" t="s">
        <v>29</v>
      </c>
      <c r="D172" s="215">
        <v>762</v>
      </c>
      <c r="E172" s="215">
        <v>937</v>
      </c>
      <c r="F172" s="215">
        <v>8413</v>
      </c>
      <c r="G172" s="215">
        <v>2044</v>
      </c>
      <c r="H172" s="215">
        <v>1085</v>
      </c>
      <c r="I172" s="215">
        <v>258</v>
      </c>
      <c r="J172" s="215">
        <v>3</v>
      </c>
      <c r="K172" s="215" t="s">
        <v>29</v>
      </c>
      <c r="L172" s="215">
        <f t="shared" si="9"/>
        <v>13502</v>
      </c>
    </row>
    <row r="173" spans="1:12" s="213" customFormat="1" x14ac:dyDescent="0.25">
      <c r="A173" s="216">
        <v>1983</v>
      </c>
      <c r="B173" s="215" t="s">
        <v>29</v>
      </c>
      <c r="C173" s="215" t="s">
        <v>29</v>
      </c>
      <c r="D173" s="215">
        <v>463</v>
      </c>
      <c r="E173" s="215">
        <v>638</v>
      </c>
      <c r="F173" s="215">
        <v>5432</v>
      </c>
      <c r="G173" s="215">
        <v>160</v>
      </c>
      <c r="H173" s="215">
        <v>118</v>
      </c>
      <c r="I173" s="215">
        <v>63</v>
      </c>
      <c r="J173" s="215">
        <v>2</v>
      </c>
      <c r="K173" s="215" t="s">
        <v>29</v>
      </c>
      <c r="L173" s="215">
        <f t="shared" si="9"/>
        <v>6876</v>
      </c>
    </row>
    <row r="174" spans="1:12" s="213" customFormat="1" x14ac:dyDescent="0.25">
      <c r="A174" s="216">
        <v>1984</v>
      </c>
      <c r="B174" s="215" t="s">
        <v>29</v>
      </c>
      <c r="C174" s="215" t="s">
        <v>29</v>
      </c>
      <c r="D174" s="215">
        <v>80</v>
      </c>
      <c r="E174" s="215">
        <v>225</v>
      </c>
      <c r="F174" s="215">
        <v>666</v>
      </c>
      <c r="G174" s="215">
        <v>1208</v>
      </c>
      <c r="H174" s="215">
        <v>141</v>
      </c>
      <c r="I174" s="215">
        <v>0</v>
      </c>
      <c r="J174" s="215">
        <v>0</v>
      </c>
      <c r="K174" s="215" t="s">
        <v>29</v>
      </c>
      <c r="L174" s="215">
        <f t="shared" si="9"/>
        <v>2320</v>
      </c>
    </row>
    <row r="175" spans="1:12" s="213" customFormat="1" x14ac:dyDescent="0.25">
      <c r="A175" s="216">
        <v>1985</v>
      </c>
      <c r="B175" s="215" t="s">
        <v>29</v>
      </c>
      <c r="C175" s="215" t="s">
        <v>29</v>
      </c>
      <c r="D175" s="215">
        <v>1697</v>
      </c>
      <c r="E175" s="215">
        <v>1521</v>
      </c>
      <c r="F175" s="215">
        <v>3918</v>
      </c>
      <c r="G175" s="215">
        <v>4641</v>
      </c>
      <c r="H175" s="215">
        <v>1514</v>
      </c>
      <c r="I175" s="215">
        <v>411</v>
      </c>
      <c r="J175" s="215">
        <v>18</v>
      </c>
      <c r="K175" s="215" t="s">
        <v>29</v>
      </c>
      <c r="L175" s="215">
        <f t="shared" si="9"/>
        <v>13720</v>
      </c>
    </row>
    <row r="176" spans="1:12" s="213" customFormat="1" x14ac:dyDescent="0.25">
      <c r="A176" s="213">
        <v>1986</v>
      </c>
      <c r="B176" s="215" t="s">
        <v>29</v>
      </c>
      <c r="C176" s="215" t="s">
        <v>29</v>
      </c>
      <c r="D176" s="215">
        <v>2144</v>
      </c>
      <c r="E176" s="215">
        <v>2441</v>
      </c>
      <c r="F176" s="215">
        <v>5601</v>
      </c>
      <c r="G176" s="215">
        <v>4162</v>
      </c>
      <c r="H176" s="215">
        <v>1157</v>
      </c>
      <c r="I176" s="215">
        <v>265</v>
      </c>
      <c r="J176" s="215" t="s">
        <v>29</v>
      </c>
      <c r="K176" s="215" t="s">
        <v>29</v>
      </c>
      <c r="L176" s="215">
        <f t="shared" si="9"/>
        <v>15770</v>
      </c>
    </row>
    <row r="177" spans="1:12" s="213" customFormat="1" x14ac:dyDescent="0.25">
      <c r="A177" s="213">
        <v>1987</v>
      </c>
      <c r="B177" s="215" t="s">
        <v>29</v>
      </c>
      <c r="C177" s="215" t="s">
        <v>29</v>
      </c>
      <c r="D177" s="215">
        <v>1742</v>
      </c>
      <c r="E177" s="215">
        <v>1724</v>
      </c>
      <c r="F177" s="215">
        <v>10258</v>
      </c>
      <c r="G177" s="215">
        <v>3528</v>
      </c>
      <c r="H177" s="215">
        <v>3053</v>
      </c>
      <c r="I177" s="215">
        <v>660</v>
      </c>
      <c r="J177" s="215" t="s">
        <v>29</v>
      </c>
      <c r="K177" s="215" t="s">
        <v>29</v>
      </c>
      <c r="L177" s="215">
        <f t="shared" si="9"/>
        <v>20965</v>
      </c>
    </row>
    <row r="178" spans="1:12" s="213" customFormat="1" x14ac:dyDescent="0.25">
      <c r="A178" s="213">
        <v>1988</v>
      </c>
      <c r="B178" s="215" t="s">
        <v>29</v>
      </c>
      <c r="C178" s="215" t="s">
        <v>29</v>
      </c>
      <c r="D178" s="215">
        <v>3156</v>
      </c>
      <c r="E178" s="215">
        <v>4378</v>
      </c>
      <c r="F178" s="215">
        <v>7651</v>
      </c>
      <c r="G178" s="215">
        <v>7146</v>
      </c>
      <c r="H178" s="215">
        <v>1913</v>
      </c>
      <c r="I178" s="215">
        <v>2054</v>
      </c>
      <c r="J178" s="215" t="s">
        <v>29</v>
      </c>
      <c r="K178" s="215" t="s">
        <v>29</v>
      </c>
      <c r="L178" s="215">
        <f t="shared" si="9"/>
        <v>26298</v>
      </c>
    </row>
    <row r="179" spans="1:12" s="213" customFormat="1" x14ac:dyDescent="0.25">
      <c r="A179" s="213">
        <v>1989</v>
      </c>
      <c r="B179" s="215" t="s">
        <v>29</v>
      </c>
      <c r="C179" s="215" t="s">
        <v>29</v>
      </c>
      <c r="D179" s="215">
        <v>4484</v>
      </c>
      <c r="E179" s="215">
        <v>4194</v>
      </c>
      <c r="F179" s="215">
        <v>6408</v>
      </c>
      <c r="G179" s="215">
        <v>4863</v>
      </c>
      <c r="H179" s="215">
        <v>1079</v>
      </c>
      <c r="I179" s="215">
        <v>1389</v>
      </c>
      <c r="J179" s="215">
        <v>497</v>
      </c>
      <c r="K179" s="215" t="s">
        <v>29</v>
      </c>
      <c r="L179" s="215">
        <f t="shared" si="9"/>
        <v>22914</v>
      </c>
    </row>
    <row r="180" spans="1:12" s="213" customFormat="1" x14ac:dyDescent="0.25">
      <c r="A180" s="213">
        <v>1990</v>
      </c>
      <c r="B180" s="215" t="s">
        <v>29</v>
      </c>
      <c r="C180" s="215" t="s">
        <v>29</v>
      </c>
      <c r="D180" s="215">
        <v>2160</v>
      </c>
      <c r="E180" s="215">
        <v>2194</v>
      </c>
      <c r="F180" s="215">
        <v>6417</v>
      </c>
      <c r="G180" s="215">
        <v>3624</v>
      </c>
      <c r="H180" s="215">
        <v>739</v>
      </c>
      <c r="I180" s="215">
        <v>452</v>
      </c>
      <c r="J180" s="215" t="s">
        <v>29</v>
      </c>
      <c r="K180" s="215" t="s">
        <v>29</v>
      </c>
      <c r="L180" s="215">
        <f t="shared" si="9"/>
        <v>15586</v>
      </c>
    </row>
    <row r="181" spans="1:12" s="213" customFormat="1" x14ac:dyDescent="0.25">
      <c r="A181" s="213">
        <v>1991</v>
      </c>
      <c r="B181" s="215" t="s">
        <v>29</v>
      </c>
      <c r="C181" s="215" t="s">
        <v>29</v>
      </c>
      <c r="D181" s="215">
        <v>33</v>
      </c>
      <c r="E181" s="215">
        <v>1817</v>
      </c>
      <c r="F181" s="215">
        <v>1481</v>
      </c>
      <c r="G181" s="215">
        <v>1018</v>
      </c>
      <c r="H181" s="215">
        <v>815</v>
      </c>
      <c r="I181" s="215">
        <v>479</v>
      </c>
      <c r="J181" s="215" t="s">
        <v>29</v>
      </c>
      <c r="K181" s="215" t="s">
        <v>29</v>
      </c>
      <c r="L181" s="215">
        <f t="shared" si="9"/>
        <v>5643</v>
      </c>
    </row>
    <row r="182" spans="1:12" s="213" customFormat="1" x14ac:dyDescent="0.25">
      <c r="A182" s="213">
        <v>1992</v>
      </c>
      <c r="B182" s="215" t="s">
        <v>29</v>
      </c>
      <c r="C182" s="215" t="s">
        <v>29</v>
      </c>
      <c r="D182" s="215">
        <v>51</v>
      </c>
      <c r="E182" s="215" t="s">
        <v>29</v>
      </c>
      <c r="F182" s="215">
        <v>131</v>
      </c>
      <c r="G182" s="215">
        <v>163</v>
      </c>
      <c r="H182" s="215">
        <v>39</v>
      </c>
      <c r="I182" s="215">
        <v>56</v>
      </c>
      <c r="J182" s="215" t="s">
        <v>29</v>
      </c>
      <c r="K182" s="215" t="s">
        <v>29</v>
      </c>
      <c r="L182" s="215">
        <f t="shared" si="9"/>
        <v>440</v>
      </c>
    </row>
    <row r="183" spans="1:12" s="213" customFormat="1" x14ac:dyDescent="0.25">
      <c r="A183" s="213">
        <v>1993</v>
      </c>
      <c r="B183" s="215" t="s">
        <v>29</v>
      </c>
      <c r="C183" s="215" t="s">
        <v>29</v>
      </c>
      <c r="D183" s="215">
        <v>574</v>
      </c>
      <c r="E183" s="215">
        <v>163</v>
      </c>
      <c r="F183" s="215">
        <v>49</v>
      </c>
      <c r="G183" s="215">
        <v>28</v>
      </c>
      <c r="H183" s="215">
        <v>346</v>
      </c>
      <c r="I183" s="215">
        <v>281</v>
      </c>
      <c r="J183" s="215">
        <v>146</v>
      </c>
      <c r="K183" s="215" t="s">
        <v>29</v>
      </c>
      <c r="L183" s="215">
        <f t="shared" si="9"/>
        <v>1587</v>
      </c>
    </row>
    <row r="184" spans="1:12" s="213" customFormat="1" x14ac:dyDescent="0.25">
      <c r="A184" s="213">
        <v>1994</v>
      </c>
      <c r="B184" s="215" t="s">
        <v>29</v>
      </c>
      <c r="C184" s="215" t="s">
        <v>29</v>
      </c>
      <c r="D184" s="215">
        <v>81</v>
      </c>
      <c r="E184" s="215">
        <v>316</v>
      </c>
      <c r="F184" s="215" t="s">
        <v>29</v>
      </c>
      <c r="G184" s="215" t="s">
        <v>29</v>
      </c>
      <c r="H184" s="215">
        <v>67</v>
      </c>
      <c r="I184" s="215">
        <v>268</v>
      </c>
      <c r="J184" s="215">
        <v>63</v>
      </c>
      <c r="K184" s="215" t="s">
        <v>29</v>
      </c>
      <c r="L184" s="215">
        <f t="shared" si="9"/>
        <v>795</v>
      </c>
    </row>
    <row r="185" spans="1:12" s="213" customFormat="1" x14ac:dyDescent="0.25">
      <c r="A185" s="213">
        <v>1995</v>
      </c>
      <c r="B185" s="215" t="s">
        <v>29</v>
      </c>
      <c r="C185" s="215" t="s">
        <v>29</v>
      </c>
      <c r="D185" s="215">
        <v>228</v>
      </c>
      <c r="E185" s="215">
        <v>489</v>
      </c>
      <c r="F185" s="215" t="s">
        <v>29</v>
      </c>
      <c r="G185" s="215">
        <v>463</v>
      </c>
      <c r="H185" s="215">
        <v>168</v>
      </c>
      <c r="I185" s="215">
        <v>190</v>
      </c>
      <c r="J185" s="215">
        <v>54</v>
      </c>
      <c r="K185" s="215" t="s">
        <v>29</v>
      </c>
      <c r="L185" s="215">
        <f t="shared" si="9"/>
        <v>1592</v>
      </c>
    </row>
    <row r="186" spans="1:12" s="213" customFormat="1" x14ac:dyDescent="0.25">
      <c r="A186" s="213">
        <v>1996</v>
      </c>
      <c r="B186" s="215" t="s">
        <v>29</v>
      </c>
      <c r="C186" s="215" t="s">
        <v>29</v>
      </c>
      <c r="D186" s="215">
        <v>250</v>
      </c>
      <c r="E186" s="215">
        <v>506</v>
      </c>
      <c r="F186" s="215" t="s">
        <v>29</v>
      </c>
      <c r="G186" s="215">
        <v>305</v>
      </c>
      <c r="H186" s="215">
        <v>356</v>
      </c>
      <c r="I186" s="215">
        <v>255</v>
      </c>
      <c r="J186" s="215">
        <v>86</v>
      </c>
      <c r="K186" s="215" t="s">
        <v>29</v>
      </c>
      <c r="L186" s="215">
        <f t="shared" si="9"/>
        <v>1758</v>
      </c>
    </row>
    <row r="187" spans="1:12" s="213" customFormat="1" x14ac:dyDescent="0.25">
      <c r="A187" s="213">
        <v>1997</v>
      </c>
      <c r="B187" s="215" t="s">
        <v>29</v>
      </c>
      <c r="C187" s="215">
        <v>117</v>
      </c>
      <c r="D187" s="215">
        <v>491</v>
      </c>
      <c r="E187" s="215">
        <v>421</v>
      </c>
      <c r="F187" s="215" t="s">
        <v>29</v>
      </c>
      <c r="G187" s="215">
        <v>219</v>
      </c>
      <c r="H187" s="215">
        <v>88</v>
      </c>
      <c r="I187" s="215">
        <v>161</v>
      </c>
      <c r="J187" s="215">
        <v>56</v>
      </c>
      <c r="K187" s="215" t="s">
        <v>29</v>
      </c>
      <c r="L187" s="215">
        <f t="shared" si="9"/>
        <v>1553</v>
      </c>
    </row>
    <row r="188" spans="1:12" s="213" customFormat="1" x14ac:dyDescent="0.25">
      <c r="A188" s="213">
        <v>1998</v>
      </c>
      <c r="B188" s="215" t="s">
        <v>29</v>
      </c>
      <c r="C188" s="215">
        <v>161</v>
      </c>
      <c r="D188" s="215">
        <v>350</v>
      </c>
      <c r="E188" s="215">
        <v>412</v>
      </c>
      <c r="F188" s="215" t="s">
        <v>29</v>
      </c>
      <c r="G188" s="215">
        <v>173</v>
      </c>
      <c r="H188" s="215">
        <v>57</v>
      </c>
      <c r="I188" s="215">
        <v>188</v>
      </c>
      <c r="J188" s="215">
        <v>82</v>
      </c>
      <c r="K188" s="215" t="s">
        <v>29</v>
      </c>
      <c r="L188" s="215">
        <f t="shared" si="9"/>
        <v>1423</v>
      </c>
    </row>
    <row r="189" spans="1:12" s="213" customFormat="1" x14ac:dyDescent="0.25">
      <c r="A189" s="213">
        <v>1999</v>
      </c>
      <c r="B189" s="215" t="s">
        <v>29</v>
      </c>
      <c r="C189" s="215">
        <v>28</v>
      </c>
      <c r="D189" s="215">
        <v>174</v>
      </c>
      <c r="E189" s="215">
        <v>800</v>
      </c>
      <c r="F189" s="215">
        <v>401</v>
      </c>
      <c r="G189" s="215">
        <v>730</v>
      </c>
      <c r="H189" s="215">
        <v>166</v>
      </c>
      <c r="I189" s="215">
        <v>172</v>
      </c>
      <c r="J189" s="215">
        <v>119</v>
      </c>
      <c r="K189" s="215">
        <v>8</v>
      </c>
      <c r="L189" s="215">
        <f t="shared" si="9"/>
        <v>2598</v>
      </c>
    </row>
    <row r="190" spans="1:12" s="213" customFormat="1" x14ac:dyDescent="0.25">
      <c r="A190" s="213">
        <v>2000</v>
      </c>
      <c r="B190" s="215" t="s">
        <v>29</v>
      </c>
      <c r="C190" s="215">
        <v>73</v>
      </c>
      <c r="D190" s="215">
        <v>192</v>
      </c>
      <c r="E190" s="215">
        <v>214</v>
      </c>
      <c r="F190" s="215">
        <v>739</v>
      </c>
      <c r="G190" s="215">
        <v>1064</v>
      </c>
      <c r="H190" s="215">
        <v>549</v>
      </c>
      <c r="I190" s="215">
        <v>269</v>
      </c>
      <c r="J190" s="215">
        <v>176</v>
      </c>
      <c r="K190" s="215">
        <v>69</v>
      </c>
      <c r="L190" s="215">
        <f t="shared" si="9"/>
        <v>3345</v>
      </c>
    </row>
    <row r="191" spans="1:12" s="213" customFormat="1" x14ac:dyDescent="0.25">
      <c r="A191" s="213">
        <v>2001</v>
      </c>
      <c r="B191" s="215" t="s">
        <v>29</v>
      </c>
      <c r="C191" s="215">
        <v>445</v>
      </c>
      <c r="D191" s="215">
        <v>646</v>
      </c>
      <c r="E191" s="215">
        <v>720</v>
      </c>
      <c r="F191" s="215">
        <v>556</v>
      </c>
      <c r="G191" s="215">
        <v>668</v>
      </c>
      <c r="H191" s="215">
        <v>375</v>
      </c>
      <c r="I191" s="215">
        <v>293</v>
      </c>
      <c r="J191" s="215">
        <v>126</v>
      </c>
      <c r="K191" s="215">
        <v>1</v>
      </c>
      <c r="L191" s="215">
        <f t="shared" si="9"/>
        <v>3830</v>
      </c>
    </row>
    <row r="192" spans="1:12" s="213" customFormat="1" x14ac:dyDescent="0.25">
      <c r="A192" s="213">
        <v>2002</v>
      </c>
      <c r="B192" s="215">
        <v>168</v>
      </c>
      <c r="C192" s="215">
        <v>476</v>
      </c>
      <c r="D192" s="215">
        <v>792</v>
      </c>
      <c r="E192" s="215">
        <v>1252</v>
      </c>
      <c r="F192" s="215">
        <v>279</v>
      </c>
      <c r="G192" s="215">
        <v>559</v>
      </c>
      <c r="H192" s="215">
        <v>465</v>
      </c>
      <c r="I192" s="215">
        <v>644</v>
      </c>
      <c r="J192" s="220">
        <v>154</v>
      </c>
      <c r="K192" s="220">
        <v>15</v>
      </c>
      <c r="L192" s="215">
        <f t="shared" si="9"/>
        <v>4804</v>
      </c>
    </row>
    <row r="193" spans="1:12" s="213" customFormat="1" x14ac:dyDescent="0.25">
      <c r="A193" s="218">
        <v>2003</v>
      </c>
      <c r="B193" s="215">
        <v>125</v>
      </c>
      <c r="C193" s="215">
        <v>1110</v>
      </c>
      <c r="D193" s="215">
        <v>1439</v>
      </c>
      <c r="E193" s="215">
        <v>560</v>
      </c>
      <c r="F193" s="215">
        <v>273</v>
      </c>
      <c r="G193" s="215">
        <v>573</v>
      </c>
      <c r="H193" s="215">
        <v>453</v>
      </c>
      <c r="I193" s="215">
        <v>362</v>
      </c>
      <c r="J193" s="215">
        <v>117</v>
      </c>
      <c r="K193" s="215">
        <v>14</v>
      </c>
      <c r="L193" s="215">
        <f t="shared" si="9"/>
        <v>5026</v>
      </c>
    </row>
    <row r="194" spans="1:12" s="213" customFormat="1" x14ac:dyDescent="0.25">
      <c r="A194" s="218">
        <v>2004</v>
      </c>
      <c r="B194" s="215">
        <v>406</v>
      </c>
      <c r="C194" s="215">
        <v>1245</v>
      </c>
      <c r="D194" s="215">
        <v>632</v>
      </c>
      <c r="E194" s="215">
        <v>1055</v>
      </c>
      <c r="F194" s="215">
        <v>336</v>
      </c>
      <c r="G194" s="215">
        <v>1302</v>
      </c>
      <c r="H194" s="215">
        <v>573</v>
      </c>
      <c r="I194" s="215">
        <v>374</v>
      </c>
      <c r="J194" s="215">
        <v>215</v>
      </c>
      <c r="K194" s="215">
        <v>21</v>
      </c>
      <c r="L194" s="215">
        <f t="shared" si="9"/>
        <v>6159</v>
      </c>
    </row>
    <row r="195" spans="1:12" s="213" customFormat="1" x14ac:dyDescent="0.25">
      <c r="A195" s="218">
        <v>2005</v>
      </c>
      <c r="B195" s="215">
        <v>755</v>
      </c>
      <c r="C195" s="215">
        <v>184</v>
      </c>
      <c r="D195" s="215">
        <f>1623+308</f>
        <v>1931</v>
      </c>
      <c r="E195" s="215" t="s">
        <v>29</v>
      </c>
      <c r="F195" s="215" t="s">
        <v>29</v>
      </c>
      <c r="G195" s="215" t="s">
        <v>29</v>
      </c>
      <c r="H195" s="215">
        <v>1227</v>
      </c>
      <c r="I195" s="215">
        <v>544</v>
      </c>
      <c r="J195" s="215">
        <v>141</v>
      </c>
      <c r="K195" s="215">
        <v>75</v>
      </c>
      <c r="L195" s="215">
        <f t="shared" si="9"/>
        <v>4857</v>
      </c>
    </row>
    <row r="196" spans="1:12" s="213" customFormat="1" x14ac:dyDescent="0.2">
      <c r="A196" s="218">
        <v>2006</v>
      </c>
      <c r="B196" s="219" t="s">
        <v>29</v>
      </c>
      <c r="C196" s="219" t="s">
        <v>29</v>
      </c>
      <c r="D196" s="219" t="s">
        <v>29</v>
      </c>
      <c r="E196" s="219" t="s">
        <v>29</v>
      </c>
      <c r="F196" s="219" t="s">
        <v>29</v>
      </c>
      <c r="G196" s="219" t="s">
        <v>29</v>
      </c>
      <c r="H196" s="219">
        <v>30</v>
      </c>
      <c r="I196" s="219">
        <v>156</v>
      </c>
      <c r="J196" s="219">
        <v>155</v>
      </c>
      <c r="K196" s="219">
        <v>26</v>
      </c>
      <c r="L196" s="219">
        <f t="shared" si="9"/>
        <v>367</v>
      </c>
    </row>
    <row r="197" spans="1:12" s="218" customFormat="1" x14ac:dyDescent="0.2">
      <c r="A197" s="218">
        <v>2007</v>
      </c>
      <c r="B197" s="221" t="s">
        <v>29</v>
      </c>
      <c r="C197" s="221">
        <v>253</v>
      </c>
      <c r="D197" s="221">
        <v>554</v>
      </c>
      <c r="E197" s="221">
        <v>388</v>
      </c>
      <c r="F197" s="221">
        <v>167</v>
      </c>
      <c r="G197" s="221">
        <v>895</v>
      </c>
      <c r="H197" s="221">
        <v>117</v>
      </c>
      <c r="I197" s="221">
        <v>120</v>
      </c>
      <c r="J197" s="221">
        <v>126</v>
      </c>
      <c r="K197" s="221" t="s">
        <v>29</v>
      </c>
      <c r="L197" s="221">
        <f t="shared" si="9"/>
        <v>2620</v>
      </c>
    </row>
    <row r="198" spans="1:12" s="218" customFormat="1" x14ac:dyDescent="0.2">
      <c r="A198" s="218">
        <v>2008</v>
      </c>
      <c r="B198" s="221" t="s">
        <v>29</v>
      </c>
      <c r="C198" s="221" t="s">
        <v>29</v>
      </c>
      <c r="D198" s="221" t="s">
        <v>29</v>
      </c>
      <c r="E198" s="221" t="s">
        <v>29</v>
      </c>
      <c r="F198" s="221" t="s">
        <v>29</v>
      </c>
      <c r="G198" s="221" t="s">
        <v>29</v>
      </c>
      <c r="H198" s="221" t="s">
        <v>29</v>
      </c>
      <c r="I198" s="221" t="s">
        <v>29</v>
      </c>
      <c r="J198" s="221">
        <v>48</v>
      </c>
      <c r="K198" s="221" t="s">
        <v>29</v>
      </c>
      <c r="L198" s="221">
        <f t="shared" si="9"/>
        <v>48</v>
      </c>
    </row>
    <row r="199" spans="1:12" s="218" customFormat="1" x14ac:dyDescent="0.2">
      <c r="A199" s="218">
        <v>2009</v>
      </c>
      <c r="B199" s="221" t="s">
        <v>29</v>
      </c>
      <c r="C199" s="221" t="s">
        <v>29</v>
      </c>
      <c r="D199" s="221" t="s">
        <v>29</v>
      </c>
      <c r="E199" s="221" t="s">
        <v>29</v>
      </c>
      <c r="F199" s="221" t="s">
        <v>29</v>
      </c>
      <c r="G199" s="221" t="s">
        <v>29</v>
      </c>
      <c r="H199" s="221">
        <v>101</v>
      </c>
      <c r="I199" s="221">
        <v>36</v>
      </c>
      <c r="J199" s="221" t="s">
        <v>29</v>
      </c>
      <c r="K199" s="221" t="s">
        <v>29</v>
      </c>
      <c r="L199" s="221">
        <f t="shared" si="9"/>
        <v>137</v>
      </c>
    </row>
    <row r="200" spans="1:12" s="218" customFormat="1" x14ac:dyDescent="0.2">
      <c r="A200" s="218">
        <v>2010</v>
      </c>
      <c r="B200" s="221" t="s">
        <v>29</v>
      </c>
      <c r="C200" s="221" t="s">
        <v>29</v>
      </c>
      <c r="D200" s="221">
        <v>505</v>
      </c>
      <c r="E200" s="221">
        <v>399</v>
      </c>
      <c r="F200" s="221">
        <v>169</v>
      </c>
      <c r="G200" s="221">
        <v>334</v>
      </c>
      <c r="H200" s="221" t="s">
        <v>29</v>
      </c>
      <c r="I200" s="221">
        <f>67+42+39</f>
        <v>148</v>
      </c>
      <c r="J200" s="221" t="s">
        <v>29</v>
      </c>
      <c r="K200" s="221" t="s">
        <v>29</v>
      </c>
      <c r="L200" s="221">
        <f>SUM(B200:K200)</f>
        <v>1555</v>
      </c>
    </row>
    <row r="201" spans="1:12" s="218" customFormat="1" x14ac:dyDescent="0.2">
      <c r="A201" s="218">
        <v>2011</v>
      </c>
      <c r="B201" s="221" t="s">
        <v>29</v>
      </c>
      <c r="C201" s="221">
        <v>256</v>
      </c>
      <c r="D201" s="221">
        <v>538</v>
      </c>
      <c r="E201" s="221">
        <v>755</v>
      </c>
      <c r="F201" s="221">
        <v>57</v>
      </c>
      <c r="G201" s="221">
        <v>83</v>
      </c>
      <c r="H201" s="221">
        <v>80</v>
      </c>
      <c r="I201" s="221">
        <v>202</v>
      </c>
      <c r="J201" s="221">
        <v>235</v>
      </c>
      <c r="K201" s="221" t="s">
        <v>29</v>
      </c>
      <c r="L201" s="221">
        <f>SUM(B201:K201)</f>
        <v>2206</v>
      </c>
    </row>
    <row r="202" spans="1:12" s="218" customFormat="1" x14ac:dyDescent="0.2">
      <c r="A202" s="218">
        <v>2012</v>
      </c>
      <c r="B202" s="221" t="s">
        <v>29</v>
      </c>
      <c r="C202" s="221">
        <v>315</v>
      </c>
      <c r="D202" s="221">
        <v>784</v>
      </c>
      <c r="E202" s="221">
        <v>510</v>
      </c>
      <c r="F202" s="221">
        <v>96</v>
      </c>
      <c r="G202" s="221">
        <v>298</v>
      </c>
      <c r="H202" s="221">
        <v>320</v>
      </c>
      <c r="I202" s="221">
        <v>267</v>
      </c>
      <c r="J202" s="221">
        <v>121</v>
      </c>
      <c r="K202" s="221" t="s">
        <v>29</v>
      </c>
      <c r="L202" s="221">
        <f t="shared" ref="L202:L210" si="10">SUM(B202:K202)</f>
        <v>2711</v>
      </c>
    </row>
    <row r="203" spans="1:12" s="218" customFormat="1" x14ac:dyDescent="0.2">
      <c r="A203" s="218">
        <v>2013</v>
      </c>
      <c r="B203" s="221" t="s">
        <v>29</v>
      </c>
      <c r="C203" s="221">
        <v>506</v>
      </c>
      <c r="D203" s="221">
        <v>563</v>
      </c>
      <c r="E203" s="221">
        <v>456</v>
      </c>
      <c r="F203" s="221">
        <v>337</v>
      </c>
      <c r="G203" s="221">
        <v>1626</v>
      </c>
      <c r="H203" s="221">
        <v>1055</v>
      </c>
      <c r="I203" s="221">
        <v>742</v>
      </c>
      <c r="J203" s="221">
        <v>155</v>
      </c>
      <c r="K203" s="221" t="s">
        <v>29</v>
      </c>
      <c r="L203" s="221">
        <f t="shared" si="10"/>
        <v>5440</v>
      </c>
    </row>
    <row r="204" spans="1:12" s="218" customFormat="1" x14ac:dyDescent="0.2">
      <c r="A204" s="218">
        <v>2014</v>
      </c>
      <c r="B204" s="221" t="s">
        <v>29</v>
      </c>
      <c r="C204" s="221">
        <v>473</v>
      </c>
      <c r="D204" s="221">
        <v>929</v>
      </c>
      <c r="E204" s="221">
        <v>1052</v>
      </c>
      <c r="F204" s="221">
        <v>648</v>
      </c>
      <c r="G204" s="221">
        <v>1183</v>
      </c>
      <c r="H204" s="221">
        <v>310</v>
      </c>
      <c r="I204" s="221">
        <v>171</v>
      </c>
      <c r="J204" s="221">
        <v>98</v>
      </c>
      <c r="K204" s="221" t="s">
        <v>29</v>
      </c>
      <c r="L204" s="221">
        <f t="shared" si="10"/>
        <v>4864</v>
      </c>
    </row>
    <row r="205" spans="1:12" s="218" customFormat="1" x14ac:dyDescent="0.2">
      <c r="A205" s="218">
        <v>2015</v>
      </c>
      <c r="B205" s="221" t="s">
        <v>29</v>
      </c>
      <c r="C205" s="221">
        <v>967</v>
      </c>
      <c r="D205" s="221">
        <v>924</v>
      </c>
      <c r="E205" s="221">
        <v>770</v>
      </c>
      <c r="F205" s="221">
        <v>484</v>
      </c>
      <c r="G205" s="221">
        <v>232</v>
      </c>
      <c r="H205" s="221">
        <v>72</v>
      </c>
      <c r="I205" s="221">
        <v>166</v>
      </c>
      <c r="J205" s="221">
        <v>158</v>
      </c>
      <c r="K205" s="221" t="s">
        <v>29</v>
      </c>
      <c r="L205" s="221">
        <f t="shared" si="10"/>
        <v>3773</v>
      </c>
    </row>
    <row r="206" spans="1:12" s="218" customFormat="1" x14ac:dyDescent="0.2">
      <c r="A206" s="218">
        <v>2016</v>
      </c>
      <c r="B206" s="221" t="s">
        <v>29</v>
      </c>
      <c r="C206" s="221">
        <v>178</v>
      </c>
      <c r="D206" s="221">
        <v>170</v>
      </c>
      <c r="E206" s="221">
        <v>260</v>
      </c>
      <c r="F206" s="221">
        <v>146</v>
      </c>
      <c r="G206" s="221">
        <v>75</v>
      </c>
      <c r="H206" s="221">
        <v>58</v>
      </c>
      <c r="I206" s="221">
        <v>119</v>
      </c>
      <c r="J206" s="221">
        <v>41</v>
      </c>
      <c r="K206" s="221" t="s">
        <v>29</v>
      </c>
      <c r="L206" s="221">
        <f t="shared" si="10"/>
        <v>1047</v>
      </c>
    </row>
    <row r="207" spans="1:12" s="213" customFormat="1" x14ac:dyDescent="0.2">
      <c r="A207" s="218">
        <v>2017</v>
      </c>
      <c r="B207" s="219" t="s">
        <v>29</v>
      </c>
      <c r="C207" s="219" t="s">
        <v>29</v>
      </c>
      <c r="D207" s="219" t="s">
        <v>29</v>
      </c>
      <c r="E207" s="219" t="s">
        <v>29</v>
      </c>
      <c r="F207" s="219" t="s">
        <v>29</v>
      </c>
      <c r="G207" s="219" t="s">
        <v>29</v>
      </c>
      <c r="H207" s="219" t="s">
        <v>29</v>
      </c>
      <c r="I207" s="219">
        <v>114</v>
      </c>
      <c r="J207" s="261">
        <v>41</v>
      </c>
      <c r="K207" s="221" t="s">
        <v>29</v>
      </c>
      <c r="L207" s="221">
        <f t="shared" si="10"/>
        <v>155</v>
      </c>
    </row>
    <row r="208" spans="1:12" s="218" customFormat="1" x14ac:dyDescent="0.2">
      <c r="A208" s="218">
        <v>2018</v>
      </c>
      <c r="B208" s="221" t="s">
        <v>29</v>
      </c>
      <c r="C208" s="221" t="s">
        <v>29</v>
      </c>
      <c r="D208" s="221">
        <v>127</v>
      </c>
      <c r="E208" s="221">
        <v>270</v>
      </c>
      <c r="F208" s="221">
        <v>91</v>
      </c>
      <c r="G208" s="221">
        <v>97</v>
      </c>
      <c r="H208" s="221">
        <v>21</v>
      </c>
      <c r="I208" s="221">
        <v>89</v>
      </c>
      <c r="J208" s="261">
        <v>83</v>
      </c>
      <c r="K208" s="221" t="s">
        <v>29</v>
      </c>
      <c r="L208" s="221">
        <f>SUM(B208:K208)</f>
        <v>778</v>
      </c>
    </row>
    <row r="209" spans="1:12" s="218" customFormat="1" x14ac:dyDescent="0.2">
      <c r="A209" s="218">
        <v>2019</v>
      </c>
      <c r="B209" s="221" t="s">
        <v>29</v>
      </c>
      <c r="C209" s="221">
        <v>16</v>
      </c>
      <c r="D209" s="221">
        <v>29</v>
      </c>
      <c r="E209" s="221">
        <v>85</v>
      </c>
      <c r="F209" s="221">
        <v>68</v>
      </c>
      <c r="G209" s="221">
        <v>21</v>
      </c>
      <c r="H209" s="221">
        <v>14</v>
      </c>
      <c r="I209" s="221">
        <v>154</v>
      </c>
      <c r="J209" s="261" t="s">
        <v>29</v>
      </c>
      <c r="K209" s="221" t="s">
        <v>29</v>
      </c>
      <c r="L209" s="221">
        <f t="shared" ref="L209" si="11">SUM(B209:K209)</f>
        <v>387</v>
      </c>
    </row>
    <row r="210" spans="1:12" s="213" customFormat="1" x14ac:dyDescent="0.2">
      <c r="A210" s="218" t="s">
        <v>393</v>
      </c>
      <c r="B210" s="219" t="s">
        <v>29</v>
      </c>
      <c r="C210" s="219">
        <v>45</v>
      </c>
      <c r="D210" s="219">
        <v>11</v>
      </c>
      <c r="E210" s="219">
        <v>41</v>
      </c>
      <c r="F210" s="219">
        <v>141</v>
      </c>
      <c r="G210" s="219">
        <v>23</v>
      </c>
      <c r="H210" s="219">
        <v>30</v>
      </c>
      <c r="I210" s="219">
        <v>174</v>
      </c>
      <c r="J210" s="261" t="s">
        <v>29</v>
      </c>
      <c r="K210" s="221" t="s">
        <v>29</v>
      </c>
      <c r="L210" s="221">
        <f t="shared" si="10"/>
        <v>465</v>
      </c>
    </row>
    <row r="211" spans="1:12" s="314" customFormat="1" x14ac:dyDescent="0.25">
      <c r="A211" s="364"/>
      <c r="B211" s="222"/>
      <c r="C211" s="222"/>
      <c r="D211" s="222"/>
      <c r="E211" s="222"/>
      <c r="F211" s="222"/>
      <c r="G211" s="222"/>
      <c r="H211" s="222"/>
      <c r="I211" s="222"/>
      <c r="J211" s="222"/>
      <c r="K211" s="222"/>
      <c r="L211" s="222"/>
    </row>
    <row r="212" spans="1:12" s="314" customFormat="1" x14ac:dyDescent="0.25">
      <c r="A212" s="109" t="s">
        <v>56</v>
      </c>
      <c r="B212" s="222"/>
      <c r="C212" s="222"/>
      <c r="D212" s="222"/>
      <c r="E212" s="222"/>
      <c r="F212" s="222"/>
      <c r="G212" s="222"/>
      <c r="H212" s="222"/>
      <c r="I212" s="222"/>
      <c r="J212" s="222"/>
      <c r="K212" s="222"/>
      <c r="L212" s="222"/>
    </row>
    <row r="213" spans="1:12" s="213" customFormat="1" x14ac:dyDescent="0.25">
      <c r="A213" s="216">
        <v>1971</v>
      </c>
      <c r="B213" s="215" t="s">
        <v>29</v>
      </c>
      <c r="C213" s="215">
        <v>1</v>
      </c>
      <c r="D213" s="215">
        <v>143</v>
      </c>
      <c r="E213" s="215">
        <v>1282</v>
      </c>
      <c r="F213" s="215">
        <v>2588</v>
      </c>
      <c r="G213" s="215">
        <v>1289</v>
      </c>
      <c r="H213" s="215">
        <v>303</v>
      </c>
      <c r="I213" s="215">
        <v>640</v>
      </c>
      <c r="J213" s="215" t="s">
        <v>29</v>
      </c>
      <c r="K213" s="215" t="s">
        <v>29</v>
      </c>
      <c r="L213" s="215">
        <f t="shared" ref="L213:L245" si="12">SUM(B213:K213)</f>
        <v>6246</v>
      </c>
    </row>
    <row r="214" spans="1:12" s="213" customFormat="1" x14ac:dyDescent="0.25">
      <c r="A214" s="216">
        <v>1972</v>
      </c>
      <c r="B214" s="215" t="s">
        <v>29</v>
      </c>
      <c r="C214" s="215">
        <v>0</v>
      </c>
      <c r="D214" s="215">
        <v>374</v>
      </c>
      <c r="E214" s="215">
        <v>788</v>
      </c>
      <c r="F214" s="215">
        <v>1694</v>
      </c>
      <c r="G214" s="215">
        <v>951</v>
      </c>
      <c r="H214" s="215">
        <v>869</v>
      </c>
      <c r="I214" s="215">
        <v>1470</v>
      </c>
      <c r="J214" s="215" t="s">
        <v>29</v>
      </c>
      <c r="K214" s="215" t="s">
        <v>29</v>
      </c>
      <c r="L214" s="215">
        <f t="shared" si="12"/>
        <v>6146</v>
      </c>
    </row>
    <row r="215" spans="1:12" s="213" customFormat="1" x14ac:dyDescent="0.25">
      <c r="A215" s="216">
        <v>1973</v>
      </c>
      <c r="B215" s="215" t="s">
        <v>29</v>
      </c>
      <c r="C215" s="215">
        <v>27</v>
      </c>
      <c r="D215" s="215">
        <v>148</v>
      </c>
      <c r="E215" s="215">
        <v>850</v>
      </c>
      <c r="F215" s="215">
        <v>2242</v>
      </c>
      <c r="G215" s="215">
        <v>918</v>
      </c>
      <c r="H215" s="215">
        <v>663</v>
      </c>
      <c r="I215" s="215">
        <v>1252</v>
      </c>
      <c r="J215" s="215" t="s">
        <v>29</v>
      </c>
      <c r="K215" s="215" t="s">
        <v>29</v>
      </c>
      <c r="L215" s="215">
        <f t="shared" si="12"/>
        <v>6100</v>
      </c>
    </row>
    <row r="216" spans="1:12" s="213" customFormat="1" x14ac:dyDescent="0.25">
      <c r="A216" s="216">
        <v>1974</v>
      </c>
      <c r="B216" s="215" t="s">
        <v>29</v>
      </c>
      <c r="C216" s="215">
        <v>21</v>
      </c>
      <c r="D216" s="215">
        <v>32</v>
      </c>
      <c r="E216" s="215">
        <v>556</v>
      </c>
      <c r="F216" s="215">
        <v>1653</v>
      </c>
      <c r="G216" s="215">
        <v>1243</v>
      </c>
      <c r="H216" s="215">
        <v>600</v>
      </c>
      <c r="I216" s="215">
        <v>572</v>
      </c>
      <c r="J216" s="215">
        <v>490</v>
      </c>
      <c r="K216" s="215">
        <v>57</v>
      </c>
      <c r="L216" s="215">
        <f t="shared" si="12"/>
        <v>5224</v>
      </c>
    </row>
    <row r="217" spans="1:12" s="213" customFormat="1" x14ac:dyDescent="0.25">
      <c r="A217" s="216">
        <v>1975</v>
      </c>
      <c r="B217" s="215" t="s">
        <v>29</v>
      </c>
      <c r="C217" s="215">
        <v>3</v>
      </c>
      <c r="D217" s="215">
        <v>10</v>
      </c>
      <c r="E217" s="215">
        <v>834</v>
      </c>
      <c r="F217" s="215">
        <v>2259</v>
      </c>
      <c r="G217" s="215">
        <v>861</v>
      </c>
      <c r="H217" s="215">
        <v>1064</v>
      </c>
      <c r="I217" s="215">
        <v>607</v>
      </c>
      <c r="J217" s="215">
        <v>332</v>
      </c>
      <c r="K217" s="215">
        <v>32</v>
      </c>
      <c r="L217" s="215">
        <f t="shared" si="12"/>
        <v>6002</v>
      </c>
    </row>
    <row r="218" spans="1:12" s="213" customFormat="1" x14ac:dyDescent="0.25">
      <c r="A218" s="216">
        <v>1976</v>
      </c>
      <c r="B218" s="215" t="s">
        <v>29</v>
      </c>
      <c r="C218" s="215" t="s">
        <v>29</v>
      </c>
      <c r="D218" s="215">
        <v>13</v>
      </c>
      <c r="E218" s="215">
        <v>996</v>
      </c>
      <c r="F218" s="215">
        <v>2779</v>
      </c>
      <c r="G218" s="215">
        <v>2650</v>
      </c>
      <c r="H218" s="215">
        <v>2230</v>
      </c>
      <c r="I218" s="215">
        <v>592</v>
      </c>
      <c r="J218" s="215">
        <v>253</v>
      </c>
      <c r="K218" s="215" t="s">
        <v>29</v>
      </c>
      <c r="L218" s="215">
        <f t="shared" si="12"/>
        <v>9513</v>
      </c>
    </row>
    <row r="219" spans="1:12" s="213" customFormat="1" x14ac:dyDescent="0.25">
      <c r="A219" s="216">
        <v>1977</v>
      </c>
      <c r="B219" s="215" t="s">
        <v>29</v>
      </c>
      <c r="C219" s="215" t="s">
        <v>29</v>
      </c>
      <c r="D219" s="215">
        <v>247</v>
      </c>
      <c r="E219" s="215">
        <v>586</v>
      </c>
      <c r="F219" s="215">
        <v>7696</v>
      </c>
      <c r="G219" s="215">
        <v>2500</v>
      </c>
      <c r="H219" s="215">
        <v>1306</v>
      </c>
      <c r="I219" s="215">
        <v>1240</v>
      </c>
      <c r="J219" s="215">
        <v>901</v>
      </c>
      <c r="K219" s="215" t="s">
        <v>29</v>
      </c>
      <c r="L219" s="215">
        <f t="shared" si="12"/>
        <v>14476</v>
      </c>
    </row>
    <row r="220" spans="1:12" s="213" customFormat="1" x14ac:dyDescent="0.25">
      <c r="A220" s="216">
        <v>1978</v>
      </c>
      <c r="B220" s="215" t="s">
        <v>29</v>
      </c>
      <c r="C220" s="215" t="s">
        <v>29</v>
      </c>
      <c r="D220" s="215">
        <v>92</v>
      </c>
      <c r="E220" s="215">
        <v>1546</v>
      </c>
      <c r="F220" s="215">
        <v>2134</v>
      </c>
      <c r="G220" s="215">
        <v>1957</v>
      </c>
      <c r="H220" s="215">
        <v>1160</v>
      </c>
      <c r="I220" s="215">
        <v>1256</v>
      </c>
      <c r="J220" s="215">
        <v>992</v>
      </c>
      <c r="K220" s="215" t="s">
        <v>29</v>
      </c>
      <c r="L220" s="215">
        <f t="shared" si="12"/>
        <v>9137</v>
      </c>
    </row>
    <row r="221" spans="1:12" s="213" customFormat="1" x14ac:dyDescent="0.25">
      <c r="A221" s="216">
        <v>1979</v>
      </c>
      <c r="B221" s="215" t="s">
        <v>29</v>
      </c>
      <c r="C221" s="215" t="s">
        <v>29</v>
      </c>
      <c r="D221" s="215">
        <v>44</v>
      </c>
      <c r="E221" s="215">
        <v>2048</v>
      </c>
      <c r="F221" s="215">
        <v>1894</v>
      </c>
      <c r="G221" s="215">
        <v>2055</v>
      </c>
      <c r="H221" s="215">
        <v>1126</v>
      </c>
      <c r="I221" s="215">
        <v>764</v>
      </c>
      <c r="J221" s="215">
        <v>202</v>
      </c>
      <c r="K221" s="215" t="s">
        <v>29</v>
      </c>
      <c r="L221" s="215">
        <f t="shared" si="12"/>
        <v>8133</v>
      </c>
    </row>
    <row r="222" spans="1:12" s="213" customFormat="1" x14ac:dyDescent="0.25">
      <c r="A222" s="216">
        <v>1980</v>
      </c>
      <c r="B222" s="215" t="s">
        <v>29</v>
      </c>
      <c r="C222" s="215" t="s">
        <v>29</v>
      </c>
      <c r="D222" s="215">
        <v>541</v>
      </c>
      <c r="E222" s="215">
        <v>276</v>
      </c>
      <c r="F222" s="215">
        <v>893</v>
      </c>
      <c r="G222" s="215">
        <v>2044</v>
      </c>
      <c r="H222" s="215">
        <v>1524</v>
      </c>
      <c r="I222" s="215">
        <v>845</v>
      </c>
      <c r="J222" s="215">
        <v>510</v>
      </c>
      <c r="K222" s="215" t="s">
        <v>29</v>
      </c>
      <c r="L222" s="215">
        <f t="shared" si="12"/>
        <v>6633</v>
      </c>
    </row>
    <row r="223" spans="1:12" s="213" customFormat="1" x14ac:dyDescent="0.25">
      <c r="A223" s="216">
        <v>1981</v>
      </c>
      <c r="B223" s="215" t="s">
        <v>29</v>
      </c>
      <c r="C223" s="215" t="s">
        <v>29</v>
      </c>
      <c r="D223" s="215">
        <v>640</v>
      </c>
      <c r="E223" s="215">
        <v>0</v>
      </c>
      <c r="F223" s="215">
        <v>1835</v>
      </c>
      <c r="G223" s="215">
        <v>3522</v>
      </c>
      <c r="H223" s="215">
        <v>1103</v>
      </c>
      <c r="I223" s="215">
        <v>1553</v>
      </c>
      <c r="J223" s="215">
        <v>453</v>
      </c>
      <c r="K223" s="215" t="s">
        <v>29</v>
      </c>
      <c r="L223" s="215">
        <f t="shared" si="12"/>
        <v>9106</v>
      </c>
    </row>
    <row r="224" spans="1:12" s="213" customFormat="1" x14ac:dyDescent="0.25">
      <c r="A224" s="216">
        <v>1982</v>
      </c>
      <c r="B224" s="215" t="s">
        <v>29</v>
      </c>
      <c r="C224" s="215" t="s">
        <v>29</v>
      </c>
      <c r="D224" s="215">
        <v>336</v>
      </c>
      <c r="E224" s="215">
        <v>173</v>
      </c>
      <c r="F224" s="215">
        <v>2851</v>
      </c>
      <c r="G224" s="215">
        <v>2927</v>
      </c>
      <c r="H224" s="215">
        <v>850</v>
      </c>
      <c r="I224" s="215">
        <v>1125</v>
      </c>
      <c r="J224" s="215">
        <v>582</v>
      </c>
      <c r="K224" s="215" t="s">
        <v>29</v>
      </c>
      <c r="L224" s="215">
        <f t="shared" si="12"/>
        <v>8844</v>
      </c>
    </row>
    <row r="225" spans="1:12" s="213" customFormat="1" x14ac:dyDescent="0.25">
      <c r="A225" s="216">
        <v>1983</v>
      </c>
      <c r="B225" s="215" t="s">
        <v>29</v>
      </c>
      <c r="C225" s="215" t="s">
        <v>29</v>
      </c>
      <c r="D225" s="215">
        <v>170</v>
      </c>
      <c r="E225" s="215">
        <v>732</v>
      </c>
      <c r="F225" s="215">
        <v>1662</v>
      </c>
      <c r="G225" s="215">
        <v>301</v>
      </c>
      <c r="H225" s="215">
        <v>81</v>
      </c>
      <c r="I225" s="215">
        <v>631</v>
      </c>
      <c r="J225" s="215">
        <v>116</v>
      </c>
      <c r="K225" s="215" t="s">
        <v>29</v>
      </c>
      <c r="L225" s="215">
        <f t="shared" si="12"/>
        <v>3693</v>
      </c>
    </row>
    <row r="226" spans="1:12" s="213" customFormat="1" x14ac:dyDescent="0.25">
      <c r="A226" s="216">
        <v>1984</v>
      </c>
      <c r="B226" s="215" t="s">
        <v>29</v>
      </c>
      <c r="C226" s="215" t="s">
        <v>29</v>
      </c>
      <c r="D226" s="215">
        <v>156</v>
      </c>
      <c r="E226" s="215">
        <v>21</v>
      </c>
      <c r="F226" s="215">
        <v>392</v>
      </c>
      <c r="G226" s="215">
        <v>1567</v>
      </c>
      <c r="H226" s="215">
        <v>3</v>
      </c>
      <c r="I226" s="215">
        <v>234</v>
      </c>
      <c r="J226" s="215">
        <v>209</v>
      </c>
      <c r="K226" s="215" t="s">
        <v>29</v>
      </c>
      <c r="L226" s="215">
        <f t="shared" si="12"/>
        <v>2582</v>
      </c>
    </row>
    <row r="227" spans="1:12" s="213" customFormat="1" x14ac:dyDescent="0.25">
      <c r="A227" s="216">
        <v>1985</v>
      </c>
      <c r="B227" s="215" t="s">
        <v>29</v>
      </c>
      <c r="C227" s="215" t="s">
        <v>29</v>
      </c>
      <c r="D227" s="215">
        <v>25</v>
      </c>
      <c r="E227" s="215">
        <v>14</v>
      </c>
      <c r="F227" s="215">
        <v>93</v>
      </c>
      <c r="G227" s="215">
        <v>225</v>
      </c>
      <c r="H227" s="215">
        <v>97</v>
      </c>
      <c r="I227" s="215">
        <v>117</v>
      </c>
      <c r="J227" s="215">
        <v>322</v>
      </c>
      <c r="K227" s="215" t="s">
        <v>29</v>
      </c>
      <c r="L227" s="215">
        <f t="shared" si="12"/>
        <v>893</v>
      </c>
    </row>
    <row r="228" spans="1:12" s="213" customFormat="1" x14ac:dyDescent="0.25">
      <c r="A228" s="213">
        <v>1986</v>
      </c>
      <c r="B228" s="215" t="s">
        <v>29</v>
      </c>
      <c r="C228" s="215" t="s">
        <v>29</v>
      </c>
      <c r="D228" s="215">
        <v>541</v>
      </c>
      <c r="E228" s="215">
        <v>733</v>
      </c>
      <c r="F228" s="215">
        <v>556</v>
      </c>
      <c r="G228" s="215">
        <v>1081</v>
      </c>
      <c r="H228" s="215" t="s">
        <v>29</v>
      </c>
      <c r="I228" s="215">
        <v>175</v>
      </c>
      <c r="J228" s="215">
        <v>114</v>
      </c>
      <c r="K228" s="215" t="s">
        <v>29</v>
      </c>
      <c r="L228" s="215">
        <f t="shared" si="12"/>
        <v>3200</v>
      </c>
    </row>
    <row r="229" spans="1:12" s="213" customFormat="1" x14ac:dyDescent="0.25">
      <c r="A229" s="213">
        <v>1987</v>
      </c>
      <c r="B229" s="215" t="s">
        <v>29</v>
      </c>
      <c r="C229" s="215" t="s">
        <v>29</v>
      </c>
      <c r="D229" s="215">
        <v>486</v>
      </c>
      <c r="E229" s="215">
        <v>894</v>
      </c>
      <c r="F229" s="215" t="s">
        <v>29</v>
      </c>
      <c r="G229" s="215" t="s">
        <v>29</v>
      </c>
      <c r="H229" s="215" t="s">
        <v>29</v>
      </c>
      <c r="I229" s="215">
        <v>304</v>
      </c>
      <c r="J229" s="215">
        <v>311</v>
      </c>
      <c r="K229" s="215" t="s">
        <v>29</v>
      </c>
      <c r="L229" s="215">
        <f t="shared" si="12"/>
        <v>1995</v>
      </c>
    </row>
    <row r="230" spans="1:12" s="213" customFormat="1" x14ac:dyDescent="0.25">
      <c r="A230" s="213">
        <v>1988</v>
      </c>
      <c r="B230" s="215" t="s">
        <v>29</v>
      </c>
      <c r="C230" s="215" t="s">
        <v>29</v>
      </c>
      <c r="D230" s="215">
        <v>299</v>
      </c>
      <c r="E230" s="215">
        <v>632</v>
      </c>
      <c r="F230" s="215" t="s">
        <v>29</v>
      </c>
      <c r="G230" s="215" t="s">
        <v>29</v>
      </c>
      <c r="H230" s="215">
        <v>59</v>
      </c>
      <c r="I230" s="215">
        <v>193</v>
      </c>
      <c r="J230" s="215">
        <v>227</v>
      </c>
      <c r="K230" s="215" t="s">
        <v>29</v>
      </c>
      <c r="L230" s="215">
        <f t="shared" si="12"/>
        <v>1410</v>
      </c>
    </row>
    <row r="231" spans="1:12" s="213" customFormat="1" x14ac:dyDescent="0.25">
      <c r="A231" s="213">
        <v>1989</v>
      </c>
      <c r="B231" s="215" t="s">
        <v>29</v>
      </c>
      <c r="C231" s="215" t="s">
        <v>29</v>
      </c>
      <c r="D231" s="215">
        <v>237</v>
      </c>
      <c r="E231" s="215">
        <v>328</v>
      </c>
      <c r="F231" s="215" t="s">
        <v>29</v>
      </c>
      <c r="G231" s="215">
        <v>383</v>
      </c>
      <c r="H231" s="215">
        <v>296</v>
      </c>
      <c r="I231" s="215" t="s">
        <v>29</v>
      </c>
      <c r="J231" s="215" t="s">
        <v>29</v>
      </c>
      <c r="K231" s="215" t="s">
        <v>29</v>
      </c>
      <c r="L231" s="215">
        <f t="shared" si="12"/>
        <v>1244</v>
      </c>
    </row>
    <row r="232" spans="1:12" s="213" customFormat="1" x14ac:dyDescent="0.25">
      <c r="A232" s="213">
        <v>1990</v>
      </c>
      <c r="B232" s="215" t="s">
        <v>29</v>
      </c>
      <c r="C232" s="215" t="s">
        <v>29</v>
      </c>
      <c r="D232" s="215">
        <v>33</v>
      </c>
      <c r="E232" s="215" t="s">
        <v>29</v>
      </c>
      <c r="F232" s="215" t="s">
        <v>29</v>
      </c>
      <c r="G232" s="215">
        <v>357</v>
      </c>
      <c r="H232" s="215">
        <v>19</v>
      </c>
      <c r="I232" s="215"/>
      <c r="J232" s="215" t="s">
        <v>29</v>
      </c>
      <c r="K232" s="215" t="s">
        <v>29</v>
      </c>
      <c r="L232" s="215">
        <f t="shared" si="12"/>
        <v>409</v>
      </c>
    </row>
    <row r="233" spans="1:12" s="213" customFormat="1" x14ac:dyDescent="0.25">
      <c r="A233" s="213">
        <v>1991</v>
      </c>
      <c r="B233" s="215" t="s">
        <v>29</v>
      </c>
      <c r="C233" s="215" t="s">
        <v>29</v>
      </c>
      <c r="D233" s="215" t="s">
        <v>29</v>
      </c>
      <c r="E233" s="215" t="s">
        <v>29</v>
      </c>
      <c r="F233" s="215" t="s">
        <v>29</v>
      </c>
      <c r="G233" s="215" t="s">
        <v>29</v>
      </c>
      <c r="H233" s="215">
        <v>22</v>
      </c>
      <c r="I233" s="215" t="s">
        <v>29</v>
      </c>
      <c r="J233" s="215" t="s">
        <v>29</v>
      </c>
      <c r="K233" s="215" t="s">
        <v>29</v>
      </c>
      <c r="L233" s="215">
        <f t="shared" si="12"/>
        <v>22</v>
      </c>
    </row>
    <row r="234" spans="1:12" s="213" customFormat="1" x14ac:dyDescent="0.25">
      <c r="A234" s="213">
        <v>1992</v>
      </c>
      <c r="B234" s="215" t="s">
        <v>29</v>
      </c>
      <c r="C234" s="215" t="s">
        <v>29</v>
      </c>
      <c r="D234" s="215" t="s">
        <v>29</v>
      </c>
      <c r="E234" s="215" t="s">
        <v>29</v>
      </c>
      <c r="F234" s="215" t="s">
        <v>29</v>
      </c>
      <c r="G234" s="215" t="s">
        <v>29</v>
      </c>
      <c r="H234" s="215" t="s">
        <v>29</v>
      </c>
      <c r="I234" s="215" t="s">
        <v>29</v>
      </c>
      <c r="J234" s="215" t="s">
        <v>29</v>
      </c>
      <c r="K234" s="215" t="s">
        <v>29</v>
      </c>
      <c r="L234" s="215" t="s">
        <v>29</v>
      </c>
    </row>
    <row r="235" spans="1:12" s="213" customFormat="1" x14ac:dyDescent="0.25">
      <c r="A235" s="213">
        <v>1993</v>
      </c>
      <c r="B235" s="215" t="s">
        <v>29</v>
      </c>
      <c r="C235" s="215" t="s">
        <v>29</v>
      </c>
      <c r="D235" s="215" t="s">
        <v>29</v>
      </c>
      <c r="E235" s="215" t="s">
        <v>29</v>
      </c>
      <c r="F235" s="215" t="s">
        <v>29</v>
      </c>
      <c r="G235" s="215" t="s">
        <v>29</v>
      </c>
      <c r="H235" s="215" t="s">
        <v>29</v>
      </c>
      <c r="I235" s="215" t="s">
        <v>29</v>
      </c>
      <c r="J235" s="215" t="s">
        <v>29</v>
      </c>
      <c r="K235" s="215" t="s">
        <v>29</v>
      </c>
      <c r="L235" s="215" t="s">
        <v>29</v>
      </c>
    </row>
    <row r="236" spans="1:12" s="213" customFormat="1" x14ac:dyDescent="0.25">
      <c r="A236" s="213">
        <v>1994</v>
      </c>
      <c r="B236" s="215" t="s">
        <v>29</v>
      </c>
      <c r="C236" s="215" t="s">
        <v>29</v>
      </c>
      <c r="D236" s="215">
        <v>44</v>
      </c>
      <c r="E236" s="215" t="s">
        <v>29</v>
      </c>
      <c r="F236" s="215" t="s">
        <v>29</v>
      </c>
      <c r="G236" s="215">
        <v>56</v>
      </c>
      <c r="H236" s="215" t="s">
        <v>29</v>
      </c>
      <c r="I236" s="215">
        <v>183</v>
      </c>
      <c r="J236" s="215" t="s">
        <v>29</v>
      </c>
      <c r="K236" s="215" t="s">
        <v>29</v>
      </c>
      <c r="L236" s="215">
        <f t="shared" si="12"/>
        <v>283</v>
      </c>
    </row>
    <row r="237" spans="1:12" s="213" customFormat="1" x14ac:dyDescent="0.25">
      <c r="A237" s="213">
        <v>1995</v>
      </c>
      <c r="B237" s="215" t="s">
        <v>29</v>
      </c>
      <c r="C237" s="215" t="s">
        <v>29</v>
      </c>
      <c r="D237" s="215">
        <v>46</v>
      </c>
      <c r="E237" s="215" t="s">
        <v>29</v>
      </c>
      <c r="F237" s="215">
        <v>48</v>
      </c>
      <c r="G237" s="215" t="s">
        <v>29</v>
      </c>
      <c r="H237" s="215" t="s">
        <v>29</v>
      </c>
      <c r="I237" s="215">
        <v>188</v>
      </c>
      <c r="J237" s="215" t="s">
        <v>29</v>
      </c>
      <c r="K237" s="215" t="s">
        <v>29</v>
      </c>
      <c r="L237" s="215">
        <f t="shared" si="12"/>
        <v>282</v>
      </c>
    </row>
    <row r="238" spans="1:12" s="213" customFormat="1" x14ac:dyDescent="0.25">
      <c r="A238" s="213">
        <v>1996</v>
      </c>
      <c r="B238" s="215" t="s">
        <v>29</v>
      </c>
      <c r="C238" s="215" t="s">
        <v>29</v>
      </c>
      <c r="D238" s="215">
        <v>99</v>
      </c>
      <c r="E238" s="215">
        <v>31</v>
      </c>
      <c r="F238" s="215" t="s">
        <v>29</v>
      </c>
      <c r="G238" s="215">
        <v>185</v>
      </c>
      <c r="H238" s="215" t="s">
        <v>29</v>
      </c>
      <c r="I238" s="215">
        <v>161</v>
      </c>
      <c r="J238" s="215" t="s">
        <v>29</v>
      </c>
      <c r="K238" s="215" t="s">
        <v>29</v>
      </c>
      <c r="L238" s="215">
        <f t="shared" si="12"/>
        <v>476</v>
      </c>
    </row>
    <row r="239" spans="1:12" s="213" customFormat="1" x14ac:dyDescent="0.25">
      <c r="A239" s="213">
        <v>1997</v>
      </c>
      <c r="B239" s="215" t="s">
        <v>29</v>
      </c>
      <c r="C239" s="215">
        <v>19</v>
      </c>
      <c r="D239" s="215">
        <v>149</v>
      </c>
      <c r="E239" s="215" t="s">
        <v>29</v>
      </c>
      <c r="F239" s="215" t="s">
        <v>29</v>
      </c>
      <c r="G239" s="215">
        <v>38</v>
      </c>
      <c r="H239" s="215" t="s">
        <v>29</v>
      </c>
      <c r="I239" s="215">
        <v>169</v>
      </c>
      <c r="J239" s="215" t="s">
        <v>29</v>
      </c>
      <c r="K239" s="215" t="s">
        <v>29</v>
      </c>
      <c r="L239" s="215">
        <f t="shared" si="12"/>
        <v>375</v>
      </c>
    </row>
    <row r="240" spans="1:12" s="213" customFormat="1" x14ac:dyDescent="0.25">
      <c r="A240" s="213">
        <v>1998</v>
      </c>
      <c r="B240" s="215" t="s">
        <v>29</v>
      </c>
      <c r="C240" s="215">
        <v>0</v>
      </c>
      <c r="D240" s="215">
        <v>22</v>
      </c>
      <c r="E240" s="215" t="s">
        <v>29</v>
      </c>
      <c r="F240" s="215" t="s">
        <v>29</v>
      </c>
      <c r="G240" s="215">
        <v>14</v>
      </c>
      <c r="H240" s="215" t="s">
        <v>29</v>
      </c>
      <c r="I240" s="215">
        <v>172</v>
      </c>
      <c r="J240" s="215" t="s">
        <v>29</v>
      </c>
      <c r="K240" s="215" t="s">
        <v>29</v>
      </c>
      <c r="L240" s="215">
        <f t="shared" si="12"/>
        <v>208</v>
      </c>
    </row>
    <row r="241" spans="1:12" s="213" customFormat="1" x14ac:dyDescent="0.25">
      <c r="A241" s="213">
        <v>1999</v>
      </c>
      <c r="B241" s="215" t="s">
        <v>29</v>
      </c>
      <c r="C241" s="215" t="s">
        <v>29</v>
      </c>
      <c r="D241" s="215">
        <v>3</v>
      </c>
      <c r="E241" s="215" t="s">
        <v>29</v>
      </c>
      <c r="F241" s="215" t="s">
        <v>29</v>
      </c>
      <c r="G241" s="215">
        <v>78</v>
      </c>
      <c r="H241" s="215">
        <v>38</v>
      </c>
      <c r="I241" s="215">
        <v>120</v>
      </c>
      <c r="J241" s="215">
        <v>9</v>
      </c>
      <c r="K241" s="215" t="s">
        <v>29</v>
      </c>
      <c r="L241" s="215">
        <f t="shared" si="12"/>
        <v>248</v>
      </c>
    </row>
    <row r="242" spans="1:12" s="213" customFormat="1" x14ac:dyDescent="0.25">
      <c r="A242" s="213">
        <v>2000</v>
      </c>
      <c r="B242" s="215" t="s">
        <v>29</v>
      </c>
      <c r="C242" s="215" t="s">
        <v>29</v>
      </c>
      <c r="D242" s="215">
        <v>4</v>
      </c>
      <c r="E242" s="215" t="s">
        <v>29</v>
      </c>
      <c r="F242" s="215" t="s">
        <v>29</v>
      </c>
      <c r="G242" s="215">
        <v>84</v>
      </c>
      <c r="H242" s="215">
        <v>56</v>
      </c>
      <c r="I242" s="215">
        <v>130</v>
      </c>
      <c r="J242" s="215" t="s">
        <v>29</v>
      </c>
      <c r="K242" s="215" t="s">
        <v>29</v>
      </c>
      <c r="L242" s="215">
        <f t="shared" si="12"/>
        <v>274</v>
      </c>
    </row>
    <row r="243" spans="1:12" s="213" customFormat="1" x14ac:dyDescent="0.25">
      <c r="A243" s="213">
        <v>2001</v>
      </c>
      <c r="B243" s="215" t="s">
        <v>29</v>
      </c>
      <c r="C243" s="215" t="s">
        <v>29</v>
      </c>
      <c r="D243" s="215">
        <v>18</v>
      </c>
      <c r="E243" s="215">
        <v>41</v>
      </c>
      <c r="F243" s="215" t="s">
        <v>29</v>
      </c>
      <c r="G243" s="215">
        <v>150</v>
      </c>
      <c r="H243" s="215">
        <v>96</v>
      </c>
      <c r="I243" s="215">
        <v>166</v>
      </c>
      <c r="J243" s="215" t="s">
        <v>29</v>
      </c>
      <c r="K243" s="215" t="s">
        <v>29</v>
      </c>
      <c r="L243" s="215">
        <f t="shared" si="12"/>
        <v>471</v>
      </c>
    </row>
    <row r="244" spans="1:12" s="213" customFormat="1" x14ac:dyDescent="0.25">
      <c r="A244" s="213">
        <v>2002</v>
      </c>
      <c r="B244" s="215">
        <v>3</v>
      </c>
      <c r="C244" s="215">
        <v>15</v>
      </c>
      <c r="D244" s="215">
        <v>22</v>
      </c>
      <c r="E244" s="215">
        <v>73</v>
      </c>
      <c r="F244" s="215">
        <v>82</v>
      </c>
      <c r="G244" s="215">
        <v>67</v>
      </c>
      <c r="H244" s="215">
        <v>70</v>
      </c>
      <c r="I244" s="215">
        <v>96</v>
      </c>
      <c r="J244" s="215" t="s">
        <v>29</v>
      </c>
      <c r="K244" s="215" t="s">
        <v>29</v>
      </c>
      <c r="L244" s="215">
        <f t="shared" si="12"/>
        <v>428</v>
      </c>
    </row>
    <row r="245" spans="1:12" s="213" customFormat="1" x14ac:dyDescent="0.25">
      <c r="A245" s="218">
        <v>2003</v>
      </c>
      <c r="B245" s="217">
        <v>0</v>
      </c>
      <c r="C245" s="215">
        <v>7</v>
      </c>
      <c r="D245" s="215">
        <v>47</v>
      </c>
      <c r="E245" s="215">
        <v>70</v>
      </c>
      <c r="F245" s="215">
        <v>109</v>
      </c>
      <c r="G245" s="215">
        <v>106</v>
      </c>
      <c r="H245" s="215">
        <v>80</v>
      </c>
      <c r="I245" s="215">
        <v>107</v>
      </c>
      <c r="J245" s="215">
        <v>2</v>
      </c>
      <c r="K245" s="215" t="s">
        <v>29</v>
      </c>
      <c r="L245" s="215">
        <f t="shared" si="12"/>
        <v>528</v>
      </c>
    </row>
    <row r="246" spans="1:12" s="213" customFormat="1" x14ac:dyDescent="0.25">
      <c r="A246" s="218">
        <v>2004</v>
      </c>
      <c r="B246" s="215">
        <v>2</v>
      </c>
      <c r="C246" s="215">
        <v>9</v>
      </c>
      <c r="D246" s="215">
        <v>73</v>
      </c>
      <c r="E246" s="215">
        <v>139</v>
      </c>
      <c r="F246" s="215">
        <v>102</v>
      </c>
      <c r="G246" s="215">
        <v>53</v>
      </c>
      <c r="H246" s="215">
        <v>61</v>
      </c>
      <c r="I246" s="215">
        <v>61</v>
      </c>
      <c r="J246" s="215">
        <v>18</v>
      </c>
      <c r="K246" s="215" t="s">
        <v>29</v>
      </c>
      <c r="L246" s="215">
        <f>SUM(B246:K246)</f>
        <v>518</v>
      </c>
    </row>
    <row r="247" spans="1:12" s="213" customFormat="1" x14ac:dyDescent="0.25">
      <c r="A247" s="218">
        <v>2005</v>
      </c>
      <c r="B247" s="215">
        <v>6</v>
      </c>
      <c r="C247" s="215">
        <v>1</v>
      </c>
      <c r="D247" s="215" t="s">
        <v>29</v>
      </c>
      <c r="E247" s="215" t="s">
        <v>29</v>
      </c>
      <c r="F247" s="215" t="s">
        <v>29</v>
      </c>
      <c r="G247" s="215" t="s">
        <v>29</v>
      </c>
      <c r="H247" s="215">
        <v>114</v>
      </c>
      <c r="I247" s="215">
        <v>110</v>
      </c>
      <c r="J247" s="215">
        <v>18</v>
      </c>
      <c r="K247" s="215" t="s">
        <v>29</v>
      </c>
      <c r="L247" s="215">
        <f>SUM(B247:K247)</f>
        <v>249</v>
      </c>
    </row>
    <row r="248" spans="1:12" s="213" customFormat="1" x14ac:dyDescent="0.2">
      <c r="A248" s="218">
        <v>2006</v>
      </c>
      <c r="B248" s="219" t="s">
        <v>29</v>
      </c>
      <c r="C248" s="219" t="s">
        <v>29</v>
      </c>
      <c r="D248" s="219" t="s">
        <v>29</v>
      </c>
      <c r="E248" s="219" t="s">
        <v>29</v>
      </c>
      <c r="F248" s="219" t="s">
        <v>29</v>
      </c>
      <c r="G248" s="219" t="s">
        <v>29</v>
      </c>
      <c r="H248" s="227">
        <v>6</v>
      </c>
      <c r="I248" s="219">
        <v>151</v>
      </c>
      <c r="J248" s="219">
        <v>27</v>
      </c>
      <c r="K248" s="219" t="s">
        <v>29</v>
      </c>
      <c r="L248" s="215">
        <f>SUM(B248:K248)</f>
        <v>184</v>
      </c>
    </row>
    <row r="249" spans="1:12" s="218" customFormat="1" x14ac:dyDescent="0.2">
      <c r="A249" s="218">
        <v>2007</v>
      </c>
      <c r="B249" s="221" t="s">
        <v>29</v>
      </c>
      <c r="C249" s="221">
        <v>6</v>
      </c>
      <c r="D249" s="221">
        <v>8</v>
      </c>
      <c r="E249" s="221">
        <v>138</v>
      </c>
      <c r="F249" s="221">
        <v>99</v>
      </c>
      <c r="G249" s="221">
        <v>95</v>
      </c>
      <c r="H249" s="221">
        <v>60</v>
      </c>
      <c r="I249" s="221">
        <v>47</v>
      </c>
      <c r="J249" s="221">
        <v>12</v>
      </c>
      <c r="K249" s="221" t="s">
        <v>29</v>
      </c>
      <c r="L249" s="220">
        <f>SUM(B249:K249)</f>
        <v>465</v>
      </c>
    </row>
    <row r="250" spans="1:12" s="218" customFormat="1" x14ac:dyDescent="0.2">
      <c r="A250" s="218">
        <v>2008</v>
      </c>
      <c r="B250" s="221" t="s">
        <v>29</v>
      </c>
      <c r="C250" s="221" t="s">
        <v>29</v>
      </c>
      <c r="D250" s="221" t="s">
        <v>29</v>
      </c>
      <c r="E250" s="221" t="s">
        <v>29</v>
      </c>
      <c r="F250" s="221" t="s">
        <v>29</v>
      </c>
      <c r="G250" s="221" t="s">
        <v>29</v>
      </c>
      <c r="H250" s="221" t="s">
        <v>29</v>
      </c>
      <c r="I250" s="221">
        <v>51</v>
      </c>
      <c r="J250" s="221" t="s">
        <v>29</v>
      </c>
      <c r="K250" s="221" t="s">
        <v>29</v>
      </c>
      <c r="L250" s="220">
        <f>SUM(B250:K250)</f>
        <v>51</v>
      </c>
    </row>
    <row r="251" spans="1:12" s="218" customFormat="1" x14ac:dyDescent="0.2">
      <c r="A251" s="218">
        <v>2009</v>
      </c>
      <c r="B251" s="221" t="s">
        <v>29</v>
      </c>
      <c r="C251" s="221" t="s">
        <v>29</v>
      </c>
      <c r="D251" s="221" t="s">
        <v>29</v>
      </c>
      <c r="E251" s="221" t="s">
        <v>29</v>
      </c>
      <c r="F251" s="221" t="s">
        <v>29</v>
      </c>
      <c r="G251" s="221" t="s">
        <v>29</v>
      </c>
      <c r="H251" s="221" t="s">
        <v>29</v>
      </c>
      <c r="I251" s="221" t="s">
        <v>29</v>
      </c>
      <c r="J251" s="221" t="s">
        <v>29</v>
      </c>
      <c r="K251" s="221" t="s">
        <v>29</v>
      </c>
      <c r="L251" s="220" t="s">
        <v>29</v>
      </c>
    </row>
    <row r="252" spans="1:12" s="218" customFormat="1" x14ac:dyDescent="0.2">
      <c r="A252" s="218">
        <v>2010</v>
      </c>
      <c r="B252" s="221" t="s">
        <v>29</v>
      </c>
      <c r="C252" s="221" t="s">
        <v>29</v>
      </c>
      <c r="D252" s="221">
        <v>43</v>
      </c>
      <c r="E252" s="221" t="s">
        <v>29</v>
      </c>
      <c r="F252" s="221">
        <f>8+13+2+3</f>
        <v>26</v>
      </c>
      <c r="G252" s="221">
        <v>40</v>
      </c>
      <c r="H252" s="221" t="s">
        <v>29</v>
      </c>
      <c r="I252" s="221">
        <f>56+16</f>
        <v>72</v>
      </c>
      <c r="J252" s="221" t="s">
        <v>29</v>
      </c>
      <c r="K252" s="221" t="s">
        <v>29</v>
      </c>
      <c r="L252" s="220">
        <f t="shared" ref="L252:L262" si="13">SUM(B252:K252)</f>
        <v>181</v>
      </c>
    </row>
    <row r="253" spans="1:12" s="218" customFormat="1" x14ac:dyDescent="0.2">
      <c r="A253" s="218">
        <v>2011</v>
      </c>
      <c r="B253" s="221" t="s">
        <v>29</v>
      </c>
      <c r="C253" s="221" t="s">
        <v>29</v>
      </c>
      <c r="D253" s="221">
        <v>60</v>
      </c>
      <c r="E253" s="221">
        <v>60</v>
      </c>
      <c r="F253" s="221">
        <v>8</v>
      </c>
      <c r="G253" s="221">
        <v>86</v>
      </c>
      <c r="H253" s="221" t="s">
        <v>29</v>
      </c>
      <c r="I253" s="221">
        <v>75</v>
      </c>
      <c r="J253" s="221" t="s">
        <v>29</v>
      </c>
      <c r="K253" s="221" t="s">
        <v>29</v>
      </c>
      <c r="L253" s="220">
        <f t="shared" si="13"/>
        <v>289</v>
      </c>
    </row>
    <row r="254" spans="1:12" s="218" customFormat="1" x14ac:dyDescent="0.2">
      <c r="A254" s="218">
        <v>2012</v>
      </c>
      <c r="B254" s="221" t="s">
        <v>29</v>
      </c>
      <c r="C254" s="223" t="s">
        <v>241</v>
      </c>
      <c r="D254" s="221">
        <v>23</v>
      </c>
      <c r="E254" s="221">
        <v>118</v>
      </c>
      <c r="F254" s="221">
        <v>90</v>
      </c>
      <c r="G254" s="221">
        <v>67</v>
      </c>
      <c r="H254" s="221">
        <v>43</v>
      </c>
      <c r="I254" s="221">
        <v>41</v>
      </c>
      <c r="J254" s="221" t="s">
        <v>29</v>
      </c>
      <c r="K254" s="221" t="s">
        <v>29</v>
      </c>
      <c r="L254" s="220">
        <f t="shared" si="13"/>
        <v>382</v>
      </c>
    </row>
    <row r="255" spans="1:12" s="218" customFormat="1" x14ac:dyDescent="0.2">
      <c r="A255" s="218">
        <v>2013</v>
      </c>
      <c r="B255" s="221" t="s">
        <v>29</v>
      </c>
      <c r="C255" s="221">
        <v>13</v>
      </c>
      <c r="D255" s="221">
        <v>3</v>
      </c>
      <c r="E255" s="221">
        <v>107</v>
      </c>
      <c r="F255" s="221">
        <v>284</v>
      </c>
      <c r="G255" s="221">
        <v>208</v>
      </c>
      <c r="H255" s="221">
        <v>40</v>
      </c>
      <c r="I255" s="221">
        <v>52</v>
      </c>
      <c r="J255" s="221" t="s">
        <v>29</v>
      </c>
      <c r="K255" s="221" t="s">
        <v>29</v>
      </c>
      <c r="L255" s="220">
        <f t="shared" si="13"/>
        <v>707</v>
      </c>
    </row>
    <row r="256" spans="1:12" s="218" customFormat="1" x14ac:dyDescent="0.2">
      <c r="A256" s="218">
        <v>2014</v>
      </c>
      <c r="B256" s="221" t="s">
        <v>29</v>
      </c>
      <c r="C256" s="221">
        <v>10</v>
      </c>
      <c r="D256" s="221">
        <v>471</v>
      </c>
      <c r="E256" s="221">
        <v>82</v>
      </c>
      <c r="F256" s="221">
        <v>38</v>
      </c>
      <c r="G256" s="221">
        <v>70</v>
      </c>
      <c r="H256" s="221">
        <v>21</v>
      </c>
      <c r="I256" s="221">
        <v>78</v>
      </c>
      <c r="J256" s="221" t="s">
        <v>29</v>
      </c>
      <c r="K256" s="221" t="s">
        <v>29</v>
      </c>
      <c r="L256" s="220">
        <f t="shared" si="13"/>
        <v>770</v>
      </c>
    </row>
    <row r="257" spans="1:12" s="218" customFormat="1" x14ac:dyDescent="0.2">
      <c r="A257" s="218">
        <v>2015</v>
      </c>
      <c r="B257" s="221" t="s">
        <v>29</v>
      </c>
      <c r="C257" s="221">
        <v>12</v>
      </c>
      <c r="D257" s="221">
        <v>150</v>
      </c>
      <c r="E257" s="221">
        <v>100</v>
      </c>
      <c r="F257" s="221">
        <v>90</v>
      </c>
      <c r="G257" s="221">
        <v>24</v>
      </c>
      <c r="H257" s="221" t="s">
        <v>29</v>
      </c>
      <c r="I257" s="221">
        <v>144</v>
      </c>
      <c r="J257" s="221" t="s">
        <v>29</v>
      </c>
      <c r="K257" s="221" t="s">
        <v>29</v>
      </c>
      <c r="L257" s="220">
        <f t="shared" si="13"/>
        <v>520</v>
      </c>
    </row>
    <row r="258" spans="1:12" s="218" customFormat="1" x14ac:dyDescent="0.2">
      <c r="A258" s="218">
        <v>2016</v>
      </c>
      <c r="B258" s="221" t="s">
        <v>29</v>
      </c>
      <c r="C258" s="221">
        <v>7</v>
      </c>
      <c r="D258" s="221">
        <v>13</v>
      </c>
      <c r="E258" s="221">
        <v>47</v>
      </c>
      <c r="F258" s="221">
        <v>8</v>
      </c>
      <c r="G258" s="221" t="s">
        <v>29</v>
      </c>
      <c r="H258" s="221" t="s">
        <v>29</v>
      </c>
      <c r="I258" s="221">
        <v>52</v>
      </c>
      <c r="J258" s="221" t="s">
        <v>29</v>
      </c>
      <c r="K258" s="221" t="s">
        <v>29</v>
      </c>
      <c r="L258" s="220">
        <f t="shared" si="13"/>
        <v>127</v>
      </c>
    </row>
    <row r="259" spans="1:12" s="213" customFormat="1" x14ac:dyDescent="0.2">
      <c r="A259" s="218">
        <v>2017</v>
      </c>
      <c r="B259" s="219" t="s">
        <v>29</v>
      </c>
      <c r="C259" s="219" t="s">
        <v>29</v>
      </c>
      <c r="D259" s="219" t="s">
        <v>29</v>
      </c>
      <c r="E259" s="219" t="s">
        <v>29</v>
      </c>
      <c r="F259" s="219" t="s">
        <v>29</v>
      </c>
      <c r="G259" s="219" t="s">
        <v>29</v>
      </c>
      <c r="H259" s="219" t="s">
        <v>29</v>
      </c>
      <c r="I259" s="219">
        <v>109</v>
      </c>
      <c r="J259" s="219" t="s">
        <v>29</v>
      </c>
      <c r="K259" s="219" t="s">
        <v>29</v>
      </c>
      <c r="L259" s="220">
        <f t="shared" si="13"/>
        <v>109</v>
      </c>
    </row>
    <row r="260" spans="1:12" s="218" customFormat="1" x14ac:dyDescent="0.2">
      <c r="A260" s="218">
        <v>2018</v>
      </c>
      <c r="B260" s="221" t="s">
        <v>29</v>
      </c>
      <c r="C260" s="221" t="s">
        <v>29</v>
      </c>
      <c r="D260" s="221">
        <v>37</v>
      </c>
      <c r="E260" s="221">
        <v>127</v>
      </c>
      <c r="F260" s="221">
        <v>123</v>
      </c>
      <c r="G260" s="221">
        <v>73</v>
      </c>
      <c r="H260" s="221" t="s">
        <v>29</v>
      </c>
      <c r="I260" s="221">
        <v>115</v>
      </c>
      <c r="J260" s="221" t="s">
        <v>29</v>
      </c>
      <c r="K260" s="221" t="s">
        <v>29</v>
      </c>
      <c r="L260" s="220">
        <f>SUM(B260:K260)</f>
        <v>475</v>
      </c>
    </row>
    <row r="261" spans="1:12" s="218" customFormat="1" x14ac:dyDescent="0.2">
      <c r="A261" s="218">
        <v>2019</v>
      </c>
      <c r="B261" s="221" t="s">
        <v>29</v>
      </c>
      <c r="C261" s="221">
        <v>2</v>
      </c>
      <c r="D261" s="221">
        <v>7</v>
      </c>
      <c r="E261" s="221">
        <v>21</v>
      </c>
      <c r="F261" s="221">
        <v>71</v>
      </c>
      <c r="G261" s="221">
        <v>135</v>
      </c>
      <c r="H261" s="221" t="s">
        <v>29</v>
      </c>
      <c r="I261" s="221" t="s">
        <v>29</v>
      </c>
      <c r="J261" s="221" t="s">
        <v>29</v>
      </c>
      <c r="K261" s="221" t="s">
        <v>29</v>
      </c>
      <c r="L261" s="220">
        <f t="shared" ref="L261" si="14">SUM(B261:K261)</f>
        <v>236</v>
      </c>
    </row>
    <row r="262" spans="1:12" s="213" customFormat="1" x14ac:dyDescent="0.2">
      <c r="A262" s="218" t="s">
        <v>393</v>
      </c>
      <c r="B262" s="219" t="s">
        <v>29</v>
      </c>
      <c r="C262" s="219">
        <v>1</v>
      </c>
      <c r="D262" s="219">
        <v>3</v>
      </c>
      <c r="E262" s="219">
        <v>46</v>
      </c>
      <c r="F262" s="219">
        <v>72</v>
      </c>
      <c r="G262" s="219" t="s">
        <v>29</v>
      </c>
      <c r="H262" s="219" t="s">
        <v>29</v>
      </c>
      <c r="I262" s="219" t="s">
        <v>29</v>
      </c>
      <c r="J262" s="219" t="s">
        <v>29</v>
      </c>
      <c r="K262" s="219" t="s">
        <v>29</v>
      </c>
      <c r="L262" s="220">
        <f t="shared" si="13"/>
        <v>122</v>
      </c>
    </row>
    <row r="263" spans="1:12" s="314" customFormat="1" x14ac:dyDescent="0.25">
      <c r="A263" s="364"/>
      <c r="B263" s="222"/>
      <c r="C263" s="222"/>
      <c r="D263" s="222"/>
      <c r="E263" s="222"/>
      <c r="F263" s="222"/>
      <c r="G263" s="222"/>
      <c r="H263" s="222"/>
      <c r="I263" s="222"/>
      <c r="J263" s="222"/>
      <c r="K263" s="222"/>
      <c r="L263" s="222"/>
    </row>
    <row r="264" spans="1:12" s="314" customFormat="1" x14ac:dyDescent="0.25">
      <c r="A264" s="239" t="s">
        <v>50</v>
      </c>
      <c r="B264" s="222"/>
      <c r="C264" s="222"/>
      <c r="D264" s="222"/>
      <c r="E264" s="222"/>
      <c r="F264" s="222"/>
      <c r="G264" s="222"/>
      <c r="H264" s="222"/>
      <c r="I264" s="222"/>
      <c r="J264" s="222"/>
      <c r="K264" s="222"/>
      <c r="L264" s="222"/>
    </row>
    <row r="265" spans="1:12" s="213" customFormat="1" x14ac:dyDescent="0.25">
      <c r="A265" s="216">
        <v>1971</v>
      </c>
      <c r="B265" s="215" t="str">
        <f t="shared" ref="B265:L265" si="15">IF(AND(B213="-",B161="-",B109="-",B57="-"),"-",SUM(B213,B161,B109,B57))</f>
        <v>-</v>
      </c>
      <c r="C265" s="215">
        <f t="shared" si="15"/>
        <v>5</v>
      </c>
      <c r="D265" s="215">
        <f t="shared" si="15"/>
        <v>382</v>
      </c>
      <c r="E265" s="215">
        <f t="shared" si="15"/>
        <v>6572</v>
      </c>
      <c r="F265" s="215">
        <f t="shared" si="15"/>
        <v>14953</v>
      </c>
      <c r="G265" s="215">
        <f t="shared" si="15"/>
        <v>14771</v>
      </c>
      <c r="H265" s="215">
        <f t="shared" si="15"/>
        <v>3209</v>
      </c>
      <c r="I265" s="215">
        <f t="shared" si="15"/>
        <v>1480</v>
      </c>
      <c r="J265" s="215" t="str">
        <f t="shared" si="15"/>
        <v>-</v>
      </c>
      <c r="K265" s="215" t="str">
        <f t="shared" si="15"/>
        <v>-</v>
      </c>
      <c r="L265" s="215">
        <f t="shared" si="15"/>
        <v>41372</v>
      </c>
    </row>
    <row r="266" spans="1:12" s="213" customFormat="1" x14ac:dyDescent="0.25">
      <c r="A266" s="216">
        <v>1972</v>
      </c>
      <c r="B266" s="215" t="str">
        <f t="shared" ref="B266:L266" si="16">IF(AND(B214="-",B162="-",B110="-",B58="-"),"-",SUM(B214,B162,B110,B58))</f>
        <v>-</v>
      </c>
      <c r="C266" s="215">
        <f t="shared" si="16"/>
        <v>2</v>
      </c>
      <c r="D266" s="215">
        <f t="shared" si="16"/>
        <v>593</v>
      </c>
      <c r="E266" s="215">
        <f t="shared" si="16"/>
        <v>6328</v>
      </c>
      <c r="F266" s="215">
        <f t="shared" si="16"/>
        <v>14531</v>
      </c>
      <c r="G266" s="215">
        <f t="shared" si="16"/>
        <v>10426</v>
      </c>
      <c r="H266" s="215">
        <f t="shared" si="16"/>
        <v>2814</v>
      </c>
      <c r="I266" s="215">
        <f t="shared" si="16"/>
        <v>1731</v>
      </c>
      <c r="J266" s="215" t="str">
        <f t="shared" si="16"/>
        <v>-</v>
      </c>
      <c r="K266" s="215" t="str">
        <f t="shared" si="16"/>
        <v>-</v>
      </c>
      <c r="L266" s="215">
        <f t="shared" si="16"/>
        <v>36425</v>
      </c>
    </row>
    <row r="267" spans="1:12" s="213" customFormat="1" x14ac:dyDescent="0.25">
      <c r="A267" s="216">
        <v>1973</v>
      </c>
      <c r="B267" s="215" t="str">
        <f t="shared" ref="B267:L267" si="17">IF(AND(B215="-",B163="-",B111="-",B59="-"),"-",SUM(B215,B163,B111,B59))</f>
        <v>-</v>
      </c>
      <c r="C267" s="215">
        <f t="shared" si="17"/>
        <v>54</v>
      </c>
      <c r="D267" s="215">
        <f t="shared" si="17"/>
        <v>359</v>
      </c>
      <c r="E267" s="215">
        <f t="shared" si="17"/>
        <v>5149</v>
      </c>
      <c r="F267" s="215">
        <f t="shared" si="17"/>
        <v>15734</v>
      </c>
      <c r="G267" s="215">
        <f t="shared" si="17"/>
        <v>17438</v>
      </c>
      <c r="H267" s="215">
        <f t="shared" si="17"/>
        <v>6449</v>
      </c>
      <c r="I267" s="215">
        <f t="shared" si="17"/>
        <v>4214</v>
      </c>
      <c r="J267" s="215" t="str">
        <f t="shared" si="17"/>
        <v>-</v>
      </c>
      <c r="K267" s="215" t="str">
        <f t="shared" si="17"/>
        <v>-</v>
      </c>
      <c r="L267" s="215">
        <f t="shared" si="17"/>
        <v>49397</v>
      </c>
    </row>
    <row r="268" spans="1:12" s="213" customFormat="1" x14ac:dyDescent="0.25">
      <c r="A268" s="216">
        <v>1974</v>
      </c>
      <c r="B268" s="215" t="str">
        <f t="shared" ref="B268:L268" si="18">IF(AND(B216="-",B164="-",B112="-",B60="-"),"-",SUM(B216,B164,B112,B60))</f>
        <v>-</v>
      </c>
      <c r="C268" s="215">
        <f t="shared" si="18"/>
        <v>61</v>
      </c>
      <c r="D268" s="215">
        <f t="shared" si="18"/>
        <v>178</v>
      </c>
      <c r="E268" s="215">
        <f t="shared" si="18"/>
        <v>4723</v>
      </c>
      <c r="F268" s="215">
        <f t="shared" si="18"/>
        <v>20123</v>
      </c>
      <c r="G268" s="215">
        <f t="shared" si="18"/>
        <v>16233</v>
      </c>
      <c r="H268" s="215">
        <f t="shared" si="18"/>
        <v>6043</v>
      </c>
      <c r="I268" s="215">
        <f t="shared" si="18"/>
        <v>1566</v>
      </c>
      <c r="J268" s="215">
        <f t="shared" si="18"/>
        <v>498</v>
      </c>
      <c r="K268" s="215">
        <f t="shared" si="18"/>
        <v>57</v>
      </c>
      <c r="L268" s="215">
        <f t="shared" si="18"/>
        <v>49482</v>
      </c>
    </row>
    <row r="269" spans="1:12" s="213" customFormat="1" x14ac:dyDescent="0.25">
      <c r="A269" s="216">
        <v>1975</v>
      </c>
      <c r="B269" s="215" t="str">
        <f t="shared" ref="B269:L269" si="19">IF(AND(B217="-",B165="-",B113="-",B61="-"),"-",SUM(B217,B165,B113,B61))</f>
        <v>-</v>
      </c>
      <c r="C269" s="215">
        <f t="shared" si="19"/>
        <v>28</v>
      </c>
      <c r="D269" s="215">
        <f t="shared" si="19"/>
        <v>246</v>
      </c>
      <c r="E269" s="215">
        <f t="shared" si="19"/>
        <v>9246</v>
      </c>
      <c r="F269" s="215">
        <f t="shared" si="19"/>
        <v>15363</v>
      </c>
      <c r="G269" s="215">
        <f t="shared" si="19"/>
        <v>11693</v>
      </c>
      <c r="H269" s="215">
        <f t="shared" si="19"/>
        <v>4827</v>
      </c>
      <c r="I269" s="215">
        <f t="shared" si="19"/>
        <v>1086</v>
      </c>
      <c r="J269" s="215">
        <f t="shared" si="19"/>
        <v>332</v>
      </c>
      <c r="K269" s="215">
        <f t="shared" si="19"/>
        <v>32</v>
      </c>
      <c r="L269" s="215">
        <f t="shared" si="19"/>
        <v>42853</v>
      </c>
    </row>
    <row r="270" spans="1:12" s="213" customFormat="1" x14ac:dyDescent="0.25">
      <c r="A270" s="216">
        <v>1976</v>
      </c>
      <c r="B270" s="215" t="str">
        <f t="shared" ref="B270:L270" si="20">IF(AND(B218="-",B166="-",B114="-",B62="-"),"-",SUM(B218,B166,B114,B62))</f>
        <v>-</v>
      </c>
      <c r="C270" s="215" t="str">
        <f t="shared" si="20"/>
        <v>-</v>
      </c>
      <c r="D270" s="215">
        <f t="shared" si="20"/>
        <v>554</v>
      </c>
      <c r="E270" s="215">
        <f t="shared" si="20"/>
        <v>12239</v>
      </c>
      <c r="F270" s="215">
        <f t="shared" si="20"/>
        <v>25339</v>
      </c>
      <c r="G270" s="215">
        <f t="shared" si="20"/>
        <v>23412</v>
      </c>
      <c r="H270" s="215">
        <f t="shared" si="20"/>
        <v>7729</v>
      </c>
      <c r="I270" s="215">
        <f t="shared" si="20"/>
        <v>1805</v>
      </c>
      <c r="J270" s="215">
        <f t="shared" si="20"/>
        <v>253</v>
      </c>
      <c r="K270" s="215" t="str">
        <f t="shared" si="20"/>
        <v>-</v>
      </c>
      <c r="L270" s="215">
        <f t="shared" si="20"/>
        <v>71331</v>
      </c>
    </row>
    <row r="271" spans="1:12" s="213" customFormat="1" x14ac:dyDescent="0.25">
      <c r="A271" s="216">
        <v>1977</v>
      </c>
      <c r="B271" s="215" t="str">
        <f t="shared" ref="B271:L271" si="21">IF(AND(B219="-",B167="-",B115="-",B63="-"),"-",SUM(B219,B167,B115,B63))</f>
        <v>-</v>
      </c>
      <c r="C271" s="215" t="str">
        <f t="shared" si="21"/>
        <v>-</v>
      </c>
      <c r="D271" s="215">
        <f t="shared" si="21"/>
        <v>1988</v>
      </c>
      <c r="E271" s="215">
        <f t="shared" si="21"/>
        <v>7175</v>
      </c>
      <c r="F271" s="215">
        <f t="shared" si="21"/>
        <v>46568</v>
      </c>
      <c r="G271" s="215">
        <f t="shared" si="21"/>
        <v>17425</v>
      </c>
      <c r="H271" s="215">
        <f t="shared" si="21"/>
        <v>4784</v>
      </c>
      <c r="I271" s="215">
        <f t="shared" si="21"/>
        <v>1923</v>
      </c>
      <c r="J271" s="215">
        <f t="shared" si="21"/>
        <v>901</v>
      </c>
      <c r="K271" s="215" t="str">
        <f t="shared" si="21"/>
        <v>-</v>
      </c>
      <c r="L271" s="215">
        <f t="shared" si="21"/>
        <v>80764</v>
      </c>
    </row>
    <row r="272" spans="1:12" s="213" customFormat="1" x14ac:dyDescent="0.25">
      <c r="A272" s="216">
        <v>1978</v>
      </c>
      <c r="B272" s="215" t="str">
        <f t="shared" ref="B272:L272" si="22">IF(AND(B220="-",B168="-",B116="-",B64="-"),"-",SUM(B220,B168,B116,B64))</f>
        <v>-</v>
      </c>
      <c r="C272" s="215" t="str">
        <f t="shared" si="22"/>
        <v>-</v>
      </c>
      <c r="D272" s="215">
        <f t="shared" si="22"/>
        <v>429</v>
      </c>
      <c r="E272" s="215">
        <f t="shared" si="22"/>
        <v>8750</v>
      </c>
      <c r="F272" s="215">
        <f t="shared" si="22"/>
        <v>15289</v>
      </c>
      <c r="G272" s="215">
        <f t="shared" si="22"/>
        <v>12080</v>
      </c>
      <c r="H272" s="215">
        <f t="shared" si="22"/>
        <v>4123</v>
      </c>
      <c r="I272" s="215">
        <f t="shared" si="22"/>
        <v>2020</v>
      </c>
      <c r="J272" s="215">
        <f t="shared" si="22"/>
        <v>1017</v>
      </c>
      <c r="K272" s="215" t="str">
        <f t="shared" si="22"/>
        <v>-</v>
      </c>
      <c r="L272" s="215">
        <f t="shared" si="22"/>
        <v>43708</v>
      </c>
    </row>
    <row r="273" spans="1:12" s="213" customFormat="1" x14ac:dyDescent="0.25">
      <c r="A273" s="216">
        <v>1979</v>
      </c>
      <c r="B273" s="215" t="str">
        <f t="shared" ref="B273:L273" si="23">IF(AND(B221="-",B169="-",B117="-",B65="-"),"-",SUM(B221,B169,B117,B65))</f>
        <v>-</v>
      </c>
      <c r="C273" s="215" t="str">
        <f t="shared" si="23"/>
        <v>-</v>
      </c>
      <c r="D273" s="215">
        <f t="shared" si="23"/>
        <v>1017</v>
      </c>
      <c r="E273" s="215">
        <f t="shared" si="23"/>
        <v>2060</v>
      </c>
      <c r="F273" s="215">
        <f t="shared" si="23"/>
        <v>19138</v>
      </c>
      <c r="G273" s="215">
        <f t="shared" si="23"/>
        <v>15964</v>
      </c>
      <c r="H273" s="215">
        <f t="shared" si="23"/>
        <v>1617</v>
      </c>
      <c r="I273" s="215">
        <f t="shared" si="23"/>
        <v>1187</v>
      </c>
      <c r="J273" s="215">
        <f t="shared" si="23"/>
        <v>203</v>
      </c>
      <c r="K273" s="215" t="str">
        <f t="shared" si="23"/>
        <v>-</v>
      </c>
      <c r="L273" s="215">
        <f t="shared" si="23"/>
        <v>41186</v>
      </c>
    </row>
    <row r="274" spans="1:12" s="213" customFormat="1" x14ac:dyDescent="0.25">
      <c r="A274" s="216">
        <v>1980</v>
      </c>
      <c r="B274" s="215" t="str">
        <f t="shared" ref="B274:L274" si="24">IF(AND(B222="-",B170="-",B118="-",B66="-"),"-",SUM(B222,B170,B118,B66))</f>
        <v>-</v>
      </c>
      <c r="C274" s="215" t="str">
        <f t="shared" si="24"/>
        <v>-</v>
      </c>
      <c r="D274" s="215">
        <f t="shared" si="24"/>
        <v>1181</v>
      </c>
      <c r="E274" s="215">
        <f t="shared" si="24"/>
        <v>1951</v>
      </c>
      <c r="F274" s="215">
        <f t="shared" si="24"/>
        <v>7001</v>
      </c>
      <c r="G274" s="215">
        <f t="shared" si="24"/>
        <v>12818</v>
      </c>
      <c r="H274" s="215">
        <f t="shared" si="24"/>
        <v>3145</v>
      </c>
      <c r="I274" s="215">
        <f t="shared" si="24"/>
        <v>1451</v>
      </c>
      <c r="J274" s="215">
        <f t="shared" si="24"/>
        <v>513</v>
      </c>
      <c r="K274" s="215" t="str">
        <f t="shared" si="24"/>
        <v>-</v>
      </c>
      <c r="L274" s="215">
        <f t="shared" si="24"/>
        <v>28060</v>
      </c>
    </row>
    <row r="275" spans="1:12" s="213" customFormat="1" x14ac:dyDescent="0.25">
      <c r="A275" s="216">
        <v>1981</v>
      </c>
      <c r="B275" s="215" t="str">
        <f t="shared" ref="B275:L275" si="25">IF(AND(B223="-",B171="-",B119="-",B67="-"),"-",SUM(B223,B171,B119,B67))</f>
        <v>-</v>
      </c>
      <c r="C275" s="215" t="str">
        <f t="shared" si="25"/>
        <v>-</v>
      </c>
      <c r="D275" s="215">
        <f t="shared" si="25"/>
        <v>2699</v>
      </c>
      <c r="E275" s="215">
        <f t="shared" si="25"/>
        <v>0</v>
      </c>
      <c r="F275" s="215">
        <f t="shared" si="25"/>
        <v>19945</v>
      </c>
      <c r="G275" s="215">
        <f t="shared" si="25"/>
        <v>16064</v>
      </c>
      <c r="H275" s="215">
        <f t="shared" si="25"/>
        <v>1426</v>
      </c>
      <c r="I275" s="215">
        <f t="shared" si="25"/>
        <v>1841</v>
      </c>
      <c r="J275" s="215">
        <f t="shared" si="25"/>
        <v>453</v>
      </c>
      <c r="K275" s="215" t="str">
        <f t="shared" si="25"/>
        <v>-</v>
      </c>
      <c r="L275" s="215">
        <f t="shared" si="25"/>
        <v>42428</v>
      </c>
    </row>
    <row r="276" spans="1:12" s="213" customFormat="1" x14ac:dyDescent="0.25">
      <c r="A276" s="216">
        <v>1982</v>
      </c>
      <c r="B276" s="215" t="str">
        <f t="shared" ref="B276:L276" si="26">IF(AND(B224="-",B172="-",B120="-",B68="-"),"-",SUM(B224,B172,B120,B68))</f>
        <v>-</v>
      </c>
      <c r="C276" s="215" t="str">
        <f t="shared" si="26"/>
        <v>-</v>
      </c>
      <c r="D276" s="215">
        <f t="shared" si="26"/>
        <v>1803</v>
      </c>
      <c r="E276" s="215">
        <f t="shared" si="26"/>
        <v>1903</v>
      </c>
      <c r="F276" s="215">
        <f t="shared" si="26"/>
        <v>17568</v>
      </c>
      <c r="G276" s="215">
        <f t="shared" si="26"/>
        <v>5588</v>
      </c>
      <c r="H276" s="215">
        <f t="shared" si="26"/>
        <v>2351</v>
      </c>
      <c r="I276" s="215">
        <f t="shared" si="26"/>
        <v>1886</v>
      </c>
      <c r="J276" s="215">
        <f t="shared" si="26"/>
        <v>585</v>
      </c>
      <c r="K276" s="215" t="str">
        <f t="shared" si="26"/>
        <v>-</v>
      </c>
      <c r="L276" s="215">
        <f t="shared" si="26"/>
        <v>31684</v>
      </c>
    </row>
    <row r="277" spans="1:12" s="213" customFormat="1" x14ac:dyDescent="0.25">
      <c r="A277" s="216">
        <v>1983</v>
      </c>
      <c r="B277" s="215" t="str">
        <f t="shared" ref="B277:L277" si="27">IF(AND(B225="-",B173="-",B121="-",B69="-"),"-",SUM(B225,B173,B121,B69))</f>
        <v>-</v>
      </c>
      <c r="C277" s="215" t="str">
        <f t="shared" si="27"/>
        <v>-</v>
      </c>
      <c r="D277" s="215">
        <f t="shared" si="27"/>
        <v>934</v>
      </c>
      <c r="E277" s="215">
        <f t="shared" si="27"/>
        <v>1640</v>
      </c>
      <c r="F277" s="215">
        <f t="shared" si="27"/>
        <v>12101</v>
      </c>
      <c r="G277" s="215">
        <f t="shared" si="27"/>
        <v>3569</v>
      </c>
      <c r="H277" s="215">
        <f t="shared" si="27"/>
        <v>983</v>
      </c>
      <c r="I277" s="215">
        <f t="shared" si="27"/>
        <v>1135</v>
      </c>
      <c r="J277" s="215">
        <f t="shared" si="27"/>
        <v>138</v>
      </c>
      <c r="K277" s="215" t="str">
        <f t="shared" si="27"/>
        <v>-</v>
      </c>
      <c r="L277" s="215">
        <f t="shared" si="27"/>
        <v>20500</v>
      </c>
    </row>
    <row r="278" spans="1:12" s="213" customFormat="1" x14ac:dyDescent="0.25">
      <c r="A278" s="216">
        <v>1984</v>
      </c>
      <c r="B278" s="215" t="str">
        <f t="shared" ref="B278:L278" si="28">IF(AND(B226="-",B174="-",B122="-",B70="-"),"-",SUM(B226,B174,B122,B70))</f>
        <v>-</v>
      </c>
      <c r="C278" s="215" t="str">
        <f t="shared" si="28"/>
        <v>-</v>
      </c>
      <c r="D278" s="215">
        <f t="shared" si="28"/>
        <v>300</v>
      </c>
      <c r="E278" s="215">
        <f t="shared" si="28"/>
        <v>416</v>
      </c>
      <c r="F278" s="215">
        <f t="shared" si="28"/>
        <v>2056</v>
      </c>
      <c r="G278" s="215">
        <f t="shared" si="28"/>
        <v>3845</v>
      </c>
      <c r="H278" s="215">
        <f t="shared" si="28"/>
        <v>218</v>
      </c>
      <c r="I278" s="215">
        <f t="shared" si="28"/>
        <v>273</v>
      </c>
      <c r="J278" s="215">
        <f t="shared" si="28"/>
        <v>216</v>
      </c>
      <c r="K278" s="215" t="str">
        <f t="shared" si="28"/>
        <v>-</v>
      </c>
      <c r="L278" s="215">
        <f t="shared" si="28"/>
        <v>7324</v>
      </c>
    </row>
    <row r="279" spans="1:12" s="213" customFormat="1" x14ac:dyDescent="0.25">
      <c r="A279" s="216">
        <v>1985</v>
      </c>
      <c r="B279" s="215" t="str">
        <f t="shared" ref="B279:L279" si="29">IF(AND(B227="-",B175="-",B123="-",B71="-"),"-",SUM(B227,B175,B123,B71))</f>
        <v>-</v>
      </c>
      <c r="C279" s="215" t="str">
        <f t="shared" si="29"/>
        <v>-</v>
      </c>
      <c r="D279" s="215">
        <f t="shared" si="29"/>
        <v>2654</v>
      </c>
      <c r="E279" s="215">
        <f t="shared" si="29"/>
        <v>2038</v>
      </c>
      <c r="F279" s="215">
        <f t="shared" si="29"/>
        <v>6127</v>
      </c>
      <c r="G279" s="215">
        <f t="shared" si="29"/>
        <v>6276</v>
      </c>
      <c r="H279" s="215">
        <f t="shared" si="29"/>
        <v>1863</v>
      </c>
      <c r="I279" s="215">
        <f t="shared" si="29"/>
        <v>767</v>
      </c>
      <c r="J279" s="215">
        <f t="shared" si="29"/>
        <v>340</v>
      </c>
      <c r="K279" s="215" t="str">
        <f t="shared" si="29"/>
        <v>-</v>
      </c>
      <c r="L279" s="215">
        <f t="shared" si="29"/>
        <v>20065</v>
      </c>
    </row>
    <row r="280" spans="1:12" s="213" customFormat="1" x14ac:dyDescent="0.25">
      <c r="A280" s="213">
        <v>1986</v>
      </c>
      <c r="B280" s="215" t="str">
        <f t="shared" ref="B280:L280" si="30">IF(AND(B228="-",B176="-",B124="-",B72="-"),"-",SUM(B228,B176,B124,B72))</f>
        <v>-</v>
      </c>
      <c r="C280" s="215" t="str">
        <f t="shared" si="30"/>
        <v>-</v>
      </c>
      <c r="D280" s="215">
        <f t="shared" si="30"/>
        <v>3584</v>
      </c>
      <c r="E280" s="215">
        <f t="shared" si="30"/>
        <v>4028</v>
      </c>
      <c r="F280" s="215">
        <f t="shared" si="30"/>
        <v>14298</v>
      </c>
      <c r="G280" s="215">
        <f t="shared" si="30"/>
        <v>5983</v>
      </c>
      <c r="H280" s="215">
        <f t="shared" si="30"/>
        <v>1965</v>
      </c>
      <c r="I280" s="215">
        <f t="shared" si="30"/>
        <v>1327</v>
      </c>
      <c r="J280" s="215">
        <f t="shared" si="30"/>
        <v>131</v>
      </c>
      <c r="K280" s="215" t="str">
        <f t="shared" si="30"/>
        <v>-</v>
      </c>
      <c r="L280" s="215">
        <f t="shared" si="30"/>
        <v>31316</v>
      </c>
    </row>
    <row r="281" spans="1:12" s="213" customFormat="1" x14ac:dyDescent="0.25">
      <c r="A281" s="213">
        <v>1987</v>
      </c>
      <c r="B281" s="215" t="str">
        <f t="shared" ref="B281:L281" si="31">IF(AND(B229="-",B177="-",B125="-",B73="-"),"-",SUM(B229,B177,B125,B73))</f>
        <v>-</v>
      </c>
      <c r="C281" s="215" t="str">
        <f t="shared" si="31"/>
        <v>-</v>
      </c>
      <c r="D281" s="215">
        <f t="shared" si="31"/>
        <v>3332</v>
      </c>
      <c r="E281" s="215">
        <f t="shared" si="31"/>
        <v>3852</v>
      </c>
      <c r="F281" s="215">
        <f t="shared" si="31"/>
        <v>16047</v>
      </c>
      <c r="G281" s="215">
        <f t="shared" si="31"/>
        <v>7259</v>
      </c>
      <c r="H281" s="215">
        <f t="shared" si="31"/>
        <v>5483</v>
      </c>
      <c r="I281" s="215">
        <f t="shared" si="31"/>
        <v>2688</v>
      </c>
      <c r="J281" s="215">
        <f t="shared" si="31"/>
        <v>311</v>
      </c>
      <c r="K281" s="215" t="str">
        <f t="shared" si="31"/>
        <v>-</v>
      </c>
      <c r="L281" s="215">
        <f t="shared" si="31"/>
        <v>38972</v>
      </c>
    </row>
    <row r="282" spans="1:12" s="213" customFormat="1" x14ac:dyDescent="0.25">
      <c r="A282" s="213">
        <v>1988</v>
      </c>
      <c r="B282" s="215" t="str">
        <f t="shared" ref="B282:L282" si="32">IF(AND(B230="-",B178="-",B126="-",B74="-"),"-",SUM(B230,B178,B126,B74))</f>
        <v>-</v>
      </c>
      <c r="C282" s="215" t="str">
        <f t="shared" si="32"/>
        <v>-</v>
      </c>
      <c r="D282" s="215">
        <f t="shared" si="32"/>
        <v>4481</v>
      </c>
      <c r="E282" s="215">
        <f t="shared" si="32"/>
        <v>6627</v>
      </c>
      <c r="F282" s="215">
        <f t="shared" si="32"/>
        <v>16911</v>
      </c>
      <c r="G282" s="215">
        <f t="shared" si="32"/>
        <v>14043</v>
      </c>
      <c r="H282" s="215">
        <f t="shared" si="32"/>
        <v>4309</v>
      </c>
      <c r="I282" s="215">
        <f t="shared" si="32"/>
        <v>3981</v>
      </c>
      <c r="J282" s="215">
        <f t="shared" si="32"/>
        <v>227</v>
      </c>
      <c r="K282" s="215" t="str">
        <f t="shared" si="32"/>
        <v>-</v>
      </c>
      <c r="L282" s="215">
        <f t="shared" si="32"/>
        <v>50579</v>
      </c>
    </row>
    <row r="283" spans="1:12" s="213" customFormat="1" x14ac:dyDescent="0.25">
      <c r="A283" s="213">
        <v>1989</v>
      </c>
      <c r="B283" s="215" t="str">
        <f t="shared" ref="B283:L283" si="33">IF(AND(B231="-",B179="-",B127="-",B75="-"),"-",SUM(B231,B179,B127,B75))</f>
        <v>-</v>
      </c>
      <c r="C283" s="215" t="str">
        <f t="shared" si="33"/>
        <v>-</v>
      </c>
      <c r="D283" s="215">
        <f t="shared" si="33"/>
        <v>6159</v>
      </c>
      <c r="E283" s="215">
        <f t="shared" si="33"/>
        <v>6835</v>
      </c>
      <c r="F283" s="215">
        <f t="shared" si="33"/>
        <v>13869</v>
      </c>
      <c r="G283" s="215">
        <f t="shared" si="33"/>
        <v>8182</v>
      </c>
      <c r="H283" s="215">
        <f t="shared" si="33"/>
        <v>3185</v>
      </c>
      <c r="I283" s="215">
        <f t="shared" si="33"/>
        <v>2450</v>
      </c>
      <c r="J283" s="215">
        <f t="shared" si="33"/>
        <v>497</v>
      </c>
      <c r="K283" s="215" t="str">
        <f t="shared" si="33"/>
        <v>-</v>
      </c>
      <c r="L283" s="215">
        <f t="shared" si="33"/>
        <v>41177</v>
      </c>
    </row>
    <row r="284" spans="1:12" s="213" customFormat="1" x14ac:dyDescent="0.25">
      <c r="A284" s="213">
        <v>1990</v>
      </c>
      <c r="B284" s="215" t="str">
        <f t="shared" ref="B284:L284" si="34">IF(AND(B232="-",B180="-",B128="-",B76="-"),"-",SUM(B232,B180,B128,B76))</f>
        <v>-</v>
      </c>
      <c r="C284" s="215" t="str">
        <f t="shared" si="34"/>
        <v>-</v>
      </c>
      <c r="D284" s="215">
        <f t="shared" si="34"/>
        <v>2767</v>
      </c>
      <c r="E284" s="215">
        <f t="shared" si="34"/>
        <v>3714</v>
      </c>
      <c r="F284" s="215">
        <f t="shared" si="34"/>
        <v>9594</v>
      </c>
      <c r="G284" s="215">
        <f t="shared" si="34"/>
        <v>6817</v>
      </c>
      <c r="H284" s="215">
        <f t="shared" si="34"/>
        <v>1501</v>
      </c>
      <c r="I284" s="215">
        <f t="shared" si="34"/>
        <v>1036</v>
      </c>
      <c r="J284" s="215" t="str">
        <f t="shared" si="34"/>
        <v>-</v>
      </c>
      <c r="K284" s="215" t="str">
        <f t="shared" si="34"/>
        <v>-</v>
      </c>
      <c r="L284" s="215">
        <f t="shared" si="34"/>
        <v>25429</v>
      </c>
    </row>
    <row r="285" spans="1:12" s="213" customFormat="1" x14ac:dyDescent="0.25">
      <c r="A285" s="213">
        <v>1991</v>
      </c>
      <c r="B285" s="215" t="str">
        <f t="shared" ref="B285:L285" si="35">IF(AND(B233="-",B181="-",B129="-",B77="-"),"-",SUM(B233,B181,B129,B77))</f>
        <v>-</v>
      </c>
      <c r="C285" s="215" t="str">
        <f t="shared" si="35"/>
        <v>-</v>
      </c>
      <c r="D285" s="215">
        <f t="shared" si="35"/>
        <v>695</v>
      </c>
      <c r="E285" s="215">
        <f t="shared" si="35"/>
        <v>3948</v>
      </c>
      <c r="F285" s="215">
        <f t="shared" si="35"/>
        <v>4102</v>
      </c>
      <c r="G285" s="215">
        <f t="shared" si="35"/>
        <v>1967</v>
      </c>
      <c r="H285" s="215">
        <f t="shared" si="35"/>
        <v>1881</v>
      </c>
      <c r="I285" s="215">
        <f t="shared" si="35"/>
        <v>1596</v>
      </c>
      <c r="J285" s="215" t="str">
        <f t="shared" si="35"/>
        <v>-</v>
      </c>
      <c r="K285" s="215" t="str">
        <f t="shared" si="35"/>
        <v>-</v>
      </c>
      <c r="L285" s="215">
        <f t="shared" si="35"/>
        <v>14189</v>
      </c>
    </row>
    <row r="286" spans="1:12" s="213" customFormat="1" x14ac:dyDescent="0.25">
      <c r="A286" s="213">
        <v>1992</v>
      </c>
      <c r="B286" s="215" t="str">
        <f t="shared" ref="B286:L286" si="36">IF(AND(B234="-",B182="-",B130="-",B78="-"),"-",SUM(B234,B182,B130,B78))</f>
        <v>-</v>
      </c>
      <c r="C286" s="215" t="str">
        <f t="shared" si="36"/>
        <v>-</v>
      </c>
      <c r="D286" s="215">
        <f t="shared" si="36"/>
        <v>1554</v>
      </c>
      <c r="E286" s="215" t="str">
        <f t="shared" si="36"/>
        <v>-</v>
      </c>
      <c r="F286" s="215">
        <f t="shared" si="36"/>
        <v>1496</v>
      </c>
      <c r="G286" s="215">
        <f t="shared" si="36"/>
        <v>2686</v>
      </c>
      <c r="H286" s="215">
        <f t="shared" si="36"/>
        <v>1474</v>
      </c>
      <c r="I286" s="215">
        <f t="shared" si="36"/>
        <v>1684</v>
      </c>
      <c r="J286" s="215" t="str">
        <f t="shared" si="36"/>
        <v>-</v>
      </c>
      <c r="K286" s="215" t="str">
        <f t="shared" si="36"/>
        <v>-</v>
      </c>
      <c r="L286" s="215">
        <f t="shared" si="36"/>
        <v>8894</v>
      </c>
    </row>
    <row r="287" spans="1:12" s="213" customFormat="1" x14ac:dyDescent="0.25">
      <c r="A287" s="213">
        <v>1993</v>
      </c>
      <c r="B287" s="215" t="str">
        <f t="shared" ref="B287:L287" si="37">IF(AND(B235="-",B183="-",B131="-",B79="-"),"-",SUM(B235,B183,B131,B79))</f>
        <v>-</v>
      </c>
      <c r="C287" s="215" t="str">
        <f t="shared" si="37"/>
        <v>-</v>
      </c>
      <c r="D287" s="215">
        <f t="shared" si="37"/>
        <v>2051</v>
      </c>
      <c r="E287" s="215">
        <f t="shared" si="37"/>
        <v>1311</v>
      </c>
      <c r="F287" s="215">
        <f t="shared" si="37"/>
        <v>1734</v>
      </c>
      <c r="G287" s="215">
        <f t="shared" si="37"/>
        <v>953</v>
      </c>
      <c r="H287" s="215">
        <f t="shared" si="37"/>
        <v>1822</v>
      </c>
      <c r="I287" s="215">
        <f t="shared" si="37"/>
        <v>1245</v>
      </c>
      <c r="J287" s="215">
        <f t="shared" si="37"/>
        <v>146</v>
      </c>
      <c r="K287" s="215" t="str">
        <f t="shared" si="37"/>
        <v>-</v>
      </c>
      <c r="L287" s="215">
        <f t="shared" si="37"/>
        <v>9262</v>
      </c>
    </row>
    <row r="288" spans="1:12" s="213" customFormat="1" x14ac:dyDescent="0.25">
      <c r="A288" s="213">
        <v>1994</v>
      </c>
      <c r="B288" s="215" t="str">
        <f t="shared" ref="B288:L288" si="38">IF(AND(B236="-",B184="-",B132="-",B80="-"),"-",SUM(B236,B184,B132,B80))</f>
        <v>-</v>
      </c>
      <c r="C288" s="215" t="str">
        <f t="shared" si="38"/>
        <v>-</v>
      </c>
      <c r="D288" s="215">
        <f t="shared" si="38"/>
        <v>976</v>
      </c>
      <c r="E288" s="215">
        <f t="shared" si="38"/>
        <v>1228</v>
      </c>
      <c r="F288" s="215" t="str">
        <f t="shared" si="38"/>
        <v>-</v>
      </c>
      <c r="G288" s="215">
        <f t="shared" si="38"/>
        <v>56</v>
      </c>
      <c r="H288" s="215">
        <f t="shared" si="38"/>
        <v>268</v>
      </c>
      <c r="I288" s="215">
        <f t="shared" si="38"/>
        <v>1168</v>
      </c>
      <c r="J288" s="215">
        <f t="shared" si="38"/>
        <v>65</v>
      </c>
      <c r="K288" s="215" t="str">
        <f t="shared" si="38"/>
        <v>-</v>
      </c>
      <c r="L288" s="215">
        <f t="shared" si="38"/>
        <v>3761</v>
      </c>
    </row>
    <row r="289" spans="1:12" s="213" customFormat="1" x14ac:dyDescent="0.25">
      <c r="A289" s="213">
        <v>1995</v>
      </c>
      <c r="B289" s="215" t="str">
        <f t="shared" ref="B289:L289" si="39">IF(AND(B237="-",B185="-",B133="-",B81="-"),"-",SUM(B237,B185,B133,B81))</f>
        <v>-</v>
      </c>
      <c r="C289" s="215" t="str">
        <f t="shared" si="39"/>
        <v>-</v>
      </c>
      <c r="D289" s="215">
        <f t="shared" si="39"/>
        <v>985</v>
      </c>
      <c r="E289" s="215">
        <f t="shared" si="39"/>
        <v>1621</v>
      </c>
      <c r="F289" s="215">
        <f t="shared" si="39"/>
        <v>48</v>
      </c>
      <c r="G289" s="215">
        <f t="shared" si="39"/>
        <v>2608</v>
      </c>
      <c r="H289" s="215">
        <f t="shared" si="39"/>
        <v>1251</v>
      </c>
      <c r="I289" s="215">
        <f t="shared" si="39"/>
        <v>1285</v>
      </c>
      <c r="J289" s="215">
        <f t="shared" si="39"/>
        <v>54</v>
      </c>
      <c r="K289" s="215" t="str">
        <f t="shared" si="39"/>
        <v>-</v>
      </c>
      <c r="L289" s="215">
        <f t="shared" si="39"/>
        <v>7852</v>
      </c>
    </row>
    <row r="290" spans="1:12" s="213" customFormat="1" x14ac:dyDescent="0.25">
      <c r="A290" s="213">
        <v>1996</v>
      </c>
      <c r="B290" s="215" t="str">
        <f t="shared" ref="B290:L290" si="40">IF(AND(B238="-",B186="-",B134="-",B82="-"),"-",SUM(B238,B186,B134,B82))</f>
        <v>-</v>
      </c>
      <c r="C290" s="215" t="str">
        <f t="shared" si="40"/>
        <v>-</v>
      </c>
      <c r="D290" s="215">
        <f t="shared" si="40"/>
        <v>1477</v>
      </c>
      <c r="E290" s="215">
        <f t="shared" si="40"/>
        <v>2003</v>
      </c>
      <c r="F290" s="215" t="str">
        <f t="shared" si="40"/>
        <v>-</v>
      </c>
      <c r="G290" s="215">
        <f t="shared" si="40"/>
        <v>2004</v>
      </c>
      <c r="H290" s="215">
        <f t="shared" si="40"/>
        <v>1619</v>
      </c>
      <c r="I290" s="215">
        <f t="shared" si="40"/>
        <v>1202</v>
      </c>
      <c r="J290" s="215">
        <f t="shared" si="40"/>
        <v>86</v>
      </c>
      <c r="K290" s="215" t="str">
        <f t="shared" si="40"/>
        <v>-</v>
      </c>
      <c r="L290" s="215">
        <f t="shared" si="40"/>
        <v>8391</v>
      </c>
    </row>
    <row r="291" spans="1:12" s="213" customFormat="1" x14ac:dyDescent="0.25">
      <c r="A291" s="213">
        <v>1997</v>
      </c>
      <c r="B291" s="215" t="str">
        <f t="shared" ref="B291:L291" si="41">IF(AND(B239="-",B187="-",B135="-",B83="-"),"-",SUM(B239,B187,B135,B83))</f>
        <v>-</v>
      </c>
      <c r="C291" s="215">
        <f t="shared" si="41"/>
        <v>367</v>
      </c>
      <c r="D291" s="215">
        <f t="shared" si="41"/>
        <v>2089</v>
      </c>
      <c r="E291" s="215">
        <f t="shared" si="41"/>
        <v>1875</v>
      </c>
      <c r="F291" s="215" t="str">
        <f t="shared" si="41"/>
        <v>-</v>
      </c>
      <c r="G291" s="215">
        <f t="shared" si="41"/>
        <v>1661</v>
      </c>
      <c r="H291" s="215">
        <f t="shared" si="41"/>
        <v>1033</v>
      </c>
      <c r="I291" s="215">
        <f t="shared" si="41"/>
        <v>710</v>
      </c>
      <c r="J291" s="215">
        <f t="shared" si="41"/>
        <v>67</v>
      </c>
      <c r="K291" s="215" t="str">
        <f t="shared" si="41"/>
        <v>-</v>
      </c>
      <c r="L291" s="215">
        <f t="shared" si="41"/>
        <v>7802</v>
      </c>
    </row>
    <row r="292" spans="1:12" s="213" customFormat="1" x14ac:dyDescent="0.25">
      <c r="A292" s="213">
        <v>1998</v>
      </c>
      <c r="B292" s="215" t="str">
        <f t="shared" ref="B292:L292" si="42">IF(AND(B240="-",B188="-",B136="-",B84="-"),"-",SUM(B240,B188,B136,B84))</f>
        <v>-</v>
      </c>
      <c r="C292" s="215">
        <f t="shared" si="42"/>
        <v>851</v>
      </c>
      <c r="D292" s="215">
        <f t="shared" si="42"/>
        <v>1804</v>
      </c>
      <c r="E292" s="215">
        <f t="shared" si="42"/>
        <v>1706</v>
      </c>
      <c r="F292" s="215" t="str">
        <f t="shared" si="42"/>
        <v>-</v>
      </c>
      <c r="G292" s="215">
        <f t="shared" si="42"/>
        <v>1370</v>
      </c>
      <c r="H292" s="215">
        <f t="shared" si="42"/>
        <v>557</v>
      </c>
      <c r="I292" s="215">
        <f t="shared" si="42"/>
        <v>767</v>
      </c>
      <c r="J292" s="215">
        <f t="shared" si="42"/>
        <v>116</v>
      </c>
      <c r="K292" s="215" t="str">
        <f t="shared" si="42"/>
        <v>-</v>
      </c>
      <c r="L292" s="215">
        <f t="shared" si="42"/>
        <v>7171</v>
      </c>
    </row>
    <row r="293" spans="1:12" s="213" customFormat="1" x14ac:dyDescent="0.25">
      <c r="A293" s="213">
        <v>1999</v>
      </c>
      <c r="B293" s="215" t="str">
        <f t="shared" ref="B293:L293" si="43">IF(AND(B241="-",B189="-",B137="-",B85="-"),"-",SUM(B241,B189,B137,B85))</f>
        <v>-</v>
      </c>
      <c r="C293" s="215">
        <f t="shared" si="43"/>
        <v>177</v>
      </c>
      <c r="D293" s="215">
        <f t="shared" si="43"/>
        <v>607</v>
      </c>
      <c r="E293" s="215">
        <f t="shared" si="43"/>
        <v>1361</v>
      </c>
      <c r="F293" s="215">
        <f t="shared" si="43"/>
        <v>733</v>
      </c>
      <c r="G293" s="215">
        <f t="shared" si="43"/>
        <v>1120</v>
      </c>
      <c r="H293" s="215">
        <f t="shared" si="43"/>
        <v>455</v>
      </c>
      <c r="I293" s="215">
        <f t="shared" si="43"/>
        <v>491</v>
      </c>
      <c r="J293" s="215">
        <f t="shared" si="43"/>
        <v>130</v>
      </c>
      <c r="K293" s="215">
        <f t="shared" si="43"/>
        <v>8</v>
      </c>
      <c r="L293" s="215">
        <f t="shared" si="43"/>
        <v>5082</v>
      </c>
    </row>
    <row r="294" spans="1:12" s="213" customFormat="1" x14ac:dyDescent="0.25">
      <c r="A294" s="213">
        <v>2000</v>
      </c>
      <c r="B294" s="215" t="str">
        <f t="shared" ref="B294:L294" si="44">IF(AND(B242="-",B190="-",B138="-",B86="-"),"-",SUM(B242,B190,B138,B86))</f>
        <v>-</v>
      </c>
      <c r="C294" s="215">
        <f t="shared" si="44"/>
        <v>155</v>
      </c>
      <c r="D294" s="215">
        <f t="shared" si="44"/>
        <v>710</v>
      </c>
      <c r="E294" s="215">
        <f t="shared" si="44"/>
        <v>952</v>
      </c>
      <c r="F294" s="215">
        <f t="shared" si="44"/>
        <v>1186</v>
      </c>
      <c r="G294" s="215">
        <f t="shared" si="44"/>
        <v>1903</v>
      </c>
      <c r="H294" s="215">
        <f t="shared" si="44"/>
        <v>1294</v>
      </c>
      <c r="I294" s="215">
        <f t="shared" si="44"/>
        <v>760</v>
      </c>
      <c r="J294" s="215">
        <f t="shared" si="44"/>
        <v>180</v>
      </c>
      <c r="K294" s="215">
        <f t="shared" si="44"/>
        <v>69</v>
      </c>
      <c r="L294" s="215">
        <f t="shared" si="44"/>
        <v>7209</v>
      </c>
    </row>
    <row r="295" spans="1:12" s="213" customFormat="1" x14ac:dyDescent="0.25">
      <c r="A295" s="213">
        <v>2001</v>
      </c>
      <c r="B295" s="215" t="str">
        <f t="shared" ref="B295:L295" si="45">IF(AND(B243="-",B191="-",B139="-",B87="-"),"-",SUM(B243,B191,B139,B87))</f>
        <v>-</v>
      </c>
      <c r="C295" s="215">
        <f t="shared" si="45"/>
        <v>937</v>
      </c>
      <c r="D295" s="215">
        <f t="shared" si="45"/>
        <v>2029</v>
      </c>
      <c r="E295" s="215">
        <f t="shared" si="45"/>
        <v>2021</v>
      </c>
      <c r="F295" s="215">
        <f t="shared" si="45"/>
        <v>1358</v>
      </c>
      <c r="G295" s="215">
        <f t="shared" si="45"/>
        <v>2201</v>
      </c>
      <c r="H295" s="215">
        <f t="shared" si="45"/>
        <v>1310</v>
      </c>
      <c r="I295" s="215">
        <f t="shared" si="45"/>
        <v>914</v>
      </c>
      <c r="J295" s="215">
        <f t="shared" si="45"/>
        <v>135</v>
      </c>
      <c r="K295" s="215">
        <f t="shared" si="45"/>
        <v>1</v>
      </c>
      <c r="L295" s="215">
        <f t="shared" si="45"/>
        <v>10906</v>
      </c>
    </row>
    <row r="296" spans="1:12" s="213" customFormat="1" x14ac:dyDescent="0.25">
      <c r="A296" s="213">
        <v>2002</v>
      </c>
      <c r="B296" s="215">
        <f t="shared" ref="B296:L296" si="46">IF(AND(B244="-",B192="-",B140="-",B88="-"),"-",SUM(B244,B192,B140,B88))</f>
        <v>370</v>
      </c>
      <c r="C296" s="215">
        <f t="shared" si="46"/>
        <v>855</v>
      </c>
      <c r="D296" s="215">
        <f t="shared" si="46"/>
        <v>1734</v>
      </c>
      <c r="E296" s="215">
        <f t="shared" si="46"/>
        <v>2038</v>
      </c>
      <c r="F296" s="215">
        <f t="shared" si="46"/>
        <v>764</v>
      </c>
      <c r="G296" s="215">
        <f t="shared" si="46"/>
        <v>1360</v>
      </c>
      <c r="H296" s="215">
        <f t="shared" si="46"/>
        <v>1677</v>
      </c>
      <c r="I296" s="215">
        <f t="shared" si="46"/>
        <v>2300</v>
      </c>
      <c r="J296" s="215">
        <f t="shared" si="46"/>
        <v>158</v>
      </c>
      <c r="K296" s="215">
        <f t="shared" si="46"/>
        <v>15</v>
      </c>
      <c r="L296" s="215">
        <f t="shared" si="46"/>
        <v>11271</v>
      </c>
    </row>
    <row r="297" spans="1:12" s="213" customFormat="1" x14ac:dyDescent="0.25">
      <c r="A297" s="218">
        <v>2003</v>
      </c>
      <c r="B297" s="215">
        <f t="shared" ref="B297:L297" si="47">IF(AND(B245="-",B193="-",B141="-",B89="-"),"-",SUM(B245,B193,B141,B89))</f>
        <v>175</v>
      </c>
      <c r="C297" s="215">
        <f t="shared" si="47"/>
        <v>1397</v>
      </c>
      <c r="D297" s="215">
        <f t="shared" si="47"/>
        <v>2904</v>
      </c>
      <c r="E297" s="215">
        <f t="shared" si="47"/>
        <v>1611</v>
      </c>
      <c r="F297" s="215">
        <f t="shared" si="47"/>
        <v>1011</v>
      </c>
      <c r="G297" s="215">
        <f t="shared" si="47"/>
        <v>1453</v>
      </c>
      <c r="H297" s="215">
        <f t="shared" si="47"/>
        <v>1745</v>
      </c>
      <c r="I297" s="215">
        <f t="shared" si="47"/>
        <v>1554</v>
      </c>
      <c r="J297" s="215">
        <f t="shared" si="47"/>
        <v>141</v>
      </c>
      <c r="K297" s="215">
        <f t="shared" si="47"/>
        <v>14</v>
      </c>
      <c r="L297" s="215">
        <f t="shared" si="47"/>
        <v>12005</v>
      </c>
    </row>
    <row r="298" spans="1:12" s="213" customFormat="1" x14ac:dyDescent="0.25">
      <c r="A298" s="218">
        <v>2004</v>
      </c>
      <c r="B298" s="215">
        <f t="shared" ref="B298:L298" si="48">IF(AND(B246="-",B194="-",B142="-",B90="-"),"-",SUM(B246,B194,B142,B90))</f>
        <v>908</v>
      </c>
      <c r="C298" s="215">
        <f t="shared" si="48"/>
        <v>2515</v>
      </c>
      <c r="D298" s="215">
        <f t="shared" si="48"/>
        <v>2210</v>
      </c>
      <c r="E298" s="215">
        <f t="shared" si="48"/>
        <v>1958</v>
      </c>
      <c r="F298" s="215">
        <f t="shared" si="48"/>
        <v>927</v>
      </c>
      <c r="G298" s="215">
        <f t="shared" si="48"/>
        <v>1886</v>
      </c>
      <c r="H298" s="215">
        <f t="shared" si="48"/>
        <v>1420</v>
      </c>
      <c r="I298" s="215">
        <f t="shared" si="48"/>
        <v>765</v>
      </c>
      <c r="J298" s="215">
        <f t="shared" si="48"/>
        <v>247</v>
      </c>
      <c r="K298" s="215">
        <f t="shared" si="48"/>
        <v>21</v>
      </c>
      <c r="L298" s="215">
        <f t="shared" si="48"/>
        <v>12857</v>
      </c>
    </row>
    <row r="299" spans="1:12" s="213" customFormat="1" x14ac:dyDescent="0.25">
      <c r="A299" s="218">
        <v>2005</v>
      </c>
      <c r="B299" s="215">
        <f t="shared" ref="B299:L299" si="49">IF(AND(B247="-",B195="-",B143="-",B91="-"),"-",SUM(B247,B195,B143,B91))</f>
        <v>1304</v>
      </c>
      <c r="C299" s="215">
        <f t="shared" si="49"/>
        <v>370</v>
      </c>
      <c r="D299" s="215">
        <f t="shared" si="49"/>
        <v>2832</v>
      </c>
      <c r="E299" s="215">
        <f t="shared" si="49"/>
        <v>2663</v>
      </c>
      <c r="F299" s="215" t="str">
        <f t="shared" si="49"/>
        <v>-</v>
      </c>
      <c r="G299" s="215" t="str">
        <f t="shared" si="49"/>
        <v>-</v>
      </c>
      <c r="H299" s="215">
        <f t="shared" si="49"/>
        <v>2633</v>
      </c>
      <c r="I299" s="215">
        <f t="shared" si="49"/>
        <v>1070</v>
      </c>
      <c r="J299" s="215">
        <f t="shared" si="49"/>
        <v>160</v>
      </c>
      <c r="K299" s="215">
        <f t="shared" si="49"/>
        <v>75</v>
      </c>
      <c r="L299" s="215">
        <f t="shared" si="49"/>
        <v>11107</v>
      </c>
    </row>
    <row r="300" spans="1:12" s="213" customFormat="1" x14ac:dyDescent="0.25">
      <c r="A300" s="218">
        <v>2006</v>
      </c>
      <c r="B300" s="215" t="str">
        <f t="shared" ref="B300:L300" si="50">IF(AND(B248="-",B196="-",B144="-",B92="-"),"-",SUM(B248,B196,B144,B92))</f>
        <v>-</v>
      </c>
      <c r="C300" s="215" t="str">
        <f t="shared" si="50"/>
        <v>-</v>
      </c>
      <c r="D300" s="215" t="str">
        <f t="shared" si="50"/>
        <v>-</v>
      </c>
      <c r="E300" s="215">
        <f t="shared" si="50"/>
        <v>1017</v>
      </c>
      <c r="F300" s="215">
        <f t="shared" si="50"/>
        <v>483</v>
      </c>
      <c r="G300" s="215">
        <f t="shared" si="50"/>
        <v>185</v>
      </c>
      <c r="H300" s="215">
        <f t="shared" si="50"/>
        <v>627</v>
      </c>
      <c r="I300" s="215">
        <f t="shared" si="50"/>
        <v>874</v>
      </c>
      <c r="J300" s="215">
        <f t="shared" si="50"/>
        <v>306</v>
      </c>
      <c r="K300" s="215">
        <f t="shared" si="50"/>
        <v>26</v>
      </c>
      <c r="L300" s="215">
        <f t="shared" si="50"/>
        <v>3518</v>
      </c>
    </row>
    <row r="301" spans="1:12" s="218" customFormat="1" x14ac:dyDescent="0.25">
      <c r="A301" s="218">
        <v>2007</v>
      </c>
      <c r="B301" s="220" t="str">
        <f t="shared" ref="B301:L301" si="51">IF(AND(B249="-",B197="-",B145="-",B93="-"),"-",SUM(B249,B197,B145,B93))</f>
        <v>-</v>
      </c>
      <c r="C301" s="220">
        <f t="shared" si="51"/>
        <v>348</v>
      </c>
      <c r="D301" s="220">
        <f t="shared" si="51"/>
        <v>1189</v>
      </c>
      <c r="E301" s="220">
        <f t="shared" si="51"/>
        <v>912</v>
      </c>
      <c r="F301" s="220">
        <f t="shared" si="51"/>
        <v>364</v>
      </c>
      <c r="G301" s="220">
        <f t="shared" si="51"/>
        <v>1246</v>
      </c>
      <c r="H301" s="220">
        <f t="shared" si="51"/>
        <v>363</v>
      </c>
      <c r="I301" s="220">
        <f t="shared" si="51"/>
        <v>291</v>
      </c>
      <c r="J301" s="220">
        <f t="shared" si="51"/>
        <v>174</v>
      </c>
      <c r="K301" s="220" t="str">
        <f t="shared" si="51"/>
        <v>-</v>
      </c>
      <c r="L301" s="220">
        <f t="shared" si="51"/>
        <v>4887</v>
      </c>
    </row>
    <row r="302" spans="1:12" s="218" customFormat="1" x14ac:dyDescent="0.25">
      <c r="A302" s="218">
        <v>2008</v>
      </c>
      <c r="B302" s="220" t="str">
        <f t="shared" ref="B302:L302" si="52">IF(AND(B250="-",B198="-",B146="-",B94="-"),"-",SUM(B250,B198,B146,B94))</f>
        <v>-</v>
      </c>
      <c r="C302" s="220" t="str">
        <f t="shared" si="52"/>
        <v>-</v>
      </c>
      <c r="D302" s="220" t="str">
        <f t="shared" si="52"/>
        <v>-</v>
      </c>
      <c r="E302" s="220" t="str">
        <f t="shared" si="52"/>
        <v>-</v>
      </c>
      <c r="F302" s="220" t="str">
        <f t="shared" si="52"/>
        <v>-</v>
      </c>
      <c r="G302" s="220" t="str">
        <f t="shared" si="52"/>
        <v>-</v>
      </c>
      <c r="H302" s="220">
        <f t="shared" si="52"/>
        <v>37</v>
      </c>
      <c r="I302" s="220">
        <f t="shared" si="52"/>
        <v>63</v>
      </c>
      <c r="J302" s="220">
        <f t="shared" si="52"/>
        <v>48</v>
      </c>
      <c r="K302" s="220" t="str">
        <f t="shared" si="52"/>
        <v>-</v>
      </c>
      <c r="L302" s="220">
        <f t="shared" si="52"/>
        <v>148</v>
      </c>
    </row>
    <row r="303" spans="1:12" s="218" customFormat="1" x14ac:dyDescent="0.25">
      <c r="A303" s="218">
        <v>2009</v>
      </c>
      <c r="B303" s="220" t="str">
        <f t="shared" ref="B303:I308" si="53">IF(AND(B251="-",B199="-",B147="-",B95="-"),"-",SUM(B251,B199,B147,B95))</f>
        <v>-</v>
      </c>
      <c r="C303" s="220" t="str">
        <f t="shared" si="53"/>
        <v>-</v>
      </c>
      <c r="D303" s="220" t="str">
        <f t="shared" si="53"/>
        <v>-</v>
      </c>
      <c r="E303" s="220" t="str">
        <f t="shared" si="53"/>
        <v>-</v>
      </c>
      <c r="F303" s="220" t="str">
        <f t="shared" si="53"/>
        <v>-</v>
      </c>
      <c r="G303" s="220" t="str">
        <f t="shared" si="53"/>
        <v>-</v>
      </c>
      <c r="H303" s="220">
        <f t="shared" si="53"/>
        <v>634</v>
      </c>
      <c r="I303" s="220">
        <f t="shared" si="53"/>
        <v>60</v>
      </c>
      <c r="J303" s="220" t="s">
        <v>29</v>
      </c>
      <c r="K303" s="220" t="str">
        <f t="shared" ref="K303:L312" si="54">IF(AND(K251="-",K199="-",K147="-",K95="-"),"-",SUM(K251,K199,K147,K95))</f>
        <v>-</v>
      </c>
      <c r="L303" s="220">
        <f t="shared" si="54"/>
        <v>694</v>
      </c>
    </row>
    <row r="304" spans="1:12" s="218" customFormat="1" x14ac:dyDescent="0.25">
      <c r="A304" s="218">
        <v>2010</v>
      </c>
      <c r="B304" s="220" t="str">
        <f t="shared" si="53"/>
        <v>-</v>
      </c>
      <c r="C304" s="220" t="str">
        <f t="shared" si="53"/>
        <v>-</v>
      </c>
      <c r="D304" s="220">
        <f t="shared" si="53"/>
        <v>1058</v>
      </c>
      <c r="E304" s="220">
        <f t="shared" si="53"/>
        <v>987</v>
      </c>
      <c r="F304" s="220">
        <f t="shared" si="53"/>
        <v>594</v>
      </c>
      <c r="G304" s="220">
        <f t="shared" si="53"/>
        <v>759</v>
      </c>
      <c r="H304" s="220">
        <f t="shared" si="53"/>
        <v>37</v>
      </c>
      <c r="I304" s="220">
        <f t="shared" si="53"/>
        <v>229</v>
      </c>
      <c r="J304" s="220" t="s">
        <v>29</v>
      </c>
      <c r="K304" s="220" t="str">
        <f t="shared" si="54"/>
        <v>-</v>
      </c>
      <c r="L304" s="220">
        <f t="shared" si="54"/>
        <v>3664</v>
      </c>
    </row>
    <row r="305" spans="1:12" s="218" customFormat="1" x14ac:dyDescent="0.25">
      <c r="A305" s="218">
        <v>2011</v>
      </c>
      <c r="B305" s="220" t="str">
        <f t="shared" si="53"/>
        <v>-</v>
      </c>
      <c r="C305" s="220">
        <f t="shared" si="53"/>
        <v>316</v>
      </c>
      <c r="D305" s="220">
        <f t="shared" si="53"/>
        <v>948</v>
      </c>
      <c r="E305" s="220">
        <f t="shared" si="53"/>
        <v>1140</v>
      </c>
      <c r="F305" s="220">
        <f t="shared" si="53"/>
        <v>108</v>
      </c>
      <c r="G305" s="220">
        <f t="shared" si="53"/>
        <v>293</v>
      </c>
      <c r="H305" s="220">
        <f t="shared" si="53"/>
        <v>122</v>
      </c>
      <c r="I305" s="220">
        <f t="shared" si="53"/>
        <v>301</v>
      </c>
      <c r="J305" s="220">
        <f t="shared" ref="J305:J312" si="55">IF(AND(J253="-",J201="-",J149="-",J97="-"),"-",SUM(J253,J201,J149,J97))</f>
        <v>235</v>
      </c>
      <c r="K305" s="220" t="str">
        <f t="shared" si="54"/>
        <v>-</v>
      </c>
      <c r="L305" s="220">
        <f t="shared" si="54"/>
        <v>3463</v>
      </c>
    </row>
    <row r="306" spans="1:12" s="218" customFormat="1" x14ac:dyDescent="0.25">
      <c r="A306" s="218">
        <v>2012</v>
      </c>
      <c r="B306" s="220" t="str">
        <f t="shared" si="53"/>
        <v>-</v>
      </c>
      <c r="C306" s="220">
        <f t="shared" si="53"/>
        <v>522</v>
      </c>
      <c r="D306" s="220">
        <f t="shared" si="53"/>
        <v>1457</v>
      </c>
      <c r="E306" s="220">
        <f t="shared" si="53"/>
        <v>1054</v>
      </c>
      <c r="F306" s="220">
        <f t="shared" si="53"/>
        <v>336</v>
      </c>
      <c r="G306" s="220">
        <f t="shared" si="53"/>
        <v>699</v>
      </c>
      <c r="H306" s="220">
        <f t="shared" si="53"/>
        <v>930</v>
      </c>
      <c r="I306" s="220">
        <f t="shared" si="53"/>
        <v>721</v>
      </c>
      <c r="J306" s="220">
        <f t="shared" si="55"/>
        <v>121</v>
      </c>
      <c r="K306" s="220" t="str">
        <f t="shared" si="54"/>
        <v>-</v>
      </c>
      <c r="L306" s="220">
        <f t="shared" si="54"/>
        <v>5840</v>
      </c>
    </row>
    <row r="307" spans="1:12" s="218" customFormat="1" x14ac:dyDescent="0.25">
      <c r="A307" s="218">
        <v>2013</v>
      </c>
      <c r="B307" s="220" t="str">
        <f t="shared" si="53"/>
        <v>-</v>
      </c>
      <c r="C307" s="220">
        <f t="shared" si="53"/>
        <v>1042</v>
      </c>
      <c r="D307" s="220">
        <f t="shared" si="53"/>
        <v>1137</v>
      </c>
      <c r="E307" s="220">
        <f t="shared" si="53"/>
        <v>878</v>
      </c>
      <c r="F307" s="220">
        <f t="shared" si="53"/>
        <v>802</v>
      </c>
      <c r="G307" s="220">
        <f t="shared" si="53"/>
        <v>2355</v>
      </c>
      <c r="H307" s="220">
        <f t="shared" si="53"/>
        <v>1385</v>
      </c>
      <c r="I307" s="220">
        <f t="shared" si="53"/>
        <v>945</v>
      </c>
      <c r="J307" s="220">
        <f t="shared" si="55"/>
        <v>155</v>
      </c>
      <c r="K307" s="220" t="str">
        <f t="shared" si="54"/>
        <v>-</v>
      </c>
      <c r="L307" s="220">
        <f t="shared" si="54"/>
        <v>8699</v>
      </c>
    </row>
    <row r="308" spans="1:12" s="218" customFormat="1" x14ac:dyDescent="0.25">
      <c r="A308" s="218">
        <v>2014</v>
      </c>
      <c r="B308" s="220" t="str">
        <f t="shared" si="53"/>
        <v>-</v>
      </c>
      <c r="C308" s="220">
        <f t="shared" si="53"/>
        <v>962</v>
      </c>
      <c r="D308" s="220">
        <f t="shared" si="53"/>
        <v>2572</v>
      </c>
      <c r="E308" s="220">
        <f t="shared" si="53"/>
        <v>1800</v>
      </c>
      <c r="F308" s="220">
        <f t="shared" si="53"/>
        <v>1100</v>
      </c>
      <c r="G308" s="220">
        <f t="shared" si="53"/>
        <v>2225</v>
      </c>
      <c r="H308" s="220">
        <f t="shared" si="53"/>
        <v>763</v>
      </c>
      <c r="I308" s="220">
        <f t="shared" si="53"/>
        <v>367</v>
      </c>
      <c r="J308" s="220">
        <f t="shared" si="55"/>
        <v>98</v>
      </c>
      <c r="K308" s="220" t="str">
        <f t="shared" si="54"/>
        <v>-</v>
      </c>
      <c r="L308" s="220">
        <f t="shared" si="54"/>
        <v>9887</v>
      </c>
    </row>
    <row r="309" spans="1:12" s="218" customFormat="1" x14ac:dyDescent="0.25">
      <c r="A309" s="218">
        <v>2015</v>
      </c>
      <c r="B309" s="220" t="s">
        <v>29</v>
      </c>
      <c r="C309" s="220">
        <f t="shared" ref="C309:I312" si="56">IF(AND(C257="-",C205="-",C153="-",C101="-"),"-",SUM(C257,C205,C153,C101))</f>
        <v>1767</v>
      </c>
      <c r="D309" s="220">
        <f t="shared" si="56"/>
        <v>1712</v>
      </c>
      <c r="E309" s="220">
        <f t="shared" si="56"/>
        <v>1349</v>
      </c>
      <c r="F309" s="220">
        <f t="shared" si="56"/>
        <v>1365</v>
      </c>
      <c r="G309" s="220">
        <f t="shared" si="56"/>
        <v>812</v>
      </c>
      <c r="H309" s="220">
        <f t="shared" si="56"/>
        <v>367</v>
      </c>
      <c r="I309" s="220">
        <f t="shared" si="56"/>
        <v>381</v>
      </c>
      <c r="J309" s="220">
        <f t="shared" si="55"/>
        <v>158</v>
      </c>
      <c r="K309" s="220" t="str">
        <f t="shared" si="54"/>
        <v>-</v>
      </c>
      <c r="L309" s="220">
        <f t="shared" si="54"/>
        <v>7911</v>
      </c>
    </row>
    <row r="310" spans="1:12" s="218" customFormat="1" x14ac:dyDescent="0.25">
      <c r="A310" s="218">
        <v>2016</v>
      </c>
      <c r="B310" s="220" t="s">
        <v>29</v>
      </c>
      <c r="C310" s="220">
        <f t="shared" si="56"/>
        <v>895</v>
      </c>
      <c r="D310" s="220">
        <f t="shared" si="56"/>
        <v>846</v>
      </c>
      <c r="E310" s="220">
        <f t="shared" si="56"/>
        <v>682</v>
      </c>
      <c r="F310" s="220">
        <f t="shared" si="56"/>
        <v>550</v>
      </c>
      <c r="G310" s="220">
        <f t="shared" si="56"/>
        <v>634</v>
      </c>
      <c r="H310" s="220">
        <f t="shared" si="56"/>
        <v>330</v>
      </c>
      <c r="I310" s="220">
        <f t="shared" si="56"/>
        <v>189</v>
      </c>
      <c r="J310" s="220">
        <f t="shared" si="55"/>
        <v>41</v>
      </c>
      <c r="K310" s="220" t="str">
        <f t="shared" si="54"/>
        <v>-</v>
      </c>
      <c r="L310" s="220">
        <f t="shared" si="54"/>
        <v>4167</v>
      </c>
    </row>
    <row r="311" spans="1:12" s="213" customFormat="1" x14ac:dyDescent="0.25">
      <c r="A311" s="218">
        <v>2017</v>
      </c>
      <c r="B311" s="215" t="s">
        <v>29</v>
      </c>
      <c r="C311" s="220">
        <f t="shared" si="56"/>
        <v>106</v>
      </c>
      <c r="D311" s="220">
        <f t="shared" si="56"/>
        <v>183</v>
      </c>
      <c r="E311" s="220">
        <f t="shared" si="56"/>
        <v>391</v>
      </c>
      <c r="F311" s="220">
        <f t="shared" si="56"/>
        <v>655</v>
      </c>
      <c r="G311" s="220" t="str">
        <f t="shared" si="56"/>
        <v>-</v>
      </c>
      <c r="H311" s="220">
        <f t="shared" si="56"/>
        <v>88</v>
      </c>
      <c r="I311" s="220">
        <f t="shared" si="56"/>
        <v>246</v>
      </c>
      <c r="J311" s="220">
        <f t="shared" si="55"/>
        <v>41</v>
      </c>
      <c r="K311" s="220" t="str">
        <f t="shared" si="54"/>
        <v>-</v>
      </c>
      <c r="L311" s="215">
        <f t="shared" si="54"/>
        <v>1710</v>
      </c>
    </row>
    <row r="312" spans="1:12" s="218" customFormat="1" x14ac:dyDescent="0.25">
      <c r="A312" s="218">
        <v>2018</v>
      </c>
      <c r="B312" s="220" t="s">
        <v>29</v>
      </c>
      <c r="C312" s="220" t="str">
        <f t="shared" si="56"/>
        <v>-</v>
      </c>
      <c r="D312" s="220">
        <f t="shared" si="56"/>
        <v>385</v>
      </c>
      <c r="E312" s="220">
        <f t="shared" si="56"/>
        <v>560</v>
      </c>
      <c r="F312" s="220">
        <f t="shared" si="56"/>
        <v>410</v>
      </c>
      <c r="G312" s="220">
        <f t="shared" si="56"/>
        <v>740</v>
      </c>
      <c r="H312" s="220">
        <f t="shared" si="56"/>
        <v>80</v>
      </c>
      <c r="I312" s="220">
        <f t="shared" si="56"/>
        <v>217</v>
      </c>
      <c r="J312" s="220">
        <f t="shared" si="55"/>
        <v>83</v>
      </c>
      <c r="K312" s="220" t="str">
        <f t="shared" si="54"/>
        <v>-</v>
      </c>
      <c r="L312" s="220">
        <f t="shared" si="54"/>
        <v>2475</v>
      </c>
    </row>
    <row r="313" spans="1:12" s="218" customFormat="1" x14ac:dyDescent="0.25">
      <c r="A313" s="218">
        <v>2019</v>
      </c>
      <c r="B313" s="220" t="s">
        <v>29</v>
      </c>
      <c r="C313" s="220">
        <f t="shared" ref="C313:L314" si="57">IF(AND(C261="-",C209="-",C157="-",C105="-"),"-",SUM(C261,C209,C157,C105))</f>
        <v>51</v>
      </c>
      <c r="D313" s="220">
        <f t="shared" si="57"/>
        <v>141</v>
      </c>
      <c r="E313" s="220">
        <f t="shared" si="57"/>
        <v>363</v>
      </c>
      <c r="F313" s="220">
        <f t="shared" si="57"/>
        <v>983</v>
      </c>
      <c r="G313" s="220">
        <f t="shared" si="57"/>
        <v>523</v>
      </c>
      <c r="H313" s="220">
        <f t="shared" si="57"/>
        <v>104</v>
      </c>
      <c r="I313" s="220">
        <f t="shared" si="57"/>
        <v>187</v>
      </c>
      <c r="J313" s="220" t="str">
        <f t="shared" si="57"/>
        <v>-</v>
      </c>
      <c r="K313" s="220" t="str">
        <f t="shared" si="57"/>
        <v>-</v>
      </c>
      <c r="L313" s="220">
        <f t="shared" si="57"/>
        <v>2352</v>
      </c>
    </row>
    <row r="314" spans="1:12" s="213" customFormat="1" x14ac:dyDescent="0.25">
      <c r="A314" s="218" t="s">
        <v>393</v>
      </c>
      <c r="B314" s="215" t="s">
        <v>29</v>
      </c>
      <c r="C314" s="220">
        <f t="shared" si="57"/>
        <v>141</v>
      </c>
      <c r="D314" s="220">
        <f t="shared" si="57"/>
        <v>100</v>
      </c>
      <c r="E314" s="220">
        <f t="shared" si="57"/>
        <v>425</v>
      </c>
      <c r="F314" s="220">
        <f t="shared" si="57"/>
        <v>643</v>
      </c>
      <c r="G314" s="220">
        <f t="shared" si="57"/>
        <v>269</v>
      </c>
      <c r="H314" s="220">
        <f t="shared" si="57"/>
        <v>174</v>
      </c>
      <c r="I314" s="220">
        <f t="shared" si="57"/>
        <v>212</v>
      </c>
      <c r="J314" s="220" t="str">
        <f t="shared" si="57"/>
        <v>-</v>
      </c>
      <c r="K314" s="220" t="str">
        <f t="shared" si="57"/>
        <v>-</v>
      </c>
      <c r="L314" s="215">
        <f t="shared" si="57"/>
        <v>1964</v>
      </c>
    </row>
    <row r="315" spans="1:12" s="314" customFormat="1" x14ac:dyDescent="0.25">
      <c r="A315" s="364"/>
      <c r="B315" s="222"/>
      <c r="C315" s="222"/>
      <c r="D315" s="222"/>
      <c r="E315" s="222"/>
      <c r="F315" s="222"/>
      <c r="G315" s="222"/>
      <c r="H315" s="222"/>
      <c r="I315" s="222"/>
      <c r="J315" s="222"/>
      <c r="K315" s="222"/>
      <c r="L315" s="222"/>
    </row>
    <row r="316" spans="1:12" s="314" customFormat="1" x14ac:dyDescent="0.25">
      <c r="A316" s="114" t="s">
        <v>111</v>
      </c>
      <c r="B316" s="222"/>
      <c r="C316" s="222"/>
      <c r="D316" s="222"/>
      <c r="E316" s="222"/>
      <c r="F316" s="222"/>
      <c r="G316" s="222"/>
      <c r="H316" s="222"/>
      <c r="I316" s="222"/>
      <c r="J316" s="222"/>
      <c r="K316" s="222"/>
      <c r="L316" s="222"/>
    </row>
    <row r="317" spans="1:12" s="213" customFormat="1" x14ac:dyDescent="0.25">
      <c r="A317" s="216">
        <v>1971</v>
      </c>
      <c r="B317" s="215" t="str">
        <f t="shared" ref="B317:L317" si="58">IF(AND(B5="-",B265="-"),"-",SUM(B5,B265))</f>
        <v>-</v>
      </c>
      <c r="C317" s="215">
        <f t="shared" si="58"/>
        <v>19</v>
      </c>
      <c r="D317" s="215">
        <f t="shared" si="58"/>
        <v>566</v>
      </c>
      <c r="E317" s="215">
        <f t="shared" si="58"/>
        <v>7111</v>
      </c>
      <c r="F317" s="215">
        <f t="shared" si="58"/>
        <v>15550</v>
      </c>
      <c r="G317" s="215">
        <f t="shared" si="58"/>
        <v>15481</v>
      </c>
      <c r="H317" s="215">
        <f t="shared" si="58"/>
        <v>3708</v>
      </c>
      <c r="I317" s="215">
        <f t="shared" si="58"/>
        <v>1565</v>
      </c>
      <c r="J317" s="215" t="str">
        <f t="shared" si="58"/>
        <v>-</v>
      </c>
      <c r="K317" s="215" t="str">
        <f t="shared" si="58"/>
        <v>-</v>
      </c>
      <c r="L317" s="215">
        <f t="shared" si="58"/>
        <v>44000</v>
      </c>
    </row>
    <row r="318" spans="1:12" s="213" customFormat="1" x14ac:dyDescent="0.25">
      <c r="A318" s="216">
        <v>1972</v>
      </c>
      <c r="B318" s="215" t="str">
        <f t="shared" ref="B318:L318" si="59">IF(AND(B6="-",B266="-"),"-",SUM(B6,B266))</f>
        <v>-</v>
      </c>
      <c r="C318" s="215">
        <f t="shared" si="59"/>
        <v>5</v>
      </c>
      <c r="D318" s="215">
        <f t="shared" si="59"/>
        <v>738</v>
      </c>
      <c r="E318" s="215">
        <f t="shared" si="59"/>
        <v>6657</v>
      </c>
      <c r="F318" s="215">
        <f t="shared" si="59"/>
        <v>15017</v>
      </c>
      <c r="G318" s="215">
        <f t="shared" si="59"/>
        <v>11013</v>
      </c>
      <c r="H318" s="215">
        <f t="shared" si="59"/>
        <v>3208</v>
      </c>
      <c r="I318" s="215">
        <f t="shared" si="59"/>
        <v>1742</v>
      </c>
      <c r="J318" s="215" t="str">
        <f t="shared" si="59"/>
        <v>-</v>
      </c>
      <c r="K318" s="215" t="str">
        <f t="shared" si="59"/>
        <v>-</v>
      </c>
      <c r="L318" s="215">
        <f t="shared" si="59"/>
        <v>38380</v>
      </c>
    </row>
    <row r="319" spans="1:12" s="213" customFormat="1" x14ac:dyDescent="0.25">
      <c r="A319" s="216">
        <v>1973</v>
      </c>
      <c r="B319" s="215" t="str">
        <f t="shared" ref="B319:L319" si="60">IF(AND(B7="-",B267="-"),"-",SUM(B7,B267))</f>
        <v>-</v>
      </c>
      <c r="C319" s="215">
        <f t="shared" si="60"/>
        <v>103</v>
      </c>
      <c r="D319" s="215">
        <f t="shared" si="60"/>
        <v>502</v>
      </c>
      <c r="E319" s="215">
        <f t="shared" si="60"/>
        <v>5496</v>
      </c>
      <c r="F319" s="215">
        <f t="shared" si="60"/>
        <v>16143</v>
      </c>
      <c r="G319" s="215">
        <f t="shared" si="60"/>
        <v>17774</v>
      </c>
      <c r="H319" s="215">
        <f t="shared" si="60"/>
        <v>6583</v>
      </c>
      <c r="I319" s="215">
        <f t="shared" si="60"/>
        <v>4266</v>
      </c>
      <c r="J319" s="215" t="str">
        <f t="shared" si="60"/>
        <v>-</v>
      </c>
      <c r="K319" s="215" t="str">
        <f t="shared" si="60"/>
        <v>-</v>
      </c>
      <c r="L319" s="215">
        <f t="shared" si="60"/>
        <v>50867</v>
      </c>
    </row>
    <row r="320" spans="1:12" s="213" customFormat="1" x14ac:dyDescent="0.25">
      <c r="A320" s="216">
        <v>1974</v>
      </c>
      <c r="B320" s="215" t="str">
        <f t="shared" ref="B320:L320" si="61">IF(AND(B8="-",B268="-"),"-",SUM(B8,B268))</f>
        <v>-</v>
      </c>
      <c r="C320" s="215">
        <f t="shared" si="61"/>
        <v>97</v>
      </c>
      <c r="D320" s="215">
        <f t="shared" si="61"/>
        <v>435</v>
      </c>
      <c r="E320" s="215">
        <f t="shared" si="61"/>
        <v>4887</v>
      </c>
      <c r="F320" s="215">
        <f t="shared" si="61"/>
        <v>20579</v>
      </c>
      <c r="G320" s="215">
        <f t="shared" si="61"/>
        <v>16659</v>
      </c>
      <c r="H320" s="215">
        <f t="shared" si="61"/>
        <v>6269</v>
      </c>
      <c r="I320" s="215">
        <f t="shared" si="61"/>
        <v>1584</v>
      </c>
      <c r="J320" s="215">
        <f t="shared" si="61"/>
        <v>498</v>
      </c>
      <c r="K320" s="215">
        <f t="shared" si="61"/>
        <v>57</v>
      </c>
      <c r="L320" s="215">
        <f t="shared" si="61"/>
        <v>51065</v>
      </c>
    </row>
    <row r="321" spans="1:12" s="213" customFormat="1" x14ac:dyDescent="0.25">
      <c r="A321" s="216">
        <v>1975</v>
      </c>
      <c r="B321" s="215" t="str">
        <f t="shared" ref="B321:L321" si="62">IF(AND(B9="-",B269="-"),"-",SUM(B9,B269))</f>
        <v>-</v>
      </c>
      <c r="C321" s="215">
        <f t="shared" si="62"/>
        <v>42</v>
      </c>
      <c r="D321" s="215">
        <f t="shared" si="62"/>
        <v>450</v>
      </c>
      <c r="E321" s="215">
        <f t="shared" si="62"/>
        <v>9625</v>
      </c>
      <c r="F321" s="215">
        <f t="shared" si="62"/>
        <v>15930</v>
      </c>
      <c r="G321" s="215">
        <f t="shared" si="62"/>
        <v>12026</v>
      </c>
      <c r="H321" s="215">
        <f t="shared" si="62"/>
        <v>5084</v>
      </c>
      <c r="I321" s="215">
        <f t="shared" si="62"/>
        <v>1106</v>
      </c>
      <c r="J321" s="215">
        <f t="shared" si="62"/>
        <v>332</v>
      </c>
      <c r="K321" s="215">
        <f t="shared" si="62"/>
        <v>32</v>
      </c>
      <c r="L321" s="215">
        <f t="shared" si="62"/>
        <v>44627</v>
      </c>
    </row>
    <row r="322" spans="1:12" s="213" customFormat="1" x14ac:dyDescent="0.25">
      <c r="A322" s="216">
        <v>1976</v>
      </c>
      <c r="B322" s="215" t="str">
        <f t="shared" ref="B322:L322" si="63">IF(AND(B10="-",B270="-"),"-",SUM(B10,B270))</f>
        <v>-</v>
      </c>
      <c r="C322" s="215" t="str">
        <f t="shared" si="63"/>
        <v>-</v>
      </c>
      <c r="D322" s="215">
        <f t="shared" si="63"/>
        <v>939</v>
      </c>
      <c r="E322" s="215">
        <f t="shared" si="63"/>
        <v>13095</v>
      </c>
      <c r="F322" s="215">
        <f t="shared" si="63"/>
        <v>26516</v>
      </c>
      <c r="G322" s="215">
        <f t="shared" si="63"/>
        <v>24305</v>
      </c>
      <c r="H322" s="215">
        <f t="shared" si="63"/>
        <v>8373</v>
      </c>
      <c r="I322" s="215">
        <f t="shared" si="63"/>
        <v>1926</v>
      </c>
      <c r="J322" s="215">
        <f t="shared" si="63"/>
        <v>253</v>
      </c>
      <c r="K322" s="215" t="str">
        <f t="shared" si="63"/>
        <v>-</v>
      </c>
      <c r="L322" s="215">
        <f t="shared" si="63"/>
        <v>75407</v>
      </c>
    </row>
    <row r="323" spans="1:12" s="213" customFormat="1" x14ac:dyDescent="0.25">
      <c r="A323" s="216">
        <v>1977</v>
      </c>
      <c r="B323" s="215" t="str">
        <f t="shared" ref="B323:L323" si="64">IF(AND(B11="-",B271="-"),"-",SUM(B11,B271))</f>
        <v>-</v>
      </c>
      <c r="C323" s="215" t="str">
        <f t="shared" si="64"/>
        <v>-</v>
      </c>
      <c r="D323" s="215">
        <f t="shared" si="64"/>
        <v>2307</v>
      </c>
      <c r="E323" s="215">
        <f t="shared" si="64"/>
        <v>7587</v>
      </c>
      <c r="F323" s="215">
        <f t="shared" si="64"/>
        <v>49256</v>
      </c>
      <c r="G323" s="215">
        <f t="shared" si="64"/>
        <v>17977</v>
      </c>
      <c r="H323" s="215">
        <f t="shared" si="64"/>
        <v>5045</v>
      </c>
      <c r="I323" s="215">
        <f t="shared" si="64"/>
        <v>2013</v>
      </c>
      <c r="J323" s="215">
        <f t="shared" si="64"/>
        <v>901</v>
      </c>
      <c r="K323" s="215" t="str">
        <f t="shared" si="64"/>
        <v>-</v>
      </c>
      <c r="L323" s="215">
        <f t="shared" si="64"/>
        <v>85086</v>
      </c>
    </row>
    <row r="324" spans="1:12" s="213" customFormat="1" x14ac:dyDescent="0.25">
      <c r="A324" s="216">
        <v>1978</v>
      </c>
      <c r="B324" s="215" t="str">
        <f t="shared" ref="B324:L324" si="65">IF(AND(B12="-",B272="-"),"-",SUM(B12,B272))</f>
        <v>-</v>
      </c>
      <c r="C324" s="215" t="str">
        <f t="shared" si="65"/>
        <v>-</v>
      </c>
      <c r="D324" s="215">
        <f t="shared" si="65"/>
        <v>502</v>
      </c>
      <c r="E324" s="215">
        <f t="shared" si="65"/>
        <v>8963</v>
      </c>
      <c r="F324" s="215">
        <f t="shared" si="65"/>
        <v>16182</v>
      </c>
      <c r="G324" s="215">
        <f t="shared" si="65"/>
        <v>12627</v>
      </c>
      <c r="H324" s="215">
        <f t="shared" si="65"/>
        <v>4324</v>
      </c>
      <c r="I324" s="215">
        <f t="shared" si="65"/>
        <v>2078</v>
      </c>
      <c r="J324" s="215">
        <f t="shared" si="65"/>
        <v>1017</v>
      </c>
      <c r="K324" s="215" t="str">
        <f t="shared" si="65"/>
        <v>-</v>
      </c>
      <c r="L324" s="215">
        <f t="shared" si="65"/>
        <v>45693</v>
      </c>
    </row>
    <row r="325" spans="1:12" s="213" customFormat="1" x14ac:dyDescent="0.25">
      <c r="A325" s="216">
        <v>1979</v>
      </c>
      <c r="B325" s="215" t="str">
        <f t="shared" ref="B325:L325" si="66">IF(AND(B13="-",B273="-"),"-",SUM(B13,B273))</f>
        <v>-</v>
      </c>
      <c r="C325" s="215" t="str">
        <f t="shared" si="66"/>
        <v>-</v>
      </c>
      <c r="D325" s="215">
        <f t="shared" si="66"/>
        <v>1119</v>
      </c>
      <c r="E325" s="215">
        <f t="shared" si="66"/>
        <v>2063</v>
      </c>
      <c r="F325" s="215">
        <f t="shared" si="66"/>
        <v>19961</v>
      </c>
      <c r="G325" s="215">
        <f t="shared" si="66"/>
        <v>17423</v>
      </c>
      <c r="H325" s="215">
        <f t="shared" si="66"/>
        <v>1646</v>
      </c>
      <c r="I325" s="215">
        <f t="shared" si="66"/>
        <v>1188</v>
      </c>
      <c r="J325" s="215">
        <f t="shared" si="66"/>
        <v>203</v>
      </c>
      <c r="K325" s="215">
        <f t="shared" si="66"/>
        <v>1</v>
      </c>
      <c r="L325" s="215">
        <f t="shared" si="66"/>
        <v>43604</v>
      </c>
    </row>
    <row r="326" spans="1:12" s="213" customFormat="1" x14ac:dyDescent="0.25">
      <c r="A326" s="216">
        <v>1980</v>
      </c>
      <c r="B326" s="215" t="str">
        <f t="shared" ref="B326:L326" si="67">IF(AND(B14="-",B274="-"),"-",SUM(B14,B274))</f>
        <v>-</v>
      </c>
      <c r="C326" s="215" t="str">
        <f t="shared" si="67"/>
        <v>-</v>
      </c>
      <c r="D326" s="215">
        <f t="shared" si="67"/>
        <v>1325</v>
      </c>
      <c r="E326" s="215">
        <f t="shared" si="67"/>
        <v>1964</v>
      </c>
      <c r="F326" s="215">
        <f t="shared" si="67"/>
        <v>7520</v>
      </c>
      <c r="G326" s="215">
        <f t="shared" si="67"/>
        <v>13586</v>
      </c>
      <c r="H326" s="215">
        <f t="shared" si="67"/>
        <v>3266</v>
      </c>
      <c r="I326" s="215">
        <f t="shared" si="67"/>
        <v>1459</v>
      </c>
      <c r="J326" s="215">
        <f t="shared" si="67"/>
        <v>513</v>
      </c>
      <c r="K326" s="215" t="str">
        <f t="shared" si="67"/>
        <v>-</v>
      </c>
      <c r="L326" s="215">
        <f t="shared" si="67"/>
        <v>29633</v>
      </c>
    </row>
    <row r="327" spans="1:12" s="213" customFormat="1" x14ac:dyDescent="0.25">
      <c r="A327" s="216">
        <v>1981</v>
      </c>
      <c r="B327" s="215" t="str">
        <f t="shared" ref="B327:L327" si="68">IF(AND(B15="-",B275="-"),"-",SUM(B15,B275))</f>
        <v>-</v>
      </c>
      <c r="C327" s="215" t="str">
        <f t="shared" si="68"/>
        <v>-</v>
      </c>
      <c r="D327" s="215">
        <f t="shared" si="68"/>
        <v>3217</v>
      </c>
      <c r="E327" s="215">
        <f t="shared" si="68"/>
        <v>0</v>
      </c>
      <c r="F327" s="215">
        <f t="shared" si="68"/>
        <v>21082</v>
      </c>
      <c r="G327" s="215">
        <f t="shared" si="68"/>
        <v>16828</v>
      </c>
      <c r="H327" s="215">
        <f t="shared" si="68"/>
        <v>1426</v>
      </c>
      <c r="I327" s="215">
        <f t="shared" si="68"/>
        <v>1842</v>
      </c>
      <c r="J327" s="215">
        <f t="shared" si="68"/>
        <v>453</v>
      </c>
      <c r="K327" s="215" t="str">
        <f t="shared" si="68"/>
        <v>-</v>
      </c>
      <c r="L327" s="215">
        <f t="shared" si="68"/>
        <v>44848</v>
      </c>
    </row>
    <row r="328" spans="1:12" s="213" customFormat="1" x14ac:dyDescent="0.25">
      <c r="A328" s="216">
        <v>1982</v>
      </c>
      <c r="B328" s="215" t="str">
        <f t="shared" ref="B328:L328" si="69">IF(AND(B16="-",B276="-"),"-",SUM(B16,B276))</f>
        <v>-</v>
      </c>
      <c r="C328" s="215" t="str">
        <f t="shared" si="69"/>
        <v>-</v>
      </c>
      <c r="D328" s="215">
        <f t="shared" si="69"/>
        <v>2279</v>
      </c>
      <c r="E328" s="215">
        <f t="shared" si="69"/>
        <v>1903</v>
      </c>
      <c r="F328" s="215">
        <f t="shared" si="69"/>
        <v>17991</v>
      </c>
      <c r="G328" s="215">
        <f t="shared" si="69"/>
        <v>5588</v>
      </c>
      <c r="H328" s="215">
        <f t="shared" si="69"/>
        <v>2351</v>
      </c>
      <c r="I328" s="215">
        <f t="shared" si="69"/>
        <v>1886</v>
      </c>
      <c r="J328" s="215">
        <f t="shared" si="69"/>
        <v>585</v>
      </c>
      <c r="K328" s="215" t="str">
        <f t="shared" si="69"/>
        <v>-</v>
      </c>
      <c r="L328" s="215">
        <f t="shared" si="69"/>
        <v>32583</v>
      </c>
    </row>
    <row r="329" spans="1:12" s="213" customFormat="1" x14ac:dyDescent="0.25">
      <c r="A329" s="216">
        <v>1983</v>
      </c>
      <c r="B329" s="215" t="str">
        <f t="shared" ref="B329:L329" si="70">IF(AND(B17="-",B277="-"),"-",SUM(B17,B277))</f>
        <v>-</v>
      </c>
      <c r="C329" s="215" t="str">
        <f t="shared" si="70"/>
        <v>-</v>
      </c>
      <c r="D329" s="215">
        <f t="shared" si="70"/>
        <v>1500</v>
      </c>
      <c r="E329" s="215">
        <f t="shared" si="70"/>
        <v>1640</v>
      </c>
      <c r="F329" s="215">
        <f t="shared" si="70"/>
        <v>12151</v>
      </c>
      <c r="G329" s="215">
        <f t="shared" si="70"/>
        <v>3810</v>
      </c>
      <c r="H329" s="215">
        <f t="shared" si="70"/>
        <v>1147</v>
      </c>
      <c r="I329" s="215">
        <f t="shared" si="70"/>
        <v>1135</v>
      </c>
      <c r="J329" s="215">
        <f t="shared" si="70"/>
        <v>138</v>
      </c>
      <c r="K329" s="215" t="str">
        <f t="shared" si="70"/>
        <v>-</v>
      </c>
      <c r="L329" s="215">
        <f t="shared" si="70"/>
        <v>21521</v>
      </c>
    </row>
    <row r="330" spans="1:12" s="213" customFormat="1" x14ac:dyDescent="0.25">
      <c r="A330" s="216">
        <v>1984</v>
      </c>
      <c r="B330" s="215" t="str">
        <f t="shared" ref="B330:L330" si="71">IF(AND(B18="-",B278="-"),"-",SUM(B18,B278))</f>
        <v>-</v>
      </c>
      <c r="C330" s="215" t="str">
        <f t="shared" si="71"/>
        <v>-</v>
      </c>
      <c r="D330" s="215">
        <f t="shared" si="71"/>
        <v>372</v>
      </c>
      <c r="E330" s="215">
        <f t="shared" si="71"/>
        <v>416</v>
      </c>
      <c r="F330" s="215">
        <f t="shared" si="71"/>
        <v>2056</v>
      </c>
      <c r="G330" s="215">
        <f t="shared" si="71"/>
        <v>4261</v>
      </c>
      <c r="H330" s="215">
        <f t="shared" si="71"/>
        <v>218</v>
      </c>
      <c r="I330" s="215">
        <f t="shared" si="71"/>
        <v>273</v>
      </c>
      <c r="J330" s="215">
        <f t="shared" si="71"/>
        <v>216</v>
      </c>
      <c r="K330" s="215" t="str">
        <f t="shared" si="71"/>
        <v>-</v>
      </c>
      <c r="L330" s="215">
        <f t="shared" si="71"/>
        <v>7812</v>
      </c>
    </row>
    <row r="331" spans="1:12" s="213" customFormat="1" x14ac:dyDescent="0.25">
      <c r="A331" s="216">
        <v>1985</v>
      </c>
      <c r="B331" s="215" t="str">
        <f t="shared" ref="B331:L331" si="72">IF(AND(B19="-",B279="-"),"-",SUM(B19,B279))</f>
        <v>-</v>
      </c>
      <c r="C331" s="215" t="str">
        <f t="shared" si="72"/>
        <v>-</v>
      </c>
      <c r="D331" s="215">
        <f t="shared" si="72"/>
        <v>3034</v>
      </c>
      <c r="E331" s="215">
        <f t="shared" si="72"/>
        <v>2038</v>
      </c>
      <c r="F331" s="215">
        <f t="shared" si="72"/>
        <v>6127</v>
      </c>
      <c r="G331" s="215">
        <f t="shared" si="72"/>
        <v>6546</v>
      </c>
      <c r="H331" s="215">
        <f t="shared" si="72"/>
        <v>1863</v>
      </c>
      <c r="I331" s="215">
        <f t="shared" si="72"/>
        <v>768</v>
      </c>
      <c r="J331" s="215">
        <f t="shared" si="72"/>
        <v>340</v>
      </c>
      <c r="K331" s="215" t="str">
        <f t="shared" si="72"/>
        <v>-</v>
      </c>
      <c r="L331" s="215">
        <f t="shared" si="72"/>
        <v>20716</v>
      </c>
    </row>
    <row r="332" spans="1:12" s="213" customFormat="1" x14ac:dyDescent="0.25">
      <c r="A332" s="213">
        <v>1986</v>
      </c>
      <c r="B332" s="215" t="str">
        <f t="shared" ref="B332:L332" si="73">IF(AND(B20="-",B280="-"),"-",SUM(B20,B280))</f>
        <v>-</v>
      </c>
      <c r="C332" s="215" t="str">
        <f t="shared" si="73"/>
        <v>-</v>
      </c>
      <c r="D332" s="215">
        <f t="shared" si="73"/>
        <v>3921</v>
      </c>
      <c r="E332" s="215">
        <f t="shared" si="73"/>
        <v>4028</v>
      </c>
      <c r="F332" s="215">
        <f t="shared" si="73"/>
        <v>14298</v>
      </c>
      <c r="G332" s="215">
        <f t="shared" si="73"/>
        <v>6797</v>
      </c>
      <c r="H332" s="215">
        <f t="shared" si="73"/>
        <v>1965</v>
      </c>
      <c r="I332" s="215">
        <f t="shared" si="73"/>
        <v>1327</v>
      </c>
      <c r="J332" s="215">
        <f t="shared" si="73"/>
        <v>131</v>
      </c>
      <c r="K332" s="215" t="str">
        <f t="shared" si="73"/>
        <v>-</v>
      </c>
      <c r="L332" s="215">
        <f t="shared" si="73"/>
        <v>32467</v>
      </c>
    </row>
    <row r="333" spans="1:12" s="213" customFormat="1" x14ac:dyDescent="0.25">
      <c r="A333" s="213">
        <v>1987</v>
      </c>
      <c r="B333" s="215" t="str">
        <f t="shared" ref="B333:L333" si="74">IF(AND(B21="-",B281="-"),"-",SUM(B21,B281))</f>
        <v>-</v>
      </c>
      <c r="C333" s="215" t="str">
        <f t="shared" si="74"/>
        <v>-</v>
      </c>
      <c r="D333" s="215">
        <f t="shared" si="74"/>
        <v>3465</v>
      </c>
      <c r="E333" s="215">
        <f t="shared" si="74"/>
        <v>3852</v>
      </c>
      <c r="F333" s="215">
        <f t="shared" si="74"/>
        <v>16230</v>
      </c>
      <c r="G333" s="215">
        <f t="shared" si="74"/>
        <v>7259</v>
      </c>
      <c r="H333" s="215">
        <f t="shared" si="74"/>
        <v>5483</v>
      </c>
      <c r="I333" s="215">
        <f t="shared" si="74"/>
        <v>2688</v>
      </c>
      <c r="J333" s="215">
        <f t="shared" si="74"/>
        <v>311</v>
      </c>
      <c r="K333" s="215" t="str">
        <f t="shared" si="74"/>
        <v>-</v>
      </c>
      <c r="L333" s="215">
        <f t="shared" si="74"/>
        <v>39288</v>
      </c>
    </row>
    <row r="334" spans="1:12" s="213" customFormat="1" x14ac:dyDescent="0.25">
      <c r="A334" s="213">
        <v>1988</v>
      </c>
      <c r="B334" s="215" t="str">
        <f t="shared" ref="B334:L334" si="75">IF(AND(B22="-",B282="-"),"-",SUM(B22,B282))</f>
        <v>-</v>
      </c>
      <c r="C334" s="215" t="str">
        <f t="shared" si="75"/>
        <v>-</v>
      </c>
      <c r="D334" s="215">
        <f t="shared" si="75"/>
        <v>4592</v>
      </c>
      <c r="E334" s="215">
        <f t="shared" si="75"/>
        <v>6679</v>
      </c>
      <c r="F334" s="215">
        <f t="shared" si="75"/>
        <v>16911</v>
      </c>
      <c r="G334" s="215">
        <f t="shared" si="75"/>
        <v>14043</v>
      </c>
      <c r="H334" s="215">
        <f t="shared" si="75"/>
        <v>4309</v>
      </c>
      <c r="I334" s="215">
        <f t="shared" si="75"/>
        <v>3981</v>
      </c>
      <c r="J334" s="215">
        <f t="shared" si="75"/>
        <v>227</v>
      </c>
      <c r="K334" s="215" t="str">
        <f t="shared" si="75"/>
        <v>-</v>
      </c>
      <c r="L334" s="215">
        <f t="shared" si="75"/>
        <v>50742</v>
      </c>
    </row>
    <row r="335" spans="1:12" s="213" customFormat="1" x14ac:dyDescent="0.25">
      <c r="A335" s="213">
        <v>1989</v>
      </c>
      <c r="B335" s="215" t="str">
        <f t="shared" ref="B335:L335" si="76">IF(AND(B23="-",B283="-"),"-",SUM(B23,B283))</f>
        <v>-</v>
      </c>
      <c r="C335" s="215" t="str">
        <f t="shared" si="76"/>
        <v>-</v>
      </c>
      <c r="D335" s="215">
        <f t="shared" si="76"/>
        <v>6238</v>
      </c>
      <c r="E335" s="215">
        <f t="shared" si="76"/>
        <v>6854</v>
      </c>
      <c r="F335" s="215">
        <f t="shared" si="76"/>
        <v>13869</v>
      </c>
      <c r="G335" s="215">
        <f t="shared" si="76"/>
        <v>8798</v>
      </c>
      <c r="H335" s="215">
        <f t="shared" si="76"/>
        <v>3397</v>
      </c>
      <c r="I335" s="215">
        <f t="shared" si="76"/>
        <v>2450</v>
      </c>
      <c r="J335" s="215">
        <f t="shared" si="76"/>
        <v>497</v>
      </c>
      <c r="K335" s="215" t="str">
        <f t="shared" si="76"/>
        <v>-</v>
      </c>
      <c r="L335" s="215">
        <f t="shared" si="76"/>
        <v>42103</v>
      </c>
    </row>
    <row r="336" spans="1:12" s="213" customFormat="1" x14ac:dyDescent="0.25">
      <c r="A336" s="213">
        <v>1990</v>
      </c>
      <c r="B336" s="215" t="str">
        <f t="shared" ref="B336:L336" si="77">IF(AND(B24="-",B284="-"),"-",SUM(B24,B284))</f>
        <v>-</v>
      </c>
      <c r="C336" s="215" t="str">
        <f t="shared" si="77"/>
        <v>-</v>
      </c>
      <c r="D336" s="215">
        <f t="shared" si="77"/>
        <v>2837</v>
      </c>
      <c r="E336" s="215">
        <f t="shared" si="77"/>
        <v>3722</v>
      </c>
      <c r="F336" s="215">
        <f t="shared" si="77"/>
        <v>9594</v>
      </c>
      <c r="G336" s="215">
        <f t="shared" si="77"/>
        <v>7123</v>
      </c>
      <c r="H336" s="215">
        <f t="shared" si="77"/>
        <v>1834</v>
      </c>
      <c r="I336" s="215">
        <f t="shared" si="77"/>
        <v>1058</v>
      </c>
      <c r="J336" s="215" t="str">
        <f t="shared" si="77"/>
        <v>-</v>
      </c>
      <c r="K336" s="215" t="str">
        <f t="shared" si="77"/>
        <v>-</v>
      </c>
      <c r="L336" s="215">
        <f t="shared" si="77"/>
        <v>26168</v>
      </c>
    </row>
    <row r="337" spans="1:12" s="213" customFormat="1" x14ac:dyDescent="0.25">
      <c r="A337" s="213">
        <v>1991</v>
      </c>
      <c r="B337" s="215" t="str">
        <f t="shared" ref="B337:L337" si="78">IF(AND(B25="-",B285="-"),"-",SUM(B25,B285))</f>
        <v>-</v>
      </c>
      <c r="C337" s="215" t="str">
        <f t="shared" si="78"/>
        <v>-</v>
      </c>
      <c r="D337" s="215">
        <f t="shared" si="78"/>
        <v>787</v>
      </c>
      <c r="E337" s="215">
        <f t="shared" si="78"/>
        <v>3957</v>
      </c>
      <c r="F337" s="215">
        <f t="shared" si="78"/>
        <v>4102</v>
      </c>
      <c r="G337" s="215">
        <f t="shared" si="78"/>
        <v>2374</v>
      </c>
      <c r="H337" s="215">
        <f t="shared" si="78"/>
        <v>2032</v>
      </c>
      <c r="I337" s="215">
        <f t="shared" si="78"/>
        <v>1596</v>
      </c>
      <c r="J337" s="215" t="str">
        <f t="shared" si="78"/>
        <v>-</v>
      </c>
      <c r="K337" s="215" t="str">
        <f t="shared" si="78"/>
        <v>-</v>
      </c>
      <c r="L337" s="215">
        <f t="shared" si="78"/>
        <v>14848</v>
      </c>
    </row>
    <row r="338" spans="1:12" s="213" customFormat="1" x14ac:dyDescent="0.25">
      <c r="A338" s="213">
        <v>1992</v>
      </c>
      <c r="B338" s="215" t="str">
        <f t="shared" ref="B338:L338" si="79">IF(AND(B26="-",B286="-"),"-",SUM(B26,B286))</f>
        <v>-</v>
      </c>
      <c r="C338" s="215" t="str">
        <f t="shared" si="79"/>
        <v>-</v>
      </c>
      <c r="D338" s="215">
        <f t="shared" si="79"/>
        <v>1615</v>
      </c>
      <c r="E338" s="215">
        <f t="shared" si="79"/>
        <v>114</v>
      </c>
      <c r="F338" s="215">
        <f t="shared" si="79"/>
        <v>1545</v>
      </c>
      <c r="G338" s="215">
        <f t="shared" si="79"/>
        <v>2721</v>
      </c>
      <c r="H338" s="215">
        <f t="shared" si="79"/>
        <v>1474</v>
      </c>
      <c r="I338" s="215">
        <f t="shared" si="79"/>
        <v>1684</v>
      </c>
      <c r="J338" s="215" t="str">
        <f t="shared" si="79"/>
        <v>-</v>
      </c>
      <c r="K338" s="215" t="str">
        <f t="shared" si="79"/>
        <v>-</v>
      </c>
      <c r="L338" s="215">
        <f t="shared" si="79"/>
        <v>9153</v>
      </c>
    </row>
    <row r="339" spans="1:12" s="213" customFormat="1" x14ac:dyDescent="0.25">
      <c r="A339" s="213">
        <v>1993</v>
      </c>
      <c r="B339" s="215" t="str">
        <f t="shared" ref="B339:L339" si="80">IF(AND(B27="-",B287="-"),"-",SUM(B27,B287))</f>
        <v>-</v>
      </c>
      <c r="C339" s="215" t="str">
        <f t="shared" si="80"/>
        <v>-</v>
      </c>
      <c r="D339" s="215">
        <f t="shared" si="80"/>
        <v>2073</v>
      </c>
      <c r="E339" s="215">
        <f t="shared" si="80"/>
        <v>1317</v>
      </c>
      <c r="F339" s="215">
        <f t="shared" si="80"/>
        <v>1785</v>
      </c>
      <c r="G339" s="215">
        <f t="shared" si="80"/>
        <v>1008</v>
      </c>
      <c r="H339" s="215">
        <f t="shared" si="80"/>
        <v>1893</v>
      </c>
      <c r="I339" s="215">
        <f t="shared" si="80"/>
        <v>1245</v>
      </c>
      <c r="J339" s="215">
        <f t="shared" si="80"/>
        <v>146</v>
      </c>
      <c r="K339" s="215" t="str">
        <f t="shared" si="80"/>
        <v>-</v>
      </c>
      <c r="L339" s="215">
        <f t="shared" si="80"/>
        <v>9467</v>
      </c>
    </row>
    <row r="340" spans="1:12" s="213" customFormat="1" x14ac:dyDescent="0.25">
      <c r="A340" s="213">
        <v>1994</v>
      </c>
      <c r="B340" s="215" t="str">
        <f t="shared" ref="B340:L340" si="81">IF(AND(B28="-",B288="-"),"-",SUM(B28,B288))</f>
        <v>-</v>
      </c>
      <c r="C340" s="215" t="str">
        <f t="shared" si="81"/>
        <v>-</v>
      </c>
      <c r="D340" s="215">
        <f t="shared" si="81"/>
        <v>976</v>
      </c>
      <c r="E340" s="215">
        <f t="shared" si="81"/>
        <v>1228</v>
      </c>
      <c r="F340" s="215" t="str">
        <f t="shared" si="81"/>
        <v>-</v>
      </c>
      <c r="G340" s="215">
        <f t="shared" si="81"/>
        <v>56</v>
      </c>
      <c r="H340" s="215">
        <f t="shared" si="81"/>
        <v>268</v>
      </c>
      <c r="I340" s="215">
        <f t="shared" si="81"/>
        <v>1168</v>
      </c>
      <c r="J340" s="215">
        <f t="shared" si="81"/>
        <v>65</v>
      </c>
      <c r="K340" s="215" t="str">
        <f t="shared" si="81"/>
        <v>-</v>
      </c>
      <c r="L340" s="215">
        <f t="shared" si="81"/>
        <v>3761</v>
      </c>
    </row>
    <row r="341" spans="1:12" s="213" customFormat="1" x14ac:dyDescent="0.25">
      <c r="A341" s="213">
        <v>1995</v>
      </c>
      <c r="B341" s="215" t="str">
        <f t="shared" ref="B341:L341" si="82">IF(AND(B29="-",B289="-"),"-",SUM(B29,B289))</f>
        <v>-</v>
      </c>
      <c r="C341" s="215" t="str">
        <f t="shared" si="82"/>
        <v>-</v>
      </c>
      <c r="D341" s="215">
        <f t="shared" si="82"/>
        <v>985</v>
      </c>
      <c r="E341" s="215">
        <f t="shared" si="82"/>
        <v>1621</v>
      </c>
      <c r="F341" s="215">
        <f t="shared" si="82"/>
        <v>48</v>
      </c>
      <c r="G341" s="215">
        <f t="shared" si="82"/>
        <v>2608</v>
      </c>
      <c r="H341" s="215">
        <f t="shared" si="82"/>
        <v>1251</v>
      </c>
      <c r="I341" s="215">
        <f t="shared" si="82"/>
        <v>1285</v>
      </c>
      <c r="J341" s="215">
        <f t="shared" si="82"/>
        <v>54</v>
      </c>
      <c r="K341" s="215" t="str">
        <f t="shared" si="82"/>
        <v>-</v>
      </c>
      <c r="L341" s="215">
        <f t="shared" si="82"/>
        <v>7852</v>
      </c>
    </row>
    <row r="342" spans="1:12" s="213" customFormat="1" x14ac:dyDescent="0.25">
      <c r="A342" s="213">
        <v>1996</v>
      </c>
      <c r="B342" s="215" t="str">
        <f t="shared" ref="B342:L342" si="83">IF(AND(B30="-",B290="-"),"-",SUM(B30,B290))</f>
        <v>-</v>
      </c>
      <c r="C342" s="215" t="str">
        <f t="shared" si="83"/>
        <v>-</v>
      </c>
      <c r="D342" s="215">
        <f t="shared" si="83"/>
        <v>1477</v>
      </c>
      <c r="E342" s="215">
        <f t="shared" si="83"/>
        <v>2003</v>
      </c>
      <c r="F342" s="215" t="str">
        <f t="shared" si="83"/>
        <v>-</v>
      </c>
      <c r="G342" s="215">
        <f t="shared" si="83"/>
        <v>2004</v>
      </c>
      <c r="H342" s="215">
        <f t="shared" si="83"/>
        <v>1619</v>
      </c>
      <c r="I342" s="215">
        <f t="shared" si="83"/>
        <v>1202</v>
      </c>
      <c r="J342" s="215">
        <f t="shared" si="83"/>
        <v>86</v>
      </c>
      <c r="K342" s="215" t="str">
        <f t="shared" si="83"/>
        <v>-</v>
      </c>
      <c r="L342" s="215">
        <f t="shared" si="83"/>
        <v>8391</v>
      </c>
    </row>
    <row r="343" spans="1:12" s="213" customFormat="1" x14ac:dyDescent="0.25">
      <c r="A343" s="213">
        <v>1997</v>
      </c>
      <c r="B343" s="215" t="str">
        <f t="shared" ref="B343:L343" si="84">IF(AND(B31="-",B291="-"),"-",SUM(B31,B291))</f>
        <v>-</v>
      </c>
      <c r="C343" s="215">
        <f t="shared" si="84"/>
        <v>367</v>
      </c>
      <c r="D343" s="215">
        <f t="shared" si="84"/>
        <v>2095</v>
      </c>
      <c r="E343" s="215">
        <f t="shared" si="84"/>
        <v>1877</v>
      </c>
      <c r="F343" s="215" t="str">
        <f t="shared" si="84"/>
        <v>-</v>
      </c>
      <c r="G343" s="215">
        <f t="shared" si="84"/>
        <v>1661</v>
      </c>
      <c r="H343" s="215">
        <f t="shared" si="84"/>
        <v>1033</v>
      </c>
      <c r="I343" s="215">
        <f t="shared" si="84"/>
        <v>710</v>
      </c>
      <c r="J343" s="215">
        <f t="shared" si="84"/>
        <v>67</v>
      </c>
      <c r="K343" s="215" t="str">
        <f t="shared" si="84"/>
        <v>-</v>
      </c>
      <c r="L343" s="215">
        <f t="shared" si="84"/>
        <v>7810</v>
      </c>
    </row>
    <row r="344" spans="1:12" s="213" customFormat="1" x14ac:dyDescent="0.25">
      <c r="A344" s="213">
        <v>1998</v>
      </c>
      <c r="B344" s="215" t="str">
        <f t="shared" ref="B344:L344" si="85">IF(AND(B32="-",B292="-"),"-",SUM(B32,B292))</f>
        <v>-</v>
      </c>
      <c r="C344" s="215">
        <f t="shared" si="85"/>
        <v>851</v>
      </c>
      <c r="D344" s="215">
        <f t="shared" si="85"/>
        <v>1804</v>
      </c>
      <c r="E344" s="215">
        <f t="shared" si="85"/>
        <v>1706</v>
      </c>
      <c r="F344" s="215" t="str">
        <f t="shared" si="85"/>
        <v>-</v>
      </c>
      <c r="G344" s="215">
        <f t="shared" si="85"/>
        <v>1370</v>
      </c>
      <c r="H344" s="215">
        <f t="shared" si="85"/>
        <v>557</v>
      </c>
      <c r="I344" s="215">
        <f t="shared" si="85"/>
        <v>767</v>
      </c>
      <c r="J344" s="215">
        <f t="shared" si="85"/>
        <v>116</v>
      </c>
      <c r="K344" s="215" t="str">
        <f t="shared" si="85"/>
        <v>-</v>
      </c>
      <c r="L344" s="215">
        <f t="shared" si="85"/>
        <v>7171</v>
      </c>
    </row>
    <row r="345" spans="1:12" s="213" customFormat="1" x14ac:dyDescent="0.25">
      <c r="A345" s="213">
        <v>1999</v>
      </c>
      <c r="B345" s="215" t="str">
        <f t="shared" ref="B345:L345" si="86">IF(AND(B33="-",B293="-"),"-",SUM(B33,B293))</f>
        <v>-</v>
      </c>
      <c r="C345" s="215">
        <f t="shared" si="86"/>
        <v>177</v>
      </c>
      <c r="D345" s="215">
        <f t="shared" si="86"/>
        <v>607</v>
      </c>
      <c r="E345" s="215">
        <f t="shared" si="86"/>
        <v>1362</v>
      </c>
      <c r="F345" s="215">
        <f t="shared" si="86"/>
        <v>733</v>
      </c>
      <c r="G345" s="215">
        <f t="shared" si="86"/>
        <v>1120</v>
      </c>
      <c r="H345" s="215">
        <f t="shared" si="86"/>
        <v>455</v>
      </c>
      <c r="I345" s="215">
        <f t="shared" si="86"/>
        <v>491</v>
      </c>
      <c r="J345" s="215">
        <f t="shared" si="86"/>
        <v>130</v>
      </c>
      <c r="K345" s="215">
        <f t="shared" si="86"/>
        <v>8</v>
      </c>
      <c r="L345" s="215">
        <f t="shared" si="86"/>
        <v>5083</v>
      </c>
    </row>
    <row r="346" spans="1:12" s="213" customFormat="1" x14ac:dyDescent="0.25">
      <c r="A346" s="213">
        <v>2000</v>
      </c>
      <c r="B346" s="215" t="str">
        <f t="shared" ref="B346:L346" si="87">IF(AND(B34="-",B294="-"),"-",SUM(B34,B294))</f>
        <v>-</v>
      </c>
      <c r="C346" s="215">
        <f t="shared" si="87"/>
        <v>155</v>
      </c>
      <c r="D346" s="215">
        <f t="shared" si="87"/>
        <v>711</v>
      </c>
      <c r="E346" s="215">
        <f t="shared" si="87"/>
        <v>958</v>
      </c>
      <c r="F346" s="215">
        <f t="shared" si="87"/>
        <v>1186</v>
      </c>
      <c r="G346" s="215">
        <f t="shared" si="87"/>
        <v>2149</v>
      </c>
      <c r="H346" s="215">
        <f t="shared" si="87"/>
        <v>1312</v>
      </c>
      <c r="I346" s="215">
        <f t="shared" si="87"/>
        <v>760</v>
      </c>
      <c r="J346" s="215">
        <f t="shared" si="87"/>
        <v>180</v>
      </c>
      <c r="K346" s="215">
        <f t="shared" si="87"/>
        <v>69</v>
      </c>
      <c r="L346" s="215">
        <f t="shared" si="87"/>
        <v>7480</v>
      </c>
    </row>
    <row r="347" spans="1:12" s="213" customFormat="1" x14ac:dyDescent="0.25">
      <c r="A347" s="213">
        <v>2001</v>
      </c>
      <c r="B347" s="215" t="str">
        <f t="shared" ref="B347:L347" si="88">IF(AND(B35="-",B295="-"),"-",SUM(B35,B295))</f>
        <v>-</v>
      </c>
      <c r="C347" s="215">
        <f t="shared" si="88"/>
        <v>937</v>
      </c>
      <c r="D347" s="215">
        <f t="shared" si="88"/>
        <v>2034</v>
      </c>
      <c r="E347" s="215">
        <f t="shared" si="88"/>
        <v>2047</v>
      </c>
      <c r="F347" s="215">
        <f t="shared" si="88"/>
        <v>1442</v>
      </c>
      <c r="G347" s="215">
        <f t="shared" si="88"/>
        <v>2301</v>
      </c>
      <c r="H347" s="215">
        <f t="shared" si="88"/>
        <v>1337</v>
      </c>
      <c r="I347" s="215">
        <f t="shared" si="88"/>
        <v>914</v>
      </c>
      <c r="J347" s="215">
        <f t="shared" si="88"/>
        <v>135</v>
      </c>
      <c r="K347" s="215">
        <f t="shared" si="88"/>
        <v>1</v>
      </c>
      <c r="L347" s="215">
        <f t="shared" si="88"/>
        <v>11148</v>
      </c>
    </row>
    <row r="348" spans="1:12" s="213" customFormat="1" x14ac:dyDescent="0.25">
      <c r="A348" s="213">
        <v>2002</v>
      </c>
      <c r="B348" s="215">
        <f t="shared" ref="B348:L348" si="89">IF(AND(B36="-",B296="-"),"-",SUM(B36,B296))</f>
        <v>370</v>
      </c>
      <c r="C348" s="215">
        <f t="shared" si="89"/>
        <v>855</v>
      </c>
      <c r="D348" s="215">
        <f t="shared" si="89"/>
        <v>1758</v>
      </c>
      <c r="E348" s="215">
        <f t="shared" si="89"/>
        <v>2094</v>
      </c>
      <c r="F348" s="215">
        <f t="shared" si="89"/>
        <v>920</v>
      </c>
      <c r="G348" s="215">
        <f t="shared" si="89"/>
        <v>1554</v>
      </c>
      <c r="H348" s="215">
        <f t="shared" si="89"/>
        <v>1677</v>
      </c>
      <c r="I348" s="215">
        <f t="shared" si="89"/>
        <v>2300</v>
      </c>
      <c r="J348" s="215">
        <f t="shared" si="89"/>
        <v>158</v>
      </c>
      <c r="K348" s="215">
        <f t="shared" si="89"/>
        <v>15</v>
      </c>
      <c r="L348" s="215">
        <f t="shared" si="89"/>
        <v>11701</v>
      </c>
    </row>
    <row r="349" spans="1:12" s="213" customFormat="1" x14ac:dyDescent="0.25">
      <c r="A349" s="218">
        <v>2003</v>
      </c>
      <c r="B349" s="215">
        <f t="shared" ref="B349:L349" si="90">IF(AND(B37="-",B297="-"),"-",SUM(B37,B297))</f>
        <v>175</v>
      </c>
      <c r="C349" s="215">
        <f t="shared" si="90"/>
        <v>1397</v>
      </c>
      <c r="D349" s="215">
        <f t="shared" si="90"/>
        <v>2999</v>
      </c>
      <c r="E349" s="215">
        <f t="shared" si="90"/>
        <v>1631</v>
      </c>
      <c r="F349" s="215">
        <f t="shared" si="90"/>
        <v>1122</v>
      </c>
      <c r="G349" s="215">
        <f t="shared" si="90"/>
        <v>1596</v>
      </c>
      <c r="H349" s="215">
        <f t="shared" si="90"/>
        <v>1789</v>
      </c>
      <c r="I349" s="215">
        <f t="shared" si="90"/>
        <v>1554</v>
      </c>
      <c r="J349" s="215">
        <f t="shared" si="90"/>
        <v>141</v>
      </c>
      <c r="K349" s="215">
        <f t="shared" si="90"/>
        <v>14</v>
      </c>
      <c r="L349" s="215">
        <f t="shared" si="90"/>
        <v>12418</v>
      </c>
    </row>
    <row r="350" spans="1:12" s="213" customFormat="1" x14ac:dyDescent="0.25">
      <c r="A350" s="218">
        <v>2004</v>
      </c>
      <c r="B350" s="215">
        <f t="shared" ref="B350:L350" si="91">IF(AND(B38="-",B298="-"),"-",SUM(B38,B298))</f>
        <v>908</v>
      </c>
      <c r="C350" s="215">
        <f t="shared" si="91"/>
        <v>2515</v>
      </c>
      <c r="D350" s="215">
        <f t="shared" si="91"/>
        <v>2258</v>
      </c>
      <c r="E350" s="215">
        <f t="shared" si="91"/>
        <v>1959</v>
      </c>
      <c r="F350" s="215">
        <f t="shared" si="91"/>
        <v>993</v>
      </c>
      <c r="G350" s="215">
        <f t="shared" si="91"/>
        <v>1974</v>
      </c>
      <c r="H350" s="215">
        <f t="shared" si="91"/>
        <v>1564</v>
      </c>
      <c r="I350" s="215">
        <f t="shared" si="91"/>
        <v>765</v>
      </c>
      <c r="J350" s="215">
        <f t="shared" si="91"/>
        <v>247</v>
      </c>
      <c r="K350" s="215">
        <f t="shared" si="91"/>
        <v>21</v>
      </c>
      <c r="L350" s="215">
        <f t="shared" si="91"/>
        <v>13204</v>
      </c>
    </row>
    <row r="351" spans="1:12" s="213" customFormat="1" x14ac:dyDescent="0.25">
      <c r="A351" s="213">
        <v>2005</v>
      </c>
      <c r="B351" s="215">
        <f t="shared" ref="B351:L351" si="92">IF(AND(B39="-",B299="-"),"-",SUM(B39,B299))</f>
        <v>1304</v>
      </c>
      <c r="C351" s="215">
        <f t="shared" si="92"/>
        <v>370</v>
      </c>
      <c r="D351" s="215">
        <f t="shared" si="92"/>
        <v>3048</v>
      </c>
      <c r="E351" s="215">
        <f t="shared" si="92"/>
        <v>2699</v>
      </c>
      <c r="F351" s="215">
        <f t="shared" si="92"/>
        <v>30</v>
      </c>
      <c r="G351" s="215">
        <f t="shared" si="92"/>
        <v>234</v>
      </c>
      <c r="H351" s="215">
        <f t="shared" si="92"/>
        <v>2633</v>
      </c>
      <c r="I351" s="215">
        <f t="shared" si="92"/>
        <v>1070</v>
      </c>
      <c r="J351" s="215">
        <f t="shared" si="92"/>
        <v>160</v>
      </c>
      <c r="K351" s="215">
        <f t="shared" si="92"/>
        <v>75</v>
      </c>
      <c r="L351" s="215">
        <f t="shared" si="92"/>
        <v>11623</v>
      </c>
    </row>
    <row r="352" spans="1:12" s="218" customFormat="1" x14ac:dyDescent="0.25">
      <c r="A352" s="218">
        <v>2006</v>
      </c>
      <c r="B352" s="220" t="str">
        <f t="shared" ref="B352:L352" si="93">IF(AND(B40="-",B300="-"),"-",SUM(B40,B300))</f>
        <v>-</v>
      </c>
      <c r="C352" s="220" t="str">
        <f t="shared" si="93"/>
        <v>-</v>
      </c>
      <c r="D352" s="220">
        <f t="shared" si="93"/>
        <v>516</v>
      </c>
      <c r="E352" s="220">
        <f t="shared" si="93"/>
        <v>1313</v>
      </c>
      <c r="F352" s="220">
        <f t="shared" si="93"/>
        <v>483</v>
      </c>
      <c r="G352" s="220">
        <f t="shared" si="93"/>
        <v>264</v>
      </c>
      <c r="H352" s="220">
        <f t="shared" si="93"/>
        <v>720</v>
      </c>
      <c r="I352" s="220">
        <f t="shared" si="93"/>
        <v>874</v>
      </c>
      <c r="J352" s="220">
        <f t="shared" si="93"/>
        <v>306</v>
      </c>
      <c r="K352" s="220">
        <f t="shared" si="93"/>
        <v>26</v>
      </c>
      <c r="L352" s="220">
        <f t="shared" si="93"/>
        <v>4502</v>
      </c>
    </row>
    <row r="353" spans="1:12" s="218" customFormat="1" x14ac:dyDescent="0.25">
      <c r="A353" s="218">
        <v>2007</v>
      </c>
      <c r="B353" s="220" t="str">
        <f t="shared" ref="B353:L353" si="94">IF(AND(B41="-",B301="-"),"-",SUM(B41,B301))</f>
        <v>-</v>
      </c>
      <c r="C353" s="220">
        <f t="shared" si="94"/>
        <v>348</v>
      </c>
      <c r="D353" s="220">
        <f t="shared" si="94"/>
        <v>1266</v>
      </c>
      <c r="E353" s="220">
        <f t="shared" si="94"/>
        <v>958</v>
      </c>
      <c r="F353" s="220">
        <f t="shared" si="94"/>
        <v>404</v>
      </c>
      <c r="G353" s="220">
        <f t="shared" si="94"/>
        <v>1399</v>
      </c>
      <c r="H353" s="220">
        <f t="shared" si="94"/>
        <v>377</v>
      </c>
      <c r="I353" s="220">
        <f t="shared" si="94"/>
        <v>291</v>
      </c>
      <c r="J353" s="220">
        <f t="shared" si="94"/>
        <v>174</v>
      </c>
      <c r="K353" s="220" t="str">
        <f t="shared" si="94"/>
        <v>-</v>
      </c>
      <c r="L353" s="220">
        <f t="shared" si="94"/>
        <v>5217</v>
      </c>
    </row>
    <row r="354" spans="1:12" s="218" customFormat="1" x14ac:dyDescent="0.25">
      <c r="A354" s="218">
        <v>2008</v>
      </c>
      <c r="B354" s="220" t="str">
        <f t="shared" ref="B354:L354" si="95">IF(AND(B42="-",B302="-"),"-",SUM(B42,B302))</f>
        <v>-</v>
      </c>
      <c r="C354" s="220" t="str">
        <f t="shared" si="95"/>
        <v>-</v>
      </c>
      <c r="D354" s="220">
        <f t="shared" si="95"/>
        <v>272</v>
      </c>
      <c r="E354" s="220">
        <f t="shared" si="95"/>
        <v>282</v>
      </c>
      <c r="F354" s="220">
        <f t="shared" si="95"/>
        <v>33</v>
      </c>
      <c r="G354" s="220">
        <f t="shared" si="95"/>
        <v>58</v>
      </c>
      <c r="H354" s="220">
        <f t="shared" si="95"/>
        <v>47</v>
      </c>
      <c r="I354" s="220">
        <f t="shared" si="95"/>
        <v>63</v>
      </c>
      <c r="J354" s="220">
        <f t="shared" si="95"/>
        <v>48</v>
      </c>
      <c r="K354" s="220" t="str">
        <f t="shared" si="95"/>
        <v>-</v>
      </c>
      <c r="L354" s="220">
        <f t="shared" si="95"/>
        <v>803</v>
      </c>
    </row>
    <row r="355" spans="1:12" s="218" customFormat="1" x14ac:dyDescent="0.25">
      <c r="A355" s="218">
        <v>2009</v>
      </c>
      <c r="B355" s="220" t="str">
        <f t="shared" ref="B355:I364" si="96">IF(AND(B43="-",B303="-"),"-",SUM(B43,B303))</f>
        <v>-</v>
      </c>
      <c r="C355" s="220" t="str">
        <f t="shared" si="96"/>
        <v>-</v>
      </c>
      <c r="D355" s="220">
        <f t="shared" si="96"/>
        <v>72</v>
      </c>
      <c r="E355" s="220">
        <f t="shared" si="96"/>
        <v>85</v>
      </c>
      <c r="F355" s="220">
        <f t="shared" si="96"/>
        <v>239</v>
      </c>
      <c r="G355" s="220">
        <f t="shared" si="96"/>
        <v>135</v>
      </c>
      <c r="H355" s="220">
        <f t="shared" si="96"/>
        <v>643</v>
      </c>
      <c r="I355" s="220">
        <f t="shared" si="96"/>
        <v>60</v>
      </c>
      <c r="J355" s="220" t="s">
        <v>29</v>
      </c>
      <c r="K355" s="220" t="str">
        <f t="shared" ref="K355:L364" si="97">IF(AND(K43="-",K303="-"),"-",SUM(K43,K303))</f>
        <v>-</v>
      </c>
      <c r="L355" s="220">
        <f t="shared" si="97"/>
        <v>1234</v>
      </c>
    </row>
    <row r="356" spans="1:12" s="218" customFormat="1" x14ac:dyDescent="0.25">
      <c r="A356" s="218">
        <v>2010</v>
      </c>
      <c r="B356" s="220" t="str">
        <f t="shared" si="96"/>
        <v>-</v>
      </c>
      <c r="C356" s="220" t="str">
        <f t="shared" si="96"/>
        <v>-</v>
      </c>
      <c r="D356" s="220">
        <f t="shared" si="96"/>
        <v>1126</v>
      </c>
      <c r="E356" s="220">
        <f t="shared" si="96"/>
        <v>1275</v>
      </c>
      <c r="F356" s="220">
        <f t="shared" si="96"/>
        <v>735</v>
      </c>
      <c r="G356" s="220">
        <f t="shared" si="96"/>
        <v>878</v>
      </c>
      <c r="H356" s="220">
        <f t="shared" si="96"/>
        <v>53</v>
      </c>
      <c r="I356" s="220">
        <f t="shared" si="96"/>
        <v>229</v>
      </c>
      <c r="J356" s="220" t="s">
        <v>29</v>
      </c>
      <c r="K356" s="220" t="str">
        <f t="shared" si="97"/>
        <v>-</v>
      </c>
      <c r="L356" s="220">
        <f t="shared" si="97"/>
        <v>4296</v>
      </c>
    </row>
    <row r="357" spans="1:12" s="218" customFormat="1" x14ac:dyDescent="0.25">
      <c r="A357" s="218">
        <v>2011</v>
      </c>
      <c r="B357" s="220" t="str">
        <f t="shared" si="96"/>
        <v>-</v>
      </c>
      <c r="C357" s="220">
        <f t="shared" si="96"/>
        <v>316</v>
      </c>
      <c r="D357" s="220">
        <f t="shared" si="96"/>
        <v>1033</v>
      </c>
      <c r="E357" s="220">
        <f t="shared" si="96"/>
        <v>1264</v>
      </c>
      <c r="F357" s="220">
        <f t="shared" si="96"/>
        <v>149</v>
      </c>
      <c r="G357" s="220">
        <f t="shared" si="96"/>
        <v>317</v>
      </c>
      <c r="H357" s="220">
        <f t="shared" si="96"/>
        <v>137</v>
      </c>
      <c r="I357" s="220">
        <f t="shared" si="96"/>
        <v>301</v>
      </c>
      <c r="J357" s="220">
        <f t="shared" ref="J357:J364" si="98">IF(AND(J45="-",J305="-"),"-",SUM(J45,J305))</f>
        <v>235</v>
      </c>
      <c r="K357" s="220" t="str">
        <f t="shared" si="97"/>
        <v>-</v>
      </c>
      <c r="L357" s="220">
        <f t="shared" si="97"/>
        <v>3752</v>
      </c>
    </row>
    <row r="358" spans="1:12" s="218" customFormat="1" x14ac:dyDescent="0.25">
      <c r="A358" s="218">
        <v>2012</v>
      </c>
      <c r="B358" s="220" t="str">
        <f t="shared" si="96"/>
        <v>-</v>
      </c>
      <c r="C358" s="220">
        <f t="shared" si="96"/>
        <v>522</v>
      </c>
      <c r="D358" s="220">
        <f t="shared" si="96"/>
        <v>1515</v>
      </c>
      <c r="E358" s="220">
        <f t="shared" si="96"/>
        <v>1277</v>
      </c>
      <c r="F358" s="220">
        <f t="shared" si="96"/>
        <v>373</v>
      </c>
      <c r="G358" s="220">
        <f t="shared" si="96"/>
        <v>724</v>
      </c>
      <c r="H358" s="220">
        <f t="shared" si="96"/>
        <v>1003</v>
      </c>
      <c r="I358" s="220">
        <f t="shared" si="96"/>
        <v>721</v>
      </c>
      <c r="J358" s="220">
        <f t="shared" si="98"/>
        <v>121</v>
      </c>
      <c r="K358" s="220" t="str">
        <f t="shared" si="97"/>
        <v>-</v>
      </c>
      <c r="L358" s="220">
        <f t="shared" si="97"/>
        <v>6256</v>
      </c>
    </row>
    <row r="359" spans="1:12" s="218" customFormat="1" x14ac:dyDescent="0.25">
      <c r="A359" s="218">
        <v>2013</v>
      </c>
      <c r="B359" s="220" t="str">
        <f t="shared" si="96"/>
        <v>-</v>
      </c>
      <c r="C359" s="220">
        <f t="shared" si="96"/>
        <v>1042</v>
      </c>
      <c r="D359" s="220">
        <f t="shared" si="96"/>
        <v>1201</v>
      </c>
      <c r="E359" s="220">
        <f t="shared" si="96"/>
        <v>997</v>
      </c>
      <c r="F359" s="220">
        <f t="shared" si="96"/>
        <v>834</v>
      </c>
      <c r="G359" s="220">
        <f t="shared" si="96"/>
        <v>2401</v>
      </c>
      <c r="H359" s="220">
        <f t="shared" si="96"/>
        <v>1411</v>
      </c>
      <c r="I359" s="220">
        <f t="shared" si="96"/>
        <v>945</v>
      </c>
      <c r="J359" s="220">
        <f t="shared" si="98"/>
        <v>155</v>
      </c>
      <c r="K359" s="220" t="str">
        <f t="shared" si="97"/>
        <v>-</v>
      </c>
      <c r="L359" s="220">
        <f t="shared" si="97"/>
        <v>8986</v>
      </c>
    </row>
    <row r="360" spans="1:12" s="218" customFormat="1" x14ac:dyDescent="0.25">
      <c r="A360" s="218">
        <v>2014</v>
      </c>
      <c r="B360" s="220" t="str">
        <f t="shared" si="96"/>
        <v>-</v>
      </c>
      <c r="C360" s="220">
        <f t="shared" si="96"/>
        <v>962</v>
      </c>
      <c r="D360" s="220">
        <f t="shared" si="96"/>
        <v>3027</v>
      </c>
      <c r="E360" s="220">
        <f t="shared" si="96"/>
        <v>1879</v>
      </c>
      <c r="F360" s="220">
        <f t="shared" si="96"/>
        <v>1261</v>
      </c>
      <c r="G360" s="220">
        <f t="shared" si="96"/>
        <v>2290</v>
      </c>
      <c r="H360" s="220">
        <f t="shared" si="96"/>
        <v>819</v>
      </c>
      <c r="I360" s="220">
        <f t="shared" si="96"/>
        <v>367</v>
      </c>
      <c r="J360" s="220">
        <f t="shared" si="98"/>
        <v>98</v>
      </c>
      <c r="K360" s="220" t="str">
        <f t="shared" si="97"/>
        <v>-</v>
      </c>
      <c r="L360" s="220">
        <f t="shared" si="97"/>
        <v>10703</v>
      </c>
    </row>
    <row r="361" spans="1:12" s="218" customFormat="1" x14ac:dyDescent="0.25">
      <c r="A361" s="218">
        <v>2015</v>
      </c>
      <c r="B361" s="220" t="str">
        <f t="shared" si="96"/>
        <v>-</v>
      </c>
      <c r="C361" s="220">
        <f t="shared" si="96"/>
        <v>1767</v>
      </c>
      <c r="D361" s="220">
        <f t="shared" si="96"/>
        <v>2243</v>
      </c>
      <c r="E361" s="220">
        <f t="shared" si="96"/>
        <v>1437</v>
      </c>
      <c r="F361" s="220">
        <f t="shared" si="96"/>
        <v>1413</v>
      </c>
      <c r="G361" s="220">
        <f t="shared" si="96"/>
        <v>873</v>
      </c>
      <c r="H361" s="220">
        <f t="shared" si="96"/>
        <v>457</v>
      </c>
      <c r="I361" s="220">
        <f t="shared" si="96"/>
        <v>381</v>
      </c>
      <c r="J361" s="220">
        <f t="shared" si="98"/>
        <v>158</v>
      </c>
      <c r="K361" s="220" t="str">
        <f t="shared" si="97"/>
        <v>-</v>
      </c>
      <c r="L361" s="220">
        <f t="shared" si="97"/>
        <v>8729</v>
      </c>
    </row>
    <row r="362" spans="1:12" s="218" customFormat="1" x14ac:dyDescent="0.25">
      <c r="A362" s="218">
        <v>2016</v>
      </c>
      <c r="B362" s="220" t="str">
        <f t="shared" si="96"/>
        <v>-</v>
      </c>
      <c r="C362" s="220">
        <f t="shared" si="96"/>
        <v>895</v>
      </c>
      <c r="D362" s="220">
        <f t="shared" si="96"/>
        <v>917</v>
      </c>
      <c r="E362" s="220">
        <f t="shared" si="96"/>
        <v>764</v>
      </c>
      <c r="F362" s="220">
        <f t="shared" si="96"/>
        <v>571</v>
      </c>
      <c r="G362" s="220">
        <f t="shared" si="96"/>
        <v>685</v>
      </c>
      <c r="H362" s="220">
        <f t="shared" si="96"/>
        <v>330</v>
      </c>
      <c r="I362" s="220">
        <f t="shared" si="96"/>
        <v>189</v>
      </c>
      <c r="J362" s="220">
        <f t="shared" si="98"/>
        <v>41</v>
      </c>
      <c r="K362" s="220" t="str">
        <f t="shared" si="97"/>
        <v>-</v>
      </c>
      <c r="L362" s="220">
        <f t="shared" si="97"/>
        <v>4392</v>
      </c>
    </row>
    <row r="363" spans="1:12" s="213" customFormat="1" x14ac:dyDescent="0.25">
      <c r="A363" s="218">
        <v>2017</v>
      </c>
      <c r="B363" s="215" t="str">
        <f t="shared" si="96"/>
        <v>-</v>
      </c>
      <c r="C363" s="215">
        <f t="shared" si="96"/>
        <v>106</v>
      </c>
      <c r="D363" s="215">
        <f t="shared" si="96"/>
        <v>265</v>
      </c>
      <c r="E363" s="215">
        <f t="shared" si="96"/>
        <v>483</v>
      </c>
      <c r="F363" s="215">
        <f t="shared" si="96"/>
        <v>666</v>
      </c>
      <c r="G363" s="215">
        <f t="shared" si="96"/>
        <v>104</v>
      </c>
      <c r="H363" s="215">
        <f t="shared" si="96"/>
        <v>141</v>
      </c>
      <c r="I363" s="215">
        <f t="shared" si="96"/>
        <v>246</v>
      </c>
      <c r="J363" s="220">
        <f t="shared" si="98"/>
        <v>41</v>
      </c>
      <c r="K363" s="215" t="str">
        <f t="shared" si="97"/>
        <v>-</v>
      </c>
      <c r="L363" s="215">
        <f t="shared" si="97"/>
        <v>2052</v>
      </c>
    </row>
    <row r="364" spans="1:12" s="218" customFormat="1" x14ac:dyDescent="0.25">
      <c r="A364" s="218">
        <v>2018</v>
      </c>
      <c r="B364" s="220" t="str">
        <f t="shared" si="96"/>
        <v>-</v>
      </c>
      <c r="C364" s="220" t="str">
        <f t="shared" si="96"/>
        <v>-</v>
      </c>
      <c r="D364" s="220">
        <f t="shared" si="96"/>
        <v>401</v>
      </c>
      <c r="E364" s="220">
        <f t="shared" si="96"/>
        <v>610</v>
      </c>
      <c r="F364" s="220">
        <f t="shared" si="96"/>
        <v>413</v>
      </c>
      <c r="G364" s="220">
        <f t="shared" si="96"/>
        <v>769</v>
      </c>
      <c r="H364" s="220">
        <f t="shared" si="96"/>
        <v>80</v>
      </c>
      <c r="I364" s="220">
        <f t="shared" si="96"/>
        <v>217</v>
      </c>
      <c r="J364" s="220">
        <f t="shared" si="98"/>
        <v>83</v>
      </c>
      <c r="K364" s="220" t="str">
        <f t="shared" si="97"/>
        <v>-</v>
      </c>
      <c r="L364" s="220">
        <f t="shared" si="97"/>
        <v>2573</v>
      </c>
    </row>
    <row r="365" spans="1:12" s="218" customFormat="1" x14ac:dyDescent="0.25">
      <c r="A365" s="218">
        <v>2019</v>
      </c>
      <c r="B365" s="220" t="str">
        <f t="shared" ref="B365:L366" si="99">IF(AND(B53="-",B313="-"),"-",SUM(B53,B313))</f>
        <v>-</v>
      </c>
      <c r="C365" s="220">
        <f t="shared" si="99"/>
        <v>51</v>
      </c>
      <c r="D365" s="220">
        <f t="shared" si="99"/>
        <v>150</v>
      </c>
      <c r="E365" s="220">
        <f t="shared" si="99"/>
        <v>380</v>
      </c>
      <c r="F365" s="220">
        <f t="shared" si="99"/>
        <v>1080</v>
      </c>
      <c r="G365" s="220">
        <f t="shared" si="99"/>
        <v>563</v>
      </c>
      <c r="H365" s="220">
        <f t="shared" si="99"/>
        <v>128</v>
      </c>
      <c r="I365" s="220">
        <f t="shared" si="99"/>
        <v>187</v>
      </c>
      <c r="J365" s="220" t="str">
        <f t="shared" si="99"/>
        <v>-</v>
      </c>
      <c r="K365" s="220" t="str">
        <f t="shared" si="99"/>
        <v>-</v>
      </c>
      <c r="L365" s="220">
        <f t="shared" si="99"/>
        <v>2539</v>
      </c>
    </row>
    <row r="366" spans="1:12" s="213" customFormat="1" x14ac:dyDescent="0.25">
      <c r="A366" s="218" t="s">
        <v>393</v>
      </c>
      <c r="B366" s="215" t="str">
        <f t="shared" si="99"/>
        <v>-</v>
      </c>
      <c r="C366" s="215">
        <f t="shared" si="99"/>
        <v>141</v>
      </c>
      <c r="D366" s="215">
        <f t="shared" si="99"/>
        <v>117</v>
      </c>
      <c r="E366" s="215">
        <f t="shared" si="99"/>
        <v>438</v>
      </c>
      <c r="F366" s="215">
        <f t="shared" si="99"/>
        <v>663</v>
      </c>
      <c r="G366" s="215">
        <f t="shared" si="99"/>
        <v>282</v>
      </c>
      <c r="H366" s="215">
        <f t="shared" si="99"/>
        <v>177</v>
      </c>
      <c r="I366" s="215">
        <f t="shared" si="99"/>
        <v>212</v>
      </c>
      <c r="J366" s="220" t="str">
        <f t="shared" si="99"/>
        <v>-</v>
      </c>
      <c r="K366" s="215" t="str">
        <f t="shared" si="99"/>
        <v>-</v>
      </c>
      <c r="L366" s="215">
        <f t="shared" si="99"/>
        <v>2030</v>
      </c>
    </row>
    <row r="367" spans="1:12" s="314" customFormat="1" ht="10.15" customHeight="1" x14ac:dyDescent="0.25">
      <c r="A367" s="546" t="s">
        <v>242</v>
      </c>
      <c r="B367" s="546"/>
      <c r="C367" s="546"/>
      <c r="D367" s="546"/>
      <c r="E367" s="546"/>
      <c r="F367" s="546"/>
      <c r="G367" s="546"/>
      <c r="H367" s="546"/>
      <c r="I367" s="546"/>
      <c r="J367" s="546"/>
      <c r="K367" s="546"/>
      <c r="L367" s="546"/>
    </row>
    <row r="368" spans="1:12" s="314" customFormat="1" x14ac:dyDescent="0.25">
      <c r="A368" s="543"/>
      <c r="B368" s="543"/>
      <c r="C368" s="543"/>
      <c r="D368" s="543"/>
      <c r="E368" s="543"/>
      <c r="F368" s="543"/>
      <c r="G368" s="543"/>
      <c r="H368" s="543"/>
      <c r="I368" s="543"/>
      <c r="J368" s="543"/>
      <c r="K368" s="543"/>
      <c r="L368" s="543"/>
    </row>
    <row r="369" spans="1:12" s="314" customFormat="1" x14ac:dyDescent="0.25">
      <c r="A369" s="543"/>
      <c r="B369" s="543"/>
      <c r="C369" s="543"/>
      <c r="D369" s="543"/>
      <c r="E369" s="543"/>
      <c r="F369" s="543"/>
      <c r="G369" s="543"/>
      <c r="H369" s="543"/>
      <c r="I369" s="543"/>
      <c r="J369" s="543"/>
      <c r="K369" s="543"/>
      <c r="L369" s="543"/>
    </row>
    <row r="370" spans="1:12" s="314" customFormat="1" x14ac:dyDescent="0.25">
      <c r="A370" s="543"/>
      <c r="B370" s="543"/>
      <c r="C370" s="543"/>
      <c r="D370" s="543"/>
      <c r="E370" s="543"/>
      <c r="F370" s="543"/>
      <c r="G370" s="543"/>
      <c r="H370" s="543"/>
      <c r="I370" s="543"/>
      <c r="J370" s="543"/>
      <c r="K370" s="543"/>
      <c r="L370" s="543"/>
    </row>
    <row r="371" spans="1:12" s="314" customFormat="1" x14ac:dyDescent="0.25">
      <c r="A371" s="543"/>
      <c r="B371" s="543"/>
      <c r="C371" s="543"/>
      <c r="D371" s="543"/>
      <c r="E371" s="543"/>
      <c r="F371" s="543"/>
      <c r="G371" s="543"/>
      <c r="H371" s="543"/>
      <c r="I371" s="543"/>
      <c r="J371" s="543"/>
      <c r="K371" s="543"/>
      <c r="L371" s="543"/>
    </row>
    <row r="372" spans="1:12" s="314" customFormat="1" x14ac:dyDescent="0.25">
      <c r="A372" s="364" t="s">
        <v>48</v>
      </c>
      <c r="B372" s="364"/>
      <c r="C372" s="364"/>
      <c r="D372" s="364"/>
      <c r="E372" s="364"/>
      <c r="F372" s="364"/>
      <c r="G372" s="364"/>
      <c r="H372" s="364"/>
      <c r="I372" s="364"/>
      <c r="J372" s="364"/>
      <c r="K372" s="364"/>
      <c r="L372" s="364"/>
    </row>
    <row r="373" spans="1:12" s="314" customFormat="1" x14ac:dyDescent="0.25">
      <c r="A373" s="541"/>
      <c r="B373" s="541"/>
      <c r="C373" s="541"/>
      <c r="D373" s="541"/>
      <c r="E373" s="541"/>
      <c r="F373" s="541"/>
      <c r="G373" s="541"/>
      <c r="H373" s="541"/>
      <c r="I373" s="541"/>
      <c r="J373" s="541"/>
      <c r="K373" s="541"/>
      <c r="L373" s="541"/>
    </row>
    <row r="374" spans="1:12" s="314" customFormat="1" x14ac:dyDescent="0.25">
      <c r="A374" s="541"/>
      <c r="B374" s="541"/>
      <c r="C374" s="541"/>
      <c r="D374" s="541"/>
      <c r="E374" s="541"/>
      <c r="F374" s="541"/>
      <c r="G374" s="541"/>
      <c r="H374" s="541"/>
      <c r="I374" s="541"/>
      <c r="J374" s="541"/>
      <c r="K374" s="541"/>
      <c r="L374" s="541"/>
    </row>
    <row r="375" spans="1:12" s="314" customFormat="1" x14ac:dyDescent="0.25">
      <c r="A375" s="364"/>
      <c r="B375" s="222"/>
      <c r="C375" s="222"/>
      <c r="D375" s="222"/>
      <c r="E375" s="222"/>
      <c r="F375" s="222"/>
      <c r="G375" s="222"/>
      <c r="H375" s="222"/>
      <c r="I375" s="222"/>
      <c r="J375" s="222"/>
      <c r="K375" s="222"/>
      <c r="L375" s="222"/>
    </row>
    <row r="376" spans="1:12" s="314" customFormat="1" x14ac:dyDescent="0.25">
      <c r="A376" s="364"/>
      <c r="B376" s="222"/>
      <c r="C376" s="222"/>
      <c r="D376" s="222"/>
      <c r="E376" s="222"/>
      <c r="F376" s="222"/>
      <c r="G376" s="222"/>
      <c r="H376" s="222"/>
      <c r="I376" s="222"/>
      <c r="J376" s="222"/>
      <c r="K376" s="222"/>
      <c r="L376" s="222"/>
    </row>
    <row r="377" spans="1:12" s="314" customFormat="1" x14ac:dyDescent="0.25">
      <c r="A377" s="364"/>
      <c r="B377" s="222"/>
      <c r="C377" s="222"/>
      <c r="D377" s="222"/>
      <c r="E377" s="222"/>
      <c r="F377" s="222"/>
      <c r="G377" s="222"/>
      <c r="H377" s="222"/>
      <c r="I377" s="222"/>
      <c r="J377" s="222"/>
      <c r="K377" s="222"/>
      <c r="L377" s="222"/>
    </row>
    <row r="378" spans="1:12" s="314" customFormat="1" x14ac:dyDescent="0.25">
      <c r="A378" s="364"/>
      <c r="B378" s="222"/>
      <c r="C378" s="222"/>
      <c r="D378" s="222"/>
      <c r="E378" s="222"/>
      <c r="F378" s="222"/>
      <c r="G378" s="222"/>
      <c r="H378" s="222"/>
      <c r="I378" s="222"/>
      <c r="J378" s="222"/>
      <c r="K378" s="222"/>
      <c r="L378" s="222"/>
    </row>
    <row r="379" spans="1:12" s="316" customFormat="1" x14ac:dyDescent="0.25">
      <c r="A379" s="243"/>
      <c r="B379" s="244"/>
      <c r="C379" s="244"/>
      <c r="D379" s="244"/>
      <c r="E379" s="244"/>
      <c r="F379" s="244"/>
      <c r="G379" s="244"/>
      <c r="H379" s="244"/>
      <c r="I379" s="244"/>
      <c r="J379" s="244"/>
      <c r="K379" s="244"/>
      <c r="L379" s="244"/>
    </row>
    <row r="380" spans="1:12" s="314" customFormat="1" x14ac:dyDescent="0.25">
      <c r="A380" s="364"/>
      <c r="B380" s="222"/>
      <c r="C380" s="222"/>
      <c r="D380" s="222"/>
      <c r="E380" s="222"/>
      <c r="F380" s="222"/>
      <c r="G380" s="222"/>
      <c r="H380" s="222"/>
      <c r="I380" s="222"/>
      <c r="J380" s="222"/>
      <c r="K380" s="222"/>
      <c r="L380" s="222"/>
    </row>
    <row r="381" spans="1:12" s="314" customFormat="1" x14ac:dyDescent="0.25">
      <c r="A381" s="364"/>
      <c r="B381" s="222"/>
      <c r="C381" s="222"/>
      <c r="D381" s="222"/>
      <c r="E381" s="222"/>
      <c r="F381" s="222"/>
      <c r="G381" s="222"/>
      <c r="H381" s="222"/>
      <c r="I381" s="222"/>
      <c r="J381" s="222"/>
      <c r="K381" s="222"/>
      <c r="L381" s="222"/>
    </row>
    <row r="382" spans="1:12" s="314" customFormat="1" x14ac:dyDescent="0.25">
      <c r="A382" s="364"/>
      <c r="B382" s="222"/>
      <c r="C382" s="222"/>
      <c r="D382" s="222"/>
      <c r="E382" s="222"/>
      <c r="F382" s="222"/>
      <c r="G382" s="222"/>
      <c r="H382" s="222"/>
      <c r="I382" s="222"/>
      <c r="J382" s="222"/>
      <c r="K382" s="222"/>
      <c r="L382" s="222"/>
    </row>
    <row r="383" spans="1:12" s="314" customFormat="1" ht="11.25" customHeight="1" x14ac:dyDescent="0.25">
      <c r="A383" s="547" t="s">
        <v>352</v>
      </c>
      <c r="B383" s="547"/>
      <c r="C383" s="547"/>
      <c r="D383" s="547"/>
      <c r="E383" s="547"/>
      <c r="F383" s="547"/>
      <c r="G383" s="547"/>
      <c r="H383" s="547"/>
      <c r="I383" s="547"/>
      <c r="J383" s="547"/>
      <c r="K383" s="547"/>
      <c r="L383" s="547"/>
    </row>
    <row r="384" spans="1:12" s="314" customFormat="1" ht="11.25" customHeight="1" x14ac:dyDescent="0.25">
      <c r="A384" s="537" t="s">
        <v>49</v>
      </c>
      <c r="B384" s="403"/>
      <c r="C384" s="403"/>
      <c r="D384" s="403"/>
      <c r="E384" s="403"/>
      <c r="F384" s="403"/>
      <c r="G384" s="403"/>
      <c r="H384" s="403"/>
      <c r="I384" s="403"/>
      <c r="J384" s="403"/>
      <c r="K384" s="403"/>
      <c r="L384" s="403"/>
    </row>
    <row r="385" spans="1:12" s="314" customFormat="1" ht="11.25" customHeight="1" x14ac:dyDescent="0.25">
      <c r="A385" s="538"/>
      <c r="B385" s="404" t="s">
        <v>43</v>
      </c>
      <c r="C385" s="404" t="s">
        <v>34</v>
      </c>
      <c r="D385" s="404" t="s">
        <v>35</v>
      </c>
      <c r="E385" s="404" t="s">
        <v>36</v>
      </c>
      <c r="F385" s="404" t="s">
        <v>37</v>
      </c>
      <c r="G385" s="404" t="s">
        <v>38</v>
      </c>
      <c r="H385" s="404" t="s">
        <v>39</v>
      </c>
      <c r="I385" s="404" t="s">
        <v>40</v>
      </c>
      <c r="J385" s="404" t="s">
        <v>44</v>
      </c>
      <c r="K385" s="404" t="s">
        <v>83</v>
      </c>
      <c r="L385" s="404" t="s">
        <v>28</v>
      </c>
    </row>
    <row r="386" spans="1:12" s="314" customFormat="1" ht="11.25" customHeight="1" x14ac:dyDescent="0.25">
      <c r="A386" s="405" t="s">
        <v>112</v>
      </c>
      <c r="B386" s="406"/>
      <c r="C386" s="407"/>
      <c r="D386" s="407"/>
      <c r="E386" s="407"/>
      <c r="F386" s="407"/>
      <c r="G386" s="407"/>
      <c r="H386" s="407"/>
      <c r="I386" s="407"/>
      <c r="J386" s="407"/>
      <c r="K386" s="407"/>
      <c r="L386" s="407"/>
    </row>
    <row r="387" spans="1:12" s="314" customFormat="1" ht="11.25" customHeight="1" x14ac:dyDescent="0.25">
      <c r="A387" s="408" t="s">
        <v>30</v>
      </c>
      <c r="B387" s="406" t="s">
        <v>29</v>
      </c>
      <c r="C387" s="406" t="s">
        <v>29</v>
      </c>
      <c r="D387" s="406">
        <f t="shared" ref="D387:I387" si="100">AVERAGE(D15:D19)</f>
        <v>402.4</v>
      </c>
      <c r="E387" s="406">
        <f t="shared" si="100"/>
        <v>0</v>
      </c>
      <c r="F387" s="406">
        <f t="shared" si="100"/>
        <v>322</v>
      </c>
      <c r="G387" s="406">
        <f t="shared" si="100"/>
        <v>338.2</v>
      </c>
      <c r="H387" s="406">
        <f t="shared" si="100"/>
        <v>32.799999999999997</v>
      </c>
      <c r="I387" s="406">
        <f t="shared" si="100"/>
        <v>0.4</v>
      </c>
      <c r="J387" s="406" t="s">
        <v>29</v>
      </c>
      <c r="K387" s="406" t="s">
        <v>29</v>
      </c>
      <c r="L387" s="406">
        <f>AVERAGE(L15:L19)</f>
        <v>1095.8</v>
      </c>
    </row>
    <row r="388" spans="1:12" s="314" customFormat="1" ht="11.25" customHeight="1" x14ac:dyDescent="0.25">
      <c r="A388" s="408" t="s">
        <v>87</v>
      </c>
      <c r="B388" s="406" t="s">
        <v>29</v>
      </c>
      <c r="C388" s="406" t="s">
        <v>29</v>
      </c>
      <c r="D388" s="406">
        <f t="shared" ref="D388:I388" si="101">AVERAGE(D20:D24)</f>
        <v>146</v>
      </c>
      <c r="E388" s="406">
        <f t="shared" si="101"/>
        <v>26.333333333333332</v>
      </c>
      <c r="F388" s="406">
        <f t="shared" si="101"/>
        <v>183</v>
      </c>
      <c r="G388" s="406">
        <f t="shared" si="101"/>
        <v>578.66666666666663</v>
      </c>
      <c r="H388" s="406">
        <f t="shared" si="101"/>
        <v>272.5</v>
      </c>
      <c r="I388" s="406">
        <f t="shared" si="101"/>
        <v>22</v>
      </c>
      <c r="J388" s="406" t="s">
        <v>29</v>
      </c>
      <c r="K388" s="406" t="s">
        <v>29</v>
      </c>
      <c r="L388" s="406">
        <f>AVERAGE(L20:L24)</f>
        <v>659</v>
      </c>
    </row>
    <row r="389" spans="1:12" s="314" customFormat="1" ht="11.25" customHeight="1" x14ac:dyDescent="0.25">
      <c r="A389" s="408" t="s">
        <v>14</v>
      </c>
      <c r="B389" s="406" t="s">
        <v>29</v>
      </c>
      <c r="C389" s="406" t="s">
        <v>29</v>
      </c>
      <c r="D389" s="406">
        <f>AVERAGE(D25:D29)</f>
        <v>58.333333333333336</v>
      </c>
      <c r="E389" s="406">
        <f>AVERAGE(E25:E29)</f>
        <v>43</v>
      </c>
      <c r="F389" s="406">
        <f>AVERAGE(F25:F29)</f>
        <v>50</v>
      </c>
      <c r="G389" s="406">
        <f>AVERAGE(G25:G29)</f>
        <v>165.66666666666666</v>
      </c>
      <c r="H389" s="406">
        <f>AVERAGE(H25:H29)</f>
        <v>111</v>
      </c>
      <c r="I389" s="406" t="s">
        <v>29</v>
      </c>
      <c r="J389" s="406" t="s">
        <v>29</v>
      </c>
      <c r="K389" s="406" t="s">
        <v>29</v>
      </c>
      <c r="L389" s="406">
        <f>AVERAGE(L25:L29)</f>
        <v>374.33333333333331</v>
      </c>
    </row>
    <row r="390" spans="1:12" s="314" customFormat="1" ht="11.25" customHeight="1" x14ac:dyDescent="0.25">
      <c r="A390" s="408" t="s">
        <v>207</v>
      </c>
      <c r="B390" s="406" t="s">
        <v>29</v>
      </c>
      <c r="C390" s="406" t="s">
        <v>29</v>
      </c>
      <c r="D390" s="406">
        <f>AVERAGE(D30:D34)</f>
        <v>1.75</v>
      </c>
      <c r="E390" s="406">
        <f>AVERAGE(E30:E34)</f>
        <v>2.25</v>
      </c>
      <c r="F390" s="406" t="s">
        <v>29</v>
      </c>
      <c r="G390" s="406">
        <f>AVERAGE(G30:G34)</f>
        <v>246</v>
      </c>
      <c r="H390" s="406">
        <f>AVERAGE(H30:H34)</f>
        <v>18</v>
      </c>
      <c r="I390" s="406" t="s">
        <v>29</v>
      </c>
      <c r="J390" s="406" t="s">
        <v>29</v>
      </c>
      <c r="K390" s="406" t="s">
        <v>29</v>
      </c>
      <c r="L390" s="406">
        <f>AVERAGE(L30:L34)</f>
        <v>70</v>
      </c>
    </row>
    <row r="391" spans="1:12" s="314" customFormat="1" ht="11.25" customHeight="1" x14ac:dyDescent="0.25">
      <c r="A391" s="118" t="s">
        <v>238</v>
      </c>
      <c r="B391" s="406" t="str">
        <f>B35</f>
        <v>-</v>
      </c>
      <c r="C391" s="406" t="str">
        <f>C35</f>
        <v>-</v>
      </c>
      <c r="D391" s="406">
        <f>AVERAGE(D35:D39)</f>
        <v>77.599999999999994</v>
      </c>
      <c r="E391" s="406">
        <f>AVERAGE(E35:E39)</f>
        <v>27.8</v>
      </c>
      <c r="F391" s="406">
        <f>AVERAGE(F35:F39)</f>
        <v>89.4</v>
      </c>
      <c r="G391" s="406">
        <f>AVERAGE(G35:G39)</f>
        <v>151.80000000000001</v>
      </c>
      <c r="H391" s="406">
        <f>AVERAGE(H35:H39)</f>
        <v>71.666666666666671</v>
      </c>
      <c r="I391" s="406" t="str">
        <f>I35</f>
        <v>-</v>
      </c>
      <c r="J391" s="406" t="str">
        <f>J35</f>
        <v>-</v>
      </c>
      <c r="K391" s="406" t="str">
        <f>K35</f>
        <v>-</v>
      </c>
      <c r="L391" s="406">
        <f>AVERAGE(L35:L39)</f>
        <v>389.6</v>
      </c>
    </row>
    <row r="392" spans="1:12" s="314" customFormat="1" ht="11.25" customHeight="1" x14ac:dyDescent="0.25">
      <c r="A392" s="118">
        <v>2006</v>
      </c>
      <c r="B392" s="406" t="str">
        <f t="shared" ref="B392:L392" si="102">B40</f>
        <v>-</v>
      </c>
      <c r="C392" s="406" t="str">
        <f t="shared" si="102"/>
        <v>-</v>
      </c>
      <c r="D392" s="406">
        <f t="shared" si="102"/>
        <v>516</v>
      </c>
      <c r="E392" s="406">
        <f t="shared" si="102"/>
        <v>296</v>
      </c>
      <c r="F392" s="406" t="str">
        <f t="shared" si="102"/>
        <v>-</v>
      </c>
      <c r="G392" s="406">
        <f t="shared" si="102"/>
        <v>79</v>
      </c>
      <c r="H392" s="406">
        <f t="shared" si="102"/>
        <v>93</v>
      </c>
      <c r="I392" s="406" t="str">
        <f t="shared" si="102"/>
        <v>-</v>
      </c>
      <c r="J392" s="406" t="str">
        <f t="shared" si="102"/>
        <v>-</v>
      </c>
      <c r="K392" s="406" t="str">
        <f t="shared" si="102"/>
        <v>-</v>
      </c>
      <c r="L392" s="406">
        <f t="shared" si="102"/>
        <v>984</v>
      </c>
    </row>
    <row r="393" spans="1:12" s="317" customFormat="1" ht="11.25" customHeight="1" x14ac:dyDescent="0.25">
      <c r="A393" s="118">
        <v>2007</v>
      </c>
      <c r="B393" s="406" t="str">
        <f t="shared" ref="B393:L393" si="103">B41</f>
        <v>-</v>
      </c>
      <c r="C393" s="406" t="str">
        <f t="shared" si="103"/>
        <v>-</v>
      </c>
      <c r="D393" s="406">
        <f t="shared" si="103"/>
        <v>77</v>
      </c>
      <c r="E393" s="406">
        <f t="shared" si="103"/>
        <v>46</v>
      </c>
      <c r="F393" s="406">
        <f t="shared" si="103"/>
        <v>40</v>
      </c>
      <c r="G393" s="406">
        <f t="shared" si="103"/>
        <v>153</v>
      </c>
      <c r="H393" s="406">
        <f t="shared" si="103"/>
        <v>14</v>
      </c>
      <c r="I393" s="406" t="str">
        <f t="shared" si="103"/>
        <v>-</v>
      </c>
      <c r="J393" s="406" t="str">
        <f t="shared" si="103"/>
        <v>-</v>
      </c>
      <c r="K393" s="406" t="str">
        <f t="shared" si="103"/>
        <v>-</v>
      </c>
      <c r="L393" s="406">
        <f t="shared" si="103"/>
        <v>330</v>
      </c>
    </row>
    <row r="394" spans="1:12" s="317" customFormat="1" ht="11.25" customHeight="1" x14ac:dyDescent="0.25">
      <c r="A394" s="118">
        <v>2008</v>
      </c>
      <c r="B394" s="406" t="str">
        <f t="shared" ref="B394:L394" si="104">B42</f>
        <v>-</v>
      </c>
      <c r="C394" s="406" t="str">
        <f t="shared" si="104"/>
        <v>-</v>
      </c>
      <c r="D394" s="406">
        <f t="shared" si="104"/>
        <v>272</v>
      </c>
      <c r="E394" s="406">
        <f t="shared" si="104"/>
        <v>282</v>
      </c>
      <c r="F394" s="406">
        <f t="shared" si="104"/>
        <v>33</v>
      </c>
      <c r="G394" s="406">
        <f t="shared" si="104"/>
        <v>58</v>
      </c>
      <c r="H394" s="406">
        <f t="shared" si="104"/>
        <v>10</v>
      </c>
      <c r="I394" s="406" t="str">
        <f t="shared" si="104"/>
        <v>-</v>
      </c>
      <c r="J394" s="406" t="str">
        <f t="shared" si="104"/>
        <v>-</v>
      </c>
      <c r="K394" s="406" t="str">
        <f t="shared" si="104"/>
        <v>-</v>
      </c>
      <c r="L394" s="406">
        <f t="shared" si="104"/>
        <v>655</v>
      </c>
    </row>
    <row r="395" spans="1:12" s="317" customFormat="1" ht="11.25" customHeight="1" x14ac:dyDescent="0.25">
      <c r="A395" s="118">
        <v>2009</v>
      </c>
      <c r="B395" s="406" t="str">
        <f t="shared" ref="B395:L395" si="105">B43</f>
        <v>-</v>
      </c>
      <c r="C395" s="406" t="str">
        <f t="shared" si="105"/>
        <v>-</v>
      </c>
      <c r="D395" s="406">
        <f t="shared" si="105"/>
        <v>72</v>
      </c>
      <c r="E395" s="406">
        <f t="shared" si="105"/>
        <v>85</v>
      </c>
      <c r="F395" s="406">
        <f t="shared" si="105"/>
        <v>239</v>
      </c>
      <c r="G395" s="406">
        <f t="shared" si="105"/>
        <v>135</v>
      </c>
      <c r="H395" s="406">
        <f t="shared" si="105"/>
        <v>9</v>
      </c>
      <c r="I395" s="406" t="str">
        <f t="shared" si="105"/>
        <v>-</v>
      </c>
      <c r="J395" s="406" t="str">
        <f t="shared" si="105"/>
        <v>-</v>
      </c>
      <c r="K395" s="406" t="str">
        <f t="shared" si="105"/>
        <v>-</v>
      </c>
      <c r="L395" s="406">
        <f t="shared" si="105"/>
        <v>540</v>
      </c>
    </row>
    <row r="396" spans="1:12" s="317" customFormat="1" ht="11.25" customHeight="1" x14ac:dyDescent="0.25">
      <c r="A396" s="118">
        <v>2010</v>
      </c>
      <c r="B396" s="406" t="str">
        <f t="shared" ref="B396:L396" si="106">B44</f>
        <v>-</v>
      </c>
      <c r="C396" s="406" t="str">
        <f t="shared" si="106"/>
        <v>-</v>
      </c>
      <c r="D396" s="406">
        <f t="shared" si="106"/>
        <v>68</v>
      </c>
      <c r="E396" s="406">
        <f t="shared" si="106"/>
        <v>288</v>
      </c>
      <c r="F396" s="406">
        <f t="shared" si="106"/>
        <v>141</v>
      </c>
      <c r="G396" s="406">
        <f t="shared" si="106"/>
        <v>119</v>
      </c>
      <c r="H396" s="406">
        <f t="shared" si="106"/>
        <v>16</v>
      </c>
      <c r="I396" s="406" t="str">
        <f t="shared" si="106"/>
        <v>-</v>
      </c>
      <c r="J396" s="406" t="str">
        <f t="shared" si="106"/>
        <v>-</v>
      </c>
      <c r="K396" s="406" t="str">
        <f t="shared" si="106"/>
        <v>-</v>
      </c>
      <c r="L396" s="406">
        <f t="shared" si="106"/>
        <v>632</v>
      </c>
    </row>
    <row r="397" spans="1:12" s="317" customFormat="1" ht="11.25" customHeight="1" x14ac:dyDescent="0.25">
      <c r="A397" s="118">
        <v>2011</v>
      </c>
      <c r="B397" s="406" t="str">
        <f t="shared" ref="B397:L397" si="107">B45</f>
        <v>-</v>
      </c>
      <c r="C397" s="406" t="str">
        <f t="shared" si="107"/>
        <v>-</v>
      </c>
      <c r="D397" s="406">
        <f t="shared" si="107"/>
        <v>85</v>
      </c>
      <c r="E397" s="406">
        <f t="shared" si="107"/>
        <v>124</v>
      </c>
      <c r="F397" s="406">
        <f t="shared" si="107"/>
        <v>41</v>
      </c>
      <c r="G397" s="406">
        <f t="shared" si="107"/>
        <v>24</v>
      </c>
      <c r="H397" s="406">
        <f t="shared" si="107"/>
        <v>15</v>
      </c>
      <c r="I397" s="406" t="str">
        <f t="shared" si="107"/>
        <v>-</v>
      </c>
      <c r="J397" s="406" t="str">
        <f t="shared" si="107"/>
        <v>-</v>
      </c>
      <c r="K397" s="406" t="str">
        <f t="shared" si="107"/>
        <v>-</v>
      </c>
      <c r="L397" s="406">
        <f t="shared" si="107"/>
        <v>289</v>
      </c>
    </row>
    <row r="398" spans="1:12" s="317" customFormat="1" ht="11.25" customHeight="1" x14ac:dyDescent="0.25">
      <c r="A398" s="118">
        <v>2012</v>
      </c>
      <c r="B398" s="406" t="str">
        <f t="shared" ref="B398:L398" si="108">B46</f>
        <v>-</v>
      </c>
      <c r="C398" s="406" t="str">
        <f t="shared" si="108"/>
        <v>-</v>
      </c>
      <c r="D398" s="406">
        <f t="shared" si="108"/>
        <v>58</v>
      </c>
      <c r="E398" s="406">
        <f t="shared" si="108"/>
        <v>223</v>
      </c>
      <c r="F398" s="406">
        <f t="shared" si="108"/>
        <v>37</v>
      </c>
      <c r="G398" s="406">
        <f t="shared" si="108"/>
        <v>25</v>
      </c>
      <c r="H398" s="406">
        <f t="shared" si="108"/>
        <v>73</v>
      </c>
      <c r="I398" s="406" t="str">
        <f t="shared" si="108"/>
        <v>-</v>
      </c>
      <c r="J398" s="406" t="str">
        <f t="shared" si="108"/>
        <v>-</v>
      </c>
      <c r="K398" s="406" t="str">
        <f t="shared" si="108"/>
        <v>-</v>
      </c>
      <c r="L398" s="406">
        <f t="shared" si="108"/>
        <v>416</v>
      </c>
    </row>
    <row r="399" spans="1:12" s="317" customFormat="1" ht="11.25" customHeight="1" x14ac:dyDescent="0.25">
      <c r="A399" s="118">
        <v>2013</v>
      </c>
      <c r="B399" s="406" t="str">
        <f t="shared" ref="B399:L399" si="109">B47</f>
        <v>-</v>
      </c>
      <c r="C399" s="406" t="str">
        <f t="shared" si="109"/>
        <v>-</v>
      </c>
      <c r="D399" s="406">
        <f t="shared" si="109"/>
        <v>64</v>
      </c>
      <c r="E399" s="406">
        <f t="shared" si="109"/>
        <v>119</v>
      </c>
      <c r="F399" s="406">
        <f t="shared" si="109"/>
        <v>32</v>
      </c>
      <c r="G399" s="406">
        <f t="shared" si="109"/>
        <v>46</v>
      </c>
      <c r="H399" s="406">
        <f t="shared" si="109"/>
        <v>26</v>
      </c>
      <c r="I399" s="406" t="str">
        <f t="shared" si="109"/>
        <v>-</v>
      </c>
      <c r="J399" s="406" t="str">
        <f t="shared" si="109"/>
        <v>-</v>
      </c>
      <c r="K399" s="406" t="str">
        <f t="shared" si="109"/>
        <v>-</v>
      </c>
      <c r="L399" s="406">
        <f t="shared" si="109"/>
        <v>287</v>
      </c>
    </row>
    <row r="400" spans="1:12" s="317" customFormat="1" ht="11.25" customHeight="1" x14ac:dyDescent="0.25">
      <c r="A400" s="118">
        <v>2014</v>
      </c>
      <c r="B400" s="406" t="str">
        <f t="shared" ref="B400:L400" si="110">B48</f>
        <v>-</v>
      </c>
      <c r="C400" s="406" t="str">
        <f t="shared" si="110"/>
        <v>-</v>
      </c>
      <c r="D400" s="406">
        <f t="shared" si="110"/>
        <v>455</v>
      </c>
      <c r="E400" s="406">
        <f t="shared" si="110"/>
        <v>79</v>
      </c>
      <c r="F400" s="406">
        <f t="shared" si="110"/>
        <v>161</v>
      </c>
      <c r="G400" s="406">
        <f t="shared" si="110"/>
        <v>65</v>
      </c>
      <c r="H400" s="406">
        <f t="shared" si="110"/>
        <v>56</v>
      </c>
      <c r="I400" s="406" t="str">
        <f t="shared" si="110"/>
        <v>-</v>
      </c>
      <c r="J400" s="406" t="str">
        <f t="shared" si="110"/>
        <v>-</v>
      </c>
      <c r="K400" s="406" t="str">
        <f t="shared" si="110"/>
        <v>-</v>
      </c>
      <c r="L400" s="406">
        <f t="shared" si="110"/>
        <v>816</v>
      </c>
    </row>
    <row r="401" spans="1:12" s="314" customFormat="1" ht="11.25" customHeight="1" x14ac:dyDescent="0.25">
      <c r="A401" s="118">
        <v>2015</v>
      </c>
      <c r="B401" s="406" t="str">
        <f t="shared" ref="B401:L401" si="111">B49</f>
        <v>-</v>
      </c>
      <c r="C401" s="406" t="str">
        <f t="shared" si="111"/>
        <v>-</v>
      </c>
      <c r="D401" s="406">
        <f t="shared" si="111"/>
        <v>531</v>
      </c>
      <c r="E401" s="406">
        <f t="shared" si="111"/>
        <v>88</v>
      </c>
      <c r="F401" s="406">
        <f t="shared" si="111"/>
        <v>48</v>
      </c>
      <c r="G401" s="406">
        <f t="shared" si="111"/>
        <v>61</v>
      </c>
      <c r="H401" s="406">
        <f t="shared" si="111"/>
        <v>90</v>
      </c>
      <c r="I401" s="406" t="str">
        <f t="shared" si="111"/>
        <v>-</v>
      </c>
      <c r="J401" s="406" t="str">
        <f t="shared" si="111"/>
        <v>-</v>
      </c>
      <c r="K401" s="406" t="str">
        <f t="shared" si="111"/>
        <v>-</v>
      </c>
      <c r="L401" s="406">
        <f t="shared" si="111"/>
        <v>818</v>
      </c>
    </row>
    <row r="402" spans="1:12" s="317" customFormat="1" ht="11.25" customHeight="1" x14ac:dyDescent="0.25">
      <c r="A402" s="118">
        <v>2016</v>
      </c>
      <c r="B402" s="406" t="str">
        <f t="shared" ref="B402:L402" si="112">B50</f>
        <v>-</v>
      </c>
      <c r="C402" s="406" t="str">
        <f t="shared" si="112"/>
        <v>-</v>
      </c>
      <c r="D402" s="406">
        <f t="shared" si="112"/>
        <v>71</v>
      </c>
      <c r="E402" s="406">
        <f t="shared" si="112"/>
        <v>82</v>
      </c>
      <c r="F402" s="406">
        <f t="shared" si="112"/>
        <v>21</v>
      </c>
      <c r="G402" s="406">
        <f t="shared" si="112"/>
        <v>51</v>
      </c>
      <c r="H402" s="406" t="str">
        <f t="shared" si="112"/>
        <v>-</v>
      </c>
      <c r="I402" s="406" t="str">
        <f t="shared" si="112"/>
        <v>-</v>
      </c>
      <c r="J402" s="406" t="str">
        <f t="shared" si="112"/>
        <v>-</v>
      </c>
      <c r="K402" s="406" t="str">
        <f t="shared" si="112"/>
        <v>-</v>
      </c>
      <c r="L402" s="406">
        <f t="shared" si="112"/>
        <v>225</v>
      </c>
    </row>
    <row r="403" spans="1:12" s="317" customFormat="1" ht="11.25" customHeight="1" x14ac:dyDescent="0.25">
      <c r="A403" s="118">
        <v>2017</v>
      </c>
      <c r="B403" s="406" t="str">
        <f t="shared" ref="B403:L403" si="113">B51</f>
        <v>-</v>
      </c>
      <c r="C403" s="406" t="str">
        <f t="shared" si="113"/>
        <v>-</v>
      </c>
      <c r="D403" s="406">
        <f t="shared" si="113"/>
        <v>82</v>
      </c>
      <c r="E403" s="406">
        <f t="shared" si="113"/>
        <v>92</v>
      </c>
      <c r="F403" s="406">
        <f t="shared" si="113"/>
        <v>11</v>
      </c>
      <c r="G403" s="406">
        <f t="shared" si="113"/>
        <v>104</v>
      </c>
      <c r="H403" s="406">
        <f t="shared" si="113"/>
        <v>53</v>
      </c>
      <c r="I403" s="406" t="str">
        <f t="shared" si="113"/>
        <v>-</v>
      </c>
      <c r="J403" s="406" t="str">
        <f t="shared" si="113"/>
        <v>-</v>
      </c>
      <c r="K403" s="406" t="str">
        <f t="shared" si="113"/>
        <v>-</v>
      </c>
      <c r="L403" s="406">
        <f t="shared" si="113"/>
        <v>342</v>
      </c>
    </row>
    <row r="404" spans="1:12" s="317" customFormat="1" ht="11.25" customHeight="1" x14ac:dyDescent="0.25">
      <c r="A404" s="118">
        <v>2018</v>
      </c>
      <c r="B404" s="406" t="str">
        <f t="shared" ref="B404:L404" si="114">B52</f>
        <v>-</v>
      </c>
      <c r="C404" s="406" t="str">
        <f t="shared" si="114"/>
        <v>-</v>
      </c>
      <c r="D404" s="406">
        <f t="shared" si="114"/>
        <v>16</v>
      </c>
      <c r="E404" s="406">
        <f t="shared" si="114"/>
        <v>50</v>
      </c>
      <c r="F404" s="406">
        <f t="shared" si="114"/>
        <v>3</v>
      </c>
      <c r="G404" s="406">
        <f t="shared" si="114"/>
        <v>29</v>
      </c>
      <c r="H404" s="406">
        <f t="shared" si="114"/>
        <v>0</v>
      </c>
      <c r="I404" s="406" t="str">
        <f t="shared" si="114"/>
        <v>-</v>
      </c>
      <c r="J404" s="406" t="str">
        <f t="shared" si="114"/>
        <v>-</v>
      </c>
      <c r="K404" s="406" t="str">
        <f t="shared" si="114"/>
        <v>-</v>
      </c>
      <c r="L404" s="406">
        <f t="shared" si="114"/>
        <v>98</v>
      </c>
    </row>
    <row r="405" spans="1:12" s="317" customFormat="1" ht="11.25" customHeight="1" x14ac:dyDescent="0.25">
      <c r="A405" s="118">
        <v>2019</v>
      </c>
      <c r="B405" s="406" t="str">
        <f t="shared" ref="B405:L406" si="115">B53</f>
        <v>-</v>
      </c>
      <c r="C405" s="406" t="str">
        <f t="shared" si="115"/>
        <v>-</v>
      </c>
      <c r="D405" s="406">
        <f t="shared" si="115"/>
        <v>9</v>
      </c>
      <c r="E405" s="406">
        <f t="shared" si="115"/>
        <v>17</v>
      </c>
      <c r="F405" s="406">
        <f t="shared" si="115"/>
        <v>97</v>
      </c>
      <c r="G405" s="406">
        <f t="shared" si="115"/>
        <v>40</v>
      </c>
      <c r="H405" s="406">
        <f t="shared" si="115"/>
        <v>24</v>
      </c>
      <c r="I405" s="406" t="str">
        <f t="shared" si="115"/>
        <v>-</v>
      </c>
      <c r="J405" s="406" t="str">
        <f t="shared" si="115"/>
        <v>-</v>
      </c>
      <c r="K405" s="406" t="str">
        <f t="shared" si="115"/>
        <v>-</v>
      </c>
      <c r="L405" s="406">
        <f t="shared" si="115"/>
        <v>187</v>
      </c>
    </row>
    <row r="406" spans="1:12" s="314" customFormat="1" ht="11.25" customHeight="1" x14ac:dyDescent="0.25">
      <c r="A406" s="118" t="s">
        <v>393</v>
      </c>
      <c r="B406" s="406" t="str">
        <f t="shared" si="115"/>
        <v>-</v>
      </c>
      <c r="C406" s="406" t="str">
        <f t="shared" si="115"/>
        <v>-</v>
      </c>
      <c r="D406" s="406">
        <f t="shared" si="115"/>
        <v>17</v>
      </c>
      <c r="E406" s="406">
        <f t="shared" si="115"/>
        <v>13</v>
      </c>
      <c r="F406" s="406">
        <f t="shared" si="115"/>
        <v>20</v>
      </c>
      <c r="G406" s="406">
        <f t="shared" si="115"/>
        <v>13</v>
      </c>
      <c r="H406" s="406">
        <f t="shared" si="115"/>
        <v>3</v>
      </c>
      <c r="I406" s="406" t="str">
        <f t="shared" si="115"/>
        <v>-</v>
      </c>
      <c r="J406" s="406" t="str">
        <f t="shared" si="115"/>
        <v>-</v>
      </c>
      <c r="K406" s="406" t="str">
        <f t="shared" si="115"/>
        <v>-</v>
      </c>
      <c r="L406" s="406">
        <f t="shared" si="115"/>
        <v>66</v>
      </c>
    </row>
    <row r="407" spans="1:12" s="314" customFormat="1" ht="11.25" customHeight="1" x14ac:dyDescent="0.25">
      <c r="A407" s="408"/>
      <c r="B407" s="406"/>
      <c r="C407" s="406"/>
      <c r="D407" s="406"/>
      <c r="E407" s="406"/>
      <c r="F407" s="406"/>
      <c r="G407" s="406"/>
      <c r="H407" s="406"/>
      <c r="I407" s="406"/>
      <c r="J407" s="406"/>
      <c r="K407" s="406"/>
      <c r="L407" s="406"/>
    </row>
    <row r="408" spans="1:12" s="314" customFormat="1" ht="11.25" customHeight="1" x14ac:dyDescent="0.25">
      <c r="A408" s="409" t="str">
        <f>A56</f>
        <v>Tillamook</v>
      </c>
      <c r="B408" s="406"/>
      <c r="C408" s="406"/>
      <c r="D408" s="406"/>
      <c r="E408" s="406"/>
      <c r="F408" s="406"/>
      <c r="G408" s="406"/>
      <c r="H408" s="406"/>
      <c r="I408" s="406"/>
      <c r="J408" s="406"/>
      <c r="K408" s="406"/>
      <c r="L408" s="406"/>
    </row>
    <row r="409" spans="1:12" s="314" customFormat="1" ht="11.25" customHeight="1" x14ac:dyDescent="0.25">
      <c r="A409" s="408" t="s">
        <v>30</v>
      </c>
      <c r="B409" s="406" t="s">
        <v>29</v>
      </c>
      <c r="C409" s="406" t="s">
        <v>29</v>
      </c>
      <c r="D409" s="406">
        <f t="shared" ref="D409:I409" si="116">AVERAGE(D67:D71)</f>
        <v>97.8</v>
      </c>
      <c r="E409" s="406">
        <f t="shared" si="116"/>
        <v>47</v>
      </c>
      <c r="F409" s="406">
        <f t="shared" si="116"/>
        <v>2029.8</v>
      </c>
      <c r="G409" s="406">
        <f t="shared" si="116"/>
        <v>999</v>
      </c>
      <c r="H409" s="406">
        <f t="shared" si="116"/>
        <v>139.6</v>
      </c>
      <c r="I409" s="406">
        <f t="shared" si="116"/>
        <v>93.8</v>
      </c>
      <c r="J409" s="406" t="s">
        <v>29</v>
      </c>
      <c r="K409" s="406" t="s">
        <v>29</v>
      </c>
      <c r="L409" s="406">
        <f>AVERAGE(L67:L71)</f>
        <v>3408.8</v>
      </c>
    </row>
    <row r="410" spans="1:12" s="314" customFormat="1" ht="11.25" customHeight="1" x14ac:dyDescent="0.25">
      <c r="A410" s="408" t="s">
        <v>87</v>
      </c>
      <c r="B410" s="406" t="s">
        <v>29</v>
      </c>
      <c r="C410" s="406" t="s">
        <v>29</v>
      </c>
      <c r="D410" s="406">
        <f t="shared" ref="D410:J410" si="117">AVERAGE(D72:D76)</f>
        <v>182.2</v>
      </c>
      <c r="E410" s="406">
        <f t="shared" si="117"/>
        <v>327.8</v>
      </c>
      <c r="F410" s="406">
        <f t="shared" si="117"/>
        <v>2930.6</v>
      </c>
      <c r="G410" s="406">
        <f t="shared" si="117"/>
        <v>1831.2</v>
      </c>
      <c r="H410" s="406">
        <f t="shared" si="117"/>
        <v>1007</v>
      </c>
      <c r="I410" s="406">
        <f t="shared" si="117"/>
        <v>604.4</v>
      </c>
      <c r="J410" s="406">
        <f t="shared" si="117"/>
        <v>17</v>
      </c>
      <c r="K410" s="406" t="s">
        <v>29</v>
      </c>
      <c r="L410" s="406">
        <f>AVERAGE(L72:L76)</f>
        <v>6886.6</v>
      </c>
    </row>
    <row r="411" spans="1:12" s="314" customFormat="1" ht="11.25" customHeight="1" x14ac:dyDescent="0.25">
      <c r="A411" s="408" t="s">
        <v>14</v>
      </c>
      <c r="B411" s="406" t="s">
        <v>29</v>
      </c>
      <c r="C411" s="406" t="s">
        <v>29</v>
      </c>
      <c r="D411" s="406">
        <f t="shared" ref="D411:J411" si="118">AVERAGE(D77:D81)</f>
        <v>96</v>
      </c>
      <c r="E411" s="406">
        <f t="shared" si="118"/>
        <v>94.5</v>
      </c>
      <c r="F411" s="406">
        <f t="shared" si="118"/>
        <v>714</v>
      </c>
      <c r="G411" s="406">
        <f t="shared" si="118"/>
        <v>476.25</v>
      </c>
      <c r="H411" s="406">
        <f t="shared" si="118"/>
        <v>558</v>
      </c>
      <c r="I411" s="406">
        <f t="shared" si="118"/>
        <v>513</v>
      </c>
      <c r="J411" s="406">
        <f t="shared" si="118"/>
        <v>2</v>
      </c>
      <c r="K411" s="406" t="s">
        <v>29</v>
      </c>
      <c r="L411" s="406">
        <f>AVERAGE(L77:L81)</f>
        <v>1940.8</v>
      </c>
    </row>
    <row r="412" spans="1:12" s="314" customFormat="1" ht="11.25" customHeight="1" x14ac:dyDescent="0.25">
      <c r="A412" s="408" t="s">
        <v>207</v>
      </c>
      <c r="B412" s="406" t="s">
        <v>29</v>
      </c>
      <c r="C412" s="406" t="s">
        <v>29</v>
      </c>
      <c r="D412" s="406">
        <f t="shared" ref="D412:J412" si="119">AVERAGE(D82:D86)</f>
        <v>70.8</v>
      </c>
      <c r="E412" s="406">
        <f t="shared" si="119"/>
        <v>188</v>
      </c>
      <c r="F412" s="406">
        <f t="shared" si="119"/>
        <v>60.5</v>
      </c>
      <c r="G412" s="406">
        <f t="shared" si="119"/>
        <v>185.6</v>
      </c>
      <c r="H412" s="406">
        <f t="shared" si="119"/>
        <v>276.2</v>
      </c>
      <c r="I412" s="406">
        <f t="shared" si="119"/>
        <v>185.6</v>
      </c>
      <c r="J412" s="406">
        <f t="shared" si="119"/>
        <v>12.75</v>
      </c>
      <c r="K412" s="406" t="s">
        <v>29</v>
      </c>
      <c r="L412" s="406">
        <f>AVERAGE(L82:L86)</f>
        <v>946.6</v>
      </c>
    </row>
    <row r="413" spans="1:12" s="314" customFormat="1" ht="11.25" customHeight="1" x14ac:dyDescent="0.25">
      <c r="A413" s="118" t="s">
        <v>238</v>
      </c>
      <c r="B413" s="406">
        <f t="shared" ref="B413:J413" si="120">AVERAGE(B87:B91)</f>
        <v>71</v>
      </c>
      <c r="C413" s="406">
        <f t="shared" si="120"/>
        <v>64.2</v>
      </c>
      <c r="D413" s="406">
        <f t="shared" si="120"/>
        <v>268</v>
      </c>
      <c r="E413" s="406">
        <f t="shared" si="120"/>
        <v>353.6</v>
      </c>
      <c r="F413" s="406">
        <f t="shared" si="120"/>
        <v>174.25</v>
      </c>
      <c r="G413" s="406">
        <f t="shared" si="120"/>
        <v>224.75</v>
      </c>
      <c r="H413" s="406">
        <f t="shared" si="120"/>
        <v>301.2</v>
      </c>
      <c r="I413" s="406">
        <f t="shared" si="120"/>
        <v>218.4</v>
      </c>
      <c r="J413" s="406">
        <f t="shared" si="120"/>
        <v>10</v>
      </c>
      <c r="K413" s="406" t="str">
        <f>K87</f>
        <v>-</v>
      </c>
      <c r="L413" s="406">
        <f>AVERAGE(L87:L91)</f>
        <v>1591.4</v>
      </c>
    </row>
    <row r="414" spans="1:12" s="314" customFormat="1" ht="11.25" customHeight="1" x14ac:dyDescent="0.25">
      <c r="A414" s="118">
        <v>2006</v>
      </c>
      <c r="B414" s="406" t="str">
        <f t="shared" ref="B414:L414" si="121">B92</f>
        <v>-</v>
      </c>
      <c r="C414" s="406" t="str">
        <f t="shared" si="121"/>
        <v>-</v>
      </c>
      <c r="D414" s="406" t="str">
        <f t="shared" si="121"/>
        <v>-</v>
      </c>
      <c r="E414" s="406">
        <f t="shared" si="121"/>
        <v>179</v>
      </c>
      <c r="F414" s="406">
        <f t="shared" si="121"/>
        <v>12</v>
      </c>
      <c r="G414" s="406">
        <f t="shared" si="121"/>
        <v>34</v>
      </c>
      <c r="H414" s="406">
        <f t="shared" si="121"/>
        <v>178</v>
      </c>
      <c r="I414" s="406">
        <f t="shared" si="121"/>
        <v>317</v>
      </c>
      <c r="J414" s="406">
        <f t="shared" si="121"/>
        <v>31</v>
      </c>
      <c r="K414" s="406" t="str">
        <f t="shared" si="121"/>
        <v>-</v>
      </c>
      <c r="L414" s="406">
        <f t="shared" si="121"/>
        <v>751</v>
      </c>
    </row>
    <row r="415" spans="1:12" s="317" customFormat="1" ht="11.25" customHeight="1" x14ac:dyDescent="0.25">
      <c r="A415" s="118">
        <v>2007</v>
      </c>
      <c r="B415" s="406" t="str">
        <f t="shared" ref="B415:L415" si="122">B93</f>
        <v>-</v>
      </c>
      <c r="C415" s="406">
        <f t="shared" si="122"/>
        <v>8</v>
      </c>
      <c r="D415" s="406">
        <f t="shared" si="122"/>
        <v>280</v>
      </c>
      <c r="E415" s="406">
        <f t="shared" si="122"/>
        <v>100</v>
      </c>
      <c r="F415" s="406">
        <f t="shared" si="122"/>
        <v>4</v>
      </c>
      <c r="G415" s="406">
        <f t="shared" si="122"/>
        <v>86</v>
      </c>
      <c r="H415" s="406">
        <f t="shared" si="122"/>
        <v>95</v>
      </c>
      <c r="I415" s="406">
        <f t="shared" si="122"/>
        <v>95</v>
      </c>
      <c r="J415" s="406">
        <f t="shared" si="122"/>
        <v>30</v>
      </c>
      <c r="K415" s="406" t="str">
        <f t="shared" si="122"/>
        <v>-</v>
      </c>
      <c r="L415" s="406">
        <f t="shared" si="122"/>
        <v>698</v>
      </c>
    </row>
    <row r="416" spans="1:12" s="317" customFormat="1" ht="11.25" customHeight="1" x14ac:dyDescent="0.25">
      <c r="A416" s="118">
        <v>2008</v>
      </c>
      <c r="B416" s="406" t="str">
        <f t="shared" ref="B416:L416" si="123">B94</f>
        <v>-</v>
      </c>
      <c r="C416" s="406" t="str">
        <f t="shared" si="123"/>
        <v>-</v>
      </c>
      <c r="D416" s="406" t="str">
        <f t="shared" si="123"/>
        <v>-</v>
      </c>
      <c r="E416" s="406" t="str">
        <f t="shared" si="123"/>
        <v>-</v>
      </c>
      <c r="F416" s="406" t="str">
        <f t="shared" si="123"/>
        <v>-</v>
      </c>
      <c r="G416" s="406" t="str">
        <f t="shared" si="123"/>
        <v>-</v>
      </c>
      <c r="H416" s="406">
        <f t="shared" si="123"/>
        <v>37</v>
      </c>
      <c r="I416" s="406">
        <f t="shared" si="123"/>
        <v>12</v>
      </c>
      <c r="J416" s="406" t="str">
        <f t="shared" si="123"/>
        <v>--</v>
      </c>
      <c r="K416" s="406" t="str">
        <f t="shared" si="123"/>
        <v>-</v>
      </c>
      <c r="L416" s="406">
        <f t="shared" si="123"/>
        <v>49</v>
      </c>
    </row>
    <row r="417" spans="1:12" s="317" customFormat="1" ht="11.25" customHeight="1" x14ac:dyDescent="0.25">
      <c r="A417" s="118">
        <v>2009</v>
      </c>
      <c r="B417" s="406" t="str">
        <f t="shared" ref="B417:L417" si="124">B95</f>
        <v>-</v>
      </c>
      <c r="C417" s="406" t="str">
        <f t="shared" si="124"/>
        <v>-</v>
      </c>
      <c r="D417" s="406" t="str">
        <f t="shared" si="124"/>
        <v>-</v>
      </c>
      <c r="E417" s="406" t="str">
        <f t="shared" si="124"/>
        <v>-</v>
      </c>
      <c r="F417" s="406" t="str">
        <f t="shared" si="124"/>
        <v>-</v>
      </c>
      <c r="G417" s="406" t="str">
        <f t="shared" si="124"/>
        <v>-</v>
      </c>
      <c r="H417" s="406">
        <f t="shared" si="124"/>
        <v>247</v>
      </c>
      <c r="I417" s="406">
        <f t="shared" si="124"/>
        <v>24</v>
      </c>
      <c r="J417" s="406" t="str">
        <f t="shared" si="124"/>
        <v>-</v>
      </c>
      <c r="K417" s="406" t="str">
        <f t="shared" si="124"/>
        <v>-</v>
      </c>
      <c r="L417" s="406">
        <f t="shared" si="124"/>
        <v>271</v>
      </c>
    </row>
    <row r="418" spans="1:12" s="317" customFormat="1" ht="11.25" customHeight="1" x14ac:dyDescent="0.25">
      <c r="A418" s="118">
        <v>2010</v>
      </c>
      <c r="B418" s="406" t="str">
        <f t="shared" ref="B418:L418" si="125">B96</f>
        <v>-</v>
      </c>
      <c r="C418" s="406" t="str">
        <f t="shared" si="125"/>
        <v>-</v>
      </c>
      <c r="D418" s="406">
        <f t="shared" si="125"/>
        <v>33</v>
      </c>
      <c r="E418" s="406">
        <f t="shared" si="125"/>
        <v>177</v>
      </c>
      <c r="F418" s="406">
        <f t="shared" si="125"/>
        <v>109</v>
      </c>
      <c r="G418" s="406">
        <f t="shared" si="125"/>
        <v>39</v>
      </c>
      <c r="H418" s="406">
        <f t="shared" si="125"/>
        <v>37</v>
      </c>
      <c r="I418" s="406">
        <f t="shared" si="125"/>
        <v>9</v>
      </c>
      <c r="J418" s="406" t="str">
        <f t="shared" si="125"/>
        <v>-</v>
      </c>
      <c r="K418" s="406" t="str">
        <f t="shared" si="125"/>
        <v>-</v>
      </c>
      <c r="L418" s="406">
        <f t="shared" si="125"/>
        <v>404</v>
      </c>
    </row>
    <row r="419" spans="1:12" s="317" customFormat="1" ht="11.25" customHeight="1" x14ac:dyDescent="0.25">
      <c r="A419" s="118">
        <v>2011</v>
      </c>
      <c r="B419" s="406" t="str">
        <f t="shared" ref="B419:L419" si="126">B97</f>
        <v>-</v>
      </c>
      <c r="C419" s="406" t="str">
        <f t="shared" si="126"/>
        <v>-</v>
      </c>
      <c r="D419" s="406">
        <f t="shared" si="126"/>
        <v>25</v>
      </c>
      <c r="E419" s="406">
        <f t="shared" si="126"/>
        <v>96</v>
      </c>
      <c r="F419" s="406">
        <f t="shared" si="126"/>
        <v>21</v>
      </c>
      <c r="G419" s="406">
        <f t="shared" si="126"/>
        <v>23</v>
      </c>
      <c r="H419" s="406">
        <f t="shared" si="126"/>
        <v>42</v>
      </c>
      <c r="I419" s="406">
        <f t="shared" si="126"/>
        <v>13</v>
      </c>
      <c r="J419" s="406" t="str">
        <f t="shared" si="126"/>
        <v>-</v>
      </c>
      <c r="K419" s="406" t="str">
        <f t="shared" si="126"/>
        <v>-</v>
      </c>
      <c r="L419" s="406">
        <f t="shared" si="126"/>
        <v>220</v>
      </c>
    </row>
    <row r="420" spans="1:12" s="317" customFormat="1" ht="11.25" customHeight="1" x14ac:dyDescent="0.25">
      <c r="A420" s="118">
        <v>2012</v>
      </c>
      <c r="B420" s="406" t="str">
        <f t="shared" ref="B420:L420" si="127">B98</f>
        <v>-</v>
      </c>
      <c r="C420" s="406">
        <f t="shared" si="127"/>
        <v>52</v>
      </c>
      <c r="D420" s="406">
        <f t="shared" si="127"/>
        <v>175</v>
      </c>
      <c r="E420" s="406">
        <f t="shared" si="127"/>
        <v>91</v>
      </c>
      <c r="F420" s="406">
        <f t="shared" si="127"/>
        <v>36</v>
      </c>
      <c r="G420" s="406">
        <f t="shared" si="127"/>
        <v>22</v>
      </c>
      <c r="H420" s="406">
        <f t="shared" si="127"/>
        <v>102</v>
      </c>
      <c r="I420" s="406">
        <f t="shared" si="127"/>
        <v>157</v>
      </c>
      <c r="J420" s="406" t="str">
        <f t="shared" si="127"/>
        <v>-</v>
      </c>
      <c r="K420" s="406" t="str">
        <f t="shared" si="127"/>
        <v>-</v>
      </c>
      <c r="L420" s="406">
        <f t="shared" si="127"/>
        <v>635</v>
      </c>
    </row>
    <row r="421" spans="1:12" s="317" customFormat="1" ht="11.25" customHeight="1" x14ac:dyDescent="0.25">
      <c r="A421" s="118">
        <v>2013</v>
      </c>
      <c r="B421" s="406" t="str">
        <f t="shared" ref="B421:L421" si="128">B99</f>
        <v>-</v>
      </c>
      <c r="C421" s="406">
        <f t="shared" si="128"/>
        <v>189</v>
      </c>
      <c r="D421" s="406">
        <f t="shared" si="128"/>
        <v>87</v>
      </c>
      <c r="E421" s="406">
        <f t="shared" si="128"/>
        <v>52</v>
      </c>
      <c r="F421" s="406">
        <f t="shared" si="128"/>
        <v>40</v>
      </c>
      <c r="G421" s="406">
        <f t="shared" si="128"/>
        <v>196</v>
      </c>
      <c r="H421" s="406">
        <f t="shared" si="128"/>
        <v>192</v>
      </c>
      <c r="I421" s="406">
        <f t="shared" si="128"/>
        <v>74</v>
      </c>
      <c r="J421" s="406" t="str">
        <f t="shared" si="128"/>
        <v>-</v>
      </c>
      <c r="K421" s="406" t="str">
        <f t="shared" si="128"/>
        <v>-</v>
      </c>
      <c r="L421" s="406">
        <f t="shared" si="128"/>
        <v>830</v>
      </c>
    </row>
    <row r="422" spans="1:12" s="317" customFormat="1" ht="11.25" customHeight="1" x14ac:dyDescent="0.25">
      <c r="A422" s="118">
        <v>2014</v>
      </c>
      <c r="B422" s="406" t="str">
        <f t="shared" ref="B422:L422" si="129">B100</f>
        <v>-</v>
      </c>
      <c r="C422" s="406">
        <f t="shared" si="129"/>
        <v>10</v>
      </c>
      <c r="D422" s="406">
        <f t="shared" si="129"/>
        <v>96</v>
      </c>
      <c r="E422" s="406">
        <f t="shared" si="129"/>
        <v>159</v>
      </c>
      <c r="F422" s="406">
        <f t="shared" si="129"/>
        <v>60</v>
      </c>
      <c r="G422" s="406">
        <f t="shared" si="129"/>
        <v>40</v>
      </c>
      <c r="H422" s="406">
        <f t="shared" si="129"/>
        <v>177</v>
      </c>
      <c r="I422" s="406">
        <f t="shared" si="129"/>
        <v>14</v>
      </c>
      <c r="J422" s="406" t="str">
        <f t="shared" si="129"/>
        <v>-</v>
      </c>
      <c r="K422" s="406" t="str">
        <f t="shared" si="129"/>
        <v>-</v>
      </c>
      <c r="L422" s="406">
        <f t="shared" si="129"/>
        <v>556</v>
      </c>
    </row>
    <row r="423" spans="1:12" s="317" customFormat="1" ht="11.25" customHeight="1" x14ac:dyDescent="0.25">
      <c r="A423" s="118">
        <v>2015</v>
      </c>
      <c r="B423" s="406" t="str">
        <f t="shared" ref="B423:L423" si="130">B101</f>
        <v>-</v>
      </c>
      <c r="C423" s="406">
        <f t="shared" si="130"/>
        <v>50</v>
      </c>
      <c r="D423" s="406">
        <f t="shared" si="130"/>
        <v>321</v>
      </c>
      <c r="E423" s="406">
        <f t="shared" si="130"/>
        <v>249</v>
      </c>
      <c r="F423" s="406">
        <f t="shared" si="130"/>
        <v>9</v>
      </c>
      <c r="G423" s="406">
        <f t="shared" si="130"/>
        <v>26</v>
      </c>
      <c r="H423" s="406">
        <f t="shared" si="130"/>
        <v>140</v>
      </c>
      <c r="I423" s="406">
        <f t="shared" si="130"/>
        <v>71</v>
      </c>
      <c r="J423" s="406" t="str">
        <f t="shared" si="130"/>
        <v>-</v>
      </c>
      <c r="K423" s="406" t="str">
        <f t="shared" si="130"/>
        <v>-</v>
      </c>
      <c r="L423" s="406">
        <f t="shared" si="130"/>
        <v>866</v>
      </c>
    </row>
    <row r="424" spans="1:12" s="317" customFormat="1" ht="11.25" customHeight="1" x14ac:dyDescent="0.25">
      <c r="A424" s="118">
        <v>2016</v>
      </c>
      <c r="B424" s="406" t="str">
        <f t="shared" ref="B424:L424" si="131">B102</f>
        <v>-</v>
      </c>
      <c r="C424" s="406">
        <f t="shared" si="131"/>
        <v>44</v>
      </c>
      <c r="D424" s="406">
        <f t="shared" si="131"/>
        <v>38</v>
      </c>
      <c r="E424" s="406">
        <f t="shared" si="131"/>
        <v>66</v>
      </c>
      <c r="F424" s="406">
        <f t="shared" si="131"/>
        <v>8</v>
      </c>
      <c r="G424" s="406">
        <f t="shared" si="131"/>
        <v>12</v>
      </c>
      <c r="H424" s="406">
        <f t="shared" si="131"/>
        <v>55</v>
      </c>
      <c r="I424" s="406">
        <f t="shared" si="131"/>
        <v>14</v>
      </c>
      <c r="J424" s="406" t="str">
        <f t="shared" si="131"/>
        <v>-</v>
      </c>
      <c r="K424" s="406" t="str">
        <f t="shared" si="131"/>
        <v>-</v>
      </c>
      <c r="L424" s="406">
        <f t="shared" si="131"/>
        <v>237</v>
      </c>
    </row>
    <row r="425" spans="1:12" s="317" customFormat="1" ht="11.25" customHeight="1" x14ac:dyDescent="0.25">
      <c r="A425" s="118">
        <v>2017</v>
      </c>
      <c r="B425" s="406" t="str">
        <f t="shared" ref="B425:L425" si="132">B103</f>
        <v>-</v>
      </c>
      <c r="C425" s="406">
        <f t="shared" si="132"/>
        <v>7</v>
      </c>
      <c r="D425" s="406">
        <f t="shared" si="132"/>
        <v>34</v>
      </c>
      <c r="E425" s="406">
        <f t="shared" si="132"/>
        <v>46</v>
      </c>
      <c r="F425" s="406">
        <f t="shared" si="132"/>
        <v>8</v>
      </c>
      <c r="G425" s="406" t="str">
        <f t="shared" si="132"/>
        <v>-</v>
      </c>
      <c r="H425" s="406">
        <f t="shared" si="132"/>
        <v>70</v>
      </c>
      <c r="I425" s="406">
        <f t="shared" si="132"/>
        <v>17</v>
      </c>
      <c r="J425" s="406" t="str">
        <f t="shared" si="132"/>
        <v>-</v>
      </c>
      <c r="K425" s="406" t="str">
        <f t="shared" si="132"/>
        <v>-</v>
      </c>
      <c r="L425" s="406">
        <f t="shared" si="132"/>
        <v>182</v>
      </c>
    </row>
    <row r="426" spans="1:12" s="317" customFormat="1" ht="11.25" customHeight="1" x14ac:dyDescent="0.25">
      <c r="A426" s="118">
        <v>2018</v>
      </c>
      <c r="B426" s="406" t="str">
        <f t="shared" ref="B426:L426" si="133">B104</f>
        <v>-</v>
      </c>
      <c r="C426" s="406" t="str">
        <f t="shared" si="133"/>
        <v>-</v>
      </c>
      <c r="D426" s="406">
        <f t="shared" si="133"/>
        <v>60</v>
      </c>
      <c r="E426" s="406">
        <f t="shared" si="133"/>
        <v>44</v>
      </c>
      <c r="F426" s="406">
        <f t="shared" si="133"/>
        <v>5</v>
      </c>
      <c r="G426" s="406">
        <f t="shared" si="133"/>
        <v>36</v>
      </c>
      <c r="H426" s="406">
        <f t="shared" si="133"/>
        <v>23</v>
      </c>
      <c r="I426" s="406">
        <f t="shared" si="133"/>
        <v>11</v>
      </c>
      <c r="J426" s="406" t="str">
        <f t="shared" si="133"/>
        <v>-</v>
      </c>
      <c r="K426" s="406" t="str">
        <f t="shared" si="133"/>
        <v>-</v>
      </c>
      <c r="L426" s="406">
        <f t="shared" si="133"/>
        <v>179</v>
      </c>
    </row>
    <row r="427" spans="1:12" s="317" customFormat="1" ht="11.25" customHeight="1" x14ac:dyDescent="0.25">
      <c r="A427" s="118">
        <v>2019</v>
      </c>
      <c r="B427" s="406" t="str">
        <f t="shared" ref="B427:L428" si="134">B105</f>
        <v>-</v>
      </c>
      <c r="C427" s="406">
        <f t="shared" si="134"/>
        <v>3</v>
      </c>
      <c r="D427" s="406">
        <f t="shared" si="134"/>
        <v>45</v>
      </c>
      <c r="E427" s="406">
        <f t="shared" si="134"/>
        <v>22</v>
      </c>
      <c r="F427" s="406">
        <f t="shared" si="134"/>
        <v>16</v>
      </c>
      <c r="G427" s="406">
        <f t="shared" si="134"/>
        <v>12</v>
      </c>
      <c r="H427" s="406">
        <f t="shared" si="134"/>
        <v>15</v>
      </c>
      <c r="I427" s="406">
        <f t="shared" si="134"/>
        <v>24</v>
      </c>
      <c r="J427" s="406" t="str">
        <f t="shared" si="134"/>
        <v>-</v>
      </c>
      <c r="K427" s="406" t="str">
        <f t="shared" si="134"/>
        <v>-</v>
      </c>
      <c r="L427" s="406">
        <f t="shared" si="134"/>
        <v>137</v>
      </c>
    </row>
    <row r="428" spans="1:12" s="314" customFormat="1" ht="11.25" customHeight="1" x14ac:dyDescent="0.25">
      <c r="A428" s="118" t="s">
        <v>393</v>
      </c>
      <c r="B428" s="406" t="str">
        <f t="shared" si="134"/>
        <v>-</v>
      </c>
      <c r="C428" s="406">
        <f t="shared" si="134"/>
        <v>2</v>
      </c>
      <c r="D428" s="406">
        <f t="shared" si="134"/>
        <v>4</v>
      </c>
      <c r="E428" s="406">
        <f t="shared" si="134"/>
        <v>48</v>
      </c>
      <c r="F428" s="406">
        <f t="shared" si="134"/>
        <v>8</v>
      </c>
      <c r="G428" s="406">
        <f t="shared" si="134"/>
        <v>12</v>
      </c>
      <c r="H428" s="406">
        <f t="shared" si="134"/>
        <v>35</v>
      </c>
      <c r="I428" s="406">
        <f t="shared" si="134"/>
        <v>25</v>
      </c>
      <c r="J428" s="406" t="str">
        <f t="shared" si="134"/>
        <v>-</v>
      </c>
      <c r="K428" s="406" t="str">
        <f t="shared" si="134"/>
        <v>-</v>
      </c>
      <c r="L428" s="406">
        <f t="shared" si="134"/>
        <v>134</v>
      </c>
    </row>
    <row r="429" spans="1:12" s="314" customFormat="1" ht="11.25" customHeight="1" x14ac:dyDescent="0.25">
      <c r="A429" s="118"/>
      <c r="B429" s="406"/>
      <c r="C429" s="406"/>
      <c r="D429" s="406"/>
      <c r="E429" s="406"/>
      <c r="F429" s="406"/>
      <c r="G429" s="406"/>
      <c r="H429" s="406"/>
      <c r="I429" s="406"/>
      <c r="J429" s="406"/>
      <c r="K429" s="406"/>
      <c r="L429" s="406"/>
    </row>
    <row r="430" spans="1:12" s="314" customFormat="1" ht="11.25" customHeight="1" x14ac:dyDescent="0.25">
      <c r="A430" s="542" t="s">
        <v>353</v>
      </c>
      <c r="B430" s="542"/>
      <c r="C430" s="542"/>
      <c r="D430" s="542"/>
      <c r="E430" s="542"/>
      <c r="F430" s="542"/>
      <c r="G430" s="542"/>
      <c r="H430" s="542"/>
      <c r="I430" s="542"/>
      <c r="J430" s="542"/>
      <c r="K430" s="542"/>
      <c r="L430" s="542"/>
    </row>
    <row r="431" spans="1:12" s="314" customFormat="1" ht="11.25" customHeight="1" x14ac:dyDescent="0.25">
      <c r="A431" s="537" t="s">
        <v>49</v>
      </c>
      <c r="B431" s="410"/>
      <c r="C431" s="410"/>
      <c r="D431" s="410"/>
      <c r="E431" s="410"/>
      <c r="F431" s="410"/>
      <c r="G431" s="410"/>
      <c r="H431" s="410"/>
      <c r="I431" s="410"/>
      <c r="J431" s="410"/>
      <c r="K431" s="410"/>
      <c r="L431" s="410"/>
    </row>
    <row r="432" spans="1:12" s="314" customFormat="1" ht="11.25" customHeight="1" x14ac:dyDescent="0.25">
      <c r="A432" s="538"/>
      <c r="B432" s="404" t="s">
        <v>43</v>
      </c>
      <c r="C432" s="404" t="s">
        <v>34</v>
      </c>
      <c r="D432" s="404" t="s">
        <v>35</v>
      </c>
      <c r="E432" s="404" t="s">
        <v>36</v>
      </c>
      <c r="F432" s="404" t="s">
        <v>37</v>
      </c>
      <c r="G432" s="404" t="s">
        <v>38</v>
      </c>
      <c r="H432" s="404" t="s">
        <v>39</v>
      </c>
      <c r="I432" s="404" t="s">
        <v>40</v>
      </c>
      <c r="J432" s="404" t="s">
        <v>44</v>
      </c>
      <c r="K432" s="404" t="s">
        <v>83</v>
      </c>
      <c r="L432" s="404" t="s">
        <v>28</v>
      </c>
    </row>
    <row r="433" spans="1:12" s="314" customFormat="1" ht="11.25" customHeight="1" x14ac:dyDescent="0.25">
      <c r="A433" s="411" t="str">
        <f>A108</f>
        <v>Newport</v>
      </c>
      <c r="B433" s="412"/>
      <c r="C433" s="412"/>
      <c r="D433" s="412"/>
      <c r="E433" s="412"/>
      <c r="F433" s="412"/>
      <c r="G433" s="412"/>
      <c r="H433" s="412"/>
      <c r="I433" s="412"/>
      <c r="J433" s="412"/>
      <c r="K433" s="412"/>
      <c r="L433" s="412"/>
    </row>
    <row r="434" spans="1:12" s="314" customFormat="1" ht="11.25" customHeight="1" x14ac:dyDescent="0.25">
      <c r="A434" s="413" t="s">
        <v>30</v>
      </c>
      <c r="B434" s="412" t="s">
        <v>29</v>
      </c>
      <c r="C434" s="412" t="s">
        <v>29</v>
      </c>
      <c r="D434" s="412">
        <f t="shared" ref="D434:J434" si="135">AVERAGE(D119:D123)</f>
        <v>600.4</v>
      </c>
      <c r="E434" s="412">
        <f t="shared" si="135"/>
        <v>300.2</v>
      </c>
      <c r="F434" s="412">
        <f t="shared" si="135"/>
        <v>3003.8</v>
      </c>
      <c r="G434" s="412">
        <f t="shared" si="135"/>
        <v>1727.6</v>
      </c>
      <c r="H434" s="412">
        <f t="shared" si="135"/>
        <v>198.2</v>
      </c>
      <c r="I434" s="412">
        <f t="shared" si="135"/>
        <v>174.2</v>
      </c>
      <c r="J434" s="412">
        <f t="shared" si="135"/>
        <v>3.6</v>
      </c>
      <c r="K434" s="412" t="s">
        <v>29</v>
      </c>
      <c r="L434" s="412">
        <f>AVERAGE(L119:L123)</f>
        <v>6008</v>
      </c>
    </row>
    <row r="435" spans="1:12" s="314" customFormat="1" ht="11.25" customHeight="1" x14ac:dyDescent="0.25">
      <c r="A435" s="413" t="s">
        <v>87</v>
      </c>
      <c r="B435" s="412" t="s">
        <v>29</v>
      </c>
      <c r="C435" s="412" t="s">
        <v>29</v>
      </c>
      <c r="D435" s="412">
        <f t="shared" ref="D435:I435" si="136">AVERAGE(D124:D128)</f>
        <v>826</v>
      </c>
      <c r="E435" s="412">
        <f t="shared" si="136"/>
        <v>1179.8</v>
      </c>
      <c r="F435" s="412">
        <f t="shared" si="136"/>
        <v>3835</v>
      </c>
      <c r="G435" s="412">
        <f t="shared" si="136"/>
        <v>1596.8</v>
      </c>
      <c r="H435" s="412">
        <f t="shared" si="136"/>
        <v>618.6</v>
      </c>
      <c r="I435" s="412">
        <f t="shared" si="136"/>
        <v>593.6</v>
      </c>
      <c r="J435" s="412" t="s">
        <v>29</v>
      </c>
      <c r="K435" s="412" t="s">
        <v>29</v>
      </c>
      <c r="L435" s="412">
        <f>AVERAGE(L124:L128)</f>
        <v>8649.7999999999993</v>
      </c>
    </row>
    <row r="436" spans="1:12" s="314" customFormat="1" ht="11.25" customHeight="1" x14ac:dyDescent="0.25">
      <c r="A436" s="413" t="s">
        <v>14</v>
      </c>
      <c r="B436" s="412" t="s">
        <v>29</v>
      </c>
      <c r="C436" s="412" t="s">
        <v>29</v>
      </c>
      <c r="D436" s="412">
        <f t="shared" ref="D436:I436" si="137">AVERAGE(D129:D133)</f>
        <v>944.8</v>
      </c>
      <c r="E436" s="412">
        <f t="shared" si="137"/>
        <v>1236.25</v>
      </c>
      <c r="F436" s="412">
        <f t="shared" si="137"/>
        <v>1176.3333333333333</v>
      </c>
      <c r="G436" s="412">
        <f t="shared" si="137"/>
        <v>1159.25</v>
      </c>
      <c r="H436" s="412">
        <f t="shared" si="137"/>
        <v>601.4</v>
      </c>
      <c r="I436" s="412">
        <f t="shared" si="137"/>
        <v>553.6</v>
      </c>
      <c r="J436" s="412" t="s">
        <v>29</v>
      </c>
      <c r="K436" s="412" t="s">
        <v>29</v>
      </c>
      <c r="L436" s="412">
        <f>AVERAGE(L129:L133)</f>
        <v>4722</v>
      </c>
    </row>
    <row r="437" spans="1:12" s="314" customFormat="1" ht="11.25" customHeight="1" x14ac:dyDescent="0.25">
      <c r="A437" s="413" t="s">
        <v>207</v>
      </c>
      <c r="B437" s="412" t="s">
        <v>29</v>
      </c>
      <c r="C437" s="412" t="s">
        <v>29</v>
      </c>
      <c r="D437" s="412">
        <f t="shared" ref="D437:I437" si="138">AVERAGE(D134:D138)</f>
        <v>919.8</v>
      </c>
      <c r="E437" s="412">
        <f t="shared" si="138"/>
        <v>914.6</v>
      </c>
      <c r="F437" s="412">
        <f t="shared" si="138"/>
        <v>329</v>
      </c>
      <c r="G437" s="412">
        <f t="shared" si="138"/>
        <v>848</v>
      </c>
      <c r="H437" s="412">
        <f t="shared" si="138"/>
        <v>453.4</v>
      </c>
      <c r="I437" s="412">
        <f t="shared" si="138"/>
        <v>241</v>
      </c>
      <c r="J437" s="412" t="s">
        <v>29</v>
      </c>
      <c r="K437" s="412" t="s">
        <v>29</v>
      </c>
      <c r="L437" s="412">
        <f>AVERAGE(L134:L138)</f>
        <v>3732.8</v>
      </c>
    </row>
    <row r="438" spans="1:12" s="314" customFormat="1" ht="11.25" customHeight="1" x14ac:dyDescent="0.25">
      <c r="A438" s="364" t="s">
        <v>238</v>
      </c>
      <c r="B438" s="412">
        <f t="shared" ref="B438:I438" si="139">AVERAGE(B139:B143)</f>
        <v>252</v>
      </c>
      <c r="C438" s="412">
        <f t="shared" si="139"/>
        <v>452.2</v>
      </c>
      <c r="D438" s="412">
        <f t="shared" si="139"/>
        <v>953.8</v>
      </c>
      <c r="E438" s="412">
        <f t="shared" si="139"/>
        <v>922.6</v>
      </c>
      <c r="F438" s="412">
        <f t="shared" si="139"/>
        <v>406.5</v>
      </c>
      <c r="G438" s="412">
        <f t="shared" si="139"/>
        <v>630.75</v>
      </c>
      <c r="H438" s="412">
        <f t="shared" si="139"/>
        <v>753</v>
      </c>
      <c r="I438" s="412">
        <f t="shared" si="139"/>
        <v>550.79999999999995</v>
      </c>
      <c r="J438" s="412" t="s">
        <v>29</v>
      </c>
      <c r="K438" s="412" t="s">
        <v>29</v>
      </c>
      <c r="L438" s="412">
        <f>AVERAGE(L139:L143)</f>
        <v>4663.8</v>
      </c>
    </row>
    <row r="439" spans="1:12" s="314" customFormat="1" ht="11.25" customHeight="1" x14ac:dyDescent="0.25">
      <c r="A439" s="364">
        <v>2006</v>
      </c>
      <c r="B439" s="412" t="str">
        <f t="shared" ref="B439:L439" si="140">B144</f>
        <v>-</v>
      </c>
      <c r="C439" s="412" t="str">
        <f t="shared" si="140"/>
        <v>-</v>
      </c>
      <c r="D439" s="412" t="str">
        <f t="shared" si="140"/>
        <v>-</v>
      </c>
      <c r="E439" s="412">
        <f t="shared" si="140"/>
        <v>838</v>
      </c>
      <c r="F439" s="412">
        <f t="shared" si="140"/>
        <v>471</v>
      </c>
      <c r="G439" s="412">
        <f t="shared" si="140"/>
        <v>151</v>
      </c>
      <c r="H439" s="412">
        <f t="shared" si="140"/>
        <v>413</v>
      </c>
      <c r="I439" s="412">
        <f t="shared" si="140"/>
        <v>250</v>
      </c>
      <c r="J439" s="412">
        <f t="shared" si="140"/>
        <v>93</v>
      </c>
      <c r="K439" s="412" t="str">
        <f t="shared" si="140"/>
        <v>-</v>
      </c>
      <c r="L439" s="412">
        <f t="shared" si="140"/>
        <v>2216</v>
      </c>
    </row>
    <row r="440" spans="1:12" s="317" customFormat="1" ht="11.25" customHeight="1" x14ac:dyDescent="0.25">
      <c r="A440" s="118">
        <v>2007</v>
      </c>
      <c r="B440" s="412" t="str">
        <f t="shared" ref="B440:L440" si="141">B145</f>
        <v>-</v>
      </c>
      <c r="C440" s="412">
        <f t="shared" si="141"/>
        <v>81</v>
      </c>
      <c r="D440" s="412">
        <f t="shared" si="141"/>
        <v>347</v>
      </c>
      <c r="E440" s="412">
        <f t="shared" si="141"/>
        <v>286</v>
      </c>
      <c r="F440" s="412">
        <f t="shared" si="141"/>
        <v>94</v>
      </c>
      <c r="G440" s="412">
        <f t="shared" si="141"/>
        <v>170</v>
      </c>
      <c r="H440" s="412">
        <f t="shared" si="141"/>
        <v>91</v>
      </c>
      <c r="I440" s="412">
        <f t="shared" si="141"/>
        <v>29</v>
      </c>
      <c r="J440" s="412">
        <f t="shared" si="141"/>
        <v>6</v>
      </c>
      <c r="K440" s="412" t="str">
        <f t="shared" si="141"/>
        <v>-</v>
      </c>
      <c r="L440" s="412">
        <f t="shared" si="141"/>
        <v>1104</v>
      </c>
    </row>
    <row r="441" spans="1:12" s="317" customFormat="1" ht="11.25" customHeight="1" x14ac:dyDescent="0.25">
      <c r="A441" s="118">
        <v>2008</v>
      </c>
      <c r="B441" s="412" t="str">
        <f t="shared" ref="B441:L441" si="142">B146</f>
        <v>-</v>
      </c>
      <c r="C441" s="412" t="str">
        <f t="shared" si="142"/>
        <v>-</v>
      </c>
      <c r="D441" s="412" t="str">
        <f t="shared" si="142"/>
        <v>-</v>
      </c>
      <c r="E441" s="412" t="str">
        <f t="shared" si="142"/>
        <v>-</v>
      </c>
      <c r="F441" s="412" t="str">
        <f t="shared" si="142"/>
        <v>-</v>
      </c>
      <c r="G441" s="412" t="str">
        <f t="shared" si="142"/>
        <v>-</v>
      </c>
      <c r="H441" s="412" t="str">
        <f t="shared" si="142"/>
        <v>-</v>
      </c>
      <c r="I441" s="412" t="str">
        <f t="shared" si="142"/>
        <v>-</v>
      </c>
      <c r="J441" s="412" t="str">
        <f t="shared" si="142"/>
        <v>-</v>
      </c>
      <c r="K441" s="412" t="str">
        <f t="shared" si="142"/>
        <v>-</v>
      </c>
      <c r="L441" s="412" t="str">
        <f t="shared" si="142"/>
        <v>-</v>
      </c>
    </row>
    <row r="442" spans="1:12" s="317" customFormat="1" ht="11.25" customHeight="1" x14ac:dyDescent="0.25">
      <c r="A442" s="118">
        <v>2009</v>
      </c>
      <c r="B442" s="412" t="str">
        <f t="shared" ref="B442:L442" si="143">B147</f>
        <v>-</v>
      </c>
      <c r="C442" s="412" t="str">
        <f t="shared" si="143"/>
        <v>-</v>
      </c>
      <c r="D442" s="412" t="str">
        <f t="shared" si="143"/>
        <v>-</v>
      </c>
      <c r="E442" s="412" t="str">
        <f t="shared" si="143"/>
        <v>-</v>
      </c>
      <c r="F442" s="412" t="str">
        <f t="shared" si="143"/>
        <v>-</v>
      </c>
      <c r="G442" s="412" t="str">
        <f t="shared" si="143"/>
        <v>-</v>
      </c>
      <c r="H442" s="412">
        <f t="shared" si="143"/>
        <v>286</v>
      </c>
      <c r="I442" s="412" t="str">
        <f t="shared" si="143"/>
        <v>-</v>
      </c>
      <c r="J442" s="412" t="str">
        <f t="shared" si="143"/>
        <v>-</v>
      </c>
      <c r="K442" s="412" t="str">
        <f t="shared" si="143"/>
        <v>-</v>
      </c>
      <c r="L442" s="412">
        <f t="shared" si="143"/>
        <v>286</v>
      </c>
    </row>
    <row r="443" spans="1:12" s="317" customFormat="1" ht="11.25" customHeight="1" x14ac:dyDescent="0.25">
      <c r="A443" s="118">
        <v>2010</v>
      </c>
      <c r="B443" s="412" t="str">
        <f t="shared" ref="B443:L443" si="144">B148</f>
        <v>-</v>
      </c>
      <c r="C443" s="412" t="str">
        <f t="shared" si="144"/>
        <v>-</v>
      </c>
      <c r="D443" s="412">
        <f t="shared" si="144"/>
        <v>477</v>
      </c>
      <c r="E443" s="412">
        <f t="shared" si="144"/>
        <v>411</v>
      </c>
      <c r="F443" s="412">
        <f t="shared" si="144"/>
        <v>290</v>
      </c>
      <c r="G443" s="412">
        <f t="shared" si="144"/>
        <v>346</v>
      </c>
      <c r="H443" s="412" t="str">
        <f t="shared" si="144"/>
        <v>-</v>
      </c>
      <c r="I443" s="412" t="str">
        <f t="shared" si="144"/>
        <v>-</v>
      </c>
      <c r="J443" s="412" t="str">
        <f t="shared" si="144"/>
        <v>-</v>
      </c>
      <c r="K443" s="412" t="str">
        <f t="shared" si="144"/>
        <v>-</v>
      </c>
      <c r="L443" s="412">
        <f t="shared" si="144"/>
        <v>1524</v>
      </c>
    </row>
    <row r="444" spans="1:12" s="317" customFormat="1" ht="11.25" customHeight="1" x14ac:dyDescent="0.25">
      <c r="A444" s="118">
        <v>2011</v>
      </c>
      <c r="B444" s="412" t="str">
        <f t="shared" ref="B444:L444" si="145">B149</f>
        <v>-</v>
      </c>
      <c r="C444" s="412">
        <f t="shared" si="145"/>
        <v>60</v>
      </c>
      <c r="D444" s="412">
        <f t="shared" si="145"/>
        <v>325</v>
      </c>
      <c r="E444" s="412">
        <f t="shared" si="145"/>
        <v>229</v>
      </c>
      <c r="F444" s="412">
        <f t="shared" si="145"/>
        <v>22</v>
      </c>
      <c r="G444" s="412">
        <f t="shared" si="145"/>
        <v>101</v>
      </c>
      <c r="H444" s="412" t="str">
        <f t="shared" si="145"/>
        <v>-</v>
      </c>
      <c r="I444" s="412">
        <f t="shared" si="145"/>
        <v>11</v>
      </c>
      <c r="J444" s="412" t="str">
        <f t="shared" si="145"/>
        <v>-</v>
      </c>
      <c r="K444" s="412" t="str">
        <f t="shared" si="145"/>
        <v>-</v>
      </c>
      <c r="L444" s="412">
        <f t="shared" si="145"/>
        <v>748</v>
      </c>
    </row>
    <row r="445" spans="1:12" s="317" customFormat="1" ht="11.25" customHeight="1" x14ac:dyDescent="0.25">
      <c r="A445" s="118">
        <v>2012</v>
      </c>
      <c r="B445" s="412" t="str">
        <f t="shared" ref="B445:L445" si="146">B150</f>
        <v>-</v>
      </c>
      <c r="C445" s="412">
        <f t="shared" si="146"/>
        <v>155</v>
      </c>
      <c r="D445" s="412">
        <f t="shared" si="146"/>
        <v>475</v>
      </c>
      <c r="E445" s="412">
        <f t="shared" si="146"/>
        <v>335</v>
      </c>
      <c r="F445" s="412">
        <f t="shared" si="146"/>
        <v>114</v>
      </c>
      <c r="G445" s="412">
        <f t="shared" si="146"/>
        <v>312</v>
      </c>
      <c r="H445" s="412">
        <f t="shared" si="146"/>
        <v>465</v>
      </c>
      <c r="I445" s="412">
        <f t="shared" si="146"/>
        <v>256</v>
      </c>
      <c r="J445" s="412" t="str">
        <f t="shared" si="146"/>
        <v>-</v>
      </c>
      <c r="K445" s="412" t="str">
        <f t="shared" si="146"/>
        <v>-</v>
      </c>
      <c r="L445" s="412">
        <f t="shared" si="146"/>
        <v>2112</v>
      </c>
    </row>
    <row r="446" spans="1:12" s="317" customFormat="1" ht="11.25" customHeight="1" x14ac:dyDescent="0.25">
      <c r="A446" s="118">
        <v>2013</v>
      </c>
      <c r="B446" s="412" t="str">
        <f t="shared" ref="B446:L446" si="147">B151</f>
        <v>-</v>
      </c>
      <c r="C446" s="412">
        <f t="shared" si="147"/>
        <v>334</v>
      </c>
      <c r="D446" s="412">
        <f t="shared" si="147"/>
        <v>484</v>
      </c>
      <c r="E446" s="412">
        <f t="shared" si="147"/>
        <v>263</v>
      </c>
      <c r="F446" s="412">
        <f t="shared" si="147"/>
        <v>141</v>
      </c>
      <c r="G446" s="412">
        <f t="shared" si="147"/>
        <v>325</v>
      </c>
      <c r="H446" s="412">
        <f t="shared" si="147"/>
        <v>98</v>
      </c>
      <c r="I446" s="412">
        <f t="shared" si="147"/>
        <v>77</v>
      </c>
      <c r="J446" s="412" t="str">
        <f t="shared" si="147"/>
        <v>-</v>
      </c>
      <c r="K446" s="412" t="str">
        <f t="shared" si="147"/>
        <v>-</v>
      </c>
      <c r="L446" s="412">
        <f t="shared" si="147"/>
        <v>1722</v>
      </c>
    </row>
    <row r="447" spans="1:12" s="317" customFormat="1" ht="11.25" customHeight="1" x14ac:dyDescent="0.25">
      <c r="A447" s="118">
        <v>2014</v>
      </c>
      <c r="B447" s="412" t="str">
        <f t="shared" ref="B447:L447" si="148">B152</f>
        <v>-</v>
      </c>
      <c r="C447" s="412">
        <f t="shared" si="148"/>
        <v>469</v>
      </c>
      <c r="D447" s="412">
        <f t="shared" si="148"/>
        <v>1076</v>
      </c>
      <c r="E447" s="412">
        <f t="shared" si="148"/>
        <v>507</v>
      </c>
      <c r="F447" s="412">
        <f t="shared" si="148"/>
        <v>354</v>
      </c>
      <c r="G447" s="412">
        <f t="shared" si="148"/>
        <v>932</v>
      </c>
      <c r="H447" s="412">
        <f t="shared" si="148"/>
        <v>255</v>
      </c>
      <c r="I447" s="412">
        <f t="shared" si="148"/>
        <v>104</v>
      </c>
      <c r="J447" s="412" t="str">
        <f t="shared" si="148"/>
        <v>-</v>
      </c>
      <c r="K447" s="412" t="str">
        <f t="shared" si="148"/>
        <v>-</v>
      </c>
      <c r="L447" s="412">
        <f t="shared" si="148"/>
        <v>3697</v>
      </c>
    </row>
    <row r="448" spans="1:12" s="317" customFormat="1" ht="11.25" customHeight="1" x14ac:dyDescent="0.25">
      <c r="A448" s="118">
        <v>2015</v>
      </c>
      <c r="B448" s="412" t="str">
        <f t="shared" ref="B448:L448" si="149">B153</f>
        <v>-</v>
      </c>
      <c r="C448" s="412">
        <f t="shared" si="149"/>
        <v>738</v>
      </c>
      <c r="D448" s="412">
        <f t="shared" si="149"/>
        <v>317</v>
      </c>
      <c r="E448" s="412">
        <f t="shared" si="149"/>
        <v>230</v>
      </c>
      <c r="F448" s="412">
        <f t="shared" si="149"/>
        <v>782</v>
      </c>
      <c r="G448" s="412">
        <f t="shared" si="149"/>
        <v>530</v>
      </c>
      <c r="H448" s="412">
        <f t="shared" si="149"/>
        <v>155</v>
      </c>
      <c r="I448" s="412" t="str">
        <f t="shared" si="149"/>
        <v>-</v>
      </c>
      <c r="J448" s="412" t="str">
        <f t="shared" si="149"/>
        <v>-</v>
      </c>
      <c r="K448" s="412" t="str">
        <f t="shared" si="149"/>
        <v>-</v>
      </c>
      <c r="L448" s="412">
        <f t="shared" si="149"/>
        <v>2752</v>
      </c>
    </row>
    <row r="449" spans="1:12" s="317" customFormat="1" ht="11.25" customHeight="1" x14ac:dyDescent="0.25">
      <c r="A449" s="118">
        <v>2016</v>
      </c>
      <c r="B449" s="412" t="str">
        <f t="shared" ref="B449:L449" si="150">B154</f>
        <v>-</v>
      </c>
      <c r="C449" s="412">
        <f t="shared" si="150"/>
        <v>666</v>
      </c>
      <c r="D449" s="412">
        <f t="shared" si="150"/>
        <v>625</v>
      </c>
      <c r="E449" s="412">
        <f t="shared" si="150"/>
        <v>309</v>
      </c>
      <c r="F449" s="412">
        <f t="shared" si="150"/>
        <v>388</v>
      </c>
      <c r="G449" s="412">
        <f t="shared" si="150"/>
        <v>547</v>
      </c>
      <c r="H449" s="412">
        <f t="shared" si="150"/>
        <v>217</v>
      </c>
      <c r="I449" s="412">
        <f t="shared" si="150"/>
        <v>4</v>
      </c>
      <c r="J449" s="412" t="str">
        <f t="shared" si="150"/>
        <v>-</v>
      </c>
      <c r="K449" s="412" t="str">
        <f t="shared" si="150"/>
        <v>-</v>
      </c>
      <c r="L449" s="412">
        <f t="shared" si="150"/>
        <v>2756</v>
      </c>
    </row>
    <row r="450" spans="1:12" s="317" customFormat="1" ht="11.25" customHeight="1" x14ac:dyDescent="0.25">
      <c r="A450" s="118">
        <v>2017</v>
      </c>
      <c r="B450" s="412" t="str">
        <f t="shared" ref="B450:L450" si="151">B155</f>
        <v>-</v>
      </c>
      <c r="C450" s="412">
        <f t="shared" si="151"/>
        <v>99</v>
      </c>
      <c r="D450" s="412">
        <f t="shared" si="151"/>
        <v>149</v>
      </c>
      <c r="E450" s="412">
        <f t="shared" si="151"/>
        <v>345</v>
      </c>
      <c r="F450" s="412">
        <f t="shared" si="151"/>
        <v>647</v>
      </c>
      <c r="G450" s="412" t="str">
        <f t="shared" si="151"/>
        <v>-</v>
      </c>
      <c r="H450" s="412">
        <f t="shared" si="151"/>
        <v>18</v>
      </c>
      <c r="I450" s="412">
        <f t="shared" si="151"/>
        <v>6</v>
      </c>
      <c r="J450" s="412" t="str">
        <f t="shared" si="151"/>
        <v>-</v>
      </c>
      <c r="K450" s="412" t="str">
        <f t="shared" si="151"/>
        <v>-</v>
      </c>
      <c r="L450" s="412">
        <f t="shared" si="151"/>
        <v>1264</v>
      </c>
    </row>
    <row r="451" spans="1:12" s="317" customFormat="1" ht="11.25" customHeight="1" x14ac:dyDescent="0.25">
      <c r="A451" s="118">
        <v>2018</v>
      </c>
      <c r="B451" s="406" t="str">
        <f t="shared" ref="B451:L451" si="152">B156</f>
        <v>-</v>
      </c>
      <c r="C451" s="406" t="str">
        <f t="shared" si="152"/>
        <v>-</v>
      </c>
      <c r="D451" s="406">
        <f t="shared" si="152"/>
        <v>161</v>
      </c>
      <c r="E451" s="406">
        <f t="shared" si="152"/>
        <v>119</v>
      </c>
      <c r="F451" s="406">
        <f t="shared" si="152"/>
        <v>191</v>
      </c>
      <c r="G451" s="406">
        <f t="shared" si="152"/>
        <v>534</v>
      </c>
      <c r="H451" s="406">
        <f t="shared" si="152"/>
        <v>36</v>
      </c>
      <c r="I451" s="406">
        <f t="shared" si="152"/>
        <v>2</v>
      </c>
      <c r="J451" s="406" t="str">
        <f t="shared" si="152"/>
        <v>-</v>
      </c>
      <c r="K451" s="406" t="str">
        <f t="shared" si="152"/>
        <v>-</v>
      </c>
      <c r="L451" s="406">
        <f t="shared" si="152"/>
        <v>1043</v>
      </c>
    </row>
    <row r="452" spans="1:12" s="317" customFormat="1" ht="11.25" customHeight="1" x14ac:dyDescent="0.25">
      <c r="A452" s="118">
        <v>2019</v>
      </c>
      <c r="B452" s="406" t="str">
        <f t="shared" ref="B452:L453" si="153">B157</f>
        <v>-</v>
      </c>
      <c r="C452" s="406">
        <f t="shared" si="153"/>
        <v>30</v>
      </c>
      <c r="D452" s="406">
        <f t="shared" si="153"/>
        <v>60</v>
      </c>
      <c r="E452" s="406">
        <f t="shared" si="153"/>
        <v>235</v>
      </c>
      <c r="F452" s="406">
        <f t="shared" si="153"/>
        <v>828</v>
      </c>
      <c r="G452" s="406">
        <f t="shared" si="153"/>
        <v>355</v>
      </c>
      <c r="H452" s="406">
        <f t="shared" si="153"/>
        <v>75</v>
      </c>
      <c r="I452" s="406">
        <f t="shared" si="153"/>
        <v>9</v>
      </c>
      <c r="J452" s="406" t="str">
        <f t="shared" si="153"/>
        <v>-</v>
      </c>
      <c r="K452" s="406" t="str">
        <f t="shared" si="153"/>
        <v>-</v>
      </c>
      <c r="L452" s="406">
        <f t="shared" si="153"/>
        <v>1592</v>
      </c>
    </row>
    <row r="453" spans="1:12" s="314" customFormat="1" ht="11.25" customHeight="1" x14ac:dyDescent="0.25">
      <c r="A453" s="118" t="s">
        <v>393</v>
      </c>
      <c r="B453" s="412" t="str">
        <f t="shared" si="153"/>
        <v>-</v>
      </c>
      <c r="C453" s="412">
        <f t="shared" si="153"/>
        <v>93</v>
      </c>
      <c r="D453" s="412">
        <f t="shared" si="153"/>
        <v>82</v>
      </c>
      <c r="E453" s="412">
        <f t="shared" si="153"/>
        <v>290</v>
      </c>
      <c r="F453" s="412">
        <f t="shared" si="153"/>
        <v>422</v>
      </c>
      <c r="G453" s="412">
        <f t="shared" si="153"/>
        <v>234</v>
      </c>
      <c r="H453" s="412">
        <f t="shared" si="153"/>
        <v>109</v>
      </c>
      <c r="I453" s="412">
        <f t="shared" si="153"/>
        <v>13</v>
      </c>
      <c r="J453" s="412" t="str">
        <f t="shared" si="153"/>
        <v>-</v>
      </c>
      <c r="K453" s="412" t="str">
        <f t="shared" si="153"/>
        <v>-</v>
      </c>
      <c r="L453" s="412">
        <f t="shared" si="153"/>
        <v>1243</v>
      </c>
    </row>
    <row r="454" spans="1:12" s="314" customFormat="1" ht="11.25" customHeight="1" x14ac:dyDescent="0.25">
      <c r="A454" s="413"/>
      <c r="B454" s="412"/>
      <c r="C454" s="412"/>
      <c r="D454" s="412"/>
      <c r="E454" s="412"/>
      <c r="F454" s="412"/>
      <c r="G454" s="412"/>
      <c r="H454" s="412"/>
      <c r="I454" s="412"/>
      <c r="J454" s="412"/>
      <c r="K454" s="412"/>
      <c r="L454" s="412"/>
    </row>
    <row r="455" spans="1:12" s="314" customFormat="1" ht="11.25" customHeight="1" x14ac:dyDescent="0.25">
      <c r="A455" s="411" t="str">
        <f>A160</f>
        <v>Coos Bay</v>
      </c>
      <c r="B455" s="412"/>
      <c r="C455" s="412"/>
      <c r="D455" s="412"/>
      <c r="E455" s="412"/>
      <c r="F455" s="412"/>
      <c r="G455" s="412"/>
      <c r="H455" s="412"/>
      <c r="I455" s="412"/>
      <c r="J455" s="412"/>
      <c r="K455" s="412"/>
      <c r="L455" s="412"/>
    </row>
    <row r="456" spans="1:12" s="314" customFormat="1" ht="11.25" customHeight="1" x14ac:dyDescent="0.25">
      <c r="A456" s="413" t="s">
        <v>30</v>
      </c>
      <c r="B456" s="412" t="s">
        <v>29</v>
      </c>
      <c r="C456" s="412" t="s">
        <v>29</v>
      </c>
      <c r="D456" s="412">
        <f t="shared" ref="D456:J456" si="154">AVERAGE(D171:D175)</f>
        <v>714.4</v>
      </c>
      <c r="E456" s="412">
        <f t="shared" si="154"/>
        <v>664.2</v>
      </c>
      <c r="F456" s="412">
        <f t="shared" si="154"/>
        <v>5159.2</v>
      </c>
      <c r="G456" s="412">
        <f t="shared" si="154"/>
        <v>2633.4</v>
      </c>
      <c r="H456" s="412">
        <f t="shared" si="154"/>
        <v>603.6</v>
      </c>
      <c r="I456" s="412">
        <f t="shared" si="154"/>
        <v>180.4</v>
      </c>
      <c r="J456" s="412">
        <f t="shared" si="154"/>
        <v>4.5999999999999996</v>
      </c>
      <c r="K456" s="412" t="s">
        <v>29</v>
      </c>
      <c r="L456" s="412">
        <f>AVERAGE(L171:L175)</f>
        <v>9959.7999999999993</v>
      </c>
    </row>
    <row r="457" spans="1:12" s="314" customFormat="1" ht="11.25" customHeight="1" x14ac:dyDescent="0.25">
      <c r="A457" s="413" t="s">
        <v>87</v>
      </c>
      <c r="B457" s="412" t="s">
        <v>29</v>
      </c>
      <c r="C457" s="412" t="s">
        <v>29</v>
      </c>
      <c r="D457" s="412">
        <f t="shared" ref="D457:J457" si="155">AVERAGE(D176:D180)</f>
        <v>2737.2</v>
      </c>
      <c r="E457" s="412">
        <f t="shared" si="155"/>
        <v>2986.2</v>
      </c>
      <c r="F457" s="412">
        <f t="shared" si="155"/>
        <v>7267</v>
      </c>
      <c r="G457" s="412">
        <f t="shared" si="155"/>
        <v>4664.6000000000004</v>
      </c>
      <c r="H457" s="412">
        <f t="shared" si="155"/>
        <v>1588.2</v>
      </c>
      <c r="I457" s="412">
        <f t="shared" si="155"/>
        <v>964</v>
      </c>
      <c r="J457" s="412">
        <f t="shared" si="155"/>
        <v>497</v>
      </c>
      <c r="K457" s="412" t="s">
        <v>29</v>
      </c>
      <c r="L457" s="412">
        <f>AVERAGE(L176:L180)</f>
        <v>20306.599999999999</v>
      </c>
    </row>
    <row r="458" spans="1:12" s="314" customFormat="1" ht="11.25" customHeight="1" x14ac:dyDescent="0.25">
      <c r="A458" s="413" t="s">
        <v>14</v>
      </c>
      <c r="B458" s="412" t="s">
        <v>29</v>
      </c>
      <c r="C458" s="412" t="s">
        <v>29</v>
      </c>
      <c r="D458" s="412">
        <f>AVERAGE(D181:D185)</f>
        <v>193.4</v>
      </c>
      <c r="E458" s="412">
        <f t="shared" ref="E458:J458" si="156">AVERAGE(E181:E185)</f>
        <v>696.25</v>
      </c>
      <c r="F458" s="412">
        <f t="shared" si="156"/>
        <v>553.66666666666663</v>
      </c>
      <c r="G458" s="412">
        <f t="shared" si="156"/>
        <v>418</v>
      </c>
      <c r="H458" s="412">
        <f t="shared" si="156"/>
        <v>287</v>
      </c>
      <c r="I458" s="412">
        <f t="shared" si="156"/>
        <v>254.8</v>
      </c>
      <c r="J458" s="412">
        <f t="shared" si="156"/>
        <v>87.666666666666671</v>
      </c>
      <c r="K458" s="412" t="s">
        <v>29</v>
      </c>
      <c r="L458" s="412">
        <f>AVERAGE(L181:L185)</f>
        <v>2011.4</v>
      </c>
    </row>
    <row r="459" spans="1:12" s="314" customFormat="1" ht="11.25" customHeight="1" x14ac:dyDescent="0.25">
      <c r="A459" s="413" t="s">
        <v>207</v>
      </c>
      <c r="B459" s="412" t="s">
        <v>29</v>
      </c>
      <c r="C459" s="412" t="s">
        <v>29</v>
      </c>
      <c r="D459" s="412">
        <f>AVERAGE(D186:D190)</f>
        <v>291.39999999999998</v>
      </c>
      <c r="E459" s="412">
        <f t="shared" ref="E459:J459" si="157">AVERAGE(E186:E190)</f>
        <v>470.6</v>
      </c>
      <c r="F459" s="412">
        <f t="shared" si="157"/>
        <v>570</v>
      </c>
      <c r="G459" s="412">
        <f t="shared" si="157"/>
        <v>498.2</v>
      </c>
      <c r="H459" s="412">
        <f t="shared" si="157"/>
        <v>243.2</v>
      </c>
      <c r="I459" s="412">
        <f t="shared" si="157"/>
        <v>209</v>
      </c>
      <c r="J459" s="412">
        <f t="shared" si="157"/>
        <v>103.8</v>
      </c>
      <c r="K459" s="412" t="s">
        <v>29</v>
      </c>
      <c r="L459" s="412">
        <f>AVERAGE(L186:L190)</f>
        <v>2135.4</v>
      </c>
    </row>
    <row r="460" spans="1:12" s="314" customFormat="1" ht="11.25" customHeight="1" x14ac:dyDescent="0.25">
      <c r="A460" s="364" t="s">
        <v>238</v>
      </c>
      <c r="B460" s="412">
        <f>AVERAGE(B191:B195)</f>
        <v>363.5</v>
      </c>
      <c r="C460" s="412">
        <f>AVERAGE(C191:C195)</f>
        <v>692</v>
      </c>
      <c r="D460" s="412">
        <f>AVERAGE(D191:D195)</f>
        <v>1088</v>
      </c>
      <c r="E460" s="412">
        <f t="shared" ref="E460:L460" si="158">AVERAGE(E191:E195)</f>
        <v>896.75</v>
      </c>
      <c r="F460" s="412">
        <f t="shared" si="158"/>
        <v>361</v>
      </c>
      <c r="G460" s="412">
        <f t="shared" si="158"/>
        <v>775.5</v>
      </c>
      <c r="H460" s="412">
        <f t="shared" si="158"/>
        <v>618.6</v>
      </c>
      <c r="I460" s="412">
        <f t="shared" si="158"/>
        <v>443.4</v>
      </c>
      <c r="J460" s="412">
        <f t="shared" si="158"/>
        <v>150.6</v>
      </c>
      <c r="K460" s="412">
        <f t="shared" si="158"/>
        <v>25.2</v>
      </c>
      <c r="L460" s="412">
        <f t="shared" si="158"/>
        <v>4935.2</v>
      </c>
    </row>
    <row r="461" spans="1:12" s="314" customFormat="1" ht="11.25" customHeight="1" x14ac:dyDescent="0.25">
      <c r="A461" s="364">
        <v>2006</v>
      </c>
      <c r="B461" s="412" t="str">
        <f t="shared" ref="B461:L461" si="159">B196</f>
        <v>-</v>
      </c>
      <c r="C461" s="412" t="str">
        <f t="shared" si="159"/>
        <v>-</v>
      </c>
      <c r="D461" s="412" t="str">
        <f t="shared" si="159"/>
        <v>-</v>
      </c>
      <c r="E461" s="412" t="str">
        <f t="shared" si="159"/>
        <v>-</v>
      </c>
      <c r="F461" s="412" t="str">
        <f t="shared" si="159"/>
        <v>-</v>
      </c>
      <c r="G461" s="412" t="str">
        <f t="shared" si="159"/>
        <v>-</v>
      </c>
      <c r="H461" s="412">
        <f t="shared" si="159"/>
        <v>30</v>
      </c>
      <c r="I461" s="412">
        <f t="shared" si="159"/>
        <v>156</v>
      </c>
      <c r="J461" s="412">
        <f t="shared" si="159"/>
        <v>155</v>
      </c>
      <c r="K461" s="412">
        <f t="shared" si="159"/>
        <v>26</v>
      </c>
      <c r="L461" s="412">
        <f t="shared" si="159"/>
        <v>367</v>
      </c>
    </row>
    <row r="462" spans="1:12" s="317" customFormat="1" ht="11.25" customHeight="1" x14ac:dyDescent="0.25">
      <c r="A462" s="118">
        <v>2007</v>
      </c>
      <c r="B462" s="412" t="str">
        <f t="shared" ref="B462:L462" si="160">B197</f>
        <v>-</v>
      </c>
      <c r="C462" s="412">
        <f t="shared" si="160"/>
        <v>253</v>
      </c>
      <c r="D462" s="412">
        <f t="shared" si="160"/>
        <v>554</v>
      </c>
      <c r="E462" s="412">
        <f t="shared" si="160"/>
        <v>388</v>
      </c>
      <c r="F462" s="412">
        <f t="shared" si="160"/>
        <v>167</v>
      </c>
      <c r="G462" s="412">
        <f t="shared" si="160"/>
        <v>895</v>
      </c>
      <c r="H462" s="412">
        <f t="shared" si="160"/>
        <v>117</v>
      </c>
      <c r="I462" s="412">
        <f t="shared" si="160"/>
        <v>120</v>
      </c>
      <c r="J462" s="412">
        <f t="shared" si="160"/>
        <v>126</v>
      </c>
      <c r="K462" s="412" t="str">
        <f t="shared" si="160"/>
        <v>-</v>
      </c>
      <c r="L462" s="412">
        <f t="shared" si="160"/>
        <v>2620</v>
      </c>
    </row>
    <row r="463" spans="1:12" s="317" customFormat="1" ht="11.25" customHeight="1" x14ac:dyDescent="0.25">
      <c r="A463" s="118">
        <v>2008</v>
      </c>
      <c r="B463" s="412" t="str">
        <f t="shared" ref="B463:L463" si="161">B198</f>
        <v>-</v>
      </c>
      <c r="C463" s="412" t="str">
        <f t="shared" si="161"/>
        <v>-</v>
      </c>
      <c r="D463" s="412" t="str">
        <f t="shared" si="161"/>
        <v>-</v>
      </c>
      <c r="E463" s="412" t="str">
        <f t="shared" si="161"/>
        <v>-</v>
      </c>
      <c r="F463" s="412" t="str">
        <f t="shared" si="161"/>
        <v>-</v>
      </c>
      <c r="G463" s="412" t="str">
        <f t="shared" si="161"/>
        <v>-</v>
      </c>
      <c r="H463" s="412" t="str">
        <f t="shared" si="161"/>
        <v>-</v>
      </c>
      <c r="I463" s="412" t="str">
        <f t="shared" si="161"/>
        <v>-</v>
      </c>
      <c r="J463" s="412">
        <f t="shared" si="161"/>
        <v>48</v>
      </c>
      <c r="K463" s="412" t="str">
        <f t="shared" si="161"/>
        <v>-</v>
      </c>
      <c r="L463" s="412">
        <f t="shared" si="161"/>
        <v>48</v>
      </c>
    </row>
    <row r="464" spans="1:12" s="317" customFormat="1" ht="11.25" customHeight="1" x14ac:dyDescent="0.25">
      <c r="A464" s="118">
        <v>2009</v>
      </c>
      <c r="B464" s="412" t="str">
        <f t="shared" ref="B464:L464" si="162">B199</f>
        <v>-</v>
      </c>
      <c r="C464" s="412" t="str">
        <f t="shared" si="162"/>
        <v>-</v>
      </c>
      <c r="D464" s="412" t="str">
        <f t="shared" si="162"/>
        <v>-</v>
      </c>
      <c r="E464" s="412" t="str">
        <f t="shared" si="162"/>
        <v>-</v>
      </c>
      <c r="F464" s="412" t="str">
        <f t="shared" si="162"/>
        <v>-</v>
      </c>
      <c r="G464" s="412" t="str">
        <f t="shared" si="162"/>
        <v>-</v>
      </c>
      <c r="H464" s="412">
        <f t="shared" si="162"/>
        <v>101</v>
      </c>
      <c r="I464" s="412">
        <f t="shared" si="162"/>
        <v>36</v>
      </c>
      <c r="J464" s="412" t="str">
        <f t="shared" si="162"/>
        <v>-</v>
      </c>
      <c r="K464" s="412" t="str">
        <f t="shared" si="162"/>
        <v>-</v>
      </c>
      <c r="L464" s="412">
        <f t="shared" si="162"/>
        <v>137</v>
      </c>
    </row>
    <row r="465" spans="1:12" s="317" customFormat="1" ht="11.25" customHeight="1" x14ac:dyDescent="0.25">
      <c r="A465" s="118">
        <v>2010</v>
      </c>
      <c r="B465" s="412" t="str">
        <f t="shared" ref="B465:L465" si="163">B200</f>
        <v>-</v>
      </c>
      <c r="C465" s="412" t="str">
        <f t="shared" si="163"/>
        <v>-</v>
      </c>
      <c r="D465" s="412">
        <f t="shared" si="163"/>
        <v>505</v>
      </c>
      <c r="E465" s="412">
        <f t="shared" si="163"/>
        <v>399</v>
      </c>
      <c r="F465" s="412">
        <f t="shared" si="163"/>
        <v>169</v>
      </c>
      <c r="G465" s="412">
        <f t="shared" si="163"/>
        <v>334</v>
      </c>
      <c r="H465" s="412" t="str">
        <f t="shared" si="163"/>
        <v>-</v>
      </c>
      <c r="I465" s="412">
        <f t="shared" si="163"/>
        <v>148</v>
      </c>
      <c r="J465" s="412" t="str">
        <f t="shared" si="163"/>
        <v>-</v>
      </c>
      <c r="K465" s="412" t="str">
        <f t="shared" si="163"/>
        <v>-</v>
      </c>
      <c r="L465" s="412">
        <f t="shared" si="163"/>
        <v>1555</v>
      </c>
    </row>
    <row r="466" spans="1:12" s="317" customFormat="1" ht="11.25" customHeight="1" x14ac:dyDescent="0.25">
      <c r="A466" s="118">
        <v>2011</v>
      </c>
      <c r="B466" s="412" t="str">
        <f t="shared" ref="B466:L466" si="164">B201</f>
        <v>-</v>
      </c>
      <c r="C466" s="412">
        <f t="shared" si="164"/>
        <v>256</v>
      </c>
      <c r="D466" s="412">
        <f t="shared" si="164"/>
        <v>538</v>
      </c>
      <c r="E466" s="412">
        <f t="shared" si="164"/>
        <v>755</v>
      </c>
      <c r="F466" s="412">
        <f t="shared" si="164"/>
        <v>57</v>
      </c>
      <c r="G466" s="412">
        <f t="shared" si="164"/>
        <v>83</v>
      </c>
      <c r="H466" s="412">
        <f t="shared" si="164"/>
        <v>80</v>
      </c>
      <c r="I466" s="412">
        <f t="shared" si="164"/>
        <v>202</v>
      </c>
      <c r="J466" s="412">
        <f t="shared" si="164"/>
        <v>235</v>
      </c>
      <c r="K466" s="412" t="str">
        <f t="shared" si="164"/>
        <v>-</v>
      </c>
      <c r="L466" s="412">
        <f t="shared" si="164"/>
        <v>2206</v>
      </c>
    </row>
    <row r="467" spans="1:12" s="317" customFormat="1" ht="11.25" customHeight="1" x14ac:dyDescent="0.25">
      <c r="A467" s="118">
        <v>2012</v>
      </c>
      <c r="B467" s="412" t="str">
        <f t="shared" ref="B467:L467" si="165">B202</f>
        <v>-</v>
      </c>
      <c r="C467" s="412">
        <f t="shared" si="165"/>
        <v>315</v>
      </c>
      <c r="D467" s="412">
        <f t="shared" si="165"/>
        <v>784</v>
      </c>
      <c r="E467" s="412">
        <f t="shared" si="165"/>
        <v>510</v>
      </c>
      <c r="F467" s="412">
        <f t="shared" si="165"/>
        <v>96</v>
      </c>
      <c r="G467" s="412">
        <f t="shared" si="165"/>
        <v>298</v>
      </c>
      <c r="H467" s="412">
        <f t="shared" si="165"/>
        <v>320</v>
      </c>
      <c r="I467" s="412">
        <f t="shared" si="165"/>
        <v>267</v>
      </c>
      <c r="J467" s="412">
        <f t="shared" si="165"/>
        <v>121</v>
      </c>
      <c r="K467" s="412" t="str">
        <f t="shared" si="165"/>
        <v>-</v>
      </c>
      <c r="L467" s="412">
        <f t="shared" si="165"/>
        <v>2711</v>
      </c>
    </row>
    <row r="468" spans="1:12" s="317" customFormat="1" ht="11.25" customHeight="1" x14ac:dyDescent="0.25">
      <c r="A468" s="118">
        <v>2013</v>
      </c>
      <c r="B468" s="412" t="str">
        <f t="shared" ref="B468:L468" si="166">B203</f>
        <v>-</v>
      </c>
      <c r="C468" s="412">
        <f t="shared" si="166"/>
        <v>506</v>
      </c>
      <c r="D468" s="412">
        <f t="shared" si="166"/>
        <v>563</v>
      </c>
      <c r="E468" s="412">
        <f t="shared" si="166"/>
        <v>456</v>
      </c>
      <c r="F468" s="412">
        <f t="shared" si="166"/>
        <v>337</v>
      </c>
      <c r="G468" s="412">
        <f t="shared" si="166"/>
        <v>1626</v>
      </c>
      <c r="H468" s="412">
        <f t="shared" si="166"/>
        <v>1055</v>
      </c>
      <c r="I468" s="412">
        <f t="shared" si="166"/>
        <v>742</v>
      </c>
      <c r="J468" s="412">
        <f t="shared" si="166"/>
        <v>155</v>
      </c>
      <c r="K468" s="412" t="str">
        <f t="shared" si="166"/>
        <v>-</v>
      </c>
      <c r="L468" s="412">
        <f t="shared" si="166"/>
        <v>5440</v>
      </c>
    </row>
    <row r="469" spans="1:12" s="317" customFormat="1" ht="11.25" customHeight="1" x14ac:dyDescent="0.25">
      <c r="A469" s="118">
        <v>2014</v>
      </c>
      <c r="B469" s="412" t="str">
        <f t="shared" ref="B469:L469" si="167">B204</f>
        <v>-</v>
      </c>
      <c r="C469" s="412">
        <f t="shared" si="167"/>
        <v>473</v>
      </c>
      <c r="D469" s="412">
        <f t="shared" si="167"/>
        <v>929</v>
      </c>
      <c r="E469" s="412">
        <f t="shared" si="167"/>
        <v>1052</v>
      </c>
      <c r="F469" s="412">
        <f t="shared" si="167"/>
        <v>648</v>
      </c>
      <c r="G469" s="412">
        <f t="shared" si="167"/>
        <v>1183</v>
      </c>
      <c r="H469" s="412">
        <f t="shared" si="167"/>
        <v>310</v>
      </c>
      <c r="I469" s="412">
        <f t="shared" si="167"/>
        <v>171</v>
      </c>
      <c r="J469" s="412">
        <f t="shared" si="167"/>
        <v>98</v>
      </c>
      <c r="K469" s="412" t="str">
        <f t="shared" si="167"/>
        <v>-</v>
      </c>
      <c r="L469" s="412">
        <f t="shared" si="167"/>
        <v>4864</v>
      </c>
    </row>
    <row r="470" spans="1:12" s="317" customFormat="1" ht="11.25" customHeight="1" x14ac:dyDescent="0.25">
      <c r="A470" s="118">
        <v>2015</v>
      </c>
      <c r="B470" s="412" t="str">
        <f t="shared" ref="B470:L470" si="168">B205</f>
        <v>-</v>
      </c>
      <c r="C470" s="412">
        <f t="shared" si="168"/>
        <v>967</v>
      </c>
      <c r="D470" s="412">
        <f t="shared" si="168"/>
        <v>924</v>
      </c>
      <c r="E470" s="412">
        <f t="shared" si="168"/>
        <v>770</v>
      </c>
      <c r="F470" s="412">
        <f t="shared" si="168"/>
        <v>484</v>
      </c>
      <c r="G470" s="412">
        <f t="shared" si="168"/>
        <v>232</v>
      </c>
      <c r="H470" s="412">
        <f t="shared" si="168"/>
        <v>72</v>
      </c>
      <c r="I470" s="412">
        <f t="shared" si="168"/>
        <v>166</v>
      </c>
      <c r="J470" s="412">
        <f t="shared" si="168"/>
        <v>158</v>
      </c>
      <c r="K470" s="412" t="str">
        <f t="shared" si="168"/>
        <v>-</v>
      </c>
      <c r="L470" s="412">
        <f t="shared" si="168"/>
        <v>3773</v>
      </c>
    </row>
    <row r="471" spans="1:12" s="317" customFormat="1" ht="11.25" customHeight="1" x14ac:dyDescent="0.25">
      <c r="A471" s="118">
        <v>2016</v>
      </c>
      <c r="B471" s="412" t="str">
        <f t="shared" ref="B471:L471" si="169">B206</f>
        <v>-</v>
      </c>
      <c r="C471" s="412">
        <f t="shared" si="169"/>
        <v>178</v>
      </c>
      <c r="D471" s="412">
        <f t="shared" si="169"/>
        <v>170</v>
      </c>
      <c r="E471" s="412">
        <f t="shared" si="169"/>
        <v>260</v>
      </c>
      <c r="F471" s="412">
        <f t="shared" si="169"/>
        <v>146</v>
      </c>
      <c r="G471" s="412">
        <f t="shared" si="169"/>
        <v>75</v>
      </c>
      <c r="H471" s="412">
        <f t="shared" si="169"/>
        <v>58</v>
      </c>
      <c r="I471" s="412">
        <f t="shared" si="169"/>
        <v>119</v>
      </c>
      <c r="J471" s="412">
        <f t="shared" si="169"/>
        <v>41</v>
      </c>
      <c r="K471" s="412" t="str">
        <f t="shared" si="169"/>
        <v>-</v>
      </c>
      <c r="L471" s="412">
        <f t="shared" si="169"/>
        <v>1047</v>
      </c>
    </row>
    <row r="472" spans="1:12" s="317" customFormat="1" ht="11.25" customHeight="1" x14ac:dyDescent="0.25">
      <c r="A472" s="118">
        <v>2017</v>
      </c>
      <c r="B472" s="412" t="str">
        <f t="shared" ref="B472:L472" si="170">B207</f>
        <v>-</v>
      </c>
      <c r="C472" s="412" t="str">
        <f t="shared" si="170"/>
        <v>-</v>
      </c>
      <c r="D472" s="412" t="str">
        <f t="shared" si="170"/>
        <v>-</v>
      </c>
      <c r="E472" s="412" t="str">
        <f t="shared" si="170"/>
        <v>-</v>
      </c>
      <c r="F472" s="412" t="str">
        <f t="shared" si="170"/>
        <v>-</v>
      </c>
      <c r="G472" s="412" t="str">
        <f t="shared" si="170"/>
        <v>-</v>
      </c>
      <c r="H472" s="412" t="str">
        <f t="shared" si="170"/>
        <v>-</v>
      </c>
      <c r="I472" s="412">
        <f t="shared" si="170"/>
        <v>114</v>
      </c>
      <c r="J472" s="412">
        <f t="shared" si="170"/>
        <v>41</v>
      </c>
      <c r="K472" s="412" t="str">
        <f t="shared" si="170"/>
        <v>-</v>
      </c>
      <c r="L472" s="412">
        <f t="shared" si="170"/>
        <v>155</v>
      </c>
    </row>
    <row r="473" spans="1:12" s="317" customFormat="1" ht="11.25" customHeight="1" x14ac:dyDescent="0.25">
      <c r="A473" s="118">
        <v>2018</v>
      </c>
      <c r="B473" s="406" t="str">
        <f t="shared" ref="B473:L473" si="171">B208</f>
        <v>-</v>
      </c>
      <c r="C473" s="406" t="str">
        <f t="shared" si="171"/>
        <v>-</v>
      </c>
      <c r="D473" s="406">
        <f t="shared" si="171"/>
        <v>127</v>
      </c>
      <c r="E473" s="406">
        <f t="shared" si="171"/>
        <v>270</v>
      </c>
      <c r="F473" s="406">
        <f t="shared" si="171"/>
        <v>91</v>
      </c>
      <c r="G473" s="406">
        <f t="shared" si="171"/>
        <v>97</v>
      </c>
      <c r="H473" s="406">
        <f t="shared" si="171"/>
        <v>21</v>
      </c>
      <c r="I473" s="406">
        <f t="shared" si="171"/>
        <v>89</v>
      </c>
      <c r="J473" s="406">
        <f t="shared" si="171"/>
        <v>83</v>
      </c>
      <c r="K473" s="406" t="str">
        <f t="shared" si="171"/>
        <v>-</v>
      </c>
      <c r="L473" s="406">
        <f t="shared" si="171"/>
        <v>778</v>
      </c>
    </row>
    <row r="474" spans="1:12" s="317" customFormat="1" ht="11.25" customHeight="1" x14ac:dyDescent="0.25">
      <c r="A474" s="118">
        <v>2019</v>
      </c>
      <c r="B474" s="406" t="str">
        <f t="shared" ref="B474:L475" si="172">B209</f>
        <v>-</v>
      </c>
      <c r="C474" s="406">
        <f t="shared" si="172"/>
        <v>16</v>
      </c>
      <c r="D474" s="406">
        <f t="shared" si="172"/>
        <v>29</v>
      </c>
      <c r="E474" s="406">
        <f t="shared" si="172"/>
        <v>85</v>
      </c>
      <c r="F474" s="406">
        <f t="shared" si="172"/>
        <v>68</v>
      </c>
      <c r="G474" s="406">
        <f t="shared" si="172"/>
        <v>21</v>
      </c>
      <c r="H474" s="406">
        <f t="shared" si="172"/>
        <v>14</v>
      </c>
      <c r="I474" s="406">
        <f t="shared" si="172"/>
        <v>154</v>
      </c>
      <c r="J474" s="406" t="str">
        <f t="shared" si="172"/>
        <v>-</v>
      </c>
      <c r="K474" s="406" t="str">
        <f t="shared" si="172"/>
        <v>-</v>
      </c>
      <c r="L474" s="406">
        <f t="shared" si="172"/>
        <v>387</v>
      </c>
    </row>
    <row r="475" spans="1:12" s="314" customFormat="1" ht="11.25" customHeight="1" x14ac:dyDescent="0.25">
      <c r="A475" s="118" t="s">
        <v>393</v>
      </c>
      <c r="B475" s="412" t="str">
        <f t="shared" si="172"/>
        <v>-</v>
      </c>
      <c r="C475" s="412">
        <f t="shared" si="172"/>
        <v>45</v>
      </c>
      <c r="D475" s="412">
        <f t="shared" si="172"/>
        <v>11</v>
      </c>
      <c r="E475" s="412">
        <f t="shared" si="172"/>
        <v>41</v>
      </c>
      <c r="F475" s="412">
        <f t="shared" si="172"/>
        <v>141</v>
      </c>
      <c r="G475" s="412">
        <f t="shared" si="172"/>
        <v>23</v>
      </c>
      <c r="H475" s="412">
        <f t="shared" si="172"/>
        <v>30</v>
      </c>
      <c r="I475" s="412">
        <f t="shared" si="172"/>
        <v>174</v>
      </c>
      <c r="J475" s="412" t="str">
        <f t="shared" si="172"/>
        <v>-</v>
      </c>
      <c r="K475" s="412" t="str">
        <f t="shared" si="172"/>
        <v>-</v>
      </c>
      <c r="L475" s="412">
        <f t="shared" si="172"/>
        <v>465</v>
      </c>
    </row>
    <row r="476" spans="1:12" s="314" customFormat="1" ht="11.25" customHeight="1" x14ac:dyDescent="0.25">
      <c r="A476" s="118"/>
      <c r="B476" s="412"/>
      <c r="C476" s="412"/>
      <c r="D476" s="412"/>
      <c r="E476" s="412"/>
      <c r="F476" s="412"/>
      <c r="G476" s="412"/>
      <c r="H476" s="412"/>
      <c r="I476" s="412"/>
      <c r="J476" s="412"/>
      <c r="K476" s="412"/>
      <c r="L476" s="412"/>
    </row>
    <row r="477" spans="1:12" s="314" customFormat="1" ht="11.25" customHeight="1" x14ac:dyDescent="0.25">
      <c r="A477" s="542" t="s">
        <v>354</v>
      </c>
      <c r="B477" s="542"/>
      <c r="C477" s="542"/>
      <c r="D477" s="542"/>
      <c r="E477" s="542"/>
      <c r="F477" s="542"/>
      <c r="G477" s="542"/>
      <c r="H477" s="542"/>
      <c r="I477" s="542"/>
      <c r="J477" s="542"/>
      <c r="K477" s="542"/>
      <c r="L477" s="542"/>
    </row>
    <row r="478" spans="1:12" s="314" customFormat="1" ht="11.25" customHeight="1" x14ac:dyDescent="0.25">
      <c r="A478" s="548" t="s">
        <v>49</v>
      </c>
      <c r="B478" s="410"/>
      <c r="C478" s="410"/>
      <c r="D478" s="410"/>
      <c r="E478" s="410"/>
      <c r="F478" s="410"/>
      <c r="G478" s="410"/>
      <c r="H478" s="410"/>
      <c r="I478" s="410"/>
      <c r="J478" s="410"/>
      <c r="K478" s="410"/>
      <c r="L478" s="410"/>
    </row>
    <row r="479" spans="1:12" s="314" customFormat="1" ht="11.25" customHeight="1" x14ac:dyDescent="0.25">
      <c r="A479" s="538"/>
      <c r="B479" s="404" t="s">
        <v>43</v>
      </c>
      <c r="C479" s="404" t="s">
        <v>34</v>
      </c>
      <c r="D479" s="404" t="s">
        <v>35</v>
      </c>
      <c r="E479" s="404" t="s">
        <v>36</v>
      </c>
      <c r="F479" s="404" t="s">
        <v>37</v>
      </c>
      <c r="G479" s="404" t="s">
        <v>38</v>
      </c>
      <c r="H479" s="404" t="s">
        <v>39</v>
      </c>
      <c r="I479" s="404" t="s">
        <v>40</v>
      </c>
      <c r="J479" s="404" t="s">
        <v>44</v>
      </c>
      <c r="K479" s="404" t="s">
        <v>83</v>
      </c>
      <c r="L479" s="404" t="s">
        <v>28</v>
      </c>
    </row>
    <row r="480" spans="1:12" s="314" customFormat="1" ht="11.25" customHeight="1" x14ac:dyDescent="0.2">
      <c r="A480" s="414" t="s">
        <v>56</v>
      </c>
      <c r="B480" s="412"/>
      <c r="C480" s="412"/>
      <c r="D480" s="412"/>
      <c r="E480" s="412"/>
      <c r="F480" s="412"/>
      <c r="G480" s="412"/>
      <c r="H480" s="412"/>
      <c r="I480" s="412"/>
      <c r="J480" s="412"/>
      <c r="K480" s="412"/>
      <c r="L480" s="412"/>
    </row>
    <row r="481" spans="1:12" s="314" customFormat="1" ht="11.25" customHeight="1" x14ac:dyDescent="0.2">
      <c r="A481" s="415" t="s">
        <v>30</v>
      </c>
      <c r="B481" s="412" t="s">
        <v>29</v>
      </c>
      <c r="C481" s="412" t="s">
        <v>29</v>
      </c>
      <c r="D481" s="412">
        <f t="shared" ref="D481:J481" si="173">AVERAGE(D223:D227)</f>
        <v>265.39999999999998</v>
      </c>
      <c r="E481" s="412">
        <f t="shared" si="173"/>
        <v>188</v>
      </c>
      <c r="F481" s="412">
        <f t="shared" si="173"/>
        <v>1366.6</v>
      </c>
      <c r="G481" s="412">
        <f t="shared" si="173"/>
        <v>1708.4</v>
      </c>
      <c r="H481" s="412">
        <f t="shared" si="173"/>
        <v>426.8</v>
      </c>
      <c r="I481" s="412">
        <f t="shared" si="173"/>
        <v>732</v>
      </c>
      <c r="J481" s="412">
        <f t="shared" si="173"/>
        <v>336.4</v>
      </c>
      <c r="K481" s="412" t="s">
        <v>29</v>
      </c>
      <c r="L481" s="412">
        <f>AVERAGE(L223:L227)</f>
        <v>5023.6000000000004</v>
      </c>
    </row>
    <row r="482" spans="1:12" s="314" customFormat="1" ht="11.25" customHeight="1" x14ac:dyDescent="0.2">
      <c r="A482" s="415" t="s">
        <v>87</v>
      </c>
      <c r="B482" s="412" t="s">
        <v>29</v>
      </c>
      <c r="C482" s="412" t="s">
        <v>29</v>
      </c>
      <c r="D482" s="412">
        <f t="shared" ref="D482:J482" si="174">AVERAGE(D228:D232)</f>
        <v>319.2</v>
      </c>
      <c r="E482" s="412">
        <f t="shared" si="174"/>
        <v>646.75</v>
      </c>
      <c r="F482" s="412">
        <f t="shared" si="174"/>
        <v>556</v>
      </c>
      <c r="G482" s="412">
        <f t="shared" si="174"/>
        <v>607</v>
      </c>
      <c r="H482" s="412">
        <f t="shared" si="174"/>
        <v>124.66666666666667</v>
      </c>
      <c r="I482" s="412">
        <f t="shared" si="174"/>
        <v>224</v>
      </c>
      <c r="J482" s="412">
        <f t="shared" si="174"/>
        <v>217.33333333333334</v>
      </c>
      <c r="K482" s="412" t="s">
        <v>29</v>
      </c>
      <c r="L482" s="412">
        <f>AVERAGE(L228:L232)</f>
        <v>1651.6</v>
      </c>
    </row>
    <row r="483" spans="1:12" s="314" customFormat="1" ht="11.25" customHeight="1" x14ac:dyDescent="0.2">
      <c r="A483" s="415" t="s">
        <v>14</v>
      </c>
      <c r="B483" s="412" t="s">
        <v>29</v>
      </c>
      <c r="C483" s="412" t="s">
        <v>29</v>
      </c>
      <c r="D483" s="412">
        <f>AVERAGE(D233:D237)</f>
        <v>45</v>
      </c>
      <c r="E483" s="412" t="s">
        <v>29</v>
      </c>
      <c r="F483" s="412">
        <f>AVERAGE(F233:F237)</f>
        <v>48</v>
      </c>
      <c r="G483" s="412">
        <f>AVERAGE(G233:G237)</f>
        <v>56</v>
      </c>
      <c r="H483" s="412">
        <f>AVERAGE(H233:H237)</f>
        <v>22</v>
      </c>
      <c r="I483" s="412">
        <f>AVERAGE(I233:I237)</f>
        <v>185.5</v>
      </c>
      <c r="J483" s="412" t="s">
        <v>29</v>
      </c>
      <c r="K483" s="412" t="s">
        <v>29</v>
      </c>
      <c r="L483" s="412">
        <f>AVERAGE(L233:L237)</f>
        <v>195.66666666666666</v>
      </c>
    </row>
    <row r="484" spans="1:12" s="314" customFormat="1" ht="11.25" customHeight="1" x14ac:dyDescent="0.2">
      <c r="A484" s="415" t="s">
        <v>207</v>
      </c>
      <c r="B484" s="412" t="s">
        <v>29</v>
      </c>
      <c r="C484" s="412" t="s">
        <v>29</v>
      </c>
      <c r="D484" s="412">
        <f>AVERAGE(D238:D242)</f>
        <v>55.4</v>
      </c>
      <c r="E484" s="412" t="s">
        <v>29</v>
      </c>
      <c r="F484" s="412" t="s">
        <v>29</v>
      </c>
      <c r="G484" s="412">
        <f>AVERAGE(G238:G242)</f>
        <v>79.8</v>
      </c>
      <c r="H484" s="412">
        <f>AVERAGE(H238:H242)</f>
        <v>47</v>
      </c>
      <c r="I484" s="412">
        <f>AVERAGE(I238:I242)</f>
        <v>150.4</v>
      </c>
      <c r="J484" s="412" t="s">
        <v>29</v>
      </c>
      <c r="K484" s="412" t="s">
        <v>29</v>
      </c>
      <c r="L484" s="412">
        <f>AVERAGE(L238:L242)</f>
        <v>316.2</v>
      </c>
    </row>
    <row r="485" spans="1:12" s="314" customFormat="1" ht="11.25" customHeight="1" x14ac:dyDescent="0.2">
      <c r="A485" s="365" t="s">
        <v>238</v>
      </c>
      <c r="B485" s="412">
        <f>AVERAGE(B243:B247)</f>
        <v>2.75</v>
      </c>
      <c r="C485" s="412">
        <f>AVERAGE(C243:C247)</f>
        <v>8</v>
      </c>
      <c r="D485" s="412">
        <f>AVERAGE(D243:D247)</f>
        <v>40</v>
      </c>
      <c r="E485" s="412">
        <f t="shared" ref="E485:L485" si="175">AVERAGE(E243:E247)</f>
        <v>80.75</v>
      </c>
      <c r="F485" s="412">
        <f t="shared" si="175"/>
        <v>97.666666666666671</v>
      </c>
      <c r="G485" s="412">
        <f t="shared" si="175"/>
        <v>94</v>
      </c>
      <c r="H485" s="412">
        <f t="shared" si="175"/>
        <v>84.2</v>
      </c>
      <c r="I485" s="412">
        <f t="shared" si="175"/>
        <v>108</v>
      </c>
      <c r="J485" s="412">
        <f t="shared" si="175"/>
        <v>12.666666666666666</v>
      </c>
      <c r="K485" s="412" t="s">
        <v>29</v>
      </c>
      <c r="L485" s="412">
        <f t="shared" si="175"/>
        <v>438.8</v>
      </c>
    </row>
    <row r="486" spans="1:12" s="314" customFormat="1" ht="11.25" customHeight="1" x14ac:dyDescent="0.2">
      <c r="A486" s="365">
        <v>2006</v>
      </c>
      <c r="B486" s="412" t="str">
        <f t="shared" ref="B486:L486" si="176">B248</f>
        <v>-</v>
      </c>
      <c r="C486" s="412" t="str">
        <f t="shared" si="176"/>
        <v>-</v>
      </c>
      <c r="D486" s="412" t="str">
        <f t="shared" si="176"/>
        <v>-</v>
      </c>
      <c r="E486" s="412" t="str">
        <f t="shared" si="176"/>
        <v>-</v>
      </c>
      <c r="F486" s="412" t="str">
        <f t="shared" si="176"/>
        <v>-</v>
      </c>
      <c r="G486" s="412" t="str">
        <f t="shared" si="176"/>
        <v>-</v>
      </c>
      <c r="H486" s="412">
        <f t="shared" si="176"/>
        <v>6</v>
      </c>
      <c r="I486" s="412">
        <f t="shared" si="176"/>
        <v>151</v>
      </c>
      <c r="J486" s="412">
        <f t="shared" si="176"/>
        <v>27</v>
      </c>
      <c r="K486" s="412" t="str">
        <f t="shared" si="176"/>
        <v>-</v>
      </c>
      <c r="L486" s="412">
        <f t="shared" si="176"/>
        <v>184</v>
      </c>
    </row>
    <row r="487" spans="1:12" s="317" customFormat="1" ht="11.25" customHeight="1" x14ac:dyDescent="0.2">
      <c r="A487" s="185">
        <v>2007</v>
      </c>
      <c r="B487" s="412" t="str">
        <f t="shared" ref="B487:L487" si="177">B249</f>
        <v>-</v>
      </c>
      <c r="C487" s="412">
        <f t="shared" si="177"/>
        <v>6</v>
      </c>
      <c r="D487" s="412">
        <f t="shared" si="177"/>
        <v>8</v>
      </c>
      <c r="E487" s="412">
        <f t="shared" si="177"/>
        <v>138</v>
      </c>
      <c r="F487" s="412">
        <f t="shared" si="177"/>
        <v>99</v>
      </c>
      <c r="G487" s="412">
        <f t="shared" si="177"/>
        <v>95</v>
      </c>
      <c r="H487" s="412">
        <f t="shared" si="177"/>
        <v>60</v>
      </c>
      <c r="I487" s="412">
        <f t="shared" si="177"/>
        <v>47</v>
      </c>
      <c r="J487" s="412">
        <f t="shared" si="177"/>
        <v>12</v>
      </c>
      <c r="K487" s="412" t="str">
        <f t="shared" si="177"/>
        <v>-</v>
      </c>
      <c r="L487" s="412">
        <f t="shared" si="177"/>
        <v>465</v>
      </c>
    </row>
    <row r="488" spans="1:12" s="317" customFormat="1" ht="11.25" customHeight="1" x14ac:dyDescent="0.2">
      <c r="A488" s="185">
        <v>2008</v>
      </c>
      <c r="B488" s="412" t="str">
        <f t="shared" ref="B488:L488" si="178">B250</f>
        <v>-</v>
      </c>
      <c r="C488" s="412" t="str">
        <f t="shared" si="178"/>
        <v>-</v>
      </c>
      <c r="D488" s="412" t="str">
        <f t="shared" si="178"/>
        <v>-</v>
      </c>
      <c r="E488" s="412" t="str">
        <f t="shared" si="178"/>
        <v>-</v>
      </c>
      <c r="F488" s="412" t="str">
        <f t="shared" si="178"/>
        <v>-</v>
      </c>
      <c r="G488" s="412" t="str">
        <f t="shared" si="178"/>
        <v>-</v>
      </c>
      <c r="H488" s="412" t="str">
        <f t="shared" si="178"/>
        <v>-</v>
      </c>
      <c r="I488" s="412">
        <f t="shared" si="178"/>
        <v>51</v>
      </c>
      <c r="J488" s="412" t="str">
        <f t="shared" si="178"/>
        <v>-</v>
      </c>
      <c r="K488" s="412" t="str">
        <f t="shared" si="178"/>
        <v>-</v>
      </c>
      <c r="L488" s="412">
        <f t="shared" si="178"/>
        <v>51</v>
      </c>
    </row>
    <row r="489" spans="1:12" s="317" customFormat="1" ht="11.25" customHeight="1" x14ac:dyDescent="0.2">
      <c r="A489" s="185">
        <v>2009</v>
      </c>
      <c r="B489" s="412" t="str">
        <f t="shared" ref="B489:L489" si="179">B251</f>
        <v>-</v>
      </c>
      <c r="C489" s="412" t="str">
        <f t="shared" si="179"/>
        <v>-</v>
      </c>
      <c r="D489" s="412" t="str">
        <f t="shared" si="179"/>
        <v>-</v>
      </c>
      <c r="E489" s="412" t="str">
        <f t="shared" si="179"/>
        <v>-</v>
      </c>
      <c r="F489" s="412" t="str">
        <f t="shared" si="179"/>
        <v>-</v>
      </c>
      <c r="G489" s="412" t="str">
        <f t="shared" si="179"/>
        <v>-</v>
      </c>
      <c r="H489" s="412" t="str">
        <f t="shared" si="179"/>
        <v>-</v>
      </c>
      <c r="I489" s="412" t="str">
        <f t="shared" si="179"/>
        <v>-</v>
      </c>
      <c r="J489" s="412" t="str">
        <f t="shared" si="179"/>
        <v>-</v>
      </c>
      <c r="K489" s="412" t="str">
        <f t="shared" si="179"/>
        <v>-</v>
      </c>
      <c r="L489" s="412" t="str">
        <f t="shared" si="179"/>
        <v>-</v>
      </c>
    </row>
    <row r="490" spans="1:12" s="317" customFormat="1" ht="11.25" customHeight="1" x14ac:dyDescent="0.2">
      <c r="A490" s="185">
        <v>2010</v>
      </c>
      <c r="B490" s="412" t="str">
        <f t="shared" ref="B490:L490" si="180">B252</f>
        <v>-</v>
      </c>
      <c r="C490" s="412" t="str">
        <f t="shared" si="180"/>
        <v>-</v>
      </c>
      <c r="D490" s="412">
        <f t="shared" si="180"/>
        <v>43</v>
      </c>
      <c r="E490" s="412" t="str">
        <f t="shared" si="180"/>
        <v>-</v>
      </c>
      <c r="F490" s="412">
        <f t="shared" si="180"/>
        <v>26</v>
      </c>
      <c r="G490" s="412">
        <f t="shared" si="180"/>
        <v>40</v>
      </c>
      <c r="H490" s="412" t="str">
        <f t="shared" si="180"/>
        <v>-</v>
      </c>
      <c r="I490" s="412">
        <f t="shared" si="180"/>
        <v>72</v>
      </c>
      <c r="J490" s="412" t="str">
        <f t="shared" si="180"/>
        <v>-</v>
      </c>
      <c r="K490" s="412" t="str">
        <f t="shared" si="180"/>
        <v>-</v>
      </c>
      <c r="L490" s="412">
        <f t="shared" si="180"/>
        <v>181</v>
      </c>
    </row>
    <row r="491" spans="1:12" s="317" customFormat="1" ht="11.25" customHeight="1" x14ac:dyDescent="0.2">
      <c r="A491" s="185">
        <v>2011</v>
      </c>
      <c r="B491" s="412" t="str">
        <f t="shared" ref="B491:L491" si="181">B253</f>
        <v>-</v>
      </c>
      <c r="C491" s="412" t="str">
        <f t="shared" si="181"/>
        <v>-</v>
      </c>
      <c r="D491" s="412">
        <f t="shared" si="181"/>
        <v>60</v>
      </c>
      <c r="E491" s="412">
        <f t="shared" si="181"/>
        <v>60</v>
      </c>
      <c r="F491" s="412">
        <f t="shared" si="181"/>
        <v>8</v>
      </c>
      <c r="G491" s="412">
        <f t="shared" si="181"/>
        <v>86</v>
      </c>
      <c r="H491" s="412" t="str">
        <f t="shared" si="181"/>
        <v>-</v>
      </c>
      <c r="I491" s="412">
        <f t="shared" si="181"/>
        <v>75</v>
      </c>
      <c r="J491" s="412" t="str">
        <f t="shared" si="181"/>
        <v>-</v>
      </c>
      <c r="K491" s="412" t="str">
        <f t="shared" si="181"/>
        <v>-</v>
      </c>
      <c r="L491" s="412">
        <f t="shared" si="181"/>
        <v>289</v>
      </c>
    </row>
    <row r="492" spans="1:12" s="317" customFormat="1" ht="11.25" customHeight="1" x14ac:dyDescent="0.2">
      <c r="A492" s="185">
        <v>2012</v>
      </c>
      <c r="B492" s="412" t="str">
        <f t="shared" ref="B492:L492" si="182">B254</f>
        <v>-</v>
      </c>
      <c r="C492" s="412" t="str">
        <f t="shared" si="182"/>
        <v>- -</v>
      </c>
      <c r="D492" s="412">
        <f t="shared" si="182"/>
        <v>23</v>
      </c>
      <c r="E492" s="412">
        <f t="shared" si="182"/>
        <v>118</v>
      </c>
      <c r="F492" s="412">
        <f t="shared" si="182"/>
        <v>90</v>
      </c>
      <c r="G492" s="412">
        <f t="shared" si="182"/>
        <v>67</v>
      </c>
      <c r="H492" s="412">
        <f t="shared" si="182"/>
        <v>43</v>
      </c>
      <c r="I492" s="412">
        <f t="shared" si="182"/>
        <v>41</v>
      </c>
      <c r="J492" s="412" t="str">
        <f t="shared" si="182"/>
        <v>-</v>
      </c>
      <c r="K492" s="412" t="str">
        <f t="shared" si="182"/>
        <v>-</v>
      </c>
      <c r="L492" s="412">
        <f t="shared" si="182"/>
        <v>382</v>
      </c>
    </row>
    <row r="493" spans="1:12" s="317" customFormat="1" ht="11.25" customHeight="1" x14ac:dyDescent="0.2">
      <c r="A493" s="185">
        <v>2013</v>
      </c>
      <c r="B493" s="412" t="str">
        <f t="shared" ref="B493:L493" si="183">B255</f>
        <v>-</v>
      </c>
      <c r="C493" s="412">
        <f t="shared" si="183"/>
        <v>13</v>
      </c>
      <c r="D493" s="412">
        <f t="shared" si="183"/>
        <v>3</v>
      </c>
      <c r="E493" s="412">
        <f t="shared" si="183"/>
        <v>107</v>
      </c>
      <c r="F493" s="412">
        <f t="shared" si="183"/>
        <v>284</v>
      </c>
      <c r="G493" s="412">
        <f t="shared" si="183"/>
        <v>208</v>
      </c>
      <c r="H493" s="412">
        <f t="shared" si="183"/>
        <v>40</v>
      </c>
      <c r="I493" s="412">
        <f t="shared" si="183"/>
        <v>52</v>
      </c>
      <c r="J493" s="412" t="str">
        <f t="shared" si="183"/>
        <v>-</v>
      </c>
      <c r="K493" s="412" t="str">
        <f t="shared" si="183"/>
        <v>-</v>
      </c>
      <c r="L493" s="412">
        <f t="shared" si="183"/>
        <v>707</v>
      </c>
    </row>
    <row r="494" spans="1:12" s="317" customFormat="1" ht="11.25" customHeight="1" x14ac:dyDescent="0.2">
      <c r="A494" s="185">
        <v>2014</v>
      </c>
      <c r="B494" s="412" t="str">
        <f t="shared" ref="B494:L494" si="184">B256</f>
        <v>-</v>
      </c>
      <c r="C494" s="412">
        <f t="shared" si="184"/>
        <v>10</v>
      </c>
      <c r="D494" s="412">
        <f t="shared" si="184"/>
        <v>471</v>
      </c>
      <c r="E494" s="412">
        <f t="shared" si="184"/>
        <v>82</v>
      </c>
      <c r="F494" s="412">
        <f t="shared" si="184"/>
        <v>38</v>
      </c>
      <c r="G494" s="412">
        <f t="shared" si="184"/>
        <v>70</v>
      </c>
      <c r="H494" s="412">
        <f t="shared" si="184"/>
        <v>21</v>
      </c>
      <c r="I494" s="412">
        <f t="shared" si="184"/>
        <v>78</v>
      </c>
      <c r="J494" s="412" t="str">
        <f t="shared" si="184"/>
        <v>-</v>
      </c>
      <c r="K494" s="412" t="str">
        <f t="shared" si="184"/>
        <v>-</v>
      </c>
      <c r="L494" s="412">
        <f t="shared" si="184"/>
        <v>770</v>
      </c>
    </row>
    <row r="495" spans="1:12" s="317" customFormat="1" ht="11.25" customHeight="1" x14ac:dyDescent="0.2">
      <c r="A495" s="185">
        <v>2015</v>
      </c>
      <c r="B495" s="412" t="str">
        <f t="shared" ref="B495:L495" si="185">B257</f>
        <v>-</v>
      </c>
      <c r="C495" s="412">
        <f t="shared" si="185"/>
        <v>12</v>
      </c>
      <c r="D495" s="412">
        <f t="shared" si="185"/>
        <v>150</v>
      </c>
      <c r="E495" s="412">
        <f t="shared" si="185"/>
        <v>100</v>
      </c>
      <c r="F495" s="412">
        <f t="shared" si="185"/>
        <v>90</v>
      </c>
      <c r="G495" s="412">
        <f t="shared" si="185"/>
        <v>24</v>
      </c>
      <c r="H495" s="412" t="str">
        <f t="shared" si="185"/>
        <v>-</v>
      </c>
      <c r="I495" s="412">
        <f t="shared" si="185"/>
        <v>144</v>
      </c>
      <c r="J495" s="412" t="str">
        <f t="shared" si="185"/>
        <v>-</v>
      </c>
      <c r="K495" s="412" t="str">
        <f t="shared" si="185"/>
        <v>-</v>
      </c>
      <c r="L495" s="412">
        <f t="shared" si="185"/>
        <v>520</v>
      </c>
    </row>
    <row r="496" spans="1:12" s="317" customFormat="1" ht="11.25" customHeight="1" x14ac:dyDescent="0.25">
      <c r="A496" s="118">
        <v>2016</v>
      </c>
      <c r="B496" s="412" t="str">
        <f t="shared" ref="B496:L496" si="186">B258</f>
        <v>-</v>
      </c>
      <c r="C496" s="412">
        <f t="shared" si="186"/>
        <v>7</v>
      </c>
      <c r="D496" s="412">
        <f t="shared" si="186"/>
        <v>13</v>
      </c>
      <c r="E496" s="412">
        <f t="shared" si="186"/>
        <v>47</v>
      </c>
      <c r="F496" s="412">
        <f t="shared" si="186"/>
        <v>8</v>
      </c>
      <c r="G496" s="412" t="str">
        <f t="shared" si="186"/>
        <v>-</v>
      </c>
      <c r="H496" s="412" t="str">
        <f t="shared" si="186"/>
        <v>-</v>
      </c>
      <c r="I496" s="412">
        <f t="shared" si="186"/>
        <v>52</v>
      </c>
      <c r="J496" s="412" t="str">
        <f t="shared" si="186"/>
        <v>-</v>
      </c>
      <c r="K496" s="412" t="str">
        <f t="shared" si="186"/>
        <v>-</v>
      </c>
      <c r="L496" s="412">
        <f t="shared" si="186"/>
        <v>127</v>
      </c>
    </row>
    <row r="497" spans="1:12" s="317" customFormat="1" ht="11.25" customHeight="1" x14ac:dyDescent="0.25">
      <c r="A497" s="118">
        <v>2017</v>
      </c>
      <c r="B497" s="412" t="str">
        <f t="shared" ref="B497:L497" si="187">B259</f>
        <v>-</v>
      </c>
      <c r="C497" s="412" t="str">
        <f t="shared" si="187"/>
        <v>-</v>
      </c>
      <c r="D497" s="412" t="str">
        <f t="shared" si="187"/>
        <v>-</v>
      </c>
      <c r="E497" s="412" t="str">
        <f t="shared" si="187"/>
        <v>-</v>
      </c>
      <c r="F497" s="412" t="str">
        <f t="shared" si="187"/>
        <v>-</v>
      </c>
      <c r="G497" s="412" t="str">
        <f t="shared" si="187"/>
        <v>-</v>
      </c>
      <c r="H497" s="412" t="str">
        <f t="shared" si="187"/>
        <v>-</v>
      </c>
      <c r="I497" s="412">
        <f t="shared" si="187"/>
        <v>109</v>
      </c>
      <c r="J497" s="412" t="str">
        <f t="shared" si="187"/>
        <v>-</v>
      </c>
      <c r="K497" s="412" t="str">
        <f t="shared" si="187"/>
        <v>-</v>
      </c>
      <c r="L497" s="412">
        <f t="shared" si="187"/>
        <v>109</v>
      </c>
    </row>
    <row r="498" spans="1:12" s="317" customFormat="1" ht="11.25" customHeight="1" x14ac:dyDescent="0.25">
      <c r="A498" s="118">
        <v>2018</v>
      </c>
      <c r="B498" s="406" t="str">
        <f t="shared" ref="B498:L498" si="188">B260</f>
        <v>-</v>
      </c>
      <c r="C498" s="406" t="str">
        <f t="shared" si="188"/>
        <v>-</v>
      </c>
      <c r="D498" s="406">
        <f t="shared" si="188"/>
        <v>37</v>
      </c>
      <c r="E498" s="406">
        <f t="shared" si="188"/>
        <v>127</v>
      </c>
      <c r="F498" s="406">
        <f t="shared" si="188"/>
        <v>123</v>
      </c>
      <c r="G498" s="406">
        <f t="shared" si="188"/>
        <v>73</v>
      </c>
      <c r="H498" s="406" t="str">
        <f t="shared" si="188"/>
        <v>-</v>
      </c>
      <c r="I498" s="406">
        <f t="shared" si="188"/>
        <v>115</v>
      </c>
      <c r="J498" s="406" t="str">
        <f t="shared" si="188"/>
        <v>-</v>
      </c>
      <c r="K498" s="406" t="str">
        <f t="shared" si="188"/>
        <v>-</v>
      </c>
      <c r="L498" s="406">
        <f t="shared" si="188"/>
        <v>475</v>
      </c>
    </row>
    <row r="499" spans="1:12" s="317" customFormat="1" ht="11.25" customHeight="1" x14ac:dyDescent="0.25">
      <c r="A499" s="118">
        <v>2019</v>
      </c>
      <c r="B499" s="406" t="str">
        <f t="shared" ref="B499:L500" si="189">B261</f>
        <v>-</v>
      </c>
      <c r="C499" s="406">
        <f t="shared" si="189"/>
        <v>2</v>
      </c>
      <c r="D499" s="406">
        <f t="shared" si="189"/>
        <v>7</v>
      </c>
      <c r="E499" s="406">
        <f t="shared" si="189"/>
        <v>21</v>
      </c>
      <c r="F499" s="406">
        <f t="shared" si="189"/>
        <v>71</v>
      </c>
      <c r="G499" s="406">
        <f t="shared" si="189"/>
        <v>135</v>
      </c>
      <c r="H499" s="406" t="str">
        <f t="shared" si="189"/>
        <v>-</v>
      </c>
      <c r="I499" s="406" t="str">
        <f t="shared" si="189"/>
        <v>-</v>
      </c>
      <c r="J499" s="406" t="str">
        <f t="shared" si="189"/>
        <v>-</v>
      </c>
      <c r="K499" s="406" t="str">
        <f t="shared" si="189"/>
        <v>-</v>
      </c>
      <c r="L499" s="406">
        <f t="shared" si="189"/>
        <v>236</v>
      </c>
    </row>
    <row r="500" spans="1:12" s="314" customFormat="1" ht="11.25" customHeight="1" x14ac:dyDescent="0.25">
      <c r="A500" s="118" t="s">
        <v>393</v>
      </c>
      <c r="B500" s="412" t="str">
        <f t="shared" si="189"/>
        <v>-</v>
      </c>
      <c r="C500" s="412">
        <f t="shared" si="189"/>
        <v>1</v>
      </c>
      <c r="D500" s="412">
        <f t="shared" si="189"/>
        <v>3</v>
      </c>
      <c r="E500" s="412">
        <f t="shared" si="189"/>
        <v>46</v>
      </c>
      <c r="F500" s="412">
        <f t="shared" si="189"/>
        <v>72</v>
      </c>
      <c r="G500" s="412" t="str">
        <f t="shared" si="189"/>
        <v>-</v>
      </c>
      <c r="H500" s="412" t="str">
        <f t="shared" si="189"/>
        <v>-</v>
      </c>
      <c r="I500" s="412" t="str">
        <f t="shared" si="189"/>
        <v>-</v>
      </c>
      <c r="J500" s="412" t="str">
        <f t="shared" si="189"/>
        <v>-</v>
      </c>
      <c r="K500" s="412" t="str">
        <f t="shared" si="189"/>
        <v>-</v>
      </c>
      <c r="L500" s="412">
        <f t="shared" si="189"/>
        <v>122</v>
      </c>
    </row>
    <row r="501" spans="1:12" s="314" customFormat="1" ht="11.25" customHeight="1" x14ac:dyDescent="0.25">
      <c r="A501" s="413"/>
      <c r="B501" s="412"/>
      <c r="C501" s="412"/>
      <c r="D501" s="412"/>
      <c r="E501" s="412"/>
      <c r="F501" s="412"/>
      <c r="G501" s="412"/>
      <c r="H501" s="412"/>
      <c r="I501" s="412"/>
      <c r="J501" s="412"/>
      <c r="K501" s="412"/>
      <c r="L501" s="412"/>
    </row>
    <row r="502" spans="1:12" s="314" customFormat="1" ht="11.25" customHeight="1" x14ac:dyDescent="0.25">
      <c r="A502" s="416" t="str">
        <f>A264</f>
        <v>South of Cape Falcon</v>
      </c>
      <c r="B502" s="412"/>
      <c r="C502" s="412"/>
      <c r="D502" s="412"/>
      <c r="E502" s="412"/>
      <c r="F502" s="412"/>
      <c r="G502" s="412"/>
      <c r="H502" s="412"/>
      <c r="I502" s="412"/>
      <c r="J502" s="412"/>
      <c r="K502" s="412"/>
      <c r="L502" s="412"/>
    </row>
    <row r="503" spans="1:12" s="314" customFormat="1" ht="11.25" customHeight="1" x14ac:dyDescent="0.25">
      <c r="A503" s="413" t="s">
        <v>30</v>
      </c>
      <c r="B503" s="412" t="s">
        <v>29</v>
      </c>
      <c r="C503" s="412" t="s">
        <v>29</v>
      </c>
      <c r="D503" s="412">
        <f t="shared" ref="D503:L503" si="190">AVERAGE(D275:D279)</f>
        <v>1678</v>
      </c>
      <c r="E503" s="412">
        <f t="shared" si="190"/>
        <v>1199.4000000000001</v>
      </c>
      <c r="F503" s="412">
        <f t="shared" si="190"/>
        <v>11559.4</v>
      </c>
      <c r="G503" s="412">
        <f t="shared" si="190"/>
        <v>7068.4</v>
      </c>
      <c r="H503" s="412">
        <f t="shared" si="190"/>
        <v>1368.2</v>
      </c>
      <c r="I503" s="412">
        <f t="shared" si="190"/>
        <v>1180.4000000000001</v>
      </c>
      <c r="J503" s="412">
        <f t="shared" si="190"/>
        <v>346.4</v>
      </c>
      <c r="K503" s="412" t="s">
        <v>29</v>
      </c>
      <c r="L503" s="412">
        <f t="shared" si="190"/>
        <v>24400.2</v>
      </c>
    </row>
    <row r="504" spans="1:12" s="314" customFormat="1" ht="11.25" customHeight="1" x14ac:dyDescent="0.25">
      <c r="A504" s="413" t="s">
        <v>87</v>
      </c>
      <c r="B504" s="412" t="s">
        <v>29</v>
      </c>
      <c r="C504" s="412" t="s">
        <v>29</v>
      </c>
      <c r="D504" s="412">
        <f t="shared" ref="D504:J504" si="191">AVERAGE(D280:D284)</f>
        <v>4064.6</v>
      </c>
      <c r="E504" s="412">
        <f t="shared" si="191"/>
        <v>5011.2</v>
      </c>
      <c r="F504" s="412">
        <f t="shared" si="191"/>
        <v>14143.8</v>
      </c>
      <c r="G504" s="412">
        <f t="shared" si="191"/>
        <v>8456.7999999999993</v>
      </c>
      <c r="H504" s="412">
        <f t="shared" si="191"/>
        <v>3288.6</v>
      </c>
      <c r="I504" s="412">
        <f t="shared" si="191"/>
        <v>2296.4</v>
      </c>
      <c r="J504" s="412">
        <f t="shared" si="191"/>
        <v>291.5</v>
      </c>
      <c r="K504" s="412" t="s">
        <v>29</v>
      </c>
      <c r="L504" s="412">
        <f>AVERAGE(L280:L284)</f>
        <v>37494.6</v>
      </c>
    </row>
    <row r="505" spans="1:12" s="314" customFormat="1" ht="11.25" customHeight="1" x14ac:dyDescent="0.25">
      <c r="A505" s="413" t="s">
        <v>14</v>
      </c>
      <c r="B505" s="412" t="s">
        <v>29</v>
      </c>
      <c r="C505" s="412" t="s">
        <v>29</v>
      </c>
      <c r="D505" s="412">
        <f>AVERAGE(D285:D289)</f>
        <v>1252.2</v>
      </c>
      <c r="E505" s="412">
        <f t="shared" ref="E505:J505" si="192">AVERAGE(E285:E289)</f>
        <v>2027</v>
      </c>
      <c r="F505" s="412">
        <f t="shared" si="192"/>
        <v>1845</v>
      </c>
      <c r="G505" s="412">
        <f t="shared" si="192"/>
        <v>1654</v>
      </c>
      <c r="H505" s="412">
        <f t="shared" si="192"/>
        <v>1339.2</v>
      </c>
      <c r="I505" s="412">
        <f t="shared" si="192"/>
        <v>1395.6</v>
      </c>
      <c r="J505" s="412">
        <f t="shared" si="192"/>
        <v>88.333333333333329</v>
      </c>
      <c r="K505" s="412" t="s">
        <v>29</v>
      </c>
      <c r="L505" s="412">
        <f>AVERAGE(L285:L289)</f>
        <v>8791.6</v>
      </c>
    </row>
    <row r="506" spans="1:12" s="314" customFormat="1" ht="11.25" customHeight="1" x14ac:dyDescent="0.25">
      <c r="A506" s="413" t="s">
        <v>207</v>
      </c>
      <c r="B506" s="412" t="s">
        <v>29</v>
      </c>
      <c r="C506" s="412" t="s">
        <v>29</v>
      </c>
      <c r="D506" s="412">
        <f>AVERAGE(D290:D294)</f>
        <v>1337.4</v>
      </c>
      <c r="E506" s="412">
        <f t="shared" ref="E506:J506" si="193">AVERAGE(E290:E294)</f>
        <v>1579.4</v>
      </c>
      <c r="F506" s="412">
        <f t="shared" si="193"/>
        <v>959.5</v>
      </c>
      <c r="G506" s="412">
        <f t="shared" si="193"/>
        <v>1611.6</v>
      </c>
      <c r="H506" s="412">
        <f t="shared" si="193"/>
        <v>991.6</v>
      </c>
      <c r="I506" s="412">
        <f t="shared" si="193"/>
        <v>786</v>
      </c>
      <c r="J506" s="412">
        <f t="shared" si="193"/>
        <v>115.8</v>
      </c>
      <c r="K506" s="412" t="s">
        <v>29</v>
      </c>
      <c r="L506" s="412">
        <f>AVERAGE(L290:L294)</f>
        <v>7131</v>
      </c>
    </row>
    <row r="507" spans="1:12" s="314" customFormat="1" ht="11.25" customHeight="1" x14ac:dyDescent="0.25">
      <c r="A507" s="364" t="s">
        <v>238</v>
      </c>
      <c r="B507" s="412">
        <f>AVERAGE(B295:B299)</f>
        <v>689.25</v>
      </c>
      <c r="C507" s="412">
        <f>AVERAGE(C295:C299)</f>
        <v>1214.8</v>
      </c>
      <c r="D507" s="412">
        <f>AVERAGE(D295:D299)</f>
        <v>2341.8000000000002</v>
      </c>
      <c r="E507" s="412">
        <f t="shared" ref="E507:L507" si="194">AVERAGE(E295:E299)</f>
        <v>2058.1999999999998</v>
      </c>
      <c r="F507" s="412">
        <f t="shared" si="194"/>
        <v>1015</v>
      </c>
      <c r="G507" s="412">
        <f t="shared" si="194"/>
        <v>1725</v>
      </c>
      <c r="H507" s="412">
        <f t="shared" si="194"/>
        <v>1757</v>
      </c>
      <c r="I507" s="412">
        <f t="shared" si="194"/>
        <v>1320.6</v>
      </c>
      <c r="J507" s="412">
        <f t="shared" si="194"/>
        <v>168.2</v>
      </c>
      <c r="K507" s="412">
        <f t="shared" si="194"/>
        <v>25.2</v>
      </c>
      <c r="L507" s="412">
        <f t="shared" si="194"/>
        <v>11629.2</v>
      </c>
    </row>
    <row r="508" spans="1:12" s="314" customFormat="1" ht="11.25" customHeight="1" x14ac:dyDescent="0.25">
      <c r="A508" s="364">
        <v>2006</v>
      </c>
      <c r="B508" s="412" t="str">
        <f t="shared" ref="B508:L508" si="195">B300</f>
        <v>-</v>
      </c>
      <c r="C508" s="412" t="str">
        <f t="shared" si="195"/>
        <v>-</v>
      </c>
      <c r="D508" s="412" t="str">
        <f t="shared" si="195"/>
        <v>-</v>
      </c>
      <c r="E508" s="412">
        <f t="shared" si="195"/>
        <v>1017</v>
      </c>
      <c r="F508" s="412">
        <f t="shared" si="195"/>
        <v>483</v>
      </c>
      <c r="G508" s="412">
        <f t="shared" si="195"/>
        <v>185</v>
      </c>
      <c r="H508" s="412">
        <f t="shared" si="195"/>
        <v>627</v>
      </c>
      <c r="I508" s="412">
        <f t="shared" si="195"/>
        <v>874</v>
      </c>
      <c r="J508" s="412">
        <f t="shared" si="195"/>
        <v>306</v>
      </c>
      <c r="K508" s="412">
        <f t="shared" si="195"/>
        <v>26</v>
      </c>
      <c r="L508" s="412">
        <f t="shared" si="195"/>
        <v>3518</v>
      </c>
    </row>
    <row r="509" spans="1:12" s="317" customFormat="1" ht="11.25" customHeight="1" x14ac:dyDescent="0.25">
      <c r="A509" s="118">
        <v>2007</v>
      </c>
      <c r="B509" s="412" t="str">
        <f t="shared" ref="B509:L509" si="196">B301</f>
        <v>-</v>
      </c>
      <c r="C509" s="412">
        <f t="shared" si="196"/>
        <v>348</v>
      </c>
      <c r="D509" s="412">
        <f t="shared" si="196"/>
        <v>1189</v>
      </c>
      <c r="E509" s="412">
        <f t="shared" si="196"/>
        <v>912</v>
      </c>
      <c r="F509" s="412">
        <f t="shared" si="196"/>
        <v>364</v>
      </c>
      <c r="G509" s="412">
        <f t="shared" si="196"/>
        <v>1246</v>
      </c>
      <c r="H509" s="412">
        <f t="shared" si="196"/>
        <v>363</v>
      </c>
      <c r="I509" s="412">
        <f t="shared" si="196"/>
        <v>291</v>
      </c>
      <c r="J509" s="412">
        <f t="shared" si="196"/>
        <v>174</v>
      </c>
      <c r="K509" s="412" t="str">
        <f t="shared" si="196"/>
        <v>-</v>
      </c>
      <c r="L509" s="412">
        <f t="shared" si="196"/>
        <v>4887</v>
      </c>
    </row>
    <row r="510" spans="1:12" s="317" customFormat="1" ht="11.25" customHeight="1" x14ac:dyDescent="0.25">
      <c r="A510" s="118">
        <v>2008</v>
      </c>
      <c r="B510" s="412" t="str">
        <f t="shared" ref="B510:L510" si="197">B302</f>
        <v>-</v>
      </c>
      <c r="C510" s="412" t="str">
        <f t="shared" si="197"/>
        <v>-</v>
      </c>
      <c r="D510" s="412" t="str">
        <f t="shared" si="197"/>
        <v>-</v>
      </c>
      <c r="E510" s="412" t="str">
        <f t="shared" si="197"/>
        <v>-</v>
      </c>
      <c r="F510" s="412" t="str">
        <f t="shared" si="197"/>
        <v>-</v>
      </c>
      <c r="G510" s="412" t="str">
        <f t="shared" si="197"/>
        <v>-</v>
      </c>
      <c r="H510" s="412">
        <f t="shared" si="197"/>
        <v>37</v>
      </c>
      <c r="I510" s="412">
        <f t="shared" si="197"/>
        <v>63</v>
      </c>
      <c r="J510" s="412">
        <f t="shared" si="197"/>
        <v>48</v>
      </c>
      <c r="K510" s="412" t="str">
        <f t="shared" si="197"/>
        <v>-</v>
      </c>
      <c r="L510" s="412">
        <f t="shared" si="197"/>
        <v>148</v>
      </c>
    </row>
    <row r="511" spans="1:12" s="317" customFormat="1" ht="11.25" customHeight="1" x14ac:dyDescent="0.25">
      <c r="A511" s="118">
        <v>2009</v>
      </c>
      <c r="B511" s="412" t="str">
        <f t="shared" ref="B511:L511" si="198">B303</f>
        <v>-</v>
      </c>
      <c r="C511" s="412" t="str">
        <f t="shared" si="198"/>
        <v>-</v>
      </c>
      <c r="D511" s="412" t="str">
        <f t="shared" si="198"/>
        <v>-</v>
      </c>
      <c r="E511" s="412" t="str">
        <f t="shared" si="198"/>
        <v>-</v>
      </c>
      <c r="F511" s="412" t="str">
        <f t="shared" si="198"/>
        <v>-</v>
      </c>
      <c r="G511" s="412" t="str">
        <f t="shared" si="198"/>
        <v>-</v>
      </c>
      <c r="H511" s="412">
        <f t="shared" si="198"/>
        <v>634</v>
      </c>
      <c r="I511" s="412">
        <f t="shared" si="198"/>
        <v>60</v>
      </c>
      <c r="J511" s="412" t="str">
        <f t="shared" si="198"/>
        <v>-</v>
      </c>
      <c r="K511" s="412" t="str">
        <f t="shared" si="198"/>
        <v>-</v>
      </c>
      <c r="L511" s="412">
        <f t="shared" si="198"/>
        <v>694</v>
      </c>
    </row>
    <row r="512" spans="1:12" s="317" customFormat="1" ht="11.25" customHeight="1" x14ac:dyDescent="0.25">
      <c r="A512" s="118">
        <v>2010</v>
      </c>
      <c r="B512" s="412" t="str">
        <f t="shared" ref="B512:L512" si="199">B304</f>
        <v>-</v>
      </c>
      <c r="C512" s="412" t="str">
        <f t="shared" si="199"/>
        <v>-</v>
      </c>
      <c r="D512" s="412">
        <f t="shared" si="199"/>
        <v>1058</v>
      </c>
      <c r="E512" s="412">
        <f t="shared" si="199"/>
        <v>987</v>
      </c>
      <c r="F512" s="412">
        <f t="shared" si="199"/>
        <v>594</v>
      </c>
      <c r="G512" s="412">
        <f t="shared" si="199"/>
        <v>759</v>
      </c>
      <c r="H512" s="412">
        <f t="shared" si="199"/>
        <v>37</v>
      </c>
      <c r="I512" s="412">
        <f t="shared" si="199"/>
        <v>229</v>
      </c>
      <c r="J512" s="412" t="str">
        <f t="shared" si="199"/>
        <v>-</v>
      </c>
      <c r="K512" s="412" t="str">
        <f t="shared" si="199"/>
        <v>-</v>
      </c>
      <c r="L512" s="412">
        <f t="shared" si="199"/>
        <v>3664</v>
      </c>
    </row>
    <row r="513" spans="1:12" s="317" customFormat="1" ht="11.25" customHeight="1" x14ac:dyDescent="0.25">
      <c r="A513" s="118">
        <v>2011</v>
      </c>
      <c r="B513" s="412" t="str">
        <f t="shared" ref="B513:L513" si="200">B305</f>
        <v>-</v>
      </c>
      <c r="C513" s="412">
        <f t="shared" si="200"/>
        <v>316</v>
      </c>
      <c r="D513" s="412">
        <f t="shared" si="200"/>
        <v>948</v>
      </c>
      <c r="E513" s="412">
        <f t="shared" si="200"/>
        <v>1140</v>
      </c>
      <c r="F513" s="412">
        <f t="shared" si="200"/>
        <v>108</v>
      </c>
      <c r="G513" s="412">
        <f t="shared" si="200"/>
        <v>293</v>
      </c>
      <c r="H513" s="412">
        <f t="shared" si="200"/>
        <v>122</v>
      </c>
      <c r="I513" s="412">
        <f t="shared" si="200"/>
        <v>301</v>
      </c>
      <c r="J513" s="412">
        <f t="shared" si="200"/>
        <v>235</v>
      </c>
      <c r="K513" s="412" t="str">
        <f t="shared" si="200"/>
        <v>-</v>
      </c>
      <c r="L513" s="412">
        <f t="shared" si="200"/>
        <v>3463</v>
      </c>
    </row>
    <row r="514" spans="1:12" s="317" customFormat="1" ht="11.25" customHeight="1" x14ac:dyDescent="0.25">
      <c r="A514" s="118">
        <v>2012</v>
      </c>
      <c r="B514" s="412" t="str">
        <f t="shared" ref="B514:L514" si="201">B306</f>
        <v>-</v>
      </c>
      <c r="C514" s="412">
        <f t="shared" si="201"/>
        <v>522</v>
      </c>
      <c r="D514" s="412">
        <f t="shared" si="201"/>
        <v>1457</v>
      </c>
      <c r="E514" s="412">
        <f t="shared" si="201"/>
        <v>1054</v>
      </c>
      <c r="F514" s="412">
        <f t="shared" si="201"/>
        <v>336</v>
      </c>
      <c r="G514" s="412">
        <f t="shared" si="201"/>
        <v>699</v>
      </c>
      <c r="H514" s="412">
        <f t="shared" si="201"/>
        <v>930</v>
      </c>
      <c r="I514" s="412">
        <f t="shared" si="201"/>
        <v>721</v>
      </c>
      <c r="J514" s="412">
        <f t="shared" si="201"/>
        <v>121</v>
      </c>
      <c r="K514" s="412" t="str">
        <f t="shared" si="201"/>
        <v>-</v>
      </c>
      <c r="L514" s="412">
        <f t="shared" si="201"/>
        <v>5840</v>
      </c>
    </row>
    <row r="515" spans="1:12" s="317" customFormat="1" ht="11.25" customHeight="1" x14ac:dyDescent="0.25">
      <c r="A515" s="118">
        <v>2013</v>
      </c>
      <c r="B515" s="412" t="str">
        <f t="shared" ref="B515:L515" si="202">B307</f>
        <v>-</v>
      </c>
      <c r="C515" s="412">
        <f t="shared" si="202"/>
        <v>1042</v>
      </c>
      <c r="D515" s="412">
        <f t="shared" si="202"/>
        <v>1137</v>
      </c>
      <c r="E515" s="412">
        <f t="shared" si="202"/>
        <v>878</v>
      </c>
      <c r="F515" s="412">
        <f t="shared" si="202"/>
        <v>802</v>
      </c>
      <c r="G515" s="412">
        <f t="shared" si="202"/>
        <v>2355</v>
      </c>
      <c r="H515" s="412">
        <f t="shared" si="202"/>
        <v>1385</v>
      </c>
      <c r="I515" s="412">
        <f t="shared" si="202"/>
        <v>945</v>
      </c>
      <c r="J515" s="412">
        <f t="shared" si="202"/>
        <v>155</v>
      </c>
      <c r="K515" s="412" t="str">
        <f t="shared" si="202"/>
        <v>-</v>
      </c>
      <c r="L515" s="412">
        <f t="shared" si="202"/>
        <v>8699</v>
      </c>
    </row>
    <row r="516" spans="1:12" s="317" customFormat="1" ht="11.25" customHeight="1" x14ac:dyDescent="0.25">
      <c r="A516" s="118">
        <v>2014</v>
      </c>
      <c r="B516" s="412" t="str">
        <f t="shared" ref="B516:L516" si="203">B308</f>
        <v>-</v>
      </c>
      <c r="C516" s="412">
        <f t="shared" si="203"/>
        <v>962</v>
      </c>
      <c r="D516" s="412">
        <f t="shared" si="203"/>
        <v>2572</v>
      </c>
      <c r="E516" s="412">
        <f t="shared" si="203"/>
        <v>1800</v>
      </c>
      <c r="F516" s="412">
        <f t="shared" si="203"/>
        <v>1100</v>
      </c>
      <c r="G516" s="412">
        <f t="shared" si="203"/>
        <v>2225</v>
      </c>
      <c r="H516" s="412">
        <f t="shared" si="203"/>
        <v>763</v>
      </c>
      <c r="I516" s="412">
        <f t="shared" si="203"/>
        <v>367</v>
      </c>
      <c r="J516" s="412">
        <f t="shared" si="203"/>
        <v>98</v>
      </c>
      <c r="K516" s="412" t="str">
        <f t="shared" si="203"/>
        <v>-</v>
      </c>
      <c r="L516" s="412">
        <f t="shared" si="203"/>
        <v>9887</v>
      </c>
    </row>
    <row r="517" spans="1:12" s="317" customFormat="1" ht="11.25" customHeight="1" x14ac:dyDescent="0.25">
      <c r="A517" s="118">
        <v>2015</v>
      </c>
      <c r="B517" s="412" t="str">
        <f t="shared" ref="B517:L517" si="204">B309</f>
        <v>-</v>
      </c>
      <c r="C517" s="412">
        <f t="shared" si="204"/>
        <v>1767</v>
      </c>
      <c r="D517" s="412">
        <f t="shared" si="204"/>
        <v>1712</v>
      </c>
      <c r="E517" s="412">
        <f t="shared" si="204"/>
        <v>1349</v>
      </c>
      <c r="F517" s="412">
        <f t="shared" si="204"/>
        <v>1365</v>
      </c>
      <c r="G517" s="412">
        <f t="shared" si="204"/>
        <v>812</v>
      </c>
      <c r="H517" s="412">
        <f t="shared" si="204"/>
        <v>367</v>
      </c>
      <c r="I517" s="412">
        <f t="shared" si="204"/>
        <v>381</v>
      </c>
      <c r="J517" s="412">
        <f t="shared" si="204"/>
        <v>158</v>
      </c>
      <c r="K517" s="412" t="str">
        <f t="shared" si="204"/>
        <v>-</v>
      </c>
      <c r="L517" s="412">
        <f t="shared" si="204"/>
        <v>7911</v>
      </c>
    </row>
    <row r="518" spans="1:12" s="317" customFormat="1" ht="11.25" customHeight="1" x14ac:dyDescent="0.25">
      <c r="A518" s="118">
        <v>2016</v>
      </c>
      <c r="B518" s="412" t="str">
        <f t="shared" ref="B518:L518" si="205">B310</f>
        <v>-</v>
      </c>
      <c r="C518" s="412">
        <f t="shared" si="205"/>
        <v>895</v>
      </c>
      <c r="D518" s="412">
        <f t="shared" si="205"/>
        <v>846</v>
      </c>
      <c r="E518" s="412">
        <f t="shared" si="205"/>
        <v>682</v>
      </c>
      <c r="F518" s="412">
        <f t="shared" si="205"/>
        <v>550</v>
      </c>
      <c r="G518" s="412">
        <f t="shared" si="205"/>
        <v>634</v>
      </c>
      <c r="H518" s="412">
        <f t="shared" si="205"/>
        <v>330</v>
      </c>
      <c r="I518" s="412">
        <f t="shared" si="205"/>
        <v>189</v>
      </c>
      <c r="J518" s="412">
        <f t="shared" si="205"/>
        <v>41</v>
      </c>
      <c r="K518" s="412" t="str">
        <f t="shared" si="205"/>
        <v>-</v>
      </c>
      <c r="L518" s="412">
        <f t="shared" si="205"/>
        <v>4167</v>
      </c>
    </row>
    <row r="519" spans="1:12" s="317" customFormat="1" ht="11.25" customHeight="1" x14ac:dyDescent="0.25">
      <c r="A519" s="118">
        <v>2017</v>
      </c>
      <c r="B519" s="412" t="str">
        <f t="shared" ref="B519:L519" si="206">B311</f>
        <v>-</v>
      </c>
      <c r="C519" s="412">
        <f t="shared" si="206"/>
        <v>106</v>
      </c>
      <c r="D519" s="412">
        <f t="shared" si="206"/>
        <v>183</v>
      </c>
      <c r="E519" s="412">
        <f t="shared" si="206"/>
        <v>391</v>
      </c>
      <c r="F519" s="412">
        <f t="shared" si="206"/>
        <v>655</v>
      </c>
      <c r="G519" s="412" t="str">
        <f t="shared" si="206"/>
        <v>-</v>
      </c>
      <c r="H519" s="412">
        <f t="shared" si="206"/>
        <v>88</v>
      </c>
      <c r="I519" s="412">
        <f t="shared" si="206"/>
        <v>246</v>
      </c>
      <c r="J519" s="412">
        <f t="shared" si="206"/>
        <v>41</v>
      </c>
      <c r="K519" s="412" t="str">
        <f t="shared" si="206"/>
        <v>-</v>
      </c>
      <c r="L519" s="412">
        <f t="shared" si="206"/>
        <v>1710</v>
      </c>
    </row>
    <row r="520" spans="1:12" s="317" customFormat="1" ht="11.25" customHeight="1" x14ac:dyDescent="0.25">
      <c r="A520" s="118">
        <v>2018</v>
      </c>
      <c r="B520" s="406" t="str">
        <f t="shared" ref="B520:L520" si="207">B312</f>
        <v>-</v>
      </c>
      <c r="C520" s="406" t="str">
        <f t="shared" si="207"/>
        <v>-</v>
      </c>
      <c r="D520" s="406">
        <f t="shared" si="207"/>
        <v>385</v>
      </c>
      <c r="E520" s="406">
        <f t="shared" si="207"/>
        <v>560</v>
      </c>
      <c r="F520" s="406">
        <f t="shared" si="207"/>
        <v>410</v>
      </c>
      <c r="G520" s="406">
        <f t="shared" si="207"/>
        <v>740</v>
      </c>
      <c r="H520" s="406">
        <f t="shared" si="207"/>
        <v>80</v>
      </c>
      <c r="I520" s="406">
        <f t="shared" si="207"/>
        <v>217</v>
      </c>
      <c r="J520" s="406">
        <f t="shared" si="207"/>
        <v>83</v>
      </c>
      <c r="K520" s="406" t="str">
        <f t="shared" si="207"/>
        <v>-</v>
      </c>
      <c r="L520" s="406">
        <f t="shared" si="207"/>
        <v>2475</v>
      </c>
    </row>
    <row r="521" spans="1:12" s="317" customFormat="1" ht="11.25" customHeight="1" x14ac:dyDescent="0.25">
      <c r="A521" s="118">
        <v>2019</v>
      </c>
      <c r="B521" s="406" t="str">
        <f t="shared" ref="B521:L522" si="208">B313</f>
        <v>-</v>
      </c>
      <c r="C521" s="406">
        <f t="shared" si="208"/>
        <v>51</v>
      </c>
      <c r="D521" s="406">
        <f t="shared" si="208"/>
        <v>141</v>
      </c>
      <c r="E521" s="406">
        <f t="shared" si="208"/>
        <v>363</v>
      </c>
      <c r="F521" s="406">
        <f t="shared" si="208"/>
        <v>983</v>
      </c>
      <c r="G521" s="406">
        <f t="shared" si="208"/>
        <v>523</v>
      </c>
      <c r="H521" s="406">
        <f t="shared" si="208"/>
        <v>104</v>
      </c>
      <c r="I521" s="406">
        <f t="shared" si="208"/>
        <v>187</v>
      </c>
      <c r="J521" s="406" t="str">
        <f t="shared" si="208"/>
        <v>-</v>
      </c>
      <c r="K521" s="406" t="str">
        <f t="shared" si="208"/>
        <v>-</v>
      </c>
      <c r="L521" s="406">
        <f t="shared" si="208"/>
        <v>2352</v>
      </c>
    </row>
    <row r="522" spans="1:12" s="314" customFormat="1" ht="11.25" customHeight="1" x14ac:dyDescent="0.25">
      <c r="A522" s="118" t="s">
        <v>393</v>
      </c>
      <c r="B522" s="412" t="str">
        <f t="shared" si="208"/>
        <v>-</v>
      </c>
      <c r="C522" s="412">
        <f t="shared" si="208"/>
        <v>141</v>
      </c>
      <c r="D522" s="412">
        <f t="shared" si="208"/>
        <v>100</v>
      </c>
      <c r="E522" s="412">
        <f t="shared" si="208"/>
        <v>425</v>
      </c>
      <c r="F522" s="412">
        <f t="shared" si="208"/>
        <v>643</v>
      </c>
      <c r="G522" s="412">
        <f t="shared" si="208"/>
        <v>269</v>
      </c>
      <c r="H522" s="412">
        <f t="shared" si="208"/>
        <v>174</v>
      </c>
      <c r="I522" s="412">
        <f t="shared" si="208"/>
        <v>212</v>
      </c>
      <c r="J522" s="412" t="str">
        <f t="shared" si="208"/>
        <v>-</v>
      </c>
      <c r="K522" s="412" t="str">
        <f t="shared" si="208"/>
        <v>-</v>
      </c>
      <c r="L522" s="412">
        <f t="shared" si="208"/>
        <v>1964</v>
      </c>
    </row>
    <row r="523" spans="1:12" s="314" customFormat="1" ht="11.25" customHeight="1" x14ac:dyDescent="0.25">
      <c r="A523" s="118"/>
      <c r="B523" s="412"/>
      <c r="C523" s="412"/>
      <c r="D523" s="412"/>
      <c r="E523" s="412"/>
      <c r="F523" s="412"/>
      <c r="G523" s="412"/>
      <c r="H523" s="412"/>
      <c r="I523" s="412"/>
      <c r="J523" s="412"/>
      <c r="K523" s="412"/>
      <c r="L523" s="412"/>
    </row>
    <row r="524" spans="1:12" s="314" customFormat="1" ht="11.25" customHeight="1" x14ac:dyDescent="0.25">
      <c r="A524" s="542" t="s">
        <v>355</v>
      </c>
      <c r="B524" s="542"/>
      <c r="C524" s="542"/>
      <c r="D524" s="542"/>
      <c r="E524" s="542"/>
      <c r="F524" s="542"/>
      <c r="G524" s="542"/>
      <c r="H524" s="542"/>
      <c r="I524" s="542"/>
      <c r="J524" s="542"/>
      <c r="K524" s="542"/>
      <c r="L524" s="542"/>
    </row>
    <row r="525" spans="1:12" s="314" customFormat="1" ht="11.25" customHeight="1" x14ac:dyDescent="0.25">
      <c r="A525" s="537" t="s">
        <v>49</v>
      </c>
      <c r="B525" s="410"/>
      <c r="C525" s="410"/>
      <c r="D525" s="410"/>
      <c r="E525" s="410"/>
      <c r="F525" s="410"/>
      <c r="G525" s="410"/>
      <c r="H525" s="410"/>
      <c r="I525" s="410"/>
      <c r="J525" s="410"/>
      <c r="K525" s="410"/>
      <c r="L525" s="410"/>
    </row>
    <row r="526" spans="1:12" s="314" customFormat="1" ht="11.25" customHeight="1" x14ac:dyDescent="0.25">
      <c r="A526" s="538"/>
      <c r="B526" s="404" t="s">
        <v>43</v>
      </c>
      <c r="C526" s="404" t="s">
        <v>34</v>
      </c>
      <c r="D526" s="404" t="s">
        <v>35</v>
      </c>
      <c r="E526" s="404" t="s">
        <v>36</v>
      </c>
      <c r="F526" s="404" t="s">
        <v>37</v>
      </c>
      <c r="G526" s="404" t="s">
        <v>38</v>
      </c>
      <c r="H526" s="404" t="s">
        <v>39</v>
      </c>
      <c r="I526" s="404" t="s">
        <v>40</v>
      </c>
      <c r="J526" s="404" t="s">
        <v>44</v>
      </c>
      <c r="K526" s="404" t="s">
        <v>83</v>
      </c>
      <c r="L526" s="404" t="s">
        <v>28</v>
      </c>
    </row>
    <row r="527" spans="1:12" s="314" customFormat="1" ht="11.25" customHeight="1" x14ac:dyDescent="0.25">
      <c r="A527" s="416" t="str">
        <f>A316</f>
        <v>Statewide Total</v>
      </c>
      <c r="B527" s="412"/>
      <c r="C527" s="412"/>
      <c r="D527" s="412"/>
      <c r="E527" s="412"/>
      <c r="F527" s="412"/>
      <c r="G527" s="412"/>
      <c r="H527" s="412"/>
      <c r="I527" s="412"/>
      <c r="J527" s="412"/>
      <c r="K527" s="412"/>
      <c r="L527" s="412"/>
    </row>
    <row r="528" spans="1:12" s="314" customFormat="1" ht="11.25" customHeight="1" x14ac:dyDescent="0.25">
      <c r="A528" s="413" t="s">
        <v>30</v>
      </c>
      <c r="B528" s="412" t="s">
        <v>29</v>
      </c>
      <c r="C528" s="412" t="s">
        <v>29</v>
      </c>
      <c r="D528" s="412">
        <f t="shared" ref="D528:J528" si="209">AVERAGE(D327:D331)</f>
        <v>2080.4</v>
      </c>
      <c r="E528" s="412">
        <f t="shared" si="209"/>
        <v>1199.4000000000001</v>
      </c>
      <c r="F528" s="412">
        <f t="shared" si="209"/>
        <v>11881.4</v>
      </c>
      <c r="G528" s="412">
        <f t="shared" si="209"/>
        <v>7406.6</v>
      </c>
      <c r="H528" s="412">
        <f t="shared" si="209"/>
        <v>1401</v>
      </c>
      <c r="I528" s="412">
        <f t="shared" si="209"/>
        <v>1180.8</v>
      </c>
      <c r="J528" s="412">
        <f t="shared" si="209"/>
        <v>346.4</v>
      </c>
      <c r="K528" s="412" t="s">
        <v>29</v>
      </c>
      <c r="L528" s="412">
        <f>AVERAGE(L327:L331)</f>
        <v>25496</v>
      </c>
    </row>
    <row r="529" spans="1:12" s="314" customFormat="1" ht="11.25" customHeight="1" x14ac:dyDescent="0.25">
      <c r="A529" s="413" t="s">
        <v>87</v>
      </c>
      <c r="B529" s="412" t="s">
        <v>29</v>
      </c>
      <c r="C529" s="412" t="s">
        <v>29</v>
      </c>
      <c r="D529" s="412">
        <f t="shared" ref="D529:L529" si="210">AVERAGE(D332:D336)</f>
        <v>4210.6000000000004</v>
      </c>
      <c r="E529" s="412">
        <f t="shared" si="210"/>
        <v>5027</v>
      </c>
      <c r="F529" s="412">
        <f t="shared" si="210"/>
        <v>14180.4</v>
      </c>
      <c r="G529" s="412">
        <f t="shared" si="210"/>
        <v>8804</v>
      </c>
      <c r="H529" s="412">
        <f t="shared" si="210"/>
        <v>3397.6</v>
      </c>
      <c r="I529" s="412">
        <f t="shared" si="210"/>
        <v>2300.8000000000002</v>
      </c>
      <c r="J529" s="412">
        <f t="shared" si="210"/>
        <v>291.5</v>
      </c>
      <c r="K529" s="412" t="s">
        <v>29</v>
      </c>
      <c r="L529" s="412">
        <f t="shared" si="210"/>
        <v>38153.599999999999</v>
      </c>
    </row>
    <row r="530" spans="1:12" s="314" customFormat="1" ht="11.25" customHeight="1" x14ac:dyDescent="0.25">
      <c r="A530" s="413" t="s">
        <v>14</v>
      </c>
      <c r="B530" s="412" t="s">
        <v>29</v>
      </c>
      <c r="C530" s="412" t="s">
        <v>29</v>
      </c>
      <c r="D530" s="412">
        <f>AVERAGE(D337:D341)</f>
        <v>1287.2</v>
      </c>
      <c r="E530" s="412">
        <f t="shared" ref="E530:J530" si="211">AVERAGE(E337:E341)</f>
        <v>1647.4</v>
      </c>
      <c r="F530" s="412">
        <f t="shared" si="211"/>
        <v>1870</v>
      </c>
      <c r="G530" s="412">
        <f t="shared" si="211"/>
        <v>1753.4</v>
      </c>
      <c r="H530" s="412">
        <f t="shared" si="211"/>
        <v>1383.6</v>
      </c>
      <c r="I530" s="412">
        <f t="shared" si="211"/>
        <v>1395.6</v>
      </c>
      <c r="J530" s="412">
        <f t="shared" si="211"/>
        <v>88.333333333333329</v>
      </c>
      <c r="K530" s="412" t="s">
        <v>29</v>
      </c>
      <c r="L530" s="412">
        <f>AVERAGE(L337:L341)</f>
        <v>9016.2000000000007</v>
      </c>
    </row>
    <row r="531" spans="1:12" s="314" customFormat="1" ht="11.25" customHeight="1" x14ac:dyDescent="0.25">
      <c r="A531" s="413" t="s">
        <v>207</v>
      </c>
      <c r="B531" s="412" t="s">
        <v>29</v>
      </c>
      <c r="C531" s="412" t="s">
        <v>29</v>
      </c>
      <c r="D531" s="412">
        <f>AVERAGE(D342:D346)</f>
        <v>1338.8</v>
      </c>
      <c r="E531" s="412">
        <f t="shared" ref="E531:J531" si="212">AVERAGE(E342:E346)</f>
        <v>1581.2</v>
      </c>
      <c r="F531" s="412">
        <f t="shared" si="212"/>
        <v>959.5</v>
      </c>
      <c r="G531" s="412">
        <f t="shared" si="212"/>
        <v>1660.8</v>
      </c>
      <c r="H531" s="412">
        <f t="shared" si="212"/>
        <v>995.2</v>
      </c>
      <c r="I531" s="412">
        <f t="shared" si="212"/>
        <v>786</v>
      </c>
      <c r="J531" s="412">
        <f t="shared" si="212"/>
        <v>115.8</v>
      </c>
      <c r="K531" s="412" t="s">
        <v>29</v>
      </c>
      <c r="L531" s="412">
        <f>AVERAGE(L342:L346)</f>
        <v>7187</v>
      </c>
    </row>
    <row r="532" spans="1:12" s="314" customFormat="1" ht="11.25" customHeight="1" x14ac:dyDescent="0.25">
      <c r="A532" s="484" t="s">
        <v>238</v>
      </c>
      <c r="B532" s="412">
        <f>AVERAGE(B347:B351)</f>
        <v>689.25</v>
      </c>
      <c r="C532" s="412">
        <f>AVERAGE(C347:C351)</f>
        <v>1214.8</v>
      </c>
      <c r="D532" s="412">
        <f>AVERAGE(D347:D351)</f>
        <v>2419.4</v>
      </c>
      <c r="E532" s="412">
        <f t="shared" ref="E532:L532" si="213">AVERAGE(E347:E351)</f>
        <v>2086</v>
      </c>
      <c r="F532" s="412">
        <f t="shared" si="213"/>
        <v>901.4</v>
      </c>
      <c r="G532" s="412">
        <f t="shared" si="213"/>
        <v>1531.8</v>
      </c>
      <c r="H532" s="412">
        <f t="shared" si="213"/>
        <v>1800</v>
      </c>
      <c r="I532" s="412">
        <f t="shared" si="213"/>
        <v>1320.6</v>
      </c>
      <c r="J532" s="412">
        <f t="shared" si="213"/>
        <v>168.2</v>
      </c>
      <c r="K532" s="412">
        <f t="shared" si="213"/>
        <v>25.2</v>
      </c>
      <c r="L532" s="412">
        <f t="shared" si="213"/>
        <v>12018.8</v>
      </c>
    </row>
    <row r="533" spans="1:12" s="317" customFormat="1" ht="11.25" customHeight="1" x14ac:dyDescent="0.25">
      <c r="A533" s="484">
        <v>2006</v>
      </c>
      <c r="B533" s="406" t="str">
        <f t="shared" ref="B533:L533" si="214">B352</f>
        <v>-</v>
      </c>
      <c r="C533" s="406" t="str">
        <f t="shared" si="214"/>
        <v>-</v>
      </c>
      <c r="D533" s="406">
        <f t="shared" si="214"/>
        <v>516</v>
      </c>
      <c r="E533" s="406">
        <f t="shared" si="214"/>
        <v>1313</v>
      </c>
      <c r="F533" s="406">
        <f t="shared" si="214"/>
        <v>483</v>
      </c>
      <c r="G533" s="406">
        <f t="shared" si="214"/>
        <v>264</v>
      </c>
      <c r="H533" s="406">
        <f t="shared" si="214"/>
        <v>720</v>
      </c>
      <c r="I533" s="406">
        <f t="shared" si="214"/>
        <v>874</v>
      </c>
      <c r="J533" s="406">
        <f t="shared" si="214"/>
        <v>306</v>
      </c>
      <c r="K533" s="406">
        <f t="shared" si="214"/>
        <v>26</v>
      </c>
      <c r="L533" s="406">
        <f t="shared" si="214"/>
        <v>4502</v>
      </c>
    </row>
    <row r="534" spans="1:12" s="317" customFormat="1" ht="11.25" customHeight="1" x14ac:dyDescent="0.25">
      <c r="A534" s="417">
        <v>2007</v>
      </c>
      <c r="B534" s="406" t="str">
        <f t="shared" ref="B534:L534" si="215">B353</f>
        <v>-</v>
      </c>
      <c r="C534" s="406">
        <f t="shared" si="215"/>
        <v>348</v>
      </c>
      <c r="D534" s="406">
        <f t="shared" si="215"/>
        <v>1266</v>
      </c>
      <c r="E534" s="406">
        <f t="shared" si="215"/>
        <v>958</v>
      </c>
      <c r="F534" s="406">
        <f t="shared" si="215"/>
        <v>404</v>
      </c>
      <c r="G534" s="406">
        <f t="shared" si="215"/>
        <v>1399</v>
      </c>
      <c r="H534" s="406">
        <f t="shared" si="215"/>
        <v>377</v>
      </c>
      <c r="I534" s="406">
        <f t="shared" si="215"/>
        <v>291</v>
      </c>
      <c r="J534" s="406">
        <f t="shared" si="215"/>
        <v>174</v>
      </c>
      <c r="K534" s="406" t="str">
        <f t="shared" si="215"/>
        <v>-</v>
      </c>
      <c r="L534" s="406">
        <f t="shared" si="215"/>
        <v>5217</v>
      </c>
    </row>
    <row r="535" spans="1:12" s="317" customFormat="1" ht="11.25" customHeight="1" x14ac:dyDescent="0.25">
      <c r="A535" s="417">
        <v>2008</v>
      </c>
      <c r="B535" s="406" t="str">
        <f t="shared" ref="B535:L535" si="216">B354</f>
        <v>-</v>
      </c>
      <c r="C535" s="406" t="str">
        <f t="shared" si="216"/>
        <v>-</v>
      </c>
      <c r="D535" s="406">
        <f t="shared" si="216"/>
        <v>272</v>
      </c>
      <c r="E535" s="406">
        <f t="shared" si="216"/>
        <v>282</v>
      </c>
      <c r="F535" s="406">
        <f t="shared" si="216"/>
        <v>33</v>
      </c>
      <c r="G535" s="406">
        <f t="shared" si="216"/>
        <v>58</v>
      </c>
      <c r="H535" s="406">
        <f t="shared" si="216"/>
        <v>47</v>
      </c>
      <c r="I535" s="406">
        <f t="shared" si="216"/>
        <v>63</v>
      </c>
      <c r="J535" s="406">
        <f t="shared" si="216"/>
        <v>48</v>
      </c>
      <c r="K535" s="406" t="str">
        <f t="shared" si="216"/>
        <v>-</v>
      </c>
      <c r="L535" s="406">
        <f t="shared" si="216"/>
        <v>803</v>
      </c>
    </row>
    <row r="536" spans="1:12" s="317" customFormat="1" ht="11.25" customHeight="1" x14ac:dyDescent="0.25">
      <c r="A536" s="417">
        <v>2009</v>
      </c>
      <c r="B536" s="406" t="str">
        <f t="shared" ref="B536:L536" si="217">B355</f>
        <v>-</v>
      </c>
      <c r="C536" s="406" t="str">
        <f t="shared" si="217"/>
        <v>-</v>
      </c>
      <c r="D536" s="406">
        <f t="shared" si="217"/>
        <v>72</v>
      </c>
      <c r="E536" s="406">
        <f t="shared" si="217"/>
        <v>85</v>
      </c>
      <c r="F536" s="406">
        <f t="shared" si="217"/>
        <v>239</v>
      </c>
      <c r="G536" s="406">
        <f t="shared" si="217"/>
        <v>135</v>
      </c>
      <c r="H536" s="406">
        <f t="shared" si="217"/>
        <v>643</v>
      </c>
      <c r="I536" s="406">
        <f t="shared" si="217"/>
        <v>60</v>
      </c>
      <c r="J536" s="406" t="str">
        <f t="shared" si="217"/>
        <v>-</v>
      </c>
      <c r="K536" s="406" t="str">
        <f t="shared" si="217"/>
        <v>-</v>
      </c>
      <c r="L536" s="406">
        <f t="shared" si="217"/>
        <v>1234</v>
      </c>
    </row>
    <row r="537" spans="1:12" s="317" customFormat="1" ht="11.25" customHeight="1" x14ac:dyDescent="0.25">
      <c r="A537" s="417">
        <v>2010</v>
      </c>
      <c r="B537" s="406" t="str">
        <f t="shared" ref="B537:L537" si="218">B356</f>
        <v>-</v>
      </c>
      <c r="C537" s="406" t="str">
        <f t="shared" si="218"/>
        <v>-</v>
      </c>
      <c r="D537" s="406">
        <f t="shared" si="218"/>
        <v>1126</v>
      </c>
      <c r="E537" s="406">
        <f t="shared" si="218"/>
        <v>1275</v>
      </c>
      <c r="F537" s="406">
        <f t="shared" si="218"/>
        <v>735</v>
      </c>
      <c r="G537" s="406">
        <f t="shared" si="218"/>
        <v>878</v>
      </c>
      <c r="H537" s="406">
        <f t="shared" si="218"/>
        <v>53</v>
      </c>
      <c r="I537" s="406">
        <f t="shared" si="218"/>
        <v>229</v>
      </c>
      <c r="J537" s="406" t="str">
        <f t="shared" si="218"/>
        <v>-</v>
      </c>
      <c r="K537" s="406" t="str">
        <f t="shared" si="218"/>
        <v>-</v>
      </c>
      <c r="L537" s="406">
        <f t="shared" si="218"/>
        <v>4296</v>
      </c>
    </row>
    <row r="538" spans="1:12" s="317" customFormat="1" ht="11.25" customHeight="1" x14ac:dyDescent="0.25">
      <c r="A538" s="417">
        <v>2011</v>
      </c>
      <c r="B538" s="406" t="str">
        <f t="shared" ref="B538:L538" si="219">B357</f>
        <v>-</v>
      </c>
      <c r="C538" s="406">
        <f t="shared" si="219"/>
        <v>316</v>
      </c>
      <c r="D538" s="406">
        <f t="shared" si="219"/>
        <v>1033</v>
      </c>
      <c r="E538" s="406">
        <f t="shared" si="219"/>
        <v>1264</v>
      </c>
      <c r="F538" s="406">
        <f t="shared" si="219"/>
        <v>149</v>
      </c>
      <c r="G538" s="406">
        <f t="shared" si="219"/>
        <v>317</v>
      </c>
      <c r="H538" s="406">
        <f t="shared" si="219"/>
        <v>137</v>
      </c>
      <c r="I538" s="406">
        <f t="shared" si="219"/>
        <v>301</v>
      </c>
      <c r="J538" s="406">
        <f t="shared" si="219"/>
        <v>235</v>
      </c>
      <c r="K538" s="406" t="str">
        <f t="shared" si="219"/>
        <v>-</v>
      </c>
      <c r="L538" s="406">
        <f t="shared" si="219"/>
        <v>3752</v>
      </c>
    </row>
    <row r="539" spans="1:12" s="317" customFormat="1" ht="11.25" customHeight="1" x14ac:dyDescent="0.25">
      <c r="A539" s="417">
        <v>2012</v>
      </c>
      <c r="B539" s="406" t="str">
        <f t="shared" ref="B539:L539" si="220">B358</f>
        <v>-</v>
      </c>
      <c r="C539" s="406">
        <f t="shared" si="220"/>
        <v>522</v>
      </c>
      <c r="D539" s="406">
        <f t="shared" si="220"/>
        <v>1515</v>
      </c>
      <c r="E539" s="406">
        <f t="shared" si="220"/>
        <v>1277</v>
      </c>
      <c r="F539" s="406">
        <f t="shared" si="220"/>
        <v>373</v>
      </c>
      <c r="G539" s="406">
        <f t="shared" si="220"/>
        <v>724</v>
      </c>
      <c r="H539" s="406">
        <f t="shared" si="220"/>
        <v>1003</v>
      </c>
      <c r="I539" s="406">
        <f t="shared" si="220"/>
        <v>721</v>
      </c>
      <c r="J539" s="406">
        <f t="shared" si="220"/>
        <v>121</v>
      </c>
      <c r="K539" s="406" t="str">
        <f t="shared" si="220"/>
        <v>-</v>
      </c>
      <c r="L539" s="406">
        <f t="shared" si="220"/>
        <v>6256</v>
      </c>
    </row>
    <row r="540" spans="1:12" s="317" customFormat="1" ht="11.25" customHeight="1" x14ac:dyDescent="0.25">
      <c r="A540" s="417">
        <v>2013</v>
      </c>
      <c r="B540" s="406" t="str">
        <f t="shared" ref="B540:L540" si="221">B359</f>
        <v>-</v>
      </c>
      <c r="C540" s="406">
        <f t="shared" si="221"/>
        <v>1042</v>
      </c>
      <c r="D540" s="406">
        <f t="shared" si="221"/>
        <v>1201</v>
      </c>
      <c r="E540" s="406">
        <f t="shared" si="221"/>
        <v>997</v>
      </c>
      <c r="F540" s="406">
        <f t="shared" si="221"/>
        <v>834</v>
      </c>
      <c r="G540" s="406">
        <f t="shared" si="221"/>
        <v>2401</v>
      </c>
      <c r="H540" s="406">
        <f t="shared" si="221"/>
        <v>1411</v>
      </c>
      <c r="I540" s="406">
        <f t="shared" si="221"/>
        <v>945</v>
      </c>
      <c r="J540" s="406">
        <f t="shared" si="221"/>
        <v>155</v>
      </c>
      <c r="K540" s="406" t="str">
        <f t="shared" si="221"/>
        <v>-</v>
      </c>
      <c r="L540" s="406">
        <f t="shared" si="221"/>
        <v>8986</v>
      </c>
    </row>
    <row r="541" spans="1:12" s="317" customFormat="1" ht="11.25" customHeight="1" x14ac:dyDescent="0.25">
      <c r="A541" s="417">
        <v>2014</v>
      </c>
      <c r="B541" s="406" t="str">
        <f t="shared" ref="B541:L541" si="222">B360</f>
        <v>-</v>
      </c>
      <c r="C541" s="406">
        <f t="shared" si="222"/>
        <v>962</v>
      </c>
      <c r="D541" s="406">
        <f t="shared" si="222"/>
        <v>3027</v>
      </c>
      <c r="E541" s="406">
        <f t="shared" si="222"/>
        <v>1879</v>
      </c>
      <c r="F541" s="406">
        <f t="shared" si="222"/>
        <v>1261</v>
      </c>
      <c r="G541" s="406">
        <f t="shared" si="222"/>
        <v>2290</v>
      </c>
      <c r="H541" s="406">
        <f t="shared" si="222"/>
        <v>819</v>
      </c>
      <c r="I541" s="406">
        <f t="shared" si="222"/>
        <v>367</v>
      </c>
      <c r="J541" s="406">
        <f t="shared" si="222"/>
        <v>98</v>
      </c>
      <c r="K541" s="406" t="str">
        <f t="shared" si="222"/>
        <v>-</v>
      </c>
      <c r="L541" s="406">
        <f t="shared" si="222"/>
        <v>10703</v>
      </c>
    </row>
    <row r="542" spans="1:12" s="317" customFormat="1" ht="11.25" customHeight="1" x14ac:dyDescent="0.25">
      <c r="A542" s="417">
        <v>2015</v>
      </c>
      <c r="B542" s="406" t="str">
        <f t="shared" ref="B542:L542" si="223">B361</f>
        <v>-</v>
      </c>
      <c r="C542" s="406">
        <f t="shared" si="223"/>
        <v>1767</v>
      </c>
      <c r="D542" s="406">
        <f t="shared" si="223"/>
        <v>2243</v>
      </c>
      <c r="E542" s="406">
        <f t="shared" si="223"/>
        <v>1437</v>
      </c>
      <c r="F542" s="406">
        <f t="shared" si="223"/>
        <v>1413</v>
      </c>
      <c r="G542" s="406">
        <f t="shared" si="223"/>
        <v>873</v>
      </c>
      <c r="H542" s="406">
        <f t="shared" si="223"/>
        <v>457</v>
      </c>
      <c r="I542" s="406">
        <f t="shared" si="223"/>
        <v>381</v>
      </c>
      <c r="J542" s="406">
        <f t="shared" si="223"/>
        <v>158</v>
      </c>
      <c r="K542" s="406" t="str">
        <f t="shared" si="223"/>
        <v>-</v>
      </c>
      <c r="L542" s="406">
        <f t="shared" si="223"/>
        <v>8729</v>
      </c>
    </row>
    <row r="543" spans="1:12" s="317" customFormat="1" ht="11.25" customHeight="1" x14ac:dyDescent="0.25">
      <c r="A543" s="118">
        <v>2016</v>
      </c>
      <c r="B543" s="406" t="str">
        <f t="shared" ref="B543:L543" si="224">B362</f>
        <v>-</v>
      </c>
      <c r="C543" s="406">
        <f t="shared" si="224"/>
        <v>895</v>
      </c>
      <c r="D543" s="406">
        <f t="shared" si="224"/>
        <v>917</v>
      </c>
      <c r="E543" s="406">
        <f t="shared" si="224"/>
        <v>764</v>
      </c>
      <c r="F543" s="406">
        <f t="shared" si="224"/>
        <v>571</v>
      </c>
      <c r="G543" s="406">
        <f t="shared" si="224"/>
        <v>685</v>
      </c>
      <c r="H543" s="406">
        <f t="shared" si="224"/>
        <v>330</v>
      </c>
      <c r="I543" s="406">
        <f t="shared" si="224"/>
        <v>189</v>
      </c>
      <c r="J543" s="406">
        <f t="shared" si="224"/>
        <v>41</v>
      </c>
      <c r="K543" s="406" t="str">
        <f t="shared" si="224"/>
        <v>-</v>
      </c>
      <c r="L543" s="406">
        <f t="shared" si="224"/>
        <v>4392</v>
      </c>
    </row>
    <row r="544" spans="1:12" s="317" customFormat="1" ht="11.25" customHeight="1" x14ac:dyDescent="0.25">
      <c r="A544" s="118">
        <v>2017</v>
      </c>
      <c r="B544" s="406" t="str">
        <f t="shared" ref="B544:L544" si="225">B363</f>
        <v>-</v>
      </c>
      <c r="C544" s="406">
        <f t="shared" si="225"/>
        <v>106</v>
      </c>
      <c r="D544" s="406">
        <f t="shared" si="225"/>
        <v>265</v>
      </c>
      <c r="E544" s="406">
        <f t="shared" si="225"/>
        <v>483</v>
      </c>
      <c r="F544" s="406">
        <f t="shared" si="225"/>
        <v>666</v>
      </c>
      <c r="G544" s="406">
        <f t="shared" si="225"/>
        <v>104</v>
      </c>
      <c r="H544" s="406">
        <f t="shared" si="225"/>
        <v>141</v>
      </c>
      <c r="I544" s="406">
        <f t="shared" si="225"/>
        <v>246</v>
      </c>
      <c r="J544" s="406">
        <f t="shared" si="225"/>
        <v>41</v>
      </c>
      <c r="K544" s="406" t="str">
        <f t="shared" si="225"/>
        <v>-</v>
      </c>
      <c r="L544" s="406">
        <f t="shared" si="225"/>
        <v>2052</v>
      </c>
    </row>
    <row r="545" spans="1:12" s="317" customFormat="1" ht="11.25" customHeight="1" x14ac:dyDescent="0.25">
      <c r="A545" s="118">
        <v>2018</v>
      </c>
      <c r="B545" s="406" t="str">
        <f t="shared" ref="B545:L545" si="226">B364</f>
        <v>-</v>
      </c>
      <c r="C545" s="406" t="str">
        <f t="shared" si="226"/>
        <v>-</v>
      </c>
      <c r="D545" s="406">
        <f t="shared" si="226"/>
        <v>401</v>
      </c>
      <c r="E545" s="406">
        <f t="shared" si="226"/>
        <v>610</v>
      </c>
      <c r="F545" s="406">
        <f t="shared" si="226"/>
        <v>413</v>
      </c>
      <c r="G545" s="406">
        <f t="shared" si="226"/>
        <v>769</v>
      </c>
      <c r="H545" s="406">
        <f t="shared" si="226"/>
        <v>80</v>
      </c>
      <c r="I545" s="406">
        <f t="shared" si="226"/>
        <v>217</v>
      </c>
      <c r="J545" s="406">
        <f t="shared" si="226"/>
        <v>83</v>
      </c>
      <c r="K545" s="406" t="str">
        <f t="shared" si="226"/>
        <v>-</v>
      </c>
      <c r="L545" s="406">
        <f t="shared" si="226"/>
        <v>2573</v>
      </c>
    </row>
    <row r="546" spans="1:12" s="317" customFormat="1" ht="11.25" customHeight="1" x14ac:dyDescent="0.25">
      <c r="A546" s="118">
        <v>2019</v>
      </c>
      <c r="B546" s="406" t="str">
        <f t="shared" ref="B546:L547" si="227">B365</f>
        <v>-</v>
      </c>
      <c r="C546" s="406">
        <f t="shared" si="227"/>
        <v>51</v>
      </c>
      <c r="D546" s="406">
        <f t="shared" si="227"/>
        <v>150</v>
      </c>
      <c r="E546" s="406">
        <f t="shared" si="227"/>
        <v>380</v>
      </c>
      <c r="F546" s="406">
        <f t="shared" si="227"/>
        <v>1080</v>
      </c>
      <c r="G546" s="406">
        <f t="shared" si="227"/>
        <v>563</v>
      </c>
      <c r="H546" s="406">
        <f t="shared" si="227"/>
        <v>128</v>
      </c>
      <c r="I546" s="406">
        <f t="shared" si="227"/>
        <v>187</v>
      </c>
      <c r="J546" s="406" t="str">
        <f t="shared" si="227"/>
        <v>-</v>
      </c>
      <c r="K546" s="406" t="str">
        <f t="shared" si="227"/>
        <v>-</v>
      </c>
      <c r="L546" s="406">
        <f t="shared" si="227"/>
        <v>2539</v>
      </c>
    </row>
    <row r="547" spans="1:12" s="314" customFormat="1" ht="11.25" customHeight="1" x14ac:dyDescent="0.25">
      <c r="A547" s="118" t="s">
        <v>393</v>
      </c>
      <c r="B547" s="406" t="str">
        <f t="shared" si="227"/>
        <v>-</v>
      </c>
      <c r="C547" s="406">
        <f t="shared" si="227"/>
        <v>141</v>
      </c>
      <c r="D547" s="406">
        <f t="shared" si="227"/>
        <v>117</v>
      </c>
      <c r="E547" s="406">
        <f t="shared" si="227"/>
        <v>438</v>
      </c>
      <c r="F547" s="406">
        <f t="shared" si="227"/>
        <v>663</v>
      </c>
      <c r="G547" s="406">
        <f t="shared" si="227"/>
        <v>282</v>
      </c>
      <c r="H547" s="406">
        <f t="shared" si="227"/>
        <v>177</v>
      </c>
      <c r="I547" s="406">
        <f t="shared" si="227"/>
        <v>212</v>
      </c>
      <c r="J547" s="406" t="str">
        <f t="shared" si="227"/>
        <v>-</v>
      </c>
      <c r="K547" s="406" t="str">
        <f t="shared" si="227"/>
        <v>-</v>
      </c>
      <c r="L547" s="406">
        <f t="shared" si="227"/>
        <v>2030</v>
      </c>
    </row>
    <row r="548" spans="1:12" s="314" customFormat="1" ht="10.15" customHeight="1" x14ac:dyDescent="0.25">
      <c r="A548" s="539" t="str">
        <f>A367</f>
        <v>a/  Summary of ODFW fish receiving ticket information. Beginning in 1979, monthly totals are the sum of statistical weeks with closest fit to the calendar month. Excludes effort occurring off Alaska, Washington, and California.  Days fished data are reported by port of landing through 1978 and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1986 includes Florence through Bandon and after 1987 includes Florence through Port Orford; Brookings area prior to 1986 includes Port Orford through Brookings and after 1987 includes Gold Beach through Brookings.  Values include state-waters only terminal area fisheries.</v>
      </c>
      <c r="B548" s="539"/>
      <c r="C548" s="539"/>
      <c r="D548" s="539"/>
      <c r="E548" s="539"/>
      <c r="F548" s="539"/>
      <c r="G548" s="539"/>
      <c r="H548" s="539"/>
      <c r="I548" s="539"/>
      <c r="J548" s="539"/>
      <c r="K548" s="539"/>
      <c r="L548" s="539"/>
    </row>
    <row r="549" spans="1:12" s="314" customFormat="1" ht="11.25" customHeight="1" x14ac:dyDescent="0.25">
      <c r="A549" s="540"/>
      <c r="B549" s="540"/>
      <c r="C549" s="540"/>
      <c r="D549" s="540"/>
      <c r="E549" s="540"/>
      <c r="F549" s="540"/>
      <c r="G549" s="540"/>
      <c r="H549" s="540"/>
      <c r="I549" s="540"/>
      <c r="J549" s="540"/>
      <c r="K549" s="540"/>
      <c r="L549" s="540"/>
    </row>
    <row r="550" spans="1:12" s="314" customFormat="1" x14ac:dyDescent="0.25">
      <c r="A550" s="540"/>
      <c r="B550" s="540"/>
      <c r="C550" s="540"/>
      <c r="D550" s="540"/>
      <c r="E550" s="540"/>
      <c r="F550" s="540"/>
      <c r="G550" s="540"/>
      <c r="H550" s="540"/>
      <c r="I550" s="540"/>
      <c r="J550" s="540"/>
      <c r="K550" s="540"/>
      <c r="L550" s="540"/>
    </row>
    <row r="551" spans="1:12" s="314" customFormat="1" x14ac:dyDescent="0.25">
      <c r="A551" s="540"/>
      <c r="B551" s="540"/>
      <c r="C551" s="540"/>
      <c r="D551" s="540"/>
      <c r="E551" s="540"/>
      <c r="F551" s="540"/>
      <c r="G551" s="540"/>
      <c r="H551" s="540"/>
      <c r="I551" s="540"/>
      <c r="J551" s="540"/>
      <c r="K551" s="540"/>
      <c r="L551" s="540"/>
    </row>
    <row r="552" spans="1:12" s="314" customFormat="1" x14ac:dyDescent="0.25">
      <c r="A552" s="540"/>
      <c r="B552" s="540"/>
      <c r="C552" s="540"/>
      <c r="D552" s="540"/>
      <c r="E552" s="540"/>
      <c r="F552" s="540"/>
      <c r="G552" s="540"/>
      <c r="H552" s="540"/>
      <c r="I552" s="540"/>
      <c r="J552" s="540"/>
      <c r="K552" s="540"/>
      <c r="L552" s="540"/>
    </row>
    <row r="553" spans="1:12" s="314" customFormat="1" x14ac:dyDescent="0.25">
      <c r="A553" s="541" t="str">
        <f>A372</f>
        <v>b/  Preliminary.</v>
      </c>
      <c r="B553" s="541"/>
      <c r="C553" s="541"/>
      <c r="D553" s="541"/>
      <c r="E553" s="541"/>
      <c r="F553" s="541"/>
      <c r="G553" s="541"/>
      <c r="H553" s="541"/>
      <c r="I553" s="541"/>
      <c r="J553" s="541"/>
      <c r="K553" s="541"/>
      <c r="L553" s="541"/>
    </row>
    <row r="554" spans="1:12" s="314" customFormat="1" ht="11.25" customHeight="1" x14ac:dyDescent="0.25">
      <c r="A554" s="541"/>
      <c r="B554" s="541"/>
      <c r="C554" s="541"/>
      <c r="D554" s="541"/>
      <c r="E554" s="541"/>
      <c r="F554" s="541"/>
      <c r="G554" s="541"/>
      <c r="H554" s="541"/>
      <c r="I554" s="541"/>
      <c r="J554" s="541"/>
      <c r="K554" s="541"/>
      <c r="L554" s="541"/>
    </row>
    <row r="555" spans="1:12" s="314" customFormat="1" ht="11.25" customHeight="1" x14ac:dyDescent="0.25">
      <c r="A555" s="541"/>
      <c r="B555" s="541"/>
      <c r="C555" s="541"/>
      <c r="D555" s="541"/>
      <c r="E555" s="541"/>
      <c r="F555" s="541"/>
      <c r="G555" s="541"/>
      <c r="H555" s="541"/>
      <c r="I555" s="541"/>
      <c r="J555" s="541"/>
      <c r="K555" s="541"/>
      <c r="L555" s="541"/>
    </row>
    <row r="556" spans="1:12" s="314" customFormat="1" ht="11.25" customHeight="1" x14ac:dyDescent="0.25">
      <c r="A556" s="484"/>
      <c r="B556" s="222"/>
      <c r="C556" s="222"/>
      <c r="D556" s="222"/>
      <c r="E556" s="222"/>
      <c r="F556" s="222"/>
      <c r="G556" s="222"/>
      <c r="H556" s="222"/>
      <c r="I556" s="222"/>
      <c r="J556" s="222"/>
      <c r="K556" s="222"/>
      <c r="L556" s="222"/>
    </row>
    <row r="557" spans="1:12" s="314" customFormat="1" ht="11.25" customHeight="1" x14ac:dyDescent="0.25">
      <c r="A557" s="484"/>
      <c r="B557" s="222"/>
      <c r="C557" s="222"/>
      <c r="D557" s="222"/>
      <c r="E557" s="222"/>
      <c r="F557" s="222"/>
      <c r="G557" s="222"/>
      <c r="H557" s="222"/>
      <c r="I557" s="222"/>
      <c r="J557" s="222"/>
      <c r="K557" s="222"/>
      <c r="L557" s="222"/>
    </row>
    <row r="558" spans="1:12" s="314" customFormat="1" ht="11.25" customHeight="1" x14ac:dyDescent="0.25">
      <c r="A558" s="484"/>
      <c r="B558" s="222"/>
      <c r="C558" s="222"/>
      <c r="D558" s="222"/>
      <c r="E558" s="222"/>
      <c r="F558" s="222"/>
      <c r="G558" s="222"/>
      <c r="H558" s="222"/>
      <c r="I558" s="222"/>
      <c r="J558" s="222"/>
      <c r="K558" s="222"/>
      <c r="L558" s="222"/>
    </row>
    <row r="559" spans="1:12" s="314" customFormat="1" ht="11.25" customHeight="1" x14ac:dyDescent="0.25">
      <c r="A559" s="484"/>
      <c r="B559" s="222"/>
      <c r="C559" s="222"/>
      <c r="D559" s="222"/>
      <c r="E559" s="222"/>
      <c r="F559" s="222"/>
      <c r="G559" s="222"/>
      <c r="H559" s="222"/>
      <c r="I559" s="222"/>
      <c r="J559" s="222"/>
      <c r="K559" s="222"/>
      <c r="L559" s="222"/>
    </row>
    <row r="560" spans="1:12" s="314" customFormat="1" ht="11.25" customHeight="1" x14ac:dyDescent="0.25">
      <c r="A560" s="484"/>
      <c r="B560" s="222"/>
      <c r="C560" s="222"/>
      <c r="D560" s="222"/>
      <c r="E560" s="222"/>
      <c r="F560" s="222"/>
      <c r="G560" s="222"/>
      <c r="H560" s="222"/>
      <c r="I560" s="222"/>
      <c r="J560" s="222"/>
      <c r="K560" s="222"/>
      <c r="L560" s="222"/>
    </row>
    <row r="561" spans="1:12" s="314" customFormat="1" ht="11.25" customHeight="1" x14ac:dyDescent="0.25">
      <c r="A561" s="484"/>
      <c r="B561" s="222"/>
      <c r="C561" s="222"/>
      <c r="D561" s="222"/>
      <c r="E561" s="222"/>
      <c r="F561" s="222"/>
      <c r="G561" s="222"/>
      <c r="H561" s="222"/>
      <c r="I561" s="222"/>
      <c r="J561" s="222"/>
      <c r="K561" s="222"/>
      <c r="L561" s="222"/>
    </row>
    <row r="562" spans="1:12" s="314" customFormat="1" ht="11.25" customHeight="1" x14ac:dyDescent="0.25">
      <c r="A562" s="484"/>
      <c r="B562" s="222"/>
      <c r="C562" s="222"/>
      <c r="D562" s="222"/>
      <c r="E562" s="222"/>
      <c r="F562" s="222"/>
      <c r="G562" s="222"/>
      <c r="H562" s="222"/>
      <c r="I562" s="222"/>
      <c r="J562" s="222"/>
      <c r="K562" s="222"/>
      <c r="L562" s="222"/>
    </row>
    <row r="563" spans="1:12" s="314" customFormat="1" ht="11.25" customHeight="1" x14ac:dyDescent="0.25">
      <c r="A563" s="484"/>
      <c r="B563" s="222"/>
      <c r="C563" s="222"/>
      <c r="D563" s="222"/>
      <c r="E563" s="222"/>
      <c r="F563" s="222"/>
      <c r="G563" s="222"/>
      <c r="H563" s="222"/>
      <c r="I563" s="222"/>
      <c r="J563" s="222"/>
      <c r="K563" s="222"/>
      <c r="L563" s="222"/>
    </row>
    <row r="564" spans="1:12" s="314" customFormat="1" ht="11.25" customHeight="1" x14ac:dyDescent="0.25">
      <c r="A564" s="484"/>
      <c r="B564" s="222"/>
      <c r="C564" s="222"/>
      <c r="D564" s="222"/>
      <c r="E564" s="222"/>
      <c r="F564" s="222"/>
      <c r="G564" s="222"/>
      <c r="H564" s="222"/>
      <c r="I564" s="222"/>
      <c r="J564" s="222"/>
      <c r="K564" s="222"/>
      <c r="L564" s="222"/>
    </row>
    <row r="565" spans="1:12" s="314" customFormat="1" ht="11.25" customHeight="1" x14ac:dyDescent="0.25">
      <c r="A565" s="484"/>
      <c r="B565" s="222"/>
      <c r="C565" s="222"/>
      <c r="D565" s="222"/>
      <c r="E565" s="222"/>
      <c r="F565" s="222"/>
      <c r="G565" s="222"/>
      <c r="H565" s="222"/>
      <c r="I565" s="222"/>
      <c r="J565" s="222"/>
      <c r="K565" s="222"/>
      <c r="L565" s="222"/>
    </row>
    <row r="566" spans="1:12" s="314" customFormat="1" x14ac:dyDescent="0.25">
      <c r="A566" s="484"/>
      <c r="B566" s="222"/>
      <c r="C566" s="222"/>
      <c r="D566" s="222"/>
      <c r="E566" s="222"/>
      <c r="F566" s="222"/>
      <c r="G566" s="222"/>
      <c r="H566" s="222"/>
      <c r="I566" s="222"/>
      <c r="J566" s="222"/>
      <c r="K566" s="222"/>
      <c r="L566" s="222"/>
    </row>
    <row r="567" spans="1:12" s="314" customFormat="1" x14ac:dyDescent="0.25">
      <c r="A567" s="484"/>
      <c r="B567" s="222"/>
      <c r="C567" s="222"/>
      <c r="D567" s="222"/>
      <c r="E567" s="222"/>
      <c r="F567" s="222"/>
      <c r="G567" s="222"/>
      <c r="H567" s="222"/>
      <c r="I567" s="222"/>
      <c r="J567" s="222"/>
      <c r="K567" s="222"/>
      <c r="L567" s="222"/>
    </row>
    <row r="568" spans="1:12" s="314" customFormat="1" x14ac:dyDescent="0.25">
      <c r="A568" s="484"/>
      <c r="B568" s="222"/>
      <c r="C568" s="222"/>
      <c r="D568" s="222"/>
      <c r="E568" s="222"/>
      <c r="F568" s="222"/>
      <c r="G568" s="222"/>
      <c r="H568" s="222"/>
      <c r="I568" s="222"/>
      <c r="J568" s="222"/>
      <c r="K568" s="222"/>
      <c r="L568" s="222"/>
    </row>
    <row r="569" spans="1:12" s="314" customFormat="1" x14ac:dyDescent="0.25">
      <c r="A569" s="364"/>
      <c r="B569" s="222"/>
      <c r="C569" s="222"/>
      <c r="D569" s="222"/>
      <c r="E569" s="222"/>
      <c r="F569" s="222"/>
      <c r="G569" s="222"/>
      <c r="H569" s="222"/>
      <c r="I569" s="222"/>
      <c r="J569" s="222"/>
      <c r="K569" s="222"/>
      <c r="L569" s="222"/>
    </row>
    <row r="570" spans="1:12" s="314" customFormat="1" x14ac:dyDescent="0.25">
      <c r="A570" s="364"/>
      <c r="B570" s="222"/>
      <c r="C570" s="222"/>
      <c r="D570" s="222"/>
      <c r="E570" s="222"/>
      <c r="F570" s="222"/>
      <c r="G570" s="222"/>
      <c r="H570" s="222"/>
      <c r="I570" s="222"/>
      <c r="J570" s="222"/>
      <c r="K570" s="222"/>
      <c r="L570" s="222"/>
    </row>
    <row r="571" spans="1:12" s="314" customFormat="1" x14ac:dyDescent="0.25">
      <c r="A571" s="364"/>
      <c r="B571" s="222"/>
      <c r="C571" s="222"/>
      <c r="D571" s="222"/>
      <c r="E571" s="222"/>
      <c r="F571" s="222"/>
      <c r="G571" s="222"/>
      <c r="H571" s="222"/>
      <c r="I571" s="222"/>
      <c r="J571" s="222"/>
      <c r="K571" s="222"/>
      <c r="L571" s="222"/>
    </row>
    <row r="572" spans="1:12" s="314" customFormat="1" x14ac:dyDescent="0.25">
      <c r="A572" s="364"/>
      <c r="B572" s="222"/>
      <c r="C572" s="222"/>
      <c r="D572" s="222"/>
      <c r="E572" s="222"/>
      <c r="F572" s="222"/>
      <c r="G572" s="222"/>
      <c r="H572" s="222"/>
      <c r="I572" s="222"/>
      <c r="J572" s="222"/>
      <c r="K572" s="222"/>
      <c r="L572" s="222"/>
    </row>
    <row r="573" spans="1:12" s="314" customFormat="1" x14ac:dyDescent="0.25">
      <c r="A573" s="364"/>
      <c r="B573" s="222"/>
      <c r="C573" s="222"/>
      <c r="D573" s="222"/>
      <c r="E573" s="222"/>
      <c r="F573" s="222"/>
      <c r="G573" s="222"/>
      <c r="H573" s="222"/>
      <c r="I573" s="222"/>
      <c r="J573" s="222"/>
      <c r="K573" s="222"/>
      <c r="L573" s="222"/>
    </row>
    <row r="574" spans="1:12" s="314" customFormat="1" x14ac:dyDescent="0.25">
      <c r="A574" s="364"/>
      <c r="B574" s="222"/>
      <c r="C574" s="222"/>
      <c r="D574" s="222"/>
      <c r="E574" s="222"/>
      <c r="F574" s="222"/>
      <c r="G574" s="222"/>
      <c r="H574" s="222"/>
      <c r="I574" s="222"/>
      <c r="J574" s="222"/>
      <c r="K574" s="222"/>
      <c r="L574" s="222"/>
    </row>
    <row r="575" spans="1:12" s="314" customFormat="1" x14ac:dyDescent="0.25">
      <c r="A575" s="364"/>
      <c r="B575" s="222"/>
      <c r="C575" s="222"/>
      <c r="D575" s="222"/>
      <c r="E575" s="222"/>
      <c r="F575" s="222"/>
      <c r="G575" s="222"/>
      <c r="H575" s="222"/>
      <c r="I575" s="222"/>
      <c r="J575" s="222"/>
      <c r="K575" s="222"/>
      <c r="L575" s="222"/>
    </row>
    <row r="576" spans="1:12" s="314" customFormat="1" x14ac:dyDescent="0.25">
      <c r="A576" s="364"/>
      <c r="B576" s="222"/>
      <c r="C576" s="222"/>
      <c r="D576" s="222"/>
      <c r="E576" s="222"/>
      <c r="F576" s="222"/>
      <c r="G576" s="222"/>
      <c r="H576" s="222"/>
      <c r="I576" s="222"/>
      <c r="J576" s="222"/>
      <c r="K576" s="222"/>
      <c r="L576" s="222"/>
    </row>
    <row r="577" spans="1:12" s="314" customFormat="1" x14ac:dyDescent="0.25">
      <c r="A577" s="364"/>
      <c r="B577" s="222"/>
      <c r="C577" s="222"/>
      <c r="D577" s="222"/>
      <c r="E577" s="222"/>
      <c r="F577" s="222"/>
      <c r="G577" s="222"/>
      <c r="H577" s="222"/>
      <c r="I577" s="222"/>
      <c r="J577" s="222"/>
      <c r="K577" s="222"/>
      <c r="L577" s="222"/>
    </row>
    <row r="578" spans="1:12" s="314" customFormat="1" x14ac:dyDescent="0.25">
      <c r="A578" s="364"/>
      <c r="B578" s="222"/>
      <c r="C578" s="222"/>
      <c r="D578" s="222"/>
      <c r="E578" s="222"/>
      <c r="F578" s="222"/>
      <c r="G578" s="222"/>
      <c r="H578" s="222"/>
      <c r="I578" s="222"/>
      <c r="J578" s="222"/>
      <c r="K578" s="222"/>
      <c r="L578" s="222"/>
    </row>
    <row r="579" spans="1:12" s="314" customFormat="1" x14ac:dyDescent="0.25">
      <c r="A579" s="364"/>
      <c r="B579" s="222"/>
      <c r="C579" s="222"/>
      <c r="D579" s="222"/>
      <c r="E579" s="222"/>
      <c r="F579" s="222"/>
      <c r="G579" s="222"/>
      <c r="H579" s="222"/>
      <c r="I579" s="222"/>
      <c r="J579" s="222"/>
      <c r="K579" s="222"/>
      <c r="L579" s="222"/>
    </row>
    <row r="580" spans="1:12" s="314" customFormat="1" x14ac:dyDescent="0.25">
      <c r="A580" s="364"/>
      <c r="B580" s="222"/>
      <c r="C580" s="222"/>
      <c r="D580" s="222"/>
      <c r="E580" s="222"/>
      <c r="F580" s="222"/>
      <c r="G580" s="222"/>
      <c r="H580" s="222"/>
      <c r="I580" s="222"/>
      <c r="J580" s="222"/>
      <c r="K580" s="222"/>
      <c r="L580" s="222"/>
    </row>
    <row r="581" spans="1:12" s="314" customFormat="1" x14ac:dyDescent="0.25">
      <c r="A581" s="364"/>
      <c r="B581" s="222"/>
      <c r="C581" s="222"/>
      <c r="D581" s="222"/>
      <c r="E581" s="222"/>
      <c r="F581" s="222"/>
      <c r="G581" s="222"/>
      <c r="H581" s="222"/>
      <c r="I581" s="222"/>
      <c r="J581" s="222"/>
      <c r="K581" s="222"/>
      <c r="L581" s="222"/>
    </row>
    <row r="582" spans="1:12" s="314" customFormat="1" x14ac:dyDescent="0.25">
      <c r="A582" s="364"/>
      <c r="B582" s="222"/>
      <c r="C582" s="222"/>
      <c r="D582" s="222"/>
      <c r="E582" s="222"/>
      <c r="F582" s="222"/>
      <c r="G582" s="222"/>
      <c r="H582" s="222"/>
      <c r="I582" s="222"/>
      <c r="J582" s="222"/>
      <c r="K582" s="222"/>
      <c r="L582" s="222"/>
    </row>
    <row r="583" spans="1:12" s="314" customFormat="1" x14ac:dyDescent="0.25">
      <c r="A583" s="364"/>
      <c r="B583" s="222"/>
      <c r="C583" s="222"/>
      <c r="D583" s="222"/>
      <c r="E583" s="222"/>
      <c r="F583" s="222"/>
      <c r="G583" s="222"/>
      <c r="H583" s="222"/>
      <c r="I583" s="222"/>
      <c r="J583" s="222"/>
      <c r="K583" s="222"/>
      <c r="L583" s="222"/>
    </row>
    <row r="584" spans="1:12" s="314" customFormat="1" x14ac:dyDescent="0.25">
      <c r="A584" s="364"/>
      <c r="B584" s="222"/>
      <c r="C584" s="222"/>
      <c r="D584" s="222"/>
      <c r="E584" s="222"/>
      <c r="F584" s="222"/>
      <c r="G584" s="222"/>
      <c r="H584" s="222"/>
      <c r="I584" s="222"/>
      <c r="J584" s="222"/>
      <c r="K584" s="222"/>
      <c r="L584" s="222"/>
    </row>
    <row r="585" spans="1:12" s="314" customFormat="1" x14ac:dyDescent="0.25">
      <c r="A585" s="364"/>
      <c r="B585" s="222"/>
      <c r="C585" s="222"/>
      <c r="D585" s="222"/>
      <c r="E585" s="222"/>
      <c r="F585" s="222"/>
      <c r="G585" s="222"/>
      <c r="H585" s="222"/>
      <c r="I585" s="222"/>
      <c r="J585" s="222"/>
      <c r="K585" s="222"/>
      <c r="L585" s="222"/>
    </row>
    <row r="586" spans="1:12" s="314" customFormat="1" x14ac:dyDescent="0.25">
      <c r="A586" s="364"/>
      <c r="B586" s="222"/>
      <c r="C586" s="222"/>
      <c r="D586" s="222"/>
      <c r="E586" s="222"/>
      <c r="F586" s="222"/>
      <c r="G586" s="222"/>
      <c r="H586" s="222"/>
      <c r="I586" s="222"/>
      <c r="J586" s="222"/>
      <c r="K586" s="222"/>
      <c r="L586" s="222"/>
    </row>
    <row r="587" spans="1:12" s="314" customFormat="1" x14ac:dyDescent="0.25">
      <c r="A587" s="364"/>
      <c r="B587" s="222"/>
      <c r="C587" s="222"/>
      <c r="D587" s="222"/>
      <c r="E587" s="222"/>
      <c r="F587" s="222"/>
      <c r="G587" s="222"/>
      <c r="H587" s="222"/>
      <c r="I587" s="222"/>
      <c r="J587" s="222"/>
      <c r="K587" s="222"/>
      <c r="L587" s="222"/>
    </row>
    <row r="588" spans="1:12" s="314" customFormat="1" x14ac:dyDescent="0.25">
      <c r="A588" s="364"/>
      <c r="B588" s="222"/>
      <c r="C588" s="222"/>
      <c r="D588" s="222"/>
      <c r="E588" s="222"/>
      <c r="F588" s="222"/>
      <c r="G588" s="222"/>
      <c r="H588" s="222"/>
      <c r="I588" s="222"/>
      <c r="J588" s="222"/>
      <c r="K588" s="222"/>
      <c r="L588" s="222"/>
    </row>
    <row r="589" spans="1:12" s="314" customFormat="1" x14ac:dyDescent="0.25">
      <c r="A589" s="364"/>
      <c r="B589" s="222"/>
      <c r="C589" s="222"/>
      <c r="D589" s="222"/>
      <c r="E589" s="222"/>
      <c r="F589" s="222"/>
      <c r="G589" s="222"/>
      <c r="H589" s="222"/>
      <c r="I589" s="222"/>
      <c r="J589" s="222"/>
      <c r="K589" s="222"/>
      <c r="L589" s="222"/>
    </row>
    <row r="590" spans="1:12" s="314" customFormat="1" x14ac:dyDescent="0.25">
      <c r="A590" s="364"/>
      <c r="B590" s="222"/>
      <c r="C590" s="222"/>
      <c r="D590" s="222"/>
      <c r="E590" s="222"/>
      <c r="F590" s="222"/>
      <c r="G590" s="222"/>
      <c r="H590" s="222"/>
      <c r="I590" s="222"/>
      <c r="J590" s="222"/>
      <c r="K590" s="222"/>
      <c r="L590" s="222"/>
    </row>
    <row r="591" spans="1:12" s="314" customFormat="1" x14ac:dyDescent="0.25">
      <c r="A591" s="364"/>
      <c r="B591" s="222"/>
      <c r="C591" s="222"/>
      <c r="D591" s="222"/>
      <c r="E591" s="222"/>
      <c r="F591" s="222"/>
      <c r="G591" s="222"/>
      <c r="H591" s="222"/>
      <c r="I591" s="222"/>
      <c r="J591" s="222"/>
      <c r="K591" s="222"/>
      <c r="L591" s="222"/>
    </row>
    <row r="592" spans="1:12" s="314" customFormat="1" x14ac:dyDescent="0.25">
      <c r="A592" s="364"/>
      <c r="B592" s="222"/>
      <c r="C592" s="222"/>
      <c r="D592" s="222"/>
      <c r="E592" s="222"/>
      <c r="F592" s="222"/>
      <c r="G592" s="222"/>
      <c r="H592" s="222"/>
      <c r="I592" s="222"/>
      <c r="J592" s="222"/>
      <c r="K592" s="222"/>
      <c r="L592" s="222"/>
    </row>
    <row r="593" spans="1:12" s="314" customFormat="1" x14ac:dyDescent="0.25">
      <c r="A593" s="364"/>
      <c r="B593" s="222"/>
      <c r="C593" s="222"/>
      <c r="D593" s="222"/>
      <c r="E593" s="222"/>
      <c r="F593" s="222"/>
      <c r="G593" s="222"/>
      <c r="H593" s="222"/>
      <c r="I593" s="222"/>
      <c r="J593" s="222"/>
      <c r="K593" s="222"/>
      <c r="L593" s="222"/>
    </row>
    <row r="594" spans="1:12" s="314" customFormat="1" x14ac:dyDescent="0.25">
      <c r="A594" s="364"/>
      <c r="B594" s="222"/>
      <c r="C594" s="222"/>
      <c r="D594" s="222"/>
      <c r="E594" s="222"/>
      <c r="F594" s="222"/>
      <c r="G594" s="222"/>
      <c r="H594" s="222"/>
      <c r="I594" s="222"/>
      <c r="J594" s="222"/>
      <c r="K594" s="222"/>
      <c r="L594" s="222"/>
    </row>
    <row r="595" spans="1:12" s="314" customFormat="1" x14ac:dyDescent="0.25">
      <c r="A595" s="364"/>
      <c r="B595" s="222"/>
      <c r="C595" s="222"/>
      <c r="D595" s="222"/>
      <c r="E595" s="222"/>
      <c r="F595" s="222"/>
      <c r="G595" s="222"/>
      <c r="H595" s="222"/>
      <c r="I595" s="222"/>
      <c r="J595" s="222"/>
      <c r="K595" s="222"/>
      <c r="L595" s="222"/>
    </row>
    <row r="596" spans="1:12" s="314" customFormat="1" x14ac:dyDescent="0.25">
      <c r="A596" s="364"/>
      <c r="B596" s="222"/>
      <c r="C596" s="222"/>
      <c r="D596" s="222"/>
      <c r="E596" s="222"/>
      <c r="F596" s="222"/>
      <c r="G596" s="222"/>
      <c r="H596" s="222"/>
      <c r="I596" s="222"/>
      <c r="J596" s="222"/>
      <c r="K596" s="222"/>
      <c r="L596" s="222"/>
    </row>
    <row r="597" spans="1:12" s="314" customFormat="1" x14ac:dyDescent="0.25">
      <c r="A597" s="364"/>
      <c r="B597" s="222"/>
      <c r="C597" s="222"/>
      <c r="D597" s="222"/>
      <c r="E597" s="222"/>
      <c r="F597" s="222"/>
      <c r="G597" s="222"/>
      <c r="H597" s="222"/>
      <c r="I597" s="222"/>
      <c r="J597" s="222"/>
      <c r="K597" s="222"/>
      <c r="L597" s="222"/>
    </row>
    <row r="598" spans="1:12" s="314" customFormat="1" x14ac:dyDescent="0.25">
      <c r="A598" s="364"/>
      <c r="B598" s="222"/>
      <c r="C598" s="222"/>
      <c r="D598" s="222"/>
      <c r="E598" s="222"/>
      <c r="F598" s="222"/>
      <c r="G598" s="222"/>
      <c r="H598" s="222"/>
      <c r="I598" s="222"/>
      <c r="J598" s="222"/>
      <c r="K598" s="222"/>
      <c r="L598" s="222"/>
    </row>
    <row r="599" spans="1:12" s="314" customFormat="1" x14ac:dyDescent="0.25">
      <c r="A599" s="364"/>
      <c r="B599" s="222"/>
      <c r="C599" s="222"/>
      <c r="D599" s="222"/>
      <c r="E599" s="222"/>
      <c r="F599" s="222"/>
      <c r="G599" s="222"/>
      <c r="H599" s="222"/>
      <c r="I599" s="222"/>
      <c r="J599" s="222"/>
      <c r="K599" s="222"/>
      <c r="L599" s="222"/>
    </row>
    <row r="600" spans="1:12" s="314" customFormat="1" x14ac:dyDescent="0.25">
      <c r="A600" s="364"/>
      <c r="B600" s="222"/>
      <c r="C600" s="222"/>
      <c r="D600" s="222"/>
      <c r="E600" s="222"/>
      <c r="F600" s="222"/>
      <c r="G600" s="222"/>
      <c r="H600" s="222"/>
      <c r="I600" s="222"/>
      <c r="J600" s="222"/>
      <c r="K600" s="222"/>
      <c r="L600" s="222"/>
    </row>
    <row r="601" spans="1:12" s="314" customFormat="1" x14ac:dyDescent="0.25">
      <c r="A601" s="364"/>
      <c r="B601" s="222"/>
      <c r="C601" s="222"/>
      <c r="D601" s="222"/>
      <c r="E601" s="222"/>
      <c r="F601" s="222"/>
      <c r="G601" s="222"/>
      <c r="H601" s="222"/>
      <c r="I601" s="222"/>
      <c r="J601" s="222"/>
      <c r="K601" s="222"/>
      <c r="L601" s="222"/>
    </row>
    <row r="602" spans="1:12" s="314" customFormat="1" x14ac:dyDescent="0.25">
      <c r="A602" s="364"/>
      <c r="B602" s="222"/>
      <c r="C602" s="222"/>
      <c r="D602" s="222"/>
      <c r="E602" s="222"/>
      <c r="F602" s="222"/>
      <c r="G602" s="222"/>
      <c r="H602" s="222"/>
      <c r="I602" s="222"/>
      <c r="J602" s="222"/>
      <c r="K602" s="222"/>
      <c r="L602" s="222"/>
    </row>
    <row r="603" spans="1:12" s="314" customFormat="1" x14ac:dyDescent="0.25">
      <c r="A603" s="364"/>
      <c r="B603" s="222"/>
      <c r="C603" s="222"/>
      <c r="D603" s="222"/>
      <c r="E603" s="222"/>
      <c r="F603" s="222"/>
      <c r="G603" s="222"/>
      <c r="H603" s="222"/>
      <c r="I603" s="222"/>
      <c r="J603" s="222"/>
      <c r="K603" s="222"/>
      <c r="L603" s="222"/>
    </row>
    <row r="604" spans="1:12" s="314" customFormat="1" x14ac:dyDescent="0.25">
      <c r="A604" s="364"/>
      <c r="B604" s="222"/>
      <c r="C604" s="222"/>
      <c r="D604" s="222"/>
      <c r="E604" s="222"/>
      <c r="F604" s="222"/>
      <c r="G604" s="222"/>
      <c r="H604" s="222"/>
      <c r="I604" s="222"/>
      <c r="J604" s="222"/>
      <c r="K604" s="222"/>
      <c r="L604" s="222"/>
    </row>
    <row r="605" spans="1:12" s="314" customFormat="1" x14ac:dyDescent="0.25">
      <c r="A605" s="364"/>
      <c r="B605" s="222"/>
      <c r="C605" s="222"/>
      <c r="D605" s="222"/>
      <c r="E605" s="222"/>
      <c r="F605" s="222"/>
      <c r="G605" s="222"/>
      <c r="H605" s="222"/>
      <c r="I605" s="222"/>
      <c r="J605" s="222"/>
      <c r="K605" s="222"/>
      <c r="L605" s="222"/>
    </row>
    <row r="606" spans="1:12" s="314" customFormat="1" x14ac:dyDescent="0.25">
      <c r="A606" s="364"/>
      <c r="B606" s="222"/>
      <c r="C606" s="222"/>
      <c r="D606" s="222"/>
      <c r="E606" s="222"/>
      <c r="F606" s="222"/>
      <c r="G606" s="222"/>
      <c r="H606" s="222"/>
      <c r="I606" s="222"/>
      <c r="J606" s="222"/>
      <c r="K606" s="222"/>
      <c r="L606" s="222"/>
    </row>
    <row r="607" spans="1:12" s="314" customFormat="1" x14ac:dyDescent="0.25">
      <c r="A607" s="364"/>
      <c r="B607" s="222"/>
      <c r="C607" s="222"/>
      <c r="D607" s="222"/>
      <c r="E607" s="222"/>
      <c r="F607" s="222"/>
      <c r="G607" s="222"/>
      <c r="H607" s="222"/>
      <c r="I607" s="222"/>
      <c r="J607" s="222"/>
      <c r="K607" s="222"/>
      <c r="L607" s="222"/>
    </row>
    <row r="608" spans="1:12" s="314" customFormat="1" x14ac:dyDescent="0.25">
      <c r="A608" s="364"/>
      <c r="B608" s="222"/>
      <c r="C608" s="222"/>
      <c r="D608" s="222"/>
      <c r="E608" s="222"/>
      <c r="F608" s="222"/>
      <c r="G608" s="222"/>
      <c r="H608" s="222"/>
      <c r="I608" s="222"/>
      <c r="J608" s="222"/>
      <c r="K608" s="222"/>
      <c r="L608" s="222"/>
    </row>
    <row r="609" spans="1:12" s="314" customFormat="1" x14ac:dyDescent="0.25">
      <c r="A609" s="364"/>
      <c r="B609" s="222"/>
      <c r="C609" s="222"/>
      <c r="D609" s="222"/>
      <c r="E609" s="222"/>
      <c r="F609" s="222"/>
      <c r="G609" s="222"/>
      <c r="H609" s="222"/>
      <c r="I609" s="222"/>
      <c r="J609" s="222"/>
      <c r="K609" s="222"/>
      <c r="L609" s="222"/>
    </row>
    <row r="610" spans="1:12" s="314" customFormat="1" x14ac:dyDescent="0.25">
      <c r="A610" s="364"/>
      <c r="B610" s="222"/>
      <c r="C610" s="222"/>
      <c r="D610" s="222"/>
      <c r="E610" s="222"/>
      <c r="F610" s="222"/>
      <c r="G610" s="222"/>
      <c r="H610" s="222"/>
      <c r="I610" s="222"/>
      <c r="J610" s="222"/>
      <c r="K610" s="222"/>
      <c r="L610" s="222"/>
    </row>
    <row r="611" spans="1:12" s="314" customFormat="1" x14ac:dyDescent="0.25">
      <c r="A611" s="364"/>
      <c r="B611" s="222"/>
      <c r="C611" s="222"/>
      <c r="D611" s="222"/>
      <c r="E611" s="222"/>
      <c r="F611" s="222"/>
      <c r="G611" s="222"/>
      <c r="H611" s="222"/>
      <c r="I611" s="222"/>
      <c r="J611" s="222"/>
      <c r="K611" s="222"/>
      <c r="L611" s="222"/>
    </row>
    <row r="612" spans="1:12" s="314" customFormat="1" x14ac:dyDescent="0.25">
      <c r="A612" s="364"/>
      <c r="B612" s="222"/>
      <c r="C612" s="222"/>
      <c r="D612" s="222"/>
      <c r="E612" s="222"/>
      <c r="F612" s="222"/>
      <c r="G612" s="222"/>
      <c r="H612" s="222"/>
      <c r="I612" s="222"/>
      <c r="J612" s="222"/>
      <c r="K612" s="222"/>
      <c r="L612" s="222"/>
    </row>
    <row r="613" spans="1:12" s="314" customFormat="1" x14ac:dyDescent="0.25">
      <c r="A613" s="364"/>
      <c r="B613" s="222"/>
      <c r="C613" s="222"/>
      <c r="D613" s="222"/>
      <c r="E613" s="222"/>
      <c r="F613" s="222"/>
      <c r="G613" s="222"/>
      <c r="H613" s="222"/>
      <c r="I613" s="222"/>
      <c r="J613" s="222"/>
      <c r="K613" s="222"/>
      <c r="L613" s="222"/>
    </row>
    <row r="614" spans="1:12" s="314" customFormat="1" x14ac:dyDescent="0.25">
      <c r="A614" s="364"/>
      <c r="B614" s="222"/>
      <c r="C614" s="222"/>
      <c r="D614" s="222"/>
      <c r="E614" s="222"/>
      <c r="F614" s="222"/>
      <c r="G614" s="222"/>
      <c r="H614" s="222"/>
      <c r="I614" s="222"/>
      <c r="J614" s="222"/>
      <c r="K614" s="222"/>
      <c r="L614" s="222"/>
    </row>
    <row r="615" spans="1:12" s="314" customFormat="1" x14ac:dyDescent="0.25">
      <c r="A615" s="364"/>
      <c r="B615" s="222"/>
      <c r="C615" s="222"/>
      <c r="D615" s="222"/>
      <c r="E615" s="222"/>
      <c r="F615" s="222"/>
      <c r="G615" s="222"/>
      <c r="H615" s="222"/>
      <c r="I615" s="222"/>
      <c r="J615" s="222"/>
      <c r="K615" s="222"/>
      <c r="L615" s="222"/>
    </row>
    <row r="616" spans="1:12" s="314" customFormat="1" x14ac:dyDescent="0.25">
      <c r="A616" s="364"/>
      <c r="B616" s="222"/>
      <c r="C616" s="222"/>
      <c r="D616" s="222"/>
      <c r="E616" s="222"/>
      <c r="F616" s="222"/>
      <c r="G616" s="222"/>
      <c r="H616" s="222"/>
      <c r="I616" s="222"/>
      <c r="J616" s="222"/>
      <c r="K616" s="222"/>
      <c r="L616" s="222"/>
    </row>
    <row r="617" spans="1:12" s="314" customFormat="1" x14ac:dyDescent="0.25">
      <c r="A617" s="364"/>
      <c r="B617" s="222"/>
      <c r="C617" s="222"/>
      <c r="D617" s="222"/>
      <c r="E617" s="222"/>
      <c r="F617" s="222"/>
      <c r="G617" s="222"/>
      <c r="H617" s="222"/>
      <c r="I617" s="222"/>
      <c r="J617" s="222"/>
      <c r="K617" s="222"/>
      <c r="L617" s="222"/>
    </row>
    <row r="618" spans="1:12" s="314" customFormat="1" x14ac:dyDescent="0.25">
      <c r="A618" s="364"/>
      <c r="B618" s="222"/>
      <c r="C618" s="222"/>
      <c r="D618" s="222"/>
      <c r="E618" s="222"/>
      <c r="F618" s="222"/>
      <c r="G618" s="222"/>
      <c r="H618" s="222"/>
      <c r="I618" s="222"/>
      <c r="J618" s="222"/>
      <c r="K618" s="222"/>
      <c r="L618" s="222"/>
    </row>
    <row r="619" spans="1:12" s="314" customFormat="1" x14ac:dyDescent="0.25">
      <c r="A619" s="364"/>
      <c r="B619" s="222"/>
      <c r="C619" s="222"/>
      <c r="D619" s="222"/>
      <c r="E619" s="222"/>
      <c r="F619" s="222"/>
      <c r="G619" s="222"/>
      <c r="H619" s="222"/>
      <c r="I619" s="222"/>
      <c r="J619" s="222"/>
      <c r="K619" s="222"/>
      <c r="L619" s="222"/>
    </row>
    <row r="620" spans="1:12" s="314" customFormat="1" x14ac:dyDescent="0.25">
      <c r="A620" s="364"/>
      <c r="B620" s="222"/>
      <c r="C620" s="222"/>
      <c r="D620" s="222"/>
      <c r="E620" s="222"/>
      <c r="F620" s="222"/>
      <c r="G620" s="222"/>
      <c r="H620" s="222"/>
      <c r="I620" s="222"/>
      <c r="J620" s="222"/>
      <c r="K620" s="222"/>
      <c r="L620" s="222"/>
    </row>
    <row r="621" spans="1:12" s="314" customFormat="1" x14ac:dyDescent="0.25">
      <c r="A621" s="364"/>
      <c r="B621" s="222"/>
      <c r="C621" s="222"/>
      <c r="D621" s="222"/>
      <c r="E621" s="222"/>
      <c r="F621" s="222"/>
      <c r="G621" s="222"/>
      <c r="H621" s="222"/>
      <c r="I621" s="222"/>
      <c r="J621" s="222"/>
      <c r="K621" s="222"/>
      <c r="L621" s="222"/>
    </row>
    <row r="622" spans="1:12" s="314" customFormat="1" x14ac:dyDescent="0.25">
      <c r="A622" s="364"/>
      <c r="B622" s="222"/>
      <c r="C622" s="222"/>
      <c r="D622" s="222"/>
      <c r="E622" s="222"/>
      <c r="F622" s="222"/>
      <c r="G622" s="222"/>
      <c r="H622" s="222"/>
      <c r="I622" s="222"/>
      <c r="J622" s="222"/>
      <c r="K622" s="222"/>
      <c r="L622" s="222"/>
    </row>
    <row r="623" spans="1:12" s="314" customFormat="1" x14ac:dyDescent="0.25">
      <c r="A623" s="364"/>
      <c r="B623" s="222"/>
      <c r="C623" s="222"/>
      <c r="D623" s="222"/>
      <c r="E623" s="222"/>
      <c r="F623" s="222"/>
      <c r="G623" s="222"/>
      <c r="H623" s="222"/>
      <c r="I623" s="222"/>
      <c r="J623" s="222"/>
      <c r="K623" s="222"/>
      <c r="L623" s="222"/>
    </row>
    <row r="624" spans="1:12" s="314" customFormat="1" x14ac:dyDescent="0.25">
      <c r="A624" s="364"/>
      <c r="B624" s="222"/>
      <c r="C624" s="222"/>
      <c r="D624" s="222"/>
      <c r="E624" s="222"/>
      <c r="F624" s="222"/>
      <c r="G624" s="222"/>
      <c r="H624" s="222"/>
      <c r="I624" s="222"/>
      <c r="J624" s="222"/>
      <c r="K624" s="222"/>
      <c r="L624" s="222"/>
    </row>
    <row r="625" spans="1:12" s="314" customFormat="1" x14ac:dyDescent="0.25">
      <c r="A625" s="364"/>
      <c r="B625" s="222"/>
      <c r="C625" s="222"/>
      <c r="D625" s="222"/>
      <c r="E625" s="222"/>
      <c r="F625" s="222"/>
      <c r="G625" s="222"/>
      <c r="H625" s="222"/>
      <c r="I625" s="222"/>
      <c r="J625" s="222"/>
      <c r="K625" s="222"/>
      <c r="L625" s="222"/>
    </row>
    <row r="626" spans="1:12" s="314" customFormat="1" x14ac:dyDescent="0.25">
      <c r="A626" s="364"/>
      <c r="B626" s="222"/>
      <c r="C626" s="222"/>
      <c r="D626" s="222"/>
      <c r="E626" s="222"/>
      <c r="F626" s="222"/>
      <c r="G626" s="222"/>
      <c r="H626" s="222"/>
      <c r="I626" s="222"/>
      <c r="J626" s="222"/>
      <c r="K626" s="222"/>
      <c r="L626" s="222"/>
    </row>
    <row r="627" spans="1:12" s="314" customFormat="1" x14ac:dyDescent="0.25">
      <c r="A627" s="364"/>
      <c r="B627" s="222"/>
      <c r="C627" s="222"/>
      <c r="D627" s="222"/>
      <c r="E627" s="222"/>
      <c r="F627" s="222"/>
      <c r="G627" s="222"/>
      <c r="H627" s="222"/>
      <c r="I627" s="222"/>
      <c r="J627" s="222"/>
      <c r="K627" s="222"/>
      <c r="L627" s="222"/>
    </row>
    <row r="628" spans="1:12" s="314" customFormat="1" x14ac:dyDescent="0.25">
      <c r="A628" s="364"/>
      <c r="B628" s="222"/>
      <c r="C628" s="222"/>
      <c r="D628" s="222"/>
      <c r="E628" s="222"/>
      <c r="F628" s="222"/>
      <c r="G628" s="222"/>
      <c r="H628" s="222"/>
      <c r="I628" s="222"/>
      <c r="J628" s="222"/>
      <c r="K628" s="222"/>
      <c r="L628" s="222"/>
    </row>
    <row r="629" spans="1:12" s="314" customFormat="1" x14ac:dyDescent="0.25">
      <c r="A629" s="364"/>
      <c r="B629" s="222"/>
      <c r="C629" s="222"/>
      <c r="D629" s="222"/>
      <c r="E629" s="222"/>
      <c r="F629" s="222"/>
      <c r="G629" s="222"/>
      <c r="H629" s="222"/>
      <c r="I629" s="222"/>
      <c r="J629" s="222"/>
      <c r="K629" s="222"/>
      <c r="L629" s="222"/>
    </row>
    <row r="630" spans="1:12" s="314" customFormat="1" x14ac:dyDescent="0.25">
      <c r="A630" s="364"/>
      <c r="B630" s="222"/>
      <c r="C630" s="222"/>
      <c r="D630" s="222"/>
      <c r="E630" s="222"/>
      <c r="F630" s="222"/>
      <c r="G630" s="222"/>
      <c r="H630" s="222"/>
      <c r="I630" s="222"/>
      <c r="J630" s="222"/>
      <c r="K630" s="222"/>
      <c r="L630" s="222"/>
    </row>
    <row r="631" spans="1:12" s="314" customFormat="1" x14ac:dyDescent="0.25">
      <c r="A631" s="364"/>
      <c r="B631" s="222"/>
      <c r="C631" s="222"/>
      <c r="D631" s="222"/>
      <c r="E631" s="222"/>
      <c r="F631" s="222"/>
      <c r="G631" s="222"/>
      <c r="H631" s="222"/>
      <c r="I631" s="222"/>
      <c r="J631" s="222"/>
      <c r="K631" s="222"/>
      <c r="L631" s="222"/>
    </row>
    <row r="632" spans="1:12" s="314" customFormat="1" x14ac:dyDescent="0.25">
      <c r="A632" s="364"/>
      <c r="B632" s="222"/>
      <c r="C632" s="222"/>
      <c r="D632" s="222"/>
      <c r="E632" s="222"/>
      <c r="F632" s="222"/>
      <c r="G632" s="222"/>
      <c r="H632" s="222"/>
      <c r="I632" s="222"/>
      <c r="J632" s="222"/>
      <c r="K632" s="222"/>
      <c r="L632" s="222"/>
    </row>
    <row r="633" spans="1:12" s="314" customFormat="1" x14ac:dyDescent="0.25">
      <c r="A633" s="364"/>
      <c r="B633" s="222"/>
      <c r="C633" s="222"/>
      <c r="D633" s="222"/>
      <c r="E633" s="222"/>
      <c r="F633" s="222"/>
      <c r="G633" s="222"/>
      <c r="H633" s="222"/>
      <c r="I633" s="222"/>
      <c r="J633" s="222"/>
      <c r="K633" s="222"/>
      <c r="L633" s="222"/>
    </row>
    <row r="634" spans="1:12" s="314" customFormat="1" x14ac:dyDescent="0.25">
      <c r="A634" s="364"/>
      <c r="B634" s="222"/>
      <c r="C634" s="222"/>
      <c r="D634" s="222"/>
      <c r="E634" s="222"/>
      <c r="F634" s="222"/>
      <c r="G634" s="222"/>
      <c r="H634" s="222"/>
      <c r="I634" s="222"/>
      <c r="J634" s="222"/>
      <c r="K634" s="222"/>
      <c r="L634" s="222"/>
    </row>
    <row r="635" spans="1:12" s="314" customFormat="1" x14ac:dyDescent="0.25">
      <c r="A635" s="364"/>
      <c r="B635" s="222"/>
      <c r="C635" s="222"/>
      <c r="D635" s="222"/>
      <c r="E635" s="222"/>
      <c r="F635" s="222"/>
      <c r="G635" s="222"/>
      <c r="H635" s="222"/>
      <c r="I635" s="222"/>
      <c r="J635" s="222"/>
      <c r="K635" s="222"/>
      <c r="L635" s="222"/>
    </row>
    <row r="636" spans="1:12" s="314" customFormat="1" x14ac:dyDescent="0.25">
      <c r="A636" s="364"/>
      <c r="B636" s="222"/>
      <c r="C636" s="222"/>
      <c r="D636" s="222"/>
      <c r="E636" s="222"/>
      <c r="F636" s="222"/>
      <c r="G636" s="222"/>
      <c r="H636" s="222"/>
      <c r="I636" s="222"/>
      <c r="J636" s="222"/>
      <c r="K636" s="222"/>
      <c r="L636" s="222"/>
    </row>
    <row r="637" spans="1:12" s="314" customFormat="1" x14ac:dyDescent="0.25">
      <c r="A637" s="364"/>
      <c r="B637" s="222"/>
      <c r="C637" s="222"/>
      <c r="D637" s="222"/>
      <c r="E637" s="222"/>
      <c r="F637" s="222"/>
      <c r="G637" s="222"/>
      <c r="H637" s="222"/>
      <c r="I637" s="222"/>
      <c r="J637" s="222"/>
      <c r="K637" s="222"/>
      <c r="L637" s="222"/>
    </row>
    <row r="638" spans="1:12" s="314" customFormat="1" x14ac:dyDescent="0.25">
      <c r="A638" s="364"/>
      <c r="B638" s="222"/>
      <c r="C638" s="222"/>
      <c r="D638" s="222"/>
      <c r="E638" s="222"/>
      <c r="F638" s="222"/>
      <c r="G638" s="222"/>
      <c r="H638" s="222"/>
      <c r="I638" s="222"/>
      <c r="J638" s="222"/>
      <c r="K638" s="222"/>
      <c r="L638" s="222"/>
    </row>
    <row r="639" spans="1:12" s="314" customFormat="1" x14ac:dyDescent="0.25">
      <c r="A639" s="364"/>
      <c r="B639" s="222"/>
      <c r="C639" s="222"/>
      <c r="D639" s="222"/>
      <c r="E639" s="222"/>
      <c r="F639" s="222"/>
      <c r="G639" s="222"/>
      <c r="H639" s="222"/>
      <c r="I639" s="222"/>
      <c r="J639" s="222"/>
      <c r="K639" s="222"/>
      <c r="L639" s="222"/>
    </row>
    <row r="640" spans="1:12" s="314" customFormat="1" x14ac:dyDescent="0.25">
      <c r="A640" s="364"/>
      <c r="B640" s="222"/>
      <c r="C640" s="222"/>
      <c r="D640" s="222"/>
      <c r="E640" s="222"/>
      <c r="F640" s="222"/>
      <c r="G640" s="222"/>
      <c r="H640" s="222"/>
      <c r="I640" s="222"/>
      <c r="J640" s="222"/>
      <c r="K640" s="222"/>
      <c r="L640" s="222"/>
    </row>
  </sheetData>
  <mergeCells count="17">
    <mergeCell ref="A524:L524"/>
    <mergeCell ref="A1:L1"/>
    <mergeCell ref="A2:A3"/>
    <mergeCell ref="A367:L371"/>
    <mergeCell ref="A373:L373"/>
    <mergeCell ref="A374:L374"/>
    <mergeCell ref="A383:L383"/>
    <mergeCell ref="A384:A385"/>
    <mergeCell ref="A430:L430"/>
    <mergeCell ref="A431:A432"/>
    <mergeCell ref="A477:L477"/>
    <mergeCell ref="A478:A479"/>
    <mergeCell ref="A525:A526"/>
    <mergeCell ref="A548:L552"/>
    <mergeCell ref="A553:L553"/>
    <mergeCell ref="A554:L554"/>
    <mergeCell ref="A555:L555"/>
  </mergeCells>
  <pageMargins left="0.7" right="0.7" top="0.75" bottom="0.75" header="0.3" footer="0.3"/>
  <pageSetup scale="99" orientation="landscape" r:id="rId1"/>
  <rowBreaks count="3" manualBreakCount="3">
    <brk id="429" max="11" man="1"/>
    <brk id="476" max="11" man="1"/>
    <brk id="523" max="11"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1"/>
  <dimension ref="A1:T785"/>
  <sheetViews>
    <sheetView showGridLines="0" topLeftCell="A517" zoomScale="90" zoomScaleNormal="90" zoomScaleSheetLayoutView="100" workbookViewId="0">
      <selection activeCell="W679" sqref="W679"/>
    </sheetView>
  </sheetViews>
  <sheetFormatPr defaultColWidth="9" defaultRowHeight="11.25" x14ac:dyDescent="0.2"/>
  <cols>
    <col min="1" max="1" width="9.125" style="364" customWidth="1"/>
    <col min="2" max="12" width="6.125" style="189" customWidth="1"/>
    <col min="13" max="13" width="1.625" style="189" customWidth="1"/>
    <col min="14" max="19" width="6.125" style="189" customWidth="1"/>
    <col min="20" max="16384" width="9" style="318"/>
  </cols>
  <sheetData>
    <row r="1" spans="1:19" x14ac:dyDescent="0.2">
      <c r="A1" s="555" t="s">
        <v>291</v>
      </c>
      <c r="B1" s="555"/>
      <c r="C1" s="556"/>
      <c r="D1" s="556"/>
      <c r="E1" s="556"/>
      <c r="F1" s="556"/>
      <c r="G1" s="556"/>
      <c r="H1" s="556"/>
      <c r="I1" s="558"/>
      <c r="J1" s="558"/>
      <c r="K1" s="558"/>
      <c r="L1" s="558"/>
      <c r="M1" s="558"/>
      <c r="N1" s="558"/>
      <c r="O1" s="558"/>
      <c r="P1" s="558"/>
      <c r="Q1" s="558"/>
      <c r="R1" s="558"/>
      <c r="S1" s="558"/>
    </row>
    <row r="2" spans="1:19" s="319" customFormat="1" x14ac:dyDescent="0.2">
      <c r="A2" s="135" t="s">
        <v>33</v>
      </c>
      <c r="B2" s="136" t="s">
        <v>43</v>
      </c>
      <c r="C2" s="136" t="s">
        <v>34</v>
      </c>
      <c r="D2" s="136" t="s">
        <v>35</v>
      </c>
      <c r="E2" s="136" t="s">
        <v>36</v>
      </c>
      <c r="F2" s="136" t="s">
        <v>37</v>
      </c>
      <c r="G2" s="136" t="s">
        <v>38</v>
      </c>
      <c r="H2" s="136" t="s">
        <v>39</v>
      </c>
      <c r="I2" s="136" t="s">
        <v>40</v>
      </c>
      <c r="J2" s="136" t="s">
        <v>44</v>
      </c>
      <c r="K2" s="136" t="s">
        <v>83</v>
      </c>
      <c r="L2" s="136" t="s">
        <v>28</v>
      </c>
      <c r="M2" s="136"/>
      <c r="N2" s="136" t="s">
        <v>36</v>
      </c>
      <c r="O2" s="136" t="s">
        <v>37</v>
      </c>
      <c r="P2" s="136" t="s">
        <v>38</v>
      </c>
      <c r="Q2" s="136" t="s">
        <v>39</v>
      </c>
      <c r="R2" s="136" t="s">
        <v>40</v>
      </c>
      <c r="S2" s="136" t="s">
        <v>28</v>
      </c>
    </row>
    <row r="3" spans="1:19" ht="11.25" customHeight="1" x14ac:dyDescent="0.2">
      <c r="B3" s="557" t="s">
        <v>67</v>
      </c>
      <c r="C3" s="557"/>
      <c r="D3" s="557"/>
      <c r="E3" s="557"/>
      <c r="F3" s="557"/>
      <c r="G3" s="557"/>
      <c r="H3" s="557"/>
      <c r="I3" s="557"/>
      <c r="J3" s="557"/>
      <c r="K3" s="557"/>
      <c r="L3" s="557"/>
      <c r="N3" s="557" t="s">
        <v>68</v>
      </c>
      <c r="O3" s="557"/>
      <c r="P3" s="557"/>
      <c r="Q3" s="557"/>
      <c r="R3" s="557"/>
      <c r="S3" s="557"/>
    </row>
    <row r="4" spans="1:19" x14ac:dyDescent="0.2">
      <c r="A4" s="109" t="s">
        <v>112</v>
      </c>
    </row>
    <row r="5" spans="1:19" x14ac:dyDescent="0.2">
      <c r="A5" s="371">
        <v>1952</v>
      </c>
      <c r="B5" s="189">
        <v>7233</v>
      </c>
      <c r="C5" s="189">
        <v>19870</v>
      </c>
      <c r="D5" s="189">
        <v>13269</v>
      </c>
      <c r="E5" s="189">
        <v>11397</v>
      </c>
      <c r="F5" s="189">
        <v>6382</v>
      </c>
      <c r="G5" s="189">
        <v>7438</v>
      </c>
      <c r="H5" s="189">
        <v>2431</v>
      </c>
      <c r="I5" s="189">
        <v>4945</v>
      </c>
      <c r="J5" s="189" t="s">
        <v>29</v>
      </c>
      <c r="K5" s="189" t="s">
        <v>29</v>
      </c>
      <c r="L5" s="189">
        <f t="shared" ref="L5:L62" si="0">SUM(B5:K5)</f>
        <v>72965</v>
      </c>
      <c r="N5" s="189">
        <v>12944</v>
      </c>
      <c r="O5" s="189">
        <v>24399</v>
      </c>
      <c r="P5" s="189">
        <v>19987</v>
      </c>
      <c r="Q5" s="189">
        <v>9448</v>
      </c>
      <c r="R5" s="189">
        <v>5730</v>
      </c>
      <c r="S5" s="189">
        <f t="shared" ref="S5:S38" si="1">SUM(N5:R5)</f>
        <v>72508</v>
      </c>
    </row>
    <row r="6" spans="1:19" x14ac:dyDescent="0.2">
      <c r="A6" s="371">
        <f>1+A5</f>
        <v>1953</v>
      </c>
      <c r="B6" s="189">
        <v>2329</v>
      </c>
      <c r="C6" s="189">
        <v>22415</v>
      </c>
      <c r="D6" s="189">
        <v>4375</v>
      </c>
      <c r="E6" s="189">
        <v>4646</v>
      </c>
      <c r="F6" s="189">
        <v>4430</v>
      </c>
      <c r="G6" s="189">
        <v>3147</v>
      </c>
      <c r="H6" s="189">
        <v>829</v>
      </c>
      <c r="I6" s="189">
        <v>241</v>
      </c>
      <c r="J6" s="189" t="s">
        <v>29</v>
      </c>
      <c r="K6" s="189" t="s">
        <v>29</v>
      </c>
      <c r="L6" s="189">
        <f t="shared" si="0"/>
        <v>42412</v>
      </c>
      <c r="N6" s="189">
        <v>4063</v>
      </c>
      <c r="O6" s="189">
        <v>14761</v>
      </c>
      <c r="P6" s="189">
        <v>15436</v>
      </c>
      <c r="Q6" s="189">
        <v>11678</v>
      </c>
      <c r="R6" s="189">
        <v>2901</v>
      </c>
      <c r="S6" s="189">
        <f t="shared" si="1"/>
        <v>48839</v>
      </c>
    </row>
    <row r="7" spans="1:19" x14ac:dyDescent="0.2">
      <c r="A7" s="371">
        <f t="shared" ref="A7:A29" si="2">1+A6</f>
        <v>1954</v>
      </c>
      <c r="B7" s="189">
        <v>11336</v>
      </c>
      <c r="C7" s="189">
        <v>13409</v>
      </c>
      <c r="D7" s="189">
        <v>6958</v>
      </c>
      <c r="E7" s="189">
        <v>1240</v>
      </c>
      <c r="F7" s="189">
        <v>1736</v>
      </c>
      <c r="G7" s="189">
        <v>6538</v>
      </c>
      <c r="H7" s="189">
        <v>3340</v>
      </c>
      <c r="I7" s="189">
        <v>628</v>
      </c>
      <c r="J7" s="189" t="s">
        <v>29</v>
      </c>
      <c r="K7" s="189" t="s">
        <v>29</v>
      </c>
      <c r="L7" s="189">
        <f t="shared" si="0"/>
        <v>45185</v>
      </c>
      <c r="N7" s="189">
        <v>848</v>
      </c>
      <c r="O7" s="189">
        <v>9843</v>
      </c>
      <c r="P7" s="189">
        <v>9352</v>
      </c>
      <c r="Q7" s="189">
        <v>5995</v>
      </c>
      <c r="R7" s="189">
        <v>653</v>
      </c>
      <c r="S7" s="189">
        <f t="shared" si="1"/>
        <v>26691</v>
      </c>
    </row>
    <row r="8" spans="1:19" x14ac:dyDescent="0.2">
      <c r="A8" s="371">
        <f t="shared" si="2"/>
        <v>1955</v>
      </c>
      <c r="B8" s="189">
        <v>3817</v>
      </c>
      <c r="C8" s="189">
        <v>14547</v>
      </c>
      <c r="D8" s="189">
        <v>6848</v>
      </c>
      <c r="E8" s="189">
        <v>3921</v>
      </c>
      <c r="F8" s="189">
        <v>4444</v>
      </c>
      <c r="G8" s="189">
        <v>8561</v>
      </c>
      <c r="H8" s="189">
        <v>2736</v>
      </c>
      <c r="I8" s="189">
        <v>229</v>
      </c>
      <c r="J8" s="189" t="s">
        <v>29</v>
      </c>
      <c r="K8" s="189" t="s">
        <v>29</v>
      </c>
      <c r="L8" s="189">
        <f t="shared" si="0"/>
        <v>45103</v>
      </c>
      <c r="N8" s="189">
        <v>1179</v>
      </c>
      <c r="O8" s="189">
        <v>13020</v>
      </c>
      <c r="P8" s="189">
        <v>17036</v>
      </c>
      <c r="Q8" s="189">
        <v>11193</v>
      </c>
      <c r="R8" s="189">
        <v>2659</v>
      </c>
      <c r="S8" s="189">
        <f t="shared" si="1"/>
        <v>45087</v>
      </c>
    </row>
    <row r="9" spans="1:19" x14ac:dyDescent="0.2">
      <c r="A9" s="371">
        <f t="shared" si="2"/>
        <v>1956</v>
      </c>
      <c r="B9" s="189" t="s">
        <v>29</v>
      </c>
      <c r="C9" s="189">
        <v>23162</v>
      </c>
      <c r="D9" s="189">
        <v>487</v>
      </c>
      <c r="E9" s="189">
        <v>997</v>
      </c>
      <c r="F9" s="189">
        <v>5089</v>
      </c>
      <c r="G9" s="189">
        <v>6988</v>
      </c>
      <c r="H9" s="189">
        <v>1220</v>
      </c>
      <c r="I9" s="189">
        <v>231</v>
      </c>
      <c r="J9" s="189" t="s">
        <v>29</v>
      </c>
      <c r="K9" s="189" t="s">
        <v>29</v>
      </c>
      <c r="L9" s="189">
        <f t="shared" si="0"/>
        <v>38174</v>
      </c>
      <c r="N9" s="189">
        <v>4054</v>
      </c>
      <c r="O9" s="189">
        <v>27551</v>
      </c>
      <c r="P9" s="189">
        <v>23143</v>
      </c>
      <c r="Q9" s="189">
        <v>10131</v>
      </c>
      <c r="R9" s="189">
        <v>2613</v>
      </c>
      <c r="S9" s="189">
        <f t="shared" si="1"/>
        <v>67492</v>
      </c>
    </row>
    <row r="10" spans="1:19" x14ac:dyDescent="0.2">
      <c r="A10" s="371">
        <f t="shared" si="2"/>
        <v>1957</v>
      </c>
      <c r="B10" s="189" t="s">
        <v>29</v>
      </c>
      <c r="C10" s="189">
        <v>4196</v>
      </c>
      <c r="D10" s="189">
        <v>2392</v>
      </c>
      <c r="E10" s="189">
        <v>842</v>
      </c>
      <c r="F10" s="189">
        <v>5171</v>
      </c>
      <c r="G10" s="189">
        <v>2947</v>
      </c>
      <c r="H10" s="189">
        <v>1256</v>
      </c>
      <c r="I10" s="189">
        <v>11</v>
      </c>
      <c r="J10" s="189" t="s">
        <v>29</v>
      </c>
      <c r="K10" s="189" t="s">
        <v>29</v>
      </c>
      <c r="L10" s="189">
        <f t="shared" si="0"/>
        <v>16815</v>
      </c>
      <c r="N10" s="189">
        <v>8726</v>
      </c>
      <c r="O10" s="189">
        <v>26941</v>
      </c>
      <c r="P10" s="189">
        <v>16592</v>
      </c>
      <c r="Q10" s="189">
        <v>4667</v>
      </c>
      <c r="R10" s="189">
        <v>531</v>
      </c>
      <c r="S10" s="189">
        <f t="shared" si="1"/>
        <v>57457</v>
      </c>
    </row>
    <row r="11" spans="1:19" x14ac:dyDescent="0.2">
      <c r="A11" s="371">
        <f t="shared" si="2"/>
        <v>1958</v>
      </c>
      <c r="B11" s="189" t="s">
        <v>29</v>
      </c>
      <c r="C11" s="189">
        <v>928</v>
      </c>
      <c r="D11" s="189">
        <v>404</v>
      </c>
      <c r="E11" s="189">
        <v>1441</v>
      </c>
      <c r="F11" s="189">
        <v>2140</v>
      </c>
      <c r="G11" s="189">
        <v>2691</v>
      </c>
      <c r="H11" s="189">
        <v>276</v>
      </c>
      <c r="I11" s="189">
        <v>81</v>
      </c>
      <c r="J11" s="189" t="s">
        <v>29</v>
      </c>
      <c r="K11" s="189" t="s">
        <v>29</v>
      </c>
      <c r="L11" s="189">
        <f t="shared" si="0"/>
        <v>7961</v>
      </c>
      <c r="N11" s="189">
        <v>10285</v>
      </c>
      <c r="O11" s="189">
        <v>8131</v>
      </c>
      <c r="P11" s="189">
        <v>5051</v>
      </c>
      <c r="Q11" s="189">
        <v>6427</v>
      </c>
      <c r="R11" s="189">
        <v>531</v>
      </c>
      <c r="S11" s="189">
        <f t="shared" si="1"/>
        <v>30425</v>
      </c>
    </row>
    <row r="12" spans="1:19" x14ac:dyDescent="0.2">
      <c r="A12" s="371">
        <f t="shared" si="2"/>
        <v>1959</v>
      </c>
      <c r="B12" s="189" t="s">
        <v>29</v>
      </c>
      <c r="C12" s="189">
        <v>2196</v>
      </c>
      <c r="D12" s="189">
        <v>414</v>
      </c>
      <c r="E12" s="189">
        <v>1094</v>
      </c>
      <c r="F12" s="189">
        <v>1222</v>
      </c>
      <c r="G12" s="189">
        <v>2827</v>
      </c>
      <c r="H12" s="189">
        <v>259</v>
      </c>
      <c r="I12" s="189">
        <v>159</v>
      </c>
      <c r="J12" s="189" t="s">
        <v>29</v>
      </c>
      <c r="K12" s="189" t="s">
        <v>29</v>
      </c>
      <c r="L12" s="189">
        <f t="shared" si="0"/>
        <v>8171</v>
      </c>
      <c r="N12" s="189">
        <v>13457</v>
      </c>
      <c r="O12" s="189">
        <v>18148</v>
      </c>
      <c r="P12" s="189">
        <v>5284</v>
      </c>
      <c r="Q12" s="189">
        <v>3332</v>
      </c>
      <c r="R12" s="189">
        <v>1113</v>
      </c>
      <c r="S12" s="189">
        <f t="shared" si="1"/>
        <v>41334</v>
      </c>
    </row>
    <row r="13" spans="1:19" x14ac:dyDescent="0.2">
      <c r="A13" s="371">
        <f t="shared" si="2"/>
        <v>1960</v>
      </c>
      <c r="B13" s="189" t="s">
        <v>29</v>
      </c>
      <c r="C13" s="189">
        <v>1748</v>
      </c>
      <c r="D13" s="189">
        <v>182</v>
      </c>
      <c r="E13" s="189">
        <v>1420</v>
      </c>
      <c r="F13" s="189">
        <v>2748</v>
      </c>
      <c r="G13" s="189">
        <v>1686</v>
      </c>
      <c r="H13" s="189">
        <v>657</v>
      </c>
      <c r="I13" s="189">
        <v>113</v>
      </c>
      <c r="J13" s="189" t="s">
        <v>29</v>
      </c>
      <c r="K13" s="189" t="s">
        <v>29</v>
      </c>
      <c r="L13" s="189">
        <f t="shared" si="0"/>
        <v>8554</v>
      </c>
      <c r="N13" s="189">
        <v>5753</v>
      </c>
      <c r="O13" s="189">
        <v>9794</v>
      </c>
      <c r="P13" s="189">
        <v>9808</v>
      </c>
      <c r="Q13" s="189">
        <v>3957</v>
      </c>
      <c r="R13" s="189">
        <v>429</v>
      </c>
      <c r="S13" s="189">
        <f t="shared" si="1"/>
        <v>29741</v>
      </c>
    </row>
    <row r="14" spans="1:19" x14ac:dyDescent="0.2">
      <c r="A14" s="371">
        <f t="shared" si="2"/>
        <v>1961</v>
      </c>
      <c r="B14" s="189" t="s">
        <v>29</v>
      </c>
      <c r="C14" s="189">
        <v>600</v>
      </c>
      <c r="D14" s="189">
        <v>310</v>
      </c>
      <c r="E14" s="189">
        <v>2205</v>
      </c>
      <c r="F14" s="189">
        <v>1711</v>
      </c>
      <c r="G14" s="189">
        <v>3008</v>
      </c>
      <c r="H14" s="189">
        <v>1535</v>
      </c>
      <c r="I14" s="189">
        <v>117</v>
      </c>
      <c r="J14" s="189" t="s">
        <v>29</v>
      </c>
      <c r="K14" s="189" t="s">
        <v>29</v>
      </c>
      <c r="L14" s="189">
        <f t="shared" si="0"/>
        <v>9486</v>
      </c>
      <c r="N14" s="189">
        <v>14216</v>
      </c>
      <c r="O14" s="189">
        <v>16577</v>
      </c>
      <c r="P14" s="189">
        <v>13315</v>
      </c>
      <c r="Q14" s="189">
        <v>16434</v>
      </c>
      <c r="R14" s="189">
        <v>1017</v>
      </c>
      <c r="S14" s="189">
        <f t="shared" si="1"/>
        <v>61559</v>
      </c>
    </row>
    <row r="15" spans="1:19" x14ac:dyDescent="0.2">
      <c r="A15" s="371">
        <f t="shared" si="2"/>
        <v>1962</v>
      </c>
      <c r="B15" s="189" t="s">
        <v>29</v>
      </c>
      <c r="C15" s="189">
        <v>102</v>
      </c>
      <c r="D15" s="189">
        <v>728</v>
      </c>
      <c r="E15" s="189">
        <v>2909</v>
      </c>
      <c r="F15" s="189">
        <v>1422</v>
      </c>
      <c r="G15" s="189">
        <v>1088</v>
      </c>
      <c r="H15" s="189">
        <v>230</v>
      </c>
      <c r="I15" s="189">
        <v>55</v>
      </c>
      <c r="J15" s="189" t="s">
        <v>29</v>
      </c>
      <c r="K15" s="189" t="s">
        <v>29</v>
      </c>
      <c r="L15" s="189">
        <f t="shared" si="0"/>
        <v>6534</v>
      </c>
      <c r="N15" s="189">
        <v>16837</v>
      </c>
      <c r="O15" s="189">
        <v>19831</v>
      </c>
      <c r="P15" s="189">
        <v>17289</v>
      </c>
      <c r="Q15" s="189">
        <v>2771</v>
      </c>
      <c r="R15" s="189">
        <v>137</v>
      </c>
      <c r="S15" s="189">
        <f t="shared" si="1"/>
        <v>56865</v>
      </c>
    </row>
    <row r="16" spans="1:19" x14ac:dyDescent="0.2">
      <c r="A16" s="371">
        <f t="shared" si="2"/>
        <v>1963</v>
      </c>
      <c r="B16" s="189" t="s">
        <v>29</v>
      </c>
      <c r="C16" s="189">
        <v>2779</v>
      </c>
      <c r="D16" s="189">
        <v>4886</v>
      </c>
      <c r="E16" s="189">
        <v>4930</v>
      </c>
      <c r="F16" s="189">
        <v>1033</v>
      </c>
      <c r="G16" s="189">
        <v>1518</v>
      </c>
      <c r="H16" s="189">
        <v>494</v>
      </c>
      <c r="I16" s="189">
        <v>106</v>
      </c>
      <c r="J16" s="189" t="s">
        <v>29</v>
      </c>
      <c r="K16" s="189" t="s">
        <v>29</v>
      </c>
      <c r="L16" s="189">
        <f t="shared" si="0"/>
        <v>15746</v>
      </c>
      <c r="N16" s="189">
        <v>10753</v>
      </c>
      <c r="O16" s="189">
        <v>37431</v>
      </c>
      <c r="P16" s="189">
        <v>15940</v>
      </c>
      <c r="Q16" s="189">
        <v>11004</v>
      </c>
      <c r="R16" s="189">
        <v>1297</v>
      </c>
      <c r="S16" s="189">
        <f t="shared" si="1"/>
        <v>76425</v>
      </c>
    </row>
    <row r="17" spans="1:19" x14ac:dyDescent="0.2">
      <c r="A17" s="371">
        <f t="shared" si="2"/>
        <v>1964</v>
      </c>
      <c r="B17" s="189" t="s">
        <v>29</v>
      </c>
      <c r="C17" s="189">
        <v>1035</v>
      </c>
      <c r="D17" s="189">
        <v>6133</v>
      </c>
      <c r="E17" s="189">
        <v>1371</v>
      </c>
      <c r="F17" s="189">
        <v>1475</v>
      </c>
      <c r="G17" s="189">
        <v>526</v>
      </c>
      <c r="H17" s="189">
        <v>962</v>
      </c>
      <c r="I17" s="189">
        <v>47</v>
      </c>
      <c r="J17" s="189" t="s">
        <v>29</v>
      </c>
      <c r="K17" s="189" t="s">
        <v>29</v>
      </c>
      <c r="L17" s="189">
        <f t="shared" si="0"/>
        <v>11549</v>
      </c>
      <c r="N17" s="189">
        <v>4525</v>
      </c>
      <c r="O17" s="189">
        <v>34888</v>
      </c>
      <c r="P17" s="189">
        <v>20887</v>
      </c>
      <c r="Q17" s="189">
        <v>23296</v>
      </c>
      <c r="R17" s="189">
        <v>382</v>
      </c>
      <c r="S17" s="189">
        <f t="shared" si="1"/>
        <v>83978</v>
      </c>
    </row>
    <row r="18" spans="1:19" x14ac:dyDescent="0.2">
      <c r="A18" s="371">
        <f t="shared" si="2"/>
        <v>1965</v>
      </c>
      <c r="B18" s="189" t="s">
        <v>29</v>
      </c>
      <c r="C18" s="189">
        <v>10</v>
      </c>
      <c r="D18" s="189">
        <v>960</v>
      </c>
      <c r="E18" s="189">
        <v>681</v>
      </c>
      <c r="F18" s="189">
        <v>575</v>
      </c>
      <c r="G18" s="189">
        <v>1233</v>
      </c>
      <c r="H18" s="189">
        <v>769</v>
      </c>
      <c r="I18" s="189">
        <v>631</v>
      </c>
      <c r="J18" s="189" t="s">
        <v>29</v>
      </c>
      <c r="K18" s="189" t="s">
        <v>29</v>
      </c>
      <c r="L18" s="189">
        <f t="shared" si="0"/>
        <v>4859</v>
      </c>
      <c r="N18" s="189">
        <v>8330</v>
      </c>
      <c r="O18" s="189">
        <v>45726</v>
      </c>
      <c r="P18" s="189">
        <v>78296</v>
      </c>
      <c r="Q18" s="189">
        <v>17967</v>
      </c>
      <c r="R18" s="189">
        <v>5145</v>
      </c>
      <c r="S18" s="189">
        <f t="shared" si="1"/>
        <v>155464</v>
      </c>
    </row>
    <row r="19" spans="1:19" x14ac:dyDescent="0.2">
      <c r="A19" s="371">
        <f t="shared" si="2"/>
        <v>1966</v>
      </c>
      <c r="B19" s="189" t="s">
        <v>29</v>
      </c>
      <c r="C19" s="189">
        <v>561</v>
      </c>
      <c r="D19" s="189">
        <v>7047</v>
      </c>
      <c r="E19" s="189">
        <v>6687</v>
      </c>
      <c r="F19" s="189">
        <v>1351</v>
      </c>
      <c r="G19" s="189">
        <v>821</v>
      </c>
      <c r="H19" s="189">
        <v>1471</v>
      </c>
      <c r="I19" s="189">
        <v>266</v>
      </c>
      <c r="J19" s="189" t="s">
        <v>29</v>
      </c>
      <c r="K19" s="189" t="s">
        <v>29</v>
      </c>
      <c r="L19" s="189">
        <f t="shared" si="0"/>
        <v>18204</v>
      </c>
      <c r="N19" s="189">
        <v>13660</v>
      </c>
      <c r="O19" s="189">
        <v>52359</v>
      </c>
      <c r="P19" s="189">
        <v>8277</v>
      </c>
      <c r="Q19" s="189">
        <v>52127</v>
      </c>
      <c r="R19" s="189">
        <v>3096</v>
      </c>
      <c r="S19" s="189">
        <f t="shared" si="1"/>
        <v>129519</v>
      </c>
    </row>
    <row r="20" spans="1:19" x14ac:dyDescent="0.2">
      <c r="A20" s="371">
        <f t="shared" si="2"/>
        <v>1967</v>
      </c>
      <c r="B20" s="189" t="s">
        <v>29</v>
      </c>
      <c r="C20" s="189">
        <v>2149</v>
      </c>
      <c r="D20" s="189">
        <v>3541</v>
      </c>
      <c r="E20" s="189">
        <v>4943</v>
      </c>
      <c r="F20" s="189">
        <v>1479</v>
      </c>
      <c r="G20" s="189">
        <v>6185</v>
      </c>
      <c r="H20" s="189">
        <v>1465</v>
      </c>
      <c r="I20" s="189">
        <v>27</v>
      </c>
      <c r="J20" s="189" t="s">
        <v>29</v>
      </c>
      <c r="K20" s="189" t="s">
        <v>29</v>
      </c>
      <c r="L20" s="189">
        <f t="shared" si="0"/>
        <v>19789</v>
      </c>
      <c r="N20" s="189">
        <v>6245</v>
      </c>
      <c r="O20" s="189">
        <v>39570</v>
      </c>
      <c r="P20" s="189">
        <v>76853</v>
      </c>
      <c r="Q20" s="189">
        <v>35333</v>
      </c>
      <c r="R20" s="189">
        <v>374</v>
      </c>
      <c r="S20" s="189">
        <f t="shared" si="1"/>
        <v>158375</v>
      </c>
    </row>
    <row r="21" spans="1:19" x14ac:dyDescent="0.2">
      <c r="A21" s="371">
        <f t="shared" si="2"/>
        <v>1968</v>
      </c>
      <c r="B21" s="189" t="s">
        <v>29</v>
      </c>
      <c r="C21" s="189">
        <v>4238</v>
      </c>
      <c r="D21" s="189">
        <v>12062</v>
      </c>
      <c r="E21" s="189">
        <v>3448</v>
      </c>
      <c r="F21" s="189">
        <v>1477</v>
      </c>
      <c r="G21" s="189">
        <v>923</v>
      </c>
      <c r="H21" s="189">
        <v>351</v>
      </c>
      <c r="I21" s="189">
        <v>8</v>
      </c>
      <c r="J21" s="189" t="s">
        <v>29</v>
      </c>
      <c r="K21" s="189" t="s">
        <v>29</v>
      </c>
      <c r="L21" s="189">
        <f t="shared" si="0"/>
        <v>22507</v>
      </c>
      <c r="N21" s="189">
        <v>42720</v>
      </c>
      <c r="O21" s="189">
        <v>33000</v>
      </c>
      <c r="P21" s="189">
        <v>15272</v>
      </c>
      <c r="Q21" s="189">
        <v>6763</v>
      </c>
      <c r="R21" s="189">
        <v>88</v>
      </c>
      <c r="S21" s="189">
        <f t="shared" si="1"/>
        <v>97843</v>
      </c>
    </row>
    <row r="22" spans="1:19" x14ac:dyDescent="0.2">
      <c r="A22" s="371">
        <f t="shared" si="2"/>
        <v>1969</v>
      </c>
      <c r="B22" s="189" t="s">
        <v>29</v>
      </c>
      <c r="C22" s="189">
        <v>115</v>
      </c>
      <c r="D22" s="189">
        <v>925</v>
      </c>
      <c r="E22" s="189">
        <v>5383</v>
      </c>
      <c r="F22" s="189">
        <v>1834</v>
      </c>
      <c r="G22" s="189">
        <v>1505</v>
      </c>
      <c r="H22" s="189">
        <v>865</v>
      </c>
      <c r="I22" s="189">
        <v>6</v>
      </c>
      <c r="J22" s="189" t="s">
        <v>29</v>
      </c>
      <c r="K22" s="189" t="s">
        <v>29</v>
      </c>
      <c r="L22" s="189">
        <f t="shared" si="0"/>
        <v>10633</v>
      </c>
      <c r="N22" s="189">
        <v>11710</v>
      </c>
      <c r="O22" s="189">
        <v>15952</v>
      </c>
      <c r="P22" s="189">
        <v>15791</v>
      </c>
      <c r="Q22" s="189">
        <v>4872</v>
      </c>
      <c r="R22" s="189">
        <v>48</v>
      </c>
      <c r="S22" s="189">
        <f t="shared" si="1"/>
        <v>48373</v>
      </c>
    </row>
    <row r="23" spans="1:19" x14ac:dyDescent="0.2">
      <c r="A23" s="371">
        <f t="shared" si="2"/>
        <v>1970</v>
      </c>
      <c r="B23" s="189" t="s">
        <v>29</v>
      </c>
      <c r="C23" s="189">
        <v>1301</v>
      </c>
      <c r="D23" s="189">
        <v>11658</v>
      </c>
      <c r="E23" s="189">
        <v>7425</v>
      </c>
      <c r="F23" s="189">
        <v>1687</v>
      </c>
      <c r="G23" s="189">
        <v>1481</v>
      </c>
      <c r="H23" s="189">
        <v>436</v>
      </c>
      <c r="I23" s="189">
        <v>22</v>
      </c>
      <c r="J23" s="189" t="s">
        <v>29</v>
      </c>
      <c r="K23" s="189" t="s">
        <v>29</v>
      </c>
      <c r="L23" s="189">
        <f t="shared" si="0"/>
        <v>24010</v>
      </c>
      <c r="N23" s="189">
        <v>27419</v>
      </c>
      <c r="O23" s="189">
        <v>24656</v>
      </c>
      <c r="P23" s="189">
        <v>30092</v>
      </c>
      <c r="Q23" s="189">
        <v>12066</v>
      </c>
      <c r="R23" s="189">
        <v>242</v>
      </c>
      <c r="S23" s="189">
        <f t="shared" si="1"/>
        <v>94475</v>
      </c>
    </row>
    <row r="24" spans="1:19" x14ac:dyDescent="0.2">
      <c r="A24" s="371">
        <f t="shared" si="2"/>
        <v>1971</v>
      </c>
      <c r="B24" s="189" t="s">
        <v>29</v>
      </c>
      <c r="C24" s="189">
        <v>1323</v>
      </c>
      <c r="D24" s="189">
        <v>7820</v>
      </c>
      <c r="E24" s="189">
        <v>4857</v>
      </c>
      <c r="F24" s="189">
        <v>773</v>
      </c>
      <c r="G24" s="189">
        <v>1029</v>
      </c>
      <c r="H24" s="189">
        <v>219</v>
      </c>
      <c r="I24" s="189">
        <v>39</v>
      </c>
      <c r="J24" s="189" t="s">
        <v>29</v>
      </c>
      <c r="K24" s="189" t="s">
        <v>29</v>
      </c>
      <c r="L24" s="189">
        <f t="shared" si="0"/>
        <v>16060</v>
      </c>
      <c r="N24" s="189">
        <v>34194</v>
      </c>
      <c r="O24" s="189">
        <v>38078</v>
      </c>
      <c r="P24" s="189">
        <v>45134</v>
      </c>
      <c r="Q24" s="189">
        <v>11224</v>
      </c>
      <c r="R24" s="189">
        <v>505</v>
      </c>
      <c r="S24" s="189">
        <f t="shared" si="1"/>
        <v>129135</v>
      </c>
    </row>
    <row r="25" spans="1:19" x14ac:dyDescent="0.2">
      <c r="A25" s="371">
        <f t="shared" si="2"/>
        <v>1972</v>
      </c>
      <c r="B25" s="189" t="s">
        <v>29</v>
      </c>
      <c r="C25" s="189">
        <v>15</v>
      </c>
      <c r="D25" s="189">
        <v>3309</v>
      </c>
      <c r="E25" s="189">
        <v>3818</v>
      </c>
      <c r="F25" s="189">
        <v>819</v>
      </c>
      <c r="G25" s="189">
        <v>525</v>
      </c>
      <c r="H25" s="189">
        <v>335</v>
      </c>
      <c r="I25" s="189">
        <v>27</v>
      </c>
      <c r="J25" s="189" t="s">
        <v>29</v>
      </c>
      <c r="K25" s="189" t="s">
        <v>29</v>
      </c>
      <c r="L25" s="189">
        <f t="shared" si="0"/>
        <v>8848</v>
      </c>
      <c r="N25" s="189">
        <v>25057</v>
      </c>
      <c r="O25" s="189">
        <v>15315</v>
      </c>
      <c r="P25" s="189">
        <v>15042</v>
      </c>
      <c r="Q25" s="189">
        <v>8145</v>
      </c>
      <c r="R25" s="189">
        <v>155</v>
      </c>
      <c r="S25" s="189">
        <f t="shared" si="1"/>
        <v>63714</v>
      </c>
    </row>
    <row r="26" spans="1:19" x14ac:dyDescent="0.2">
      <c r="A26" s="371">
        <f t="shared" si="2"/>
        <v>1973</v>
      </c>
      <c r="B26" s="189" t="s">
        <v>29</v>
      </c>
      <c r="C26" s="189">
        <v>480</v>
      </c>
      <c r="D26" s="189">
        <v>3741</v>
      </c>
      <c r="E26" s="189">
        <v>2258</v>
      </c>
      <c r="F26" s="189">
        <v>950</v>
      </c>
      <c r="G26" s="189">
        <v>733</v>
      </c>
      <c r="H26" s="189">
        <v>291</v>
      </c>
      <c r="I26" s="189">
        <v>160</v>
      </c>
      <c r="J26" s="189" t="s">
        <v>29</v>
      </c>
      <c r="K26" s="189" t="s">
        <v>29</v>
      </c>
      <c r="L26" s="189">
        <f t="shared" si="0"/>
        <v>8613</v>
      </c>
      <c r="N26" s="189">
        <v>15692</v>
      </c>
      <c r="O26" s="189">
        <v>11801</v>
      </c>
      <c r="P26" s="189">
        <v>3150</v>
      </c>
      <c r="Q26" s="189">
        <v>788</v>
      </c>
      <c r="R26" s="189">
        <v>289</v>
      </c>
      <c r="S26" s="189">
        <f t="shared" si="1"/>
        <v>31720</v>
      </c>
    </row>
    <row r="27" spans="1:19" x14ac:dyDescent="0.2">
      <c r="A27" s="371">
        <f t="shared" si="2"/>
        <v>1974</v>
      </c>
      <c r="B27" s="189" t="s">
        <v>29</v>
      </c>
      <c r="C27" s="189">
        <v>370</v>
      </c>
      <c r="D27" s="189">
        <v>12648</v>
      </c>
      <c r="E27" s="189">
        <v>1169</v>
      </c>
      <c r="F27" s="189">
        <v>1733</v>
      </c>
      <c r="G27" s="189">
        <v>1017</v>
      </c>
      <c r="H27" s="189">
        <v>626</v>
      </c>
      <c r="I27" s="189">
        <v>118</v>
      </c>
      <c r="J27" s="189" t="s">
        <v>29</v>
      </c>
      <c r="K27" s="189" t="s">
        <v>29</v>
      </c>
      <c r="L27" s="189">
        <f t="shared" si="0"/>
        <v>17681</v>
      </c>
      <c r="N27" s="189">
        <v>4115</v>
      </c>
      <c r="O27" s="189">
        <v>26133</v>
      </c>
      <c r="P27" s="189">
        <v>9218</v>
      </c>
      <c r="Q27" s="189">
        <v>4485</v>
      </c>
      <c r="R27" s="189">
        <v>200</v>
      </c>
      <c r="S27" s="189">
        <f t="shared" si="1"/>
        <v>44151</v>
      </c>
    </row>
    <row r="28" spans="1:19" x14ac:dyDescent="0.2">
      <c r="A28" s="371">
        <f t="shared" si="2"/>
        <v>1975</v>
      </c>
      <c r="B28" s="189" t="s">
        <v>29</v>
      </c>
      <c r="C28" s="189">
        <v>81</v>
      </c>
      <c r="D28" s="189">
        <v>4426</v>
      </c>
      <c r="E28" s="189">
        <v>3447</v>
      </c>
      <c r="F28" s="189">
        <v>1934</v>
      </c>
      <c r="G28" s="189">
        <v>754</v>
      </c>
      <c r="H28" s="189">
        <v>287</v>
      </c>
      <c r="I28" s="189">
        <v>26</v>
      </c>
      <c r="J28" s="189" t="s">
        <v>29</v>
      </c>
      <c r="K28" s="189" t="s">
        <v>29</v>
      </c>
      <c r="L28" s="189">
        <f t="shared" si="0"/>
        <v>10955</v>
      </c>
      <c r="N28" s="189">
        <v>16903</v>
      </c>
      <c r="O28" s="189">
        <v>18154</v>
      </c>
      <c r="P28" s="189">
        <v>4559</v>
      </c>
      <c r="Q28" s="189">
        <v>3020</v>
      </c>
      <c r="R28" s="189">
        <v>172</v>
      </c>
      <c r="S28" s="189">
        <f t="shared" si="1"/>
        <v>42808</v>
      </c>
    </row>
    <row r="29" spans="1:19" x14ac:dyDescent="0.2">
      <c r="A29" s="371">
        <f t="shared" si="2"/>
        <v>1976</v>
      </c>
      <c r="B29" s="189" t="s">
        <v>29</v>
      </c>
      <c r="C29" s="189" t="s">
        <v>29</v>
      </c>
      <c r="D29" s="189">
        <v>13176</v>
      </c>
      <c r="E29" s="189">
        <v>8445</v>
      </c>
      <c r="F29" s="189">
        <v>3934</v>
      </c>
      <c r="G29" s="189">
        <v>1523</v>
      </c>
      <c r="H29" s="189">
        <v>814</v>
      </c>
      <c r="I29" s="189">
        <v>210</v>
      </c>
      <c r="J29" s="189" t="s">
        <v>29</v>
      </c>
      <c r="K29" s="189" t="s">
        <v>29</v>
      </c>
      <c r="L29" s="189">
        <f t="shared" si="0"/>
        <v>28102</v>
      </c>
      <c r="N29" s="189">
        <v>70109</v>
      </c>
      <c r="O29" s="189">
        <v>64570</v>
      </c>
      <c r="P29" s="189">
        <v>23000</v>
      </c>
      <c r="Q29" s="189">
        <v>17247</v>
      </c>
      <c r="R29" s="189">
        <v>1747</v>
      </c>
      <c r="S29" s="189">
        <f t="shared" si="1"/>
        <v>176673</v>
      </c>
    </row>
    <row r="30" spans="1:19" x14ac:dyDescent="0.2">
      <c r="A30" s="371">
        <v>1977</v>
      </c>
      <c r="B30" s="189" t="s">
        <v>29</v>
      </c>
      <c r="C30" s="189" t="s">
        <v>29</v>
      </c>
      <c r="D30" s="189">
        <v>5754</v>
      </c>
      <c r="E30" s="189">
        <v>8723</v>
      </c>
      <c r="F30" s="189">
        <v>4231</v>
      </c>
      <c r="G30" s="189">
        <v>1261</v>
      </c>
      <c r="H30" s="189">
        <v>1218</v>
      </c>
      <c r="I30" s="189">
        <v>697</v>
      </c>
      <c r="J30" s="189" t="s">
        <v>29</v>
      </c>
      <c r="K30" s="189" t="s">
        <v>29</v>
      </c>
      <c r="N30" s="189">
        <v>26661</v>
      </c>
      <c r="O30" s="189">
        <v>38385</v>
      </c>
      <c r="P30" s="189">
        <v>5561</v>
      </c>
      <c r="Q30" s="189">
        <v>2245</v>
      </c>
      <c r="R30" s="189">
        <v>374</v>
      </c>
      <c r="S30" s="189">
        <f t="shared" si="1"/>
        <v>73226</v>
      </c>
    </row>
    <row r="31" spans="1:19" x14ac:dyDescent="0.2">
      <c r="A31" s="371">
        <v>1978</v>
      </c>
      <c r="B31" s="189" t="s">
        <v>29</v>
      </c>
      <c r="C31" s="189" t="s">
        <v>29</v>
      </c>
      <c r="D31" s="189">
        <v>1104</v>
      </c>
      <c r="E31" s="189">
        <v>5932</v>
      </c>
      <c r="F31" s="189">
        <v>5036</v>
      </c>
      <c r="G31" s="189">
        <v>1041</v>
      </c>
      <c r="H31" s="189">
        <v>117</v>
      </c>
      <c r="I31" s="189">
        <v>1966</v>
      </c>
      <c r="J31" s="189" t="s">
        <v>29</v>
      </c>
      <c r="K31" s="189" t="s">
        <v>29</v>
      </c>
      <c r="L31" s="189">
        <f t="shared" si="0"/>
        <v>15196</v>
      </c>
      <c r="N31" s="189">
        <v>17840</v>
      </c>
      <c r="O31" s="189">
        <v>26842</v>
      </c>
      <c r="P31" s="189">
        <v>8149</v>
      </c>
      <c r="Q31" s="189">
        <v>2235</v>
      </c>
      <c r="R31" s="189">
        <v>1092</v>
      </c>
      <c r="S31" s="189">
        <f t="shared" si="1"/>
        <v>56158</v>
      </c>
    </row>
    <row r="32" spans="1:19" x14ac:dyDescent="0.2">
      <c r="A32" s="371">
        <v>1979</v>
      </c>
      <c r="B32" s="189" t="s">
        <v>29</v>
      </c>
      <c r="C32" s="189" t="s">
        <v>29</v>
      </c>
      <c r="D32" s="189">
        <v>772</v>
      </c>
      <c r="E32" s="189">
        <v>5</v>
      </c>
      <c r="F32" s="189">
        <v>1867</v>
      </c>
      <c r="G32" s="189">
        <v>3046</v>
      </c>
      <c r="H32" s="189">
        <v>200</v>
      </c>
      <c r="I32" s="189">
        <v>9</v>
      </c>
      <c r="J32" s="189" t="s">
        <v>29</v>
      </c>
      <c r="K32" s="189" t="s">
        <v>29</v>
      </c>
      <c r="L32" s="189">
        <f t="shared" si="0"/>
        <v>5899</v>
      </c>
      <c r="N32" s="189">
        <v>11</v>
      </c>
      <c r="O32" s="189">
        <v>27831</v>
      </c>
      <c r="P32" s="189">
        <v>19905</v>
      </c>
      <c r="Q32" s="189">
        <v>960</v>
      </c>
      <c r="R32" s="189" t="s">
        <v>29</v>
      </c>
      <c r="S32" s="189">
        <f t="shared" si="1"/>
        <v>48707</v>
      </c>
    </row>
    <row r="33" spans="1:19" x14ac:dyDescent="0.2">
      <c r="A33" s="371">
        <v>1980</v>
      </c>
      <c r="B33" s="189" t="s">
        <v>29</v>
      </c>
      <c r="C33" s="189" t="s">
        <v>29</v>
      </c>
      <c r="D33" s="189">
        <v>4390</v>
      </c>
      <c r="E33" s="189">
        <v>15</v>
      </c>
      <c r="F33" s="189">
        <v>548</v>
      </c>
      <c r="G33" s="189">
        <v>529</v>
      </c>
      <c r="H33" s="189">
        <v>111</v>
      </c>
      <c r="I33" s="189">
        <v>5</v>
      </c>
      <c r="J33" s="189" t="s">
        <v>29</v>
      </c>
      <c r="K33" s="189" t="s">
        <v>29</v>
      </c>
      <c r="L33" s="189">
        <f t="shared" si="0"/>
        <v>5598</v>
      </c>
      <c r="N33" s="189" t="s">
        <v>29</v>
      </c>
      <c r="O33" s="189">
        <v>0</v>
      </c>
      <c r="P33" s="189">
        <v>5388</v>
      </c>
      <c r="Q33" s="189">
        <v>5156</v>
      </c>
      <c r="R33" s="189">
        <v>304</v>
      </c>
      <c r="S33" s="189">
        <f t="shared" si="1"/>
        <v>10848</v>
      </c>
    </row>
    <row r="34" spans="1:19" x14ac:dyDescent="0.2">
      <c r="A34" s="371">
        <v>1981</v>
      </c>
      <c r="B34" s="189" t="s">
        <v>29</v>
      </c>
      <c r="C34" s="189" t="s">
        <v>29</v>
      </c>
      <c r="D34" s="189">
        <v>6607</v>
      </c>
      <c r="E34" s="189">
        <v>0</v>
      </c>
      <c r="F34" s="189">
        <v>1037</v>
      </c>
      <c r="G34" s="189">
        <v>513</v>
      </c>
      <c r="H34" s="189">
        <v>0</v>
      </c>
      <c r="I34" s="189">
        <v>9</v>
      </c>
      <c r="J34" s="189" t="s">
        <v>29</v>
      </c>
      <c r="K34" s="200" t="s">
        <v>29</v>
      </c>
      <c r="L34" s="189">
        <f t="shared" si="0"/>
        <v>8166</v>
      </c>
      <c r="N34" s="189" t="s">
        <v>29</v>
      </c>
      <c r="O34" s="189">
        <v>32583</v>
      </c>
      <c r="P34" s="189">
        <v>13241</v>
      </c>
      <c r="Q34" s="189" t="s">
        <v>29</v>
      </c>
      <c r="R34" s="189" t="s">
        <v>29</v>
      </c>
      <c r="S34" s="189">
        <f t="shared" si="1"/>
        <v>45824</v>
      </c>
    </row>
    <row r="35" spans="1:19" x14ac:dyDescent="0.2">
      <c r="A35" s="371">
        <v>1982</v>
      </c>
      <c r="B35" s="189" t="s">
        <v>29</v>
      </c>
      <c r="C35" s="189" t="s">
        <v>29</v>
      </c>
      <c r="D35" s="189">
        <v>7154</v>
      </c>
      <c r="E35" s="189">
        <v>0</v>
      </c>
      <c r="F35" s="189">
        <v>1219</v>
      </c>
      <c r="G35" s="189">
        <v>0</v>
      </c>
      <c r="H35" s="189">
        <v>0</v>
      </c>
      <c r="I35" s="189">
        <v>0</v>
      </c>
      <c r="J35" s="189" t="s">
        <v>29</v>
      </c>
      <c r="K35" s="200" t="s">
        <v>29</v>
      </c>
      <c r="L35" s="189">
        <f t="shared" si="0"/>
        <v>8373</v>
      </c>
      <c r="N35" s="189" t="s">
        <v>29</v>
      </c>
      <c r="O35" s="189">
        <v>23762</v>
      </c>
      <c r="P35" s="189" t="s">
        <v>29</v>
      </c>
      <c r="Q35" s="189" t="s">
        <v>29</v>
      </c>
      <c r="R35" s="189" t="s">
        <v>29</v>
      </c>
      <c r="S35" s="189">
        <f t="shared" si="1"/>
        <v>23762</v>
      </c>
    </row>
    <row r="36" spans="1:19" x14ac:dyDescent="0.2">
      <c r="A36" s="371">
        <v>1983</v>
      </c>
      <c r="B36" s="189" t="s">
        <v>29</v>
      </c>
      <c r="C36" s="189" t="s">
        <v>29</v>
      </c>
      <c r="D36" s="189">
        <v>4361</v>
      </c>
      <c r="E36" s="189">
        <v>0</v>
      </c>
      <c r="F36" s="189">
        <v>238</v>
      </c>
      <c r="G36" s="189">
        <v>206</v>
      </c>
      <c r="H36" s="189">
        <v>116</v>
      </c>
      <c r="I36" s="189">
        <v>0</v>
      </c>
      <c r="J36" s="189" t="s">
        <v>29</v>
      </c>
      <c r="K36" s="200" t="s">
        <v>29</v>
      </c>
      <c r="L36" s="189">
        <f t="shared" si="0"/>
        <v>4921</v>
      </c>
      <c r="N36" s="189" t="s">
        <v>29</v>
      </c>
      <c r="O36" s="189">
        <v>140</v>
      </c>
      <c r="P36" s="189">
        <v>2365</v>
      </c>
      <c r="Q36" s="189">
        <v>2543</v>
      </c>
      <c r="R36" s="189" t="s">
        <v>29</v>
      </c>
      <c r="S36" s="189">
        <f t="shared" si="1"/>
        <v>5048</v>
      </c>
    </row>
    <row r="37" spans="1:19" x14ac:dyDescent="0.2">
      <c r="A37" s="371">
        <v>1984</v>
      </c>
      <c r="B37" s="189" t="s">
        <v>29</v>
      </c>
      <c r="C37" s="189" t="s">
        <v>29</v>
      </c>
      <c r="D37" s="189">
        <v>1013</v>
      </c>
      <c r="E37" s="189">
        <v>0</v>
      </c>
      <c r="F37" s="189">
        <v>0</v>
      </c>
      <c r="G37" s="189">
        <v>257</v>
      </c>
      <c r="H37" s="189">
        <v>0</v>
      </c>
      <c r="I37" s="189">
        <v>0</v>
      </c>
      <c r="J37" s="189" t="s">
        <v>29</v>
      </c>
      <c r="K37" s="200" t="s">
        <v>29</v>
      </c>
      <c r="L37" s="189">
        <f t="shared" si="0"/>
        <v>1270</v>
      </c>
      <c r="N37" s="189" t="s">
        <v>29</v>
      </c>
      <c r="O37" s="189" t="s">
        <v>29</v>
      </c>
      <c r="P37" s="189">
        <v>13649</v>
      </c>
      <c r="Q37" s="189" t="s">
        <v>29</v>
      </c>
      <c r="R37" s="189" t="s">
        <v>29</v>
      </c>
      <c r="S37" s="189">
        <f t="shared" si="1"/>
        <v>13649</v>
      </c>
    </row>
    <row r="38" spans="1:19" x14ac:dyDescent="0.2">
      <c r="A38" s="371">
        <v>1985</v>
      </c>
      <c r="B38" s="189" t="s">
        <v>29</v>
      </c>
      <c r="C38" s="189" t="s">
        <v>29</v>
      </c>
      <c r="D38" s="189">
        <v>4556</v>
      </c>
      <c r="E38" s="189">
        <v>0</v>
      </c>
      <c r="F38" s="189">
        <v>0</v>
      </c>
      <c r="G38" s="189">
        <v>490</v>
      </c>
      <c r="H38" s="189">
        <v>0</v>
      </c>
      <c r="I38" s="189">
        <v>3</v>
      </c>
      <c r="J38" s="189" t="s">
        <v>29</v>
      </c>
      <c r="K38" s="200" t="s">
        <v>29</v>
      </c>
      <c r="L38" s="189">
        <f t="shared" si="0"/>
        <v>5049</v>
      </c>
      <c r="N38" s="189" t="s">
        <v>29</v>
      </c>
      <c r="O38" s="189" t="s">
        <v>29</v>
      </c>
      <c r="P38" s="189">
        <v>18242</v>
      </c>
      <c r="Q38" s="189" t="s">
        <v>29</v>
      </c>
      <c r="R38" s="189" t="s">
        <v>29</v>
      </c>
      <c r="S38" s="189">
        <f t="shared" si="1"/>
        <v>18242</v>
      </c>
    </row>
    <row r="39" spans="1:19" x14ac:dyDescent="0.2">
      <c r="A39" s="364">
        <v>1986</v>
      </c>
      <c r="B39" s="189" t="s">
        <v>29</v>
      </c>
      <c r="C39" s="189" t="s">
        <v>29</v>
      </c>
      <c r="D39" s="189">
        <v>4512</v>
      </c>
      <c r="E39" s="189" t="s">
        <v>29</v>
      </c>
      <c r="F39" s="189" t="s">
        <v>29</v>
      </c>
      <c r="G39" s="189">
        <v>1585</v>
      </c>
      <c r="H39" s="189" t="s">
        <v>29</v>
      </c>
      <c r="I39" s="189" t="s">
        <v>29</v>
      </c>
      <c r="J39" s="189" t="s">
        <v>29</v>
      </c>
      <c r="K39" s="189" t="s">
        <v>29</v>
      </c>
      <c r="L39" s="189">
        <f t="shared" si="0"/>
        <v>6097</v>
      </c>
      <c r="N39" s="189" t="s">
        <v>29</v>
      </c>
      <c r="O39" s="189" t="s">
        <v>29</v>
      </c>
      <c r="P39" s="189">
        <v>46063</v>
      </c>
      <c r="Q39" s="189" t="s">
        <v>29</v>
      </c>
      <c r="R39" s="189" t="s">
        <v>29</v>
      </c>
      <c r="S39" s="189">
        <f>SUM(N39:R39)</f>
        <v>46063</v>
      </c>
    </row>
    <row r="40" spans="1:19" x14ac:dyDescent="0.2">
      <c r="A40" s="364">
        <v>1987</v>
      </c>
      <c r="B40" s="189" t="s">
        <v>29</v>
      </c>
      <c r="C40" s="189" t="s">
        <v>29</v>
      </c>
      <c r="D40" s="189">
        <v>2327</v>
      </c>
      <c r="E40" s="189" t="s">
        <v>29</v>
      </c>
      <c r="F40" s="189">
        <v>2225</v>
      </c>
      <c r="G40" s="189" t="s">
        <v>29</v>
      </c>
      <c r="H40" s="189" t="s">
        <v>29</v>
      </c>
      <c r="I40" s="189" t="s">
        <v>29</v>
      </c>
      <c r="J40" s="189" t="s">
        <v>29</v>
      </c>
      <c r="K40" s="189" t="s">
        <v>29</v>
      </c>
      <c r="L40" s="189">
        <f t="shared" si="0"/>
        <v>4552</v>
      </c>
      <c r="N40" s="189" t="s">
        <v>29</v>
      </c>
      <c r="O40" s="189">
        <v>7390</v>
      </c>
      <c r="P40" s="189" t="s">
        <v>29</v>
      </c>
      <c r="Q40" s="189" t="s">
        <v>29</v>
      </c>
      <c r="R40" s="189" t="s">
        <v>29</v>
      </c>
      <c r="S40" s="189">
        <f t="shared" ref="S40:S63" si="3">SUM(N40:R40)</f>
        <v>7390</v>
      </c>
    </row>
    <row r="41" spans="1:19" x14ac:dyDescent="0.2">
      <c r="A41" s="364">
        <v>1988</v>
      </c>
      <c r="B41" s="189" t="s">
        <v>29</v>
      </c>
      <c r="C41" s="189" t="s">
        <v>29</v>
      </c>
      <c r="D41" s="189">
        <v>973</v>
      </c>
      <c r="E41" s="189">
        <v>648</v>
      </c>
      <c r="F41" s="189" t="s">
        <v>29</v>
      </c>
      <c r="G41" s="189" t="s">
        <v>29</v>
      </c>
      <c r="H41" s="189" t="s">
        <v>29</v>
      </c>
      <c r="I41" s="189" t="s">
        <v>29</v>
      </c>
      <c r="J41" s="189" t="s">
        <v>29</v>
      </c>
      <c r="K41" s="189" t="s">
        <v>29</v>
      </c>
      <c r="L41" s="189">
        <f t="shared" si="0"/>
        <v>1621</v>
      </c>
      <c r="N41" s="189" t="s">
        <v>29</v>
      </c>
      <c r="O41" s="189" t="s">
        <v>29</v>
      </c>
      <c r="P41" s="189" t="s">
        <v>29</v>
      </c>
      <c r="Q41" s="189" t="s">
        <v>29</v>
      </c>
      <c r="R41" s="189" t="s">
        <v>29</v>
      </c>
      <c r="S41" s="189" t="s">
        <v>29</v>
      </c>
    </row>
    <row r="42" spans="1:19" x14ac:dyDescent="0.2">
      <c r="A42" s="364">
        <v>1989</v>
      </c>
      <c r="B42" s="189" t="s">
        <v>29</v>
      </c>
      <c r="C42" s="189" t="s">
        <v>29</v>
      </c>
      <c r="D42" s="189">
        <v>653</v>
      </c>
      <c r="E42" s="189">
        <v>375</v>
      </c>
      <c r="F42" s="189" t="s">
        <v>29</v>
      </c>
      <c r="G42" s="189">
        <v>1483</v>
      </c>
      <c r="H42" s="189">
        <v>352</v>
      </c>
      <c r="I42" s="189" t="s">
        <v>29</v>
      </c>
      <c r="J42" s="189" t="s">
        <v>29</v>
      </c>
      <c r="K42" s="189" t="s">
        <v>29</v>
      </c>
      <c r="L42" s="189">
        <f t="shared" si="0"/>
        <v>2863</v>
      </c>
      <c r="N42" s="189" t="s">
        <v>29</v>
      </c>
      <c r="O42" s="189" t="s">
        <v>29</v>
      </c>
      <c r="P42" s="189">
        <v>15591</v>
      </c>
      <c r="Q42" s="189">
        <v>5527</v>
      </c>
      <c r="R42" s="189" t="s">
        <v>29</v>
      </c>
      <c r="S42" s="189">
        <f t="shared" si="3"/>
        <v>21118</v>
      </c>
    </row>
    <row r="43" spans="1:19" x14ac:dyDescent="0.2">
      <c r="A43" s="364">
        <v>1990</v>
      </c>
      <c r="B43" s="189" t="s">
        <v>29</v>
      </c>
      <c r="C43" s="189" t="s">
        <v>29</v>
      </c>
      <c r="D43" s="189">
        <v>489</v>
      </c>
      <c r="E43" s="189">
        <v>66</v>
      </c>
      <c r="F43" s="189" t="s">
        <v>29</v>
      </c>
      <c r="G43" s="189">
        <v>449</v>
      </c>
      <c r="H43" s="189">
        <v>1178</v>
      </c>
      <c r="I43" s="189">
        <v>71</v>
      </c>
      <c r="J43" s="189" t="s">
        <v>29</v>
      </c>
      <c r="K43" s="189" t="s">
        <v>29</v>
      </c>
      <c r="L43" s="189">
        <f t="shared" si="0"/>
        <v>2253</v>
      </c>
      <c r="N43" s="189" t="s">
        <v>29</v>
      </c>
      <c r="O43" s="189" t="s">
        <v>29</v>
      </c>
      <c r="P43" s="189">
        <v>3546</v>
      </c>
      <c r="Q43" s="189">
        <v>7034</v>
      </c>
      <c r="R43" s="189">
        <v>304</v>
      </c>
      <c r="S43" s="189">
        <f t="shared" si="3"/>
        <v>10884</v>
      </c>
    </row>
    <row r="44" spans="1:19" x14ac:dyDescent="0.2">
      <c r="A44" s="364">
        <v>1991</v>
      </c>
      <c r="B44" s="189" t="s">
        <v>29</v>
      </c>
      <c r="C44" s="189" t="s">
        <v>29</v>
      </c>
      <c r="D44" s="189">
        <v>325</v>
      </c>
      <c r="E44" s="189">
        <v>27</v>
      </c>
      <c r="F44" s="189" t="s">
        <v>29</v>
      </c>
      <c r="G44" s="189">
        <v>451</v>
      </c>
      <c r="H44" s="189">
        <v>111</v>
      </c>
      <c r="I44" s="189" t="s">
        <v>29</v>
      </c>
      <c r="J44" s="189" t="s">
        <v>29</v>
      </c>
      <c r="K44" s="189" t="s">
        <v>29</v>
      </c>
      <c r="L44" s="189">
        <f t="shared" si="0"/>
        <v>914</v>
      </c>
      <c r="N44" s="189" t="s">
        <v>29</v>
      </c>
      <c r="O44" s="189" t="s">
        <v>29</v>
      </c>
      <c r="P44" s="189">
        <v>21618</v>
      </c>
      <c r="Q44" s="189">
        <v>5160</v>
      </c>
      <c r="R44" s="189" t="s">
        <v>29</v>
      </c>
      <c r="S44" s="189">
        <f t="shared" si="3"/>
        <v>26778</v>
      </c>
    </row>
    <row r="45" spans="1:19" x14ac:dyDescent="0.2">
      <c r="A45" s="364">
        <v>1992</v>
      </c>
      <c r="B45" s="189" t="s">
        <v>29</v>
      </c>
      <c r="C45" s="189" t="s">
        <v>29</v>
      </c>
      <c r="D45" s="189">
        <v>376</v>
      </c>
      <c r="E45" s="189">
        <v>925</v>
      </c>
      <c r="F45" s="189">
        <v>118</v>
      </c>
      <c r="G45" s="189">
        <v>74</v>
      </c>
      <c r="H45" s="189" t="s">
        <v>29</v>
      </c>
      <c r="I45" s="189" t="s">
        <v>29</v>
      </c>
      <c r="J45" s="189" t="s">
        <v>29</v>
      </c>
      <c r="K45" s="189" t="s">
        <v>29</v>
      </c>
      <c r="L45" s="189">
        <f t="shared" si="0"/>
        <v>1493</v>
      </c>
      <c r="N45" s="189" t="s">
        <v>29</v>
      </c>
      <c r="O45" s="189">
        <v>662</v>
      </c>
      <c r="P45" s="189">
        <v>767</v>
      </c>
      <c r="Q45" s="189" t="s">
        <v>29</v>
      </c>
      <c r="R45" s="189" t="s">
        <v>29</v>
      </c>
      <c r="S45" s="189">
        <f t="shared" si="3"/>
        <v>1429</v>
      </c>
    </row>
    <row r="46" spans="1:19" x14ac:dyDescent="0.2">
      <c r="A46" s="364">
        <v>1993</v>
      </c>
      <c r="B46" s="189" t="s">
        <v>29</v>
      </c>
      <c r="C46" s="189" t="s">
        <v>29</v>
      </c>
      <c r="D46" s="189">
        <v>253</v>
      </c>
      <c r="E46" s="189">
        <v>13</v>
      </c>
      <c r="F46" s="189">
        <v>37</v>
      </c>
      <c r="G46" s="189">
        <v>37</v>
      </c>
      <c r="H46" s="189">
        <v>65</v>
      </c>
      <c r="I46" s="189" t="s">
        <v>29</v>
      </c>
      <c r="J46" s="189" t="s">
        <v>29</v>
      </c>
      <c r="K46" s="189" t="s">
        <v>29</v>
      </c>
      <c r="L46" s="189">
        <f t="shared" si="0"/>
        <v>405</v>
      </c>
      <c r="N46" s="189" t="s">
        <v>29</v>
      </c>
      <c r="O46" s="189">
        <v>207</v>
      </c>
      <c r="P46" s="189">
        <v>580</v>
      </c>
      <c r="Q46" s="189">
        <v>853</v>
      </c>
      <c r="R46" s="189" t="s">
        <v>29</v>
      </c>
      <c r="S46" s="189">
        <f t="shared" si="3"/>
        <v>1640</v>
      </c>
    </row>
    <row r="47" spans="1:19" x14ac:dyDescent="0.2">
      <c r="A47" s="364">
        <v>1994</v>
      </c>
      <c r="B47" s="189" t="s">
        <v>29</v>
      </c>
      <c r="C47" s="189" t="s">
        <v>29</v>
      </c>
      <c r="D47" s="189" t="s">
        <v>29</v>
      </c>
      <c r="E47" s="189" t="s">
        <v>29</v>
      </c>
      <c r="F47" s="189" t="s">
        <v>29</v>
      </c>
      <c r="G47" s="189" t="s">
        <v>29</v>
      </c>
      <c r="H47" s="189" t="s">
        <v>29</v>
      </c>
      <c r="I47" s="189" t="s">
        <v>29</v>
      </c>
      <c r="J47" s="189" t="s">
        <v>29</v>
      </c>
      <c r="K47" s="189" t="s">
        <v>29</v>
      </c>
      <c r="L47" s="189" t="s">
        <v>29</v>
      </c>
      <c r="N47" s="189" t="s">
        <v>29</v>
      </c>
      <c r="O47" s="189" t="s">
        <v>29</v>
      </c>
      <c r="P47" s="189" t="s">
        <v>29</v>
      </c>
      <c r="Q47" s="189" t="s">
        <v>29</v>
      </c>
      <c r="R47" s="189" t="s">
        <v>29</v>
      </c>
      <c r="S47" s="189" t="s">
        <v>29</v>
      </c>
    </row>
    <row r="48" spans="1:19" x14ac:dyDescent="0.2">
      <c r="A48" s="364">
        <v>1995</v>
      </c>
      <c r="B48" s="189" t="s">
        <v>29</v>
      </c>
      <c r="C48" s="189" t="s">
        <v>29</v>
      </c>
      <c r="D48" s="189" t="s">
        <v>29</v>
      </c>
      <c r="E48" s="189" t="s">
        <v>29</v>
      </c>
      <c r="F48" s="189" t="s">
        <v>29</v>
      </c>
      <c r="G48" s="189" t="s">
        <v>29</v>
      </c>
      <c r="H48" s="189" t="s">
        <v>29</v>
      </c>
      <c r="I48" s="189" t="s">
        <v>29</v>
      </c>
      <c r="J48" s="189" t="s">
        <v>29</v>
      </c>
      <c r="K48" s="189" t="s">
        <v>29</v>
      </c>
      <c r="L48" s="189" t="s">
        <v>29</v>
      </c>
      <c r="N48" s="189" t="s">
        <v>29</v>
      </c>
      <c r="O48" s="189" t="s">
        <v>29</v>
      </c>
      <c r="P48" s="189" t="s">
        <v>29</v>
      </c>
      <c r="Q48" s="189" t="s">
        <v>29</v>
      </c>
      <c r="R48" s="189" t="s">
        <v>29</v>
      </c>
      <c r="S48" s="189" t="s">
        <v>29</v>
      </c>
    </row>
    <row r="49" spans="1:19" x14ac:dyDescent="0.2">
      <c r="A49" s="364">
        <v>1996</v>
      </c>
      <c r="B49" s="189" t="s">
        <v>29</v>
      </c>
      <c r="C49" s="189" t="s">
        <v>29</v>
      </c>
      <c r="D49" s="189" t="s">
        <v>29</v>
      </c>
      <c r="E49" s="189" t="s">
        <v>29</v>
      </c>
      <c r="F49" s="189" t="s">
        <v>29</v>
      </c>
      <c r="G49" s="189" t="s">
        <v>29</v>
      </c>
      <c r="H49" s="189" t="s">
        <v>29</v>
      </c>
      <c r="I49" s="189" t="s">
        <v>29</v>
      </c>
      <c r="J49" s="189" t="s">
        <v>29</v>
      </c>
      <c r="K49" s="189" t="s">
        <v>29</v>
      </c>
      <c r="L49" s="189" t="s">
        <v>29</v>
      </c>
      <c r="N49" s="189" t="s">
        <v>29</v>
      </c>
      <c r="O49" s="189" t="s">
        <v>29</v>
      </c>
      <c r="P49" s="189" t="s">
        <v>29</v>
      </c>
      <c r="Q49" s="189" t="s">
        <v>29</v>
      </c>
      <c r="R49" s="189" t="s">
        <v>29</v>
      </c>
      <c r="S49" s="189" t="s">
        <v>29</v>
      </c>
    </row>
    <row r="50" spans="1:19" x14ac:dyDescent="0.2">
      <c r="A50" s="364">
        <v>1997</v>
      </c>
      <c r="B50" s="189" t="s">
        <v>29</v>
      </c>
      <c r="C50" s="189" t="s">
        <v>29</v>
      </c>
      <c r="D50" s="189">
        <v>25</v>
      </c>
      <c r="E50" s="189">
        <v>3</v>
      </c>
      <c r="F50" s="189" t="s">
        <v>29</v>
      </c>
      <c r="G50" s="189" t="s">
        <v>29</v>
      </c>
      <c r="H50" s="189" t="s">
        <v>29</v>
      </c>
      <c r="I50" s="189" t="s">
        <v>29</v>
      </c>
      <c r="J50" s="189" t="s">
        <v>29</v>
      </c>
      <c r="K50" s="189" t="s">
        <v>29</v>
      </c>
      <c r="L50" s="189">
        <f t="shared" si="0"/>
        <v>28</v>
      </c>
      <c r="N50" s="189" t="s">
        <v>29</v>
      </c>
      <c r="O50" s="189" t="s">
        <v>29</v>
      </c>
      <c r="P50" s="189" t="s">
        <v>29</v>
      </c>
      <c r="Q50" s="189" t="s">
        <v>29</v>
      </c>
      <c r="R50" s="189" t="s">
        <v>29</v>
      </c>
      <c r="S50" s="189" t="s">
        <v>29</v>
      </c>
    </row>
    <row r="51" spans="1:19" x14ac:dyDescent="0.2">
      <c r="A51" s="364">
        <v>1998</v>
      </c>
      <c r="B51" s="189" t="s">
        <v>29</v>
      </c>
      <c r="C51" s="189" t="s">
        <v>29</v>
      </c>
      <c r="D51" s="189">
        <v>0</v>
      </c>
      <c r="E51" s="189">
        <v>0</v>
      </c>
      <c r="F51" s="189" t="s">
        <v>29</v>
      </c>
      <c r="G51" s="189" t="s">
        <v>29</v>
      </c>
      <c r="H51" s="189" t="s">
        <v>29</v>
      </c>
      <c r="I51" s="189" t="s">
        <v>29</v>
      </c>
      <c r="J51" s="189" t="s">
        <v>29</v>
      </c>
      <c r="K51" s="189" t="s">
        <v>29</v>
      </c>
      <c r="L51" s="189">
        <f t="shared" si="0"/>
        <v>0</v>
      </c>
      <c r="N51" s="189" t="s">
        <v>29</v>
      </c>
      <c r="O51" s="189" t="s">
        <v>29</v>
      </c>
      <c r="P51" s="189" t="s">
        <v>29</v>
      </c>
      <c r="Q51" s="189" t="s">
        <v>29</v>
      </c>
      <c r="R51" s="189" t="s">
        <v>29</v>
      </c>
      <c r="S51" s="189" t="s">
        <v>29</v>
      </c>
    </row>
    <row r="52" spans="1:19" x14ac:dyDescent="0.2">
      <c r="A52" s="364">
        <v>1999</v>
      </c>
      <c r="B52" s="189" t="s">
        <v>29</v>
      </c>
      <c r="C52" s="189" t="s">
        <v>29</v>
      </c>
      <c r="D52" s="189">
        <v>0</v>
      </c>
      <c r="E52" s="189">
        <v>15</v>
      </c>
      <c r="F52" s="189" t="s">
        <v>29</v>
      </c>
      <c r="G52" s="189" t="s">
        <v>29</v>
      </c>
      <c r="H52" s="189" t="s">
        <v>29</v>
      </c>
      <c r="I52" s="189" t="s">
        <v>29</v>
      </c>
      <c r="J52" s="189" t="s">
        <v>29</v>
      </c>
      <c r="K52" s="189" t="s">
        <v>29</v>
      </c>
      <c r="L52" s="189">
        <f t="shared" si="0"/>
        <v>15</v>
      </c>
      <c r="N52" s="189" t="s">
        <v>29</v>
      </c>
      <c r="O52" s="189" t="s">
        <v>29</v>
      </c>
      <c r="P52" s="189" t="s">
        <v>29</v>
      </c>
      <c r="Q52" s="189" t="s">
        <v>29</v>
      </c>
      <c r="R52" s="189" t="s">
        <v>29</v>
      </c>
      <c r="S52" s="189" t="s">
        <v>29</v>
      </c>
    </row>
    <row r="53" spans="1:19" x14ac:dyDescent="0.2">
      <c r="A53" s="364">
        <v>2000</v>
      </c>
      <c r="B53" s="189" t="s">
        <v>29</v>
      </c>
      <c r="C53" s="189" t="s">
        <v>29</v>
      </c>
      <c r="D53" s="189">
        <v>9</v>
      </c>
      <c r="E53" s="189">
        <v>236</v>
      </c>
      <c r="F53" s="189" t="s">
        <v>29</v>
      </c>
      <c r="G53" s="189">
        <v>1951</v>
      </c>
      <c r="H53" s="189">
        <v>49</v>
      </c>
      <c r="I53" s="189" t="s">
        <v>29</v>
      </c>
      <c r="J53" s="189" t="s">
        <v>29</v>
      </c>
      <c r="K53" s="189" t="s">
        <v>29</v>
      </c>
      <c r="L53" s="189">
        <f t="shared" si="0"/>
        <v>2245</v>
      </c>
      <c r="N53" s="189" t="s">
        <v>29</v>
      </c>
      <c r="O53" s="189" t="s">
        <v>29</v>
      </c>
      <c r="P53" s="189">
        <v>11600</v>
      </c>
      <c r="Q53" s="189">
        <v>658</v>
      </c>
      <c r="R53" s="189" t="s">
        <v>29</v>
      </c>
      <c r="S53" s="189">
        <f t="shared" si="3"/>
        <v>12258</v>
      </c>
    </row>
    <row r="54" spans="1:19" x14ac:dyDescent="0.2">
      <c r="A54" s="364">
        <v>2001</v>
      </c>
      <c r="B54" s="189" t="s">
        <v>29</v>
      </c>
      <c r="C54" s="189" t="s">
        <v>29</v>
      </c>
      <c r="D54" s="189">
        <v>380</v>
      </c>
      <c r="E54" s="189">
        <v>1704</v>
      </c>
      <c r="F54" s="189">
        <v>925</v>
      </c>
      <c r="G54" s="189">
        <v>753</v>
      </c>
      <c r="H54" s="189">
        <v>329</v>
      </c>
      <c r="I54" s="189" t="s">
        <v>29</v>
      </c>
      <c r="J54" s="189" t="s">
        <v>29</v>
      </c>
      <c r="K54" s="189" t="s">
        <v>29</v>
      </c>
      <c r="L54" s="189">
        <f t="shared" si="0"/>
        <v>4091</v>
      </c>
      <c r="N54" s="189" t="s">
        <v>29</v>
      </c>
      <c r="O54" s="189">
        <v>3701</v>
      </c>
      <c r="P54" s="189">
        <v>3376</v>
      </c>
      <c r="Q54" s="189">
        <v>2256</v>
      </c>
      <c r="R54" s="189" t="s">
        <v>29</v>
      </c>
      <c r="S54" s="189">
        <f t="shared" si="3"/>
        <v>9333</v>
      </c>
    </row>
    <row r="55" spans="1:19" x14ac:dyDescent="0.2">
      <c r="A55" s="364">
        <v>2002</v>
      </c>
      <c r="B55" s="189" t="s">
        <v>29</v>
      </c>
      <c r="C55" s="189" t="s">
        <v>29</v>
      </c>
      <c r="D55" s="189">
        <v>855</v>
      </c>
      <c r="E55" s="189">
        <v>3189</v>
      </c>
      <c r="F55" s="189">
        <v>4241</v>
      </c>
      <c r="G55" s="189">
        <v>4512</v>
      </c>
      <c r="H55" s="189" t="s">
        <v>29</v>
      </c>
      <c r="I55" s="189" t="s">
        <v>29</v>
      </c>
      <c r="J55" s="189" t="s">
        <v>29</v>
      </c>
      <c r="K55" s="189" t="s">
        <v>29</v>
      </c>
      <c r="L55" s="189">
        <f t="shared" si="0"/>
        <v>12797</v>
      </c>
      <c r="N55" s="189" t="s">
        <v>29</v>
      </c>
      <c r="O55" s="189" t="s">
        <v>29</v>
      </c>
      <c r="P55" s="189">
        <v>1515</v>
      </c>
      <c r="Q55" s="189" t="s">
        <v>29</v>
      </c>
      <c r="R55" s="189" t="s">
        <v>29</v>
      </c>
      <c r="S55" s="189">
        <f t="shared" si="3"/>
        <v>1515</v>
      </c>
    </row>
    <row r="56" spans="1:19" x14ac:dyDescent="0.2">
      <c r="A56" s="118">
        <v>2003</v>
      </c>
      <c r="B56" s="189" t="s">
        <v>29</v>
      </c>
      <c r="C56" s="189" t="s">
        <v>29</v>
      </c>
      <c r="D56" s="189">
        <v>4927</v>
      </c>
      <c r="E56" s="189">
        <v>1171</v>
      </c>
      <c r="F56" s="189">
        <v>1310</v>
      </c>
      <c r="G56" s="189">
        <v>2377</v>
      </c>
      <c r="H56" s="189">
        <v>599</v>
      </c>
      <c r="I56" s="189" t="s">
        <v>29</v>
      </c>
      <c r="J56" s="189" t="s">
        <v>29</v>
      </c>
      <c r="K56" s="189" t="s">
        <v>29</v>
      </c>
      <c r="L56" s="189">
        <f t="shared" si="0"/>
        <v>10384</v>
      </c>
      <c r="N56" s="189" t="s">
        <v>29</v>
      </c>
      <c r="O56" s="189">
        <v>1473</v>
      </c>
      <c r="P56" s="189">
        <v>3657</v>
      </c>
      <c r="Q56" s="189">
        <v>1311</v>
      </c>
      <c r="R56" s="189" t="s">
        <v>29</v>
      </c>
      <c r="S56" s="189">
        <f t="shared" si="3"/>
        <v>6441</v>
      </c>
    </row>
    <row r="57" spans="1:19" x14ac:dyDescent="0.2">
      <c r="A57" s="118">
        <v>2004</v>
      </c>
      <c r="B57" s="189" t="s">
        <v>29</v>
      </c>
      <c r="C57" s="189" t="s">
        <v>29</v>
      </c>
      <c r="D57" s="189">
        <v>1884</v>
      </c>
      <c r="E57" s="189">
        <v>17</v>
      </c>
      <c r="F57" s="189">
        <v>381</v>
      </c>
      <c r="G57" s="189">
        <v>331</v>
      </c>
      <c r="H57" s="189">
        <v>505</v>
      </c>
      <c r="I57" s="189" t="s">
        <v>29</v>
      </c>
      <c r="J57" s="189" t="s">
        <v>29</v>
      </c>
      <c r="K57" s="189" t="s">
        <v>29</v>
      </c>
      <c r="L57" s="189">
        <f t="shared" si="0"/>
        <v>3118</v>
      </c>
      <c r="N57" s="189" t="s">
        <v>29</v>
      </c>
      <c r="O57" s="189">
        <v>718</v>
      </c>
      <c r="P57" s="189">
        <v>1399</v>
      </c>
      <c r="Q57" s="189">
        <v>6722</v>
      </c>
      <c r="R57" s="189" t="s">
        <v>29</v>
      </c>
      <c r="S57" s="189">
        <f t="shared" si="3"/>
        <v>8839</v>
      </c>
    </row>
    <row r="58" spans="1:19" x14ac:dyDescent="0.2">
      <c r="A58" s="118">
        <v>2005</v>
      </c>
      <c r="B58" s="189" t="s">
        <v>29</v>
      </c>
      <c r="C58" s="189" t="s">
        <v>29</v>
      </c>
      <c r="D58" s="189">
        <v>5119</v>
      </c>
      <c r="E58" s="189">
        <v>927</v>
      </c>
      <c r="F58" s="189">
        <v>367</v>
      </c>
      <c r="G58" s="189">
        <v>3672</v>
      </c>
      <c r="H58" s="189" t="s">
        <v>29</v>
      </c>
      <c r="I58" s="189" t="s">
        <v>29</v>
      </c>
      <c r="J58" s="189" t="s">
        <v>29</v>
      </c>
      <c r="K58" s="189" t="s">
        <v>29</v>
      </c>
      <c r="L58" s="189">
        <f t="shared" si="0"/>
        <v>10085</v>
      </c>
      <c r="N58" s="189" t="s">
        <v>29</v>
      </c>
      <c r="O58" s="189">
        <v>204</v>
      </c>
      <c r="P58" s="189">
        <v>2414</v>
      </c>
      <c r="Q58" s="189" t="s">
        <v>29</v>
      </c>
      <c r="R58" s="189" t="s">
        <v>29</v>
      </c>
      <c r="S58" s="189">
        <f t="shared" si="3"/>
        <v>2618</v>
      </c>
    </row>
    <row r="59" spans="1:19" x14ac:dyDescent="0.2">
      <c r="A59" s="118">
        <v>2006</v>
      </c>
      <c r="B59" s="189" t="s">
        <v>29</v>
      </c>
      <c r="C59" s="189" t="s">
        <v>29</v>
      </c>
      <c r="D59" s="190">
        <v>7167</v>
      </c>
      <c r="E59" s="190">
        <v>3168</v>
      </c>
      <c r="F59" s="190">
        <v>1</v>
      </c>
      <c r="G59" s="190">
        <v>61</v>
      </c>
      <c r="H59" s="190">
        <v>92</v>
      </c>
      <c r="I59" s="204" t="s">
        <v>29</v>
      </c>
      <c r="J59" s="204" t="s">
        <v>29</v>
      </c>
      <c r="K59" s="204" t="s">
        <v>29</v>
      </c>
      <c r="L59" s="189">
        <f t="shared" si="0"/>
        <v>10489</v>
      </c>
      <c r="N59" s="189" t="s">
        <v>29</v>
      </c>
      <c r="O59" s="190">
        <v>10</v>
      </c>
      <c r="P59" s="272">
        <v>915</v>
      </c>
      <c r="Q59" s="272">
        <v>489</v>
      </c>
      <c r="R59" s="189" t="s">
        <v>29</v>
      </c>
      <c r="S59" s="189">
        <f t="shared" si="3"/>
        <v>1414</v>
      </c>
    </row>
    <row r="60" spans="1:19" s="366" customFormat="1" x14ac:dyDescent="0.2">
      <c r="A60" s="118">
        <v>2007</v>
      </c>
      <c r="B60" s="187" t="s">
        <v>29</v>
      </c>
      <c r="C60" s="187" t="s">
        <v>29</v>
      </c>
      <c r="D60" s="188">
        <v>777</v>
      </c>
      <c r="E60" s="188">
        <v>374</v>
      </c>
      <c r="F60" s="188">
        <v>115</v>
      </c>
      <c r="G60" s="188">
        <v>163</v>
      </c>
      <c r="H60" s="188">
        <v>14</v>
      </c>
      <c r="I60" s="180" t="s">
        <v>29</v>
      </c>
      <c r="J60" s="180" t="s">
        <v>29</v>
      </c>
      <c r="K60" s="180" t="s">
        <v>29</v>
      </c>
      <c r="L60" s="187">
        <f t="shared" si="0"/>
        <v>1443</v>
      </c>
      <c r="M60" s="187"/>
      <c r="N60" s="187" t="s">
        <v>29</v>
      </c>
      <c r="O60" s="188">
        <v>1062</v>
      </c>
      <c r="P60" s="188">
        <v>10335</v>
      </c>
      <c r="Q60" s="188">
        <v>157</v>
      </c>
      <c r="R60" s="187" t="s">
        <v>29</v>
      </c>
      <c r="S60" s="187">
        <f t="shared" si="3"/>
        <v>11554</v>
      </c>
    </row>
    <row r="61" spans="1:19" s="366" customFormat="1" x14ac:dyDescent="0.2">
      <c r="A61" s="118">
        <v>2008</v>
      </c>
      <c r="B61" s="187" t="s">
        <v>29</v>
      </c>
      <c r="C61" s="187" t="s">
        <v>29</v>
      </c>
      <c r="D61" s="188">
        <v>2616</v>
      </c>
      <c r="E61" s="188">
        <v>2508</v>
      </c>
      <c r="F61" s="188">
        <v>129</v>
      </c>
      <c r="G61" s="188">
        <v>161</v>
      </c>
      <c r="H61" s="188">
        <v>20</v>
      </c>
      <c r="I61" s="180" t="s">
        <v>29</v>
      </c>
      <c r="J61" s="180" t="s">
        <v>29</v>
      </c>
      <c r="K61" s="180" t="s">
        <v>29</v>
      </c>
      <c r="L61" s="187">
        <f t="shared" si="0"/>
        <v>5434</v>
      </c>
      <c r="M61" s="187"/>
      <c r="N61" s="187" t="s">
        <v>29</v>
      </c>
      <c r="O61" s="188">
        <v>49</v>
      </c>
      <c r="P61" s="188">
        <v>356</v>
      </c>
      <c r="Q61" s="188">
        <v>29</v>
      </c>
      <c r="R61" s="187" t="s">
        <v>29</v>
      </c>
      <c r="S61" s="187">
        <f t="shared" si="3"/>
        <v>434</v>
      </c>
    </row>
    <row r="62" spans="1:19" s="366" customFormat="1" x14ac:dyDescent="0.2">
      <c r="A62" s="118">
        <v>2009</v>
      </c>
      <c r="B62" s="187" t="s">
        <v>29</v>
      </c>
      <c r="C62" s="187" t="s">
        <v>29</v>
      </c>
      <c r="D62" s="188">
        <v>119</v>
      </c>
      <c r="E62" s="187">
        <v>232</v>
      </c>
      <c r="F62" s="187">
        <v>240</v>
      </c>
      <c r="G62" s="187">
        <v>117</v>
      </c>
      <c r="H62" s="187">
        <f>3+1</f>
        <v>4</v>
      </c>
      <c r="I62" s="187" t="s">
        <v>29</v>
      </c>
      <c r="J62" s="187" t="s">
        <v>29</v>
      </c>
      <c r="K62" s="187" t="s">
        <v>29</v>
      </c>
      <c r="L62" s="187">
        <f t="shared" si="0"/>
        <v>712</v>
      </c>
      <c r="M62" s="187"/>
      <c r="N62" s="187" t="s">
        <v>29</v>
      </c>
      <c r="O62" s="187">
        <v>9061</v>
      </c>
      <c r="P62" s="187">
        <v>3458</v>
      </c>
      <c r="Q62" s="187">
        <v>165</v>
      </c>
      <c r="R62" s="187" t="s">
        <v>29</v>
      </c>
      <c r="S62" s="187">
        <f t="shared" si="3"/>
        <v>12684</v>
      </c>
    </row>
    <row r="63" spans="1:19" s="366" customFormat="1" x14ac:dyDescent="0.2">
      <c r="A63" s="118">
        <v>2010</v>
      </c>
      <c r="B63" s="187" t="s">
        <v>29</v>
      </c>
      <c r="C63" s="187" t="s">
        <v>29</v>
      </c>
      <c r="D63" s="188">
        <f>298+43+196+43</f>
        <v>580</v>
      </c>
      <c r="E63" s="187">
        <f>242+3252+746+2412</f>
        <v>6652</v>
      </c>
      <c r="F63" s="187">
        <f>358+110+25+69+1559</f>
        <v>2121</v>
      </c>
      <c r="G63" s="187">
        <f>1160+189+70+238</f>
        <v>1657</v>
      </c>
      <c r="H63" s="187">
        <v>110</v>
      </c>
      <c r="I63" s="187" t="s">
        <v>29</v>
      </c>
      <c r="J63" s="187" t="s">
        <v>29</v>
      </c>
      <c r="K63" s="187" t="s">
        <v>29</v>
      </c>
      <c r="L63" s="187">
        <f>SUM(B63:K63)</f>
        <v>11120</v>
      </c>
      <c r="M63" s="187"/>
      <c r="N63" s="187" t="s">
        <v>29</v>
      </c>
      <c r="O63" s="187">
        <v>637</v>
      </c>
      <c r="P63" s="187">
        <v>368</v>
      </c>
      <c r="Q63" s="187">
        <f>10+25</f>
        <v>35</v>
      </c>
      <c r="R63" s="187" t="s">
        <v>29</v>
      </c>
      <c r="S63" s="187">
        <f t="shared" si="3"/>
        <v>1040</v>
      </c>
    </row>
    <row r="64" spans="1:19" s="366" customFormat="1" x14ac:dyDescent="0.2">
      <c r="A64" s="118">
        <v>2011</v>
      </c>
      <c r="B64" s="187" t="s">
        <v>29</v>
      </c>
      <c r="C64" s="187" t="s">
        <v>29</v>
      </c>
      <c r="D64" s="188">
        <v>1057</v>
      </c>
      <c r="E64" s="187">
        <v>1400</v>
      </c>
      <c r="F64" s="187">
        <v>114</v>
      </c>
      <c r="G64" s="187">
        <v>239</v>
      </c>
      <c r="H64" s="187">
        <v>26</v>
      </c>
      <c r="I64" s="187" t="s">
        <v>29</v>
      </c>
      <c r="J64" s="187" t="s">
        <v>29</v>
      </c>
      <c r="K64" s="187" t="s">
        <v>29</v>
      </c>
      <c r="L64" s="187">
        <f>SUM(B64:K64)</f>
        <v>2836</v>
      </c>
      <c r="M64" s="187"/>
      <c r="N64" s="187" t="s">
        <v>29</v>
      </c>
      <c r="O64" s="187">
        <v>234</v>
      </c>
      <c r="P64" s="187">
        <v>147</v>
      </c>
      <c r="Q64" s="187">
        <v>83</v>
      </c>
      <c r="R64" s="187" t="s">
        <v>29</v>
      </c>
      <c r="S64" s="187">
        <f>SUM(N64:R64)</f>
        <v>464</v>
      </c>
    </row>
    <row r="65" spans="1:19" s="366" customFormat="1" x14ac:dyDescent="0.2">
      <c r="A65" s="118">
        <v>2012</v>
      </c>
      <c r="B65" s="187" t="s">
        <v>29</v>
      </c>
      <c r="C65" s="187" t="s">
        <v>29</v>
      </c>
      <c r="D65" s="188">
        <v>1034</v>
      </c>
      <c r="E65" s="187">
        <v>5366</v>
      </c>
      <c r="F65" s="187">
        <v>210</v>
      </c>
      <c r="G65" s="187">
        <v>149</v>
      </c>
      <c r="H65" s="187">
        <v>1685</v>
      </c>
      <c r="I65" s="187" t="s">
        <v>29</v>
      </c>
      <c r="J65" s="187" t="s">
        <v>29</v>
      </c>
      <c r="K65" s="187" t="s">
        <v>29</v>
      </c>
      <c r="L65" s="187">
        <f t="shared" ref="L65:L73" si="4">SUM(B65:K65)</f>
        <v>8444</v>
      </c>
      <c r="M65" s="187"/>
      <c r="N65" s="187" t="s">
        <v>29</v>
      </c>
      <c r="O65" s="187">
        <v>38</v>
      </c>
      <c r="P65" s="187">
        <v>35</v>
      </c>
      <c r="Q65" s="187">
        <v>551</v>
      </c>
      <c r="R65" s="187" t="s">
        <v>29</v>
      </c>
      <c r="S65" s="187">
        <f>SUM(N65:R65)</f>
        <v>624</v>
      </c>
    </row>
    <row r="66" spans="1:19" s="366" customFormat="1" x14ac:dyDescent="0.2">
      <c r="A66" s="118">
        <v>2013</v>
      </c>
      <c r="B66" s="187" t="s">
        <v>29</v>
      </c>
      <c r="C66" s="187" t="s">
        <v>29</v>
      </c>
      <c r="D66" s="188">
        <v>432</v>
      </c>
      <c r="E66" s="187">
        <v>704</v>
      </c>
      <c r="F66" s="187">
        <v>136</v>
      </c>
      <c r="G66" s="187">
        <v>279</v>
      </c>
      <c r="H66" s="187">
        <v>394</v>
      </c>
      <c r="I66" s="187" t="s">
        <v>29</v>
      </c>
      <c r="J66" s="187" t="s">
        <v>29</v>
      </c>
      <c r="K66" s="187" t="s">
        <v>29</v>
      </c>
      <c r="L66" s="187">
        <f t="shared" si="4"/>
        <v>1945</v>
      </c>
      <c r="M66" s="187"/>
      <c r="N66" s="187" t="s">
        <v>29</v>
      </c>
      <c r="O66" s="187">
        <v>39</v>
      </c>
      <c r="P66" s="187">
        <v>295</v>
      </c>
      <c r="Q66" s="187">
        <v>118</v>
      </c>
      <c r="R66" s="187" t="s">
        <v>29</v>
      </c>
      <c r="S66" s="187">
        <f>SUM(N66:R66)</f>
        <v>452</v>
      </c>
    </row>
    <row r="67" spans="1:19" s="366" customFormat="1" x14ac:dyDescent="0.2">
      <c r="A67" s="118">
        <v>2014</v>
      </c>
      <c r="B67" s="187" t="s">
        <v>29</v>
      </c>
      <c r="C67" s="187" t="s">
        <v>29</v>
      </c>
      <c r="D67" s="188">
        <v>12804</v>
      </c>
      <c r="E67" s="187">
        <v>725</v>
      </c>
      <c r="F67" s="187">
        <v>2282</v>
      </c>
      <c r="G67" s="187">
        <v>175</v>
      </c>
      <c r="H67" s="187">
        <v>196</v>
      </c>
      <c r="I67" s="187" t="s">
        <v>29</v>
      </c>
      <c r="J67" s="187" t="s">
        <v>29</v>
      </c>
      <c r="K67" s="187" t="s">
        <v>29</v>
      </c>
      <c r="L67" s="187">
        <f t="shared" si="4"/>
        <v>16182</v>
      </c>
      <c r="M67" s="187"/>
      <c r="N67" s="187" t="s">
        <v>29</v>
      </c>
      <c r="O67" s="187">
        <v>2428</v>
      </c>
      <c r="P67" s="187">
        <v>1570</v>
      </c>
      <c r="Q67" s="187">
        <v>3704</v>
      </c>
      <c r="R67" s="187" t="s">
        <v>29</v>
      </c>
      <c r="S67" s="187">
        <f>SUM(N67:R67)</f>
        <v>7702</v>
      </c>
    </row>
    <row r="68" spans="1:19" s="366" customFormat="1" x14ac:dyDescent="0.2">
      <c r="A68" s="118">
        <v>2015</v>
      </c>
      <c r="B68" s="187" t="s">
        <v>29</v>
      </c>
      <c r="C68" s="187" t="s">
        <v>29</v>
      </c>
      <c r="D68" s="188">
        <v>6806</v>
      </c>
      <c r="E68" s="187">
        <v>1527</v>
      </c>
      <c r="F68" s="187">
        <v>1293</v>
      </c>
      <c r="G68" s="187">
        <v>700</v>
      </c>
      <c r="H68" s="187">
        <v>556</v>
      </c>
      <c r="I68" s="187" t="s">
        <v>29</v>
      </c>
      <c r="J68" s="187" t="s">
        <v>29</v>
      </c>
      <c r="K68" s="187" t="s">
        <v>29</v>
      </c>
      <c r="L68" s="187">
        <f t="shared" si="4"/>
        <v>10882</v>
      </c>
      <c r="M68" s="187"/>
      <c r="N68" s="187" t="s">
        <v>29</v>
      </c>
      <c r="O68" s="187">
        <v>328</v>
      </c>
      <c r="P68" s="187">
        <v>411</v>
      </c>
      <c r="Q68" s="187">
        <v>1474</v>
      </c>
      <c r="R68" s="187" t="s">
        <v>29</v>
      </c>
      <c r="S68" s="187">
        <f>SUM(N68:R68)</f>
        <v>2213</v>
      </c>
    </row>
    <row r="69" spans="1:19" s="366" customFormat="1" x14ac:dyDescent="0.2">
      <c r="A69" s="118">
        <v>2016</v>
      </c>
      <c r="B69" s="187" t="s">
        <v>29</v>
      </c>
      <c r="C69" s="187" t="s">
        <v>29</v>
      </c>
      <c r="D69" s="188">
        <v>519</v>
      </c>
      <c r="E69" s="187">
        <v>743</v>
      </c>
      <c r="F69" s="187">
        <v>169</v>
      </c>
      <c r="G69" s="187">
        <v>627</v>
      </c>
      <c r="H69" s="187" t="s">
        <v>29</v>
      </c>
      <c r="I69" s="187" t="s">
        <v>29</v>
      </c>
      <c r="J69" s="187" t="s">
        <v>29</v>
      </c>
      <c r="K69" s="187" t="s">
        <v>29</v>
      </c>
      <c r="L69" s="187">
        <f t="shared" si="4"/>
        <v>2058</v>
      </c>
      <c r="M69" s="187"/>
      <c r="N69" s="187" t="s">
        <v>29</v>
      </c>
      <c r="O69" s="187" t="s">
        <v>29</v>
      </c>
      <c r="P69" s="187" t="s">
        <v>29</v>
      </c>
      <c r="Q69" s="187" t="s">
        <v>29</v>
      </c>
      <c r="R69" s="187" t="s">
        <v>29</v>
      </c>
      <c r="S69" s="187" t="s">
        <v>29</v>
      </c>
    </row>
    <row r="70" spans="1:19" s="366" customFormat="1" x14ac:dyDescent="0.2">
      <c r="A70" s="118">
        <v>2017</v>
      </c>
      <c r="B70" s="187" t="s">
        <v>29</v>
      </c>
      <c r="C70" s="187" t="s">
        <v>29</v>
      </c>
      <c r="D70" s="188">
        <v>1080</v>
      </c>
      <c r="E70" s="187">
        <v>652</v>
      </c>
      <c r="F70" s="187">
        <v>50</v>
      </c>
      <c r="G70" s="187">
        <v>611</v>
      </c>
      <c r="H70" s="187">
        <v>234</v>
      </c>
      <c r="I70" s="187" t="s">
        <v>29</v>
      </c>
      <c r="J70" s="187" t="s">
        <v>29</v>
      </c>
      <c r="K70" s="187" t="s">
        <v>29</v>
      </c>
      <c r="L70" s="187">
        <f t="shared" si="4"/>
        <v>2627</v>
      </c>
      <c r="M70" s="187"/>
      <c r="N70" s="187" t="s">
        <v>29</v>
      </c>
      <c r="O70" s="187">
        <v>16</v>
      </c>
      <c r="P70" s="187">
        <v>305</v>
      </c>
      <c r="Q70" s="187">
        <v>149</v>
      </c>
      <c r="R70" s="187" t="s">
        <v>29</v>
      </c>
      <c r="S70" s="187">
        <f>SUM(N70:R70)</f>
        <v>470</v>
      </c>
    </row>
    <row r="71" spans="1:19" s="366" customFormat="1" x14ac:dyDescent="0.2">
      <c r="A71" s="118">
        <v>2018</v>
      </c>
      <c r="B71" s="187" t="s">
        <v>29</v>
      </c>
      <c r="C71" s="187" t="s">
        <v>29</v>
      </c>
      <c r="D71" s="188">
        <v>16</v>
      </c>
      <c r="E71" s="187">
        <v>269</v>
      </c>
      <c r="F71" s="187">
        <v>10</v>
      </c>
      <c r="G71" s="187">
        <v>38</v>
      </c>
      <c r="H71" s="187">
        <v>0</v>
      </c>
      <c r="I71" s="187" t="s">
        <v>29</v>
      </c>
      <c r="J71" s="187" t="s">
        <v>29</v>
      </c>
      <c r="K71" s="187" t="s">
        <v>29</v>
      </c>
      <c r="L71" s="187">
        <f>SUM(B71:K71)</f>
        <v>333</v>
      </c>
      <c r="M71" s="187"/>
      <c r="N71" s="187" t="s">
        <v>29</v>
      </c>
      <c r="O71" s="187">
        <v>8</v>
      </c>
      <c r="P71" s="187">
        <v>84</v>
      </c>
      <c r="Q71" s="187" t="s">
        <v>29</v>
      </c>
      <c r="R71" s="187" t="s">
        <v>29</v>
      </c>
      <c r="S71" s="187">
        <f>SUM(N71:R71)</f>
        <v>92</v>
      </c>
    </row>
    <row r="72" spans="1:19" s="489" customFormat="1" x14ac:dyDescent="0.2">
      <c r="A72" s="118">
        <v>2019</v>
      </c>
      <c r="B72" s="187" t="s">
        <v>29</v>
      </c>
      <c r="C72" s="187" t="s">
        <v>29</v>
      </c>
      <c r="D72" s="188">
        <v>17</v>
      </c>
      <c r="E72" s="187">
        <v>36</v>
      </c>
      <c r="F72" s="187">
        <v>334</v>
      </c>
      <c r="G72" s="187">
        <v>93</v>
      </c>
      <c r="H72" s="187">
        <v>28</v>
      </c>
      <c r="I72" s="187" t="s">
        <v>29</v>
      </c>
      <c r="J72" s="187" t="s">
        <v>29</v>
      </c>
      <c r="K72" s="187" t="s">
        <v>29</v>
      </c>
      <c r="L72" s="187">
        <f t="shared" ref="L72" si="5">SUM(B72:K72)</f>
        <v>508</v>
      </c>
      <c r="M72" s="187"/>
      <c r="N72" s="187" t="s">
        <v>29</v>
      </c>
      <c r="O72" s="187">
        <v>1029</v>
      </c>
      <c r="P72" s="187">
        <v>302</v>
      </c>
      <c r="Q72" s="187">
        <v>81</v>
      </c>
      <c r="R72" s="187" t="s">
        <v>29</v>
      </c>
      <c r="S72" s="187">
        <f>SUM(N72:R72)</f>
        <v>1412</v>
      </c>
    </row>
    <row r="73" spans="1:19" x14ac:dyDescent="0.2">
      <c r="A73" s="124" t="s">
        <v>393</v>
      </c>
      <c r="B73" s="189" t="s">
        <v>29</v>
      </c>
      <c r="C73" s="189" t="s">
        <v>29</v>
      </c>
      <c r="D73" s="190">
        <v>84</v>
      </c>
      <c r="E73" s="189">
        <v>36</v>
      </c>
      <c r="F73" s="189">
        <v>57</v>
      </c>
      <c r="G73" s="189">
        <v>13</v>
      </c>
      <c r="H73" s="189">
        <v>0</v>
      </c>
      <c r="I73" s="189" t="s">
        <v>29</v>
      </c>
      <c r="J73" s="189" t="s">
        <v>29</v>
      </c>
      <c r="K73" s="189" t="s">
        <v>29</v>
      </c>
      <c r="L73" s="189">
        <f t="shared" si="4"/>
        <v>190</v>
      </c>
      <c r="N73" s="187" t="s">
        <v>29</v>
      </c>
      <c r="O73" s="189">
        <v>63</v>
      </c>
      <c r="P73" s="189">
        <v>64</v>
      </c>
      <c r="Q73" s="189">
        <v>2</v>
      </c>
      <c r="R73" s="189" t="s">
        <v>29</v>
      </c>
      <c r="S73" s="187">
        <f>SUM(N73:R73)</f>
        <v>129</v>
      </c>
    </row>
    <row r="75" spans="1:19" x14ac:dyDescent="0.2">
      <c r="A75" s="109" t="s">
        <v>53</v>
      </c>
    </row>
    <row r="76" spans="1:19" x14ac:dyDescent="0.2">
      <c r="A76" s="371">
        <v>1952</v>
      </c>
      <c r="B76" s="189" t="s">
        <v>29</v>
      </c>
      <c r="C76" s="189">
        <v>0</v>
      </c>
      <c r="D76" s="189">
        <v>61</v>
      </c>
      <c r="E76" s="189">
        <v>349</v>
      </c>
      <c r="F76" s="189">
        <v>236</v>
      </c>
      <c r="G76" s="189">
        <v>91</v>
      </c>
      <c r="H76" s="189">
        <v>81</v>
      </c>
      <c r="I76" s="189">
        <v>5</v>
      </c>
      <c r="J76" s="189" t="s">
        <v>29</v>
      </c>
      <c r="K76" s="189" t="s">
        <v>29</v>
      </c>
      <c r="L76" s="189">
        <f t="shared" ref="L76:L133" si="6">SUM(B76:K76)</f>
        <v>823</v>
      </c>
      <c r="N76" s="189">
        <v>530</v>
      </c>
      <c r="O76" s="189">
        <v>432</v>
      </c>
      <c r="P76" s="189">
        <v>1333</v>
      </c>
      <c r="Q76" s="189">
        <v>334</v>
      </c>
      <c r="R76" s="189">
        <v>6</v>
      </c>
      <c r="S76" s="189">
        <f t="shared" ref="S76:S116" si="7">SUM(N76:R76)</f>
        <v>2635</v>
      </c>
    </row>
    <row r="77" spans="1:19" x14ac:dyDescent="0.2">
      <c r="A77" s="371">
        <v>1953</v>
      </c>
      <c r="B77" s="189" t="s">
        <v>29</v>
      </c>
      <c r="C77" s="189">
        <v>0</v>
      </c>
      <c r="D77" s="189">
        <v>53</v>
      </c>
      <c r="E77" s="189">
        <v>30</v>
      </c>
      <c r="F77" s="189">
        <v>125</v>
      </c>
      <c r="G77" s="189">
        <v>461</v>
      </c>
      <c r="H77" s="189">
        <v>81</v>
      </c>
      <c r="I77" s="189">
        <v>0</v>
      </c>
      <c r="J77" s="189" t="s">
        <v>29</v>
      </c>
      <c r="K77" s="189" t="s">
        <v>29</v>
      </c>
      <c r="L77" s="189">
        <f t="shared" si="6"/>
        <v>750</v>
      </c>
      <c r="N77" s="189">
        <v>483</v>
      </c>
      <c r="O77" s="189">
        <v>1450</v>
      </c>
      <c r="P77" s="189">
        <v>3464</v>
      </c>
      <c r="Q77" s="189">
        <v>1748</v>
      </c>
      <c r="R77" s="189">
        <v>698</v>
      </c>
      <c r="S77" s="189">
        <f t="shared" si="7"/>
        <v>7843</v>
      </c>
    </row>
    <row r="78" spans="1:19" x14ac:dyDescent="0.2">
      <c r="A78" s="371">
        <v>1954</v>
      </c>
      <c r="B78" s="189" t="s">
        <v>29</v>
      </c>
      <c r="C78" s="189">
        <v>9</v>
      </c>
      <c r="D78" s="189">
        <v>0</v>
      </c>
      <c r="E78" s="189">
        <v>37</v>
      </c>
      <c r="F78" s="189">
        <v>322</v>
      </c>
      <c r="G78" s="189">
        <v>2748</v>
      </c>
      <c r="H78" s="189">
        <v>32</v>
      </c>
      <c r="I78" s="189">
        <v>0</v>
      </c>
      <c r="J78" s="189" t="s">
        <v>29</v>
      </c>
      <c r="K78" s="189" t="s">
        <v>29</v>
      </c>
      <c r="L78" s="189">
        <f t="shared" si="6"/>
        <v>3148</v>
      </c>
      <c r="N78" s="189">
        <v>240</v>
      </c>
      <c r="O78" s="189">
        <v>3116</v>
      </c>
      <c r="P78" s="189">
        <v>4232</v>
      </c>
      <c r="Q78" s="189">
        <v>607</v>
      </c>
      <c r="R78" s="189">
        <v>0</v>
      </c>
      <c r="S78" s="189">
        <f t="shared" si="7"/>
        <v>8195</v>
      </c>
    </row>
    <row r="79" spans="1:19" x14ac:dyDescent="0.2">
      <c r="A79" s="371">
        <v>1955</v>
      </c>
      <c r="B79" s="189" t="s">
        <v>29</v>
      </c>
      <c r="C79" s="189">
        <v>0</v>
      </c>
      <c r="D79" s="189">
        <v>356</v>
      </c>
      <c r="E79" s="189">
        <v>70</v>
      </c>
      <c r="F79" s="189">
        <v>716</v>
      </c>
      <c r="G79" s="189">
        <v>3365</v>
      </c>
      <c r="H79" s="189">
        <v>471</v>
      </c>
      <c r="I79" s="189">
        <v>0</v>
      </c>
      <c r="J79" s="189" t="s">
        <v>29</v>
      </c>
      <c r="K79" s="189" t="s">
        <v>29</v>
      </c>
      <c r="L79" s="189">
        <f t="shared" si="6"/>
        <v>4978</v>
      </c>
      <c r="N79" s="189">
        <v>37</v>
      </c>
      <c r="O79" s="189">
        <v>4758</v>
      </c>
      <c r="P79" s="189">
        <v>4540</v>
      </c>
      <c r="Q79" s="189">
        <v>713</v>
      </c>
      <c r="R79" s="189">
        <v>55</v>
      </c>
      <c r="S79" s="189">
        <f t="shared" si="7"/>
        <v>10103</v>
      </c>
    </row>
    <row r="80" spans="1:19" x14ac:dyDescent="0.2">
      <c r="A80" s="371">
        <v>1956</v>
      </c>
      <c r="B80" s="189" t="s">
        <v>29</v>
      </c>
      <c r="C80" s="189">
        <v>0</v>
      </c>
      <c r="D80" s="189">
        <v>34</v>
      </c>
      <c r="E80" s="189">
        <v>35</v>
      </c>
      <c r="F80" s="189">
        <v>891</v>
      </c>
      <c r="G80" s="189">
        <v>1642</v>
      </c>
      <c r="H80" s="189">
        <v>136</v>
      </c>
      <c r="I80" s="189">
        <v>1</v>
      </c>
      <c r="J80" s="189" t="s">
        <v>29</v>
      </c>
      <c r="K80" s="189" t="s">
        <v>29</v>
      </c>
      <c r="L80" s="189">
        <f t="shared" si="6"/>
        <v>2739</v>
      </c>
      <c r="N80" s="189">
        <v>47</v>
      </c>
      <c r="O80" s="189">
        <v>6508</v>
      </c>
      <c r="P80" s="189">
        <v>6660</v>
      </c>
      <c r="Q80" s="189">
        <v>2319</v>
      </c>
      <c r="R80" s="189">
        <v>8</v>
      </c>
      <c r="S80" s="189">
        <f t="shared" si="7"/>
        <v>15542</v>
      </c>
    </row>
    <row r="81" spans="1:19" x14ac:dyDescent="0.2">
      <c r="A81" s="371">
        <v>1957</v>
      </c>
      <c r="B81" s="189" t="s">
        <v>29</v>
      </c>
      <c r="C81" s="189">
        <v>0</v>
      </c>
      <c r="D81" s="189">
        <v>0</v>
      </c>
      <c r="E81" s="189">
        <v>471</v>
      </c>
      <c r="F81" s="189">
        <v>1379</v>
      </c>
      <c r="G81" s="189">
        <v>287</v>
      </c>
      <c r="H81" s="189">
        <v>252</v>
      </c>
      <c r="I81" s="189">
        <v>17</v>
      </c>
      <c r="J81" s="189" t="s">
        <v>29</v>
      </c>
      <c r="K81" s="189" t="s">
        <v>29</v>
      </c>
      <c r="L81" s="189">
        <f t="shared" si="6"/>
        <v>2406</v>
      </c>
      <c r="N81" s="189">
        <v>3904</v>
      </c>
      <c r="O81" s="189">
        <v>8277</v>
      </c>
      <c r="P81" s="189">
        <v>4475</v>
      </c>
      <c r="Q81" s="189">
        <v>1027</v>
      </c>
      <c r="R81" s="189">
        <v>204</v>
      </c>
      <c r="S81" s="189">
        <f t="shared" si="7"/>
        <v>17887</v>
      </c>
    </row>
    <row r="82" spans="1:19" x14ac:dyDescent="0.2">
      <c r="A82" s="371">
        <v>1958</v>
      </c>
      <c r="B82" s="189" t="s">
        <v>29</v>
      </c>
      <c r="C82" s="189">
        <v>0</v>
      </c>
      <c r="D82" s="189">
        <v>4</v>
      </c>
      <c r="E82" s="189">
        <v>740</v>
      </c>
      <c r="F82" s="189">
        <v>1611</v>
      </c>
      <c r="G82" s="189">
        <v>765</v>
      </c>
      <c r="H82" s="189">
        <v>184</v>
      </c>
      <c r="I82" s="189">
        <v>2</v>
      </c>
      <c r="J82" s="189" t="s">
        <v>29</v>
      </c>
      <c r="K82" s="189" t="s">
        <v>29</v>
      </c>
      <c r="L82" s="189">
        <f t="shared" si="6"/>
        <v>3306</v>
      </c>
      <c r="N82" s="189">
        <v>1165</v>
      </c>
      <c r="O82" s="189">
        <v>2976</v>
      </c>
      <c r="P82" s="189">
        <v>1710</v>
      </c>
      <c r="Q82" s="189">
        <v>415</v>
      </c>
      <c r="R82" s="189">
        <v>9</v>
      </c>
      <c r="S82" s="189">
        <f t="shared" si="7"/>
        <v>6275</v>
      </c>
    </row>
    <row r="83" spans="1:19" x14ac:dyDescent="0.2">
      <c r="A83" s="371">
        <v>1959</v>
      </c>
      <c r="B83" s="189" t="s">
        <v>29</v>
      </c>
      <c r="C83" s="189">
        <v>0</v>
      </c>
      <c r="D83" s="189">
        <v>23</v>
      </c>
      <c r="E83" s="189">
        <v>288</v>
      </c>
      <c r="F83" s="189">
        <v>378</v>
      </c>
      <c r="G83" s="189">
        <v>946</v>
      </c>
      <c r="H83" s="189">
        <v>80</v>
      </c>
      <c r="I83" s="189">
        <v>21</v>
      </c>
      <c r="J83" s="189" t="s">
        <v>29</v>
      </c>
      <c r="K83" s="189" t="s">
        <v>29</v>
      </c>
      <c r="L83" s="189">
        <f t="shared" si="6"/>
        <v>1736</v>
      </c>
      <c r="N83" s="189">
        <v>1154</v>
      </c>
      <c r="O83" s="189">
        <v>3864</v>
      </c>
      <c r="P83" s="189">
        <v>2299</v>
      </c>
      <c r="Q83" s="189">
        <v>649</v>
      </c>
      <c r="R83" s="189">
        <v>2</v>
      </c>
      <c r="S83" s="189">
        <f t="shared" si="7"/>
        <v>7968</v>
      </c>
    </row>
    <row r="84" spans="1:19" x14ac:dyDescent="0.2">
      <c r="A84" s="371">
        <v>1960</v>
      </c>
      <c r="B84" s="189" t="s">
        <v>29</v>
      </c>
      <c r="C84" s="189">
        <v>10</v>
      </c>
      <c r="D84" s="189">
        <v>11</v>
      </c>
      <c r="E84" s="189">
        <v>172</v>
      </c>
      <c r="F84" s="189">
        <v>334</v>
      </c>
      <c r="G84" s="189">
        <v>336</v>
      </c>
      <c r="H84" s="189">
        <v>132</v>
      </c>
      <c r="I84" s="189">
        <v>0</v>
      </c>
      <c r="J84" s="189" t="s">
        <v>29</v>
      </c>
      <c r="K84" s="189" t="s">
        <v>29</v>
      </c>
      <c r="L84" s="189">
        <f t="shared" si="6"/>
        <v>995</v>
      </c>
      <c r="N84" s="189">
        <v>150</v>
      </c>
      <c r="O84" s="189">
        <v>578</v>
      </c>
      <c r="P84" s="189">
        <v>3571</v>
      </c>
      <c r="Q84" s="189">
        <v>1171</v>
      </c>
      <c r="R84" s="189">
        <v>0</v>
      </c>
      <c r="S84" s="189">
        <f t="shared" si="7"/>
        <v>5470</v>
      </c>
    </row>
    <row r="85" spans="1:19" x14ac:dyDescent="0.2">
      <c r="A85" s="371">
        <v>1961</v>
      </c>
      <c r="B85" s="189" t="s">
        <v>29</v>
      </c>
      <c r="C85" s="189">
        <v>9</v>
      </c>
      <c r="D85" s="189">
        <v>1</v>
      </c>
      <c r="E85" s="189">
        <v>86</v>
      </c>
      <c r="F85" s="189">
        <v>189</v>
      </c>
      <c r="G85" s="189">
        <v>399</v>
      </c>
      <c r="H85" s="189">
        <v>117</v>
      </c>
      <c r="I85" s="189">
        <v>29</v>
      </c>
      <c r="J85" s="189" t="s">
        <v>29</v>
      </c>
      <c r="K85" s="189" t="s">
        <v>29</v>
      </c>
      <c r="L85" s="189">
        <f t="shared" si="6"/>
        <v>830</v>
      </c>
      <c r="N85" s="189">
        <v>2535</v>
      </c>
      <c r="O85" s="189">
        <v>3742</v>
      </c>
      <c r="P85" s="189">
        <v>6790</v>
      </c>
      <c r="Q85" s="189">
        <v>746</v>
      </c>
      <c r="R85" s="189">
        <v>79</v>
      </c>
      <c r="S85" s="189">
        <f t="shared" si="7"/>
        <v>13892</v>
      </c>
    </row>
    <row r="86" spans="1:19" x14ac:dyDescent="0.2">
      <c r="A86" s="371">
        <v>1962</v>
      </c>
      <c r="B86" s="189" t="s">
        <v>29</v>
      </c>
      <c r="C86" s="189">
        <v>0</v>
      </c>
      <c r="D86" s="189">
        <v>1</v>
      </c>
      <c r="E86" s="189">
        <v>86</v>
      </c>
      <c r="F86" s="189">
        <v>56</v>
      </c>
      <c r="G86" s="189">
        <v>108</v>
      </c>
      <c r="H86" s="189">
        <v>60</v>
      </c>
      <c r="I86" s="189">
        <v>1</v>
      </c>
      <c r="J86" s="189" t="s">
        <v>29</v>
      </c>
      <c r="K86" s="189" t="s">
        <v>29</v>
      </c>
      <c r="L86" s="189">
        <f t="shared" si="6"/>
        <v>312</v>
      </c>
      <c r="N86" s="189">
        <v>1156</v>
      </c>
      <c r="O86" s="189">
        <v>4400</v>
      </c>
      <c r="P86" s="189">
        <v>5082</v>
      </c>
      <c r="Q86" s="189">
        <v>181</v>
      </c>
      <c r="R86" s="189">
        <v>0</v>
      </c>
      <c r="S86" s="189">
        <f t="shared" si="7"/>
        <v>10819</v>
      </c>
    </row>
    <row r="87" spans="1:19" x14ac:dyDescent="0.2">
      <c r="A87" s="371">
        <v>1963</v>
      </c>
      <c r="B87" s="189" t="s">
        <v>29</v>
      </c>
      <c r="C87" s="189">
        <v>0</v>
      </c>
      <c r="D87" s="189">
        <v>0</v>
      </c>
      <c r="E87" s="189">
        <v>7</v>
      </c>
      <c r="F87" s="189">
        <v>72</v>
      </c>
      <c r="G87" s="189">
        <v>449</v>
      </c>
      <c r="H87" s="189">
        <v>240</v>
      </c>
      <c r="I87" s="189">
        <v>15</v>
      </c>
      <c r="J87" s="189" t="s">
        <v>29</v>
      </c>
      <c r="K87" s="189" t="s">
        <v>29</v>
      </c>
      <c r="L87" s="189">
        <f t="shared" si="6"/>
        <v>783</v>
      </c>
      <c r="N87" s="189">
        <v>1109</v>
      </c>
      <c r="O87" s="189">
        <v>3023</v>
      </c>
      <c r="P87" s="189">
        <v>10457</v>
      </c>
      <c r="Q87" s="189">
        <v>2721</v>
      </c>
      <c r="R87" s="189">
        <v>71</v>
      </c>
      <c r="S87" s="189">
        <f t="shared" si="7"/>
        <v>17381</v>
      </c>
    </row>
    <row r="88" spans="1:19" x14ac:dyDescent="0.2">
      <c r="A88" s="371">
        <v>1964</v>
      </c>
      <c r="B88" s="189" t="s">
        <v>29</v>
      </c>
      <c r="C88" s="189">
        <v>0</v>
      </c>
      <c r="D88" s="189">
        <v>0</v>
      </c>
      <c r="E88" s="189">
        <v>48</v>
      </c>
      <c r="F88" s="189">
        <v>322</v>
      </c>
      <c r="G88" s="189">
        <v>722</v>
      </c>
      <c r="H88" s="189">
        <v>237</v>
      </c>
      <c r="I88" s="189">
        <v>6</v>
      </c>
      <c r="J88" s="189" t="s">
        <v>29</v>
      </c>
      <c r="K88" s="189" t="s">
        <v>29</v>
      </c>
      <c r="L88" s="189">
        <f t="shared" si="6"/>
        <v>1335</v>
      </c>
      <c r="N88" s="189">
        <v>1312</v>
      </c>
      <c r="O88" s="189">
        <v>8994</v>
      </c>
      <c r="P88" s="189">
        <v>12247</v>
      </c>
      <c r="Q88" s="189">
        <v>2000</v>
      </c>
      <c r="R88" s="189">
        <v>28</v>
      </c>
      <c r="S88" s="189">
        <f t="shared" si="7"/>
        <v>24581</v>
      </c>
    </row>
    <row r="89" spans="1:19" x14ac:dyDescent="0.2">
      <c r="A89" s="371">
        <v>1965</v>
      </c>
      <c r="B89" s="189" t="s">
        <v>29</v>
      </c>
      <c r="C89" s="189">
        <v>0</v>
      </c>
      <c r="D89" s="189">
        <v>0</v>
      </c>
      <c r="E89" s="189">
        <v>47</v>
      </c>
      <c r="F89" s="189">
        <v>112</v>
      </c>
      <c r="G89" s="189">
        <v>266</v>
      </c>
      <c r="H89" s="189">
        <v>766</v>
      </c>
      <c r="I89" s="189">
        <v>40</v>
      </c>
      <c r="J89" s="189" t="s">
        <v>29</v>
      </c>
      <c r="K89" s="189" t="s">
        <v>29</v>
      </c>
      <c r="L89" s="189">
        <f t="shared" si="6"/>
        <v>1231</v>
      </c>
      <c r="N89" s="189">
        <v>1029</v>
      </c>
      <c r="O89" s="189">
        <v>21670</v>
      </c>
      <c r="P89" s="189">
        <v>19397</v>
      </c>
      <c r="Q89" s="189">
        <v>1848</v>
      </c>
      <c r="R89" s="189">
        <v>28</v>
      </c>
      <c r="S89" s="189">
        <f t="shared" si="7"/>
        <v>43972</v>
      </c>
    </row>
    <row r="90" spans="1:19" x14ac:dyDescent="0.2">
      <c r="A90" s="371">
        <v>1966</v>
      </c>
      <c r="B90" s="189" t="s">
        <v>29</v>
      </c>
      <c r="C90" s="189">
        <v>0</v>
      </c>
      <c r="D90" s="189">
        <v>57</v>
      </c>
      <c r="E90" s="189">
        <v>51</v>
      </c>
      <c r="F90" s="189">
        <v>1056</v>
      </c>
      <c r="G90" s="189">
        <v>523</v>
      </c>
      <c r="H90" s="189">
        <v>209</v>
      </c>
      <c r="I90" s="189">
        <v>0</v>
      </c>
      <c r="J90" s="189" t="s">
        <v>29</v>
      </c>
      <c r="K90" s="189" t="s">
        <v>29</v>
      </c>
      <c r="L90" s="189">
        <f t="shared" si="6"/>
        <v>1896</v>
      </c>
      <c r="N90" s="189">
        <v>2503</v>
      </c>
      <c r="O90" s="189">
        <v>41289</v>
      </c>
      <c r="P90" s="189">
        <v>11615</v>
      </c>
      <c r="Q90" s="189">
        <v>9294</v>
      </c>
      <c r="R90" s="189">
        <v>97</v>
      </c>
      <c r="S90" s="189">
        <f t="shared" si="7"/>
        <v>64798</v>
      </c>
    </row>
    <row r="91" spans="1:19" x14ac:dyDescent="0.2">
      <c r="A91" s="371">
        <v>1967</v>
      </c>
      <c r="B91" s="189" t="s">
        <v>29</v>
      </c>
      <c r="C91" s="189">
        <v>0</v>
      </c>
      <c r="D91" s="189">
        <v>16</v>
      </c>
      <c r="E91" s="189">
        <v>1219</v>
      </c>
      <c r="F91" s="189">
        <v>876</v>
      </c>
      <c r="G91" s="189">
        <v>1372</v>
      </c>
      <c r="H91" s="189">
        <v>134</v>
      </c>
      <c r="I91" s="189">
        <v>0</v>
      </c>
      <c r="J91" s="189" t="s">
        <v>29</v>
      </c>
      <c r="K91" s="189" t="s">
        <v>29</v>
      </c>
      <c r="L91" s="189">
        <f t="shared" si="6"/>
        <v>3617</v>
      </c>
      <c r="N91" s="189">
        <v>11167</v>
      </c>
      <c r="O91" s="189">
        <v>88277</v>
      </c>
      <c r="P91" s="189">
        <v>52425</v>
      </c>
      <c r="Q91" s="189">
        <v>2629</v>
      </c>
      <c r="R91" s="189">
        <v>0</v>
      </c>
      <c r="S91" s="189">
        <f t="shared" si="7"/>
        <v>154498</v>
      </c>
    </row>
    <row r="92" spans="1:19" x14ac:dyDescent="0.2">
      <c r="A92" s="371">
        <v>1968</v>
      </c>
      <c r="B92" s="189" t="s">
        <v>29</v>
      </c>
      <c r="C92" s="189">
        <v>0</v>
      </c>
      <c r="D92" s="189">
        <v>30</v>
      </c>
      <c r="E92" s="189">
        <v>347</v>
      </c>
      <c r="F92" s="189">
        <v>2553</v>
      </c>
      <c r="G92" s="189">
        <v>1704</v>
      </c>
      <c r="H92" s="189">
        <v>268</v>
      </c>
      <c r="I92" s="189">
        <v>296</v>
      </c>
      <c r="J92" s="189" t="s">
        <v>29</v>
      </c>
      <c r="K92" s="189" t="s">
        <v>29</v>
      </c>
      <c r="L92" s="189">
        <f t="shared" si="6"/>
        <v>5198</v>
      </c>
      <c r="N92" s="189">
        <v>10145</v>
      </c>
      <c r="O92" s="189">
        <v>80289</v>
      </c>
      <c r="P92" s="189">
        <v>38419</v>
      </c>
      <c r="Q92" s="189">
        <v>3783</v>
      </c>
      <c r="R92" s="189">
        <v>0</v>
      </c>
      <c r="S92" s="189">
        <f t="shared" si="7"/>
        <v>132636</v>
      </c>
    </row>
    <row r="93" spans="1:19" x14ac:dyDescent="0.2">
      <c r="A93" s="371">
        <v>1969</v>
      </c>
      <c r="B93" s="189" t="s">
        <v>29</v>
      </c>
      <c r="C93" s="189">
        <v>0</v>
      </c>
      <c r="D93" s="189">
        <v>227</v>
      </c>
      <c r="E93" s="189">
        <v>1625</v>
      </c>
      <c r="F93" s="189">
        <v>712</v>
      </c>
      <c r="G93" s="189">
        <v>1817</v>
      </c>
      <c r="H93" s="189">
        <v>497</v>
      </c>
      <c r="I93" s="189">
        <v>221</v>
      </c>
      <c r="J93" s="189" t="s">
        <v>29</v>
      </c>
      <c r="K93" s="189" t="s">
        <v>29</v>
      </c>
      <c r="L93" s="189">
        <f t="shared" si="6"/>
        <v>5099</v>
      </c>
      <c r="N93" s="189">
        <v>10875</v>
      </c>
      <c r="O93" s="189">
        <v>26224</v>
      </c>
      <c r="P93" s="189">
        <v>29094</v>
      </c>
      <c r="Q93" s="189">
        <v>2215</v>
      </c>
      <c r="R93" s="189">
        <v>494</v>
      </c>
      <c r="S93" s="189">
        <f t="shared" si="7"/>
        <v>68902</v>
      </c>
    </row>
    <row r="94" spans="1:19" x14ac:dyDescent="0.2">
      <c r="A94" s="371">
        <v>1970</v>
      </c>
      <c r="B94" s="189" t="s">
        <v>29</v>
      </c>
      <c r="C94" s="189">
        <v>34</v>
      </c>
      <c r="D94" s="189">
        <v>37</v>
      </c>
      <c r="E94" s="189">
        <v>1663</v>
      </c>
      <c r="F94" s="189">
        <v>1460</v>
      </c>
      <c r="G94" s="189">
        <v>747</v>
      </c>
      <c r="H94" s="189">
        <v>450</v>
      </c>
      <c r="I94" s="189">
        <v>85</v>
      </c>
      <c r="J94" s="189" t="s">
        <v>29</v>
      </c>
      <c r="K94" s="189" t="s">
        <v>29</v>
      </c>
      <c r="L94" s="189">
        <f t="shared" si="6"/>
        <v>4476</v>
      </c>
      <c r="N94" s="189">
        <v>13911</v>
      </c>
      <c r="O94" s="189">
        <v>22070</v>
      </c>
      <c r="P94" s="189">
        <v>40276</v>
      </c>
      <c r="Q94" s="189">
        <v>5102</v>
      </c>
      <c r="R94" s="189">
        <v>97</v>
      </c>
      <c r="S94" s="189">
        <f t="shared" si="7"/>
        <v>81456</v>
      </c>
    </row>
    <row r="95" spans="1:19" x14ac:dyDescent="0.2">
      <c r="A95" s="371">
        <v>1971</v>
      </c>
      <c r="B95" s="189" t="s">
        <v>29</v>
      </c>
      <c r="C95" s="189">
        <v>0</v>
      </c>
      <c r="D95" s="189">
        <v>13</v>
      </c>
      <c r="E95" s="189">
        <v>367</v>
      </c>
      <c r="F95" s="189">
        <v>464</v>
      </c>
      <c r="G95" s="189">
        <v>1867</v>
      </c>
      <c r="H95" s="189">
        <v>281</v>
      </c>
      <c r="I95" s="189">
        <v>20</v>
      </c>
      <c r="J95" s="189" t="s">
        <v>29</v>
      </c>
      <c r="K95" s="189" t="s">
        <v>29</v>
      </c>
      <c r="L95" s="189">
        <f t="shared" si="6"/>
        <v>3012</v>
      </c>
      <c r="N95" s="189">
        <v>11056</v>
      </c>
      <c r="O95" s="189">
        <v>61288</v>
      </c>
      <c r="P95" s="189">
        <v>145328</v>
      </c>
      <c r="Q95" s="189">
        <v>3573</v>
      </c>
      <c r="R95" s="189">
        <v>178</v>
      </c>
      <c r="S95" s="189">
        <f t="shared" si="7"/>
        <v>221423</v>
      </c>
    </row>
    <row r="96" spans="1:19" x14ac:dyDescent="0.2">
      <c r="A96" s="371">
        <v>1972</v>
      </c>
      <c r="B96" s="189" t="s">
        <v>29</v>
      </c>
      <c r="C96" s="189">
        <v>0</v>
      </c>
      <c r="D96" s="189">
        <v>65</v>
      </c>
      <c r="E96" s="189">
        <v>674</v>
      </c>
      <c r="F96" s="189">
        <v>722</v>
      </c>
      <c r="G96" s="189">
        <v>2393</v>
      </c>
      <c r="H96" s="189">
        <v>224</v>
      </c>
      <c r="I96" s="189">
        <v>24</v>
      </c>
      <c r="J96" s="189" t="s">
        <v>29</v>
      </c>
      <c r="K96" s="189" t="s">
        <v>29</v>
      </c>
      <c r="L96" s="189">
        <f t="shared" si="6"/>
        <v>4102</v>
      </c>
      <c r="N96" s="189">
        <v>26783</v>
      </c>
      <c r="O96" s="189">
        <v>40128</v>
      </c>
      <c r="P96" s="189">
        <v>45301</v>
      </c>
      <c r="Q96" s="189">
        <v>4603</v>
      </c>
      <c r="R96" s="189">
        <v>43</v>
      </c>
      <c r="S96" s="189">
        <f t="shared" si="7"/>
        <v>116858</v>
      </c>
    </row>
    <row r="97" spans="1:19" x14ac:dyDescent="0.2">
      <c r="A97" s="371">
        <v>1973</v>
      </c>
      <c r="B97" s="189" t="s">
        <v>29</v>
      </c>
      <c r="C97" s="189">
        <v>11</v>
      </c>
      <c r="D97" s="189">
        <v>75</v>
      </c>
      <c r="E97" s="189">
        <v>472</v>
      </c>
      <c r="F97" s="189">
        <v>1422</v>
      </c>
      <c r="G97" s="189">
        <v>3774</v>
      </c>
      <c r="H97" s="189">
        <v>1512</v>
      </c>
      <c r="I97" s="189">
        <v>436</v>
      </c>
      <c r="J97" s="189" t="s">
        <v>29</v>
      </c>
      <c r="K97" s="189" t="s">
        <v>29</v>
      </c>
      <c r="L97" s="189">
        <f t="shared" si="6"/>
        <v>7702</v>
      </c>
      <c r="N97" s="189">
        <v>21883</v>
      </c>
      <c r="O97" s="189">
        <v>31941</v>
      </c>
      <c r="P97" s="189">
        <v>23716</v>
      </c>
      <c r="Q97" s="189">
        <v>2100</v>
      </c>
      <c r="R97" s="189">
        <v>229</v>
      </c>
      <c r="S97" s="189">
        <f t="shared" si="7"/>
        <v>79869</v>
      </c>
    </row>
    <row r="98" spans="1:19" x14ac:dyDescent="0.2">
      <c r="A98" s="371">
        <v>1974</v>
      </c>
      <c r="B98" s="189" t="s">
        <v>29</v>
      </c>
      <c r="C98" s="189">
        <v>0</v>
      </c>
      <c r="D98" s="189">
        <v>55</v>
      </c>
      <c r="E98" s="189">
        <v>680</v>
      </c>
      <c r="F98" s="189">
        <v>2298</v>
      </c>
      <c r="G98" s="189">
        <v>3385</v>
      </c>
      <c r="H98" s="189">
        <v>934</v>
      </c>
      <c r="I98" s="189">
        <v>187</v>
      </c>
      <c r="J98" s="189" t="s">
        <v>29</v>
      </c>
      <c r="K98" s="189" t="s">
        <v>29</v>
      </c>
      <c r="L98" s="189">
        <f t="shared" si="6"/>
        <v>7539</v>
      </c>
      <c r="N98" s="189">
        <v>7739</v>
      </c>
      <c r="O98" s="189">
        <v>92840</v>
      </c>
      <c r="P98" s="189">
        <v>46587</v>
      </c>
      <c r="Q98" s="189">
        <v>6424</v>
      </c>
      <c r="R98" s="189">
        <v>107</v>
      </c>
      <c r="S98" s="189">
        <f t="shared" si="7"/>
        <v>153697</v>
      </c>
    </row>
    <row r="99" spans="1:19" x14ac:dyDescent="0.2">
      <c r="A99" s="371">
        <v>1975</v>
      </c>
      <c r="B99" s="189" t="s">
        <v>29</v>
      </c>
      <c r="C99" s="189">
        <v>0</v>
      </c>
      <c r="D99" s="189">
        <v>7</v>
      </c>
      <c r="E99" s="189">
        <v>908</v>
      </c>
      <c r="F99" s="189">
        <v>2177</v>
      </c>
      <c r="G99" s="189">
        <v>2346</v>
      </c>
      <c r="H99" s="189">
        <v>406</v>
      </c>
      <c r="I99" s="189">
        <v>4</v>
      </c>
      <c r="J99" s="189" t="s">
        <v>29</v>
      </c>
      <c r="K99" s="189" t="s">
        <v>29</v>
      </c>
      <c r="L99" s="189">
        <f t="shared" si="6"/>
        <v>5848</v>
      </c>
      <c r="N99" s="189">
        <v>32268</v>
      </c>
      <c r="O99" s="189">
        <v>40863</v>
      </c>
      <c r="P99" s="189">
        <v>32429</v>
      </c>
      <c r="Q99" s="189">
        <v>4240</v>
      </c>
      <c r="R99" s="189">
        <v>15</v>
      </c>
      <c r="S99" s="189">
        <f t="shared" si="7"/>
        <v>109815</v>
      </c>
    </row>
    <row r="100" spans="1:19" x14ac:dyDescent="0.2">
      <c r="A100" s="371">
        <v>1976</v>
      </c>
      <c r="B100" s="189" t="s">
        <v>29</v>
      </c>
      <c r="C100" s="189" t="s">
        <v>29</v>
      </c>
      <c r="D100" s="189">
        <v>1130</v>
      </c>
      <c r="E100" s="189">
        <v>3546</v>
      </c>
      <c r="F100" s="189">
        <v>2018</v>
      </c>
      <c r="G100" s="189">
        <v>1895</v>
      </c>
      <c r="H100" s="189">
        <v>397</v>
      </c>
      <c r="I100" s="189">
        <v>90</v>
      </c>
      <c r="J100" s="189" t="s">
        <v>29</v>
      </c>
      <c r="K100" s="189" t="s">
        <v>29</v>
      </c>
      <c r="L100" s="189">
        <f t="shared" si="6"/>
        <v>9076</v>
      </c>
      <c r="N100" s="189">
        <v>87485</v>
      </c>
      <c r="O100" s="189">
        <v>145114</v>
      </c>
      <c r="P100" s="189">
        <v>67530</v>
      </c>
      <c r="Q100" s="189">
        <v>7122</v>
      </c>
      <c r="R100" s="189">
        <v>204</v>
      </c>
      <c r="S100" s="189">
        <f t="shared" si="7"/>
        <v>307455</v>
      </c>
    </row>
    <row r="101" spans="1:19" x14ac:dyDescent="0.2">
      <c r="A101" s="371">
        <v>1977</v>
      </c>
      <c r="B101" s="189" t="s">
        <v>29</v>
      </c>
      <c r="C101" s="189" t="s">
        <v>29</v>
      </c>
      <c r="D101" s="189">
        <v>150</v>
      </c>
      <c r="E101" s="189">
        <v>10127</v>
      </c>
      <c r="F101" s="189">
        <v>10969</v>
      </c>
      <c r="G101" s="189">
        <v>3094</v>
      </c>
      <c r="H101" s="189">
        <v>1382</v>
      </c>
      <c r="I101" s="189">
        <v>423</v>
      </c>
      <c r="J101" s="189" t="s">
        <v>29</v>
      </c>
      <c r="K101" s="189" t="s">
        <v>29</v>
      </c>
      <c r="L101" s="189">
        <f t="shared" si="6"/>
        <v>26145</v>
      </c>
      <c r="N101" s="189">
        <v>21648</v>
      </c>
      <c r="O101" s="189">
        <v>60470</v>
      </c>
      <c r="P101" s="189">
        <v>14248</v>
      </c>
      <c r="Q101" s="189">
        <v>1935</v>
      </c>
      <c r="R101" s="189">
        <v>96</v>
      </c>
      <c r="S101" s="189">
        <f t="shared" si="7"/>
        <v>98397</v>
      </c>
    </row>
    <row r="102" spans="1:19" x14ac:dyDescent="0.2">
      <c r="A102" s="371">
        <v>1978</v>
      </c>
      <c r="B102" s="189" t="s">
        <v>29</v>
      </c>
      <c r="C102" s="189" t="s">
        <v>29</v>
      </c>
      <c r="D102" s="189">
        <v>24</v>
      </c>
      <c r="E102" s="189">
        <v>2318</v>
      </c>
      <c r="F102" s="189">
        <v>3839</v>
      </c>
      <c r="G102" s="189">
        <v>1549</v>
      </c>
      <c r="H102" s="189">
        <v>207</v>
      </c>
      <c r="I102" s="189">
        <v>201</v>
      </c>
      <c r="J102" s="189" t="s">
        <v>29</v>
      </c>
      <c r="K102" s="189" t="s">
        <v>29</v>
      </c>
      <c r="L102" s="189">
        <f t="shared" si="6"/>
        <v>8138</v>
      </c>
      <c r="N102" s="189">
        <v>40676</v>
      </c>
      <c r="O102" s="189">
        <v>39609</v>
      </c>
      <c r="P102" s="189">
        <v>11964</v>
      </c>
      <c r="Q102" s="189">
        <v>1078</v>
      </c>
      <c r="R102" s="189">
        <v>72</v>
      </c>
      <c r="S102" s="189">
        <f t="shared" si="7"/>
        <v>93399</v>
      </c>
    </row>
    <row r="103" spans="1:19" x14ac:dyDescent="0.2">
      <c r="A103" s="371">
        <v>1979</v>
      </c>
      <c r="B103" s="189" t="s">
        <v>29</v>
      </c>
      <c r="C103" s="189" t="s">
        <v>29</v>
      </c>
      <c r="D103" s="189">
        <v>127</v>
      </c>
      <c r="E103" s="189">
        <v>0</v>
      </c>
      <c r="F103" s="189">
        <v>2124</v>
      </c>
      <c r="G103" s="189">
        <v>2527</v>
      </c>
      <c r="H103" s="189">
        <v>14</v>
      </c>
      <c r="I103" s="189">
        <v>158</v>
      </c>
      <c r="J103" s="189" t="s">
        <v>29</v>
      </c>
      <c r="K103" s="189" t="s">
        <v>29</v>
      </c>
      <c r="L103" s="189">
        <f t="shared" si="6"/>
        <v>4950</v>
      </c>
      <c r="N103" s="189" t="s">
        <v>29</v>
      </c>
      <c r="O103" s="189">
        <v>56202</v>
      </c>
      <c r="P103" s="189">
        <v>21696</v>
      </c>
      <c r="Q103" s="189">
        <v>26</v>
      </c>
      <c r="R103" s="189" t="s">
        <v>29</v>
      </c>
      <c r="S103" s="189">
        <f t="shared" si="7"/>
        <v>77924</v>
      </c>
    </row>
    <row r="104" spans="1:19" x14ac:dyDescent="0.2">
      <c r="A104" s="371">
        <v>1980</v>
      </c>
      <c r="B104" s="189" t="s">
        <v>29</v>
      </c>
      <c r="C104" s="189" t="s">
        <v>29</v>
      </c>
      <c r="D104" s="189">
        <v>947</v>
      </c>
      <c r="E104" s="189">
        <v>288</v>
      </c>
      <c r="F104" s="189">
        <v>1588</v>
      </c>
      <c r="G104" s="189">
        <v>4375</v>
      </c>
      <c r="H104" s="189">
        <v>526</v>
      </c>
      <c r="I104" s="189">
        <v>75</v>
      </c>
      <c r="J104" s="189" t="s">
        <v>29</v>
      </c>
      <c r="K104" s="189" t="s">
        <v>29</v>
      </c>
      <c r="L104" s="189">
        <f t="shared" si="6"/>
        <v>7799</v>
      </c>
      <c r="N104" s="189" t="s">
        <v>29</v>
      </c>
      <c r="O104" s="189">
        <v>29532</v>
      </c>
      <c r="P104" s="189">
        <v>23709</v>
      </c>
      <c r="Q104" s="189">
        <v>8</v>
      </c>
      <c r="R104" s="189" t="s">
        <v>29</v>
      </c>
      <c r="S104" s="189">
        <f t="shared" si="7"/>
        <v>53249</v>
      </c>
    </row>
    <row r="105" spans="1:19" x14ac:dyDescent="0.2">
      <c r="A105" s="371">
        <v>1981</v>
      </c>
      <c r="B105" s="189" t="s">
        <v>29</v>
      </c>
      <c r="C105" s="189" t="s">
        <v>29</v>
      </c>
      <c r="D105" s="189">
        <v>4251</v>
      </c>
      <c r="E105" s="189">
        <v>0</v>
      </c>
      <c r="F105" s="189">
        <v>5304</v>
      </c>
      <c r="G105" s="189">
        <v>2381</v>
      </c>
      <c r="H105" s="189">
        <v>200</v>
      </c>
      <c r="I105" s="189">
        <v>170</v>
      </c>
      <c r="J105" s="189" t="s">
        <v>29</v>
      </c>
      <c r="K105" s="189" t="s">
        <v>29</v>
      </c>
      <c r="L105" s="189">
        <f t="shared" si="6"/>
        <v>12306</v>
      </c>
      <c r="N105" s="189" t="s">
        <v>29</v>
      </c>
      <c r="O105" s="189">
        <v>117054</v>
      </c>
      <c r="P105" s="189">
        <v>42020</v>
      </c>
      <c r="Q105" s="189" t="s">
        <v>29</v>
      </c>
      <c r="R105" s="189" t="s">
        <v>29</v>
      </c>
      <c r="S105" s="189">
        <f t="shared" si="7"/>
        <v>159074</v>
      </c>
    </row>
    <row r="106" spans="1:19" x14ac:dyDescent="0.2">
      <c r="A106" s="371">
        <v>1982</v>
      </c>
      <c r="B106" s="189" t="s">
        <v>29</v>
      </c>
      <c r="C106" s="189" t="s">
        <v>29</v>
      </c>
      <c r="D106" s="189">
        <v>2683</v>
      </c>
      <c r="E106" s="189">
        <v>864</v>
      </c>
      <c r="F106" s="189">
        <v>3062</v>
      </c>
      <c r="G106" s="189">
        <v>703</v>
      </c>
      <c r="H106" s="189">
        <v>378</v>
      </c>
      <c r="I106" s="189">
        <v>190</v>
      </c>
      <c r="J106" s="189" t="s">
        <v>29</v>
      </c>
      <c r="K106" s="189" t="s">
        <v>29</v>
      </c>
      <c r="L106" s="189">
        <f t="shared" si="6"/>
        <v>7880</v>
      </c>
      <c r="N106" s="189" t="s">
        <v>29</v>
      </c>
      <c r="O106" s="189">
        <v>113632</v>
      </c>
      <c r="P106" s="189" t="s">
        <v>29</v>
      </c>
      <c r="Q106" s="189" t="s">
        <v>29</v>
      </c>
      <c r="R106" s="189" t="s">
        <v>29</v>
      </c>
      <c r="S106" s="189">
        <f t="shared" si="7"/>
        <v>113632</v>
      </c>
    </row>
    <row r="107" spans="1:19" x14ac:dyDescent="0.2">
      <c r="A107" s="371">
        <v>1983</v>
      </c>
      <c r="B107" s="189" t="s">
        <v>29</v>
      </c>
      <c r="C107" s="189" t="s">
        <v>29</v>
      </c>
      <c r="D107" s="189">
        <v>430</v>
      </c>
      <c r="E107" s="189">
        <v>264</v>
      </c>
      <c r="F107" s="189">
        <v>1545</v>
      </c>
      <c r="G107" s="189">
        <v>1131</v>
      </c>
      <c r="H107" s="189">
        <v>395</v>
      </c>
      <c r="I107" s="189">
        <v>379</v>
      </c>
      <c r="J107" s="189">
        <v>2</v>
      </c>
      <c r="K107" s="189" t="s">
        <v>29</v>
      </c>
      <c r="L107" s="189">
        <f t="shared" si="6"/>
        <v>4146</v>
      </c>
      <c r="N107" s="189" t="s">
        <v>29</v>
      </c>
      <c r="O107" s="189">
        <v>43161</v>
      </c>
      <c r="P107" s="189">
        <v>18324</v>
      </c>
      <c r="Q107" s="189">
        <v>1637</v>
      </c>
      <c r="R107" s="189" t="s">
        <v>29</v>
      </c>
      <c r="S107" s="189">
        <f t="shared" si="7"/>
        <v>63122</v>
      </c>
    </row>
    <row r="108" spans="1:19" x14ac:dyDescent="0.2">
      <c r="A108" s="371">
        <v>1984</v>
      </c>
      <c r="B108" s="189" t="s">
        <v>29</v>
      </c>
      <c r="C108" s="189" t="s">
        <v>29</v>
      </c>
      <c r="D108" s="189">
        <v>327</v>
      </c>
      <c r="E108" s="189">
        <v>55</v>
      </c>
      <c r="F108" s="189">
        <v>174</v>
      </c>
      <c r="G108" s="189">
        <v>1143</v>
      </c>
      <c r="H108" s="189">
        <v>71</v>
      </c>
      <c r="I108" s="189">
        <v>85</v>
      </c>
      <c r="J108" s="189">
        <v>11</v>
      </c>
      <c r="K108" s="189" t="s">
        <v>29</v>
      </c>
      <c r="L108" s="189">
        <f t="shared" si="6"/>
        <v>1866</v>
      </c>
      <c r="N108" s="189" t="s">
        <v>29</v>
      </c>
      <c r="O108" s="189" t="s">
        <v>29</v>
      </c>
      <c r="P108" s="189" t="s">
        <v>29</v>
      </c>
      <c r="Q108" s="189" t="s">
        <v>29</v>
      </c>
      <c r="R108" s="189" t="s">
        <v>29</v>
      </c>
      <c r="S108" s="189" t="s">
        <v>29</v>
      </c>
    </row>
    <row r="109" spans="1:19" x14ac:dyDescent="0.2">
      <c r="A109" s="371">
        <v>1985</v>
      </c>
      <c r="B109" s="189" t="s">
        <v>29</v>
      </c>
      <c r="C109" s="189" t="s">
        <v>29</v>
      </c>
      <c r="D109" s="189">
        <v>42</v>
      </c>
      <c r="E109" s="189">
        <v>231</v>
      </c>
      <c r="F109" s="189">
        <v>1814</v>
      </c>
      <c r="G109" s="189">
        <v>690</v>
      </c>
      <c r="H109" s="189">
        <v>362</v>
      </c>
      <c r="I109" s="189">
        <v>170</v>
      </c>
      <c r="J109" s="189" t="s">
        <v>29</v>
      </c>
      <c r="K109" s="189" t="s">
        <v>29</v>
      </c>
      <c r="L109" s="189">
        <f t="shared" si="6"/>
        <v>3309</v>
      </c>
      <c r="N109" s="189" t="s">
        <v>29</v>
      </c>
      <c r="O109" s="189">
        <v>1479</v>
      </c>
      <c r="P109" s="189">
        <v>15</v>
      </c>
      <c r="Q109" s="189" t="s">
        <v>29</v>
      </c>
      <c r="R109" s="189" t="s">
        <v>29</v>
      </c>
      <c r="S109" s="189">
        <f t="shared" si="7"/>
        <v>1494</v>
      </c>
    </row>
    <row r="110" spans="1:19" x14ac:dyDescent="0.2">
      <c r="A110" s="364">
        <v>1986</v>
      </c>
      <c r="B110" s="189" t="s">
        <v>29</v>
      </c>
      <c r="C110" s="189" t="s">
        <v>29</v>
      </c>
      <c r="D110" s="189">
        <v>220</v>
      </c>
      <c r="E110" s="189">
        <v>52</v>
      </c>
      <c r="F110" s="189">
        <v>2750</v>
      </c>
      <c r="G110" s="189">
        <v>3076</v>
      </c>
      <c r="H110" s="189">
        <v>6462</v>
      </c>
      <c r="I110" s="189">
        <v>1517</v>
      </c>
      <c r="J110" s="189">
        <v>11</v>
      </c>
      <c r="K110" s="189" t="s">
        <v>29</v>
      </c>
      <c r="L110" s="189">
        <f t="shared" si="6"/>
        <v>14088</v>
      </c>
      <c r="N110" s="189" t="s">
        <v>29</v>
      </c>
      <c r="O110" s="189">
        <v>96733</v>
      </c>
      <c r="P110" s="189" t="s">
        <v>29</v>
      </c>
      <c r="Q110" s="189" t="s">
        <v>29</v>
      </c>
      <c r="R110" s="189" t="s">
        <v>29</v>
      </c>
      <c r="S110" s="189">
        <f t="shared" si="7"/>
        <v>96733</v>
      </c>
    </row>
    <row r="111" spans="1:19" x14ac:dyDescent="0.2">
      <c r="A111" s="364">
        <v>1987</v>
      </c>
      <c r="B111" s="189" t="s">
        <v>29</v>
      </c>
      <c r="C111" s="189" t="s">
        <v>29</v>
      </c>
      <c r="D111" s="189">
        <v>1803</v>
      </c>
      <c r="E111" s="189">
        <v>1611</v>
      </c>
      <c r="F111" s="189">
        <v>16109</v>
      </c>
      <c r="G111" s="189">
        <v>11700</v>
      </c>
      <c r="H111" s="189">
        <v>6938</v>
      </c>
      <c r="I111" s="189">
        <v>3221</v>
      </c>
      <c r="J111" s="189" t="s">
        <v>29</v>
      </c>
      <c r="K111" s="189" t="s">
        <v>29</v>
      </c>
      <c r="L111" s="189">
        <f t="shared" si="6"/>
        <v>41382</v>
      </c>
      <c r="N111" s="189" t="s">
        <v>29</v>
      </c>
      <c r="O111" s="189">
        <v>49560</v>
      </c>
      <c r="P111" s="189">
        <v>19757</v>
      </c>
      <c r="Q111" s="189">
        <v>5397</v>
      </c>
      <c r="R111" s="189" t="s">
        <v>29</v>
      </c>
      <c r="S111" s="189">
        <f t="shared" si="7"/>
        <v>74714</v>
      </c>
    </row>
    <row r="112" spans="1:19" x14ac:dyDescent="0.2">
      <c r="A112" s="364">
        <v>1988</v>
      </c>
      <c r="B112" s="189" t="s">
        <v>29</v>
      </c>
      <c r="C112" s="189" t="s">
        <v>29</v>
      </c>
      <c r="D112" s="189">
        <v>899</v>
      </c>
      <c r="E112" s="189">
        <v>5690</v>
      </c>
      <c r="F112" s="189">
        <v>9513</v>
      </c>
      <c r="G112" s="189">
        <v>8826</v>
      </c>
      <c r="H112" s="189">
        <v>5049</v>
      </c>
      <c r="I112" s="189">
        <v>2785</v>
      </c>
      <c r="J112" s="189" t="s">
        <v>29</v>
      </c>
      <c r="K112" s="189" t="s">
        <v>29</v>
      </c>
      <c r="L112" s="189">
        <f t="shared" si="6"/>
        <v>32762</v>
      </c>
      <c r="N112" s="189" t="s">
        <v>29</v>
      </c>
      <c r="O112" s="189">
        <v>124175</v>
      </c>
      <c r="P112" s="189">
        <v>48109</v>
      </c>
      <c r="Q112" s="189" t="s">
        <v>29</v>
      </c>
      <c r="R112" s="189" t="s">
        <v>29</v>
      </c>
      <c r="S112" s="189">
        <f t="shared" si="7"/>
        <v>172284</v>
      </c>
    </row>
    <row r="113" spans="1:19" x14ac:dyDescent="0.2">
      <c r="A113" s="364">
        <v>1989</v>
      </c>
      <c r="B113" s="189" t="s">
        <v>29</v>
      </c>
      <c r="C113" s="189" t="s">
        <v>29</v>
      </c>
      <c r="D113" s="189">
        <v>5381</v>
      </c>
      <c r="E113" s="189">
        <v>7832</v>
      </c>
      <c r="F113" s="189">
        <v>6824</v>
      </c>
      <c r="G113" s="189">
        <v>4345</v>
      </c>
      <c r="H113" s="189">
        <v>4503</v>
      </c>
      <c r="I113" s="189">
        <v>1544</v>
      </c>
      <c r="J113" s="189" t="s">
        <v>29</v>
      </c>
      <c r="K113" s="189" t="s">
        <v>29</v>
      </c>
      <c r="L113" s="189">
        <f t="shared" si="6"/>
        <v>30429</v>
      </c>
      <c r="N113" s="189" t="s">
        <v>29</v>
      </c>
      <c r="O113" s="189">
        <v>117119</v>
      </c>
      <c r="P113" s="189">
        <v>19151</v>
      </c>
      <c r="Q113" s="189" t="s">
        <v>29</v>
      </c>
      <c r="R113" s="189" t="s">
        <v>29</v>
      </c>
      <c r="S113" s="189">
        <f t="shared" si="7"/>
        <v>136270</v>
      </c>
    </row>
    <row r="114" spans="1:19" x14ac:dyDescent="0.2">
      <c r="A114" s="364">
        <v>1990</v>
      </c>
      <c r="B114" s="189" t="s">
        <v>29</v>
      </c>
      <c r="C114" s="189" t="s">
        <v>29</v>
      </c>
      <c r="D114" s="189">
        <v>422</v>
      </c>
      <c r="E114" s="189">
        <v>551</v>
      </c>
      <c r="F114" s="189">
        <v>5451</v>
      </c>
      <c r="G114" s="189">
        <v>3112</v>
      </c>
      <c r="H114" s="189">
        <v>1777</v>
      </c>
      <c r="I114" s="189">
        <v>1234</v>
      </c>
      <c r="J114" s="189" t="s">
        <v>29</v>
      </c>
      <c r="K114" s="189" t="s">
        <v>29</v>
      </c>
      <c r="L114" s="189">
        <f t="shared" si="6"/>
        <v>12547</v>
      </c>
      <c r="N114" s="189" t="s">
        <v>29</v>
      </c>
      <c r="O114" s="189">
        <v>23162</v>
      </c>
      <c r="P114" s="189">
        <v>30129</v>
      </c>
      <c r="Q114" s="189" t="s">
        <v>29</v>
      </c>
      <c r="R114" s="189" t="s">
        <v>29</v>
      </c>
      <c r="S114" s="189">
        <f t="shared" si="7"/>
        <v>53291</v>
      </c>
    </row>
    <row r="115" spans="1:19" x14ac:dyDescent="0.2">
      <c r="A115" s="364">
        <v>1991</v>
      </c>
      <c r="B115" s="189" t="s">
        <v>29</v>
      </c>
      <c r="C115" s="189" t="s">
        <v>29</v>
      </c>
      <c r="D115" s="189">
        <v>224</v>
      </c>
      <c r="E115" s="189">
        <v>175</v>
      </c>
      <c r="F115" s="189">
        <v>3104</v>
      </c>
      <c r="G115" s="189">
        <v>1923</v>
      </c>
      <c r="H115" s="189">
        <v>2059</v>
      </c>
      <c r="I115" s="189">
        <v>1989</v>
      </c>
      <c r="J115" s="189" t="s">
        <v>29</v>
      </c>
      <c r="K115" s="189" t="s">
        <v>29</v>
      </c>
      <c r="L115" s="189">
        <f t="shared" si="6"/>
        <v>9474</v>
      </c>
      <c r="N115" s="189" t="s">
        <v>29</v>
      </c>
      <c r="O115" s="189">
        <v>89936</v>
      </c>
      <c r="P115" s="189" t="s">
        <v>29</v>
      </c>
      <c r="Q115" s="189" t="s">
        <v>29</v>
      </c>
      <c r="R115" s="189" t="s">
        <v>29</v>
      </c>
      <c r="S115" s="189">
        <f t="shared" si="7"/>
        <v>89936</v>
      </c>
    </row>
    <row r="116" spans="1:19" x14ac:dyDescent="0.2">
      <c r="A116" s="364">
        <v>1992</v>
      </c>
      <c r="B116" s="189" t="s">
        <v>29</v>
      </c>
      <c r="C116" s="189" t="s">
        <v>29</v>
      </c>
      <c r="D116" s="189">
        <v>377</v>
      </c>
      <c r="E116" s="189" t="s">
        <v>29</v>
      </c>
      <c r="F116" s="189">
        <v>422</v>
      </c>
      <c r="G116" s="189">
        <v>2171</v>
      </c>
      <c r="H116" s="189">
        <v>1859</v>
      </c>
      <c r="I116" s="189">
        <v>2436</v>
      </c>
      <c r="J116" s="189" t="s">
        <v>29</v>
      </c>
      <c r="K116" s="189" t="s">
        <v>29</v>
      </c>
      <c r="L116" s="189">
        <f t="shared" si="6"/>
        <v>7265</v>
      </c>
      <c r="N116" s="189" t="s">
        <v>29</v>
      </c>
      <c r="O116" s="189">
        <v>797</v>
      </c>
      <c r="P116" s="189">
        <v>7065</v>
      </c>
      <c r="Q116" s="189" t="s">
        <v>29</v>
      </c>
      <c r="R116" s="189">
        <v>12</v>
      </c>
      <c r="S116" s="189">
        <f t="shared" si="7"/>
        <v>7874</v>
      </c>
    </row>
    <row r="117" spans="1:19" x14ac:dyDescent="0.2">
      <c r="A117" s="364">
        <v>1993</v>
      </c>
      <c r="B117" s="189" t="s">
        <v>29</v>
      </c>
      <c r="C117" s="189" t="s">
        <v>29</v>
      </c>
      <c r="D117" s="189">
        <v>468</v>
      </c>
      <c r="E117" s="189">
        <v>199</v>
      </c>
      <c r="F117" s="189">
        <v>778</v>
      </c>
      <c r="G117" s="189">
        <v>642</v>
      </c>
      <c r="H117" s="189">
        <v>2641</v>
      </c>
      <c r="I117" s="189">
        <v>1616</v>
      </c>
      <c r="J117" s="189" t="s">
        <v>29</v>
      </c>
      <c r="K117" s="189" t="s">
        <v>29</v>
      </c>
      <c r="L117" s="189">
        <f t="shared" si="6"/>
        <v>6344</v>
      </c>
      <c r="N117" s="189" t="s">
        <v>29</v>
      </c>
      <c r="O117" s="189" t="s">
        <v>29</v>
      </c>
      <c r="P117" s="189" t="s">
        <v>29</v>
      </c>
      <c r="Q117" s="189" t="s">
        <v>29</v>
      </c>
      <c r="R117" s="189" t="s">
        <v>29</v>
      </c>
      <c r="S117" s="189" t="s">
        <v>29</v>
      </c>
    </row>
    <row r="118" spans="1:19" x14ac:dyDescent="0.2">
      <c r="A118" s="364">
        <v>1994</v>
      </c>
      <c r="B118" s="189" t="s">
        <v>29</v>
      </c>
      <c r="C118" s="189" t="s">
        <v>29</v>
      </c>
      <c r="D118" s="189">
        <v>98</v>
      </c>
      <c r="E118" s="189">
        <v>282</v>
      </c>
      <c r="F118" s="189" t="s">
        <v>29</v>
      </c>
      <c r="G118" s="189" t="s">
        <v>29</v>
      </c>
      <c r="H118" s="189" t="s">
        <v>29</v>
      </c>
      <c r="I118" s="189">
        <v>1266</v>
      </c>
      <c r="J118" s="189">
        <v>7</v>
      </c>
      <c r="K118" s="189" t="s">
        <v>29</v>
      </c>
      <c r="L118" s="189">
        <f t="shared" si="6"/>
        <v>1653</v>
      </c>
      <c r="N118" s="189" t="s">
        <v>29</v>
      </c>
      <c r="O118" s="189" t="s">
        <v>29</v>
      </c>
      <c r="P118" s="189" t="s">
        <v>29</v>
      </c>
      <c r="Q118" s="189" t="s">
        <v>29</v>
      </c>
      <c r="R118" s="189" t="s">
        <v>29</v>
      </c>
      <c r="S118" s="189" t="s">
        <v>29</v>
      </c>
    </row>
    <row r="119" spans="1:19" x14ac:dyDescent="0.2">
      <c r="A119" s="364">
        <v>1995</v>
      </c>
      <c r="B119" s="189" t="s">
        <v>29</v>
      </c>
      <c r="C119" s="189" t="s">
        <v>29</v>
      </c>
      <c r="D119" s="189">
        <v>364</v>
      </c>
      <c r="E119" s="189">
        <v>842</v>
      </c>
      <c r="F119" s="189" t="s">
        <v>29</v>
      </c>
      <c r="G119" s="189">
        <v>6636</v>
      </c>
      <c r="H119" s="189">
        <v>1130</v>
      </c>
      <c r="I119" s="189">
        <v>726</v>
      </c>
      <c r="J119" s="189" t="s">
        <v>29</v>
      </c>
      <c r="K119" s="189" t="s">
        <v>29</v>
      </c>
      <c r="L119" s="189">
        <f t="shared" si="6"/>
        <v>9698</v>
      </c>
      <c r="N119" s="189" t="s">
        <v>29</v>
      </c>
      <c r="O119" s="189" t="s">
        <v>29</v>
      </c>
      <c r="P119" s="189" t="s">
        <v>29</v>
      </c>
      <c r="Q119" s="189" t="s">
        <v>29</v>
      </c>
      <c r="R119" s="189" t="s">
        <v>29</v>
      </c>
      <c r="S119" s="189" t="s">
        <v>29</v>
      </c>
    </row>
    <row r="120" spans="1:19" x14ac:dyDescent="0.2">
      <c r="A120" s="364">
        <v>1996</v>
      </c>
      <c r="B120" s="189" t="s">
        <v>29</v>
      </c>
      <c r="C120" s="189" t="s">
        <v>29</v>
      </c>
      <c r="D120" s="189">
        <v>719</v>
      </c>
      <c r="E120" s="189">
        <v>8565</v>
      </c>
      <c r="F120" s="189" t="s">
        <v>29</v>
      </c>
      <c r="G120" s="189">
        <v>1088</v>
      </c>
      <c r="H120" s="189">
        <v>2062</v>
      </c>
      <c r="I120" s="189">
        <v>702</v>
      </c>
      <c r="J120" s="189">
        <v>0</v>
      </c>
      <c r="K120" s="189" t="s">
        <v>29</v>
      </c>
      <c r="L120" s="189">
        <f t="shared" si="6"/>
        <v>13136</v>
      </c>
      <c r="N120" s="189" t="s">
        <v>29</v>
      </c>
      <c r="O120" s="189" t="s">
        <v>29</v>
      </c>
      <c r="P120" s="189" t="s">
        <v>29</v>
      </c>
      <c r="Q120" s="189" t="s">
        <v>29</v>
      </c>
      <c r="R120" s="189" t="s">
        <v>29</v>
      </c>
      <c r="S120" s="189" t="s">
        <v>29</v>
      </c>
    </row>
    <row r="121" spans="1:19" x14ac:dyDescent="0.2">
      <c r="A121" s="364">
        <v>1997</v>
      </c>
      <c r="B121" s="189" t="s">
        <v>29</v>
      </c>
      <c r="C121" s="189">
        <v>41</v>
      </c>
      <c r="D121" s="189">
        <v>244</v>
      </c>
      <c r="E121" s="189">
        <v>567</v>
      </c>
      <c r="F121" s="189" t="s">
        <v>29</v>
      </c>
      <c r="G121" s="189">
        <v>292</v>
      </c>
      <c r="H121" s="189">
        <v>710</v>
      </c>
      <c r="I121" s="189">
        <v>440</v>
      </c>
      <c r="J121" s="189">
        <v>37</v>
      </c>
      <c r="K121" s="189" t="s">
        <v>29</v>
      </c>
      <c r="L121" s="189">
        <f t="shared" si="6"/>
        <v>2331</v>
      </c>
      <c r="N121" s="189" t="s">
        <v>29</v>
      </c>
      <c r="O121" s="189" t="s">
        <v>29</v>
      </c>
      <c r="P121" s="189" t="s">
        <v>29</v>
      </c>
      <c r="Q121" s="189" t="s">
        <v>29</v>
      </c>
      <c r="R121" s="189" t="s">
        <v>29</v>
      </c>
      <c r="S121" s="189" t="s">
        <v>29</v>
      </c>
    </row>
    <row r="122" spans="1:19" x14ac:dyDescent="0.2">
      <c r="A122" s="364">
        <v>1998</v>
      </c>
      <c r="B122" s="189" t="s">
        <v>29</v>
      </c>
      <c r="C122" s="189">
        <v>165</v>
      </c>
      <c r="D122" s="189">
        <v>423</v>
      </c>
      <c r="E122" s="189">
        <v>809</v>
      </c>
      <c r="F122" s="189" t="s">
        <v>29</v>
      </c>
      <c r="G122" s="189">
        <v>2181</v>
      </c>
      <c r="H122" s="189">
        <v>2160</v>
      </c>
      <c r="I122" s="189">
        <v>784</v>
      </c>
      <c r="J122" s="189">
        <v>42</v>
      </c>
      <c r="K122" s="189" t="s">
        <v>29</v>
      </c>
      <c r="L122" s="189">
        <f t="shared" si="6"/>
        <v>6564</v>
      </c>
      <c r="N122" s="189" t="s">
        <v>29</v>
      </c>
      <c r="O122" s="189" t="s">
        <v>29</v>
      </c>
      <c r="P122" s="189" t="s">
        <v>29</v>
      </c>
      <c r="Q122" s="189" t="s">
        <v>29</v>
      </c>
      <c r="R122" s="189" t="s">
        <v>29</v>
      </c>
      <c r="S122" s="189" t="s">
        <v>29</v>
      </c>
    </row>
    <row r="123" spans="1:19" x14ac:dyDescent="0.2">
      <c r="A123" s="364">
        <v>1999</v>
      </c>
      <c r="B123" s="189" t="s">
        <v>29</v>
      </c>
      <c r="C123" s="189">
        <v>1</v>
      </c>
      <c r="D123" s="189">
        <v>259</v>
      </c>
      <c r="E123" s="189">
        <v>555</v>
      </c>
      <c r="F123" s="189">
        <v>171</v>
      </c>
      <c r="G123" s="189">
        <v>963</v>
      </c>
      <c r="H123" s="189">
        <v>624</v>
      </c>
      <c r="I123" s="189">
        <v>219</v>
      </c>
      <c r="J123" s="205">
        <v>12</v>
      </c>
      <c r="K123" s="189" t="s">
        <v>29</v>
      </c>
      <c r="L123" s="189">
        <f t="shared" si="6"/>
        <v>2804</v>
      </c>
      <c r="N123" s="189" t="s">
        <v>29</v>
      </c>
      <c r="O123" s="189" t="s">
        <v>29</v>
      </c>
      <c r="P123" s="189" t="s">
        <v>29</v>
      </c>
      <c r="Q123" s="189" t="s">
        <v>29</v>
      </c>
      <c r="R123" s="189" t="s">
        <v>29</v>
      </c>
      <c r="S123" s="189" t="s">
        <v>29</v>
      </c>
    </row>
    <row r="124" spans="1:19" x14ac:dyDescent="0.2">
      <c r="A124" s="364">
        <v>2000</v>
      </c>
      <c r="B124" s="189" t="s">
        <v>29</v>
      </c>
      <c r="C124" s="189">
        <v>1</v>
      </c>
      <c r="D124" s="189">
        <v>170</v>
      </c>
      <c r="E124" s="189">
        <v>3817</v>
      </c>
      <c r="F124" s="189">
        <v>569</v>
      </c>
      <c r="G124" s="189">
        <v>5887</v>
      </c>
      <c r="H124" s="189">
        <v>1511</v>
      </c>
      <c r="I124" s="189">
        <v>4151</v>
      </c>
      <c r="J124" s="205">
        <v>14</v>
      </c>
      <c r="K124" s="189" t="s">
        <v>29</v>
      </c>
      <c r="L124" s="189">
        <f t="shared" si="6"/>
        <v>16120</v>
      </c>
      <c r="N124" s="189" t="s">
        <v>29</v>
      </c>
      <c r="O124" s="189" t="s">
        <v>29</v>
      </c>
      <c r="P124" s="189" t="s">
        <v>29</v>
      </c>
      <c r="Q124" s="189" t="s">
        <v>29</v>
      </c>
      <c r="R124" s="189" t="s">
        <v>29</v>
      </c>
      <c r="S124" s="189" t="s">
        <v>29</v>
      </c>
    </row>
    <row r="125" spans="1:19" x14ac:dyDescent="0.2">
      <c r="A125" s="364">
        <v>2001</v>
      </c>
      <c r="B125" s="189" t="s">
        <v>29</v>
      </c>
      <c r="C125" s="189">
        <v>791</v>
      </c>
      <c r="D125" s="189">
        <v>927</v>
      </c>
      <c r="E125" s="189">
        <v>4799</v>
      </c>
      <c r="F125" s="189">
        <v>7629</v>
      </c>
      <c r="G125" s="189">
        <v>6776</v>
      </c>
      <c r="H125" s="189">
        <v>3968</v>
      </c>
      <c r="I125" s="189">
        <v>1425</v>
      </c>
      <c r="J125" s="205">
        <v>42</v>
      </c>
      <c r="K125" s="189" t="s">
        <v>29</v>
      </c>
      <c r="L125" s="189">
        <f t="shared" si="6"/>
        <v>26357</v>
      </c>
      <c r="N125" s="189" t="s">
        <v>29</v>
      </c>
      <c r="O125" s="189" t="s">
        <v>29</v>
      </c>
      <c r="P125" s="189" t="s">
        <v>29</v>
      </c>
      <c r="Q125" s="189" t="s">
        <v>29</v>
      </c>
      <c r="R125" s="189" t="s">
        <v>29</v>
      </c>
      <c r="S125" s="189" t="s">
        <v>29</v>
      </c>
    </row>
    <row r="126" spans="1:19" x14ac:dyDescent="0.2">
      <c r="A126" s="364">
        <v>2002</v>
      </c>
      <c r="B126" s="189">
        <v>131</v>
      </c>
      <c r="C126" s="189">
        <v>98</v>
      </c>
      <c r="D126" s="189">
        <v>1270</v>
      </c>
      <c r="E126" s="189">
        <v>4684</v>
      </c>
      <c r="F126" s="189">
        <v>1671</v>
      </c>
      <c r="G126" s="189">
        <v>5361</v>
      </c>
      <c r="H126" s="189">
        <v>6983</v>
      </c>
      <c r="I126" s="189">
        <v>10128</v>
      </c>
      <c r="J126" s="205">
        <v>5</v>
      </c>
      <c r="K126" s="189" t="s">
        <v>29</v>
      </c>
      <c r="L126" s="189">
        <f t="shared" si="6"/>
        <v>30331</v>
      </c>
      <c r="N126" s="189" t="s">
        <v>29</v>
      </c>
      <c r="O126" s="189" t="s">
        <v>29</v>
      </c>
      <c r="P126" s="189" t="s">
        <v>29</v>
      </c>
      <c r="Q126" s="189" t="s">
        <v>29</v>
      </c>
      <c r="R126" s="189" t="s">
        <v>29</v>
      </c>
      <c r="S126" s="189" t="s">
        <v>29</v>
      </c>
    </row>
    <row r="127" spans="1:19" x14ac:dyDescent="0.2">
      <c r="A127" s="118">
        <v>2003</v>
      </c>
      <c r="B127" s="189">
        <v>335</v>
      </c>
      <c r="C127" s="189">
        <v>84</v>
      </c>
      <c r="D127" s="189">
        <v>13970</v>
      </c>
      <c r="E127" s="189">
        <v>11718</v>
      </c>
      <c r="F127" s="189">
        <v>1205</v>
      </c>
      <c r="G127" s="189">
        <v>1451</v>
      </c>
      <c r="H127" s="189">
        <v>2649</v>
      </c>
      <c r="I127" s="189">
        <v>2071</v>
      </c>
      <c r="J127" s="205">
        <v>33</v>
      </c>
      <c r="K127" s="189" t="s">
        <v>29</v>
      </c>
      <c r="L127" s="189">
        <f t="shared" si="6"/>
        <v>33516</v>
      </c>
      <c r="N127" s="189" t="s">
        <v>29</v>
      </c>
      <c r="O127" s="189" t="s">
        <v>29</v>
      </c>
      <c r="P127" s="189" t="s">
        <v>29</v>
      </c>
      <c r="Q127" s="189" t="s">
        <v>29</v>
      </c>
      <c r="R127" s="189" t="s">
        <v>29</v>
      </c>
      <c r="S127" s="189" t="s">
        <v>29</v>
      </c>
    </row>
    <row r="128" spans="1:19" x14ac:dyDescent="0.2">
      <c r="A128" s="118">
        <v>2004</v>
      </c>
      <c r="B128" s="189">
        <v>31</v>
      </c>
      <c r="C128" s="189">
        <v>2967</v>
      </c>
      <c r="D128" s="189">
        <v>3373</v>
      </c>
      <c r="E128" s="189">
        <v>562</v>
      </c>
      <c r="F128" s="189">
        <v>332</v>
      </c>
      <c r="G128" s="189">
        <v>457</v>
      </c>
      <c r="H128" s="189">
        <v>1001</v>
      </c>
      <c r="I128" s="189">
        <v>882</v>
      </c>
      <c r="J128" s="189">
        <v>72</v>
      </c>
      <c r="K128" s="189" t="s">
        <v>29</v>
      </c>
      <c r="L128" s="189">
        <f t="shared" si="6"/>
        <v>9677</v>
      </c>
      <c r="N128" s="189" t="s">
        <v>29</v>
      </c>
      <c r="O128" s="189" t="s">
        <v>29</v>
      </c>
      <c r="P128" s="189" t="s">
        <v>29</v>
      </c>
      <c r="Q128" s="189" t="s">
        <v>29</v>
      </c>
      <c r="R128" s="189" t="s">
        <v>29</v>
      </c>
      <c r="S128" s="189" t="s">
        <v>29</v>
      </c>
    </row>
    <row r="129" spans="1:19" x14ac:dyDescent="0.2">
      <c r="A129" s="118">
        <v>2005</v>
      </c>
      <c r="B129" s="189">
        <v>7027</v>
      </c>
      <c r="C129" s="189">
        <v>498</v>
      </c>
      <c r="D129" s="189">
        <v>6451</v>
      </c>
      <c r="E129" s="189">
        <v>10655</v>
      </c>
      <c r="F129" s="189" t="s">
        <v>29</v>
      </c>
      <c r="G129" s="189" t="s">
        <v>29</v>
      </c>
      <c r="H129" s="189">
        <v>2480</v>
      </c>
      <c r="I129" s="189">
        <v>866</v>
      </c>
      <c r="J129" s="189">
        <v>3</v>
      </c>
      <c r="K129" s="189" t="s">
        <v>29</v>
      </c>
      <c r="L129" s="189">
        <f t="shared" si="6"/>
        <v>27980</v>
      </c>
      <c r="N129" s="189" t="s">
        <v>29</v>
      </c>
      <c r="O129" s="189" t="s">
        <v>29</v>
      </c>
      <c r="P129" s="189" t="s">
        <v>29</v>
      </c>
      <c r="Q129" s="189" t="s">
        <v>29</v>
      </c>
      <c r="R129" s="189" t="s">
        <v>29</v>
      </c>
      <c r="S129" s="189" t="s">
        <v>29</v>
      </c>
    </row>
    <row r="130" spans="1:19" x14ac:dyDescent="0.2">
      <c r="A130" s="118">
        <v>2006</v>
      </c>
      <c r="B130" s="204" t="s">
        <v>29</v>
      </c>
      <c r="C130" s="204" t="s">
        <v>29</v>
      </c>
      <c r="D130" s="204" t="s">
        <v>29</v>
      </c>
      <c r="E130" s="190">
        <v>1153</v>
      </c>
      <c r="F130" s="190">
        <v>60</v>
      </c>
      <c r="G130" s="190">
        <v>39</v>
      </c>
      <c r="H130" s="190">
        <v>450</v>
      </c>
      <c r="I130" s="190">
        <v>959</v>
      </c>
      <c r="J130" s="190">
        <v>95</v>
      </c>
      <c r="K130" s="204" t="s">
        <v>29</v>
      </c>
      <c r="L130" s="189">
        <f t="shared" si="6"/>
        <v>2756</v>
      </c>
      <c r="N130" s="189" t="s">
        <v>29</v>
      </c>
      <c r="O130" s="189" t="s">
        <v>29</v>
      </c>
      <c r="P130" s="189" t="s">
        <v>29</v>
      </c>
      <c r="Q130" s="189" t="s">
        <v>29</v>
      </c>
      <c r="R130" s="189" t="s">
        <v>29</v>
      </c>
      <c r="S130" s="189" t="s">
        <v>29</v>
      </c>
    </row>
    <row r="131" spans="1:19" s="366" customFormat="1" x14ac:dyDescent="0.2">
      <c r="A131" s="118">
        <v>2007</v>
      </c>
      <c r="B131" s="180" t="s">
        <v>29</v>
      </c>
      <c r="C131" s="180">
        <v>14</v>
      </c>
      <c r="D131" s="180">
        <v>2757</v>
      </c>
      <c r="E131" s="188">
        <v>922</v>
      </c>
      <c r="F131" s="188">
        <v>6</v>
      </c>
      <c r="G131" s="188">
        <v>59</v>
      </c>
      <c r="H131" s="188">
        <v>136</v>
      </c>
      <c r="I131" s="188">
        <v>237</v>
      </c>
      <c r="J131" s="188">
        <v>47</v>
      </c>
      <c r="K131" s="180" t="s">
        <v>29</v>
      </c>
      <c r="L131" s="187">
        <f t="shared" si="6"/>
        <v>4178</v>
      </c>
      <c r="M131" s="187"/>
      <c r="N131" s="187" t="s">
        <v>29</v>
      </c>
      <c r="O131" s="187" t="s">
        <v>29</v>
      </c>
      <c r="P131" s="187">
        <v>1195</v>
      </c>
      <c r="Q131" s="187">
        <v>84</v>
      </c>
      <c r="R131" s="187" t="s">
        <v>29</v>
      </c>
      <c r="S131" s="187">
        <f>SUM(N131:R131)</f>
        <v>1279</v>
      </c>
    </row>
    <row r="132" spans="1:19" s="366" customFormat="1" x14ac:dyDescent="0.2">
      <c r="A132" s="118">
        <v>2008</v>
      </c>
      <c r="B132" s="180" t="s">
        <v>29</v>
      </c>
      <c r="C132" s="180" t="s">
        <v>29</v>
      </c>
      <c r="D132" s="180" t="s">
        <v>29</v>
      </c>
      <c r="E132" s="180" t="s">
        <v>29</v>
      </c>
      <c r="F132" s="180" t="s">
        <v>29</v>
      </c>
      <c r="G132" s="180" t="s">
        <v>29</v>
      </c>
      <c r="H132" s="180">
        <v>64</v>
      </c>
      <c r="I132" s="180">
        <v>12</v>
      </c>
      <c r="J132" s="181" t="s">
        <v>116</v>
      </c>
      <c r="K132" s="180" t="s">
        <v>29</v>
      </c>
      <c r="L132" s="187">
        <f t="shared" si="6"/>
        <v>76</v>
      </c>
      <c r="M132" s="187"/>
      <c r="N132" s="187" t="s">
        <v>29</v>
      </c>
      <c r="O132" s="187" t="s">
        <v>29</v>
      </c>
      <c r="P132" s="187" t="s">
        <v>29</v>
      </c>
      <c r="Q132" s="187" t="s">
        <v>29</v>
      </c>
      <c r="R132" s="187" t="s">
        <v>29</v>
      </c>
      <c r="S132" s="187" t="s">
        <v>29</v>
      </c>
    </row>
    <row r="133" spans="1:19" s="366" customFormat="1" x14ac:dyDescent="0.2">
      <c r="A133" s="118">
        <v>2009</v>
      </c>
      <c r="B133" s="180" t="s">
        <v>29</v>
      </c>
      <c r="C133" s="180" t="s">
        <v>29</v>
      </c>
      <c r="D133" s="180" t="s">
        <v>29</v>
      </c>
      <c r="E133" s="180" t="s">
        <v>29</v>
      </c>
      <c r="F133" s="180" t="s">
        <v>29</v>
      </c>
      <c r="G133" s="180" t="s">
        <v>29</v>
      </c>
      <c r="H133" s="180">
        <f>18+28+17+42</f>
        <v>105</v>
      </c>
      <c r="I133" s="180">
        <v>39</v>
      </c>
      <c r="J133" s="180" t="s">
        <v>29</v>
      </c>
      <c r="K133" s="180" t="s">
        <v>29</v>
      </c>
      <c r="L133" s="187">
        <f t="shared" si="6"/>
        <v>144</v>
      </c>
      <c r="M133" s="187"/>
      <c r="N133" s="187" t="s">
        <v>29</v>
      </c>
      <c r="O133" s="187" t="s">
        <v>29</v>
      </c>
      <c r="P133" s="187" t="s">
        <v>29</v>
      </c>
      <c r="Q133" s="187">
        <v>3490</v>
      </c>
      <c r="R133" s="187" t="s">
        <v>29</v>
      </c>
      <c r="S133" s="187">
        <f>SUM(N133:R133)</f>
        <v>3490</v>
      </c>
    </row>
    <row r="134" spans="1:19" s="366" customFormat="1" x14ac:dyDescent="0.2">
      <c r="A134" s="118">
        <v>2010</v>
      </c>
      <c r="B134" s="180" t="s">
        <v>29</v>
      </c>
      <c r="C134" s="180" t="s">
        <v>29</v>
      </c>
      <c r="D134" s="180">
        <f>29+47+1+31</f>
        <v>108</v>
      </c>
      <c r="E134" s="180">
        <f>7+66+88+2305</f>
        <v>2466</v>
      </c>
      <c r="F134" s="180">
        <f>827+85+5+9+5</f>
        <v>931</v>
      </c>
      <c r="G134" s="180">
        <f>37+10+17+8</f>
        <v>72</v>
      </c>
      <c r="H134" s="180">
        <v>56</v>
      </c>
      <c r="I134" s="180">
        <f>1+11+3</f>
        <v>15</v>
      </c>
      <c r="J134" s="180" t="s">
        <v>29</v>
      </c>
      <c r="K134" s="180" t="s">
        <v>29</v>
      </c>
      <c r="L134" s="187">
        <f>SUM(B134:K134)</f>
        <v>3648</v>
      </c>
      <c r="M134" s="187"/>
      <c r="N134" s="187" t="s">
        <v>29</v>
      </c>
      <c r="O134" s="187" t="s">
        <v>29</v>
      </c>
      <c r="P134" s="187" t="s">
        <v>29</v>
      </c>
      <c r="Q134" s="187" t="s">
        <v>29</v>
      </c>
      <c r="R134" s="187" t="s">
        <v>29</v>
      </c>
      <c r="S134" s="187" t="s">
        <v>29</v>
      </c>
    </row>
    <row r="135" spans="1:19" s="366" customFormat="1" x14ac:dyDescent="0.2">
      <c r="A135" s="118">
        <v>2011</v>
      </c>
      <c r="B135" s="180" t="s">
        <v>29</v>
      </c>
      <c r="C135" s="180">
        <v>1</v>
      </c>
      <c r="D135" s="180">
        <v>130</v>
      </c>
      <c r="E135" s="180">
        <v>615</v>
      </c>
      <c r="F135" s="180">
        <v>174</v>
      </c>
      <c r="G135" s="180">
        <v>52</v>
      </c>
      <c r="H135" s="180">
        <v>114</v>
      </c>
      <c r="I135" s="180">
        <v>20</v>
      </c>
      <c r="J135" s="180" t="s">
        <v>29</v>
      </c>
      <c r="K135" s="180" t="s">
        <v>29</v>
      </c>
      <c r="L135" s="187">
        <f>SUM(B135:K135)</f>
        <v>1106</v>
      </c>
      <c r="M135" s="187"/>
      <c r="N135" s="187" t="s">
        <v>29</v>
      </c>
      <c r="O135" s="187" t="s">
        <v>29</v>
      </c>
      <c r="P135" s="187" t="s">
        <v>29</v>
      </c>
      <c r="Q135" s="187" t="s">
        <v>29</v>
      </c>
      <c r="R135" s="187" t="s">
        <v>29</v>
      </c>
      <c r="S135" s="187" t="s">
        <v>29</v>
      </c>
    </row>
    <row r="136" spans="1:19" s="366" customFormat="1" x14ac:dyDescent="0.2">
      <c r="A136" s="118">
        <v>2012</v>
      </c>
      <c r="B136" s="180" t="s">
        <v>29</v>
      </c>
      <c r="C136" s="180">
        <v>440</v>
      </c>
      <c r="D136" s="180">
        <v>1492</v>
      </c>
      <c r="E136" s="180">
        <v>441</v>
      </c>
      <c r="F136" s="180">
        <v>178</v>
      </c>
      <c r="G136" s="180">
        <v>55</v>
      </c>
      <c r="H136" s="180">
        <v>1146</v>
      </c>
      <c r="I136" s="180">
        <v>3645</v>
      </c>
      <c r="J136" s="180" t="s">
        <v>29</v>
      </c>
      <c r="K136" s="180" t="s">
        <v>29</v>
      </c>
      <c r="L136" s="187">
        <f t="shared" ref="L136:L144" si="8">SUM(B136:K136)</f>
        <v>7397</v>
      </c>
      <c r="M136" s="187"/>
      <c r="N136" s="187" t="s">
        <v>29</v>
      </c>
      <c r="O136" s="187" t="s">
        <v>29</v>
      </c>
      <c r="P136" s="187" t="s">
        <v>29</v>
      </c>
      <c r="Q136" s="187" t="s">
        <v>29</v>
      </c>
      <c r="R136" s="187" t="s">
        <v>29</v>
      </c>
      <c r="S136" s="187" t="s">
        <v>29</v>
      </c>
    </row>
    <row r="137" spans="1:19" s="366" customFormat="1" x14ac:dyDescent="0.2">
      <c r="A137" s="118">
        <v>2013</v>
      </c>
      <c r="B137" s="180" t="s">
        <v>29</v>
      </c>
      <c r="C137" s="180">
        <v>1391</v>
      </c>
      <c r="D137" s="180">
        <v>349</v>
      </c>
      <c r="E137" s="180">
        <v>144</v>
      </c>
      <c r="F137" s="180">
        <v>380</v>
      </c>
      <c r="G137" s="180">
        <v>2869</v>
      </c>
      <c r="H137" s="180">
        <v>3461</v>
      </c>
      <c r="I137" s="180">
        <v>286</v>
      </c>
      <c r="J137" s="180" t="s">
        <v>29</v>
      </c>
      <c r="K137" s="180" t="s">
        <v>29</v>
      </c>
      <c r="L137" s="187">
        <f t="shared" si="8"/>
        <v>8880</v>
      </c>
      <c r="M137" s="187"/>
      <c r="N137" s="187" t="s">
        <v>29</v>
      </c>
      <c r="O137" s="187" t="s">
        <v>29</v>
      </c>
      <c r="P137" s="187" t="s">
        <v>29</v>
      </c>
      <c r="Q137" s="187" t="s">
        <v>29</v>
      </c>
      <c r="R137" s="187" t="s">
        <v>29</v>
      </c>
      <c r="S137" s="187" t="s">
        <v>29</v>
      </c>
    </row>
    <row r="138" spans="1:19" s="366" customFormat="1" x14ac:dyDescent="0.2">
      <c r="A138" s="118">
        <v>2014</v>
      </c>
      <c r="B138" s="180" t="s">
        <v>29</v>
      </c>
      <c r="C138" s="180">
        <v>20</v>
      </c>
      <c r="D138" s="180">
        <v>1133</v>
      </c>
      <c r="E138" s="180">
        <v>2640</v>
      </c>
      <c r="F138" s="180">
        <v>593</v>
      </c>
      <c r="G138" s="180">
        <v>246</v>
      </c>
      <c r="H138" s="180">
        <v>2355</v>
      </c>
      <c r="I138" s="180">
        <v>22</v>
      </c>
      <c r="J138" s="180" t="s">
        <v>29</v>
      </c>
      <c r="K138" s="180" t="s">
        <v>29</v>
      </c>
      <c r="L138" s="187">
        <f t="shared" si="8"/>
        <v>7009</v>
      </c>
      <c r="M138" s="187"/>
      <c r="N138" s="187" t="s">
        <v>29</v>
      </c>
      <c r="O138" s="187" t="s">
        <v>29</v>
      </c>
      <c r="P138" s="187" t="s">
        <v>29</v>
      </c>
      <c r="Q138" s="187">
        <v>1104</v>
      </c>
      <c r="R138" s="187" t="s">
        <v>29</v>
      </c>
      <c r="S138" s="187">
        <f>SUM(N138:R138)</f>
        <v>1104</v>
      </c>
    </row>
    <row r="139" spans="1:19" s="366" customFormat="1" x14ac:dyDescent="0.2">
      <c r="A139" s="118">
        <v>2015</v>
      </c>
      <c r="B139" s="180" t="s">
        <v>29</v>
      </c>
      <c r="C139" s="180">
        <v>205</v>
      </c>
      <c r="D139" s="180">
        <v>4114</v>
      </c>
      <c r="E139" s="180">
        <v>3118</v>
      </c>
      <c r="F139" s="180">
        <v>96</v>
      </c>
      <c r="G139" s="180">
        <v>186</v>
      </c>
      <c r="H139" s="180">
        <v>807</v>
      </c>
      <c r="I139" s="180">
        <v>319</v>
      </c>
      <c r="J139" s="180" t="s">
        <v>29</v>
      </c>
      <c r="K139" s="180" t="s">
        <v>29</v>
      </c>
      <c r="L139" s="187">
        <f t="shared" si="8"/>
        <v>8845</v>
      </c>
      <c r="M139" s="187"/>
      <c r="N139" s="187" t="s">
        <v>29</v>
      </c>
      <c r="O139" s="187" t="s">
        <v>29</v>
      </c>
      <c r="P139" s="187" t="s">
        <v>29</v>
      </c>
      <c r="Q139" s="187" t="s">
        <v>29</v>
      </c>
      <c r="R139" s="187" t="s">
        <v>29</v>
      </c>
      <c r="S139" s="187" t="s">
        <v>29</v>
      </c>
    </row>
    <row r="140" spans="1:19" s="366" customFormat="1" x14ac:dyDescent="0.2">
      <c r="A140" s="118">
        <v>2016</v>
      </c>
      <c r="B140" s="180" t="s">
        <v>29</v>
      </c>
      <c r="C140" s="180">
        <v>167</v>
      </c>
      <c r="D140" s="180">
        <v>185</v>
      </c>
      <c r="E140" s="180">
        <v>515</v>
      </c>
      <c r="F140" s="180">
        <v>16</v>
      </c>
      <c r="G140" s="180">
        <v>23</v>
      </c>
      <c r="H140" s="180">
        <v>135</v>
      </c>
      <c r="I140" s="180">
        <v>26</v>
      </c>
      <c r="J140" s="180" t="s">
        <v>29</v>
      </c>
      <c r="K140" s="180" t="s">
        <v>29</v>
      </c>
      <c r="L140" s="187">
        <f t="shared" si="8"/>
        <v>1067</v>
      </c>
      <c r="M140" s="187"/>
      <c r="N140" s="187" t="s">
        <v>29</v>
      </c>
      <c r="O140" s="187" t="s">
        <v>29</v>
      </c>
      <c r="P140" s="187" t="s">
        <v>29</v>
      </c>
      <c r="Q140" s="187" t="s">
        <v>29</v>
      </c>
      <c r="R140" s="187" t="s">
        <v>29</v>
      </c>
      <c r="S140" s="187" t="s">
        <v>29</v>
      </c>
    </row>
    <row r="141" spans="1:19" s="366" customFormat="1" x14ac:dyDescent="0.2">
      <c r="A141" s="118">
        <v>2017</v>
      </c>
      <c r="B141" s="180" t="s">
        <v>29</v>
      </c>
      <c r="C141" s="180">
        <v>6</v>
      </c>
      <c r="D141" s="180">
        <v>325</v>
      </c>
      <c r="E141" s="180">
        <v>224</v>
      </c>
      <c r="F141" s="180">
        <v>17</v>
      </c>
      <c r="G141" s="187" t="s">
        <v>29</v>
      </c>
      <c r="H141" s="180">
        <v>112</v>
      </c>
      <c r="I141" s="180">
        <v>33</v>
      </c>
      <c r="J141" s="180" t="s">
        <v>29</v>
      </c>
      <c r="K141" s="180" t="s">
        <v>29</v>
      </c>
      <c r="L141" s="187">
        <f t="shared" si="8"/>
        <v>717</v>
      </c>
      <c r="M141" s="187"/>
      <c r="N141" s="187" t="s">
        <v>29</v>
      </c>
      <c r="O141" s="187" t="s">
        <v>29</v>
      </c>
      <c r="P141" s="187" t="s">
        <v>29</v>
      </c>
      <c r="Q141" s="187" t="s">
        <v>29</v>
      </c>
      <c r="R141" s="187" t="s">
        <v>29</v>
      </c>
      <c r="S141" s="187" t="s">
        <v>29</v>
      </c>
    </row>
    <row r="142" spans="1:19" s="366" customFormat="1" x14ac:dyDescent="0.2">
      <c r="A142" s="118">
        <v>2018</v>
      </c>
      <c r="B142" s="180" t="s">
        <v>29</v>
      </c>
      <c r="C142" s="180" t="s">
        <v>29</v>
      </c>
      <c r="D142" s="180">
        <v>180</v>
      </c>
      <c r="E142" s="180">
        <v>168</v>
      </c>
      <c r="F142" s="180">
        <v>19</v>
      </c>
      <c r="G142" s="187">
        <v>58</v>
      </c>
      <c r="H142" s="180">
        <v>26</v>
      </c>
      <c r="I142" s="180">
        <v>14</v>
      </c>
      <c r="J142" s="180" t="s">
        <v>29</v>
      </c>
      <c r="K142" s="180" t="s">
        <v>29</v>
      </c>
      <c r="L142" s="187">
        <f>SUM(B142:K142)</f>
        <v>465</v>
      </c>
      <c r="M142" s="187"/>
      <c r="N142" s="187" t="s">
        <v>29</v>
      </c>
      <c r="O142" s="187" t="s">
        <v>29</v>
      </c>
      <c r="P142" s="187" t="s">
        <v>29</v>
      </c>
      <c r="Q142" s="187" t="s">
        <v>29</v>
      </c>
      <c r="R142" s="187" t="s">
        <v>29</v>
      </c>
      <c r="S142" s="187" t="s">
        <v>29</v>
      </c>
    </row>
    <row r="143" spans="1:19" s="489" customFormat="1" x14ac:dyDescent="0.2">
      <c r="A143" s="118">
        <v>2019</v>
      </c>
      <c r="B143" s="180" t="s">
        <v>29</v>
      </c>
      <c r="C143" s="180">
        <v>3</v>
      </c>
      <c r="D143" s="180">
        <v>144</v>
      </c>
      <c r="E143" s="180">
        <v>68</v>
      </c>
      <c r="F143" s="180">
        <v>234</v>
      </c>
      <c r="G143" s="187">
        <v>42</v>
      </c>
      <c r="H143" s="180">
        <v>33</v>
      </c>
      <c r="I143" s="180">
        <v>43</v>
      </c>
      <c r="J143" s="180" t="s">
        <v>29</v>
      </c>
      <c r="K143" s="180" t="s">
        <v>29</v>
      </c>
      <c r="L143" s="187">
        <f t="shared" ref="L143" si="9">SUM(B143:K143)</f>
        <v>567</v>
      </c>
      <c r="M143" s="187"/>
      <c r="N143" s="187" t="s">
        <v>29</v>
      </c>
      <c r="O143" s="187" t="s">
        <v>29</v>
      </c>
      <c r="P143" s="187" t="s">
        <v>29</v>
      </c>
      <c r="Q143" s="187" t="s">
        <v>29</v>
      </c>
      <c r="R143" s="187" t="s">
        <v>29</v>
      </c>
      <c r="S143" s="187" t="s">
        <v>29</v>
      </c>
    </row>
    <row r="144" spans="1:19" x14ac:dyDescent="0.2">
      <c r="A144" s="124" t="s">
        <v>393</v>
      </c>
      <c r="B144" s="180" t="s">
        <v>29</v>
      </c>
      <c r="C144" s="180">
        <v>15</v>
      </c>
      <c r="D144" s="180">
        <v>9</v>
      </c>
      <c r="E144" s="180">
        <v>488</v>
      </c>
      <c r="F144" s="180">
        <v>38</v>
      </c>
      <c r="G144" s="187">
        <v>19</v>
      </c>
      <c r="H144" s="180">
        <v>72</v>
      </c>
      <c r="I144" s="180">
        <v>42</v>
      </c>
      <c r="J144" s="180" t="s">
        <v>29</v>
      </c>
      <c r="K144" s="180" t="s">
        <v>29</v>
      </c>
      <c r="L144" s="187">
        <f t="shared" si="8"/>
        <v>683</v>
      </c>
      <c r="M144" s="187"/>
      <c r="N144" s="187" t="s">
        <v>29</v>
      </c>
      <c r="O144" s="187" t="s">
        <v>29</v>
      </c>
      <c r="P144" s="187" t="s">
        <v>29</v>
      </c>
      <c r="Q144" s="187" t="s">
        <v>29</v>
      </c>
      <c r="R144" s="187" t="s">
        <v>29</v>
      </c>
      <c r="S144" s="187" t="s">
        <v>29</v>
      </c>
    </row>
    <row r="146" spans="1:19" x14ac:dyDescent="0.2">
      <c r="A146" s="109" t="s">
        <v>54</v>
      </c>
    </row>
    <row r="147" spans="1:19" x14ac:dyDescent="0.2">
      <c r="A147" s="371">
        <v>1952</v>
      </c>
      <c r="B147" s="189">
        <v>0</v>
      </c>
      <c r="C147" s="189">
        <v>0</v>
      </c>
      <c r="D147" s="189">
        <v>98</v>
      </c>
      <c r="E147" s="189">
        <v>17401</v>
      </c>
      <c r="F147" s="189">
        <v>34945</v>
      </c>
      <c r="G147" s="189">
        <v>30213</v>
      </c>
      <c r="H147" s="189">
        <v>20490</v>
      </c>
      <c r="I147" s="189">
        <v>4663</v>
      </c>
      <c r="J147" s="189" t="s">
        <v>29</v>
      </c>
      <c r="K147" s="189" t="s">
        <v>29</v>
      </c>
      <c r="L147" s="189">
        <f t="shared" ref="L147:L199" si="10">SUM(B147:K147)</f>
        <v>107810</v>
      </c>
      <c r="N147" s="189">
        <v>12737</v>
      </c>
      <c r="O147" s="189">
        <v>86786</v>
      </c>
      <c r="P147" s="189">
        <v>90811</v>
      </c>
      <c r="Q147" s="189">
        <v>23494</v>
      </c>
      <c r="R147" s="189">
        <v>2266</v>
      </c>
      <c r="S147" s="189">
        <f t="shared" ref="S147:S188" si="11">SUM(N147:R147)</f>
        <v>216094</v>
      </c>
    </row>
    <row r="148" spans="1:19" x14ac:dyDescent="0.2">
      <c r="A148" s="371">
        <v>1953</v>
      </c>
      <c r="B148" s="189">
        <v>13</v>
      </c>
      <c r="C148" s="189">
        <v>135</v>
      </c>
      <c r="D148" s="189">
        <v>119</v>
      </c>
      <c r="E148" s="189">
        <v>2590</v>
      </c>
      <c r="F148" s="189">
        <v>17878</v>
      </c>
      <c r="G148" s="189">
        <v>32671</v>
      </c>
      <c r="H148" s="189">
        <v>17172</v>
      </c>
      <c r="I148" s="189">
        <v>94</v>
      </c>
      <c r="J148" s="189" t="s">
        <v>29</v>
      </c>
      <c r="K148" s="189" t="s">
        <v>29</v>
      </c>
      <c r="L148" s="189">
        <f t="shared" si="10"/>
        <v>70672</v>
      </c>
      <c r="N148" s="189">
        <v>12377</v>
      </c>
      <c r="O148" s="189">
        <v>74251</v>
      </c>
      <c r="P148" s="189">
        <v>74399</v>
      </c>
      <c r="Q148" s="189">
        <v>17752</v>
      </c>
      <c r="R148" s="189">
        <v>232</v>
      </c>
      <c r="S148" s="189">
        <f t="shared" si="11"/>
        <v>179011</v>
      </c>
    </row>
    <row r="149" spans="1:19" x14ac:dyDescent="0.2">
      <c r="A149" s="371">
        <v>1954</v>
      </c>
      <c r="B149" s="189">
        <v>62</v>
      </c>
      <c r="C149" s="189">
        <v>11</v>
      </c>
      <c r="D149" s="189">
        <v>1354</v>
      </c>
      <c r="E149" s="189">
        <v>9910</v>
      </c>
      <c r="F149" s="189">
        <v>23330</v>
      </c>
      <c r="G149" s="189">
        <v>22528</v>
      </c>
      <c r="H149" s="189">
        <v>10283</v>
      </c>
      <c r="I149" s="189">
        <v>772</v>
      </c>
      <c r="J149" s="189" t="s">
        <v>29</v>
      </c>
      <c r="K149" s="189" t="s">
        <v>29</v>
      </c>
      <c r="L149" s="189">
        <f t="shared" si="10"/>
        <v>68250</v>
      </c>
      <c r="N149" s="189">
        <v>10697</v>
      </c>
      <c r="O149" s="189">
        <v>62206</v>
      </c>
      <c r="P149" s="189">
        <v>32767</v>
      </c>
      <c r="Q149" s="189">
        <v>11158</v>
      </c>
      <c r="R149" s="189">
        <v>150</v>
      </c>
      <c r="S149" s="189">
        <f t="shared" si="11"/>
        <v>116978</v>
      </c>
    </row>
    <row r="150" spans="1:19" x14ac:dyDescent="0.2">
      <c r="A150" s="371">
        <v>1955</v>
      </c>
      <c r="B150" s="189">
        <v>0</v>
      </c>
      <c r="C150" s="189">
        <v>292</v>
      </c>
      <c r="D150" s="189">
        <v>15585</v>
      </c>
      <c r="E150" s="189">
        <v>25383</v>
      </c>
      <c r="F150" s="189">
        <v>15569</v>
      </c>
      <c r="G150" s="189">
        <v>35634</v>
      </c>
      <c r="H150" s="189">
        <v>30389</v>
      </c>
      <c r="I150" s="189">
        <v>1789</v>
      </c>
      <c r="J150" s="189" t="s">
        <v>29</v>
      </c>
      <c r="K150" s="189" t="s">
        <v>29</v>
      </c>
      <c r="L150" s="189">
        <f t="shared" si="10"/>
        <v>124641</v>
      </c>
      <c r="N150" s="189">
        <v>10598</v>
      </c>
      <c r="O150" s="189">
        <v>35562</v>
      </c>
      <c r="P150" s="189">
        <v>56434</v>
      </c>
      <c r="Q150" s="189">
        <v>15456</v>
      </c>
      <c r="R150" s="189">
        <v>1548</v>
      </c>
      <c r="S150" s="189">
        <f t="shared" si="11"/>
        <v>119598</v>
      </c>
    </row>
    <row r="151" spans="1:19" x14ac:dyDescent="0.2">
      <c r="A151" s="371">
        <v>1956</v>
      </c>
      <c r="B151" s="189" t="s">
        <v>29</v>
      </c>
      <c r="C151" s="189">
        <v>430</v>
      </c>
      <c r="D151" s="189">
        <v>4709</v>
      </c>
      <c r="E151" s="189">
        <v>20324</v>
      </c>
      <c r="F151" s="189">
        <v>37219</v>
      </c>
      <c r="G151" s="189">
        <v>36192</v>
      </c>
      <c r="H151" s="189">
        <v>11500</v>
      </c>
      <c r="I151" s="189">
        <v>4205</v>
      </c>
      <c r="J151" s="189" t="s">
        <v>29</v>
      </c>
      <c r="K151" s="189" t="s">
        <v>29</v>
      </c>
      <c r="L151" s="189">
        <f t="shared" si="10"/>
        <v>114579</v>
      </c>
      <c r="N151" s="189">
        <v>12872</v>
      </c>
      <c r="O151" s="189">
        <v>92547</v>
      </c>
      <c r="P151" s="189">
        <v>66028</v>
      </c>
      <c r="Q151" s="189">
        <v>14501</v>
      </c>
      <c r="R151" s="189">
        <v>2520</v>
      </c>
      <c r="S151" s="189">
        <f t="shared" si="11"/>
        <v>188468</v>
      </c>
    </row>
    <row r="152" spans="1:19" x14ac:dyDescent="0.2">
      <c r="A152" s="371">
        <v>1957</v>
      </c>
      <c r="B152" s="189" t="s">
        <v>29</v>
      </c>
      <c r="C152" s="189">
        <v>152</v>
      </c>
      <c r="D152" s="189">
        <v>3114</v>
      </c>
      <c r="E152" s="189">
        <v>19030</v>
      </c>
      <c r="F152" s="189">
        <v>22907</v>
      </c>
      <c r="G152" s="189">
        <v>10585</v>
      </c>
      <c r="H152" s="189">
        <v>21308</v>
      </c>
      <c r="I152" s="189">
        <v>80</v>
      </c>
      <c r="J152" s="189" t="s">
        <v>29</v>
      </c>
      <c r="K152" s="189" t="s">
        <v>29</v>
      </c>
      <c r="L152" s="189">
        <f t="shared" si="10"/>
        <v>77176</v>
      </c>
      <c r="N152" s="189">
        <v>48445</v>
      </c>
      <c r="O152" s="189">
        <v>50333</v>
      </c>
      <c r="P152" s="189">
        <v>44866</v>
      </c>
      <c r="Q152" s="189">
        <v>50849</v>
      </c>
      <c r="R152" s="189">
        <v>656</v>
      </c>
      <c r="S152" s="189">
        <f t="shared" si="11"/>
        <v>195149</v>
      </c>
    </row>
    <row r="153" spans="1:19" x14ac:dyDescent="0.2">
      <c r="A153" s="371">
        <v>1958</v>
      </c>
      <c r="B153" s="189" t="s">
        <v>29</v>
      </c>
      <c r="C153" s="189">
        <v>765</v>
      </c>
      <c r="D153" s="189">
        <v>3109</v>
      </c>
      <c r="E153" s="189">
        <v>6522</v>
      </c>
      <c r="F153" s="189">
        <v>22794</v>
      </c>
      <c r="G153" s="189">
        <v>20012</v>
      </c>
      <c r="H153" s="189">
        <v>5766</v>
      </c>
      <c r="I153" s="189">
        <v>1248</v>
      </c>
      <c r="J153" s="189" t="s">
        <v>29</v>
      </c>
      <c r="K153" s="189" t="s">
        <v>29</v>
      </c>
      <c r="L153" s="189">
        <f t="shared" si="10"/>
        <v>60216</v>
      </c>
      <c r="N153" s="189">
        <v>31007</v>
      </c>
      <c r="O153" s="189">
        <v>30649</v>
      </c>
      <c r="P153" s="189">
        <v>20088</v>
      </c>
      <c r="Q153" s="189">
        <v>15002</v>
      </c>
      <c r="R153" s="189">
        <v>1064</v>
      </c>
      <c r="S153" s="189">
        <f t="shared" si="11"/>
        <v>97810</v>
      </c>
    </row>
    <row r="154" spans="1:19" x14ac:dyDescent="0.2">
      <c r="A154" s="371">
        <v>1959</v>
      </c>
      <c r="B154" s="189" t="s">
        <v>29</v>
      </c>
      <c r="C154" s="189">
        <v>92</v>
      </c>
      <c r="D154" s="189">
        <v>1283</v>
      </c>
      <c r="E154" s="189">
        <v>4020</v>
      </c>
      <c r="F154" s="189">
        <v>3103</v>
      </c>
      <c r="G154" s="189">
        <v>9079</v>
      </c>
      <c r="H154" s="189">
        <v>2391</v>
      </c>
      <c r="I154" s="189">
        <v>259</v>
      </c>
      <c r="J154" s="189" t="s">
        <v>29</v>
      </c>
      <c r="K154" s="189" t="s">
        <v>29</v>
      </c>
      <c r="L154" s="189">
        <f t="shared" si="10"/>
        <v>20227</v>
      </c>
      <c r="N154" s="189">
        <v>7039</v>
      </c>
      <c r="O154" s="189">
        <v>26046</v>
      </c>
      <c r="P154" s="189">
        <v>28393</v>
      </c>
      <c r="Q154" s="189">
        <v>4888</v>
      </c>
      <c r="R154" s="189">
        <v>1066</v>
      </c>
      <c r="S154" s="189">
        <f t="shared" si="11"/>
        <v>67432</v>
      </c>
    </row>
    <row r="155" spans="1:19" x14ac:dyDescent="0.2">
      <c r="A155" s="371">
        <v>1960</v>
      </c>
      <c r="B155" s="189" t="s">
        <v>29</v>
      </c>
      <c r="C155" s="189">
        <v>842</v>
      </c>
      <c r="D155" s="189">
        <v>7186</v>
      </c>
      <c r="E155" s="189">
        <v>3029</v>
      </c>
      <c r="F155" s="189">
        <v>6249</v>
      </c>
      <c r="G155" s="189">
        <v>13079</v>
      </c>
      <c r="H155" s="189">
        <v>1875</v>
      </c>
      <c r="I155" s="189">
        <v>578</v>
      </c>
      <c r="J155" s="189" t="s">
        <v>29</v>
      </c>
      <c r="K155" s="189" t="s">
        <v>29</v>
      </c>
      <c r="L155" s="189">
        <f t="shared" si="10"/>
        <v>32838</v>
      </c>
      <c r="N155" s="189">
        <v>620</v>
      </c>
      <c r="O155" s="189">
        <v>9138</v>
      </c>
      <c r="P155" s="189">
        <v>28409</v>
      </c>
      <c r="Q155" s="189">
        <v>3055</v>
      </c>
      <c r="R155" s="189">
        <v>625</v>
      </c>
      <c r="S155" s="189">
        <f t="shared" si="11"/>
        <v>41847</v>
      </c>
    </row>
    <row r="156" spans="1:19" x14ac:dyDescent="0.2">
      <c r="A156" s="371">
        <v>1961</v>
      </c>
      <c r="B156" s="189" t="s">
        <v>29</v>
      </c>
      <c r="C156" s="189">
        <v>254</v>
      </c>
      <c r="D156" s="189">
        <v>192</v>
      </c>
      <c r="E156" s="189">
        <v>3033</v>
      </c>
      <c r="F156" s="189">
        <v>17337</v>
      </c>
      <c r="G156" s="189">
        <v>5186</v>
      </c>
      <c r="H156" s="189">
        <v>3995</v>
      </c>
      <c r="I156" s="189">
        <v>1174</v>
      </c>
      <c r="J156" s="189" t="s">
        <v>29</v>
      </c>
      <c r="K156" s="189" t="s">
        <v>29</v>
      </c>
      <c r="L156" s="189">
        <f t="shared" si="10"/>
        <v>31171</v>
      </c>
      <c r="N156" s="189">
        <v>15552</v>
      </c>
      <c r="O156" s="189">
        <v>59227</v>
      </c>
      <c r="P156" s="189">
        <v>41776</v>
      </c>
      <c r="Q156" s="189">
        <v>8411</v>
      </c>
      <c r="R156" s="189">
        <v>1572</v>
      </c>
      <c r="S156" s="189">
        <f t="shared" si="11"/>
        <v>126538</v>
      </c>
    </row>
    <row r="157" spans="1:19" x14ac:dyDescent="0.2">
      <c r="A157" s="371">
        <v>1962</v>
      </c>
      <c r="B157" s="189" t="s">
        <v>29</v>
      </c>
      <c r="C157" s="189">
        <v>265</v>
      </c>
      <c r="D157" s="189">
        <v>189</v>
      </c>
      <c r="E157" s="189">
        <v>1866</v>
      </c>
      <c r="F157" s="189">
        <v>2300</v>
      </c>
      <c r="G157" s="189">
        <v>2916</v>
      </c>
      <c r="H157" s="189">
        <v>1482</v>
      </c>
      <c r="I157" s="189">
        <v>104</v>
      </c>
      <c r="J157" s="189" t="s">
        <v>29</v>
      </c>
      <c r="K157" s="189" t="s">
        <v>29</v>
      </c>
      <c r="L157" s="189">
        <f t="shared" si="10"/>
        <v>9122</v>
      </c>
      <c r="N157" s="189">
        <v>5211</v>
      </c>
      <c r="O157" s="189">
        <v>47191</v>
      </c>
      <c r="P157" s="189">
        <v>52055</v>
      </c>
      <c r="Q157" s="189">
        <v>8730</v>
      </c>
      <c r="R157" s="189">
        <v>402</v>
      </c>
      <c r="S157" s="189">
        <f t="shared" si="11"/>
        <v>113589</v>
      </c>
    </row>
    <row r="158" spans="1:19" x14ac:dyDescent="0.2">
      <c r="A158" s="371">
        <v>1963</v>
      </c>
      <c r="B158" s="189" t="s">
        <v>29</v>
      </c>
      <c r="C158" s="189">
        <v>6</v>
      </c>
      <c r="D158" s="189">
        <v>120</v>
      </c>
      <c r="E158" s="189">
        <v>3208</v>
      </c>
      <c r="F158" s="189">
        <v>2309</v>
      </c>
      <c r="G158" s="189">
        <v>3774</v>
      </c>
      <c r="H158" s="189">
        <v>913</v>
      </c>
      <c r="I158" s="189">
        <v>50</v>
      </c>
      <c r="J158" s="189" t="s">
        <v>29</v>
      </c>
      <c r="K158" s="189" t="s">
        <v>29</v>
      </c>
      <c r="L158" s="189">
        <f t="shared" si="10"/>
        <v>10380</v>
      </c>
      <c r="N158" s="189">
        <v>13668</v>
      </c>
      <c r="O158" s="189">
        <v>35051</v>
      </c>
      <c r="P158" s="189">
        <v>29959</v>
      </c>
      <c r="Q158" s="189">
        <v>7862</v>
      </c>
      <c r="R158" s="189">
        <v>598</v>
      </c>
      <c r="S158" s="189">
        <f t="shared" si="11"/>
        <v>87138</v>
      </c>
    </row>
    <row r="159" spans="1:19" x14ac:dyDescent="0.2">
      <c r="A159" s="371">
        <v>1964</v>
      </c>
      <c r="B159" s="189" t="s">
        <v>29</v>
      </c>
      <c r="C159" s="189">
        <v>185</v>
      </c>
      <c r="D159" s="189">
        <v>739</v>
      </c>
      <c r="E159" s="189">
        <v>1365</v>
      </c>
      <c r="F159" s="189">
        <v>1107</v>
      </c>
      <c r="G159" s="189">
        <v>2961</v>
      </c>
      <c r="H159" s="189">
        <v>712</v>
      </c>
      <c r="I159" s="189">
        <v>61</v>
      </c>
      <c r="J159" s="189" t="s">
        <v>29</v>
      </c>
      <c r="K159" s="189" t="s">
        <v>29</v>
      </c>
      <c r="L159" s="189">
        <f t="shared" si="10"/>
        <v>7130</v>
      </c>
      <c r="N159" s="189">
        <v>12479</v>
      </c>
      <c r="O159" s="189">
        <v>42302</v>
      </c>
      <c r="P159" s="189">
        <v>60570</v>
      </c>
      <c r="Q159" s="189">
        <v>17337</v>
      </c>
      <c r="R159" s="189">
        <v>1482</v>
      </c>
      <c r="S159" s="189">
        <f t="shared" si="11"/>
        <v>134170</v>
      </c>
    </row>
    <row r="160" spans="1:19" x14ac:dyDescent="0.2">
      <c r="A160" s="371">
        <v>1965</v>
      </c>
      <c r="B160" s="189" t="s">
        <v>29</v>
      </c>
      <c r="C160" s="189">
        <v>0</v>
      </c>
      <c r="D160" s="189">
        <v>110</v>
      </c>
      <c r="E160" s="189">
        <v>2914</v>
      </c>
      <c r="F160" s="189">
        <v>2499</v>
      </c>
      <c r="G160" s="189">
        <v>3368</v>
      </c>
      <c r="H160" s="189">
        <v>6850</v>
      </c>
      <c r="I160" s="189">
        <v>312</v>
      </c>
      <c r="J160" s="189" t="s">
        <v>29</v>
      </c>
      <c r="K160" s="189" t="s">
        <v>29</v>
      </c>
      <c r="L160" s="189">
        <f t="shared" si="10"/>
        <v>16053</v>
      </c>
      <c r="N160" s="189">
        <v>9553</v>
      </c>
      <c r="O160" s="189">
        <v>130677</v>
      </c>
      <c r="P160" s="189">
        <v>93970</v>
      </c>
      <c r="Q160" s="189">
        <v>17496</v>
      </c>
      <c r="R160" s="189">
        <v>885</v>
      </c>
      <c r="S160" s="189">
        <f t="shared" si="11"/>
        <v>252581</v>
      </c>
    </row>
    <row r="161" spans="1:19" x14ac:dyDescent="0.2">
      <c r="A161" s="371">
        <v>1966</v>
      </c>
      <c r="B161" s="189" t="s">
        <v>29</v>
      </c>
      <c r="C161" s="189">
        <v>38</v>
      </c>
      <c r="D161" s="189">
        <v>182</v>
      </c>
      <c r="E161" s="189">
        <v>3620</v>
      </c>
      <c r="F161" s="189">
        <v>3683</v>
      </c>
      <c r="G161" s="189">
        <v>5982</v>
      </c>
      <c r="H161" s="189">
        <v>2026</v>
      </c>
      <c r="I161" s="189">
        <v>141</v>
      </c>
      <c r="J161" s="189" t="s">
        <v>29</v>
      </c>
      <c r="K161" s="189" t="s">
        <v>29</v>
      </c>
      <c r="L161" s="189">
        <f t="shared" si="10"/>
        <v>15672</v>
      </c>
      <c r="N161" s="189">
        <v>11286</v>
      </c>
      <c r="O161" s="189">
        <v>48063</v>
      </c>
      <c r="P161" s="189">
        <v>45797</v>
      </c>
      <c r="Q161" s="189">
        <v>34541</v>
      </c>
      <c r="R161" s="189">
        <v>970</v>
      </c>
      <c r="S161" s="189">
        <f t="shared" si="11"/>
        <v>140657</v>
      </c>
    </row>
    <row r="162" spans="1:19" x14ac:dyDescent="0.2">
      <c r="A162" s="371">
        <v>1967</v>
      </c>
      <c r="B162" s="189" t="s">
        <v>29</v>
      </c>
      <c r="C162" s="189">
        <v>198</v>
      </c>
      <c r="D162" s="189">
        <v>262</v>
      </c>
      <c r="E162" s="189">
        <v>6248</v>
      </c>
      <c r="F162" s="189">
        <v>6393</v>
      </c>
      <c r="G162" s="189">
        <v>3246</v>
      </c>
      <c r="H162" s="189">
        <v>1127</v>
      </c>
      <c r="I162" s="189">
        <v>27</v>
      </c>
      <c r="J162" s="189" t="s">
        <v>29</v>
      </c>
      <c r="K162" s="189" t="s">
        <v>29</v>
      </c>
      <c r="L162" s="189">
        <f t="shared" si="10"/>
        <v>17501</v>
      </c>
      <c r="N162" s="189">
        <v>13370</v>
      </c>
      <c r="O162" s="189">
        <v>186004</v>
      </c>
      <c r="P162" s="189">
        <v>37201</v>
      </c>
      <c r="Q162" s="189">
        <v>17938</v>
      </c>
      <c r="R162" s="189">
        <v>415</v>
      </c>
      <c r="S162" s="189">
        <f t="shared" si="11"/>
        <v>254928</v>
      </c>
    </row>
    <row r="163" spans="1:19" x14ac:dyDescent="0.2">
      <c r="A163" s="371">
        <v>1968</v>
      </c>
      <c r="B163" s="189" t="s">
        <v>29</v>
      </c>
      <c r="C163" s="189">
        <v>207</v>
      </c>
      <c r="D163" s="189">
        <v>1570</v>
      </c>
      <c r="E163" s="189">
        <v>2565</v>
      </c>
      <c r="F163" s="189">
        <v>2056</v>
      </c>
      <c r="G163" s="189">
        <v>2244</v>
      </c>
      <c r="H163" s="189">
        <v>271</v>
      </c>
      <c r="I163" s="189">
        <v>18</v>
      </c>
      <c r="J163" s="189" t="s">
        <v>29</v>
      </c>
      <c r="K163" s="189" t="s">
        <v>29</v>
      </c>
      <c r="L163" s="189">
        <f t="shared" si="10"/>
        <v>8931</v>
      </c>
      <c r="N163" s="189">
        <v>17905</v>
      </c>
      <c r="O163" s="189">
        <v>48459</v>
      </c>
      <c r="P163" s="189">
        <v>45797</v>
      </c>
      <c r="Q163" s="189">
        <v>8679</v>
      </c>
      <c r="R163" s="189">
        <v>599</v>
      </c>
      <c r="S163" s="189">
        <f t="shared" si="11"/>
        <v>121439</v>
      </c>
    </row>
    <row r="164" spans="1:19" x14ac:dyDescent="0.2">
      <c r="A164" s="371">
        <v>1969</v>
      </c>
      <c r="B164" s="189" t="s">
        <v>29</v>
      </c>
      <c r="C164" s="189">
        <v>305</v>
      </c>
      <c r="D164" s="189">
        <v>1481</v>
      </c>
      <c r="E164" s="189">
        <v>6403</v>
      </c>
      <c r="F164" s="189">
        <v>3959</v>
      </c>
      <c r="G164" s="189">
        <v>2101</v>
      </c>
      <c r="H164" s="189">
        <v>244</v>
      </c>
      <c r="I164" s="189">
        <v>20</v>
      </c>
      <c r="J164" s="189" t="s">
        <v>29</v>
      </c>
      <c r="K164" s="189" t="s">
        <v>29</v>
      </c>
      <c r="L164" s="189">
        <f t="shared" si="10"/>
        <v>14513</v>
      </c>
      <c r="N164" s="189">
        <v>38483</v>
      </c>
      <c r="O164" s="189">
        <v>72088</v>
      </c>
      <c r="P164" s="189">
        <v>26974</v>
      </c>
      <c r="Q164" s="189">
        <v>2377</v>
      </c>
      <c r="R164" s="189">
        <v>179</v>
      </c>
      <c r="S164" s="189">
        <f t="shared" si="11"/>
        <v>140101</v>
      </c>
    </row>
    <row r="165" spans="1:19" x14ac:dyDescent="0.2">
      <c r="A165" s="371">
        <v>1970</v>
      </c>
      <c r="B165" s="189" t="s">
        <v>29</v>
      </c>
      <c r="C165" s="189">
        <v>291</v>
      </c>
      <c r="D165" s="189">
        <v>688</v>
      </c>
      <c r="E165" s="189">
        <v>4445</v>
      </c>
      <c r="F165" s="189">
        <v>3138</v>
      </c>
      <c r="G165" s="189">
        <v>11823</v>
      </c>
      <c r="H165" s="189">
        <v>3844</v>
      </c>
      <c r="I165" s="189">
        <v>1592</v>
      </c>
      <c r="J165" s="189" t="s">
        <v>29</v>
      </c>
      <c r="K165" s="189" t="s">
        <v>29</v>
      </c>
      <c r="L165" s="189">
        <f t="shared" si="10"/>
        <v>25821</v>
      </c>
      <c r="N165" s="189">
        <v>55846</v>
      </c>
      <c r="O165" s="189">
        <v>22792</v>
      </c>
      <c r="P165" s="189">
        <v>257897</v>
      </c>
      <c r="Q165" s="189">
        <v>27748</v>
      </c>
      <c r="R165" s="189">
        <v>7502</v>
      </c>
      <c r="S165" s="189">
        <f t="shared" si="11"/>
        <v>371785</v>
      </c>
    </row>
    <row r="166" spans="1:19" x14ac:dyDescent="0.2">
      <c r="A166" s="371">
        <v>1971</v>
      </c>
      <c r="B166" s="189" t="s">
        <v>29</v>
      </c>
      <c r="C166" s="189">
        <v>34</v>
      </c>
      <c r="D166" s="189">
        <v>739</v>
      </c>
      <c r="E166" s="189">
        <v>1636</v>
      </c>
      <c r="F166" s="189">
        <v>1474</v>
      </c>
      <c r="G166" s="189">
        <v>4130</v>
      </c>
      <c r="H166" s="189">
        <v>472</v>
      </c>
      <c r="I166" s="189">
        <v>60</v>
      </c>
      <c r="J166" s="189" t="s">
        <v>29</v>
      </c>
      <c r="K166" s="189" t="s">
        <v>29</v>
      </c>
      <c r="L166" s="189">
        <f t="shared" si="10"/>
        <v>8545</v>
      </c>
      <c r="N166" s="189">
        <v>33110</v>
      </c>
      <c r="O166" s="189">
        <v>56687</v>
      </c>
      <c r="P166" s="189">
        <v>243622</v>
      </c>
      <c r="Q166" s="189">
        <v>5631</v>
      </c>
      <c r="R166" s="189">
        <v>1342</v>
      </c>
      <c r="S166" s="189">
        <f t="shared" si="11"/>
        <v>340392</v>
      </c>
    </row>
    <row r="167" spans="1:19" x14ac:dyDescent="0.2">
      <c r="A167" s="371">
        <v>1972</v>
      </c>
      <c r="B167" s="189" t="s">
        <v>29</v>
      </c>
      <c r="C167" s="189">
        <v>0</v>
      </c>
      <c r="D167" s="189">
        <v>425</v>
      </c>
      <c r="E167" s="189">
        <v>2742</v>
      </c>
      <c r="F167" s="189">
        <v>3653</v>
      </c>
      <c r="G167" s="189">
        <v>9646</v>
      </c>
      <c r="H167" s="189">
        <v>1430</v>
      </c>
      <c r="I167" s="189">
        <v>1985</v>
      </c>
      <c r="J167" s="189" t="s">
        <v>29</v>
      </c>
      <c r="K167" s="189" t="s">
        <v>29</v>
      </c>
      <c r="L167" s="189">
        <f t="shared" si="10"/>
        <v>19881</v>
      </c>
      <c r="N167" s="189">
        <v>39410</v>
      </c>
      <c r="O167" s="189">
        <v>111362</v>
      </c>
      <c r="P167" s="189">
        <v>70488</v>
      </c>
      <c r="Q167" s="189">
        <v>4362</v>
      </c>
      <c r="R167" s="189">
        <v>281</v>
      </c>
      <c r="S167" s="189">
        <f t="shared" si="11"/>
        <v>225903</v>
      </c>
    </row>
    <row r="168" spans="1:19" x14ac:dyDescent="0.2">
      <c r="A168" s="371">
        <v>1973</v>
      </c>
      <c r="B168" s="189" t="s">
        <v>29</v>
      </c>
      <c r="C168" s="189">
        <v>38</v>
      </c>
      <c r="D168" s="189">
        <v>820</v>
      </c>
      <c r="E168" s="189">
        <v>5240</v>
      </c>
      <c r="F168" s="189">
        <v>19206</v>
      </c>
      <c r="G168" s="189">
        <v>40795</v>
      </c>
      <c r="H168" s="189">
        <v>13586</v>
      </c>
      <c r="I168" s="189">
        <v>16998</v>
      </c>
      <c r="J168" s="189" t="s">
        <v>29</v>
      </c>
      <c r="K168" s="189" t="s">
        <v>29</v>
      </c>
      <c r="L168" s="189">
        <f t="shared" si="10"/>
        <v>96683</v>
      </c>
      <c r="N168" s="189">
        <v>49768</v>
      </c>
      <c r="O168" s="189">
        <v>49084</v>
      </c>
      <c r="P168" s="189">
        <v>136541</v>
      </c>
      <c r="Q168" s="189">
        <v>17846</v>
      </c>
      <c r="R168" s="189">
        <v>4762</v>
      </c>
      <c r="S168" s="189">
        <f t="shared" si="11"/>
        <v>258001</v>
      </c>
    </row>
    <row r="169" spans="1:19" x14ac:dyDescent="0.2">
      <c r="A169" s="371">
        <v>1974</v>
      </c>
      <c r="B169" s="189" t="s">
        <v>29</v>
      </c>
      <c r="C169" s="189">
        <v>64</v>
      </c>
      <c r="D169" s="189">
        <v>264</v>
      </c>
      <c r="E169" s="189">
        <v>6339</v>
      </c>
      <c r="F169" s="189">
        <v>19075</v>
      </c>
      <c r="G169" s="189">
        <v>8028</v>
      </c>
      <c r="H169" s="189">
        <v>3652</v>
      </c>
      <c r="I169" s="189">
        <v>159</v>
      </c>
      <c r="J169" s="189" t="s">
        <v>29</v>
      </c>
      <c r="K169" s="189" t="s">
        <v>29</v>
      </c>
      <c r="L169" s="189">
        <f t="shared" si="10"/>
        <v>37581</v>
      </c>
      <c r="N169" s="189">
        <v>50128</v>
      </c>
      <c r="O169" s="189">
        <v>224202</v>
      </c>
      <c r="P169" s="189">
        <v>106155</v>
      </c>
      <c r="Q169" s="189">
        <v>21705</v>
      </c>
      <c r="R169" s="189">
        <v>200</v>
      </c>
      <c r="S169" s="189">
        <f t="shared" si="11"/>
        <v>402390</v>
      </c>
    </row>
    <row r="170" spans="1:19" x14ac:dyDescent="0.2">
      <c r="A170" s="371">
        <v>1975</v>
      </c>
      <c r="B170" s="189" t="s">
        <v>29</v>
      </c>
      <c r="C170" s="189">
        <v>9</v>
      </c>
      <c r="D170" s="189">
        <v>371</v>
      </c>
      <c r="E170" s="189">
        <v>6888</v>
      </c>
      <c r="F170" s="189">
        <v>6189</v>
      </c>
      <c r="G170" s="189">
        <v>8910</v>
      </c>
      <c r="H170" s="189">
        <v>1653</v>
      </c>
      <c r="I170" s="189">
        <v>189</v>
      </c>
      <c r="J170" s="189" t="s">
        <v>29</v>
      </c>
      <c r="K170" s="189" t="s">
        <v>29</v>
      </c>
      <c r="L170" s="189">
        <f t="shared" si="10"/>
        <v>24209</v>
      </c>
      <c r="N170" s="189">
        <v>59412</v>
      </c>
      <c r="O170" s="189">
        <v>64478</v>
      </c>
      <c r="P170" s="189">
        <v>48335</v>
      </c>
      <c r="Q170" s="189">
        <v>4082</v>
      </c>
      <c r="R170" s="189">
        <v>346</v>
      </c>
      <c r="S170" s="189">
        <f t="shared" si="11"/>
        <v>176653</v>
      </c>
    </row>
    <row r="171" spans="1:19" x14ac:dyDescent="0.2">
      <c r="A171" s="371">
        <v>1976</v>
      </c>
      <c r="B171" s="189" t="s">
        <v>29</v>
      </c>
      <c r="C171" s="189" t="s">
        <v>29</v>
      </c>
      <c r="D171" s="189">
        <v>582</v>
      </c>
      <c r="E171" s="189">
        <v>4062</v>
      </c>
      <c r="F171" s="189">
        <v>10202</v>
      </c>
      <c r="G171" s="189">
        <v>12169</v>
      </c>
      <c r="H171" s="189">
        <v>1238</v>
      </c>
      <c r="I171" s="189">
        <v>1690</v>
      </c>
      <c r="J171" s="189" t="s">
        <v>29</v>
      </c>
      <c r="K171" s="189" t="s">
        <v>29</v>
      </c>
      <c r="L171" s="189">
        <f t="shared" si="10"/>
        <v>29943</v>
      </c>
      <c r="N171" s="189">
        <v>99934</v>
      </c>
      <c r="O171" s="189">
        <v>175600</v>
      </c>
      <c r="P171" s="189">
        <v>148198</v>
      </c>
      <c r="Q171" s="189">
        <v>18131</v>
      </c>
      <c r="R171" s="189">
        <v>3721</v>
      </c>
      <c r="S171" s="189">
        <f t="shared" si="11"/>
        <v>445584</v>
      </c>
    </row>
    <row r="172" spans="1:19" x14ac:dyDescent="0.2">
      <c r="A172" s="371">
        <v>1977</v>
      </c>
      <c r="B172" s="189" t="s">
        <v>29</v>
      </c>
      <c r="C172" s="189" t="s">
        <v>29</v>
      </c>
      <c r="D172" s="189">
        <v>3453</v>
      </c>
      <c r="E172" s="189">
        <v>11123</v>
      </c>
      <c r="F172" s="189">
        <v>11886</v>
      </c>
      <c r="G172" s="189">
        <v>31577</v>
      </c>
      <c r="H172" s="189">
        <v>3083</v>
      </c>
      <c r="I172" s="189">
        <v>497</v>
      </c>
      <c r="J172" s="189" t="s">
        <v>29</v>
      </c>
      <c r="K172" s="189" t="s">
        <v>29</v>
      </c>
      <c r="L172" s="189">
        <f t="shared" si="10"/>
        <v>61619</v>
      </c>
      <c r="N172" s="189">
        <v>8582</v>
      </c>
      <c r="O172" s="189">
        <v>60997</v>
      </c>
      <c r="P172" s="189">
        <v>30399</v>
      </c>
      <c r="Q172" s="189">
        <v>2601</v>
      </c>
      <c r="R172" s="189">
        <v>164</v>
      </c>
      <c r="S172" s="189">
        <f t="shared" si="11"/>
        <v>102743</v>
      </c>
    </row>
    <row r="173" spans="1:19" x14ac:dyDescent="0.2">
      <c r="A173" s="371">
        <v>1978</v>
      </c>
      <c r="B173" s="189" t="s">
        <v>29</v>
      </c>
      <c r="C173" s="189" t="s">
        <v>29</v>
      </c>
      <c r="D173" s="189">
        <v>259</v>
      </c>
      <c r="E173" s="189">
        <v>8267</v>
      </c>
      <c r="F173" s="189">
        <v>16294</v>
      </c>
      <c r="G173" s="189">
        <v>15165</v>
      </c>
      <c r="H173" s="189">
        <v>11464</v>
      </c>
      <c r="I173" s="189">
        <v>2567</v>
      </c>
      <c r="J173" s="189">
        <v>106</v>
      </c>
      <c r="K173" s="189" t="s">
        <v>29</v>
      </c>
      <c r="L173" s="189">
        <f t="shared" si="10"/>
        <v>54122</v>
      </c>
      <c r="N173" s="189">
        <v>73328</v>
      </c>
      <c r="O173" s="189">
        <v>68623</v>
      </c>
      <c r="P173" s="189">
        <v>41801</v>
      </c>
      <c r="Q173" s="189">
        <v>2644</v>
      </c>
      <c r="R173" s="189">
        <v>132</v>
      </c>
      <c r="S173" s="189">
        <f t="shared" si="11"/>
        <v>186528</v>
      </c>
    </row>
    <row r="174" spans="1:19" x14ac:dyDescent="0.2">
      <c r="A174" s="371">
        <v>1979</v>
      </c>
      <c r="B174" s="189" t="s">
        <v>29</v>
      </c>
      <c r="C174" s="189" t="s">
        <v>29</v>
      </c>
      <c r="D174" s="189">
        <v>4522</v>
      </c>
      <c r="E174" s="189">
        <v>1</v>
      </c>
      <c r="F174" s="189">
        <v>15320</v>
      </c>
      <c r="G174" s="189">
        <v>10618</v>
      </c>
      <c r="H174" s="189">
        <v>5006</v>
      </c>
      <c r="I174" s="189">
        <v>3178</v>
      </c>
      <c r="J174" s="189" t="s">
        <v>29</v>
      </c>
      <c r="K174" s="189" t="s">
        <v>29</v>
      </c>
      <c r="L174" s="189">
        <f t="shared" si="10"/>
        <v>38645</v>
      </c>
      <c r="N174" s="189" t="s">
        <v>29</v>
      </c>
      <c r="O174" s="189">
        <v>159410</v>
      </c>
      <c r="P174" s="189">
        <v>51832</v>
      </c>
      <c r="Q174" s="189">
        <v>544</v>
      </c>
      <c r="R174" s="189" t="s">
        <v>29</v>
      </c>
      <c r="S174" s="189">
        <f t="shared" si="11"/>
        <v>211786</v>
      </c>
    </row>
    <row r="175" spans="1:19" x14ac:dyDescent="0.2">
      <c r="A175" s="371">
        <v>1980</v>
      </c>
      <c r="B175" s="189" t="s">
        <v>29</v>
      </c>
      <c r="C175" s="189" t="s">
        <v>29</v>
      </c>
      <c r="D175" s="189">
        <v>9429</v>
      </c>
      <c r="E175" s="189">
        <v>8972</v>
      </c>
      <c r="F175" s="189">
        <v>8645</v>
      </c>
      <c r="G175" s="189">
        <v>12333</v>
      </c>
      <c r="H175" s="189">
        <v>3148</v>
      </c>
      <c r="I175" s="189">
        <v>6208</v>
      </c>
      <c r="J175" s="189" t="s">
        <v>29</v>
      </c>
      <c r="K175" s="189" t="s">
        <v>29</v>
      </c>
      <c r="L175" s="189">
        <f t="shared" si="10"/>
        <v>48735</v>
      </c>
      <c r="N175" s="189" t="s">
        <v>29</v>
      </c>
      <c r="O175" s="189">
        <v>13964</v>
      </c>
      <c r="P175" s="189">
        <v>0</v>
      </c>
      <c r="Q175" s="189">
        <v>0</v>
      </c>
      <c r="R175" s="189" t="s">
        <v>29</v>
      </c>
      <c r="S175" s="189">
        <f t="shared" si="11"/>
        <v>13964</v>
      </c>
    </row>
    <row r="176" spans="1:19" x14ac:dyDescent="0.2">
      <c r="A176" s="371">
        <v>1981</v>
      </c>
      <c r="B176" s="189" t="s">
        <v>29</v>
      </c>
      <c r="C176" s="189" t="s">
        <v>29</v>
      </c>
      <c r="D176" s="189">
        <v>9633</v>
      </c>
      <c r="E176" s="189">
        <v>0</v>
      </c>
      <c r="F176" s="189">
        <v>9938</v>
      </c>
      <c r="G176" s="189">
        <v>7157</v>
      </c>
      <c r="H176" s="189">
        <v>325</v>
      </c>
      <c r="I176" s="189">
        <v>369</v>
      </c>
      <c r="J176" s="189" t="s">
        <v>29</v>
      </c>
      <c r="K176" s="189" t="s">
        <v>29</v>
      </c>
      <c r="L176" s="189">
        <f t="shared" si="10"/>
        <v>27422</v>
      </c>
      <c r="N176" s="189" t="s">
        <v>29</v>
      </c>
      <c r="O176" s="189">
        <v>74198</v>
      </c>
      <c r="P176" s="189">
        <v>119174</v>
      </c>
      <c r="Q176" s="189" t="s">
        <v>29</v>
      </c>
      <c r="R176" s="189" t="s">
        <v>29</v>
      </c>
      <c r="S176" s="189">
        <f t="shared" si="11"/>
        <v>193372</v>
      </c>
    </row>
    <row r="177" spans="1:19" x14ac:dyDescent="0.2">
      <c r="A177" s="371">
        <v>1982</v>
      </c>
      <c r="B177" s="189" t="s">
        <v>29</v>
      </c>
      <c r="C177" s="189" t="s">
        <v>29</v>
      </c>
      <c r="D177" s="189">
        <v>5044</v>
      </c>
      <c r="E177" s="189">
        <v>5026</v>
      </c>
      <c r="F177" s="189">
        <v>10908</v>
      </c>
      <c r="G177" s="189">
        <v>1482</v>
      </c>
      <c r="H177" s="189">
        <v>2279</v>
      </c>
      <c r="I177" s="189">
        <v>3462</v>
      </c>
      <c r="J177" s="189" t="s">
        <v>29</v>
      </c>
      <c r="K177" s="189" t="s">
        <v>29</v>
      </c>
      <c r="L177" s="189">
        <f t="shared" si="10"/>
        <v>28201</v>
      </c>
      <c r="N177" s="189" t="s">
        <v>29</v>
      </c>
      <c r="O177" s="189">
        <v>116125</v>
      </c>
      <c r="P177" s="189" t="s">
        <v>29</v>
      </c>
      <c r="Q177" s="189" t="s">
        <v>29</v>
      </c>
      <c r="R177" s="189" t="s">
        <v>29</v>
      </c>
      <c r="S177" s="189">
        <f t="shared" si="11"/>
        <v>116125</v>
      </c>
    </row>
    <row r="178" spans="1:19" x14ac:dyDescent="0.2">
      <c r="A178" s="371">
        <v>1983</v>
      </c>
      <c r="B178" s="189" t="s">
        <v>29</v>
      </c>
      <c r="C178" s="189" t="s">
        <v>29</v>
      </c>
      <c r="D178" s="189">
        <v>1787</v>
      </c>
      <c r="E178" s="189">
        <v>1050</v>
      </c>
      <c r="F178" s="189">
        <v>10652</v>
      </c>
      <c r="G178" s="189">
        <v>6014</v>
      </c>
      <c r="H178" s="189">
        <v>1386</v>
      </c>
      <c r="I178" s="189">
        <v>2312</v>
      </c>
      <c r="J178" s="189">
        <v>111</v>
      </c>
      <c r="K178" s="189" t="s">
        <v>29</v>
      </c>
      <c r="L178" s="189">
        <f t="shared" si="10"/>
        <v>23312</v>
      </c>
      <c r="N178" s="189" t="s">
        <v>29</v>
      </c>
      <c r="O178" s="189">
        <v>99086</v>
      </c>
      <c r="P178" s="189">
        <v>14174</v>
      </c>
      <c r="Q178" s="189">
        <v>4161</v>
      </c>
      <c r="R178" s="189" t="s">
        <v>29</v>
      </c>
      <c r="S178" s="189">
        <f t="shared" si="11"/>
        <v>117421</v>
      </c>
    </row>
    <row r="179" spans="1:19" x14ac:dyDescent="0.2">
      <c r="A179" s="371">
        <v>1984</v>
      </c>
      <c r="B179" s="189" t="s">
        <v>29</v>
      </c>
      <c r="C179" s="189" t="s">
        <v>29</v>
      </c>
      <c r="D179" s="189">
        <v>138</v>
      </c>
      <c r="E179" s="189">
        <v>1464</v>
      </c>
      <c r="F179" s="189">
        <v>10572</v>
      </c>
      <c r="G179" s="189">
        <v>6602</v>
      </c>
      <c r="H179" s="189">
        <v>72</v>
      </c>
      <c r="I179" s="189">
        <v>0</v>
      </c>
      <c r="J179" s="189" t="s">
        <v>29</v>
      </c>
      <c r="K179" s="189" t="s">
        <v>29</v>
      </c>
      <c r="L179" s="189">
        <f t="shared" si="10"/>
        <v>18848</v>
      </c>
      <c r="N179" s="189" t="s">
        <v>29</v>
      </c>
      <c r="O179" s="189" t="s">
        <v>29</v>
      </c>
      <c r="P179" s="189" t="s">
        <v>29</v>
      </c>
      <c r="Q179" s="189" t="s">
        <v>29</v>
      </c>
      <c r="R179" s="189" t="s">
        <v>29</v>
      </c>
      <c r="S179" s="189" t="s">
        <v>29</v>
      </c>
    </row>
    <row r="180" spans="1:19" x14ac:dyDescent="0.2">
      <c r="A180" s="371">
        <v>1985</v>
      </c>
      <c r="B180" s="189" t="s">
        <v>29</v>
      </c>
      <c r="C180" s="189" t="s">
        <v>29</v>
      </c>
      <c r="D180" s="189">
        <v>14858</v>
      </c>
      <c r="E180" s="189">
        <v>3738</v>
      </c>
      <c r="F180" s="189">
        <v>16615</v>
      </c>
      <c r="G180" s="189">
        <v>4617</v>
      </c>
      <c r="H180" s="189">
        <v>735</v>
      </c>
      <c r="I180" s="189">
        <v>1237</v>
      </c>
      <c r="J180" s="189" t="s">
        <v>29</v>
      </c>
      <c r="K180" s="189" t="s">
        <v>29</v>
      </c>
      <c r="L180" s="189">
        <f t="shared" si="10"/>
        <v>41800</v>
      </c>
      <c r="N180" s="189" t="s">
        <v>29</v>
      </c>
      <c r="O180" s="189">
        <v>11940</v>
      </c>
      <c r="P180" s="189" t="s">
        <v>29</v>
      </c>
      <c r="Q180" s="189" t="s">
        <v>29</v>
      </c>
      <c r="R180" s="189" t="s">
        <v>29</v>
      </c>
      <c r="S180" s="189">
        <f t="shared" si="11"/>
        <v>11940</v>
      </c>
    </row>
    <row r="181" spans="1:19" x14ac:dyDescent="0.2">
      <c r="A181" s="364">
        <v>1986</v>
      </c>
      <c r="B181" s="189" t="s">
        <v>29</v>
      </c>
      <c r="C181" s="189" t="s">
        <v>29</v>
      </c>
      <c r="D181" s="189">
        <v>10211</v>
      </c>
      <c r="E181" s="189">
        <v>11936</v>
      </c>
      <c r="F181" s="189">
        <v>30932</v>
      </c>
      <c r="G181" s="189">
        <v>5516</v>
      </c>
      <c r="H181" s="189">
        <v>6922</v>
      </c>
      <c r="I181" s="189">
        <v>22469</v>
      </c>
      <c r="J181" s="189" t="s">
        <v>29</v>
      </c>
      <c r="K181" s="189" t="s">
        <v>29</v>
      </c>
      <c r="L181" s="189">
        <f t="shared" si="10"/>
        <v>87986</v>
      </c>
      <c r="N181" s="189" t="s">
        <v>29</v>
      </c>
      <c r="O181" s="189">
        <v>192332</v>
      </c>
      <c r="P181" s="189" t="s">
        <v>29</v>
      </c>
      <c r="Q181" s="189" t="s">
        <v>29</v>
      </c>
      <c r="R181" s="189" t="s">
        <v>29</v>
      </c>
      <c r="S181" s="189">
        <f t="shared" si="11"/>
        <v>192332</v>
      </c>
    </row>
    <row r="182" spans="1:19" x14ac:dyDescent="0.2">
      <c r="A182" s="364">
        <v>1987</v>
      </c>
      <c r="B182" s="189" t="s">
        <v>29</v>
      </c>
      <c r="C182" s="189" t="s">
        <v>29</v>
      </c>
      <c r="D182" s="189">
        <v>10514</v>
      </c>
      <c r="E182" s="189">
        <v>7533</v>
      </c>
      <c r="F182" s="189">
        <v>24226</v>
      </c>
      <c r="G182" s="189">
        <v>23663</v>
      </c>
      <c r="H182" s="189">
        <v>13659</v>
      </c>
      <c r="I182" s="189">
        <v>8087</v>
      </c>
      <c r="J182" s="189" t="s">
        <v>29</v>
      </c>
      <c r="K182" s="189" t="s">
        <v>29</v>
      </c>
      <c r="L182" s="189">
        <f t="shared" si="10"/>
        <v>87682</v>
      </c>
      <c r="N182" s="189" t="s">
        <v>29</v>
      </c>
      <c r="O182" s="189">
        <v>59307</v>
      </c>
      <c r="P182" s="189">
        <v>18510</v>
      </c>
      <c r="Q182" s="189">
        <v>5166</v>
      </c>
      <c r="R182" s="189" t="s">
        <v>29</v>
      </c>
      <c r="S182" s="189">
        <f t="shared" si="11"/>
        <v>82983</v>
      </c>
    </row>
    <row r="183" spans="1:19" x14ac:dyDescent="0.2">
      <c r="A183" s="364">
        <v>1988</v>
      </c>
      <c r="B183" s="189" t="s">
        <v>29</v>
      </c>
      <c r="C183" s="189" t="s">
        <v>29</v>
      </c>
      <c r="D183" s="189">
        <v>8396</v>
      </c>
      <c r="E183" s="189">
        <v>15218</v>
      </c>
      <c r="F183" s="189">
        <v>46612</v>
      </c>
      <c r="G183" s="189">
        <v>32518</v>
      </c>
      <c r="H183" s="189">
        <v>10512</v>
      </c>
      <c r="I183" s="189">
        <v>15879</v>
      </c>
      <c r="J183" s="189" t="s">
        <v>29</v>
      </c>
      <c r="K183" s="189" t="s">
        <v>29</v>
      </c>
      <c r="L183" s="189">
        <f t="shared" si="10"/>
        <v>129135</v>
      </c>
      <c r="N183" s="189" t="s">
        <v>29</v>
      </c>
      <c r="O183" s="189">
        <v>146231</v>
      </c>
      <c r="P183" s="189">
        <v>106259</v>
      </c>
      <c r="Q183" s="189" t="s">
        <v>29</v>
      </c>
      <c r="R183" s="189" t="s">
        <v>29</v>
      </c>
      <c r="S183" s="189">
        <f t="shared" si="11"/>
        <v>252490</v>
      </c>
    </row>
    <row r="184" spans="1:19" x14ac:dyDescent="0.2">
      <c r="A184" s="364">
        <v>1989</v>
      </c>
      <c r="B184" s="189" t="s">
        <v>29</v>
      </c>
      <c r="C184" s="189" t="s">
        <v>29</v>
      </c>
      <c r="D184" s="189">
        <v>12361</v>
      </c>
      <c r="E184" s="189">
        <v>19148</v>
      </c>
      <c r="F184" s="189">
        <v>20614</v>
      </c>
      <c r="G184" s="189">
        <v>10146</v>
      </c>
      <c r="H184" s="189">
        <v>2950</v>
      </c>
      <c r="I184" s="189">
        <v>5451</v>
      </c>
      <c r="J184" s="189" t="s">
        <v>29</v>
      </c>
      <c r="K184" s="189" t="s">
        <v>29</v>
      </c>
      <c r="L184" s="189">
        <f t="shared" si="10"/>
        <v>70670</v>
      </c>
      <c r="N184" s="189" t="s">
        <v>29</v>
      </c>
      <c r="O184" s="189">
        <v>129827</v>
      </c>
      <c r="P184" s="189">
        <v>7954</v>
      </c>
      <c r="Q184" s="189" t="s">
        <v>29</v>
      </c>
      <c r="R184" s="189" t="s">
        <v>29</v>
      </c>
      <c r="S184" s="189">
        <f t="shared" si="11"/>
        <v>137781</v>
      </c>
    </row>
    <row r="185" spans="1:19" x14ac:dyDescent="0.2">
      <c r="A185" s="364">
        <v>1990</v>
      </c>
      <c r="B185" s="189" t="s">
        <v>29</v>
      </c>
      <c r="C185" s="189" t="s">
        <v>29</v>
      </c>
      <c r="D185" s="189">
        <v>2518</v>
      </c>
      <c r="E185" s="189">
        <v>16502</v>
      </c>
      <c r="F185" s="189">
        <v>16590</v>
      </c>
      <c r="G185" s="189">
        <v>2334</v>
      </c>
      <c r="H185" s="189">
        <v>587</v>
      </c>
      <c r="I185" s="189">
        <v>780</v>
      </c>
      <c r="J185" s="189" t="s">
        <v>29</v>
      </c>
      <c r="K185" s="189" t="s">
        <v>29</v>
      </c>
      <c r="L185" s="189">
        <f t="shared" si="10"/>
        <v>39311</v>
      </c>
      <c r="N185" s="189">
        <v>56</v>
      </c>
      <c r="O185" s="189">
        <v>13719</v>
      </c>
      <c r="P185" s="189" t="s">
        <v>29</v>
      </c>
      <c r="Q185" s="189" t="s">
        <v>29</v>
      </c>
      <c r="R185" s="189" t="s">
        <v>29</v>
      </c>
      <c r="S185" s="189">
        <f t="shared" si="11"/>
        <v>13775</v>
      </c>
    </row>
    <row r="186" spans="1:19" x14ac:dyDescent="0.2">
      <c r="A186" s="364">
        <v>1991</v>
      </c>
      <c r="B186" s="189" t="s">
        <v>29</v>
      </c>
      <c r="C186" s="189" t="s">
        <v>29</v>
      </c>
      <c r="D186" s="189">
        <v>2944</v>
      </c>
      <c r="E186" s="189">
        <v>7299</v>
      </c>
      <c r="F186" s="189">
        <v>3393</v>
      </c>
      <c r="G186" s="189">
        <v>5784</v>
      </c>
      <c r="H186" s="189">
        <v>7030</v>
      </c>
      <c r="I186" s="189">
        <v>6957</v>
      </c>
      <c r="J186" s="189" t="s">
        <v>29</v>
      </c>
      <c r="K186" s="189" t="s">
        <v>29</v>
      </c>
      <c r="L186" s="189">
        <f t="shared" si="10"/>
        <v>33407</v>
      </c>
      <c r="N186" s="189">
        <v>58218</v>
      </c>
      <c r="O186" s="189">
        <v>30362</v>
      </c>
      <c r="P186" s="189" t="s">
        <v>29</v>
      </c>
      <c r="Q186" s="189" t="s">
        <v>29</v>
      </c>
      <c r="R186" s="189" t="s">
        <v>29</v>
      </c>
      <c r="S186" s="189">
        <f t="shared" si="11"/>
        <v>88580</v>
      </c>
    </row>
    <row r="187" spans="1:19" x14ac:dyDescent="0.2">
      <c r="A187" s="364">
        <v>1992</v>
      </c>
      <c r="B187" s="189" t="s">
        <v>29</v>
      </c>
      <c r="C187" s="189" t="s">
        <v>29</v>
      </c>
      <c r="D187" s="189">
        <v>19619</v>
      </c>
      <c r="E187" s="189" t="s">
        <v>29</v>
      </c>
      <c r="F187" s="189">
        <v>28494</v>
      </c>
      <c r="G187" s="189">
        <v>21880</v>
      </c>
      <c r="H187" s="189">
        <v>8556</v>
      </c>
      <c r="I187" s="189">
        <v>16228</v>
      </c>
      <c r="J187" s="189" t="s">
        <v>29</v>
      </c>
      <c r="K187" s="189" t="s">
        <v>29</v>
      </c>
      <c r="L187" s="189">
        <f t="shared" si="10"/>
        <v>94777</v>
      </c>
      <c r="N187" s="189" t="s">
        <v>29</v>
      </c>
      <c r="O187" s="189">
        <v>19045</v>
      </c>
      <c r="P187" s="189">
        <v>15942</v>
      </c>
      <c r="Q187" s="189" t="s">
        <v>29</v>
      </c>
      <c r="R187" s="189" t="s">
        <v>29</v>
      </c>
      <c r="S187" s="189">
        <f t="shared" si="11"/>
        <v>34987</v>
      </c>
    </row>
    <row r="188" spans="1:19" x14ac:dyDescent="0.2">
      <c r="A188" s="364">
        <v>1993</v>
      </c>
      <c r="B188" s="189" t="s">
        <v>29</v>
      </c>
      <c r="C188" s="189" t="s">
        <v>29</v>
      </c>
      <c r="D188" s="189">
        <v>17103</v>
      </c>
      <c r="E188" s="189">
        <v>13666</v>
      </c>
      <c r="F188" s="189">
        <v>11953</v>
      </c>
      <c r="G188" s="189">
        <v>9398</v>
      </c>
      <c r="H188" s="189">
        <v>8561</v>
      </c>
      <c r="I188" s="189">
        <v>3542</v>
      </c>
      <c r="J188" s="189" t="s">
        <v>29</v>
      </c>
      <c r="K188" s="189" t="s">
        <v>29</v>
      </c>
      <c r="L188" s="189">
        <f t="shared" si="10"/>
        <v>64223</v>
      </c>
      <c r="N188" s="189" t="s">
        <v>29</v>
      </c>
      <c r="O188" s="189" t="s">
        <v>29</v>
      </c>
      <c r="P188" s="189">
        <v>2</v>
      </c>
      <c r="Q188" s="189" t="s">
        <v>29</v>
      </c>
      <c r="R188" s="189" t="s">
        <v>29</v>
      </c>
      <c r="S188" s="189">
        <f t="shared" si="11"/>
        <v>2</v>
      </c>
    </row>
    <row r="189" spans="1:19" x14ac:dyDescent="0.2">
      <c r="A189" s="364">
        <v>1994</v>
      </c>
      <c r="B189" s="189" t="s">
        <v>29</v>
      </c>
      <c r="C189" s="189" t="s">
        <v>29</v>
      </c>
      <c r="D189" s="189">
        <v>7178</v>
      </c>
      <c r="E189" s="189">
        <v>7047</v>
      </c>
      <c r="F189" s="189" t="s">
        <v>29</v>
      </c>
      <c r="G189" s="189" t="s">
        <v>29</v>
      </c>
      <c r="H189" s="189">
        <v>1040</v>
      </c>
      <c r="I189" s="189">
        <v>2803</v>
      </c>
      <c r="J189" s="189" t="s">
        <v>29</v>
      </c>
      <c r="K189" s="189" t="s">
        <v>29</v>
      </c>
      <c r="L189" s="189">
        <f t="shared" si="10"/>
        <v>18068</v>
      </c>
      <c r="N189" s="189" t="s">
        <v>29</v>
      </c>
      <c r="O189" s="189" t="s">
        <v>29</v>
      </c>
      <c r="P189" s="189" t="s">
        <v>29</v>
      </c>
      <c r="Q189" s="189" t="s">
        <v>29</v>
      </c>
      <c r="R189" s="189" t="s">
        <v>29</v>
      </c>
      <c r="S189" s="189" t="s">
        <v>29</v>
      </c>
    </row>
    <row r="190" spans="1:19" x14ac:dyDescent="0.2">
      <c r="A190" s="364">
        <v>1995</v>
      </c>
      <c r="B190" s="189" t="s">
        <v>29</v>
      </c>
      <c r="C190" s="189" t="s">
        <v>29</v>
      </c>
      <c r="D190" s="189">
        <v>8610</v>
      </c>
      <c r="E190" s="189">
        <v>27986</v>
      </c>
      <c r="F190" s="189" t="s">
        <v>29</v>
      </c>
      <c r="G190" s="189">
        <v>79387</v>
      </c>
      <c r="H190" s="189">
        <v>33322</v>
      </c>
      <c r="I190" s="189">
        <v>24891</v>
      </c>
      <c r="J190" s="189" t="s">
        <v>29</v>
      </c>
      <c r="K190" s="189" t="s">
        <v>29</v>
      </c>
      <c r="L190" s="189">
        <f t="shared" si="10"/>
        <v>174196</v>
      </c>
      <c r="N190" s="189" t="s">
        <v>29</v>
      </c>
      <c r="O190" s="189" t="s">
        <v>29</v>
      </c>
      <c r="P190" s="189" t="s">
        <v>29</v>
      </c>
      <c r="Q190" s="189" t="s">
        <v>29</v>
      </c>
      <c r="R190" s="189" t="s">
        <v>29</v>
      </c>
      <c r="S190" s="189" t="s">
        <v>29</v>
      </c>
    </row>
    <row r="191" spans="1:19" x14ac:dyDescent="0.2">
      <c r="A191" s="364">
        <v>1996</v>
      </c>
      <c r="B191" s="189" t="s">
        <v>29</v>
      </c>
      <c r="C191" s="189" t="s">
        <v>29</v>
      </c>
      <c r="D191" s="189">
        <v>22690</v>
      </c>
      <c r="E191" s="189">
        <v>20565</v>
      </c>
      <c r="F191" s="189" t="s">
        <v>29</v>
      </c>
      <c r="G191" s="189">
        <v>53636</v>
      </c>
      <c r="H191" s="189">
        <v>19394</v>
      </c>
      <c r="I191" s="189">
        <v>11534</v>
      </c>
      <c r="J191" s="189" t="s">
        <v>29</v>
      </c>
      <c r="K191" s="189" t="s">
        <v>29</v>
      </c>
      <c r="L191" s="189">
        <f t="shared" si="10"/>
        <v>127819</v>
      </c>
      <c r="N191" s="189" t="s">
        <v>29</v>
      </c>
      <c r="O191" s="189" t="s">
        <v>29</v>
      </c>
      <c r="P191" s="189" t="s">
        <v>29</v>
      </c>
      <c r="Q191" s="189" t="s">
        <v>29</v>
      </c>
      <c r="R191" s="189" t="s">
        <v>29</v>
      </c>
      <c r="S191" s="189" t="s">
        <v>29</v>
      </c>
    </row>
    <row r="192" spans="1:19" x14ac:dyDescent="0.2">
      <c r="A192" s="364">
        <v>1997</v>
      </c>
      <c r="B192" s="189" t="s">
        <v>29</v>
      </c>
      <c r="C192" s="189">
        <v>2369</v>
      </c>
      <c r="D192" s="189">
        <v>24047</v>
      </c>
      <c r="E192" s="189">
        <v>26925</v>
      </c>
      <c r="F192" s="189" t="s">
        <v>29</v>
      </c>
      <c r="G192" s="189">
        <v>38819</v>
      </c>
      <c r="H192" s="189">
        <v>23978</v>
      </c>
      <c r="I192" s="189">
        <v>2828</v>
      </c>
      <c r="J192" s="189" t="s">
        <v>29</v>
      </c>
      <c r="K192" s="189" t="s">
        <v>29</v>
      </c>
      <c r="L192" s="189">
        <f t="shared" si="10"/>
        <v>118966</v>
      </c>
      <c r="N192" s="189" t="s">
        <v>29</v>
      </c>
      <c r="O192" s="189" t="s">
        <v>29</v>
      </c>
      <c r="P192" s="189" t="s">
        <v>29</v>
      </c>
      <c r="Q192" s="189" t="s">
        <v>29</v>
      </c>
      <c r="R192" s="189" t="s">
        <v>29</v>
      </c>
      <c r="S192" s="189" t="s">
        <v>29</v>
      </c>
    </row>
    <row r="193" spans="1:19" x14ac:dyDescent="0.2">
      <c r="A193" s="364">
        <v>1998</v>
      </c>
      <c r="B193" s="189" t="s">
        <v>29</v>
      </c>
      <c r="C193" s="189">
        <v>16486</v>
      </c>
      <c r="D193" s="189">
        <v>34071</v>
      </c>
      <c r="E193" s="189">
        <v>25029</v>
      </c>
      <c r="F193" s="189" t="s">
        <v>29</v>
      </c>
      <c r="G193" s="189">
        <v>15983</v>
      </c>
      <c r="H193" s="189">
        <v>2293</v>
      </c>
      <c r="I193" s="189">
        <v>930</v>
      </c>
      <c r="J193" s="189" t="s">
        <v>29</v>
      </c>
      <c r="K193" s="189" t="s">
        <v>29</v>
      </c>
      <c r="L193" s="189">
        <f t="shared" si="10"/>
        <v>94792</v>
      </c>
      <c r="N193" s="189" t="s">
        <v>29</v>
      </c>
      <c r="O193" s="189" t="s">
        <v>29</v>
      </c>
      <c r="P193" s="189" t="s">
        <v>29</v>
      </c>
      <c r="Q193" s="189" t="s">
        <v>29</v>
      </c>
      <c r="R193" s="189" t="s">
        <v>29</v>
      </c>
      <c r="S193" s="189" t="s">
        <v>29</v>
      </c>
    </row>
    <row r="194" spans="1:19" x14ac:dyDescent="0.2">
      <c r="A194" s="364">
        <v>1999</v>
      </c>
      <c r="B194" s="189" t="s">
        <v>29</v>
      </c>
      <c r="C194" s="189">
        <v>612</v>
      </c>
      <c r="D194" s="189">
        <v>4501</v>
      </c>
      <c r="E194" s="189">
        <v>5721</v>
      </c>
      <c r="F194" s="189">
        <v>3163</v>
      </c>
      <c r="G194" s="189">
        <v>1028</v>
      </c>
      <c r="H194" s="189">
        <v>98</v>
      </c>
      <c r="I194" s="189">
        <v>741</v>
      </c>
      <c r="J194" s="189" t="s">
        <v>29</v>
      </c>
      <c r="K194" s="189" t="s">
        <v>29</v>
      </c>
      <c r="L194" s="189">
        <f t="shared" si="10"/>
        <v>15864</v>
      </c>
      <c r="N194" s="189" t="s">
        <v>29</v>
      </c>
      <c r="O194" s="189" t="s">
        <v>29</v>
      </c>
      <c r="P194" s="189" t="s">
        <v>29</v>
      </c>
      <c r="Q194" s="189" t="s">
        <v>29</v>
      </c>
      <c r="R194" s="189" t="s">
        <v>29</v>
      </c>
      <c r="S194" s="189" t="s">
        <v>29</v>
      </c>
    </row>
    <row r="195" spans="1:19" x14ac:dyDescent="0.2">
      <c r="A195" s="364">
        <v>2000</v>
      </c>
      <c r="B195" s="189" t="s">
        <v>29</v>
      </c>
      <c r="C195" s="189">
        <v>595</v>
      </c>
      <c r="D195" s="189">
        <v>4426</v>
      </c>
      <c r="E195" s="189">
        <v>5762</v>
      </c>
      <c r="F195" s="189">
        <v>4409</v>
      </c>
      <c r="G195" s="189">
        <v>14178</v>
      </c>
      <c r="H195" s="189">
        <v>14926</v>
      </c>
      <c r="I195" s="189">
        <v>4715</v>
      </c>
      <c r="J195" s="189" t="s">
        <v>29</v>
      </c>
      <c r="K195" s="189" t="s">
        <v>29</v>
      </c>
      <c r="L195" s="189">
        <f t="shared" si="10"/>
        <v>49011</v>
      </c>
      <c r="N195" s="189" t="s">
        <v>29</v>
      </c>
      <c r="O195" s="189" t="s">
        <v>29</v>
      </c>
      <c r="P195" s="189" t="s">
        <v>29</v>
      </c>
      <c r="Q195" s="189" t="s">
        <v>29</v>
      </c>
      <c r="R195" s="189" t="s">
        <v>29</v>
      </c>
      <c r="S195" s="189" t="s">
        <v>29</v>
      </c>
    </row>
    <row r="196" spans="1:19" x14ac:dyDescent="0.2">
      <c r="A196" s="364">
        <v>2001</v>
      </c>
      <c r="B196" s="189" t="s">
        <v>29</v>
      </c>
      <c r="C196" s="189">
        <v>8536</v>
      </c>
      <c r="D196" s="189">
        <v>45372</v>
      </c>
      <c r="E196" s="189">
        <v>28016</v>
      </c>
      <c r="F196" s="189">
        <v>15669</v>
      </c>
      <c r="G196" s="189">
        <v>40694</v>
      </c>
      <c r="H196" s="189">
        <v>20356</v>
      </c>
      <c r="I196" s="189">
        <v>10001</v>
      </c>
      <c r="J196" s="189" t="s">
        <v>29</v>
      </c>
      <c r="K196" s="189" t="s">
        <v>29</v>
      </c>
      <c r="L196" s="189">
        <f t="shared" si="10"/>
        <v>168644</v>
      </c>
      <c r="N196" s="189" t="s">
        <v>29</v>
      </c>
      <c r="O196" s="189" t="s">
        <v>29</v>
      </c>
      <c r="P196" s="189" t="s">
        <v>29</v>
      </c>
      <c r="Q196" s="189" t="s">
        <v>29</v>
      </c>
      <c r="R196" s="189" t="s">
        <v>29</v>
      </c>
      <c r="S196" s="189" t="s">
        <v>29</v>
      </c>
    </row>
    <row r="197" spans="1:19" x14ac:dyDescent="0.2">
      <c r="A197" s="364">
        <v>2002</v>
      </c>
      <c r="B197" s="189">
        <v>3938</v>
      </c>
      <c r="C197" s="189">
        <v>4321</v>
      </c>
      <c r="D197" s="189">
        <v>12233</v>
      </c>
      <c r="E197" s="189">
        <v>7372</v>
      </c>
      <c r="F197" s="189">
        <v>5135</v>
      </c>
      <c r="G197" s="189">
        <v>7648</v>
      </c>
      <c r="H197" s="189">
        <v>34931</v>
      </c>
      <c r="I197" s="189">
        <v>56506</v>
      </c>
      <c r="J197" s="189" t="s">
        <v>29</v>
      </c>
      <c r="K197" s="189" t="s">
        <v>29</v>
      </c>
      <c r="L197" s="189">
        <f t="shared" si="10"/>
        <v>132084</v>
      </c>
      <c r="N197" s="189" t="s">
        <v>29</v>
      </c>
      <c r="O197" s="189" t="s">
        <v>29</v>
      </c>
      <c r="P197" s="189" t="s">
        <v>29</v>
      </c>
      <c r="Q197" s="189" t="s">
        <v>29</v>
      </c>
      <c r="R197" s="189" t="s">
        <v>29</v>
      </c>
      <c r="S197" s="189" t="s">
        <v>29</v>
      </c>
    </row>
    <row r="198" spans="1:19" x14ac:dyDescent="0.2">
      <c r="A198" s="118">
        <v>2003</v>
      </c>
      <c r="B198" s="189">
        <v>674</v>
      </c>
      <c r="C198" s="189">
        <v>8915</v>
      </c>
      <c r="D198" s="189">
        <v>24752</v>
      </c>
      <c r="E198" s="189">
        <v>12180</v>
      </c>
      <c r="F198" s="189">
        <v>12769</v>
      </c>
      <c r="G198" s="189">
        <v>22804</v>
      </c>
      <c r="H198" s="189">
        <v>36204</v>
      </c>
      <c r="I198" s="189">
        <v>30252</v>
      </c>
      <c r="J198" s="189" t="s">
        <v>29</v>
      </c>
      <c r="K198" s="189" t="s">
        <v>29</v>
      </c>
      <c r="L198" s="189">
        <f t="shared" si="10"/>
        <v>148550</v>
      </c>
      <c r="N198" s="189" t="s">
        <v>29</v>
      </c>
      <c r="O198" s="189" t="s">
        <v>29</v>
      </c>
      <c r="P198" s="189" t="s">
        <v>29</v>
      </c>
      <c r="Q198" s="189" t="s">
        <v>29</v>
      </c>
      <c r="R198" s="189" t="s">
        <v>29</v>
      </c>
      <c r="S198" s="189" t="s">
        <v>29</v>
      </c>
    </row>
    <row r="199" spans="1:19" x14ac:dyDescent="0.2">
      <c r="A199" s="118">
        <v>2004</v>
      </c>
      <c r="B199" s="189">
        <v>12970</v>
      </c>
      <c r="C199" s="189">
        <v>12286</v>
      </c>
      <c r="D199" s="189">
        <v>26499</v>
      </c>
      <c r="E199" s="189">
        <v>7350</v>
      </c>
      <c r="F199" s="189">
        <v>8085</v>
      </c>
      <c r="G199" s="189">
        <v>11018</v>
      </c>
      <c r="H199" s="189">
        <v>12354</v>
      </c>
      <c r="I199" s="189">
        <v>726</v>
      </c>
      <c r="J199" s="189" t="s">
        <v>29</v>
      </c>
      <c r="K199" s="189" t="s">
        <v>29</v>
      </c>
      <c r="L199" s="189">
        <f t="shared" si="10"/>
        <v>91288</v>
      </c>
      <c r="N199" s="189" t="s">
        <v>29</v>
      </c>
      <c r="O199" s="189" t="s">
        <v>29</v>
      </c>
      <c r="P199" s="189" t="s">
        <v>29</v>
      </c>
      <c r="Q199" s="189" t="s">
        <v>29</v>
      </c>
      <c r="R199" s="189" t="s">
        <v>29</v>
      </c>
      <c r="S199" s="189" t="s">
        <v>29</v>
      </c>
    </row>
    <row r="200" spans="1:19" x14ac:dyDescent="0.2">
      <c r="A200" s="118">
        <v>2005</v>
      </c>
      <c r="B200" s="189">
        <v>4171</v>
      </c>
      <c r="C200" s="189">
        <v>2209</v>
      </c>
      <c r="D200" s="189">
        <v>7347</v>
      </c>
      <c r="E200" s="189">
        <v>39240</v>
      </c>
      <c r="F200" s="189" t="s">
        <v>29</v>
      </c>
      <c r="G200" s="189" t="s">
        <v>29</v>
      </c>
      <c r="H200" s="189">
        <v>29592</v>
      </c>
      <c r="I200" s="189">
        <v>7505</v>
      </c>
      <c r="J200" s="189" t="s">
        <v>29</v>
      </c>
      <c r="K200" s="189" t="s">
        <v>29</v>
      </c>
      <c r="L200" s="189">
        <f>SUM(B200:K200)</f>
        <v>90064</v>
      </c>
      <c r="N200" s="189" t="s">
        <v>29</v>
      </c>
      <c r="O200" s="189" t="s">
        <v>29</v>
      </c>
      <c r="P200" s="189" t="s">
        <v>29</v>
      </c>
      <c r="Q200" s="189" t="s">
        <v>29</v>
      </c>
      <c r="R200" s="189" t="s">
        <v>29</v>
      </c>
      <c r="S200" s="189" t="s">
        <v>29</v>
      </c>
    </row>
    <row r="201" spans="1:19" x14ac:dyDescent="0.2">
      <c r="A201" s="118">
        <v>2006</v>
      </c>
      <c r="B201" s="204" t="s">
        <v>29</v>
      </c>
      <c r="C201" s="204" t="s">
        <v>29</v>
      </c>
      <c r="D201" s="204" t="s">
        <v>29</v>
      </c>
      <c r="E201" s="204">
        <v>8397</v>
      </c>
      <c r="F201" s="204">
        <v>3556</v>
      </c>
      <c r="G201" s="204">
        <v>923</v>
      </c>
      <c r="H201" s="204">
        <v>3852</v>
      </c>
      <c r="I201" s="204">
        <v>1528</v>
      </c>
      <c r="J201" s="204">
        <v>639</v>
      </c>
      <c r="K201" s="204" t="s">
        <v>29</v>
      </c>
      <c r="L201" s="189">
        <f>SUM(B201:K201)</f>
        <v>18895</v>
      </c>
      <c r="N201" s="189" t="s">
        <v>29</v>
      </c>
      <c r="O201" s="189" t="s">
        <v>29</v>
      </c>
      <c r="P201" s="189" t="s">
        <v>29</v>
      </c>
      <c r="Q201" s="189" t="s">
        <v>29</v>
      </c>
      <c r="R201" s="189" t="s">
        <v>29</v>
      </c>
      <c r="S201" s="189" t="s">
        <v>29</v>
      </c>
    </row>
    <row r="202" spans="1:19" s="366" customFormat="1" x14ac:dyDescent="0.2">
      <c r="A202" s="118">
        <v>2007</v>
      </c>
      <c r="B202" s="180" t="s">
        <v>29</v>
      </c>
      <c r="C202" s="180">
        <v>279</v>
      </c>
      <c r="D202" s="180">
        <v>1553</v>
      </c>
      <c r="E202" s="180">
        <v>1427</v>
      </c>
      <c r="F202" s="180">
        <v>323</v>
      </c>
      <c r="G202" s="180">
        <v>338</v>
      </c>
      <c r="H202" s="180">
        <v>88</v>
      </c>
      <c r="I202" s="180">
        <v>54</v>
      </c>
      <c r="J202" s="180">
        <v>2</v>
      </c>
      <c r="K202" s="180" t="s">
        <v>29</v>
      </c>
      <c r="L202" s="187">
        <f>SUM(B202:K202)</f>
        <v>4064</v>
      </c>
      <c r="M202" s="187"/>
      <c r="N202" s="187" t="s">
        <v>29</v>
      </c>
      <c r="O202" s="187" t="s">
        <v>29</v>
      </c>
      <c r="P202" s="187">
        <v>1607</v>
      </c>
      <c r="Q202" s="187">
        <v>276</v>
      </c>
      <c r="R202" s="187" t="s">
        <v>29</v>
      </c>
      <c r="S202" s="187">
        <f>SUM(N202:R202)</f>
        <v>1883</v>
      </c>
    </row>
    <row r="203" spans="1:19" s="366" customFormat="1" x14ac:dyDescent="0.2">
      <c r="A203" s="118">
        <v>2008</v>
      </c>
      <c r="B203" s="180" t="s">
        <v>29</v>
      </c>
      <c r="C203" s="180" t="s">
        <v>29</v>
      </c>
      <c r="D203" s="180" t="s">
        <v>29</v>
      </c>
      <c r="E203" s="180" t="s">
        <v>29</v>
      </c>
      <c r="F203" s="180" t="s">
        <v>29</v>
      </c>
      <c r="G203" s="180" t="s">
        <v>29</v>
      </c>
      <c r="H203" s="180" t="s">
        <v>29</v>
      </c>
      <c r="I203" s="180" t="s">
        <v>29</v>
      </c>
      <c r="J203" s="180" t="s">
        <v>29</v>
      </c>
      <c r="K203" s="180" t="s">
        <v>29</v>
      </c>
      <c r="L203" s="187" t="s">
        <v>29</v>
      </c>
      <c r="M203" s="187"/>
      <c r="N203" s="187" t="s">
        <v>29</v>
      </c>
      <c r="O203" s="187" t="s">
        <v>29</v>
      </c>
      <c r="P203" s="187" t="s">
        <v>29</v>
      </c>
      <c r="Q203" s="187" t="s">
        <v>29</v>
      </c>
      <c r="R203" s="187" t="s">
        <v>29</v>
      </c>
      <c r="S203" s="187" t="s">
        <v>29</v>
      </c>
    </row>
    <row r="204" spans="1:19" s="366" customFormat="1" x14ac:dyDescent="0.2">
      <c r="A204" s="118">
        <v>2009</v>
      </c>
      <c r="B204" s="180" t="s">
        <v>29</v>
      </c>
      <c r="C204" s="180" t="s">
        <v>29</v>
      </c>
      <c r="D204" s="180" t="s">
        <v>29</v>
      </c>
      <c r="E204" s="180" t="s">
        <v>29</v>
      </c>
      <c r="F204" s="180" t="s">
        <v>29</v>
      </c>
      <c r="G204" s="180" t="s">
        <v>29</v>
      </c>
      <c r="H204" s="180" t="s">
        <v>29</v>
      </c>
      <c r="I204" s="180" t="s">
        <v>29</v>
      </c>
      <c r="J204" s="180" t="s">
        <v>29</v>
      </c>
      <c r="K204" s="180" t="s">
        <v>29</v>
      </c>
      <c r="L204" s="187" t="s">
        <v>29</v>
      </c>
      <c r="M204" s="187"/>
      <c r="N204" s="187" t="s">
        <v>29</v>
      </c>
      <c r="O204" s="187" t="s">
        <v>29</v>
      </c>
      <c r="P204" s="187" t="s">
        <v>29</v>
      </c>
      <c r="Q204" s="187">
        <v>5105</v>
      </c>
      <c r="R204" s="187" t="s">
        <v>29</v>
      </c>
      <c r="S204" s="187">
        <f>SUM(N204:R204)</f>
        <v>5105</v>
      </c>
    </row>
    <row r="205" spans="1:19" s="366" customFormat="1" x14ac:dyDescent="0.2">
      <c r="A205" s="118">
        <v>2010</v>
      </c>
      <c r="B205" s="180" t="s">
        <v>29</v>
      </c>
      <c r="C205" s="180" t="s">
        <v>29</v>
      </c>
      <c r="D205" s="180">
        <f>10+886+1373+889+792</f>
        <v>3950</v>
      </c>
      <c r="E205" s="180">
        <f>599+1349+316+1249</f>
        <v>3513</v>
      </c>
      <c r="F205" s="180">
        <f>1270+96+63+325+751</f>
        <v>2505</v>
      </c>
      <c r="G205" s="180">
        <f>1796+455+88+70</f>
        <v>2409</v>
      </c>
      <c r="H205" s="180" t="s">
        <v>29</v>
      </c>
      <c r="I205" s="180" t="s">
        <v>29</v>
      </c>
      <c r="J205" s="180" t="s">
        <v>29</v>
      </c>
      <c r="K205" s="180" t="s">
        <v>29</v>
      </c>
      <c r="L205" s="187">
        <f t="shared" ref="L205:L215" si="12">SUM(B205:K205)</f>
        <v>12377</v>
      </c>
      <c r="M205" s="187"/>
      <c r="N205" s="187" t="s">
        <v>29</v>
      </c>
      <c r="O205" s="187" t="s">
        <v>29</v>
      </c>
      <c r="P205" s="187" t="s">
        <v>29</v>
      </c>
      <c r="Q205" s="187" t="s">
        <v>29</v>
      </c>
      <c r="R205" s="187" t="s">
        <v>29</v>
      </c>
      <c r="S205" s="187" t="s">
        <v>29</v>
      </c>
    </row>
    <row r="206" spans="1:19" s="366" customFormat="1" x14ac:dyDescent="0.2">
      <c r="A206" s="118">
        <v>2011</v>
      </c>
      <c r="B206" s="180" t="s">
        <v>29</v>
      </c>
      <c r="C206" s="180">
        <v>378</v>
      </c>
      <c r="D206" s="180">
        <v>2357</v>
      </c>
      <c r="E206" s="180">
        <v>1477</v>
      </c>
      <c r="F206" s="180">
        <v>192</v>
      </c>
      <c r="G206" s="180">
        <v>561</v>
      </c>
      <c r="H206" s="180" t="s">
        <v>29</v>
      </c>
      <c r="I206" s="180">
        <v>15</v>
      </c>
      <c r="J206" s="180" t="s">
        <v>29</v>
      </c>
      <c r="K206" s="180" t="s">
        <v>29</v>
      </c>
      <c r="L206" s="187">
        <f t="shared" si="12"/>
        <v>4980</v>
      </c>
      <c r="M206" s="187"/>
      <c r="N206" s="187" t="s">
        <v>29</v>
      </c>
      <c r="O206" s="187" t="s">
        <v>29</v>
      </c>
      <c r="P206" s="187" t="s">
        <v>29</v>
      </c>
      <c r="Q206" s="187" t="s">
        <v>29</v>
      </c>
      <c r="R206" s="187" t="s">
        <v>29</v>
      </c>
      <c r="S206" s="187" t="s">
        <v>29</v>
      </c>
    </row>
    <row r="207" spans="1:19" s="366" customFormat="1" x14ac:dyDescent="0.2">
      <c r="A207" s="118">
        <v>2012</v>
      </c>
      <c r="B207" s="180" t="s">
        <v>29</v>
      </c>
      <c r="C207" s="180">
        <v>1090</v>
      </c>
      <c r="D207" s="180">
        <v>4408</v>
      </c>
      <c r="E207" s="180">
        <v>2578</v>
      </c>
      <c r="F207" s="180">
        <v>998</v>
      </c>
      <c r="G207" s="180">
        <v>5819</v>
      </c>
      <c r="H207" s="180">
        <v>8550</v>
      </c>
      <c r="I207" s="180">
        <v>3169</v>
      </c>
      <c r="J207" s="180" t="s">
        <v>29</v>
      </c>
      <c r="K207" s="180" t="s">
        <v>29</v>
      </c>
      <c r="L207" s="187">
        <f t="shared" si="12"/>
        <v>26612</v>
      </c>
      <c r="M207" s="187"/>
      <c r="N207" s="187" t="s">
        <v>29</v>
      </c>
      <c r="O207" s="187" t="s">
        <v>29</v>
      </c>
      <c r="P207" s="187" t="s">
        <v>29</v>
      </c>
      <c r="Q207" s="187" t="s">
        <v>29</v>
      </c>
      <c r="R207" s="187" t="s">
        <v>29</v>
      </c>
      <c r="S207" s="187" t="s">
        <v>29</v>
      </c>
    </row>
    <row r="208" spans="1:19" s="366" customFormat="1" x14ac:dyDescent="0.2">
      <c r="A208" s="118">
        <v>2013</v>
      </c>
      <c r="B208" s="180" t="s">
        <v>29</v>
      </c>
      <c r="C208" s="180">
        <v>2186</v>
      </c>
      <c r="D208" s="180">
        <v>3436</v>
      </c>
      <c r="E208" s="180">
        <v>1740</v>
      </c>
      <c r="F208" s="180">
        <v>1443</v>
      </c>
      <c r="G208" s="180">
        <v>5569</v>
      </c>
      <c r="H208" s="180">
        <v>865</v>
      </c>
      <c r="I208" s="180">
        <v>461</v>
      </c>
      <c r="J208" s="180" t="s">
        <v>29</v>
      </c>
      <c r="K208" s="180" t="s">
        <v>29</v>
      </c>
      <c r="L208" s="187">
        <f t="shared" si="12"/>
        <v>15700</v>
      </c>
      <c r="M208" s="187"/>
      <c r="N208" s="187" t="s">
        <v>29</v>
      </c>
      <c r="O208" s="187" t="s">
        <v>29</v>
      </c>
      <c r="P208" s="187" t="s">
        <v>29</v>
      </c>
      <c r="Q208" s="187" t="s">
        <v>29</v>
      </c>
      <c r="R208" s="187" t="s">
        <v>29</v>
      </c>
      <c r="S208" s="187" t="s">
        <v>29</v>
      </c>
    </row>
    <row r="209" spans="1:19" s="366" customFormat="1" x14ac:dyDescent="0.2">
      <c r="A209" s="118">
        <v>2014</v>
      </c>
      <c r="B209" s="180" t="s">
        <v>29</v>
      </c>
      <c r="C209" s="180">
        <v>9078</v>
      </c>
      <c r="D209" s="180">
        <v>18829</v>
      </c>
      <c r="E209" s="180">
        <v>8108</v>
      </c>
      <c r="F209" s="180">
        <v>6348</v>
      </c>
      <c r="G209" s="180">
        <v>36167</v>
      </c>
      <c r="H209" s="180">
        <v>3658</v>
      </c>
      <c r="I209" s="180">
        <v>934</v>
      </c>
      <c r="J209" s="180" t="s">
        <v>29</v>
      </c>
      <c r="K209" s="180" t="s">
        <v>29</v>
      </c>
      <c r="L209" s="187">
        <f t="shared" si="12"/>
        <v>83122</v>
      </c>
      <c r="M209" s="187"/>
      <c r="N209" s="187" t="s">
        <v>29</v>
      </c>
      <c r="O209" s="187" t="s">
        <v>29</v>
      </c>
      <c r="P209" s="187" t="s">
        <v>29</v>
      </c>
      <c r="Q209" s="187">
        <v>1222</v>
      </c>
      <c r="R209" s="187" t="s">
        <v>29</v>
      </c>
      <c r="S209" s="187">
        <f>SUM(N209:R209)</f>
        <v>1222</v>
      </c>
    </row>
    <row r="210" spans="1:19" s="366" customFormat="1" x14ac:dyDescent="0.2">
      <c r="A210" s="118">
        <v>2015</v>
      </c>
      <c r="B210" s="180" t="s">
        <v>29</v>
      </c>
      <c r="C210" s="180">
        <v>7286</v>
      </c>
      <c r="D210" s="180">
        <v>2240</v>
      </c>
      <c r="E210" s="180">
        <v>2503</v>
      </c>
      <c r="F210" s="180">
        <v>18472</v>
      </c>
      <c r="G210" s="180">
        <v>5544</v>
      </c>
      <c r="H210" s="180">
        <v>813</v>
      </c>
      <c r="I210" s="180" t="s">
        <v>29</v>
      </c>
      <c r="J210" s="180" t="s">
        <v>29</v>
      </c>
      <c r="K210" s="180" t="s">
        <v>29</v>
      </c>
      <c r="L210" s="187">
        <f>SUM(B210:K210)</f>
        <v>36858</v>
      </c>
      <c r="M210" s="187"/>
      <c r="N210" s="187" t="s">
        <v>29</v>
      </c>
      <c r="O210" s="187" t="s">
        <v>29</v>
      </c>
      <c r="P210" s="187" t="s">
        <v>29</v>
      </c>
      <c r="Q210" s="187" t="s">
        <v>29</v>
      </c>
      <c r="R210" s="187" t="s">
        <v>29</v>
      </c>
      <c r="S210" s="187" t="s">
        <v>29</v>
      </c>
    </row>
    <row r="211" spans="1:19" s="366" customFormat="1" x14ac:dyDescent="0.2">
      <c r="A211" s="118">
        <v>2016</v>
      </c>
      <c r="B211" s="180" t="s">
        <v>29</v>
      </c>
      <c r="C211" s="180">
        <v>5610</v>
      </c>
      <c r="D211" s="180">
        <v>5044</v>
      </c>
      <c r="E211" s="180">
        <v>1948</v>
      </c>
      <c r="F211" s="180">
        <v>9188</v>
      </c>
      <c r="G211" s="180">
        <v>8063</v>
      </c>
      <c r="H211" s="180">
        <v>1426</v>
      </c>
      <c r="I211" s="180">
        <v>2</v>
      </c>
      <c r="J211" s="180" t="s">
        <v>29</v>
      </c>
      <c r="K211" s="180" t="s">
        <v>29</v>
      </c>
      <c r="L211" s="187">
        <f>SUM(B211:K211)</f>
        <v>31281</v>
      </c>
      <c r="M211" s="187"/>
      <c r="N211" s="187" t="s">
        <v>29</v>
      </c>
      <c r="O211" s="187" t="s">
        <v>29</v>
      </c>
      <c r="P211" s="187" t="s">
        <v>29</v>
      </c>
      <c r="Q211" s="187" t="s">
        <v>29</v>
      </c>
      <c r="R211" s="187" t="s">
        <v>29</v>
      </c>
      <c r="S211" s="187" t="s">
        <v>29</v>
      </c>
    </row>
    <row r="212" spans="1:19" s="366" customFormat="1" x14ac:dyDescent="0.2">
      <c r="A212" s="118">
        <v>2017</v>
      </c>
      <c r="B212" s="180" t="s">
        <v>29</v>
      </c>
      <c r="C212" s="180">
        <v>547</v>
      </c>
      <c r="D212" s="180">
        <v>904</v>
      </c>
      <c r="E212" s="180">
        <v>2950</v>
      </c>
      <c r="F212" s="180">
        <v>13002</v>
      </c>
      <c r="G212" s="180" t="s">
        <v>29</v>
      </c>
      <c r="H212" s="180">
        <v>25</v>
      </c>
      <c r="I212" s="180">
        <v>10</v>
      </c>
      <c r="J212" s="180" t="s">
        <v>29</v>
      </c>
      <c r="K212" s="180" t="s">
        <v>29</v>
      </c>
      <c r="L212" s="187">
        <f>SUM(B212:K212)</f>
        <v>17438</v>
      </c>
      <c r="M212" s="187"/>
      <c r="N212" s="187" t="s">
        <v>29</v>
      </c>
      <c r="O212" s="187" t="s">
        <v>29</v>
      </c>
      <c r="P212" s="187" t="s">
        <v>29</v>
      </c>
      <c r="Q212" s="187" t="s">
        <v>29</v>
      </c>
      <c r="R212" s="187" t="s">
        <v>29</v>
      </c>
      <c r="S212" s="187" t="s">
        <v>29</v>
      </c>
    </row>
    <row r="213" spans="1:19" s="366" customFormat="1" x14ac:dyDescent="0.2">
      <c r="A213" s="118">
        <v>2018</v>
      </c>
      <c r="B213" s="180" t="s">
        <v>29</v>
      </c>
      <c r="C213" s="180" t="s">
        <v>29</v>
      </c>
      <c r="D213" s="180">
        <v>491</v>
      </c>
      <c r="E213" s="180">
        <v>709</v>
      </c>
      <c r="F213" s="180">
        <v>2101</v>
      </c>
      <c r="G213" s="180">
        <v>11031</v>
      </c>
      <c r="H213" s="180">
        <v>151</v>
      </c>
      <c r="I213" s="180">
        <v>4</v>
      </c>
      <c r="J213" s="180" t="s">
        <v>29</v>
      </c>
      <c r="K213" s="180" t="s">
        <v>29</v>
      </c>
      <c r="L213" s="187">
        <f>SUM(B213:K213)</f>
        <v>14487</v>
      </c>
      <c r="M213" s="187"/>
      <c r="N213" s="187" t="s">
        <v>29</v>
      </c>
      <c r="O213" s="187" t="s">
        <v>29</v>
      </c>
      <c r="P213" s="187" t="s">
        <v>29</v>
      </c>
      <c r="Q213" s="187" t="s">
        <v>29</v>
      </c>
      <c r="R213" s="187" t="s">
        <v>29</v>
      </c>
      <c r="S213" s="187" t="s">
        <v>29</v>
      </c>
    </row>
    <row r="214" spans="1:19" s="489" customFormat="1" x14ac:dyDescent="0.2">
      <c r="A214" s="118">
        <v>2019</v>
      </c>
      <c r="B214" s="180" t="s">
        <v>29</v>
      </c>
      <c r="C214" s="180">
        <v>68</v>
      </c>
      <c r="D214" s="180">
        <v>351</v>
      </c>
      <c r="E214" s="180">
        <v>2602</v>
      </c>
      <c r="F214" s="180">
        <v>14763</v>
      </c>
      <c r="G214" s="180">
        <v>4429</v>
      </c>
      <c r="H214" s="180">
        <v>537</v>
      </c>
      <c r="I214" s="180">
        <v>14</v>
      </c>
      <c r="J214" s="180" t="s">
        <v>29</v>
      </c>
      <c r="K214" s="180" t="s">
        <v>29</v>
      </c>
      <c r="L214" s="187">
        <f t="shared" ref="L214" si="13">SUM(B214:K214)</f>
        <v>22764</v>
      </c>
      <c r="M214" s="187"/>
      <c r="N214" s="187" t="s">
        <v>29</v>
      </c>
      <c r="O214" s="187" t="s">
        <v>29</v>
      </c>
      <c r="P214" s="187" t="s">
        <v>29</v>
      </c>
      <c r="Q214" s="187" t="s">
        <v>29</v>
      </c>
      <c r="R214" s="187" t="s">
        <v>29</v>
      </c>
      <c r="S214" s="187" t="s">
        <v>29</v>
      </c>
    </row>
    <row r="215" spans="1:19" x14ac:dyDescent="0.2">
      <c r="A215" s="124" t="s">
        <v>393</v>
      </c>
      <c r="B215" s="180" t="s">
        <v>29</v>
      </c>
      <c r="C215" s="180">
        <v>513</v>
      </c>
      <c r="D215" s="180">
        <v>713</v>
      </c>
      <c r="E215" s="180">
        <v>1765</v>
      </c>
      <c r="F215" s="180">
        <v>3758</v>
      </c>
      <c r="G215" s="180">
        <v>1661</v>
      </c>
      <c r="H215" s="180">
        <v>414</v>
      </c>
      <c r="I215" s="180">
        <v>16</v>
      </c>
      <c r="J215" s="180" t="s">
        <v>29</v>
      </c>
      <c r="K215" s="180" t="s">
        <v>29</v>
      </c>
      <c r="L215" s="187">
        <f t="shared" si="12"/>
        <v>8840</v>
      </c>
      <c r="M215" s="187"/>
      <c r="N215" s="187" t="s">
        <v>29</v>
      </c>
      <c r="O215" s="187" t="s">
        <v>29</v>
      </c>
      <c r="P215" s="187" t="s">
        <v>29</v>
      </c>
      <c r="Q215" s="187" t="s">
        <v>29</v>
      </c>
      <c r="R215" s="187" t="s">
        <v>29</v>
      </c>
      <c r="S215" s="187" t="s">
        <v>29</v>
      </c>
    </row>
    <row r="217" spans="1:19" x14ac:dyDescent="0.2">
      <c r="A217" s="109" t="s">
        <v>55</v>
      </c>
    </row>
    <row r="218" spans="1:19" x14ac:dyDescent="0.2">
      <c r="A218" s="371">
        <v>1952</v>
      </c>
      <c r="B218" s="189">
        <v>0</v>
      </c>
      <c r="C218" s="189">
        <v>0</v>
      </c>
      <c r="D218" s="189">
        <v>259</v>
      </c>
      <c r="E218" s="189">
        <v>6027</v>
      </c>
      <c r="F218" s="189">
        <v>14808</v>
      </c>
      <c r="G218" s="189">
        <v>25749</v>
      </c>
      <c r="H218" s="189">
        <v>4124</v>
      </c>
      <c r="I218" s="189">
        <v>116</v>
      </c>
      <c r="J218" s="189" t="s">
        <v>29</v>
      </c>
      <c r="K218" s="189" t="s">
        <v>29</v>
      </c>
      <c r="L218" s="189">
        <f t="shared" ref="L218:L275" si="14">SUM(B218:K218)</f>
        <v>51083</v>
      </c>
      <c r="N218" s="189">
        <v>5740</v>
      </c>
      <c r="O218" s="189">
        <v>35467</v>
      </c>
      <c r="P218" s="189">
        <v>17324</v>
      </c>
      <c r="Q218" s="189">
        <v>1960</v>
      </c>
      <c r="R218" s="189">
        <v>390</v>
      </c>
      <c r="S218" s="189">
        <f t="shared" ref="S218:S251" si="15">SUM(N218:R218)</f>
        <v>60881</v>
      </c>
    </row>
    <row r="219" spans="1:19" x14ac:dyDescent="0.2">
      <c r="A219" s="371">
        <v>1953</v>
      </c>
      <c r="B219" s="189">
        <v>0</v>
      </c>
      <c r="C219" s="189">
        <v>0</v>
      </c>
      <c r="D219" s="189">
        <v>3</v>
      </c>
      <c r="E219" s="189">
        <v>1996</v>
      </c>
      <c r="F219" s="189">
        <v>9009</v>
      </c>
      <c r="G219" s="189">
        <v>16619</v>
      </c>
      <c r="H219" s="189">
        <v>1546</v>
      </c>
      <c r="I219" s="189">
        <v>33</v>
      </c>
      <c r="J219" s="189" t="s">
        <v>29</v>
      </c>
      <c r="K219" s="189" t="s">
        <v>29</v>
      </c>
      <c r="L219" s="189">
        <f t="shared" si="14"/>
        <v>29206</v>
      </c>
      <c r="N219" s="189">
        <v>2990</v>
      </c>
      <c r="O219" s="189">
        <v>17868</v>
      </c>
      <c r="P219" s="189">
        <v>14058</v>
      </c>
      <c r="Q219" s="189">
        <v>2568</v>
      </c>
      <c r="R219" s="189">
        <v>225</v>
      </c>
      <c r="S219" s="189">
        <f t="shared" si="15"/>
        <v>37709</v>
      </c>
    </row>
    <row r="220" spans="1:19" x14ac:dyDescent="0.2">
      <c r="A220" s="371">
        <v>1954</v>
      </c>
      <c r="B220" s="189">
        <v>0</v>
      </c>
      <c r="C220" s="189">
        <v>9</v>
      </c>
      <c r="D220" s="189">
        <v>1655</v>
      </c>
      <c r="E220" s="189">
        <v>8148</v>
      </c>
      <c r="F220" s="189">
        <v>18576</v>
      </c>
      <c r="G220" s="189">
        <v>26221</v>
      </c>
      <c r="H220" s="189">
        <v>12876</v>
      </c>
      <c r="I220" s="189">
        <v>1114</v>
      </c>
      <c r="J220" s="189" t="s">
        <v>29</v>
      </c>
      <c r="K220" s="189" t="s">
        <v>29</v>
      </c>
      <c r="L220" s="189">
        <f t="shared" si="14"/>
        <v>68599</v>
      </c>
      <c r="N220" s="189">
        <v>9745</v>
      </c>
      <c r="O220" s="189">
        <v>23622</v>
      </c>
      <c r="P220" s="189">
        <v>16905</v>
      </c>
      <c r="Q220" s="189">
        <v>20514</v>
      </c>
      <c r="R220" s="189">
        <v>626</v>
      </c>
      <c r="S220" s="189">
        <f t="shared" si="15"/>
        <v>71412</v>
      </c>
    </row>
    <row r="221" spans="1:19" x14ac:dyDescent="0.2">
      <c r="A221" s="371">
        <v>1955</v>
      </c>
      <c r="B221" s="189">
        <v>65</v>
      </c>
      <c r="C221" s="189">
        <v>715</v>
      </c>
      <c r="D221" s="189">
        <v>18705</v>
      </c>
      <c r="E221" s="189">
        <v>23698</v>
      </c>
      <c r="F221" s="189">
        <v>17265</v>
      </c>
      <c r="G221" s="189">
        <v>48585</v>
      </c>
      <c r="H221" s="189">
        <v>16741</v>
      </c>
      <c r="I221" s="189">
        <v>83</v>
      </c>
      <c r="J221" s="189" t="s">
        <v>29</v>
      </c>
      <c r="K221" s="189" t="s">
        <v>29</v>
      </c>
      <c r="L221" s="189">
        <f t="shared" si="14"/>
        <v>125857</v>
      </c>
      <c r="N221" s="189">
        <v>7477</v>
      </c>
      <c r="O221" s="189">
        <v>35568</v>
      </c>
      <c r="P221" s="189">
        <v>28946</v>
      </c>
      <c r="Q221" s="189">
        <v>7314</v>
      </c>
      <c r="R221" s="189">
        <v>145</v>
      </c>
      <c r="S221" s="189">
        <f t="shared" si="15"/>
        <v>79450</v>
      </c>
    </row>
    <row r="222" spans="1:19" x14ac:dyDescent="0.2">
      <c r="A222" s="371">
        <v>1956</v>
      </c>
      <c r="B222" s="189" t="s">
        <v>29</v>
      </c>
      <c r="C222" s="189">
        <v>393</v>
      </c>
      <c r="D222" s="189">
        <v>4992</v>
      </c>
      <c r="E222" s="189">
        <v>19835</v>
      </c>
      <c r="F222" s="189">
        <v>30420</v>
      </c>
      <c r="G222" s="189">
        <v>104428</v>
      </c>
      <c r="H222" s="189">
        <v>14747</v>
      </c>
      <c r="I222" s="189">
        <v>356</v>
      </c>
      <c r="J222" s="189" t="s">
        <v>29</v>
      </c>
      <c r="K222" s="189" t="s">
        <v>29</v>
      </c>
      <c r="L222" s="189">
        <f t="shared" si="14"/>
        <v>175171</v>
      </c>
      <c r="N222" s="189">
        <v>20917</v>
      </c>
      <c r="O222" s="189">
        <v>71663</v>
      </c>
      <c r="P222" s="189">
        <v>62603</v>
      </c>
      <c r="Q222" s="189">
        <v>10435</v>
      </c>
      <c r="R222" s="189">
        <v>1148</v>
      </c>
      <c r="S222" s="189">
        <f t="shared" si="15"/>
        <v>166766</v>
      </c>
    </row>
    <row r="223" spans="1:19" x14ac:dyDescent="0.2">
      <c r="A223" s="371">
        <v>1957</v>
      </c>
      <c r="B223" s="189" t="s">
        <v>29</v>
      </c>
      <c r="C223" s="189">
        <v>180</v>
      </c>
      <c r="D223" s="189">
        <v>10070</v>
      </c>
      <c r="E223" s="189">
        <v>28277</v>
      </c>
      <c r="F223" s="189">
        <v>41393</v>
      </c>
      <c r="G223" s="189">
        <v>50396</v>
      </c>
      <c r="H223" s="189">
        <v>6584</v>
      </c>
      <c r="I223" s="189">
        <v>47</v>
      </c>
      <c r="J223" s="189" t="s">
        <v>29</v>
      </c>
      <c r="K223" s="189" t="s">
        <v>29</v>
      </c>
      <c r="L223" s="189">
        <f t="shared" si="14"/>
        <v>136947</v>
      </c>
      <c r="N223" s="189">
        <v>51534</v>
      </c>
      <c r="O223" s="189">
        <v>121095</v>
      </c>
      <c r="P223" s="189">
        <v>71955</v>
      </c>
      <c r="Q223" s="189">
        <v>15529</v>
      </c>
      <c r="R223" s="189">
        <v>4266</v>
      </c>
      <c r="S223" s="189">
        <f t="shared" si="15"/>
        <v>264379</v>
      </c>
    </row>
    <row r="224" spans="1:19" x14ac:dyDescent="0.2">
      <c r="A224" s="371">
        <v>1958</v>
      </c>
      <c r="B224" s="189" t="s">
        <v>29</v>
      </c>
      <c r="C224" s="189">
        <v>29</v>
      </c>
      <c r="D224" s="189">
        <v>9840</v>
      </c>
      <c r="E224" s="189">
        <v>45316</v>
      </c>
      <c r="F224" s="189">
        <v>23165</v>
      </c>
      <c r="G224" s="189">
        <v>4882</v>
      </c>
      <c r="H224" s="189">
        <v>2822</v>
      </c>
      <c r="I224" s="189">
        <v>1115</v>
      </c>
      <c r="J224" s="189" t="s">
        <v>29</v>
      </c>
      <c r="K224" s="189" t="s">
        <v>29</v>
      </c>
      <c r="L224" s="189">
        <f t="shared" si="14"/>
        <v>87169</v>
      </c>
      <c r="N224" s="189">
        <v>19456</v>
      </c>
      <c r="O224" s="189">
        <v>29271</v>
      </c>
      <c r="P224" s="189">
        <v>4964</v>
      </c>
      <c r="Q224" s="189">
        <v>5563</v>
      </c>
      <c r="R224" s="189">
        <v>583</v>
      </c>
      <c r="S224" s="189">
        <f t="shared" si="15"/>
        <v>59837</v>
      </c>
    </row>
    <row r="225" spans="1:19" x14ac:dyDescent="0.2">
      <c r="A225" s="371">
        <v>1959</v>
      </c>
      <c r="B225" s="189" t="s">
        <v>29</v>
      </c>
      <c r="C225" s="189">
        <v>662</v>
      </c>
      <c r="D225" s="189">
        <v>2813</v>
      </c>
      <c r="E225" s="189">
        <v>10375</v>
      </c>
      <c r="F225" s="189">
        <v>3599</v>
      </c>
      <c r="G225" s="189">
        <v>1084</v>
      </c>
      <c r="H225" s="189">
        <v>659</v>
      </c>
      <c r="I225" s="189">
        <v>195</v>
      </c>
      <c r="J225" s="189" t="s">
        <v>29</v>
      </c>
      <c r="K225" s="189" t="s">
        <v>29</v>
      </c>
      <c r="L225" s="189">
        <f t="shared" si="14"/>
        <v>19387</v>
      </c>
      <c r="N225" s="189">
        <v>14654</v>
      </c>
      <c r="O225" s="189">
        <v>12822</v>
      </c>
      <c r="P225" s="189">
        <v>12318</v>
      </c>
      <c r="Q225" s="189">
        <v>5359</v>
      </c>
      <c r="R225" s="189">
        <v>3859</v>
      </c>
      <c r="S225" s="189">
        <f t="shared" si="15"/>
        <v>49012</v>
      </c>
    </row>
    <row r="226" spans="1:19" x14ac:dyDescent="0.2">
      <c r="A226" s="371">
        <v>1960</v>
      </c>
      <c r="B226" s="189" t="s">
        <v>29</v>
      </c>
      <c r="C226" s="189">
        <v>387</v>
      </c>
      <c r="D226" s="189">
        <v>9645</v>
      </c>
      <c r="E226" s="189">
        <v>7582</v>
      </c>
      <c r="F226" s="189">
        <v>15448</v>
      </c>
      <c r="G226" s="189">
        <v>29924</v>
      </c>
      <c r="H226" s="189">
        <v>6755</v>
      </c>
      <c r="I226" s="189">
        <v>376</v>
      </c>
      <c r="J226" s="189" t="s">
        <v>29</v>
      </c>
      <c r="K226" s="189" t="s">
        <v>29</v>
      </c>
      <c r="L226" s="189">
        <f t="shared" si="14"/>
        <v>70117</v>
      </c>
      <c r="N226" s="189">
        <v>2633</v>
      </c>
      <c r="O226" s="189">
        <v>16183</v>
      </c>
      <c r="P226" s="189">
        <v>13357</v>
      </c>
      <c r="Q226" s="189">
        <v>1405</v>
      </c>
      <c r="R226" s="189">
        <v>52</v>
      </c>
      <c r="S226" s="189">
        <f t="shared" si="15"/>
        <v>33630</v>
      </c>
    </row>
    <row r="227" spans="1:19" x14ac:dyDescent="0.2">
      <c r="A227" s="371">
        <v>1961</v>
      </c>
      <c r="B227" s="189" t="s">
        <v>29</v>
      </c>
      <c r="C227" s="189">
        <v>594</v>
      </c>
      <c r="D227" s="189">
        <v>1082</v>
      </c>
      <c r="E227" s="189">
        <v>4024</v>
      </c>
      <c r="F227" s="189">
        <v>9360</v>
      </c>
      <c r="G227" s="189">
        <v>8614</v>
      </c>
      <c r="H227" s="189">
        <v>8544</v>
      </c>
      <c r="I227" s="189">
        <v>1168</v>
      </c>
      <c r="J227" s="189" t="s">
        <v>29</v>
      </c>
      <c r="K227" s="189" t="s">
        <v>29</v>
      </c>
      <c r="L227" s="189">
        <f t="shared" si="14"/>
        <v>33386</v>
      </c>
      <c r="N227" s="189">
        <v>30964</v>
      </c>
      <c r="O227" s="189">
        <v>48079</v>
      </c>
      <c r="P227" s="189">
        <v>22561</v>
      </c>
      <c r="Q227" s="189">
        <v>4823</v>
      </c>
      <c r="R227" s="189">
        <v>381</v>
      </c>
      <c r="S227" s="189">
        <f t="shared" si="15"/>
        <v>106808</v>
      </c>
    </row>
    <row r="228" spans="1:19" x14ac:dyDescent="0.2">
      <c r="A228" s="371">
        <v>1962</v>
      </c>
      <c r="B228" s="189" t="s">
        <v>29</v>
      </c>
      <c r="C228" s="189">
        <v>191</v>
      </c>
      <c r="D228" s="189">
        <v>539</v>
      </c>
      <c r="E228" s="189">
        <v>3750</v>
      </c>
      <c r="F228" s="189">
        <v>5318</v>
      </c>
      <c r="G228" s="189">
        <v>5750</v>
      </c>
      <c r="H228" s="189">
        <v>3916</v>
      </c>
      <c r="I228" s="189">
        <v>216</v>
      </c>
      <c r="J228" s="189" t="s">
        <v>29</v>
      </c>
      <c r="K228" s="189" t="s">
        <v>29</v>
      </c>
      <c r="L228" s="189">
        <f t="shared" si="14"/>
        <v>19680</v>
      </c>
      <c r="N228" s="189">
        <v>8275</v>
      </c>
      <c r="O228" s="189">
        <v>45248</v>
      </c>
      <c r="P228" s="189">
        <v>34336</v>
      </c>
      <c r="Q228" s="189">
        <v>5952</v>
      </c>
      <c r="R228" s="189">
        <v>2403</v>
      </c>
      <c r="S228" s="189">
        <f t="shared" si="15"/>
        <v>96214</v>
      </c>
    </row>
    <row r="229" spans="1:19" x14ac:dyDescent="0.2">
      <c r="A229" s="371">
        <v>1963</v>
      </c>
      <c r="B229" s="189" t="s">
        <v>29</v>
      </c>
      <c r="C229" s="189">
        <v>57</v>
      </c>
      <c r="D229" s="189">
        <v>837</v>
      </c>
      <c r="E229" s="189">
        <v>13789</v>
      </c>
      <c r="F229" s="189">
        <v>34846</v>
      </c>
      <c r="G229" s="189">
        <v>25771</v>
      </c>
      <c r="H229" s="189">
        <v>1785</v>
      </c>
      <c r="I229" s="189">
        <v>159</v>
      </c>
      <c r="J229" s="189" t="s">
        <v>29</v>
      </c>
      <c r="K229" s="189" t="s">
        <v>29</v>
      </c>
      <c r="L229" s="189">
        <f t="shared" si="14"/>
        <v>77244</v>
      </c>
      <c r="N229" s="189">
        <v>27258</v>
      </c>
      <c r="O229" s="189">
        <v>93115</v>
      </c>
      <c r="P229" s="189">
        <v>67942</v>
      </c>
      <c r="Q229" s="189">
        <v>4220</v>
      </c>
      <c r="R229" s="189">
        <v>108</v>
      </c>
      <c r="S229" s="189">
        <f t="shared" si="15"/>
        <v>192643</v>
      </c>
    </row>
    <row r="230" spans="1:19" x14ac:dyDescent="0.2">
      <c r="A230" s="371">
        <v>1964</v>
      </c>
      <c r="B230" s="189" t="s">
        <v>29</v>
      </c>
      <c r="C230" s="189">
        <v>113</v>
      </c>
      <c r="D230" s="189">
        <v>887</v>
      </c>
      <c r="E230" s="189">
        <v>3113</v>
      </c>
      <c r="F230" s="189">
        <v>4631</v>
      </c>
      <c r="G230" s="189">
        <v>17283</v>
      </c>
      <c r="H230" s="189">
        <v>2050</v>
      </c>
      <c r="I230" s="189">
        <v>39</v>
      </c>
      <c r="J230" s="189" t="s">
        <v>29</v>
      </c>
      <c r="K230" s="189" t="s">
        <v>29</v>
      </c>
      <c r="L230" s="189">
        <f t="shared" si="14"/>
        <v>28116</v>
      </c>
      <c r="N230" s="189">
        <v>25660</v>
      </c>
      <c r="O230" s="189">
        <v>47611</v>
      </c>
      <c r="P230" s="189">
        <v>124638</v>
      </c>
      <c r="Q230" s="189">
        <v>22546</v>
      </c>
      <c r="R230" s="189">
        <v>285</v>
      </c>
      <c r="S230" s="189">
        <f t="shared" si="15"/>
        <v>220740</v>
      </c>
    </row>
    <row r="231" spans="1:19" x14ac:dyDescent="0.2">
      <c r="A231" s="371">
        <v>1965</v>
      </c>
      <c r="B231" s="189" t="s">
        <v>29</v>
      </c>
      <c r="C231" s="189">
        <v>34</v>
      </c>
      <c r="D231" s="189">
        <v>2106</v>
      </c>
      <c r="E231" s="189">
        <v>3499</v>
      </c>
      <c r="F231" s="189">
        <v>3764</v>
      </c>
      <c r="G231" s="189">
        <v>5103</v>
      </c>
      <c r="H231" s="189">
        <v>1971</v>
      </c>
      <c r="I231" s="189">
        <v>75</v>
      </c>
      <c r="J231" s="189" t="s">
        <v>29</v>
      </c>
      <c r="K231" s="189" t="s">
        <v>29</v>
      </c>
      <c r="L231" s="189">
        <f t="shared" si="14"/>
        <v>16552</v>
      </c>
      <c r="N231" s="189">
        <v>11743</v>
      </c>
      <c r="O231" s="189">
        <v>78188</v>
      </c>
      <c r="P231" s="189">
        <v>27767</v>
      </c>
      <c r="Q231" s="189">
        <v>861</v>
      </c>
      <c r="R231" s="189">
        <v>20</v>
      </c>
      <c r="S231" s="189">
        <f t="shared" si="15"/>
        <v>118579</v>
      </c>
    </row>
    <row r="232" spans="1:19" x14ac:dyDescent="0.2">
      <c r="A232" s="371">
        <v>1966</v>
      </c>
      <c r="B232" s="189" t="s">
        <v>29</v>
      </c>
      <c r="C232" s="189">
        <v>59</v>
      </c>
      <c r="D232" s="189">
        <v>630</v>
      </c>
      <c r="E232" s="189">
        <v>4192</v>
      </c>
      <c r="F232" s="189">
        <v>6108</v>
      </c>
      <c r="G232" s="189">
        <v>7507</v>
      </c>
      <c r="H232" s="189">
        <v>8288</v>
      </c>
      <c r="I232" s="189">
        <v>77</v>
      </c>
      <c r="J232" s="189" t="s">
        <v>29</v>
      </c>
      <c r="K232" s="189" t="s">
        <v>29</v>
      </c>
      <c r="L232" s="189">
        <f t="shared" si="14"/>
        <v>26861</v>
      </c>
      <c r="N232" s="189">
        <v>40388</v>
      </c>
      <c r="O232" s="189">
        <v>72300</v>
      </c>
      <c r="P232" s="189">
        <v>65458</v>
      </c>
      <c r="Q232" s="189">
        <v>36846</v>
      </c>
      <c r="R232" s="189">
        <v>359</v>
      </c>
      <c r="S232" s="189">
        <f t="shared" si="15"/>
        <v>215351</v>
      </c>
    </row>
    <row r="233" spans="1:19" x14ac:dyDescent="0.2">
      <c r="A233" s="371">
        <v>1967</v>
      </c>
      <c r="B233" s="189" t="s">
        <v>29</v>
      </c>
      <c r="C233" s="189">
        <v>61</v>
      </c>
      <c r="D233" s="189">
        <v>232</v>
      </c>
      <c r="E233" s="189">
        <v>2940</v>
      </c>
      <c r="F233" s="189">
        <v>15919</v>
      </c>
      <c r="G233" s="189">
        <v>10713</v>
      </c>
      <c r="H233" s="189">
        <v>5384</v>
      </c>
      <c r="I233" s="189">
        <v>14</v>
      </c>
      <c r="J233" s="189" t="s">
        <v>29</v>
      </c>
      <c r="K233" s="189" t="s">
        <v>29</v>
      </c>
      <c r="L233" s="189">
        <f t="shared" si="14"/>
        <v>35263</v>
      </c>
      <c r="N233" s="189">
        <v>31989</v>
      </c>
      <c r="O233" s="189">
        <v>280839</v>
      </c>
      <c r="P233" s="189">
        <v>22777</v>
      </c>
      <c r="Q233" s="189">
        <v>10110</v>
      </c>
      <c r="R233" s="189">
        <v>321</v>
      </c>
      <c r="S233" s="189">
        <f t="shared" si="15"/>
        <v>346036</v>
      </c>
    </row>
    <row r="234" spans="1:19" x14ac:dyDescent="0.2">
      <c r="A234" s="371">
        <v>1968</v>
      </c>
      <c r="B234" s="189" t="s">
        <v>29</v>
      </c>
      <c r="C234" s="189">
        <v>51</v>
      </c>
      <c r="D234" s="189">
        <v>972</v>
      </c>
      <c r="E234" s="189">
        <v>6504</v>
      </c>
      <c r="F234" s="189">
        <v>19824</v>
      </c>
      <c r="G234" s="189">
        <v>27594</v>
      </c>
      <c r="H234" s="189">
        <v>243</v>
      </c>
      <c r="I234" s="189">
        <v>2</v>
      </c>
      <c r="J234" s="189" t="s">
        <v>29</v>
      </c>
      <c r="K234" s="189" t="s">
        <v>29</v>
      </c>
      <c r="L234" s="189">
        <f t="shared" si="14"/>
        <v>55190</v>
      </c>
      <c r="N234" s="189">
        <v>135565</v>
      </c>
      <c r="O234" s="189">
        <v>204509</v>
      </c>
      <c r="P234" s="189">
        <v>49972</v>
      </c>
      <c r="Q234" s="189">
        <v>7855</v>
      </c>
      <c r="R234" s="189">
        <v>7</v>
      </c>
      <c r="S234" s="189">
        <f t="shared" si="15"/>
        <v>397908</v>
      </c>
    </row>
    <row r="235" spans="1:19" x14ac:dyDescent="0.2">
      <c r="A235" s="371">
        <v>1969</v>
      </c>
      <c r="B235" s="189" t="s">
        <v>29</v>
      </c>
      <c r="C235" s="189">
        <v>40</v>
      </c>
      <c r="D235" s="189">
        <v>1907</v>
      </c>
      <c r="E235" s="189">
        <v>20543</v>
      </c>
      <c r="F235" s="189">
        <v>20120</v>
      </c>
      <c r="G235" s="189">
        <v>23879</v>
      </c>
      <c r="H235" s="189">
        <v>4092</v>
      </c>
      <c r="I235" s="189">
        <v>131</v>
      </c>
      <c r="J235" s="189" t="s">
        <v>29</v>
      </c>
      <c r="K235" s="189" t="s">
        <v>29</v>
      </c>
      <c r="L235" s="189">
        <f t="shared" si="14"/>
        <v>70712</v>
      </c>
      <c r="N235" s="189">
        <v>80086</v>
      </c>
      <c r="O235" s="189">
        <v>113290</v>
      </c>
      <c r="P235" s="189">
        <v>30290</v>
      </c>
      <c r="Q235" s="189">
        <v>4718</v>
      </c>
      <c r="R235" s="189">
        <v>391</v>
      </c>
      <c r="S235" s="189">
        <f t="shared" si="15"/>
        <v>228775</v>
      </c>
    </row>
    <row r="236" spans="1:19" x14ac:dyDescent="0.2">
      <c r="A236" s="371">
        <v>1970</v>
      </c>
      <c r="B236" s="189" t="s">
        <v>29</v>
      </c>
      <c r="C236" s="189">
        <v>69</v>
      </c>
      <c r="D236" s="189">
        <v>1419</v>
      </c>
      <c r="E236" s="189">
        <v>10028</v>
      </c>
      <c r="F236" s="189">
        <v>12131</v>
      </c>
      <c r="G236" s="189">
        <v>14275</v>
      </c>
      <c r="H236" s="189">
        <v>17509</v>
      </c>
      <c r="I236" s="189">
        <v>9118</v>
      </c>
      <c r="J236" s="189" t="s">
        <v>29</v>
      </c>
      <c r="K236" s="189" t="s">
        <v>29</v>
      </c>
      <c r="L236" s="189">
        <f t="shared" si="14"/>
        <v>64549</v>
      </c>
      <c r="N236" s="189">
        <v>88032</v>
      </c>
      <c r="O236" s="189">
        <v>115927</v>
      </c>
      <c r="P236" s="189">
        <v>114696</v>
      </c>
      <c r="Q236" s="189">
        <v>10548</v>
      </c>
      <c r="R236" s="189">
        <v>503</v>
      </c>
      <c r="S236" s="189">
        <f t="shared" si="15"/>
        <v>329706</v>
      </c>
    </row>
    <row r="237" spans="1:19" x14ac:dyDescent="0.2">
      <c r="A237" s="371">
        <v>1971</v>
      </c>
      <c r="B237" s="189" t="s">
        <v>29</v>
      </c>
      <c r="C237" s="189">
        <v>9</v>
      </c>
      <c r="D237" s="189">
        <v>422</v>
      </c>
      <c r="E237" s="189">
        <v>3648</v>
      </c>
      <c r="F237" s="189">
        <v>2765</v>
      </c>
      <c r="G237" s="189">
        <v>7198</v>
      </c>
      <c r="H237" s="189">
        <v>1434</v>
      </c>
      <c r="I237" s="189">
        <v>2183</v>
      </c>
      <c r="J237" s="189" t="s">
        <v>29</v>
      </c>
      <c r="K237" s="189" t="s">
        <v>29</v>
      </c>
      <c r="L237" s="189">
        <f t="shared" si="14"/>
        <v>17659</v>
      </c>
      <c r="N237" s="189">
        <v>88748</v>
      </c>
      <c r="O237" s="189">
        <v>137213</v>
      </c>
      <c r="P237" s="189">
        <v>271273</v>
      </c>
      <c r="Q237" s="189">
        <v>13224</v>
      </c>
      <c r="R237" s="189">
        <v>4268</v>
      </c>
      <c r="S237" s="189">
        <f t="shared" si="15"/>
        <v>514726</v>
      </c>
    </row>
    <row r="238" spans="1:19" x14ac:dyDescent="0.2">
      <c r="A238" s="371">
        <v>1972</v>
      </c>
      <c r="B238" s="189" t="s">
        <v>29</v>
      </c>
      <c r="C238" s="189">
        <v>1</v>
      </c>
      <c r="D238" s="189">
        <v>306</v>
      </c>
      <c r="E238" s="189">
        <v>13850</v>
      </c>
      <c r="F238" s="189">
        <v>15250</v>
      </c>
      <c r="G238" s="189">
        <v>8993</v>
      </c>
      <c r="H238" s="189">
        <v>1154</v>
      </c>
      <c r="I238" s="189">
        <v>642</v>
      </c>
      <c r="J238" s="189" t="s">
        <v>29</v>
      </c>
      <c r="K238" s="189" t="s">
        <v>29</v>
      </c>
      <c r="L238" s="189">
        <f t="shared" si="14"/>
        <v>40196</v>
      </c>
      <c r="N238" s="189">
        <v>179815</v>
      </c>
      <c r="O238" s="189">
        <v>157591</v>
      </c>
      <c r="P238" s="189">
        <v>13649</v>
      </c>
      <c r="Q238" s="189">
        <v>1846</v>
      </c>
      <c r="R238" s="189">
        <v>61</v>
      </c>
      <c r="S238" s="189">
        <f t="shared" si="15"/>
        <v>352962</v>
      </c>
    </row>
    <row r="239" spans="1:19" x14ac:dyDescent="0.2">
      <c r="A239" s="371">
        <v>1973</v>
      </c>
      <c r="B239" s="189" t="s">
        <v>29</v>
      </c>
      <c r="C239" s="189">
        <v>14</v>
      </c>
      <c r="D239" s="189">
        <v>226</v>
      </c>
      <c r="E239" s="189">
        <v>10182</v>
      </c>
      <c r="F239" s="189">
        <v>54684</v>
      </c>
      <c r="G239" s="189">
        <v>90944</v>
      </c>
      <c r="H239" s="189">
        <v>26886</v>
      </c>
      <c r="I239" s="189">
        <v>12613</v>
      </c>
      <c r="J239" s="189" t="s">
        <v>29</v>
      </c>
      <c r="K239" s="189" t="s">
        <v>29</v>
      </c>
      <c r="L239" s="189">
        <f t="shared" si="14"/>
        <v>195549</v>
      </c>
      <c r="N239" s="189">
        <v>93907</v>
      </c>
      <c r="O239" s="189">
        <v>156442</v>
      </c>
      <c r="P239" s="189">
        <v>65493</v>
      </c>
      <c r="Q239" s="189">
        <v>6712</v>
      </c>
      <c r="R239" s="189">
        <v>1446</v>
      </c>
      <c r="S239" s="189">
        <f t="shared" si="15"/>
        <v>324000</v>
      </c>
    </row>
    <row r="240" spans="1:19" x14ac:dyDescent="0.2">
      <c r="A240" s="371">
        <v>1974</v>
      </c>
      <c r="B240" s="189" t="s">
        <v>29</v>
      </c>
      <c r="C240" s="189">
        <v>14</v>
      </c>
      <c r="D240" s="189">
        <v>201</v>
      </c>
      <c r="E240" s="189">
        <v>11626</v>
      </c>
      <c r="F240" s="189">
        <v>25428</v>
      </c>
      <c r="G240" s="189">
        <v>52761</v>
      </c>
      <c r="H240" s="189">
        <v>27470</v>
      </c>
      <c r="I240" s="189">
        <v>8302</v>
      </c>
      <c r="J240" s="189">
        <v>221</v>
      </c>
      <c r="K240" s="189" t="s">
        <v>29</v>
      </c>
      <c r="L240" s="189">
        <f t="shared" si="14"/>
        <v>126023</v>
      </c>
      <c r="N240" s="189">
        <v>98525</v>
      </c>
      <c r="O240" s="189">
        <v>254161</v>
      </c>
      <c r="P240" s="189">
        <v>79323</v>
      </c>
      <c r="Q240" s="189">
        <v>8703</v>
      </c>
      <c r="R240" s="189">
        <v>955</v>
      </c>
      <c r="S240" s="189">
        <f t="shared" si="15"/>
        <v>441667</v>
      </c>
    </row>
    <row r="241" spans="1:19" x14ac:dyDescent="0.2">
      <c r="A241" s="371">
        <v>1975</v>
      </c>
      <c r="B241" s="189" t="s">
        <v>29</v>
      </c>
      <c r="C241" s="189">
        <v>36</v>
      </c>
      <c r="D241" s="189">
        <v>162</v>
      </c>
      <c r="E241" s="189">
        <v>14923</v>
      </c>
      <c r="F241" s="189">
        <v>32045</v>
      </c>
      <c r="G241" s="189">
        <v>28098</v>
      </c>
      <c r="H241" s="189">
        <v>31038</v>
      </c>
      <c r="I241" s="189">
        <v>6745</v>
      </c>
      <c r="J241" s="189">
        <v>0</v>
      </c>
      <c r="K241" s="189" t="s">
        <v>29</v>
      </c>
      <c r="L241" s="189">
        <f t="shared" si="14"/>
        <v>113047</v>
      </c>
      <c r="N241" s="189">
        <v>74542</v>
      </c>
      <c r="O241" s="189">
        <v>142352</v>
      </c>
      <c r="P241" s="189">
        <v>25731</v>
      </c>
      <c r="Q241" s="189">
        <v>8488</v>
      </c>
      <c r="R241" s="189">
        <v>342</v>
      </c>
      <c r="S241" s="189">
        <f t="shared" si="15"/>
        <v>251455</v>
      </c>
    </row>
    <row r="242" spans="1:19" x14ac:dyDescent="0.2">
      <c r="A242" s="371">
        <v>1976</v>
      </c>
      <c r="B242" s="189" t="s">
        <v>29</v>
      </c>
      <c r="C242" s="189" t="s">
        <v>29</v>
      </c>
      <c r="D242" s="189">
        <v>1407</v>
      </c>
      <c r="E242" s="189">
        <v>14648</v>
      </c>
      <c r="F242" s="189">
        <v>22044</v>
      </c>
      <c r="G242" s="189">
        <v>25248</v>
      </c>
      <c r="H242" s="189">
        <v>9508</v>
      </c>
      <c r="I242" s="189">
        <v>2170</v>
      </c>
      <c r="J242" s="189">
        <v>0</v>
      </c>
      <c r="K242" s="189" t="s">
        <v>29</v>
      </c>
      <c r="L242" s="189">
        <f t="shared" si="14"/>
        <v>75025</v>
      </c>
      <c r="N242" s="189">
        <v>195233</v>
      </c>
      <c r="O242" s="189">
        <v>423668</v>
      </c>
      <c r="P242" s="189">
        <v>152431</v>
      </c>
      <c r="Q242" s="189">
        <v>6886</v>
      </c>
      <c r="R242" s="189">
        <v>371</v>
      </c>
      <c r="S242" s="189">
        <f t="shared" si="15"/>
        <v>778589</v>
      </c>
    </row>
    <row r="243" spans="1:19" x14ac:dyDescent="0.2">
      <c r="A243" s="371">
        <v>1977</v>
      </c>
      <c r="B243" s="189" t="s">
        <v>29</v>
      </c>
      <c r="C243" s="189" t="s">
        <v>29</v>
      </c>
      <c r="D243" s="189">
        <v>7248</v>
      </c>
      <c r="E243" s="189">
        <v>15482</v>
      </c>
      <c r="F243" s="189">
        <v>45522</v>
      </c>
      <c r="G243" s="189">
        <v>57119</v>
      </c>
      <c r="H243" s="189">
        <v>13212</v>
      </c>
      <c r="I243" s="189">
        <v>3936</v>
      </c>
      <c r="J243" s="189">
        <v>0</v>
      </c>
      <c r="K243" s="189" t="s">
        <v>29</v>
      </c>
      <c r="L243" s="189">
        <f t="shared" si="14"/>
        <v>142519</v>
      </c>
      <c r="N243" s="189">
        <v>33829</v>
      </c>
      <c r="O243" s="189">
        <v>85162</v>
      </c>
      <c r="P243" s="189">
        <v>26689</v>
      </c>
      <c r="Q243" s="189">
        <v>2621</v>
      </c>
      <c r="R243" s="189">
        <v>302</v>
      </c>
      <c r="S243" s="189">
        <f t="shared" si="15"/>
        <v>148603</v>
      </c>
    </row>
    <row r="244" spans="1:19" x14ac:dyDescent="0.2">
      <c r="A244" s="371">
        <v>1978</v>
      </c>
      <c r="B244" s="189" t="s">
        <v>29</v>
      </c>
      <c r="C244" s="189">
        <v>17</v>
      </c>
      <c r="D244" s="189">
        <v>1076</v>
      </c>
      <c r="E244" s="189">
        <v>13652</v>
      </c>
      <c r="F244" s="189">
        <v>28093</v>
      </c>
      <c r="G244" s="189">
        <v>18656</v>
      </c>
      <c r="H244" s="189">
        <v>4854</v>
      </c>
      <c r="I244" s="189">
        <v>339</v>
      </c>
      <c r="J244" s="189">
        <v>138</v>
      </c>
      <c r="K244" s="189" t="s">
        <v>29</v>
      </c>
      <c r="L244" s="189">
        <f t="shared" si="14"/>
        <v>66825</v>
      </c>
      <c r="N244" s="189">
        <v>120323</v>
      </c>
      <c r="O244" s="189">
        <v>73975</v>
      </c>
      <c r="P244" s="189">
        <v>20719</v>
      </c>
      <c r="Q244" s="189">
        <v>2263</v>
      </c>
      <c r="R244" s="189">
        <v>119</v>
      </c>
      <c r="S244" s="189">
        <f t="shared" si="15"/>
        <v>217399</v>
      </c>
    </row>
    <row r="245" spans="1:19" x14ac:dyDescent="0.2">
      <c r="A245" s="371">
        <v>1979</v>
      </c>
      <c r="B245" s="189" t="s">
        <v>29</v>
      </c>
      <c r="C245" s="189" t="s">
        <v>29</v>
      </c>
      <c r="D245" s="189">
        <v>3290</v>
      </c>
      <c r="E245" s="189">
        <v>309</v>
      </c>
      <c r="F245" s="189">
        <v>28990</v>
      </c>
      <c r="G245" s="189">
        <v>25974</v>
      </c>
      <c r="H245" s="189">
        <v>3256</v>
      </c>
      <c r="I245" s="189">
        <v>6866</v>
      </c>
      <c r="J245" s="189">
        <v>0</v>
      </c>
      <c r="K245" s="189" t="s">
        <v>29</v>
      </c>
      <c r="L245" s="189">
        <f t="shared" si="14"/>
        <v>68685</v>
      </c>
      <c r="N245" s="189">
        <v>6453</v>
      </c>
      <c r="O245" s="189">
        <v>218997</v>
      </c>
      <c r="P245" s="189">
        <v>37599</v>
      </c>
      <c r="Q245" s="189">
        <v>22</v>
      </c>
      <c r="R245" s="189" t="s">
        <v>29</v>
      </c>
      <c r="S245" s="189">
        <f t="shared" si="15"/>
        <v>263071</v>
      </c>
    </row>
    <row r="246" spans="1:19" x14ac:dyDescent="0.2">
      <c r="A246" s="371">
        <v>1980</v>
      </c>
      <c r="B246" s="189" t="s">
        <v>29</v>
      </c>
      <c r="C246" s="189" t="s">
        <v>29</v>
      </c>
      <c r="D246" s="189">
        <v>2545</v>
      </c>
      <c r="E246" s="189">
        <v>15779</v>
      </c>
      <c r="F246" s="189">
        <v>26291</v>
      </c>
      <c r="G246" s="189">
        <v>17558</v>
      </c>
      <c r="H246" s="189">
        <v>6583</v>
      </c>
      <c r="I246" s="189">
        <v>6003</v>
      </c>
      <c r="J246" s="189">
        <v>1</v>
      </c>
      <c r="K246" s="189" t="s">
        <v>29</v>
      </c>
      <c r="L246" s="189">
        <f t="shared" si="14"/>
        <v>74760</v>
      </c>
      <c r="N246" s="189" t="s">
        <v>29</v>
      </c>
      <c r="O246" s="189">
        <v>42992</v>
      </c>
      <c r="P246" s="189">
        <v>0</v>
      </c>
      <c r="Q246" s="189">
        <v>0</v>
      </c>
      <c r="R246" s="189" t="s">
        <v>29</v>
      </c>
      <c r="S246" s="189">
        <f t="shared" si="15"/>
        <v>42992</v>
      </c>
    </row>
    <row r="247" spans="1:19" x14ac:dyDescent="0.2">
      <c r="A247" s="371">
        <v>1981</v>
      </c>
      <c r="B247" s="189" t="s">
        <v>29</v>
      </c>
      <c r="C247" s="189" t="s">
        <v>29</v>
      </c>
      <c r="D247" s="189">
        <v>2506</v>
      </c>
      <c r="E247" s="189">
        <v>0</v>
      </c>
      <c r="F247" s="189">
        <v>8742</v>
      </c>
      <c r="G247" s="189">
        <v>10692</v>
      </c>
      <c r="H247" s="189">
        <v>1232</v>
      </c>
      <c r="I247" s="189">
        <v>1198</v>
      </c>
      <c r="J247" s="189">
        <v>4</v>
      </c>
      <c r="K247" s="189" t="s">
        <v>29</v>
      </c>
      <c r="L247" s="189">
        <f t="shared" si="14"/>
        <v>24374</v>
      </c>
      <c r="N247" s="189" t="s">
        <v>29</v>
      </c>
      <c r="O247" s="189">
        <v>96633</v>
      </c>
      <c r="P247" s="189">
        <v>62008</v>
      </c>
      <c r="Q247" s="189" t="s">
        <v>29</v>
      </c>
      <c r="R247" s="189" t="s">
        <v>29</v>
      </c>
      <c r="S247" s="189">
        <f t="shared" si="15"/>
        <v>158641</v>
      </c>
    </row>
    <row r="248" spans="1:19" x14ac:dyDescent="0.2">
      <c r="A248" s="371">
        <v>1982</v>
      </c>
      <c r="B248" s="189" t="s">
        <v>29</v>
      </c>
      <c r="C248" s="189" t="s">
        <v>29</v>
      </c>
      <c r="D248" s="189">
        <v>4616</v>
      </c>
      <c r="E248" s="189">
        <v>5822</v>
      </c>
      <c r="F248" s="189">
        <v>76452</v>
      </c>
      <c r="G248" s="189">
        <v>13979</v>
      </c>
      <c r="H248" s="189">
        <v>7043</v>
      </c>
      <c r="I248" s="189">
        <v>1140</v>
      </c>
      <c r="J248" s="189">
        <v>15</v>
      </c>
      <c r="K248" s="189" t="s">
        <v>29</v>
      </c>
      <c r="L248" s="189">
        <f t="shared" si="14"/>
        <v>109067</v>
      </c>
      <c r="N248" s="189" t="s">
        <v>29</v>
      </c>
      <c r="O248" s="189">
        <v>229021</v>
      </c>
      <c r="P248" s="189" t="s">
        <v>29</v>
      </c>
      <c r="Q248" s="189" t="s">
        <v>29</v>
      </c>
      <c r="R248" s="189" t="s">
        <v>29</v>
      </c>
      <c r="S248" s="189">
        <f t="shared" si="15"/>
        <v>229021</v>
      </c>
    </row>
    <row r="249" spans="1:19" x14ac:dyDescent="0.2">
      <c r="A249" s="371">
        <v>1983</v>
      </c>
      <c r="B249" s="189" t="s">
        <v>29</v>
      </c>
      <c r="C249" s="189" t="s">
        <v>29</v>
      </c>
      <c r="D249" s="189">
        <v>1646</v>
      </c>
      <c r="E249" s="189">
        <v>3909</v>
      </c>
      <c r="F249" s="189">
        <v>12646</v>
      </c>
      <c r="G249" s="189">
        <v>1237</v>
      </c>
      <c r="H249" s="189">
        <v>388</v>
      </c>
      <c r="I249" s="189">
        <v>232</v>
      </c>
      <c r="J249" s="189">
        <v>3</v>
      </c>
      <c r="K249" s="189" t="s">
        <v>29</v>
      </c>
      <c r="L249" s="189">
        <f t="shared" si="14"/>
        <v>20061</v>
      </c>
      <c r="N249" s="189" t="s">
        <v>29</v>
      </c>
      <c r="O249" s="189">
        <v>108738</v>
      </c>
      <c r="P249" s="189">
        <v>33</v>
      </c>
      <c r="Q249" s="189">
        <v>5</v>
      </c>
      <c r="R249" s="189" t="s">
        <v>29</v>
      </c>
      <c r="S249" s="189">
        <f t="shared" si="15"/>
        <v>108776</v>
      </c>
    </row>
    <row r="250" spans="1:19" x14ac:dyDescent="0.2">
      <c r="A250" s="371">
        <v>1984</v>
      </c>
      <c r="B250" s="189" t="s">
        <v>29</v>
      </c>
      <c r="C250" s="189" t="s">
        <v>29</v>
      </c>
      <c r="D250" s="189">
        <v>130</v>
      </c>
      <c r="E250" s="189">
        <v>891</v>
      </c>
      <c r="F250" s="189">
        <v>3564</v>
      </c>
      <c r="G250" s="189">
        <v>10195</v>
      </c>
      <c r="H250" s="189">
        <v>590</v>
      </c>
      <c r="I250" s="189">
        <v>0</v>
      </c>
      <c r="J250" s="189">
        <v>0</v>
      </c>
      <c r="K250" s="189" t="s">
        <v>29</v>
      </c>
      <c r="L250" s="189">
        <f t="shared" si="14"/>
        <v>15370</v>
      </c>
      <c r="N250" s="189" t="s">
        <v>29</v>
      </c>
      <c r="O250" s="189" t="s">
        <v>29</v>
      </c>
      <c r="P250" s="189" t="s">
        <v>29</v>
      </c>
      <c r="Q250" s="189" t="s">
        <v>29</v>
      </c>
      <c r="R250" s="189" t="s">
        <v>29</v>
      </c>
      <c r="S250" s="189" t="s">
        <v>29</v>
      </c>
    </row>
    <row r="251" spans="1:19" x14ac:dyDescent="0.2">
      <c r="A251" s="371">
        <v>1985</v>
      </c>
      <c r="B251" s="189" t="s">
        <v>29</v>
      </c>
      <c r="C251" s="189" t="s">
        <v>29</v>
      </c>
      <c r="D251" s="189">
        <v>18675</v>
      </c>
      <c r="E251" s="189">
        <v>10883</v>
      </c>
      <c r="F251" s="189">
        <v>47953</v>
      </c>
      <c r="G251" s="189">
        <v>50198</v>
      </c>
      <c r="H251" s="189">
        <v>17842</v>
      </c>
      <c r="I251" s="189">
        <v>3077</v>
      </c>
      <c r="J251" s="189">
        <v>33</v>
      </c>
      <c r="K251" s="189" t="s">
        <v>29</v>
      </c>
      <c r="L251" s="189">
        <f t="shared" si="14"/>
        <v>148661</v>
      </c>
      <c r="N251" s="189" t="s">
        <v>29</v>
      </c>
      <c r="O251" s="189">
        <v>29440</v>
      </c>
      <c r="P251" s="189" t="s">
        <v>29</v>
      </c>
      <c r="Q251" s="189" t="s">
        <v>29</v>
      </c>
      <c r="R251" s="189" t="s">
        <v>29</v>
      </c>
      <c r="S251" s="189">
        <f t="shared" si="15"/>
        <v>29440</v>
      </c>
    </row>
    <row r="252" spans="1:19" x14ac:dyDescent="0.2">
      <c r="A252" s="364">
        <v>1986</v>
      </c>
      <c r="B252" s="189" t="s">
        <v>29</v>
      </c>
      <c r="C252" s="189" t="s">
        <v>29</v>
      </c>
      <c r="D252" s="189">
        <v>18246</v>
      </c>
      <c r="E252" s="189">
        <v>21329</v>
      </c>
      <c r="F252" s="189">
        <v>94870</v>
      </c>
      <c r="G252" s="189">
        <v>83311</v>
      </c>
      <c r="H252" s="189">
        <v>20571</v>
      </c>
      <c r="I252" s="189">
        <v>1691</v>
      </c>
      <c r="J252" s="189" t="s">
        <v>29</v>
      </c>
      <c r="K252" s="189" t="s">
        <v>29</v>
      </c>
      <c r="L252" s="189">
        <f t="shared" si="14"/>
        <v>240018</v>
      </c>
      <c r="N252" s="189">
        <v>0</v>
      </c>
      <c r="O252" s="189">
        <v>86171</v>
      </c>
      <c r="P252" s="189" t="s">
        <v>29</v>
      </c>
      <c r="Q252" s="189" t="s">
        <v>29</v>
      </c>
      <c r="R252" s="189" t="s">
        <v>29</v>
      </c>
      <c r="S252" s="189">
        <f>SUM(N252:R252)</f>
        <v>86171</v>
      </c>
    </row>
    <row r="253" spans="1:19" x14ac:dyDescent="0.2">
      <c r="A253" s="364">
        <v>1987</v>
      </c>
      <c r="B253" s="189" t="s">
        <v>29</v>
      </c>
      <c r="C253" s="189" t="s">
        <v>29</v>
      </c>
      <c r="D253" s="189">
        <v>17764</v>
      </c>
      <c r="E253" s="189">
        <v>11407</v>
      </c>
      <c r="F253" s="189">
        <v>228486</v>
      </c>
      <c r="G253" s="189">
        <v>47387</v>
      </c>
      <c r="H253" s="189">
        <v>40442</v>
      </c>
      <c r="I253" s="189">
        <v>4877</v>
      </c>
      <c r="J253" s="189" t="s">
        <v>29</v>
      </c>
      <c r="K253" s="189" t="s">
        <v>29</v>
      </c>
      <c r="L253" s="189">
        <f t="shared" si="14"/>
        <v>350363</v>
      </c>
      <c r="N253" s="189">
        <v>22</v>
      </c>
      <c r="O253" s="189">
        <v>146348</v>
      </c>
      <c r="P253" s="189">
        <v>20487</v>
      </c>
      <c r="Q253" s="189">
        <v>10213</v>
      </c>
      <c r="R253" s="189" t="s">
        <v>29</v>
      </c>
      <c r="S253" s="189">
        <f t="shared" ref="S253:S262" si="16">SUM(N253:R253)</f>
        <v>177070</v>
      </c>
    </row>
    <row r="254" spans="1:19" x14ac:dyDescent="0.2">
      <c r="A254" s="364">
        <v>1988</v>
      </c>
      <c r="B254" s="189" t="s">
        <v>29</v>
      </c>
      <c r="C254" s="189" t="s">
        <v>29</v>
      </c>
      <c r="D254" s="189">
        <v>39440</v>
      </c>
      <c r="E254" s="189">
        <v>47271</v>
      </c>
      <c r="F254" s="189">
        <v>54173</v>
      </c>
      <c r="G254" s="189">
        <v>87616</v>
      </c>
      <c r="H254" s="189">
        <v>15998</v>
      </c>
      <c r="I254" s="189">
        <v>23988</v>
      </c>
      <c r="J254" s="189" t="s">
        <v>29</v>
      </c>
      <c r="K254" s="189" t="s">
        <v>29</v>
      </c>
      <c r="L254" s="189">
        <f t="shared" si="14"/>
        <v>268486</v>
      </c>
      <c r="N254" s="189" t="s">
        <v>29</v>
      </c>
      <c r="O254" s="189">
        <v>117061</v>
      </c>
      <c r="P254" s="189">
        <v>79320</v>
      </c>
      <c r="Q254" s="189" t="s">
        <v>29</v>
      </c>
      <c r="R254" s="189" t="s">
        <v>29</v>
      </c>
      <c r="S254" s="189">
        <f t="shared" si="16"/>
        <v>196381</v>
      </c>
    </row>
    <row r="255" spans="1:19" x14ac:dyDescent="0.2">
      <c r="A255" s="364">
        <v>1989</v>
      </c>
      <c r="B255" s="189" t="s">
        <v>29</v>
      </c>
      <c r="C255" s="189" t="s">
        <v>29</v>
      </c>
      <c r="D255" s="189">
        <v>64832</v>
      </c>
      <c r="E255" s="189">
        <v>45275</v>
      </c>
      <c r="F255" s="189">
        <v>42800</v>
      </c>
      <c r="G255" s="189">
        <v>59038</v>
      </c>
      <c r="H255" s="189">
        <v>8480</v>
      </c>
      <c r="I255" s="189">
        <v>9883</v>
      </c>
      <c r="J255" s="189">
        <v>2178</v>
      </c>
      <c r="K255" s="189" t="s">
        <v>29</v>
      </c>
      <c r="L255" s="189">
        <f t="shared" si="14"/>
        <v>232486</v>
      </c>
      <c r="N255" s="189" t="s">
        <v>29</v>
      </c>
      <c r="O255" s="189">
        <v>125227</v>
      </c>
      <c r="P255" s="189">
        <v>34318</v>
      </c>
      <c r="Q255" s="189" t="s">
        <v>29</v>
      </c>
      <c r="R255" s="189" t="s">
        <v>29</v>
      </c>
      <c r="S255" s="189">
        <f t="shared" si="16"/>
        <v>159545</v>
      </c>
    </row>
    <row r="256" spans="1:19" x14ac:dyDescent="0.2">
      <c r="A256" s="364">
        <v>1990</v>
      </c>
      <c r="B256" s="189" t="s">
        <v>29</v>
      </c>
      <c r="C256" s="189" t="s">
        <v>29</v>
      </c>
      <c r="D256" s="189">
        <v>12054</v>
      </c>
      <c r="E256" s="189">
        <v>15527</v>
      </c>
      <c r="F256" s="189">
        <v>97323</v>
      </c>
      <c r="G256" s="189">
        <v>44070</v>
      </c>
      <c r="H256" s="189">
        <v>4654</v>
      </c>
      <c r="I256" s="189">
        <v>2151</v>
      </c>
      <c r="J256" s="189" t="s">
        <v>29</v>
      </c>
      <c r="K256" s="189" t="s">
        <v>29</v>
      </c>
      <c r="L256" s="189">
        <f t="shared" si="14"/>
        <v>175779</v>
      </c>
      <c r="N256" s="189">
        <v>43</v>
      </c>
      <c r="O256" s="189">
        <v>43400</v>
      </c>
      <c r="P256" s="189" t="s">
        <v>29</v>
      </c>
      <c r="Q256" s="189" t="s">
        <v>29</v>
      </c>
      <c r="R256" s="189" t="s">
        <v>29</v>
      </c>
      <c r="S256" s="189">
        <f t="shared" si="16"/>
        <v>43443</v>
      </c>
    </row>
    <row r="257" spans="1:19" x14ac:dyDescent="0.2">
      <c r="A257" s="364">
        <v>1991</v>
      </c>
      <c r="B257" s="189" t="s">
        <v>29</v>
      </c>
      <c r="C257" s="189" t="s">
        <v>29</v>
      </c>
      <c r="D257" s="189">
        <v>108</v>
      </c>
      <c r="E257" s="189">
        <v>5096</v>
      </c>
      <c r="F257" s="189">
        <v>8931</v>
      </c>
      <c r="G257" s="189">
        <v>3889</v>
      </c>
      <c r="H257" s="189">
        <v>8925</v>
      </c>
      <c r="I257" s="189">
        <v>3493</v>
      </c>
      <c r="J257" s="189" t="s">
        <v>29</v>
      </c>
      <c r="K257" s="189" t="s">
        <v>29</v>
      </c>
      <c r="L257" s="189">
        <f t="shared" si="14"/>
        <v>30442</v>
      </c>
      <c r="N257" s="189">
        <v>33031</v>
      </c>
      <c r="O257" s="189">
        <v>68459</v>
      </c>
      <c r="P257" s="189">
        <v>11</v>
      </c>
      <c r="Q257" s="189" t="s">
        <v>29</v>
      </c>
      <c r="R257" s="189" t="s">
        <v>29</v>
      </c>
      <c r="S257" s="189">
        <f t="shared" si="16"/>
        <v>101501</v>
      </c>
    </row>
    <row r="258" spans="1:19" x14ac:dyDescent="0.2">
      <c r="A258" s="364">
        <v>1992</v>
      </c>
      <c r="B258" s="189" t="s">
        <v>29</v>
      </c>
      <c r="C258" s="189" t="s">
        <v>29</v>
      </c>
      <c r="D258" s="189">
        <v>648</v>
      </c>
      <c r="E258" s="189" t="s">
        <v>29</v>
      </c>
      <c r="F258" s="189">
        <v>2572</v>
      </c>
      <c r="G258" s="189">
        <v>2035</v>
      </c>
      <c r="H258" s="189">
        <v>342</v>
      </c>
      <c r="I258" s="189">
        <v>608</v>
      </c>
      <c r="J258" s="189" t="s">
        <v>29</v>
      </c>
      <c r="K258" s="189" t="s">
        <v>29</v>
      </c>
      <c r="L258" s="189">
        <f t="shared" si="14"/>
        <v>6205</v>
      </c>
      <c r="N258" s="189" t="s">
        <v>29</v>
      </c>
      <c r="O258" s="189">
        <v>3222</v>
      </c>
      <c r="P258" s="189">
        <v>2126</v>
      </c>
      <c r="Q258" s="189" t="s">
        <v>29</v>
      </c>
      <c r="R258" s="189" t="s">
        <v>29</v>
      </c>
      <c r="S258" s="189">
        <f t="shared" si="16"/>
        <v>5348</v>
      </c>
    </row>
    <row r="259" spans="1:19" x14ac:dyDescent="0.2">
      <c r="A259" s="364">
        <v>1993</v>
      </c>
      <c r="B259" s="189" t="s">
        <v>29</v>
      </c>
      <c r="C259" s="189" t="s">
        <v>29</v>
      </c>
      <c r="D259" s="189">
        <v>2740</v>
      </c>
      <c r="E259" s="189">
        <v>858</v>
      </c>
      <c r="F259" s="189">
        <v>221</v>
      </c>
      <c r="G259" s="189">
        <v>396</v>
      </c>
      <c r="H259" s="189">
        <v>4376</v>
      </c>
      <c r="I259" s="189">
        <v>1296</v>
      </c>
      <c r="J259" s="189">
        <v>658</v>
      </c>
      <c r="K259" s="189" t="s">
        <v>29</v>
      </c>
      <c r="L259" s="189">
        <f t="shared" si="14"/>
        <v>10545</v>
      </c>
      <c r="N259" s="189" t="s">
        <v>29</v>
      </c>
      <c r="O259" s="189" t="s">
        <v>29</v>
      </c>
      <c r="P259" s="189" t="s">
        <v>29</v>
      </c>
      <c r="Q259" s="189" t="s">
        <v>29</v>
      </c>
      <c r="R259" s="189">
        <v>25</v>
      </c>
      <c r="S259" s="189">
        <f t="shared" si="16"/>
        <v>25</v>
      </c>
    </row>
    <row r="260" spans="1:19" x14ac:dyDescent="0.2">
      <c r="A260" s="364">
        <v>1994</v>
      </c>
      <c r="B260" s="189" t="s">
        <v>29</v>
      </c>
      <c r="C260" s="189" t="s">
        <v>29</v>
      </c>
      <c r="D260" s="189">
        <v>385</v>
      </c>
      <c r="E260" s="189">
        <v>1577</v>
      </c>
      <c r="F260" s="189" t="s">
        <v>29</v>
      </c>
      <c r="G260" s="189" t="s">
        <v>29</v>
      </c>
      <c r="H260" s="189">
        <v>199</v>
      </c>
      <c r="I260" s="189">
        <v>1476</v>
      </c>
      <c r="J260" s="189">
        <v>371</v>
      </c>
      <c r="K260" s="189" t="s">
        <v>29</v>
      </c>
      <c r="L260" s="189">
        <f t="shared" si="14"/>
        <v>4008</v>
      </c>
      <c r="N260" s="189" t="s">
        <v>29</v>
      </c>
      <c r="O260" s="189" t="s">
        <v>29</v>
      </c>
      <c r="P260" s="189" t="s">
        <v>29</v>
      </c>
      <c r="Q260" s="189" t="s">
        <v>29</v>
      </c>
      <c r="R260" s="189" t="s">
        <v>29</v>
      </c>
      <c r="S260" s="189" t="s">
        <v>29</v>
      </c>
    </row>
    <row r="261" spans="1:19" x14ac:dyDescent="0.2">
      <c r="A261" s="364">
        <v>1995</v>
      </c>
      <c r="B261" s="189" t="s">
        <v>29</v>
      </c>
      <c r="C261" s="189" t="s">
        <v>29</v>
      </c>
      <c r="D261" s="189">
        <v>1628</v>
      </c>
      <c r="E261" s="189">
        <v>7038</v>
      </c>
      <c r="F261" s="189" t="s">
        <v>29</v>
      </c>
      <c r="G261" s="189">
        <v>11855</v>
      </c>
      <c r="H261" s="189">
        <v>4095</v>
      </c>
      <c r="I261" s="189">
        <v>1630</v>
      </c>
      <c r="J261" s="189">
        <v>324</v>
      </c>
      <c r="K261" s="189" t="s">
        <v>29</v>
      </c>
      <c r="L261" s="189">
        <f t="shared" si="14"/>
        <v>26570</v>
      </c>
      <c r="N261" s="189" t="s">
        <v>29</v>
      </c>
      <c r="O261" s="189" t="s">
        <v>29</v>
      </c>
      <c r="P261" s="189" t="s">
        <v>29</v>
      </c>
      <c r="Q261" s="189" t="s">
        <v>29</v>
      </c>
      <c r="R261" s="189" t="s">
        <v>29</v>
      </c>
      <c r="S261" s="189" t="s">
        <v>29</v>
      </c>
    </row>
    <row r="262" spans="1:19" x14ac:dyDescent="0.2">
      <c r="A262" s="364">
        <v>1996</v>
      </c>
      <c r="B262" s="189" t="s">
        <v>29</v>
      </c>
      <c r="C262" s="189" t="s">
        <v>29</v>
      </c>
      <c r="D262" s="189">
        <v>2221</v>
      </c>
      <c r="E262" s="189">
        <v>10137</v>
      </c>
      <c r="F262" s="189" t="s">
        <v>29</v>
      </c>
      <c r="G262" s="189">
        <v>6073</v>
      </c>
      <c r="H262" s="189">
        <v>4511</v>
      </c>
      <c r="I262" s="189">
        <v>1903</v>
      </c>
      <c r="J262" s="189">
        <v>845</v>
      </c>
      <c r="K262" s="189" t="s">
        <v>29</v>
      </c>
      <c r="L262" s="189">
        <f t="shared" si="14"/>
        <v>25690</v>
      </c>
      <c r="N262" s="189">
        <v>8</v>
      </c>
      <c r="O262" s="189" t="s">
        <v>29</v>
      </c>
      <c r="P262" s="189" t="s">
        <v>29</v>
      </c>
      <c r="Q262" s="189" t="s">
        <v>29</v>
      </c>
      <c r="R262" s="189" t="s">
        <v>29</v>
      </c>
      <c r="S262" s="189">
        <f t="shared" si="16"/>
        <v>8</v>
      </c>
    </row>
    <row r="263" spans="1:19" x14ac:dyDescent="0.2">
      <c r="A263" s="364">
        <v>1997</v>
      </c>
      <c r="B263" s="189" t="s">
        <v>29</v>
      </c>
      <c r="C263" s="189">
        <v>1982</v>
      </c>
      <c r="D263" s="189">
        <v>6727</v>
      </c>
      <c r="E263" s="189">
        <v>7889</v>
      </c>
      <c r="F263" s="189" t="s">
        <v>29</v>
      </c>
      <c r="G263" s="189">
        <v>5477</v>
      </c>
      <c r="H263" s="189">
        <v>1098</v>
      </c>
      <c r="I263" s="189">
        <v>1233</v>
      </c>
      <c r="J263" s="189">
        <v>455</v>
      </c>
      <c r="K263" s="189" t="s">
        <v>29</v>
      </c>
      <c r="L263" s="189">
        <f t="shared" si="14"/>
        <v>24861</v>
      </c>
      <c r="N263" s="189" t="s">
        <v>29</v>
      </c>
      <c r="O263" s="189" t="s">
        <v>29</v>
      </c>
      <c r="P263" s="189" t="s">
        <v>29</v>
      </c>
      <c r="Q263" s="189" t="s">
        <v>29</v>
      </c>
      <c r="R263" s="189" t="s">
        <v>29</v>
      </c>
      <c r="S263" s="189" t="s">
        <v>29</v>
      </c>
    </row>
    <row r="264" spans="1:19" x14ac:dyDescent="0.2">
      <c r="A264" s="364">
        <v>1998</v>
      </c>
      <c r="B264" s="189" t="s">
        <v>29</v>
      </c>
      <c r="C264" s="189">
        <v>3302</v>
      </c>
      <c r="D264" s="189">
        <v>5177</v>
      </c>
      <c r="E264" s="189">
        <v>7911</v>
      </c>
      <c r="F264" s="189" t="s">
        <v>29</v>
      </c>
      <c r="G264" s="189">
        <v>2711</v>
      </c>
      <c r="H264" s="189">
        <v>499</v>
      </c>
      <c r="I264" s="189">
        <v>1654</v>
      </c>
      <c r="J264" s="189">
        <v>858</v>
      </c>
      <c r="K264" s="189" t="s">
        <v>29</v>
      </c>
      <c r="L264" s="189">
        <f t="shared" si="14"/>
        <v>22112</v>
      </c>
      <c r="N264" s="189" t="s">
        <v>29</v>
      </c>
      <c r="O264" s="189" t="s">
        <v>29</v>
      </c>
      <c r="P264" s="189" t="s">
        <v>29</v>
      </c>
      <c r="Q264" s="189" t="s">
        <v>29</v>
      </c>
      <c r="R264" s="189" t="s">
        <v>29</v>
      </c>
      <c r="S264" s="189" t="s">
        <v>29</v>
      </c>
    </row>
    <row r="265" spans="1:19" x14ac:dyDescent="0.2">
      <c r="A265" s="364">
        <v>1999</v>
      </c>
      <c r="B265" s="189" t="s">
        <v>29</v>
      </c>
      <c r="C265" s="189">
        <v>213</v>
      </c>
      <c r="D265" s="189">
        <v>1292</v>
      </c>
      <c r="E265" s="189">
        <v>17171</v>
      </c>
      <c r="F265" s="189">
        <v>4761</v>
      </c>
      <c r="G265" s="189">
        <v>15229</v>
      </c>
      <c r="H265" s="189">
        <v>1062</v>
      </c>
      <c r="I265" s="189">
        <v>1492</v>
      </c>
      <c r="J265" s="189">
        <v>1225</v>
      </c>
      <c r="K265" s="189">
        <v>43</v>
      </c>
      <c r="L265" s="189">
        <f t="shared" si="14"/>
        <v>42488</v>
      </c>
      <c r="N265" s="189" t="s">
        <v>29</v>
      </c>
      <c r="O265" s="189" t="s">
        <v>29</v>
      </c>
      <c r="P265" s="189" t="s">
        <v>29</v>
      </c>
      <c r="Q265" s="189" t="s">
        <v>29</v>
      </c>
      <c r="R265" s="189" t="s">
        <v>29</v>
      </c>
      <c r="S265" s="189" t="s">
        <v>29</v>
      </c>
    </row>
    <row r="266" spans="1:19" x14ac:dyDescent="0.2">
      <c r="A266" s="364">
        <v>2000</v>
      </c>
      <c r="B266" s="189" t="s">
        <v>29</v>
      </c>
      <c r="C266" s="189">
        <v>591</v>
      </c>
      <c r="D266" s="189">
        <v>1468</v>
      </c>
      <c r="E266" s="189">
        <v>1862</v>
      </c>
      <c r="F266" s="189">
        <v>14686</v>
      </c>
      <c r="G266" s="189">
        <v>27277</v>
      </c>
      <c r="H266" s="189">
        <v>13918</v>
      </c>
      <c r="I266" s="189">
        <v>3369</v>
      </c>
      <c r="J266" s="189">
        <v>1523</v>
      </c>
      <c r="K266" s="189">
        <v>367</v>
      </c>
      <c r="L266" s="189">
        <f t="shared" si="14"/>
        <v>65061</v>
      </c>
      <c r="N266" s="189" t="s">
        <v>29</v>
      </c>
      <c r="O266" s="189" t="s">
        <v>29</v>
      </c>
      <c r="P266" s="189" t="s">
        <v>29</v>
      </c>
      <c r="Q266" s="189" t="s">
        <v>29</v>
      </c>
      <c r="R266" s="189" t="s">
        <v>29</v>
      </c>
      <c r="S266" s="189" t="s">
        <v>29</v>
      </c>
    </row>
    <row r="267" spans="1:19" x14ac:dyDescent="0.2">
      <c r="A267" s="364">
        <v>2001</v>
      </c>
      <c r="B267" s="189" t="s">
        <v>29</v>
      </c>
      <c r="C267" s="189">
        <v>9209</v>
      </c>
      <c r="D267" s="189">
        <v>14253</v>
      </c>
      <c r="E267" s="189">
        <v>10111</v>
      </c>
      <c r="F267" s="189">
        <v>14241</v>
      </c>
      <c r="G267" s="189">
        <v>13237</v>
      </c>
      <c r="H267" s="189">
        <v>6211</v>
      </c>
      <c r="I267" s="189">
        <v>3686</v>
      </c>
      <c r="J267" s="189">
        <v>1303</v>
      </c>
      <c r="K267" s="189">
        <v>21</v>
      </c>
      <c r="L267" s="189">
        <f t="shared" si="14"/>
        <v>72272</v>
      </c>
      <c r="N267" s="189" t="s">
        <v>29</v>
      </c>
      <c r="O267" s="189" t="s">
        <v>29</v>
      </c>
      <c r="P267" s="189" t="s">
        <v>29</v>
      </c>
      <c r="Q267" s="189" t="s">
        <v>29</v>
      </c>
      <c r="R267" s="189" t="s">
        <v>29</v>
      </c>
      <c r="S267" s="189" t="s">
        <v>29</v>
      </c>
    </row>
    <row r="268" spans="1:19" x14ac:dyDescent="0.2">
      <c r="A268" s="364">
        <v>2002</v>
      </c>
      <c r="B268" s="189">
        <v>2593</v>
      </c>
      <c r="C268" s="189">
        <v>6167</v>
      </c>
      <c r="D268" s="189">
        <v>9949</v>
      </c>
      <c r="E268" s="189">
        <v>47825</v>
      </c>
      <c r="F268" s="189">
        <v>5515</v>
      </c>
      <c r="G268" s="189">
        <v>15292</v>
      </c>
      <c r="H268" s="189">
        <v>16947</v>
      </c>
      <c r="I268" s="189">
        <v>16571</v>
      </c>
      <c r="J268" s="189">
        <v>1250</v>
      </c>
      <c r="K268" s="189">
        <v>65</v>
      </c>
      <c r="L268" s="189">
        <f t="shared" si="14"/>
        <v>122174</v>
      </c>
      <c r="N268" s="189" t="s">
        <v>29</v>
      </c>
      <c r="O268" s="189" t="s">
        <v>29</v>
      </c>
      <c r="P268" s="189" t="s">
        <v>29</v>
      </c>
      <c r="Q268" s="189" t="s">
        <v>29</v>
      </c>
      <c r="R268" s="189" t="s">
        <v>29</v>
      </c>
      <c r="S268" s="189" t="s">
        <v>29</v>
      </c>
    </row>
    <row r="269" spans="1:19" x14ac:dyDescent="0.2">
      <c r="A269" s="118">
        <v>2003</v>
      </c>
      <c r="B269" s="189">
        <v>2183</v>
      </c>
      <c r="C269" s="189">
        <v>49900</v>
      </c>
      <c r="D269" s="189">
        <v>34800</v>
      </c>
      <c r="E269" s="189">
        <v>7943</v>
      </c>
      <c r="F269" s="189">
        <v>5605</v>
      </c>
      <c r="G269" s="189">
        <v>13066</v>
      </c>
      <c r="H269" s="189">
        <v>10793</v>
      </c>
      <c r="I269" s="189">
        <v>6766</v>
      </c>
      <c r="J269" s="189">
        <v>963</v>
      </c>
      <c r="K269" s="189">
        <v>137</v>
      </c>
      <c r="L269" s="189">
        <f t="shared" si="14"/>
        <v>132156</v>
      </c>
      <c r="N269" s="189" t="s">
        <v>29</v>
      </c>
      <c r="O269" s="189" t="s">
        <v>29</v>
      </c>
      <c r="P269" s="189" t="s">
        <v>29</v>
      </c>
      <c r="Q269" s="189" t="s">
        <v>29</v>
      </c>
      <c r="R269" s="189" t="s">
        <v>29</v>
      </c>
      <c r="S269" s="189" t="s">
        <v>29</v>
      </c>
    </row>
    <row r="270" spans="1:19" x14ac:dyDescent="0.2">
      <c r="A270" s="118">
        <v>2004</v>
      </c>
      <c r="B270" s="189">
        <v>8042</v>
      </c>
      <c r="C270" s="189">
        <v>18736</v>
      </c>
      <c r="D270" s="189">
        <v>7398</v>
      </c>
      <c r="E270" s="189">
        <v>14987</v>
      </c>
      <c r="F270" s="189">
        <v>5651</v>
      </c>
      <c r="G270" s="189">
        <v>65177</v>
      </c>
      <c r="H270" s="189">
        <v>11176</v>
      </c>
      <c r="I270" s="189">
        <v>6714</v>
      </c>
      <c r="J270" s="189">
        <v>2079</v>
      </c>
      <c r="K270" s="189">
        <v>182</v>
      </c>
      <c r="L270" s="189">
        <f t="shared" si="14"/>
        <v>140142</v>
      </c>
      <c r="N270" s="189" t="s">
        <v>29</v>
      </c>
      <c r="O270" s="189" t="s">
        <v>29</v>
      </c>
      <c r="P270" s="189" t="s">
        <v>29</v>
      </c>
      <c r="Q270" s="189" t="s">
        <v>29</v>
      </c>
      <c r="R270" s="189" t="s">
        <v>29</v>
      </c>
      <c r="S270" s="189" t="s">
        <v>29</v>
      </c>
    </row>
    <row r="271" spans="1:19" x14ac:dyDescent="0.2">
      <c r="A271" s="118">
        <v>2005</v>
      </c>
      <c r="B271" s="189">
        <v>17099</v>
      </c>
      <c r="C271" s="189">
        <v>2075</v>
      </c>
      <c r="D271" s="189">
        <f>32878+9065</f>
        <v>41943</v>
      </c>
      <c r="E271" s="189" t="s">
        <v>29</v>
      </c>
      <c r="F271" s="189" t="s">
        <v>29</v>
      </c>
      <c r="G271" s="189" t="s">
        <v>29</v>
      </c>
      <c r="H271" s="189">
        <v>49865</v>
      </c>
      <c r="I271" s="189">
        <v>8799</v>
      </c>
      <c r="J271" s="189">
        <v>784</v>
      </c>
      <c r="K271" s="189">
        <v>335</v>
      </c>
      <c r="L271" s="189">
        <f t="shared" si="14"/>
        <v>120900</v>
      </c>
      <c r="N271" s="189" t="s">
        <v>29</v>
      </c>
      <c r="O271" s="189" t="s">
        <v>29</v>
      </c>
      <c r="P271" s="189" t="s">
        <v>29</v>
      </c>
      <c r="Q271" s="189" t="s">
        <v>29</v>
      </c>
      <c r="R271" s="189" t="s">
        <v>29</v>
      </c>
      <c r="S271" s="189" t="s">
        <v>29</v>
      </c>
    </row>
    <row r="272" spans="1:19" x14ac:dyDescent="0.2">
      <c r="A272" s="118">
        <v>2006</v>
      </c>
      <c r="B272" s="204" t="s">
        <v>29</v>
      </c>
      <c r="C272" s="204" t="s">
        <v>29</v>
      </c>
      <c r="D272" s="204" t="s">
        <v>29</v>
      </c>
      <c r="E272" s="204" t="s">
        <v>29</v>
      </c>
      <c r="F272" s="204" t="s">
        <v>29</v>
      </c>
      <c r="G272" s="204" t="s">
        <v>29</v>
      </c>
      <c r="H272" s="204">
        <v>65</v>
      </c>
      <c r="I272" s="204">
        <v>962</v>
      </c>
      <c r="J272" s="204">
        <v>821</v>
      </c>
      <c r="K272" s="204">
        <v>131</v>
      </c>
      <c r="L272" s="189">
        <f t="shared" si="14"/>
        <v>1979</v>
      </c>
      <c r="N272" s="189" t="s">
        <v>29</v>
      </c>
      <c r="O272" s="189" t="s">
        <v>29</v>
      </c>
      <c r="P272" s="189" t="s">
        <v>29</v>
      </c>
      <c r="Q272" s="189" t="s">
        <v>29</v>
      </c>
      <c r="R272" s="189" t="s">
        <v>29</v>
      </c>
      <c r="S272" s="189" t="s">
        <v>29</v>
      </c>
    </row>
    <row r="273" spans="1:19" s="366" customFormat="1" x14ac:dyDescent="0.2">
      <c r="A273" s="118">
        <v>2007</v>
      </c>
      <c r="B273" s="180" t="s">
        <v>29</v>
      </c>
      <c r="C273" s="180">
        <v>1563</v>
      </c>
      <c r="D273" s="180">
        <v>3018</v>
      </c>
      <c r="E273" s="180">
        <v>2114</v>
      </c>
      <c r="F273" s="180">
        <v>1430</v>
      </c>
      <c r="G273" s="180">
        <v>11963</v>
      </c>
      <c r="H273" s="180">
        <v>489</v>
      </c>
      <c r="I273" s="180">
        <v>504</v>
      </c>
      <c r="J273" s="180">
        <v>621</v>
      </c>
      <c r="K273" s="180">
        <v>3</v>
      </c>
      <c r="L273" s="187">
        <f t="shared" si="14"/>
        <v>21705</v>
      </c>
      <c r="M273" s="187"/>
      <c r="N273" s="273" t="s">
        <v>29</v>
      </c>
      <c r="O273" s="273" t="s">
        <v>29</v>
      </c>
      <c r="P273" s="273">
        <v>2234</v>
      </c>
      <c r="Q273" s="273">
        <v>159</v>
      </c>
      <c r="R273" s="273" t="s">
        <v>29</v>
      </c>
      <c r="S273" s="273">
        <f>SUM(N273:R273)</f>
        <v>2393</v>
      </c>
    </row>
    <row r="274" spans="1:19" s="366" customFormat="1" x14ac:dyDescent="0.2">
      <c r="A274" s="118">
        <v>2008</v>
      </c>
      <c r="B274" s="180" t="s">
        <v>29</v>
      </c>
      <c r="C274" s="180" t="s">
        <v>29</v>
      </c>
      <c r="D274" s="180" t="s">
        <v>29</v>
      </c>
      <c r="E274" s="180" t="s">
        <v>29</v>
      </c>
      <c r="F274" s="180" t="s">
        <v>29</v>
      </c>
      <c r="G274" s="180" t="s">
        <v>29</v>
      </c>
      <c r="H274" s="180" t="s">
        <v>29</v>
      </c>
      <c r="I274" s="180" t="s">
        <v>29</v>
      </c>
      <c r="J274" s="180">
        <v>208</v>
      </c>
      <c r="K274" s="180" t="s">
        <v>29</v>
      </c>
      <c r="L274" s="187">
        <f t="shared" si="14"/>
        <v>208</v>
      </c>
      <c r="M274" s="187"/>
      <c r="N274" s="273" t="s">
        <v>29</v>
      </c>
      <c r="O274" s="273" t="s">
        <v>29</v>
      </c>
      <c r="P274" s="273" t="s">
        <v>29</v>
      </c>
      <c r="Q274" s="273" t="s">
        <v>29</v>
      </c>
      <c r="R274" s="273" t="s">
        <v>29</v>
      </c>
      <c r="S274" s="273" t="s">
        <v>29</v>
      </c>
    </row>
    <row r="275" spans="1:19" s="366" customFormat="1" x14ac:dyDescent="0.2">
      <c r="A275" s="118">
        <v>2009</v>
      </c>
      <c r="B275" s="180" t="s">
        <v>29</v>
      </c>
      <c r="C275" s="180" t="s">
        <v>29</v>
      </c>
      <c r="D275" s="180" t="s">
        <v>29</v>
      </c>
      <c r="E275" s="180" t="s">
        <v>29</v>
      </c>
      <c r="F275" s="180" t="s">
        <v>29</v>
      </c>
      <c r="G275" s="180" t="s">
        <v>29</v>
      </c>
      <c r="H275" s="180" t="s">
        <v>29</v>
      </c>
      <c r="I275" s="180">
        <v>293</v>
      </c>
      <c r="J275" s="180" t="s">
        <v>29</v>
      </c>
      <c r="K275" s="180" t="s">
        <v>29</v>
      </c>
      <c r="L275" s="187">
        <f t="shared" si="14"/>
        <v>293</v>
      </c>
      <c r="M275" s="187"/>
      <c r="N275" s="273" t="s">
        <v>29</v>
      </c>
      <c r="O275" s="273" t="s">
        <v>29</v>
      </c>
      <c r="P275" s="273" t="s">
        <v>29</v>
      </c>
      <c r="Q275" s="273">
        <v>683</v>
      </c>
      <c r="R275" s="273" t="s">
        <v>29</v>
      </c>
      <c r="S275" s="273">
        <f>SUM(N275:R275)</f>
        <v>683</v>
      </c>
    </row>
    <row r="276" spans="1:19" s="366" customFormat="1" x14ac:dyDescent="0.2">
      <c r="A276" s="118">
        <v>2010</v>
      </c>
      <c r="B276" s="180" t="s">
        <v>29</v>
      </c>
      <c r="C276" s="180" t="s">
        <v>29</v>
      </c>
      <c r="D276" s="180">
        <f>37+1126+1981+1020+797</f>
        <v>4961</v>
      </c>
      <c r="E276" s="180">
        <f>853+745+306+1083</f>
        <v>2987</v>
      </c>
      <c r="F276" s="180">
        <f>722+51+9+2+56</f>
        <v>840</v>
      </c>
      <c r="G276" s="180">
        <v>1316</v>
      </c>
      <c r="H276" s="180" t="s">
        <v>29</v>
      </c>
      <c r="I276" s="180">
        <f>578+328+409</f>
        <v>1315</v>
      </c>
      <c r="J276" s="180" t="s">
        <v>29</v>
      </c>
      <c r="K276" s="180" t="s">
        <v>29</v>
      </c>
      <c r="L276" s="187">
        <f>SUM(B276:K276)</f>
        <v>11419</v>
      </c>
      <c r="M276" s="187"/>
      <c r="N276" s="273" t="s">
        <v>29</v>
      </c>
      <c r="O276" s="273" t="s">
        <v>29</v>
      </c>
      <c r="P276" s="273" t="s">
        <v>29</v>
      </c>
      <c r="Q276" s="273" t="s">
        <v>29</v>
      </c>
      <c r="R276" s="273" t="s">
        <v>29</v>
      </c>
      <c r="S276" s="273" t="s">
        <v>29</v>
      </c>
    </row>
    <row r="277" spans="1:19" s="366" customFormat="1" x14ac:dyDescent="0.2">
      <c r="A277" s="118">
        <v>2011</v>
      </c>
      <c r="B277" s="180" t="s">
        <v>29</v>
      </c>
      <c r="C277" s="180">
        <v>4102</v>
      </c>
      <c r="D277" s="180">
        <v>5414</v>
      </c>
      <c r="E277" s="180">
        <v>8309</v>
      </c>
      <c r="F277" s="180">
        <v>333</v>
      </c>
      <c r="G277" s="180">
        <v>399</v>
      </c>
      <c r="H277" s="180">
        <v>223</v>
      </c>
      <c r="I277" s="180">
        <v>1058</v>
      </c>
      <c r="J277" s="180">
        <v>1995</v>
      </c>
      <c r="K277" s="180" t="s">
        <v>29</v>
      </c>
      <c r="L277" s="187">
        <f>SUM(B277:K277)</f>
        <v>21833</v>
      </c>
      <c r="M277" s="187"/>
      <c r="N277" s="273" t="s">
        <v>29</v>
      </c>
      <c r="O277" s="273" t="s">
        <v>29</v>
      </c>
      <c r="P277" s="273" t="s">
        <v>29</v>
      </c>
      <c r="Q277" s="273" t="s">
        <v>29</v>
      </c>
      <c r="R277" s="273" t="s">
        <v>29</v>
      </c>
      <c r="S277" s="273" t="s">
        <v>29</v>
      </c>
    </row>
    <row r="278" spans="1:19" s="366" customFormat="1" x14ac:dyDescent="0.2">
      <c r="A278" s="118">
        <v>2012</v>
      </c>
      <c r="B278" s="180" t="s">
        <v>29</v>
      </c>
      <c r="C278" s="180">
        <v>2103</v>
      </c>
      <c r="D278" s="180">
        <v>8633</v>
      </c>
      <c r="E278" s="180">
        <v>4338</v>
      </c>
      <c r="F278" s="180">
        <v>609</v>
      </c>
      <c r="G278" s="180">
        <v>2897</v>
      </c>
      <c r="H278" s="180">
        <v>3981</v>
      </c>
      <c r="I278" s="180">
        <v>1942</v>
      </c>
      <c r="J278" s="180">
        <v>701</v>
      </c>
      <c r="K278" s="180" t="s">
        <v>29</v>
      </c>
      <c r="L278" s="187">
        <f t="shared" ref="L278:L286" si="17">SUM(B278:K278)</f>
        <v>25204</v>
      </c>
      <c r="M278" s="187"/>
      <c r="N278" s="273" t="s">
        <v>29</v>
      </c>
      <c r="O278" s="273" t="s">
        <v>29</v>
      </c>
      <c r="P278" s="273" t="s">
        <v>29</v>
      </c>
      <c r="Q278" s="273" t="s">
        <v>29</v>
      </c>
      <c r="R278" s="273" t="s">
        <v>29</v>
      </c>
      <c r="S278" s="273" t="s">
        <v>29</v>
      </c>
    </row>
    <row r="279" spans="1:19" s="366" customFormat="1" x14ac:dyDescent="0.2">
      <c r="A279" s="118">
        <v>2013</v>
      </c>
      <c r="B279" s="180" t="s">
        <v>29</v>
      </c>
      <c r="C279" s="180">
        <v>3796</v>
      </c>
      <c r="D279" s="180">
        <v>5308</v>
      </c>
      <c r="E279" s="180">
        <v>4103</v>
      </c>
      <c r="F279" s="180">
        <v>3508</v>
      </c>
      <c r="G279" s="180">
        <v>30097</v>
      </c>
      <c r="H279" s="180">
        <v>23925</v>
      </c>
      <c r="I279" s="274">
        <v>7677</v>
      </c>
      <c r="J279" s="274">
        <v>1002</v>
      </c>
      <c r="K279" s="180" t="s">
        <v>29</v>
      </c>
      <c r="L279" s="187">
        <f t="shared" si="17"/>
        <v>79416</v>
      </c>
      <c r="M279" s="187"/>
      <c r="N279" s="273" t="s">
        <v>29</v>
      </c>
      <c r="O279" s="273" t="s">
        <v>29</v>
      </c>
      <c r="P279" s="273" t="s">
        <v>29</v>
      </c>
      <c r="Q279" s="273" t="s">
        <v>29</v>
      </c>
      <c r="R279" s="273" t="s">
        <v>29</v>
      </c>
      <c r="S279" s="273" t="s">
        <v>29</v>
      </c>
    </row>
    <row r="280" spans="1:19" s="366" customFormat="1" x14ac:dyDescent="0.2">
      <c r="A280" s="118">
        <v>2014</v>
      </c>
      <c r="B280" s="180" t="s">
        <v>29</v>
      </c>
      <c r="C280" s="180">
        <v>6403</v>
      </c>
      <c r="D280" s="180">
        <v>15427</v>
      </c>
      <c r="E280" s="180">
        <v>17812</v>
      </c>
      <c r="F280" s="180">
        <v>11385</v>
      </c>
      <c r="G280" s="180">
        <v>30187</v>
      </c>
      <c r="H280" s="180">
        <v>2838</v>
      </c>
      <c r="I280" s="180">
        <v>1116</v>
      </c>
      <c r="J280" s="180">
        <v>469</v>
      </c>
      <c r="K280" s="180" t="s">
        <v>29</v>
      </c>
      <c r="L280" s="187">
        <f t="shared" si="17"/>
        <v>85637</v>
      </c>
      <c r="M280" s="187"/>
      <c r="N280" s="273" t="s">
        <v>29</v>
      </c>
      <c r="O280" s="273" t="s">
        <v>29</v>
      </c>
      <c r="P280" s="273" t="s">
        <v>29</v>
      </c>
      <c r="Q280" s="273">
        <v>970</v>
      </c>
      <c r="R280" s="273" t="s">
        <v>29</v>
      </c>
      <c r="S280" s="273">
        <f>SUM(N280:R280)</f>
        <v>970</v>
      </c>
    </row>
    <row r="281" spans="1:19" s="366" customFormat="1" x14ac:dyDescent="0.2">
      <c r="A281" s="118">
        <v>2015</v>
      </c>
      <c r="B281" s="180" t="s">
        <v>29</v>
      </c>
      <c r="C281" s="180">
        <v>8890</v>
      </c>
      <c r="D281" s="180">
        <v>6786</v>
      </c>
      <c r="E281" s="180">
        <v>14182</v>
      </c>
      <c r="F281" s="180">
        <v>8682</v>
      </c>
      <c r="G281" s="180">
        <v>1727</v>
      </c>
      <c r="H281" s="180">
        <v>386</v>
      </c>
      <c r="I281" s="180">
        <v>1635</v>
      </c>
      <c r="J281" s="180">
        <v>1163</v>
      </c>
      <c r="K281" s="180" t="s">
        <v>29</v>
      </c>
      <c r="L281" s="187">
        <f t="shared" si="17"/>
        <v>43451</v>
      </c>
      <c r="M281" s="187"/>
      <c r="N281" s="273" t="s">
        <v>29</v>
      </c>
      <c r="O281" s="273" t="s">
        <v>29</v>
      </c>
      <c r="P281" s="273" t="s">
        <v>29</v>
      </c>
      <c r="Q281" s="273" t="s">
        <v>29</v>
      </c>
      <c r="R281" s="273" t="s">
        <v>29</v>
      </c>
      <c r="S281" s="273" t="s">
        <v>29</v>
      </c>
    </row>
    <row r="282" spans="1:19" s="366" customFormat="1" x14ac:dyDescent="0.2">
      <c r="A282" s="118">
        <v>2016</v>
      </c>
      <c r="B282" s="180" t="s">
        <v>29</v>
      </c>
      <c r="C282" s="180">
        <v>808</v>
      </c>
      <c r="D282" s="180">
        <v>760</v>
      </c>
      <c r="E282" s="180">
        <v>2273</v>
      </c>
      <c r="F282" s="180">
        <v>2039</v>
      </c>
      <c r="G282" s="180">
        <v>541</v>
      </c>
      <c r="H282" s="180">
        <v>251</v>
      </c>
      <c r="I282" s="180">
        <v>689</v>
      </c>
      <c r="J282" s="180">
        <v>182</v>
      </c>
      <c r="K282" s="180" t="s">
        <v>29</v>
      </c>
      <c r="L282" s="187">
        <f t="shared" si="17"/>
        <v>7543</v>
      </c>
      <c r="M282" s="187"/>
      <c r="N282" s="273" t="s">
        <v>29</v>
      </c>
      <c r="O282" s="273" t="s">
        <v>29</v>
      </c>
      <c r="P282" s="273" t="s">
        <v>29</v>
      </c>
      <c r="Q282" s="273" t="s">
        <v>29</v>
      </c>
      <c r="R282" s="273" t="s">
        <v>29</v>
      </c>
      <c r="S282" s="273" t="s">
        <v>29</v>
      </c>
    </row>
    <row r="283" spans="1:19" s="366" customFormat="1" x14ac:dyDescent="0.2">
      <c r="A283" s="118">
        <v>2017</v>
      </c>
      <c r="B283" s="180" t="s">
        <v>29</v>
      </c>
      <c r="C283" s="180" t="s">
        <v>29</v>
      </c>
      <c r="D283" s="180" t="s">
        <v>29</v>
      </c>
      <c r="E283" s="180" t="s">
        <v>29</v>
      </c>
      <c r="F283" s="180" t="s">
        <v>29</v>
      </c>
      <c r="G283" s="180" t="s">
        <v>29</v>
      </c>
      <c r="H283" s="180" t="s">
        <v>29</v>
      </c>
      <c r="I283" s="274">
        <v>638</v>
      </c>
      <c r="J283" s="180">
        <v>96</v>
      </c>
      <c r="K283" s="180" t="s">
        <v>29</v>
      </c>
      <c r="L283" s="187">
        <f t="shared" si="17"/>
        <v>734</v>
      </c>
      <c r="M283" s="187"/>
      <c r="N283" s="273" t="s">
        <v>29</v>
      </c>
      <c r="O283" s="273" t="s">
        <v>29</v>
      </c>
      <c r="P283" s="273" t="s">
        <v>29</v>
      </c>
      <c r="Q283" s="273" t="s">
        <v>29</v>
      </c>
      <c r="R283" s="273" t="s">
        <v>29</v>
      </c>
      <c r="S283" s="273" t="s">
        <v>29</v>
      </c>
    </row>
    <row r="284" spans="1:19" s="366" customFormat="1" x14ac:dyDescent="0.2">
      <c r="A284" s="118">
        <v>2018</v>
      </c>
      <c r="B284" s="180" t="s">
        <v>29</v>
      </c>
      <c r="C284" s="180" t="s">
        <v>29</v>
      </c>
      <c r="D284" s="180">
        <v>300</v>
      </c>
      <c r="E284" s="180">
        <v>2001</v>
      </c>
      <c r="F284" s="180">
        <v>810</v>
      </c>
      <c r="G284" s="180">
        <v>1215</v>
      </c>
      <c r="H284" s="180">
        <v>48</v>
      </c>
      <c r="I284" s="180">
        <v>472</v>
      </c>
      <c r="J284" s="180">
        <v>431</v>
      </c>
      <c r="K284" s="180" t="s">
        <v>29</v>
      </c>
      <c r="L284" s="187">
        <f>SUM(B284:K284)</f>
        <v>5277</v>
      </c>
      <c r="M284" s="187"/>
      <c r="N284" s="273" t="s">
        <v>29</v>
      </c>
      <c r="O284" s="273" t="s">
        <v>29</v>
      </c>
      <c r="P284" s="273" t="s">
        <v>29</v>
      </c>
      <c r="Q284" s="273" t="s">
        <v>29</v>
      </c>
      <c r="R284" s="273" t="s">
        <v>29</v>
      </c>
      <c r="S284" s="273" t="s">
        <v>29</v>
      </c>
    </row>
    <row r="285" spans="1:19" s="489" customFormat="1" x14ac:dyDescent="0.2">
      <c r="A285" s="118">
        <v>2019</v>
      </c>
      <c r="B285" s="180" t="s">
        <v>29</v>
      </c>
      <c r="C285" s="180">
        <v>79</v>
      </c>
      <c r="D285" s="180">
        <v>170</v>
      </c>
      <c r="E285" s="180">
        <v>632</v>
      </c>
      <c r="F285" s="180">
        <v>1245</v>
      </c>
      <c r="G285" s="180">
        <v>170</v>
      </c>
      <c r="H285" s="180">
        <v>62</v>
      </c>
      <c r="I285" s="180">
        <v>813</v>
      </c>
      <c r="J285" s="180" t="s">
        <v>29</v>
      </c>
      <c r="K285" s="180" t="s">
        <v>29</v>
      </c>
      <c r="L285" s="187">
        <f t="shared" ref="L285" si="18">SUM(B285:K285)</f>
        <v>3171</v>
      </c>
      <c r="M285" s="187"/>
      <c r="N285" s="273" t="s">
        <v>29</v>
      </c>
      <c r="O285" s="273" t="s">
        <v>29</v>
      </c>
      <c r="P285" s="273" t="s">
        <v>29</v>
      </c>
      <c r="Q285" s="273" t="s">
        <v>29</v>
      </c>
      <c r="R285" s="273" t="s">
        <v>29</v>
      </c>
      <c r="S285" s="273" t="s">
        <v>29</v>
      </c>
    </row>
    <row r="286" spans="1:19" x14ac:dyDescent="0.2">
      <c r="A286" s="124" t="s">
        <v>393</v>
      </c>
      <c r="B286" s="180" t="s">
        <v>29</v>
      </c>
      <c r="C286" s="180">
        <v>271</v>
      </c>
      <c r="D286" s="180">
        <v>55</v>
      </c>
      <c r="E286" s="180">
        <v>144</v>
      </c>
      <c r="F286" s="180">
        <v>559</v>
      </c>
      <c r="G286" s="180">
        <v>175</v>
      </c>
      <c r="H286" s="180">
        <v>74</v>
      </c>
      <c r="I286" s="180">
        <v>939</v>
      </c>
      <c r="J286" s="180" t="s">
        <v>29</v>
      </c>
      <c r="K286" s="180" t="s">
        <v>29</v>
      </c>
      <c r="L286" s="187">
        <f t="shared" si="17"/>
        <v>2217</v>
      </c>
      <c r="M286" s="187"/>
      <c r="N286" s="273" t="s">
        <v>29</v>
      </c>
      <c r="O286" s="273" t="s">
        <v>29</v>
      </c>
      <c r="P286" s="273" t="s">
        <v>29</v>
      </c>
      <c r="Q286" s="273" t="s">
        <v>29</v>
      </c>
      <c r="R286" s="273" t="s">
        <v>29</v>
      </c>
      <c r="S286" s="273" t="s">
        <v>29</v>
      </c>
    </row>
    <row r="288" spans="1:19" x14ac:dyDescent="0.2">
      <c r="A288" s="109" t="s">
        <v>56</v>
      </c>
    </row>
    <row r="289" spans="1:19" x14ac:dyDescent="0.2">
      <c r="A289" s="371">
        <v>1952</v>
      </c>
      <c r="B289" s="189">
        <v>0</v>
      </c>
      <c r="C289" s="189">
        <v>0</v>
      </c>
      <c r="D289" s="189">
        <v>0</v>
      </c>
      <c r="E289" s="189">
        <v>2777</v>
      </c>
      <c r="F289" s="189">
        <v>2765</v>
      </c>
      <c r="G289" s="189">
        <v>8604</v>
      </c>
      <c r="H289" s="189">
        <v>920</v>
      </c>
      <c r="I289" s="189">
        <v>0</v>
      </c>
      <c r="J289" s="189" t="s">
        <v>29</v>
      </c>
      <c r="K289" s="189" t="s">
        <v>29</v>
      </c>
      <c r="L289" s="189">
        <f t="shared" ref="L289:L341" si="19">SUM(B289:K289)</f>
        <v>15066</v>
      </c>
      <c r="N289" s="189">
        <v>46</v>
      </c>
      <c r="O289" s="189">
        <v>3422</v>
      </c>
      <c r="P289" s="189">
        <v>854</v>
      </c>
      <c r="Q289" s="189">
        <v>47</v>
      </c>
      <c r="R289" s="189">
        <v>0</v>
      </c>
      <c r="S289" s="189">
        <f t="shared" ref="S289:S326" si="20">SUM(N289:R289)</f>
        <v>4369</v>
      </c>
    </row>
    <row r="290" spans="1:19" x14ac:dyDescent="0.2">
      <c r="A290" s="371">
        <v>1953</v>
      </c>
      <c r="B290" s="189">
        <v>0</v>
      </c>
      <c r="C290" s="189">
        <v>0</v>
      </c>
      <c r="D290" s="189">
        <v>0</v>
      </c>
      <c r="E290" s="189">
        <v>93</v>
      </c>
      <c r="F290" s="189">
        <v>1531</v>
      </c>
      <c r="G290" s="189">
        <v>6226</v>
      </c>
      <c r="H290" s="189">
        <v>32</v>
      </c>
      <c r="I290" s="189">
        <v>0</v>
      </c>
      <c r="J290" s="189" t="s">
        <v>29</v>
      </c>
      <c r="K290" s="189" t="s">
        <v>29</v>
      </c>
      <c r="L290" s="189">
        <f t="shared" si="19"/>
        <v>7882</v>
      </c>
      <c r="N290" s="189">
        <v>8</v>
      </c>
      <c r="O290" s="189">
        <v>740</v>
      </c>
      <c r="P290" s="189">
        <v>768</v>
      </c>
      <c r="Q290" s="189">
        <v>39</v>
      </c>
      <c r="R290" s="189">
        <v>0</v>
      </c>
      <c r="S290" s="189">
        <f t="shared" si="20"/>
        <v>1555</v>
      </c>
    </row>
    <row r="291" spans="1:19" x14ac:dyDescent="0.2">
      <c r="A291" s="371">
        <v>1954</v>
      </c>
      <c r="B291" s="189">
        <v>0</v>
      </c>
      <c r="C291" s="189">
        <v>0</v>
      </c>
      <c r="D291" s="189">
        <v>0</v>
      </c>
      <c r="E291" s="189">
        <v>152</v>
      </c>
      <c r="F291" s="189">
        <v>1701</v>
      </c>
      <c r="G291" s="189">
        <v>9463</v>
      </c>
      <c r="H291" s="189">
        <v>898</v>
      </c>
      <c r="I291" s="189">
        <v>0</v>
      </c>
      <c r="J291" s="189" t="s">
        <v>29</v>
      </c>
      <c r="K291" s="189" t="s">
        <v>29</v>
      </c>
      <c r="L291" s="189">
        <f t="shared" si="19"/>
        <v>12214</v>
      </c>
      <c r="N291" s="189">
        <v>47</v>
      </c>
      <c r="O291" s="189">
        <v>821</v>
      </c>
      <c r="P291" s="189">
        <v>2364</v>
      </c>
      <c r="Q291" s="189">
        <v>689</v>
      </c>
      <c r="R291" s="189">
        <v>0</v>
      </c>
      <c r="S291" s="189">
        <f t="shared" si="20"/>
        <v>3921</v>
      </c>
    </row>
    <row r="292" spans="1:19" x14ac:dyDescent="0.2">
      <c r="A292" s="371">
        <v>1955</v>
      </c>
      <c r="B292" s="189">
        <v>0</v>
      </c>
      <c r="C292" s="189">
        <v>0</v>
      </c>
      <c r="D292" s="189">
        <v>0</v>
      </c>
      <c r="E292" s="189">
        <v>1846</v>
      </c>
      <c r="F292" s="189">
        <v>2165</v>
      </c>
      <c r="G292" s="189">
        <v>4347</v>
      </c>
      <c r="H292" s="189">
        <v>939</v>
      </c>
      <c r="I292" s="189">
        <v>0</v>
      </c>
      <c r="J292" s="189" t="s">
        <v>29</v>
      </c>
      <c r="K292" s="189" t="s">
        <v>29</v>
      </c>
      <c r="L292" s="189">
        <f t="shared" si="19"/>
        <v>9297</v>
      </c>
      <c r="N292" s="189">
        <v>201</v>
      </c>
      <c r="O292" s="189">
        <v>646</v>
      </c>
      <c r="P292" s="189">
        <v>755</v>
      </c>
      <c r="Q292" s="189">
        <v>111</v>
      </c>
      <c r="R292" s="189">
        <v>0</v>
      </c>
      <c r="S292" s="189">
        <f t="shared" si="20"/>
        <v>1713</v>
      </c>
    </row>
    <row r="293" spans="1:19" x14ac:dyDescent="0.2">
      <c r="A293" s="371">
        <v>1956</v>
      </c>
      <c r="B293" s="189" t="s">
        <v>29</v>
      </c>
      <c r="C293" s="189">
        <v>181</v>
      </c>
      <c r="D293" s="189">
        <v>41</v>
      </c>
      <c r="E293" s="189">
        <v>352</v>
      </c>
      <c r="F293" s="189">
        <v>3240</v>
      </c>
      <c r="G293" s="189">
        <v>8555</v>
      </c>
      <c r="H293" s="189">
        <v>13</v>
      </c>
      <c r="I293" s="189">
        <v>0</v>
      </c>
      <c r="J293" s="189" t="s">
        <v>29</v>
      </c>
      <c r="K293" s="189" t="s">
        <v>29</v>
      </c>
      <c r="L293" s="189">
        <f t="shared" si="19"/>
        <v>12382</v>
      </c>
      <c r="N293" s="189">
        <v>300</v>
      </c>
      <c r="O293" s="189">
        <v>3384</v>
      </c>
      <c r="P293" s="189">
        <v>1248</v>
      </c>
      <c r="Q293" s="189">
        <v>14</v>
      </c>
      <c r="R293" s="189">
        <v>0</v>
      </c>
      <c r="S293" s="189">
        <f t="shared" si="20"/>
        <v>4946</v>
      </c>
    </row>
    <row r="294" spans="1:19" x14ac:dyDescent="0.2">
      <c r="A294" s="371">
        <v>1957</v>
      </c>
      <c r="B294" s="189" t="s">
        <v>29</v>
      </c>
      <c r="C294" s="189">
        <v>0</v>
      </c>
      <c r="D294" s="189">
        <v>95</v>
      </c>
      <c r="E294" s="189">
        <v>3189</v>
      </c>
      <c r="F294" s="189">
        <v>6061</v>
      </c>
      <c r="G294" s="189">
        <v>13399</v>
      </c>
      <c r="H294" s="189">
        <v>827</v>
      </c>
      <c r="I294" s="189">
        <v>2</v>
      </c>
      <c r="J294" s="189" t="s">
        <v>29</v>
      </c>
      <c r="K294" s="189" t="s">
        <v>29</v>
      </c>
      <c r="L294" s="189">
        <f t="shared" si="19"/>
        <v>23573</v>
      </c>
      <c r="N294" s="189">
        <v>3374</v>
      </c>
      <c r="O294" s="189">
        <v>5992</v>
      </c>
      <c r="P294" s="189">
        <v>6613</v>
      </c>
      <c r="Q294" s="189">
        <v>216</v>
      </c>
      <c r="R294" s="189">
        <v>7</v>
      </c>
      <c r="S294" s="189">
        <f t="shared" si="20"/>
        <v>16202</v>
      </c>
    </row>
    <row r="295" spans="1:19" x14ac:dyDescent="0.2">
      <c r="A295" s="371">
        <v>1958</v>
      </c>
      <c r="B295" s="189" t="s">
        <v>29</v>
      </c>
      <c r="C295" s="189">
        <v>0</v>
      </c>
      <c r="D295" s="189">
        <v>1010</v>
      </c>
      <c r="E295" s="189">
        <v>8997</v>
      </c>
      <c r="F295" s="189">
        <v>3334</v>
      </c>
      <c r="G295" s="189">
        <v>873</v>
      </c>
      <c r="H295" s="189">
        <v>1836</v>
      </c>
      <c r="I295" s="189">
        <v>174</v>
      </c>
      <c r="J295" s="189" t="s">
        <v>29</v>
      </c>
      <c r="K295" s="189" t="s">
        <v>29</v>
      </c>
      <c r="L295" s="189">
        <f t="shared" si="19"/>
        <v>16224</v>
      </c>
      <c r="N295" s="189">
        <v>785</v>
      </c>
      <c r="O295" s="189">
        <v>838</v>
      </c>
      <c r="P295" s="189">
        <v>195</v>
      </c>
      <c r="Q295" s="189">
        <v>402</v>
      </c>
      <c r="R295" s="189">
        <v>45</v>
      </c>
      <c r="S295" s="189">
        <f t="shared" si="20"/>
        <v>2265</v>
      </c>
    </row>
    <row r="296" spans="1:19" x14ac:dyDescent="0.2">
      <c r="A296" s="371">
        <v>1959</v>
      </c>
      <c r="B296" s="189" t="s">
        <v>29</v>
      </c>
      <c r="C296" s="189">
        <v>0</v>
      </c>
      <c r="D296" s="189">
        <v>109</v>
      </c>
      <c r="E296" s="189">
        <v>1548</v>
      </c>
      <c r="F296" s="189">
        <v>1970</v>
      </c>
      <c r="G296" s="189">
        <v>350</v>
      </c>
      <c r="H296" s="189">
        <v>293</v>
      </c>
      <c r="I296" s="189">
        <v>66</v>
      </c>
      <c r="J296" s="189" t="s">
        <v>29</v>
      </c>
      <c r="K296" s="189" t="s">
        <v>29</v>
      </c>
      <c r="L296" s="189">
        <f t="shared" si="19"/>
        <v>4336</v>
      </c>
      <c r="N296" s="189">
        <v>4494</v>
      </c>
      <c r="O296" s="189">
        <v>2623</v>
      </c>
      <c r="P296" s="189">
        <v>1161</v>
      </c>
      <c r="Q296" s="189">
        <v>682</v>
      </c>
      <c r="R296" s="189">
        <v>95</v>
      </c>
      <c r="S296" s="189">
        <f t="shared" si="20"/>
        <v>9055</v>
      </c>
    </row>
    <row r="297" spans="1:19" x14ac:dyDescent="0.2">
      <c r="A297" s="371">
        <v>1960</v>
      </c>
      <c r="B297" s="189" t="s">
        <v>29</v>
      </c>
      <c r="C297" s="189">
        <v>0</v>
      </c>
      <c r="D297" s="189">
        <v>22</v>
      </c>
      <c r="E297" s="189">
        <v>700</v>
      </c>
      <c r="F297" s="189">
        <v>2965</v>
      </c>
      <c r="G297" s="189">
        <v>3627</v>
      </c>
      <c r="H297" s="189">
        <v>5568</v>
      </c>
      <c r="I297" s="189">
        <v>2415</v>
      </c>
      <c r="J297" s="189" t="s">
        <v>29</v>
      </c>
      <c r="K297" s="189" t="s">
        <v>29</v>
      </c>
      <c r="L297" s="189">
        <f t="shared" si="19"/>
        <v>15297</v>
      </c>
      <c r="N297" s="189">
        <v>383</v>
      </c>
      <c r="O297" s="189">
        <v>951</v>
      </c>
      <c r="P297" s="189">
        <v>170</v>
      </c>
      <c r="Q297" s="189">
        <v>132</v>
      </c>
      <c r="R297" s="189">
        <v>62</v>
      </c>
      <c r="S297" s="189">
        <f t="shared" si="20"/>
        <v>1698</v>
      </c>
    </row>
    <row r="298" spans="1:19" x14ac:dyDescent="0.2">
      <c r="A298" s="371">
        <v>1961</v>
      </c>
      <c r="B298" s="189" t="s">
        <v>29</v>
      </c>
      <c r="C298" s="189">
        <v>85</v>
      </c>
      <c r="D298" s="189">
        <v>2974</v>
      </c>
      <c r="E298" s="189">
        <v>10121</v>
      </c>
      <c r="F298" s="189">
        <v>14925</v>
      </c>
      <c r="G298" s="189">
        <v>12319</v>
      </c>
      <c r="H298" s="189">
        <v>346</v>
      </c>
      <c r="I298" s="189">
        <v>473</v>
      </c>
      <c r="J298" s="189" t="s">
        <v>29</v>
      </c>
      <c r="K298" s="189" t="s">
        <v>29</v>
      </c>
      <c r="L298" s="189">
        <f t="shared" si="19"/>
        <v>41243</v>
      </c>
      <c r="N298" s="189">
        <v>872</v>
      </c>
      <c r="O298" s="189">
        <v>14564</v>
      </c>
      <c r="P298" s="189">
        <v>4238</v>
      </c>
      <c r="Q298" s="189">
        <v>154</v>
      </c>
      <c r="R298" s="189">
        <v>15</v>
      </c>
      <c r="S298" s="189">
        <f t="shared" si="20"/>
        <v>19843</v>
      </c>
    </row>
    <row r="299" spans="1:19" x14ac:dyDescent="0.2">
      <c r="A299" s="371">
        <v>1962</v>
      </c>
      <c r="B299" s="189" t="s">
        <v>29</v>
      </c>
      <c r="C299" s="189">
        <v>174</v>
      </c>
      <c r="D299" s="189">
        <v>1117</v>
      </c>
      <c r="E299" s="189">
        <v>1260</v>
      </c>
      <c r="F299" s="189">
        <v>5046</v>
      </c>
      <c r="G299" s="189">
        <v>8469</v>
      </c>
      <c r="H299" s="189">
        <v>715</v>
      </c>
      <c r="I299" s="189">
        <v>98</v>
      </c>
      <c r="J299" s="189" t="s">
        <v>29</v>
      </c>
      <c r="K299" s="189" t="s">
        <v>29</v>
      </c>
      <c r="L299" s="189">
        <f t="shared" si="19"/>
        <v>16879</v>
      </c>
      <c r="N299" s="189">
        <v>597</v>
      </c>
      <c r="O299" s="189">
        <v>4783</v>
      </c>
      <c r="P299" s="189">
        <v>6919</v>
      </c>
      <c r="Q299" s="189">
        <v>2147</v>
      </c>
      <c r="R299" s="189">
        <v>42</v>
      </c>
      <c r="S299" s="189">
        <f t="shared" si="20"/>
        <v>14488</v>
      </c>
    </row>
    <row r="300" spans="1:19" x14ac:dyDescent="0.2">
      <c r="A300" s="371">
        <v>1963</v>
      </c>
      <c r="B300" s="189" t="s">
        <v>29</v>
      </c>
      <c r="C300" s="189">
        <v>4</v>
      </c>
      <c r="D300" s="189">
        <v>1927</v>
      </c>
      <c r="E300" s="189">
        <v>7000</v>
      </c>
      <c r="F300" s="189">
        <v>29550</v>
      </c>
      <c r="G300" s="189">
        <v>8161</v>
      </c>
      <c r="H300" s="189">
        <v>1267</v>
      </c>
      <c r="I300" s="189">
        <v>412</v>
      </c>
      <c r="J300" s="189" t="s">
        <v>29</v>
      </c>
      <c r="K300" s="189" t="s">
        <v>29</v>
      </c>
      <c r="L300" s="189">
        <f t="shared" si="19"/>
        <v>48321</v>
      </c>
      <c r="N300" s="189">
        <v>15445</v>
      </c>
      <c r="O300" s="189">
        <v>53997</v>
      </c>
      <c r="P300" s="189">
        <v>12247</v>
      </c>
      <c r="Q300" s="189">
        <v>1930</v>
      </c>
      <c r="R300" s="189">
        <v>199</v>
      </c>
      <c r="S300" s="189">
        <f t="shared" si="20"/>
        <v>83818</v>
      </c>
    </row>
    <row r="301" spans="1:19" x14ac:dyDescent="0.2">
      <c r="A301" s="371">
        <v>1964</v>
      </c>
      <c r="B301" s="189" t="s">
        <v>29</v>
      </c>
      <c r="C301" s="189">
        <v>33</v>
      </c>
      <c r="D301" s="189">
        <v>333</v>
      </c>
      <c r="E301" s="189">
        <v>1684</v>
      </c>
      <c r="F301" s="189">
        <v>10347</v>
      </c>
      <c r="G301" s="189">
        <v>4279</v>
      </c>
      <c r="H301" s="189">
        <v>1391</v>
      </c>
      <c r="I301" s="189">
        <v>1232</v>
      </c>
      <c r="J301" s="189" t="s">
        <v>29</v>
      </c>
      <c r="K301" s="189" t="s">
        <v>29</v>
      </c>
      <c r="L301" s="189">
        <f t="shared" si="19"/>
        <v>19299</v>
      </c>
      <c r="N301" s="189">
        <v>12879</v>
      </c>
      <c r="O301" s="189">
        <v>49638</v>
      </c>
      <c r="P301" s="189">
        <v>27760</v>
      </c>
      <c r="Q301" s="189">
        <v>2970</v>
      </c>
      <c r="R301" s="189">
        <v>483</v>
      </c>
      <c r="S301" s="189">
        <f t="shared" si="20"/>
        <v>93730</v>
      </c>
    </row>
    <row r="302" spans="1:19" x14ac:dyDescent="0.2">
      <c r="A302" s="371">
        <v>1965</v>
      </c>
      <c r="B302" s="189" t="s">
        <v>29</v>
      </c>
      <c r="C302" s="189">
        <v>59</v>
      </c>
      <c r="D302" s="189">
        <v>988</v>
      </c>
      <c r="E302" s="189">
        <v>3169</v>
      </c>
      <c r="F302" s="189">
        <v>9029</v>
      </c>
      <c r="G302" s="189">
        <v>4549</v>
      </c>
      <c r="H302" s="189">
        <v>479</v>
      </c>
      <c r="I302" s="189">
        <v>683</v>
      </c>
      <c r="J302" s="189" t="s">
        <v>29</v>
      </c>
      <c r="K302" s="189" t="s">
        <v>29</v>
      </c>
      <c r="L302" s="189">
        <f t="shared" si="19"/>
        <v>18956</v>
      </c>
      <c r="N302" s="189">
        <v>10897</v>
      </c>
      <c r="O302" s="189">
        <v>75892</v>
      </c>
      <c r="P302" s="189">
        <v>7985</v>
      </c>
      <c r="Q302" s="189">
        <v>609</v>
      </c>
      <c r="R302" s="189">
        <v>67</v>
      </c>
      <c r="S302" s="189">
        <f t="shared" si="20"/>
        <v>95450</v>
      </c>
    </row>
    <row r="303" spans="1:19" x14ac:dyDescent="0.2">
      <c r="A303" s="371">
        <v>1966</v>
      </c>
      <c r="B303" s="189" t="s">
        <v>29</v>
      </c>
      <c r="C303" s="189">
        <v>2</v>
      </c>
      <c r="D303" s="189">
        <v>278</v>
      </c>
      <c r="E303" s="189">
        <v>3921</v>
      </c>
      <c r="F303" s="189">
        <v>19216</v>
      </c>
      <c r="G303" s="189">
        <v>4633</v>
      </c>
      <c r="H303" s="189">
        <v>3338</v>
      </c>
      <c r="I303" s="189">
        <v>1296</v>
      </c>
      <c r="J303" s="189" t="s">
        <v>29</v>
      </c>
      <c r="K303" s="189" t="s">
        <v>29</v>
      </c>
      <c r="L303" s="189">
        <f t="shared" si="19"/>
        <v>32684</v>
      </c>
      <c r="N303" s="189">
        <v>36504</v>
      </c>
      <c r="O303" s="189">
        <v>44239</v>
      </c>
      <c r="P303" s="189">
        <v>12127</v>
      </c>
      <c r="Q303" s="189">
        <v>2857</v>
      </c>
      <c r="R303" s="189">
        <v>93</v>
      </c>
      <c r="S303" s="189">
        <f t="shared" si="20"/>
        <v>95820</v>
      </c>
    </row>
    <row r="304" spans="1:19" x14ac:dyDescent="0.2">
      <c r="A304" s="371">
        <v>1967</v>
      </c>
      <c r="B304" s="189" t="s">
        <v>29</v>
      </c>
      <c r="C304" s="189">
        <v>1988</v>
      </c>
      <c r="D304" s="189">
        <v>4031</v>
      </c>
      <c r="E304" s="189">
        <v>3272</v>
      </c>
      <c r="F304" s="189">
        <v>9512</v>
      </c>
      <c r="G304" s="189">
        <v>2805</v>
      </c>
      <c r="H304" s="189">
        <v>1445</v>
      </c>
      <c r="I304" s="189">
        <v>492</v>
      </c>
      <c r="J304" s="189" t="s">
        <v>29</v>
      </c>
      <c r="K304" s="189" t="s">
        <v>29</v>
      </c>
      <c r="L304" s="189">
        <f t="shared" si="19"/>
        <v>23545</v>
      </c>
      <c r="N304" s="189">
        <v>11184</v>
      </c>
      <c r="O304" s="189">
        <v>70621</v>
      </c>
      <c r="P304" s="189">
        <v>7063</v>
      </c>
      <c r="Q304" s="189">
        <v>1245</v>
      </c>
      <c r="R304" s="189">
        <v>44</v>
      </c>
      <c r="S304" s="189">
        <f t="shared" si="20"/>
        <v>90157</v>
      </c>
    </row>
    <row r="305" spans="1:19" x14ac:dyDescent="0.2">
      <c r="A305" s="371">
        <v>1968</v>
      </c>
      <c r="B305" s="189" t="s">
        <v>29</v>
      </c>
      <c r="C305" s="189">
        <v>6</v>
      </c>
      <c r="D305" s="189">
        <v>1303</v>
      </c>
      <c r="E305" s="189">
        <v>1558</v>
      </c>
      <c r="F305" s="189">
        <v>9883</v>
      </c>
      <c r="G305" s="189">
        <v>4750</v>
      </c>
      <c r="H305" s="189">
        <v>422</v>
      </c>
      <c r="I305" s="189">
        <v>402</v>
      </c>
      <c r="J305" s="189" t="s">
        <v>29</v>
      </c>
      <c r="K305" s="189" t="s">
        <v>29</v>
      </c>
      <c r="L305" s="189">
        <f t="shared" si="19"/>
        <v>18324</v>
      </c>
      <c r="N305" s="189">
        <v>16361</v>
      </c>
      <c r="O305" s="189">
        <v>44789</v>
      </c>
      <c r="P305" s="189">
        <v>12824</v>
      </c>
      <c r="Q305" s="189">
        <v>1548</v>
      </c>
      <c r="R305" s="189">
        <v>4</v>
      </c>
      <c r="S305" s="189">
        <f t="shared" si="20"/>
        <v>75526</v>
      </c>
    </row>
    <row r="306" spans="1:19" x14ac:dyDescent="0.2">
      <c r="A306" s="371">
        <v>1969</v>
      </c>
      <c r="B306" s="189" t="s">
        <v>29</v>
      </c>
      <c r="C306" s="189">
        <v>28</v>
      </c>
      <c r="D306" s="189">
        <v>2930</v>
      </c>
      <c r="E306" s="189">
        <v>17944</v>
      </c>
      <c r="F306" s="189">
        <v>10144</v>
      </c>
      <c r="G306" s="189">
        <v>5424</v>
      </c>
      <c r="H306" s="189">
        <v>366</v>
      </c>
      <c r="I306" s="189">
        <v>2482</v>
      </c>
      <c r="J306" s="189" t="s">
        <v>29</v>
      </c>
      <c r="K306" s="189" t="s">
        <v>29</v>
      </c>
      <c r="L306" s="189">
        <f t="shared" si="19"/>
        <v>39318</v>
      </c>
      <c r="N306" s="189">
        <v>42038</v>
      </c>
      <c r="O306" s="189">
        <v>22733</v>
      </c>
      <c r="P306" s="189">
        <v>6081</v>
      </c>
      <c r="Q306" s="189">
        <v>137</v>
      </c>
      <c r="R306" s="189">
        <v>197</v>
      </c>
      <c r="S306" s="189">
        <f t="shared" si="20"/>
        <v>71186</v>
      </c>
    </row>
    <row r="307" spans="1:19" x14ac:dyDescent="0.2">
      <c r="A307" s="371">
        <v>1970</v>
      </c>
      <c r="B307" s="189" t="s">
        <v>29</v>
      </c>
      <c r="C307" s="189">
        <v>32</v>
      </c>
      <c r="D307" s="189">
        <v>1352</v>
      </c>
      <c r="E307" s="189">
        <v>11546</v>
      </c>
      <c r="F307" s="189">
        <v>10588</v>
      </c>
      <c r="G307" s="189">
        <v>15299</v>
      </c>
      <c r="H307" s="189">
        <v>6051</v>
      </c>
      <c r="I307" s="189">
        <v>964</v>
      </c>
      <c r="J307" s="189" t="s">
        <v>29</v>
      </c>
      <c r="K307" s="189" t="s">
        <v>29</v>
      </c>
      <c r="L307" s="189">
        <f t="shared" si="19"/>
        <v>45832</v>
      </c>
      <c r="N307" s="189">
        <v>48813</v>
      </c>
      <c r="O307" s="189">
        <v>24981</v>
      </c>
      <c r="P307" s="189">
        <v>36965</v>
      </c>
      <c r="Q307" s="189">
        <v>1554</v>
      </c>
      <c r="R307" s="189">
        <v>8</v>
      </c>
      <c r="S307" s="189">
        <f t="shared" si="20"/>
        <v>112321</v>
      </c>
    </row>
    <row r="308" spans="1:19" x14ac:dyDescent="0.2">
      <c r="A308" s="371">
        <v>1971</v>
      </c>
      <c r="B308" s="189" t="s">
        <v>29</v>
      </c>
      <c r="C308" s="189">
        <v>1</v>
      </c>
      <c r="D308" s="189">
        <v>1749</v>
      </c>
      <c r="E308" s="189">
        <v>12909</v>
      </c>
      <c r="F308" s="189">
        <v>15129</v>
      </c>
      <c r="G308" s="189">
        <v>23841</v>
      </c>
      <c r="H308" s="189">
        <v>1059</v>
      </c>
      <c r="I308" s="189">
        <v>2962</v>
      </c>
      <c r="J308" s="189" t="s">
        <v>29</v>
      </c>
      <c r="K308" s="189" t="s">
        <v>29</v>
      </c>
      <c r="L308" s="189">
        <f t="shared" si="19"/>
        <v>57650</v>
      </c>
      <c r="N308" s="189">
        <v>49917</v>
      </c>
      <c r="O308" s="189">
        <v>159908</v>
      </c>
      <c r="P308" s="189">
        <v>73370</v>
      </c>
      <c r="Q308" s="189">
        <v>1055</v>
      </c>
      <c r="R308" s="189">
        <v>196</v>
      </c>
      <c r="S308" s="189">
        <f t="shared" si="20"/>
        <v>284446</v>
      </c>
    </row>
    <row r="309" spans="1:19" x14ac:dyDescent="0.2">
      <c r="A309" s="371">
        <v>1972</v>
      </c>
      <c r="B309" s="189" t="s">
        <v>29</v>
      </c>
      <c r="C309" s="189">
        <v>0</v>
      </c>
      <c r="D309" s="189">
        <v>2602</v>
      </c>
      <c r="E309" s="189">
        <v>12597</v>
      </c>
      <c r="F309" s="189">
        <v>12322</v>
      </c>
      <c r="G309" s="189">
        <v>12113</v>
      </c>
      <c r="H309" s="189">
        <v>8361</v>
      </c>
      <c r="I309" s="189">
        <v>6265</v>
      </c>
      <c r="J309" s="189" t="s">
        <v>29</v>
      </c>
      <c r="K309" s="189" t="s">
        <v>29</v>
      </c>
      <c r="L309" s="189">
        <f t="shared" si="19"/>
        <v>54260</v>
      </c>
      <c r="N309" s="189">
        <v>34310</v>
      </c>
      <c r="O309" s="189">
        <v>27045</v>
      </c>
      <c r="P309" s="189">
        <v>2803</v>
      </c>
      <c r="Q309" s="189">
        <v>870</v>
      </c>
      <c r="R309" s="189">
        <v>137</v>
      </c>
      <c r="S309" s="189">
        <f t="shared" si="20"/>
        <v>65165</v>
      </c>
    </row>
    <row r="310" spans="1:19" x14ac:dyDescent="0.2">
      <c r="A310" s="371">
        <v>1973</v>
      </c>
      <c r="B310" s="189" t="s">
        <v>29</v>
      </c>
      <c r="C310" s="189">
        <v>106</v>
      </c>
      <c r="D310" s="189">
        <v>734</v>
      </c>
      <c r="E310" s="189">
        <v>7545</v>
      </c>
      <c r="F310" s="189">
        <v>26555</v>
      </c>
      <c r="G310" s="189">
        <v>9462</v>
      </c>
      <c r="H310" s="189">
        <v>5609</v>
      </c>
      <c r="I310" s="189">
        <v>4709</v>
      </c>
      <c r="J310" s="189" t="s">
        <v>29</v>
      </c>
      <c r="K310" s="189" t="s">
        <v>29</v>
      </c>
      <c r="L310" s="189">
        <f t="shared" si="19"/>
        <v>54720</v>
      </c>
      <c r="N310" s="189">
        <v>39107</v>
      </c>
      <c r="O310" s="189">
        <v>48661</v>
      </c>
      <c r="P310" s="189">
        <v>2728</v>
      </c>
      <c r="Q310" s="189">
        <v>1124</v>
      </c>
      <c r="R310" s="189">
        <v>167</v>
      </c>
      <c r="S310" s="189">
        <f t="shared" si="20"/>
        <v>91787</v>
      </c>
    </row>
    <row r="311" spans="1:19" x14ac:dyDescent="0.2">
      <c r="A311" s="371">
        <v>1974</v>
      </c>
      <c r="B311" s="189" t="s">
        <v>29</v>
      </c>
      <c r="C311" s="189">
        <v>48</v>
      </c>
      <c r="D311" s="189">
        <v>226</v>
      </c>
      <c r="E311" s="189">
        <v>2825</v>
      </c>
      <c r="F311" s="189">
        <v>9518</v>
      </c>
      <c r="G311" s="189">
        <v>14229</v>
      </c>
      <c r="H311" s="189">
        <v>4970</v>
      </c>
      <c r="I311" s="189">
        <v>1795</v>
      </c>
      <c r="J311" s="189">
        <v>1546</v>
      </c>
      <c r="K311" s="189">
        <v>129</v>
      </c>
      <c r="L311" s="189">
        <f t="shared" si="19"/>
        <v>35286</v>
      </c>
      <c r="N311" s="189">
        <v>16810</v>
      </c>
      <c r="O311" s="189">
        <v>61476</v>
      </c>
      <c r="P311" s="189">
        <v>14223</v>
      </c>
      <c r="Q311" s="189">
        <v>2731</v>
      </c>
      <c r="R311" s="189">
        <v>48</v>
      </c>
      <c r="S311" s="189">
        <f t="shared" si="20"/>
        <v>95288</v>
      </c>
    </row>
    <row r="312" spans="1:19" x14ac:dyDescent="0.2">
      <c r="A312" s="371">
        <v>1975</v>
      </c>
      <c r="B312" s="189" t="s">
        <v>29</v>
      </c>
      <c r="C312" s="189">
        <v>4</v>
      </c>
      <c r="D312" s="189">
        <v>212</v>
      </c>
      <c r="E312" s="189">
        <v>6038</v>
      </c>
      <c r="F312" s="189">
        <v>26649</v>
      </c>
      <c r="G312" s="189">
        <v>11652</v>
      </c>
      <c r="H312" s="189">
        <v>23321</v>
      </c>
      <c r="I312" s="189">
        <v>1857</v>
      </c>
      <c r="J312" s="189">
        <v>859</v>
      </c>
      <c r="K312" s="189">
        <v>57</v>
      </c>
      <c r="L312" s="189">
        <f t="shared" si="19"/>
        <v>70649</v>
      </c>
      <c r="N312" s="189">
        <v>26784</v>
      </c>
      <c r="O312" s="189">
        <v>43479</v>
      </c>
      <c r="P312" s="189">
        <v>4985</v>
      </c>
      <c r="Q312" s="189">
        <v>1409</v>
      </c>
      <c r="R312" s="189">
        <v>27</v>
      </c>
      <c r="S312" s="189">
        <f t="shared" si="20"/>
        <v>76684</v>
      </c>
    </row>
    <row r="313" spans="1:19" x14ac:dyDescent="0.2">
      <c r="A313" s="371">
        <v>1976</v>
      </c>
      <c r="B313" s="189" t="s">
        <v>29</v>
      </c>
      <c r="C313" s="189" t="s">
        <v>29</v>
      </c>
      <c r="D313" s="189">
        <v>110</v>
      </c>
      <c r="E313" s="189">
        <v>3111</v>
      </c>
      <c r="F313" s="189">
        <v>8573</v>
      </c>
      <c r="G313" s="189">
        <v>13022</v>
      </c>
      <c r="H313" s="189">
        <v>11230</v>
      </c>
      <c r="I313" s="189">
        <v>4299</v>
      </c>
      <c r="J313" s="189">
        <v>1854</v>
      </c>
      <c r="K313" s="189" t="s">
        <v>29</v>
      </c>
      <c r="L313" s="189">
        <f t="shared" si="19"/>
        <v>42199</v>
      </c>
      <c r="N313" s="189">
        <v>24057</v>
      </c>
      <c r="O313" s="189">
        <v>74573</v>
      </c>
      <c r="P313" s="189">
        <v>17811</v>
      </c>
      <c r="Q313" s="189">
        <v>1920</v>
      </c>
      <c r="R313" s="189">
        <v>306</v>
      </c>
      <c r="S313" s="189">
        <f t="shared" si="20"/>
        <v>118667</v>
      </c>
    </row>
    <row r="314" spans="1:19" x14ac:dyDescent="0.2">
      <c r="A314" s="371">
        <v>1977</v>
      </c>
      <c r="B314" s="189" t="s">
        <v>29</v>
      </c>
      <c r="C314" s="189" t="s">
        <v>29</v>
      </c>
      <c r="D314" s="189">
        <v>1754</v>
      </c>
      <c r="E314" s="189">
        <v>4977</v>
      </c>
      <c r="F314" s="189">
        <v>34960</v>
      </c>
      <c r="G314" s="189">
        <v>23299</v>
      </c>
      <c r="H314" s="189">
        <v>13806</v>
      </c>
      <c r="I314" s="189">
        <v>4910</v>
      </c>
      <c r="J314" s="189">
        <v>4141</v>
      </c>
      <c r="K314" s="189" t="s">
        <v>29</v>
      </c>
      <c r="L314" s="189">
        <f t="shared" si="19"/>
        <v>87847</v>
      </c>
      <c r="N314" s="189">
        <v>1275</v>
      </c>
      <c r="O314" s="189">
        <v>18684</v>
      </c>
      <c r="P314" s="189">
        <v>2874</v>
      </c>
      <c r="Q314" s="189">
        <v>290</v>
      </c>
      <c r="R314" s="189">
        <v>30</v>
      </c>
      <c r="S314" s="189">
        <f t="shared" si="20"/>
        <v>23153</v>
      </c>
    </row>
    <row r="315" spans="1:19" x14ac:dyDescent="0.2">
      <c r="A315" s="371">
        <v>1978</v>
      </c>
      <c r="B315" s="189" t="s">
        <v>29</v>
      </c>
      <c r="C315" s="189" t="s">
        <v>29</v>
      </c>
      <c r="D315" s="189">
        <v>736</v>
      </c>
      <c r="E315" s="189">
        <v>10428</v>
      </c>
      <c r="F315" s="189">
        <v>9825</v>
      </c>
      <c r="G315" s="189">
        <v>10459</v>
      </c>
      <c r="H315" s="189">
        <v>8381</v>
      </c>
      <c r="I315" s="189">
        <v>4215</v>
      </c>
      <c r="J315" s="189">
        <v>3207</v>
      </c>
      <c r="K315" s="189" t="s">
        <v>29</v>
      </c>
      <c r="L315" s="189">
        <f t="shared" si="19"/>
        <v>47251</v>
      </c>
      <c r="N315" s="189">
        <v>27451</v>
      </c>
      <c r="O315" s="189">
        <v>18182</v>
      </c>
      <c r="P315" s="189">
        <v>10177</v>
      </c>
      <c r="Q315" s="189">
        <v>2158</v>
      </c>
      <c r="R315" s="189">
        <v>186</v>
      </c>
      <c r="S315" s="189">
        <f t="shared" si="20"/>
        <v>58154</v>
      </c>
    </row>
    <row r="316" spans="1:19" x14ac:dyDescent="0.2">
      <c r="A316" s="371">
        <v>1979</v>
      </c>
      <c r="B316" s="189" t="s">
        <v>29</v>
      </c>
      <c r="C316" s="189" t="s">
        <v>29</v>
      </c>
      <c r="D316" s="189">
        <v>290</v>
      </c>
      <c r="E316" s="189">
        <v>1276</v>
      </c>
      <c r="F316" s="189">
        <v>39670</v>
      </c>
      <c r="G316" s="189">
        <v>60192</v>
      </c>
      <c r="H316" s="189">
        <v>4762</v>
      </c>
      <c r="I316" s="189">
        <v>15743</v>
      </c>
      <c r="J316" s="189">
        <v>1861</v>
      </c>
      <c r="K316" s="189" t="s">
        <v>29</v>
      </c>
      <c r="L316" s="189">
        <f t="shared" si="19"/>
        <v>123794</v>
      </c>
      <c r="N316" s="189">
        <v>1750</v>
      </c>
      <c r="O316" s="189">
        <v>86379</v>
      </c>
      <c r="P316" s="189">
        <v>13060</v>
      </c>
      <c r="Q316" s="189">
        <v>11</v>
      </c>
      <c r="R316" s="189" t="s">
        <v>29</v>
      </c>
      <c r="S316" s="189">
        <f t="shared" si="20"/>
        <v>101200</v>
      </c>
    </row>
    <row r="317" spans="1:19" x14ac:dyDescent="0.2">
      <c r="A317" s="371">
        <v>1980</v>
      </c>
      <c r="B317" s="189" t="s">
        <v>29</v>
      </c>
      <c r="C317" s="189" t="s">
        <v>29</v>
      </c>
      <c r="D317" s="189">
        <v>6183</v>
      </c>
      <c r="E317" s="189">
        <v>2566</v>
      </c>
      <c r="F317" s="189">
        <v>12169</v>
      </c>
      <c r="G317" s="189">
        <v>28303</v>
      </c>
      <c r="H317" s="189">
        <v>14453</v>
      </c>
      <c r="I317" s="189">
        <v>3748</v>
      </c>
      <c r="J317" s="189">
        <v>983</v>
      </c>
      <c r="K317" s="189" t="s">
        <v>29</v>
      </c>
      <c r="L317" s="189">
        <f t="shared" si="19"/>
        <v>68405</v>
      </c>
      <c r="N317" s="189" t="s">
        <v>29</v>
      </c>
      <c r="O317" s="189">
        <v>0</v>
      </c>
      <c r="P317" s="189">
        <v>0</v>
      </c>
      <c r="Q317" s="189">
        <v>0</v>
      </c>
      <c r="R317" s="189" t="s">
        <v>29</v>
      </c>
      <c r="S317" s="189">
        <f t="shared" si="20"/>
        <v>0</v>
      </c>
    </row>
    <row r="318" spans="1:19" x14ac:dyDescent="0.2">
      <c r="A318" s="371">
        <v>1981</v>
      </c>
      <c r="B318" s="189" t="s">
        <v>29</v>
      </c>
      <c r="C318" s="189" t="s">
        <v>29</v>
      </c>
      <c r="D318" s="189">
        <v>4325</v>
      </c>
      <c r="E318" s="189">
        <v>0</v>
      </c>
      <c r="F318" s="189">
        <v>8720</v>
      </c>
      <c r="G318" s="189">
        <v>44600</v>
      </c>
      <c r="H318" s="189">
        <v>13202</v>
      </c>
      <c r="I318" s="189">
        <v>11266</v>
      </c>
      <c r="J318" s="189">
        <v>1214</v>
      </c>
      <c r="K318" s="189" t="s">
        <v>29</v>
      </c>
      <c r="L318" s="189">
        <f t="shared" si="19"/>
        <v>83327</v>
      </c>
      <c r="N318" s="189" t="s">
        <v>29</v>
      </c>
      <c r="O318" s="189">
        <v>17874</v>
      </c>
      <c r="P318" s="189">
        <v>35594</v>
      </c>
      <c r="Q318" s="189" t="s">
        <v>29</v>
      </c>
      <c r="R318" s="189" t="s">
        <v>29</v>
      </c>
      <c r="S318" s="189">
        <f t="shared" si="20"/>
        <v>53468</v>
      </c>
    </row>
    <row r="319" spans="1:19" x14ac:dyDescent="0.2">
      <c r="A319" s="371">
        <v>1982</v>
      </c>
      <c r="B319" s="189" t="s">
        <v>29</v>
      </c>
      <c r="C319" s="189" t="s">
        <v>29</v>
      </c>
      <c r="D319" s="189">
        <v>2252</v>
      </c>
      <c r="E319" s="189">
        <v>539</v>
      </c>
      <c r="F319" s="189">
        <v>28553</v>
      </c>
      <c r="G319" s="189">
        <v>28979</v>
      </c>
      <c r="H319" s="189">
        <v>3698</v>
      </c>
      <c r="I319" s="189">
        <v>3204</v>
      </c>
      <c r="J319" s="189">
        <v>1385</v>
      </c>
      <c r="K319" s="189" t="s">
        <v>29</v>
      </c>
      <c r="L319" s="189">
        <f t="shared" si="19"/>
        <v>68610</v>
      </c>
      <c r="N319" s="189" t="s">
        <v>29</v>
      </c>
      <c r="O319" s="189">
        <v>20409</v>
      </c>
      <c r="P319" s="189" t="s">
        <v>29</v>
      </c>
      <c r="Q319" s="189" t="s">
        <v>29</v>
      </c>
      <c r="R319" s="189" t="s">
        <v>29</v>
      </c>
      <c r="S319" s="189">
        <f t="shared" si="20"/>
        <v>20409</v>
      </c>
    </row>
    <row r="320" spans="1:19" x14ac:dyDescent="0.2">
      <c r="A320" s="371">
        <v>1983</v>
      </c>
      <c r="B320" s="189" t="s">
        <v>29</v>
      </c>
      <c r="C320" s="189" t="s">
        <v>29</v>
      </c>
      <c r="D320" s="189">
        <v>1195</v>
      </c>
      <c r="E320" s="189">
        <v>8564</v>
      </c>
      <c r="F320" s="189">
        <v>8862</v>
      </c>
      <c r="G320" s="189">
        <v>1184</v>
      </c>
      <c r="H320" s="189">
        <v>307</v>
      </c>
      <c r="I320" s="189">
        <v>1744</v>
      </c>
      <c r="J320" s="189">
        <v>753</v>
      </c>
      <c r="K320" s="189" t="s">
        <v>29</v>
      </c>
      <c r="L320" s="189">
        <f t="shared" si="19"/>
        <v>22609</v>
      </c>
      <c r="N320" s="189" t="s">
        <v>29</v>
      </c>
      <c r="O320" s="189">
        <v>24025</v>
      </c>
      <c r="P320" s="189" t="s">
        <v>29</v>
      </c>
      <c r="Q320" s="189" t="s">
        <v>29</v>
      </c>
      <c r="R320" s="189" t="s">
        <v>29</v>
      </c>
      <c r="S320" s="189">
        <f t="shared" si="20"/>
        <v>24025</v>
      </c>
    </row>
    <row r="321" spans="1:19" x14ac:dyDescent="0.2">
      <c r="A321" s="371">
        <v>1984</v>
      </c>
      <c r="B321" s="189" t="s">
        <v>29</v>
      </c>
      <c r="C321" s="189" t="s">
        <v>29</v>
      </c>
      <c r="D321" s="189">
        <v>879</v>
      </c>
      <c r="E321" s="189">
        <v>46</v>
      </c>
      <c r="F321" s="189">
        <v>3254</v>
      </c>
      <c r="G321" s="189">
        <v>18629</v>
      </c>
      <c r="H321" s="189">
        <v>8</v>
      </c>
      <c r="I321" s="189">
        <v>871</v>
      </c>
      <c r="J321" s="189">
        <v>894</v>
      </c>
      <c r="K321" s="189" t="s">
        <v>29</v>
      </c>
      <c r="L321" s="189">
        <f t="shared" si="19"/>
        <v>24581</v>
      </c>
      <c r="N321" s="189" t="s">
        <v>29</v>
      </c>
      <c r="O321" s="189" t="s">
        <v>29</v>
      </c>
      <c r="P321" s="189" t="s">
        <v>29</v>
      </c>
      <c r="Q321" s="189" t="s">
        <v>29</v>
      </c>
      <c r="R321" s="189" t="s">
        <v>29</v>
      </c>
      <c r="S321" s="189" t="s">
        <v>29</v>
      </c>
    </row>
    <row r="322" spans="1:19" x14ac:dyDescent="0.2">
      <c r="A322" s="371">
        <v>1985</v>
      </c>
      <c r="B322" s="189" t="s">
        <v>29</v>
      </c>
      <c r="C322" s="189" t="s">
        <v>29</v>
      </c>
      <c r="D322" s="189">
        <v>259</v>
      </c>
      <c r="E322" s="189">
        <v>75</v>
      </c>
      <c r="F322" s="189">
        <v>2394</v>
      </c>
      <c r="G322" s="189">
        <v>7005</v>
      </c>
      <c r="H322" s="189">
        <v>2545</v>
      </c>
      <c r="I322" s="189">
        <v>388</v>
      </c>
      <c r="J322" s="189">
        <v>1320</v>
      </c>
      <c r="K322" s="189" t="s">
        <v>29</v>
      </c>
      <c r="L322" s="189">
        <f t="shared" si="19"/>
        <v>13986</v>
      </c>
      <c r="N322" s="189" t="s">
        <v>29</v>
      </c>
      <c r="O322" s="189">
        <v>1011</v>
      </c>
      <c r="P322" s="189" t="s">
        <v>29</v>
      </c>
      <c r="Q322" s="189" t="s">
        <v>29</v>
      </c>
      <c r="R322" s="189" t="s">
        <v>29</v>
      </c>
      <c r="S322" s="189">
        <f t="shared" si="20"/>
        <v>1011</v>
      </c>
    </row>
    <row r="323" spans="1:19" x14ac:dyDescent="0.2">
      <c r="A323" s="364">
        <v>1986</v>
      </c>
      <c r="B323" s="189" t="s">
        <v>29</v>
      </c>
      <c r="C323" s="189" t="s">
        <v>29</v>
      </c>
      <c r="D323" s="189">
        <v>3686</v>
      </c>
      <c r="E323" s="189">
        <v>16648</v>
      </c>
      <c r="F323" s="189">
        <v>9562</v>
      </c>
      <c r="G323" s="189">
        <v>22127</v>
      </c>
      <c r="H323" s="189" t="s">
        <v>29</v>
      </c>
      <c r="I323" s="189">
        <v>1045</v>
      </c>
      <c r="J323" s="189">
        <v>613</v>
      </c>
      <c r="K323" s="189" t="s">
        <v>29</v>
      </c>
      <c r="L323" s="189">
        <f t="shared" si="19"/>
        <v>53681</v>
      </c>
      <c r="N323" s="189">
        <v>12028</v>
      </c>
      <c r="O323" s="189">
        <v>7121</v>
      </c>
      <c r="P323" s="189" t="s">
        <v>29</v>
      </c>
      <c r="Q323" s="189" t="s">
        <v>29</v>
      </c>
      <c r="R323" s="189" t="s">
        <v>29</v>
      </c>
      <c r="S323" s="189">
        <f t="shared" si="20"/>
        <v>19149</v>
      </c>
    </row>
    <row r="324" spans="1:19" x14ac:dyDescent="0.2">
      <c r="A324" s="364">
        <v>1987</v>
      </c>
      <c r="B324" s="189" t="s">
        <v>29</v>
      </c>
      <c r="C324" s="189" t="s">
        <v>29</v>
      </c>
      <c r="D324" s="189">
        <v>8823</v>
      </c>
      <c r="E324" s="189">
        <v>28028</v>
      </c>
      <c r="F324" s="189" t="s">
        <v>29</v>
      </c>
      <c r="G324" s="189" t="s">
        <v>29</v>
      </c>
      <c r="H324" s="189" t="s">
        <v>29</v>
      </c>
      <c r="I324" s="189">
        <v>1070</v>
      </c>
      <c r="J324" s="189">
        <v>1916</v>
      </c>
      <c r="K324" s="189" t="s">
        <v>29</v>
      </c>
      <c r="L324" s="189">
        <f t="shared" si="19"/>
        <v>39837</v>
      </c>
      <c r="N324" s="189">
        <v>4095</v>
      </c>
      <c r="O324" s="189" t="s">
        <v>29</v>
      </c>
      <c r="P324" s="189" t="s">
        <v>29</v>
      </c>
      <c r="Q324" s="189" t="s">
        <v>29</v>
      </c>
      <c r="R324" s="189" t="s">
        <v>29</v>
      </c>
      <c r="S324" s="189">
        <f t="shared" si="20"/>
        <v>4095</v>
      </c>
    </row>
    <row r="325" spans="1:19" x14ac:dyDescent="0.2">
      <c r="A325" s="364">
        <v>1988</v>
      </c>
      <c r="B325" s="189" t="s">
        <v>29</v>
      </c>
      <c r="C325" s="189" t="s">
        <v>29</v>
      </c>
      <c r="D325" s="189">
        <v>8199</v>
      </c>
      <c r="E325" s="189">
        <v>20652</v>
      </c>
      <c r="F325" s="189" t="s">
        <v>29</v>
      </c>
      <c r="G325" s="189" t="s">
        <v>29</v>
      </c>
      <c r="H325" s="189">
        <v>112</v>
      </c>
      <c r="I325" s="189">
        <v>774</v>
      </c>
      <c r="J325" s="189">
        <v>1851</v>
      </c>
      <c r="K325" s="189" t="s">
        <v>29</v>
      </c>
      <c r="L325" s="189">
        <f t="shared" si="19"/>
        <v>31588</v>
      </c>
      <c r="N325" s="189">
        <v>1250</v>
      </c>
      <c r="O325" s="189" t="s">
        <v>29</v>
      </c>
      <c r="P325" s="189" t="s">
        <v>29</v>
      </c>
      <c r="Q325" s="189" t="s">
        <v>29</v>
      </c>
      <c r="R325" s="189" t="s">
        <v>29</v>
      </c>
      <c r="S325" s="189">
        <f t="shared" si="20"/>
        <v>1250</v>
      </c>
    </row>
    <row r="326" spans="1:19" x14ac:dyDescent="0.2">
      <c r="A326" s="364">
        <v>1989</v>
      </c>
      <c r="B326" s="189" t="s">
        <v>29</v>
      </c>
      <c r="C326" s="189" t="s">
        <v>29</v>
      </c>
      <c r="D326" s="189">
        <v>4643</v>
      </c>
      <c r="E326" s="189">
        <v>1878</v>
      </c>
      <c r="F326" s="189" t="s">
        <v>29</v>
      </c>
      <c r="G326" s="189">
        <v>1920</v>
      </c>
      <c r="H326" s="189">
        <v>8357</v>
      </c>
      <c r="I326" s="189" t="s">
        <v>29</v>
      </c>
      <c r="J326" s="189" t="s">
        <v>29</v>
      </c>
      <c r="K326" s="189" t="s">
        <v>29</v>
      </c>
      <c r="L326" s="189">
        <f t="shared" si="19"/>
        <v>16798</v>
      </c>
      <c r="N326" s="189">
        <v>1004</v>
      </c>
      <c r="O326" s="189" t="s">
        <v>29</v>
      </c>
      <c r="P326" s="189" t="s">
        <v>29</v>
      </c>
      <c r="Q326" s="189" t="s">
        <v>29</v>
      </c>
      <c r="R326" s="189" t="s">
        <v>29</v>
      </c>
      <c r="S326" s="189">
        <f t="shared" si="20"/>
        <v>1004</v>
      </c>
    </row>
    <row r="327" spans="1:19" x14ac:dyDescent="0.2">
      <c r="A327" s="364">
        <v>1990</v>
      </c>
      <c r="B327" s="189" t="s">
        <v>29</v>
      </c>
      <c r="C327" s="189" t="s">
        <v>29</v>
      </c>
      <c r="D327" s="189">
        <v>84</v>
      </c>
      <c r="E327" s="189" t="s">
        <v>29</v>
      </c>
      <c r="F327" s="189" t="s">
        <v>29</v>
      </c>
      <c r="G327" s="189">
        <v>2072</v>
      </c>
      <c r="H327" s="189">
        <v>63</v>
      </c>
      <c r="I327" s="189" t="s">
        <v>29</v>
      </c>
      <c r="J327" s="189" t="s">
        <v>29</v>
      </c>
      <c r="K327" s="189" t="s">
        <v>29</v>
      </c>
      <c r="L327" s="189">
        <f t="shared" si="19"/>
        <v>2219</v>
      </c>
      <c r="N327" s="189" t="s">
        <v>29</v>
      </c>
      <c r="O327" s="189" t="s">
        <v>29</v>
      </c>
      <c r="P327" s="189" t="s">
        <v>29</v>
      </c>
      <c r="Q327" s="189" t="s">
        <v>29</v>
      </c>
      <c r="R327" s="189" t="s">
        <v>29</v>
      </c>
      <c r="S327" s="189" t="s">
        <v>29</v>
      </c>
    </row>
    <row r="328" spans="1:19" x14ac:dyDescent="0.2">
      <c r="A328" s="364">
        <v>1991</v>
      </c>
      <c r="B328" s="189" t="s">
        <v>29</v>
      </c>
      <c r="C328" s="189" t="s">
        <v>29</v>
      </c>
      <c r="D328" s="189" t="s">
        <v>29</v>
      </c>
      <c r="E328" s="189" t="s">
        <v>29</v>
      </c>
      <c r="F328" s="189" t="s">
        <v>29</v>
      </c>
      <c r="G328" s="189" t="s">
        <v>29</v>
      </c>
      <c r="H328" s="189">
        <v>210</v>
      </c>
      <c r="I328" s="189" t="s">
        <v>29</v>
      </c>
      <c r="J328" s="189" t="s">
        <v>29</v>
      </c>
      <c r="K328" s="189" t="s">
        <v>29</v>
      </c>
      <c r="L328" s="189">
        <f t="shared" si="19"/>
        <v>210</v>
      </c>
      <c r="N328" s="189" t="s">
        <v>29</v>
      </c>
      <c r="O328" s="189" t="s">
        <v>29</v>
      </c>
      <c r="P328" s="189" t="s">
        <v>29</v>
      </c>
      <c r="Q328" s="189" t="s">
        <v>29</v>
      </c>
      <c r="R328" s="189" t="s">
        <v>29</v>
      </c>
      <c r="S328" s="189" t="s">
        <v>29</v>
      </c>
    </row>
    <row r="329" spans="1:19" x14ac:dyDescent="0.2">
      <c r="A329" s="364">
        <v>1992</v>
      </c>
      <c r="B329" s="189" t="s">
        <v>29</v>
      </c>
      <c r="C329" s="189" t="s">
        <v>29</v>
      </c>
      <c r="D329" s="189" t="s">
        <v>29</v>
      </c>
      <c r="E329" s="189" t="s">
        <v>29</v>
      </c>
      <c r="F329" s="189" t="s">
        <v>29</v>
      </c>
      <c r="G329" s="189" t="s">
        <v>29</v>
      </c>
      <c r="H329" s="189" t="s">
        <v>29</v>
      </c>
      <c r="I329" s="189" t="s">
        <v>29</v>
      </c>
      <c r="J329" s="189" t="s">
        <v>29</v>
      </c>
      <c r="K329" s="189" t="s">
        <v>29</v>
      </c>
      <c r="L329" s="189" t="s">
        <v>29</v>
      </c>
      <c r="N329" s="189" t="s">
        <v>29</v>
      </c>
      <c r="O329" s="189" t="s">
        <v>29</v>
      </c>
      <c r="P329" s="189" t="s">
        <v>29</v>
      </c>
      <c r="Q329" s="189" t="s">
        <v>29</v>
      </c>
      <c r="R329" s="189" t="s">
        <v>29</v>
      </c>
      <c r="S329" s="189" t="s">
        <v>29</v>
      </c>
    </row>
    <row r="330" spans="1:19" x14ac:dyDescent="0.2">
      <c r="A330" s="364">
        <v>1993</v>
      </c>
      <c r="B330" s="189" t="s">
        <v>29</v>
      </c>
      <c r="C330" s="189" t="s">
        <v>29</v>
      </c>
      <c r="D330" s="189" t="s">
        <v>29</v>
      </c>
      <c r="E330" s="189" t="s">
        <v>29</v>
      </c>
      <c r="F330" s="189" t="s">
        <v>29</v>
      </c>
      <c r="G330" s="189" t="s">
        <v>29</v>
      </c>
      <c r="H330" s="189" t="s">
        <v>29</v>
      </c>
      <c r="I330" s="189" t="s">
        <v>29</v>
      </c>
      <c r="J330" s="189" t="s">
        <v>29</v>
      </c>
      <c r="K330" s="189" t="s">
        <v>29</v>
      </c>
      <c r="L330" s="189" t="s">
        <v>29</v>
      </c>
      <c r="N330" s="189" t="s">
        <v>29</v>
      </c>
      <c r="O330" s="189" t="s">
        <v>29</v>
      </c>
      <c r="P330" s="189" t="s">
        <v>29</v>
      </c>
      <c r="Q330" s="189" t="s">
        <v>29</v>
      </c>
      <c r="R330" s="189" t="s">
        <v>29</v>
      </c>
      <c r="S330" s="189" t="s">
        <v>29</v>
      </c>
    </row>
    <row r="331" spans="1:19" x14ac:dyDescent="0.2">
      <c r="A331" s="364">
        <v>1994</v>
      </c>
      <c r="B331" s="189" t="s">
        <v>29</v>
      </c>
      <c r="C331" s="189" t="s">
        <v>29</v>
      </c>
      <c r="D331" s="189">
        <v>224</v>
      </c>
      <c r="E331" s="189" t="s">
        <v>29</v>
      </c>
      <c r="F331" s="189" t="s">
        <v>29</v>
      </c>
      <c r="G331" s="189">
        <v>234</v>
      </c>
      <c r="H331" s="189" t="s">
        <v>29</v>
      </c>
      <c r="I331" s="189">
        <v>1043</v>
      </c>
      <c r="J331" s="189" t="s">
        <v>29</v>
      </c>
      <c r="K331" s="189" t="s">
        <v>29</v>
      </c>
      <c r="L331" s="189">
        <f t="shared" si="19"/>
        <v>1501</v>
      </c>
      <c r="N331" s="189" t="s">
        <v>29</v>
      </c>
      <c r="O331" s="189" t="s">
        <v>29</v>
      </c>
      <c r="P331" s="189" t="s">
        <v>29</v>
      </c>
      <c r="Q331" s="189" t="s">
        <v>29</v>
      </c>
      <c r="R331" s="189" t="s">
        <v>29</v>
      </c>
      <c r="S331" s="189" t="s">
        <v>29</v>
      </c>
    </row>
    <row r="332" spans="1:19" x14ac:dyDescent="0.2">
      <c r="A332" s="364">
        <v>1995</v>
      </c>
      <c r="B332" s="189" t="s">
        <v>29</v>
      </c>
      <c r="C332" s="189" t="s">
        <v>29</v>
      </c>
      <c r="D332" s="189">
        <v>305</v>
      </c>
      <c r="E332" s="189" t="s">
        <v>29</v>
      </c>
      <c r="F332" s="189">
        <v>1682</v>
      </c>
      <c r="G332" s="189" t="s">
        <v>29</v>
      </c>
      <c r="H332" s="189" t="s">
        <v>29</v>
      </c>
      <c r="I332" s="189">
        <v>1338</v>
      </c>
      <c r="J332" s="189" t="s">
        <v>29</v>
      </c>
      <c r="K332" s="189" t="s">
        <v>29</v>
      </c>
      <c r="L332" s="189">
        <f t="shared" si="19"/>
        <v>3325</v>
      </c>
      <c r="N332" s="189" t="s">
        <v>29</v>
      </c>
      <c r="O332" s="189" t="s">
        <v>29</v>
      </c>
      <c r="P332" s="189" t="s">
        <v>29</v>
      </c>
      <c r="Q332" s="189" t="s">
        <v>29</v>
      </c>
      <c r="R332" s="189" t="s">
        <v>29</v>
      </c>
      <c r="S332" s="189" t="s">
        <v>29</v>
      </c>
    </row>
    <row r="333" spans="1:19" x14ac:dyDescent="0.2">
      <c r="A333" s="364">
        <v>1996</v>
      </c>
      <c r="B333" s="189" t="s">
        <v>29</v>
      </c>
      <c r="C333" s="189" t="s">
        <v>29</v>
      </c>
      <c r="D333" s="189">
        <v>2876</v>
      </c>
      <c r="E333" s="189">
        <v>2233</v>
      </c>
      <c r="F333" s="189" t="s">
        <v>29</v>
      </c>
      <c r="G333" s="189">
        <v>2667</v>
      </c>
      <c r="H333" s="189" t="s">
        <v>29</v>
      </c>
      <c r="I333" s="189">
        <v>788</v>
      </c>
      <c r="J333" s="189" t="s">
        <v>29</v>
      </c>
      <c r="K333" s="189" t="s">
        <v>29</v>
      </c>
      <c r="L333" s="189">
        <f t="shared" si="19"/>
        <v>8564</v>
      </c>
      <c r="N333" s="189" t="s">
        <v>29</v>
      </c>
      <c r="O333" s="189" t="s">
        <v>29</v>
      </c>
      <c r="P333" s="189" t="s">
        <v>29</v>
      </c>
      <c r="Q333" s="189" t="s">
        <v>29</v>
      </c>
      <c r="R333" s="189" t="s">
        <v>29</v>
      </c>
      <c r="S333" s="189" t="s">
        <v>29</v>
      </c>
    </row>
    <row r="334" spans="1:19" x14ac:dyDescent="0.2">
      <c r="A334" s="364">
        <v>1997</v>
      </c>
      <c r="B334" s="189" t="s">
        <v>29</v>
      </c>
      <c r="C334" s="189">
        <v>101</v>
      </c>
      <c r="D334" s="189">
        <v>2348</v>
      </c>
      <c r="E334" s="189" t="s">
        <v>29</v>
      </c>
      <c r="F334" s="189" t="s">
        <v>29</v>
      </c>
      <c r="G334" s="189">
        <v>255</v>
      </c>
      <c r="H334" s="189" t="s">
        <v>29</v>
      </c>
      <c r="I334" s="189">
        <v>869</v>
      </c>
      <c r="J334" s="189" t="s">
        <v>29</v>
      </c>
      <c r="K334" s="189" t="s">
        <v>29</v>
      </c>
      <c r="L334" s="189">
        <f t="shared" si="19"/>
        <v>3573</v>
      </c>
      <c r="N334" s="189" t="s">
        <v>29</v>
      </c>
      <c r="O334" s="189" t="s">
        <v>29</v>
      </c>
      <c r="P334" s="189" t="s">
        <v>29</v>
      </c>
      <c r="Q334" s="189" t="s">
        <v>29</v>
      </c>
      <c r="R334" s="189" t="s">
        <v>29</v>
      </c>
      <c r="S334" s="189" t="s">
        <v>29</v>
      </c>
    </row>
    <row r="335" spans="1:19" x14ac:dyDescent="0.2">
      <c r="A335" s="364">
        <v>1998</v>
      </c>
      <c r="B335" s="189" t="s">
        <v>29</v>
      </c>
      <c r="C335" s="189">
        <v>0</v>
      </c>
      <c r="D335" s="189">
        <v>69</v>
      </c>
      <c r="E335" s="189" t="s">
        <v>29</v>
      </c>
      <c r="F335" s="189" t="s">
        <v>29</v>
      </c>
      <c r="G335" s="189">
        <v>75</v>
      </c>
      <c r="H335" s="189" t="s">
        <v>29</v>
      </c>
      <c r="I335" s="189">
        <v>599</v>
      </c>
      <c r="J335" s="189" t="s">
        <v>29</v>
      </c>
      <c r="K335" s="189" t="s">
        <v>29</v>
      </c>
      <c r="L335" s="189">
        <f t="shared" si="19"/>
        <v>743</v>
      </c>
      <c r="N335" s="189" t="s">
        <v>29</v>
      </c>
      <c r="O335" s="189" t="s">
        <v>29</v>
      </c>
      <c r="P335" s="189" t="s">
        <v>29</v>
      </c>
      <c r="Q335" s="189" t="s">
        <v>29</v>
      </c>
      <c r="R335" s="189" t="s">
        <v>29</v>
      </c>
      <c r="S335" s="189" t="s">
        <v>29</v>
      </c>
    </row>
    <row r="336" spans="1:19" x14ac:dyDescent="0.2">
      <c r="A336" s="364">
        <v>1999</v>
      </c>
      <c r="B336" s="189" t="s">
        <v>29</v>
      </c>
      <c r="C336" s="189" t="s">
        <v>29</v>
      </c>
      <c r="D336" s="189">
        <v>4</v>
      </c>
      <c r="E336" s="189" t="s">
        <v>29</v>
      </c>
      <c r="F336" s="189" t="s">
        <v>29</v>
      </c>
      <c r="G336" s="189">
        <v>844</v>
      </c>
      <c r="H336" s="189">
        <v>150</v>
      </c>
      <c r="I336" s="189">
        <v>364</v>
      </c>
      <c r="J336" s="189" t="s">
        <v>29</v>
      </c>
      <c r="K336" s="189" t="s">
        <v>29</v>
      </c>
      <c r="L336" s="189">
        <f t="shared" si="19"/>
        <v>1362</v>
      </c>
      <c r="N336" s="189" t="s">
        <v>29</v>
      </c>
      <c r="O336" s="189" t="s">
        <v>29</v>
      </c>
      <c r="P336" s="189" t="s">
        <v>29</v>
      </c>
      <c r="Q336" s="189" t="s">
        <v>29</v>
      </c>
      <c r="R336" s="189" t="s">
        <v>29</v>
      </c>
      <c r="S336" s="189" t="s">
        <v>29</v>
      </c>
    </row>
    <row r="337" spans="1:19" x14ac:dyDescent="0.2">
      <c r="A337" s="364">
        <v>2000</v>
      </c>
      <c r="B337" s="189" t="s">
        <v>29</v>
      </c>
      <c r="C337" s="189" t="s">
        <v>29</v>
      </c>
      <c r="D337" s="189">
        <v>21</v>
      </c>
      <c r="E337" s="189" t="s">
        <v>29</v>
      </c>
      <c r="F337" s="189" t="s">
        <v>29</v>
      </c>
      <c r="G337" s="189">
        <v>1405</v>
      </c>
      <c r="H337" s="189">
        <v>1179</v>
      </c>
      <c r="I337" s="189">
        <v>861</v>
      </c>
      <c r="J337" s="189" t="s">
        <v>29</v>
      </c>
      <c r="K337" s="189" t="s">
        <v>29</v>
      </c>
      <c r="L337" s="189">
        <f t="shared" si="19"/>
        <v>3466</v>
      </c>
      <c r="N337" s="189" t="s">
        <v>29</v>
      </c>
      <c r="O337" s="189" t="s">
        <v>29</v>
      </c>
      <c r="P337" s="189" t="s">
        <v>29</v>
      </c>
      <c r="Q337" s="189" t="s">
        <v>29</v>
      </c>
      <c r="R337" s="189" t="s">
        <v>29</v>
      </c>
      <c r="S337" s="189" t="s">
        <v>29</v>
      </c>
    </row>
    <row r="338" spans="1:19" x14ac:dyDescent="0.2">
      <c r="A338" s="364">
        <v>2001</v>
      </c>
      <c r="B338" s="189" t="s">
        <v>29</v>
      </c>
      <c r="C338" s="189" t="s">
        <v>29</v>
      </c>
      <c r="D338" s="189">
        <v>233</v>
      </c>
      <c r="E338" s="189">
        <v>362</v>
      </c>
      <c r="F338" s="189" t="s">
        <v>29</v>
      </c>
      <c r="G338" s="189">
        <v>1290</v>
      </c>
      <c r="H338" s="189">
        <v>986</v>
      </c>
      <c r="I338" s="189">
        <v>728</v>
      </c>
      <c r="J338" s="189" t="s">
        <v>29</v>
      </c>
      <c r="K338" s="189" t="s">
        <v>29</v>
      </c>
      <c r="L338" s="189">
        <f t="shared" si="19"/>
        <v>3599</v>
      </c>
      <c r="N338" s="189" t="s">
        <v>29</v>
      </c>
      <c r="O338" s="189" t="s">
        <v>29</v>
      </c>
      <c r="P338" s="189" t="s">
        <v>29</v>
      </c>
      <c r="Q338" s="189" t="s">
        <v>29</v>
      </c>
      <c r="R338" s="189" t="s">
        <v>29</v>
      </c>
      <c r="S338" s="189" t="s">
        <v>29</v>
      </c>
    </row>
    <row r="339" spans="1:19" x14ac:dyDescent="0.2">
      <c r="A339" s="364">
        <v>2002</v>
      </c>
      <c r="B339" s="189">
        <v>5</v>
      </c>
      <c r="C339" s="189">
        <v>103</v>
      </c>
      <c r="D339" s="189">
        <v>118</v>
      </c>
      <c r="E339" s="189">
        <v>952</v>
      </c>
      <c r="F339" s="189">
        <v>1457</v>
      </c>
      <c r="G339" s="189">
        <v>1326</v>
      </c>
      <c r="H339" s="189">
        <v>2305</v>
      </c>
      <c r="I339" s="189">
        <v>537</v>
      </c>
      <c r="J339" s="189" t="s">
        <v>29</v>
      </c>
      <c r="K339" s="189" t="s">
        <v>29</v>
      </c>
      <c r="L339" s="189">
        <f t="shared" si="19"/>
        <v>6803</v>
      </c>
      <c r="N339" s="189" t="s">
        <v>29</v>
      </c>
      <c r="O339" s="189" t="s">
        <v>29</v>
      </c>
      <c r="P339" s="189" t="s">
        <v>29</v>
      </c>
      <c r="Q339" s="189" t="s">
        <v>29</v>
      </c>
      <c r="R339" s="189" t="s">
        <v>29</v>
      </c>
      <c r="S339" s="189" t="s">
        <v>29</v>
      </c>
    </row>
    <row r="340" spans="1:19" x14ac:dyDescent="0.2">
      <c r="A340" s="118">
        <v>2003</v>
      </c>
      <c r="B340" s="320">
        <v>0</v>
      </c>
      <c r="C340" s="321">
        <v>110</v>
      </c>
      <c r="D340" s="321">
        <v>575</v>
      </c>
      <c r="E340" s="321">
        <v>484</v>
      </c>
      <c r="F340" s="321">
        <v>1082</v>
      </c>
      <c r="G340" s="321">
        <v>1108</v>
      </c>
      <c r="H340" s="321">
        <v>1119</v>
      </c>
      <c r="I340" s="321">
        <v>591</v>
      </c>
      <c r="J340" s="321">
        <v>3</v>
      </c>
      <c r="K340" s="189" t="s">
        <v>29</v>
      </c>
      <c r="L340" s="189">
        <f t="shared" si="19"/>
        <v>5072</v>
      </c>
      <c r="N340" s="189" t="s">
        <v>29</v>
      </c>
      <c r="O340" s="189" t="s">
        <v>29</v>
      </c>
      <c r="P340" s="189" t="s">
        <v>29</v>
      </c>
      <c r="Q340" s="189" t="s">
        <v>29</v>
      </c>
      <c r="R340" s="189" t="s">
        <v>29</v>
      </c>
      <c r="S340" s="189" t="s">
        <v>29</v>
      </c>
    </row>
    <row r="341" spans="1:19" x14ac:dyDescent="0.2">
      <c r="A341" s="118">
        <v>2004</v>
      </c>
      <c r="B341" s="321">
        <v>6</v>
      </c>
      <c r="C341" s="321">
        <v>32</v>
      </c>
      <c r="D341" s="321">
        <v>774</v>
      </c>
      <c r="E341" s="321">
        <v>2825</v>
      </c>
      <c r="F341" s="321">
        <v>2305</v>
      </c>
      <c r="G341" s="321">
        <v>2011</v>
      </c>
      <c r="H341" s="321">
        <v>271</v>
      </c>
      <c r="I341" s="321">
        <v>220</v>
      </c>
      <c r="J341" s="321">
        <v>40</v>
      </c>
      <c r="K341" s="189" t="s">
        <v>29</v>
      </c>
      <c r="L341" s="189">
        <f t="shared" si="19"/>
        <v>8484</v>
      </c>
      <c r="N341" s="189" t="s">
        <v>29</v>
      </c>
      <c r="O341" s="189" t="s">
        <v>29</v>
      </c>
      <c r="P341" s="189" t="s">
        <v>29</v>
      </c>
      <c r="Q341" s="189" t="s">
        <v>29</v>
      </c>
      <c r="R341" s="189" t="s">
        <v>29</v>
      </c>
      <c r="S341" s="189" t="s">
        <v>29</v>
      </c>
    </row>
    <row r="342" spans="1:19" x14ac:dyDescent="0.2">
      <c r="A342" s="118">
        <v>2005</v>
      </c>
      <c r="B342" s="321">
        <v>87</v>
      </c>
      <c r="C342" s="321">
        <v>6</v>
      </c>
      <c r="D342" s="189" t="s">
        <v>29</v>
      </c>
      <c r="E342" s="189" t="s">
        <v>29</v>
      </c>
      <c r="F342" s="189" t="s">
        <v>29</v>
      </c>
      <c r="G342" s="189" t="s">
        <v>29</v>
      </c>
      <c r="H342" s="321">
        <v>1376</v>
      </c>
      <c r="I342" s="321">
        <v>641</v>
      </c>
      <c r="J342" s="321">
        <v>156</v>
      </c>
      <c r="K342" s="189" t="s">
        <v>29</v>
      </c>
      <c r="L342" s="189">
        <f>SUM(B342:K342)</f>
        <v>2266</v>
      </c>
      <c r="N342" s="189" t="s">
        <v>29</v>
      </c>
      <c r="O342" s="189" t="s">
        <v>29</v>
      </c>
      <c r="P342" s="189" t="s">
        <v>29</v>
      </c>
      <c r="Q342" s="189" t="s">
        <v>29</v>
      </c>
      <c r="R342" s="189" t="s">
        <v>29</v>
      </c>
      <c r="S342" s="189" t="s">
        <v>29</v>
      </c>
    </row>
    <row r="343" spans="1:19" x14ac:dyDescent="0.2">
      <c r="A343" s="118">
        <v>2006</v>
      </c>
      <c r="B343" s="204" t="s">
        <v>29</v>
      </c>
      <c r="C343" s="204" t="s">
        <v>29</v>
      </c>
      <c r="D343" s="204" t="s">
        <v>29</v>
      </c>
      <c r="E343" s="204" t="s">
        <v>29</v>
      </c>
      <c r="F343" s="204" t="s">
        <v>29</v>
      </c>
      <c r="G343" s="204" t="s">
        <v>29</v>
      </c>
      <c r="H343" s="322">
        <v>12</v>
      </c>
      <c r="I343" s="322">
        <v>590</v>
      </c>
      <c r="J343" s="322">
        <v>136</v>
      </c>
      <c r="K343" s="204" t="s">
        <v>29</v>
      </c>
      <c r="L343" s="189">
        <f>SUM(B343:K343)</f>
        <v>738</v>
      </c>
      <c r="N343" s="189" t="s">
        <v>29</v>
      </c>
      <c r="O343" s="189" t="s">
        <v>29</v>
      </c>
      <c r="P343" s="189" t="s">
        <v>29</v>
      </c>
      <c r="Q343" s="189" t="s">
        <v>29</v>
      </c>
      <c r="R343" s="189" t="s">
        <v>29</v>
      </c>
      <c r="S343" s="189" t="s">
        <v>29</v>
      </c>
    </row>
    <row r="344" spans="1:19" s="366" customFormat="1" x14ac:dyDescent="0.2">
      <c r="A344" s="118">
        <v>2007</v>
      </c>
      <c r="B344" s="180" t="s">
        <v>29</v>
      </c>
      <c r="C344" s="180">
        <v>15</v>
      </c>
      <c r="D344" s="180">
        <v>25</v>
      </c>
      <c r="E344" s="180">
        <v>727</v>
      </c>
      <c r="F344" s="180">
        <v>1150</v>
      </c>
      <c r="G344" s="180">
        <v>1524</v>
      </c>
      <c r="H344" s="323">
        <v>400</v>
      </c>
      <c r="I344" s="323">
        <v>209</v>
      </c>
      <c r="J344" s="323">
        <v>47</v>
      </c>
      <c r="K344" s="180" t="s">
        <v>29</v>
      </c>
      <c r="L344" s="187">
        <f>SUM(B344:K344)</f>
        <v>4097</v>
      </c>
      <c r="M344" s="187"/>
      <c r="N344" s="187" t="s">
        <v>29</v>
      </c>
      <c r="O344" s="187" t="s">
        <v>29</v>
      </c>
      <c r="P344" s="187" t="s">
        <v>29</v>
      </c>
      <c r="Q344" s="187" t="s">
        <v>29</v>
      </c>
      <c r="R344" s="187" t="s">
        <v>29</v>
      </c>
      <c r="S344" s="187" t="s">
        <v>29</v>
      </c>
    </row>
    <row r="345" spans="1:19" s="366" customFormat="1" x14ac:dyDescent="0.2">
      <c r="A345" s="118">
        <v>2008</v>
      </c>
      <c r="B345" s="180" t="s">
        <v>29</v>
      </c>
      <c r="C345" s="180" t="s">
        <v>29</v>
      </c>
      <c r="D345" s="180" t="s">
        <v>29</v>
      </c>
      <c r="E345" s="180" t="s">
        <v>29</v>
      </c>
      <c r="F345" s="180" t="s">
        <v>29</v>
      </c>
      <c r="G345" s="180" t="s">
        <v>29</v>
      </c>
      <c r="H345" s="180" t="s">
        <v>29</v>
      </c>
      <c r="I345" s="180">
        <v>236</v>
      </c>
      <c r="J345" s="180" t="s">
        <v>29</v>
      </c>
      <c r="K345" s="180" t="s">
        <v>29</v>
      </c>
      <c r="L345" s="187">
        <f>SUM(B345:K345)</f>
        <v>236</v>
      </c>
      <c r="M345" s="187"/>
      <c r="N345" s="187" t="s">
        <v>29</v>
      </c>
      <c r="O345" s="187" t="s">
        <v>29</v>
      </c>
      <c r="P345" s="187" t="s">
        <v>29</v>
      </c>
      <c r="Q345" s="187" t="s">
        <v>29</v>
      </c>
      <c r="R345" s="187" t="s">
        <v>29</v>
      </c>
      <c r="S345" s="187" t="s">
        <v>29</v>
      </c>
    </row>
    <row r="346" spans="1:19" s="366" customFormat="1" x14ac:dyDescent="0.2">
      <c r="A346" s="118">
        <v>2009</v>
      </c>
      <c r="B346" s="180" t="s">
        <v>29</v>
      </c>
      <c r="C346" s="180" t="s">
        <v>29</v>
      </c>
      <c r="D346" s="180" t="s">
        <v>29</v>
      </c>
      <c r="E346" s="180" t="s">
        <v>29</v>
      </c>
      <c r="F346" s="180" t="s">
        <v>29</v>
      </c>
      <c r="G346" s="180" t="s">
        <v>29</v>
      </c>
      <c r="H346" s="180" t="s">
        <v>29</v>
      </c>
      <c r="I346" s="180" t="s">
        <v>29</v>
      </c>
      <c r="J346" s="180" t="s">
        <v>29</v>
      </c>
      <c r="K346" s="180" t="s">
        <v>29</v>
      </c>
      <c r="L346" s="187" t="s">
        <v>29</v>
      </c>
      <c r="M346" s="187"/>
      <c r="N346" s="187" t="s">
        <v>29</v>
      </c>
      <c r="O346" s="187" t="s">
        <v>29</v>
      </c>
      <c r="P346" s="187" t="s">
        <v>29</v>
      </c>
      <c r="Q346" s="187" t="s">
        <v>29</v>
      </c>
      <c r="R346" s="187" t="s">
        <v>29</v>
      </c>
      <c r="S346" s="187" t="s">
        <v>29</v>
      </c>
    </row>
    <row r="347" spans="1:19" s="366" customFormat="1" x14ac:dyDescent="0.2">
      <c r="A347" s="118">
        <v>2010</v>
      </c>
      <c r="B347" s="180" t="s">
        <v>29</v>
      </c>
      <c r="C347" s="180" t="s">
        <v>29</v>
      </c>
      <c r="D347" s="180">
        <v>164</v>
      </c>
      <c r="E347" s="180" t="s">
        <v>29</v>
      </c>
      <c r="F347" s="180">
        <f>23+19+4+5</f>
        <v>51</v>
      </c>
      <c r="G347" s="180">
        <v>125</v>
      </c>
      <c r="H347" s="180" t="s">
        <v>29</v>
      </c>
      <c r="I347" s="180">
        <f>421+108</f>
        <v>529</v>
      </c>
      <c r="J347" s="180" t="s">
        <v>29</v>
      </c>
      <c r="K347" s="180" t="s">
        <v>29</v>
      </c>
      <c r="L347" s="187">
        <f t="shared" ref="L347:L357" si="21">SUM(B347:K347)</f>
        <v>869</v>
      </c>
      <c r="M347" s="187"/>
      <c r="N347" s="187" t="s">
        <v>29</v>
      </c>
      <c r="O347" s="187" t="s">
        <v>29</v>
      </c>
      <c r="P347" s="187" t="s">
        <v>29</v>
      </c>
      <c r="Q347" s="187" t="s">
        <v>29</v>
      </c>
      <c r="R347" s="187" t="s">
        <v>29</v>
      </c>
      <c r="S347" s="187" t="s">
        <v>29</v>
      </c>
    </row>
    <row r="348" spans="1:19" s="366" customFormat="1" x14ac:dyDescent="0.2">
      <c r="A348" s="118">
        <v>2011</v>
      </c>
      <c r="B348" s="180" t="s">
        <v>29</v>
      </c>
      <c r="C348" s="180" t="s">
        <v>29</v>
      </c>
      <c r="D348" s="180">
        <v>601</v>
      </c>
      <c r="E348" s="180">
        <v>254</v>
      </c>
      <c r="F348" s="180">
        <v>27</v>
      </c>
      <c r="G348" s="180">
        <v>337</v>
      </c>
      <c r="H348" s="180" t="s">
        <v>29</v>
      </c>
      <c r="I348" s="180">
        <v>107</v>
      </c>
      <c r="J348" s="180" t="s">
        <v>29</v>
      </c>
      <c r="K348" s="180" t="s">
        <v>29</v>
      </c>
      <c r="L348" s="187">
        <f t="shared" si="21"/>
        <v>1326</v>
      </c>
      <c r="M348" s="187"/>
      <c r="N348" s="187" t="s">
        <v>29</v>
      </c>
      <c r="O348" s="187" t="s">
        <v>29</v>
      </c>
      <c r="P348" s="187" t="s">
        <v>29</v>
      </c>
      <c r="Q348" s="187" t="s">
        <v>29</v>
      </c>
      <c r="R348" s="187" t="s">
        <v>29</v>
      </c>
      <c r="S348" s="187" t="s">
        <v>29</v>
      </c>
    </row>
    <row r="349" spans="1:19" s="366" customFormat="1" x14ac:dyDescent="0.2">
      <c r="A349" s="118">
        <v>2012</v>
      </c>
      <c r="B349" s="180" t="s">
        <v>29</v>
      </c>
      <c r="C349" s="181" t="s">
        <v>261</v>
      </c>
      <c r="D349" s="180">
        <v>371</v>
      </c>
      <c r="E349" s="180">
        <v>1287</v>
      </c>
      <c r="F349" s="180">
        <v>1456</v>
      </c>
      <c r="G349" s="180">
        <v>1328</v>
      </c>
      <c r="H349" s="180">
        <v>884</v>
      </c>
      <c r="I349" s="180">
        <v>118</v>
      </c>
      <c r="J349" s="180" t="s">
        <v>29</v>
      </c>
      <c r="K349" s="180" t="s">
        <v>29</v>
      </c>
      <c r="L349" s="187">
        <f t="shared" si="21"/>
        <v>5444</v>
      </c>
      <c r="M349" s="187"/>
      <c r="N349" s="187" t="s">
        <v>29</v>
      </c>
      <c r="O349" s="187" t="s">
        <v>29</v>
      </c>
      <c r="P349" s="187" t="s">
        <v>29</v>
      </c>
      <c r="Q349" s="187" t="s">
        <v>29</v>
      </c>
      <c r="R349" s="187" t="s">
        <v>29</v>
      </c>
      <c r="S349" s="187" t="s">
        <v>29</v>
      </c>
    </row>
    <row r="350" spans="1:19" s="366" customFormat="1" x14ac:dyDescent="0.2">
      <c r="A350" s="118">
        <v>2013</v>
      </c>
      <c r="B350" s="180" t="s">
        <v>29</v>
      </c>
      <c r="C350" s="180">
        <v>50</v>
      </c>
      <c r="D350" s="180">
        <v>7</v>
      </c>
      <c r="E350" s="180">
        <v>1450</v>
      </c>
      <c r="F350" s="180">
        <v>3171</v>
      </c>
      <c r="G350" s="180">
        <v>1848</v>
      </c>
      <c r="H350" s="180">
        <v>135</v>
      </c>
      <c r="I350" s="180">
        <v>155</v>
      </c>
      <c r="J350" s="180" t="s">
        <v>29</v>
      </c>
      <c r="K350" s="180" t="s">
        <v>29</v>
      </c>
      <c r="L350" s="187">
        <f t="shared" si="21"/>
        <v>6816</v>
      </c>
      <c r="M350" s="187"/>
      <c r="N350" s="187" t="s">
        <v>29</v>
      </c>
      <c r="O350" s="187" t="s">
        <v>29</v>
      </c>
      <c r="P350" s="187" t="s">
        <v>29</v>
      </c>
      <c r="Q350" s="187" t="s">
        <v>29</v>
      </c>
      <c r="R350" s="187" t="s">
        <v>29</v>
      </c>
      <c r="S350" s="187" t="s">
        <v>29</v>
      </c>
    </row>
    <row r="351" spans="1:19" s="366" customFormat="1" x14ac:dyDescent="0.2">
      <c r="A351" s="118">
        <v>2014</v>
      </c>
      <c r="B351" s="180" t="s">
        <v>29</v>
      </c>
      <c r="C351" s="180">
        <v>53</v>
      </c>
      <c r="D351" s="180">
        <v>13352</v>
      </c>
      <c r="E351" s="180">
        <v>1349</v>
      </c>
      <c r="F351" s="180">
        <v>492</v>
      </c>
      <c r="G351" s="180">
        <v>403</v>
      </c>
      <c r="H351" s="180">
        <v>54</v>
      </c>
      <c r="I351" s="180">
        <v>443</v>
      </c>
      <c r="J351" s="180" t="s">
        <v>29</v>
      </c>
      <c r="K351" s="180" t="s">
        <v>29</v>
      </c>
      <c r="L351" s="187">
        <f t="shared" si="21"/>
        <v>16146</v>
      </c>
      <c r="M351" s="187"/>
      <c r="N351" s="187" t="s">
        <v>29</v>
      </c>
      <c r="O351" s="187" t="s">
        <v>29</v>
      </c>
      <c r="P351" s="187" t="s">
        <v>29</v>
      </c>
      <c r="Q351" s="187" t="s">
        <v>29</v>
      </c>
      <c r="R351" s="187" t="s">
        <v>29</v>
      </c>
      <c r="S351" s="187" t="s">
        <v>29</v>
      </c>
    </row>
    <row r="352" spans="1:19" s="366" customFormat="1" x14ac:dyDescent="0.2">
      <c r="A352" s="118">
        <v>2015</v>
      </c>
      <c r="B352" s="180" t="s">
        <v>29</v>
      </c>
      <c r="C352" s="180">
        <v>39</v>
      </c>
      <c r="D352" s="180">
        <v>1146</v>
      </c>
      <c r="E352" s="180">
        <v>1528</v>
      </c>
      <c r="F352" s="180">
        <v>779</v>
      </c>
      <c r="G352" s="180">
        <v>92</v>
      </c>
      <c r="H352" s="180" t="s">
        <v>29</v>
      </c>
      <c r="I352" s="180">
        <v>639</v>
      </c>
      <c r="J352" s="180" t="s">
        <v>29</v>
      </c>
      <c r="K352" s="180" t="s">
        <v>29</v>
      </c>
      <c r="L352" s="187">
        <f t="shared" si="21"/>
        <v>4223</v>
      </c>
      <c r="M352" s="187"/>
      <c r="N352" s="187" t="s">
        <v>29</v>
      </c>
      <c r="O352" s="187" t="s">
        <v>29</v>
      </c>
      <c r="P352" s="187" t="s">
        <v>29</v>
      </c>
      <c r="Q352" s="187" t="s">
        <v>29</v>
      </c>
      <c r="R352" s="187" t="s">
        <v>29</v>
      </c>
      <c r="S352" s="187" t="s">
        <v>29</v>
      </c>
    </row>
    <row r="353" spans="1:19" s="366" customFormat="1" x14ac:dyDescent="0.2">
      <c r="A353" s="118">
        <v>2016</v>
      </c>
      <c r="B353" s="180" t="s">
        <v>29</v>
      </c>
      <c r="C353" s="180">
        <v>12</v>
      </c>
      <c r="D353" s="180">
        <v>34</v>
      </c>
      <c r="E353" s="180">
        <v>179</v>
      </c>
      <c r="F353" s="180">
        <v>21</v>
      </c>
      <c r="G353" s="180" t="s">
        <v>29</v>
      </c>
      <c r="H353" s="180" t="s">
        <v>29</v>
      </c>
      <c r="I353" s="180">
        <v>152</v>
      </c>
      <c r="J353" s="180" t="s">
        <v>29</v>
      </c>
      <c r="K353" s="180" t="s">
        <v>29</v>
      </c>
      <c r="L353" s="187">
        <f t="shared" si="21"/>
        <v>398</v>
      </c>
      <c r="M353" s="187"/>
      <c r="N353" s="187" t="s">
        <v>29</v>
      </c>
      <c r="O353" s="187" t="s">
        <v>29</v>
      </c>
      <c r="P353" s="187" t="s">
        <v>29</v>
      </c>
      <c r="Q353" s="187" t="s">
        <v>29</v>
      </c>
      <c r="R353" s="187" t="s">
        <v>29</v>
      </c>
      <c r="S353" s="187" t="s">
        <v>29</v>
      </c>
    </row>
    <row r="354" spans="1:19" s="366" customFormat="1" x14ac:dyDescent="0.2">
      <c r="A354" s="118">
        <v>2017</v>
      </c>
      <c r="B354" s="180" t="s">
        <v>29</v>
      </c>
      <c r="C354" s="180" t="s">
        <v>29</v>
      </c>
      <c r="D354" s="180" t="s">
        <v>29</v>
      </c>
      <c r="E354" s="180" t="s">
        <v>29</v>
      </c>
      <c r="F354" s="180" t="s">
        <v>29</v>
      </c>
      <c r="G354" s="180" t="s">
        <v>29</v>
      </c>
      <c r="H354" s="180" t="s">
        <v>29</v>
      </c>
      <c r="I354" s="180">
        <v>329</v>
      </c>
      <c r="J354" s="180" t="s">
        <v>29</v>
      </c>
      <c r="K354" s="180" t="s">
        <v>29</v>
      </c>
      <c r="L354" s="187">
        <f t="shared" si="21"/>
        <v>329</v>
      </c>
      <c r="M354" s="187"/>
      <c r="N354" s="187" t="s">
        <v>29</v>
      </c>
      <c r="O354" s="187" t="s">
        <v>29</v>
      </c>
      <c r="P354" s="187" t="s">
        <v>29</v>
      </c>
      <c r="Q354" s="187" t="s">
        <v>29</v>
      </c>
      <c r="R354" s="187" t="s">
        <v>29</v>
      </c>
      <c r="S354" s="187" t="s">
        <v>29</v>
      </c>
    </row>
    <row r="355" spans="1:19" s="366" customFormat="1" x14ac:dyDescent="0.2">
      <c r="A355" s="118">
        <v>2018</v>
      </c>
      <c r="B355" s="180" t="s">
        <v>29</v>
      </c>
      <c r="C355" s="180" t="s">
        <v>29</v>
      </c>
      <c r="D355" s="180">
        <v>272</v>
      </c>
      <c r="E355" s="180">
        <v>1529</v>
      </c>
      <c r="F355" s="180">
        <v>1168</v>
      </c>
      <c r="G355" s="180">
        <v>614</v>
      </c>
      <c r="H355" s="180" t="s">
        <v>29</v>
      </c>
      <c r="I355" s="180">
        <v>316</v>
      </c>
      <c r="J355" s="180" t="s">
        <v>29</v>
      </c>
      <c r="K355" s="180" t="s">
        <v>29</v>
      </c>
      <c r="L355" s="187">
        <f>SUM(B355:K355)</f>
        <v>3899</v>
      </c>
      <c r="M355" s="187"/>
      <c r="N355" s="187" t="s">
        <v>29</v>
      </c>
      <c r="O355" s="187" t="s">
        <v>29</v>
      </c>
      <c r="P355" s="187" t="s">
        <v>29</v>
      </c>
      <c r="Q355" s="187" t="s">
        <v>29</v>
      </c>
      <c r="R355" s="187" t="s">
        <v>29</v>
      </c>
      <c r="S355" s="187" t="s">
        <v>29</v>
      </c>
    </row>
    <row r="356" spans="1:19" s="489" customFormat="1" x14ac:dyDescent="0.2">
      <c r="A356" s="118">
        <v>2019</v>
      </c>
      <c r="B356" s="180" t="s">
        <v>29</v>
      </c>
      <c r="C356" s="180">
        <v>12</v>
      </c>
      <c r="D356" s="180">
        <v>16</v>
      </c>
      <c r="E356" s="180">
        <v>62</v>
      </c>
      <c r="F356" s="180">
        <v>470</v>
      </c>
      <c r="G356" s="180">
        <v>1312</v>
      </c>
      <c r="H356" s="180" t="s">
        <v>29</v>
      </c>
      <c r="I356" s="180" t="s">
        <v>29</v>
      </c>
      <c r="J356" s="180" t="s">
        <v>29</v>
      </c>
      <c r="K356" s="180" t="s">
        <v>29</v>
      </c>
      <c r="L356" s="187">
        <f t="shared" ref="L356" si="22">SUM(B356:K356)</f>
        <v>1872</v>
      </c>
      <c r="M356" s="187"/>
      <c r="N356" s="187" t="s">
        <v>29</v>
      </c>
      <c r="O356" s="187" t="s">
        <v>29</v>
      </c>
      <c r="P356" s="187" t="s">
        <v>29</v>
      </c>
      <c r="Q356" s="187" t="s">
        <v>29</v>
      </c>
      <c r="R356" s="187" t="s">
        <v>29</v>
      </c>
      <c r="S356" s="187" t="s">
        <v>29</v>
      </c>
    </row>
    <row r="357" spans="1:19" x14ac:dyDescent="0.2">
      <c r="A357" s="124" t="s">
        <v>393</v>
      </c>
      <c r="B357" s="180" t="s">
        <v>29</v>
      </c>
      <c r="C357" s="180">
        <v>1</v>
      </c>
      <c r="D357" s="180">
        <v>5</v>
      </c>
      <c r="E357" s="180">
        <v>168</v>
      </c>
      <c r="F357" s="180">
        <v>651</v>
      </c>
      <c r="G357" s="180" t="s">
        <v>29</v>
      </c>
      <c r="H357" s="180" t="s">
        <v>29</v>
      </c>
      <c r="I357" s="180" t="s">
        <v>29</v>
      </c>
      <c r="J357" s="180" t="s">
        <v>29</v>
      </c>
      <c r="K357" s="180" t="s">
        <v>29</v>
      </c>
      <c r="L357" s="187">
        <f t="shared" si="21"/>
        <v>825</v>
      </c>
      <c r="M357" s="187"/>
      <c r="N357" s="187" t="s">
        <v>29</v>
      </c>
      <c r="O357" s="187" t="s">
        <v>29</v>
      </c>
      <c r="P357" s="187" t="s">
        <v>29</v>
      </c>
      <c r="Q357" s="187" t="s">
        <v>29</v>
      </c>
      <c r="R357" s="187" t="s">
        <v>29</v>
      </c>
      <c r="S357" s="187" t="s">
        <v>29</v>
      </c>
    </row>
    <row r="359" spans="1:19" x14ac:dyDescent="0.2">
      <c r="A359" s="113" t="s">
        <v>50</v>
      </c>
    </row>
    <row r="360" spans="1:19" x14ac:dyDescent="0.2">
      <c r="A360" s="371">
        <v>1952</v>
      </c>
      <c r="B360" s="189">
        <f t="shared" ref="B360:L360" si="23">IF(AND(B289="-",B218="-",B147="-",B76="-"),"-",SUM(B289,B218,B147,B76))</f>
        <v>0</v>
      </c>
      <c r="C360" s="189">
        <f t="shared" si="23"/>
        <v>0</v>
      </c>
      <c r="D360" s="189">
        <f t="shared" si="23"/>
        <v>418</v>
      </c>
      <c r="E360" s="189">
        <f t="shared" si="23"/>
        <v>26554</v>
      </c>
      <c r="F360" s="189">
        <f t="shared" si="23"/>
        <v>52754</v>
      </c>
      <c r="G360" s="189">
        <f t="shared" si="23"/>
        <v>64657</v>
      </c>
      <c r="H360" s="189">
        <f t="shared" si="23"/>
        <v>25615</v>
      </c>
      <c r="I360" s="189">
        <f t="shared" si="23"/>
        <v>4784</v>
      </c>
      <c r="J360" s="189" t="str">
        <f t="shared" si="23"/>
        <v>-</v>
      </c>
      <c r="K360" s="189" t="str">
        <f t="shared" si="23"/>
        <v>-</v>
      </c>
      <c r="L360" s="189">
        <f t="shared" si="23"/>
        <v>174782</v>
      </c>
      <c r="N360" s="189">
        <f t="shared" ref="N360:S369" si="24">IF(AND(N289="-",N218="-",N147="-",N76="-"),"-",SUM(N289,N218,N147,N76))</f>
        <v>19053</v>
      </c>
      <c r="O360" s="189">
        <f t="shared" si="24"/>
        <v>126107</v>
      </c>
      <c r="P360" s="189">
        <f t="shared" si="24"/>
        <v>110322</v>
      </c>
      <c r="Q360" s="189">
        <f t="shared" si="24"/>
        <v>25835</v>
      </c>
      <c r="R360" s="189">
        <f t="shared" si="24"/>
        <v>2662</v>
      </c>
      <c r="S360" s="189">
        <f t="shared" si="24"/>
        <v>283979</v>
      </c>
    </row>
    <row r="361" spans="1:19" x14ac:dyDescent="0.2">
      <c r="A361" s="371">
        <v>1953</v>
      </c>
      <c r="B361" s="189">
        <f t="shared" ref="B361:L361" si="25">IF(AND(B290="-",B219="-",B148="-",B77="-"),"-",SUM(B290,B219,B148,B77))</f>
        <v>13</v>
      </c>
      <c r="C361" s="189">
        <f t="shared" si="25"/>
        <v>135</v>
      </c>
      <c r="D361" s="189">
        <f t="shared" si="25"/>
        <v>175</v>
      </c>
      <c r="E361" s="189">
        <f t="shared" si="25"/>
        <v>4709</v>
      </c>
      <c r="F361" s="189">
        <f t="shared" si="25"/>
        <v>28543</v>
      </c>
      <c r="G361" s="189">
        <f t="shared" si="25"/>
        <v>55977</v>
      </c>
      <c r="H361" s="189">
        <f t="shared" si="25"/>
        <v>18831</v>
      </c>
      <c r="I361" s="189">
        <f t="shared" si="25"/>
        <v>127</v>
      </c>
      <c r="J361" s="189" t="str">
        <f t="shared" si="25"/>
        <v>-</v>
      </c>
      <c r="K361" s="189" t="str">
        <f t="shared" si="25"/>
        <v>-</v>
      </c>
      <c r="L361" s="189">
        <f t="shared" si="25"/>
        <v>108510</v>
      </c>
      <c r="N361" s="189">
        <f t="shared" si="24"/>
        <v>15858</v>
      </c>
      <c r="O361" s="189">
        <f t="shared" si="24"/>
        <v>94309</v>
      </c>
      <c r="P361" s="189">
        <f t="shared" si="24"/>
        <v>92689</v>
      </c>
      <c r="Q361" s="189">
        <f t="shared" si="24"/>
        <v>22107</v>
      </c>
      <c r="R361" s="189">
        <f t="shared" si="24"/>
        <v>1155</v>
      </c>
      <c r="S361" s="189">
        <f t="shared" si="24"/>
        <v>226118</v>
      </c>
    </row>
    <row r="362" spans="1:19" x14ac:dyDescent="0.2">
      <c r="A362" s="371">
        <v>1954</v>
      </c>
      <c r="B362" s="189">
        <f t="shared" ref="B362:L362" si="26">IF(AND(B291="-",B220="-",B149="-",B78="-"),"-",SUM(B291,B220,B149,B78))</f>
        <v>62</v>
      </c>
      <c r="C362" s="189">
        <f t="shared" si="26"/>
        <v>29</v>
      </c>
      <c r="D362" s="189">
        <f t="shared" si="26"/>
        <v>3009</v>
      </c>
      <c r="E362" s="189">
        <f t="shared" si="26"/>
        <v>18247</v>
      </c>
      <c r="F362" s="189">
        <f t="shared" si="26"/>
        <v>43929</v>
      </c>
      <c r="G362" s="189">
        <f t="shared" si="26"/>
        <v>60960</v>
      </c>
      <c r="H362" s="189">
        <f t="shared" si="26"/>
        <v>24089</v>
      </c>
      <c r="I362" s="189">
        <f t="shared" si="26"/>
        <v>1886</v>
      </c>
      <c r="J362" s="189" t="str">
        <f t="shared" si="26"/>
        <v>-</v>
      </c>
      <c r="K362" s="189" t="str">
        <f t="shared" si="26"/>
        <v>-</v>
      </c>
      <c r="L362" s="189">
        <f t="shared" si="26"/>
        <v>152211</v>
      </c>
      <c r="N362" s="189">
        <f t="shared" si="24"/>
        <v>20729</v>
      </c>
      <c r="O362" s="189">
        <f t="shared" si="24"/>
        <v>89765</v>
      </c>
      <c r="P362" s="189">
        <f t="shared" si="24"/>
        <v>56268</v>
      </c>
      <c r="Q362" s="189">
        <f t="shared" si="24"/>
        <v>32968</v>
      </c>
      <c r="R362" s="189">
        <f t="shared" si="24"/>
        <v>776</v>
      </c>
      <c r="S362" s="189">
        <f t="shared" si="24"/>
        <v>200506</v>
      </c>
    </row>
    <row r="363" spans="1:19" x14ac:dyDescent="0.2">
      <c r="A363" s="371">
        <v>1955</v>
      </c>
      <c r="B363" s="189">
        <f t="shared" ref="B363:L363" si="27">IF(AND(B292="-",B221="-",B150="-",B79="-"),"-",SUM(B292,B221,B150,B79))</f>
        <v>65</v>
      </c>
      <c r="C363" s="189">
        <f t="shared" si="27"/>
        <v>1007</v>
      </c>
      <c r="D363" s="189">
        <f t="shared" si="27"/>
        <v>34646</v>
      </c>
      <c r="E363" s="189">
        <f t="shared" si="27"/>
        <v>50997</v>
      </c>
      <c r="F363" s="189">
        <f t="shared" si="27"/>
        <v>35715</v>
      </c>
      <c r="G363" s="189">
        <f t="shared" si="27"/>
        <v>91931</v>
      </c>
      <c r="H363" s="189">
        <f t="shared" si="27"/>
        <v>48540</v>
      </c>
      <c r="I363" s="189">
        <f t="shared" si="27"/>
        <v>1872</v>
      </c>
      <c r="J363" s="189" t="str">
        <f t="shared" si="27"/>
        <v>-</v>
      </c>
      <c r="K363" s="189" t="str">
        <f t="shared" si="27"/>
        <v>-</v>
      </c>
      <c r="L363" s="189">
        <f t="shared" si="27"/>
        <v>264773</v>
      </c>
      <c r="N363" s="189">
        <f t="shared" si="24"/>
        <v>18313</v>
      </c>
      <c r="O363" s="189">
        <f t="shared" si="24"/>
        <v>76534</v>
      </c>
      <c r="P363" s="189">
        <f t="shared" si="24"/>
        <v>90675</v>
      </c>
      <c r="Q363" s="189">
        <f t="shared" si="24"/>
        <v>23594</v>
      </c>
      <c r="R363" s="189">
        <f t="shared" si="24"/>
        <v>1748</v>
      </c>
      <c r="S363" s="189">
        <f t="shared" si="24"/>
        <v>210864</v>
      </c>
    </row>
    <row r="364" spans="1:19" x14ac:dyDescent="0.2">
      <c r="A364" s="371">
        <v>1956</v>
      </c>
      <c r="B364" s="189" t="str">
        <f t="shared" ref="B364:L364" si="28">IF(AND(B293="-",B222="-",B151="-",B80="-"),"-",SUM(B293,B222,B151,B80))</f>
        <v>-</v>
      </c>
      <c r="C364" s="189">
        <f t="shared" si="28"/>
        <v>1004</v>
      </c>
      <c r="D364" s="189">
        <f t="shared" si="28"/>
        <v>9776</v>
      </c>
      <c r="E364" s="189">
        <f t="shared" si="28"/>
        <v>40546</v>
      </c>
      <c r="F364" s="189">
        <f t="shared" si="28"/>
        <v>71770</v>
      </c>
      <c r="G364" s="189">
        <f t="shared" si="28"/>
        <v>150817</v>
      </c>
      <c r="H364" s="189">
        <f t="shared" si="28"/>
        <v>26396</v>
      </c>
      <c r="I364" s="189">
        <f t="shared" si="28"/>
        <v>4562</v>
      </c>
      <c r="J364" s="189" t="str">
        <f t="shared" si="28"/>
        <v>-</v>
      </c>
      <c r="K364" s="189" t="str">
        <f t="shared" si="28"/>
        <v>-</v>
      </c>
      <c r="L364" s="189">
        <f t="shared" si="28"/>
        <v>304871</v>
      </c>
      <c r="N364" s="189">
        <f t="shared" si="24"/>
        <v>34136</v>
      </c>
      <c r="O364" s="189">
        <f t="shared" si="24"/>
        <v>174102</v>
      </c>
      <c r="P364" s="189">
        <f t="shared" si="24"/>
        <v>136539</v>
      </c>
      <c r="Q364" s="189">
        <f t="shared" si="24"/>
        <v>27269</v>
      </c>
      <c r="R364" s="189">
        <f t="shared" si="24"/>
        <v>3676</v>
      </c>
      <c r="S364" s="189">
        <f t="shared" si="24"/>
        <v>375722</v>
      </c>
    </row>
    <row r="365" spans="1:19" x14ac:dyDescent="0.2">
      <c r="A365" s="371">
        <v>1957</v>
      </c>
      <c r="B365" s="189" t="str">
        <f t="shared" ref="B365:L365" si="29">IF(AND(B294="-",B223="-",B152="-",B81="-"),"-",SUM(B294,B223,B152,B81))</f>
        <v>-</v>
      </c>
      <c r="C365" s="189">
        <f t="shared" si="29"/>
        <v>332</v>
      </c>
      <c r="D365" s="189">
        <f t="shared" si="29"/>
        <v>13279</v>
      </c>
      <c r="E365" s="189">
        <f t="shared" si="29"/>
        <v>50967</v>
      </c>
      <c r="F365" s="189">
        <f t="shared" si="29"/>
        <v>71740</v>
      </c>
      <c r="G365" s="189">
        <f t="shared" si="29"/>
        <v>74667</v>
      </c>
      <c r="H365" s="189">
        <f t="shared" si="29"/>
        <v>28971</v>
      </c>
      <c r="I365" s="189">
        <f t="shared" si="29"/>
        <v>146</v>
      </c>
      <c r="J365" s="189" t="str">
        <f t="shared" si="29"/>
        <v>-</v>
      </c>
      <c r="K365" s="189" t="str">
        <f t="shared" si="29"/>
        <v>-</v>
      </c>
      <c r="L365" s="189">
        <f t="shared" si="29"/>
        <v>240102</v>
      </c>
      <c r="N365" s="189">
        <f t="shared" si="24"/>
        <v>107257</v>
      </c>
      <c r="O365" s="189">
        <f t="shared" si="24"/>
        <v>185697</v>
      </c>
      <c r="P365" s="189">
        <f t="shared" si="24"/>
        <v>127909</v>
      </c>
      <c r="Q365" s="189">
        <f t="shared" si="24"/>
        <v>67621</v>
      </c>
      <c r="R365" s="189">
        <f t="shared" si="24"/>
        <v>5133</v>
      </c>
      <c r="S365" s="189">
        <f t="shared" si="24"/>
        <v>493617</v>
      </c>
    </row>
    <row r="366" spans="1:19" x14ac:dyDescent="0.2">
      <c r="A366" s="371">
        <v>1958</v>
      </c>
      <c r="B366" s="189" t="str">
        <f t="shared" ref="B366:L366" si="30">IF(AND(B295="-",B224="-",B153="-",B82="-"),"-",SUM(B295,B224,B153,B82))</f>
        <v>-</v>
      </c>
      <c r="C366" s="189">
        <f t="shared" si="30"/>
        <v>794</v>
      </c>
      <c r="D366" s="189">
        <f t="shared" si="30"/>
        <v>13963</v>
      </c>
      <c r="E366" s="189">
        <f t="shared" si="30"/>
        <v>61575</v>
      </c>
      <c r="F366" s="189">
        <f t="shared" si="30"/>
        <v>50904</v>
      </c>
      <c r="G366" s="189">
        <f t="shared" si="30"/>
        <v>26532</v>
      </c>
      <c r="H366" s="189">
        <f t="shared" si="30"/>
        <v>10608</v>
      </c>
      <c r="I366" s="189">
        <f t="shared" si="30"/>
        <v>2539</v>
      </c>
      <c r="J366" s="189" t="str">
        <f t="shared" si="30"/>
        <v>-</v>
      </c>
      <c r="K366" s="189" t="str">
        <f t="shared" si="30"/>
        <v>-</v>
      </c>
      <c r="L366" s="189">
        <f t="shared" si="30"/>
        <v>166915</v>
      </c>
      <c r="N366" s="189">
        <f t="shared" si="24"/>
        <v>52413</v>
      </c>
      <c r="O366" s="189">
        <f t="shared" si="24"/>
        <v>63734</v>
      </c>
      <c r="P366" s="189">
        <f t="shared" si="24"/>
        <v>26957</v>
      </c>
      <c r="Q366" s="189">
        <f t="shared" si="24"/>
        <v>21382</v>
      </c>
      <c r="R366" s="189">
        <f t="shared" si="24"/>
        <v>1701</v>
      </c>
      <c r="S366" s="189">
        <f t="shared" si="24"/>
        <v>166187</v>
      </c>
    </row>
    <row r="367" spans="1:19" x14ac:dyDescent="0.2">
      <c r="A367" s="371">
        <v>1959</v>
      </c>
      <c r="B367" s="189" t="str">
        <f t="shared" ref="B367:L367" si="31">IF(AND(B296="-",B225="-",B154="-",B83="-"),"-",SUM(B296,B225,B154,B83))</f>
        <v>-</v>
      </c>
      <c r="C367" s="189">
        <f t="shared" si="31"/>
        <v>754</v>
      </c>
      <c r="D367" s="189">
        <f t="shared" si="31"/>
        <v>4228</v>
      </c>
      <c r="E367" s="189">
        <f t="shared" si="31"/>
        <v>16231</v>
      </c>
      <c r="F367" s="189">
        <f t="shared" si="31"/>
        <v>9050</v>
      </c>
      <c r="G367" s="189">
        <f t="shared" si="31"/>
        <v>11459</v>
      </c>
      <c r="H367" s="189">
        <f t="shared" si="31"/>
        <v>3423</v>
      </c>
      <c r="I367" s="189">
        <f t="shared" si="31"/>
        <v>541</v>
      </c>
      <c r="J367" s="189" t="str">
        <f t="shared" si="31"/>
        <v>-</v>
      </c>
      <c r="K367" s="189" t="str">
        <f t="shared" si="31"/>
        <v>-</v>
      </c>
      <c r="L367" s="189">
        <f t="shared" si="31"/>
        <v>45686</v>
      </c>
      <c r="N367" s="189">
        <f t="shared" si="24"/>
        <v>27341</v>
      </c>
      <c r="O367" s="189">
        <f t="shared" si="24"/>
        <v>45355</v>
      </c>
      <c r="P367" s="189">
        <f t="shared" si="24"/>
        <v>44171</v>
      </c>
      <c r="Q367" s="189">
        <f t="shared" si="24"/>
        <v>11578</v>
      </c>
      <c r="R367" s="189">
        <f t="shared" si="24"/>
        <v>5022</v>
      </c>
      <c r="S367" s="189">
        <f t="shared" si="24"/>
        <v>133467</v>
      </c>
    </row>
    <row r="368" spans="1:19" x14ac:dyDescent="0.2">
      <c r="A368" s="371">
        <v>1960</v>
      </c>
      <c r="B368" s="189" t="str">
        <f t="shared" ref="B368:L368" si="32">IF(AND(B297="-",B226="-",B155="-",B84="-"),"-",SUM(B297,B226,B155,B84))</f>
        <v>-</v>
      </c>
      <c r="C368" s="189">
        <f t="shared" si="32"/>
        <v>1239</v>
      </c>
      <c r="D368" s="189">
        <f t="shared" si="32"/>
        <v>16864</v>
      </c>
      <c r="E368" s="189">
        <f t="shared" si="32"/>
        <v>11483</v>
      </c>
      <c r="F368" s="189">
        <f t="shared" si="32"/>
        <v>24996</v>
      </c>
      <c r="G368" s="189">
        <f t="shared" si="32"/>
        <v>46966</v>
      </c>
      <c r="H368" s="189">
        <f t="shared" si="32"/>
        <v>14330</v>
      </c>
      <c r="I368" s="189">
        <f t="shared" si="32"/>
        <v>3369</v>
      </c>
      <c r="J368" s="189" t="str">
        <f t="shared" si="32"/>
        <v>-</v>
      </c>
      <c r="K368" s="189" t="str">
        <f t="shared" si="32"/>
        <v>-</v>
      </c>
      <c r="L368" s="189">
        <f t="shared" si="32"/>
        <v>119247</v>
      </c>
      <c r="N368" s="189">
        <f t="shared" si="24"/>
        <v>3786</v>
      </c>
      <c r="O368" s="189">
        <f t="shared" si="24"/>
        <v>26850</v>
      </c>
      <c r="P368" s="189">
        <f t="shared" si="24"/>
        <v>45507</v>
      </c>
      <c r="Q368" s="189">
        <f t="shared" si="24"/>
        <v>5763</v>
      </c>
      <c r="R368" s="189">
        <f t="shared" si="24"/>
        <v>739</v>
      </c>
      <c r="S368" s="189">
        <f t="shared" si="24"/>
        <v>82645</v>
      </c>
    </row>
    <row r="369" spans="1:19" x14ac:dyDescent="0.2">
      <c r="A369" s="371">
        <v>1961</v>
      </c>
      <c r="B369" s="189" t="str">
        <f t="shared" ref="B369:L369" si="33">IF(AND(B298="-",B227="-",B156="-",B85="-"),"-",SUM(B298,B227,B156,B85))</f>
        <v>-</v>
      </c>
      <c r="C369" s="189">
        <f t="shared" si="33"/>
        <v>942</v>
      </c>
      <c r="D369" s="189">
        <f t="shared" si="33"/>
        <v>4249</v>
      </c>
      <c r="E369" s="189">
        <f t="shared" si="33"/>
        <v>17264</v>
      </c>
      <c r="F369" s="189">
        <f t="shared" si="33"/>
        <v>41811</v>
      </c>
      <c r="G369" s="189">
        <f t="shared" si="33"/>
        <v>26518</v>
      </c>
      <c r="H369" s="189">
        <f t="shared" si="33"/>
        <v>13002</v>
      </c>
      <c r="I369" s="189">
        <f t="shared" si="33"/>
        <v>2844</v>
      </c>
      <c r="J369" s="189" t="str">
        <f t="shared" si="33"/>
        <v>-</v>
      </c>
      <c r="K369" s="189" t="str">
        <f t="shared" si="33"/>
        <v>-</v>
      </c>
      <c r="L369" s="189">
        <f t="shared" si="33"/>
        <v>106630</v>
      </c>
      <c r="N369" s="189">
        <f t="shared" si="24"/>
        <v>49923</v>
      </c>
      <c r="O369" s="189">
        <f t="shared" si="24"/>
        <v>125612</v>
      </c>
      <c r="P369" s="189">
        <f t="shared" si="24"/>
        <v>75365</v>
      </c>
      <c r="Q369" s="189">
        <f t="shared" si="24"/>
        <v>14134</v>
      </c>
      <c r="R369" s="189">
        <f t="shared" si="24"/>
        <v>2047</v>
      </c>
      <c r="S369" s="189">
        <f t="shared" si="24"/>
        <v>267081</v>
      </c>
    </row>
    <row r="370" spans="1:19" x14ac:dyDescent="0.2">
      <c r="A370" s="371">
        <v>1962</v>
      </c>
      <c r="B370" s="189" t="str">
        <f t="shared" ref="B370:L370" si="34">IF(AND(B299="-",B228="-",B157="-",B86="-"),"-",SUM(B299,B228,B157,B86))</f>
        <v>-</v>
      </c>
      <c r="C370" s="189">
        <f t="shared" si="34"/>
        <v>630</v>
      </c>
      <c r="D370" s="189">
        <f t="shared" si="34"/>
        <v>1846</v>
      </c>
      <c r="E370" s="189">
        <f t="shared" si="34"/>
        <v>6962</v>
      </c>
      <c r="F370" s="189">
        <f t="shared" si="34"/>
        <v>12720</v>
      </c>
      <c r="G370" s="189">
        <f t="shared" si="34"/>
        <v>17243</v>
      </c>
      <c r="H370" s="189">
        <f t="shared" si="34"/>
        <v>6173</v>
      </c>
      <c r="I370" s="189">
        <f t="shared" si="34"/>
        <v>419</v>
      </c>
      <c r="J370" s="189" t="str">
        <f t="shared" si="34"/>
        <v>-</v>
      </c>
      <c r="K370" s="189" t="str">
        <f t="shared" si="34"/>
        <v>-</v>
      </c>
      <c r="L370" s="189">
        <f t="shared" si="34"/>
        <v>45993</v>
      </c>
      <c r="N370" s="189">
        <f t="shared" ref="N370:S379" si="35">IF(AND(N299="-",N228="-",N157="-",N86="-"),"-",SUM(N299,N228,N157,N86))</f>
        <v>15239</v>
      </c>
      <c r="O370" s="189">
        <f t="shared" si="35"/>
        <v>101622</v>
      </c>
      <c r="P370" s="189">
        <f t="shared" si="35"/>
        <v>98392</v>
      </c>
      <c r="Q370" s="189">
        <f t="shared" si="35"/>
        <v>17010</v>
      </c>
      <c r="R370" s="189">
        <f t="shared" si="35"/>
        <v>2847</v>
      </c>
      <c r="S370" s="189">
        <f t="shared" si="35"/>
        <v>235110</v>
      </c>
    </row>
    <row r="371" spans="1:19" x14ac:dyDescent="0.2">
      <c r="A371" s="371">
        <v>1963</v>
      </c>
      <c r="B371" s="189" t="str">
        <f t="shared" ref="B371:L371" si="36">IF(AND(B300="-",B229="-",B158="-",B87="-"),"-",SUM(B300,B229,B158,B87))</f>
        <v>-</v>
      </c>
      <c r="C371" s="189">
        <f t="shared" si="36"/>
        <v>67</v>
      </c>
      <c r="D371" s="189">
        <f t="shared" si="36"/>
        <v>2884</v>
      </c>
      <c r="E371" s="189">
        <f t="shared" si="36"/>
        <v>24004</v>
      </c>
      <c r="F371" s="189">
        <f t="shared" si="36"/>
        <v>66777</v>
      </c>
      <c r="G371" s="189">
        <f t="shared" si="36"/>
        <v>38155</v>
      </c>
      <c r="H371" s="189">
        <f t="shared" si="36"/>
        <v>4205</v>
      </c>
      <c r="I371" s="189">
        <f t="shared" si="36"/>
        <v>636</v>
      </c>
      <c r="J371" s="189" t="str">
        <f t="shared" si="36"/>
        <v>-</v>
      </c>
      <c r="K371" s="189" t="str">
        <f t="shared" si="36"/>
        <v>-</v>
      </c>
      <c r="L371" s="189">
        <f t="shared" si="36"/>
        <v>136728</v>
      </c>
      <c r="N371" s="189">
        <f t="shared" si="35"/>
        <v>57480</v>
      </c>
      <c r="O371" s="189">
        <f t="shared" si="35"/>
        <v>185186</v>
      </c>
      <c r="P371" s="189">
        <f t="shared" si="35"/>
        <v>120605</v>
      </c>
      <c r="Q371" s="189">
        <f t="shared" si="35"/>
        <v>16733</v>
      </c>
      <c r="R371" s="189">
        <f t="shared" si="35"/>
        <v>976</v>
      </c>
      <c r="S371" s="189">
        <f t="shared" si="35"/>
        <v>380980</v>
      </c>
    </row>
    <row r="372" spans="1:19" x14ac:dyDescent="0.2">
      <c r="A372" s="371">
        <v>1964</v>
      </c>
      <c r="B372" s="189" t="str">
        <f t="shared" ref="B372:L372" si="37">IF(AND(B301="-",B230="-",B159="-",B88="-"),"-",SUM(B301,B230,B159,B88))</f>
        <v>-</v>
      </c>
      <c r="C372" s="189">
        <f t="shared" si="37"/>
        <v>331</v>
      </c>
      <c r="D372" s="189">
        <f t="shared" si="37"/>
        <v>1959</v>
      </c>
      <c r="E372" s="189">
        <f t="shared" si="37"/>
        <v>6210</v>
      </c>
      <c r="F372" s="189">
        <f t="shared" si="37"/>
        <v>16407</v>
      </c>
      <c r="G372" s="189">
        <f t="shared" si="37"/>
        <v>25245</v>
      </c>
      <c r="H372" s="189">
        <f t="shared" si="37"/>
        <v>4390</v>
      </c>
      <c r="I372" s="189">
        <f t="shared" si="37"/>
        <v>1338</v>
      </c>
      <c r="J372" s="189" t="str">
        <f t="shared" si="37"/>
        <v>-</v>
      </c>
      <c r="K372" s="189" t="str">
        <f t="shared" si="37"/>
        <v>-</v>
      </c>
      <c r="L372" s="189">
        <f t="shared" si="37"/>
        <v>55880</v>
      </c>
      <c r="N372" s="189">
        <f t="shared" si="35"/>
        <v>52330</v>
      </c>
      <c r="O372" s="189">
        <f t="shared" si="35"/>
        <v>148545</v>
      </c>
      <c r="P372" s="189">
        <f t="shared" si="35"/>
        <v>225215</v>
      </c>
      <c r="Q372" s="189">
        <f t="shared" si="35"/>
        <v>44853</v>
      </c>
      <c r="R372" s="189">
        <f t="shared" si="35"/>
        <v>2278</v>
      </c>
      <c r="S372" s="189">
        <f t="shared" si="35"/>
        <v>473221</v>
      </c>
    </row>
    <row r="373" spans="1:19" x14ac:dyDescent="0.2">
      <c r="A373" s="371">
        <v>1965</v>
      </c>
      <c r="B373" s="189" t="str">
        <f t="shared" ref="B373:L373" si="38">IF(AND(B302="-",B231="-",B160="-",B89="-"),"-",SUM(B302,B231,B160,B89))</f>
        <v>-</v>
      </c>
      <c r="C373" s="189">
        <f t="shared" si="38"/>
        <v>93</v>
      </c>
      <c r="D373" s="189">
        <f t="shared" si="38"/>
        <v>3204</v>
      </c>
      <c r="E373" s="189">
        <f t="shared" si="38"/>
        <v>9629</v>
      </c>
      <c r="F373" s="189">
        <f t="shared" si="38"/>
        <v>15404</v>
      </c>
      <c r="G373" s="189">
        <f t="shared" si="38"/>
        <v>13286</v>
      </c>
      <c r="H373" s="189">
        <f t="shared" si="38"/>
        <v>10066</v>
      </c>
      <c r="I373" s="189">
        <f t="shared" si="38"/>
        <v>1110</v>
      </c>
      <c r="J373" s="189" t="str">
        <f t="shared" si="38"/>
        <v>-</v>
      </c>
      <c r="K373" s="189" t="str">
        <f t="shared" si="38"/>
        <v>-</v>
      </c>
      <c r="L373" s="189">
        <f t="shared" si="38"/>
        <v>52792</v>
      </c>
      <c r="N373" s="189">
        <f t="shared" si="35"/>
        <v>33222</v>
      </c>
      <c r="O373" s="189">
        <f t="shared" si="35"/>
        <v>306427</v>
      </c>
      <c r="P373" s="189">
        <f t="shared" si="35"/>
        <v>149119</v>
      </c>
      <c r="Q373" s="189">
        <f t="shared" si="35"/>
        <v>20814</v>
      </c>
      <c r="R373" s="189">
        <f t="shared" si="35"/>
        <v>1000</v>
      </c>
      <c r="S373" s="189">
        <f t="shared" si="35"/>
        <v>510582</v>
      </c>
    </row>
    <row r="374" spans="1:19" x14ac:dyDescent="0.2">
      <c r="A374" s="371">
        <v>1966</v>
      </c>
      <c r="B374" s="189" t="str">
        <f t="shared" ref="B374:L374" si="39">IF(AND(B303="-",B232="-",B161="-",B90="-"),"-",SUM(B303,B232,B161,B90))</f>
        <v>-</v>
      </c>
      <c r="C374" s="189">
        <f t="shared" si="39"/>
        <v>99</v>
      </c>
      <c r="D374" s="189">
        <f t="shared" si="39"/>
        <v>1147</v>
      </c>
      <c r="E374" s="189">
        <f t="shared" si="39"/>
        <v>11784</v>
      </c>
      <c r="F374" s="189">
        <f t="shared" si="39"/>
        <v>30063</v>
      </c>
      <c r="G374" s="189">
        <f t="shared" si="39"/>
        <v>18645</v>
      </c>
      <c r="H374" s="189">
        <f t="shared" si="39"/>
        <v>13861</v>
      </c>
      <c r="I374" s="189">
        <f t="shared" si="39"/>
        <v>1514</v>
      </c>
      <c r="J374" s="189" t="str">
        <f t="shared" si="39"/>
        <v>-</v>
      </c>
      <c r="K374" s="189" t="str">
        <f t="shared" si="39"/>
        <v>-</v>
      </c>
      <c r="L374" s="189">
        <f t="shared" si="39"/>
        <v>77113</v>
      </c>
      <c r="N374" s="189">
        <f t="shared" si="35"/>
        <v>90681</v>
      </c>
      <c r="O374" s="189">
        <f t="shared" si="35"/>
        <v>205891</v>
      </c>
      <c r="P374" s="189">
        <f t="shared" si="35"/>
        <v>134997</v>
      </c>
      <c r="Q374" s="189">
        <f t="shared" si="35"/>
        <v>83538</v>
      </c>
      <c r="R374" s="189">
        <f t="shared" si="35"/>
        <v>1519</v>
      </c>
      <c r="S374" s="189">
        <f t="shared" si="35"/>
        <v>516626</v>
      </c>
    </row>
    <row r="375" spans="1:19" x14ac:dyDescent="0.2">
      <c r="A375" s="371">
        <v>1967</v>
      </c>
      <c r="B375" s="189" t="str">
        <f t="shared" ref="B375:L375" si="40">IF(AND(B304="-",B233="-",B162="-",B91="-"),"-",SUM(B304,B233,B162,B91))</f>
        <v>-</v>
      </c>
      <c r="C375" s="189">
        <f t="shared" si="40"/>
        <v>2247</v>
      </c>
      <c r="D375" s="189">
        <f t="shared" si="40"/>
        <v>4541</v>
      </c>
      <c r="E375" s="189">
        <f t="shared" si="40"/>
        <v>13679</v>
      </c>
      <c r="F375" s="189">
        <f t="shared" si="40"/>
        <v>32700</v>
      </c>
      <c r="G375" s="189">
        <f t="shared" si="40"/>
        <v>18136</v>
      </c>
      <c r="H375" s="189">
        <f t="shared" si="40"/>
        <v>8090</v>
      </c>
      <c r="I375" s="189">
        <f t="shared" si="40"/>
        <v>533</v>
      </c>
      <c r="J375" s="189" t="str">
        <f t="shared" si="40"/>
        <v>-</v>
      </c>
      <c r="K375" s="189" t="str">
        <f t="shared" si="40"/>
        <v>-</v>
      </c>
      <c r="L375" s="189">
        <f t="shared" si="40"/>
        <v>79926</v>
      </c>
      <c r="N375" s="189">
        <f t="shared" si="35"/>
        <v>67710</v>
      </c>
      <c r="O375" s="189">
        <f t="shared" si="35"/>
        <v>625741</v>
      </c>
      <c r="P375" s="189">
        <f t="shared" si="35"/>
        <v>119466</v>
      </c>
      <c r="Q375" s="189">
        <f t="shared" si="35"/>
        <v>31922</v>
      </c>
      <c r="R375" s="189">
        <f t="shared" si="35"/>
        <v>780</v>
      </c>
      <c r="S375" s="189">
        <f t="shared" si="35"/>
        <v>845619</v>
      </c>
    </row>
    <row r="376" spans="1:19" x14ac:dyDescent="0.2">
      <c r="A376" s="371">
        <v>1968</v>
      </c>
      <c r="B376" s="189" t="str">
        <f t="shared" ref="B376:L376" si="41">IF(AND(B305="-",B234="-",B163="-",B92="-"),"-",SUM(B305,B234,B163,B92))</f>
        <v>-</v>
      </c>
      <c r="C376" s="189">
        <f t="shared" si="41"/>
        <v>264</v>
      </c>
      <c r="D376" s="189">
        <f t="shared" si="41"/>
        <v>3875</v>
      </c>
      <c r="E376" s="189">
        <f t="shared" si="41"/>
        <v>10974</v>
      </c>
      <c r="F376" s="189">
        <f t="shared" si="41"/>
        <v>34316</v>
      </c>
      <c r="G376" s="189">
        <f t="shared" si="41"/>
        <v>36292</v>
      </c>
      <c r="H376" s="189">
        <f t="shared" si="41"/>
        <v>1204</v>
      </c>
      <c r="I376" s="189">
        <f t="shared" si="41"/>
        <v>718</v>
      </c>
      <c r="J376" s="189" t="str">
        <f t="shared" si="41"/>
        <v>-</v>
      </c>
      <c r="K376" s="189" t="str">
        <f t="shared" si="41"/>
        <v>-</v>
      </c>
      <c r="L376" s="189">
        <f t="shared" si="41"/>
        <v>87643</v>
      </c>
      <c r="N376" s="189">
        <f t="shared" si="35"/>
        <v>179976</v>
      </c>
      <c r="O376" s="189">
        <f t="shared" si="35"/>
        <v>378046</v>
      </c>
      <c r="P376" s="189">
        <f t="shared" si="35"/>
        <v>147012</v>
      </c>
      <c r="Q376" s="189">
        <f t="shared" si="35"/>
        <v>21865</v>
      </c>
      <c r="R376" s="189">
        <f t="shared" si="35"/>
        <v>610</v>
      </c>
      <c r="S376" s="189">
        <f t="shared" si="35"/>
        <v>727509</v>
      </c>
    </row>
    <row r="377" spans="1:19" x14ac:dyDescent="0.2">
      <c r="A377" s="371">
        <v>1969</v>
      </c>
      <c r="B377" s="189" t="str">
        <f t="shared" ref="B377:L377" si="42">IF(AND(B306="-",B235="-",B164="-",B93="-"),"-",SUM(B306,B235,B164,B93))</f>
        <v>-</v>
      </c>
      <c r="C377" s="189">
        <f t="shared" si="42"/>
        <v>373</v>
      </c>
      <c r="D377" s="189">
        <f t="shared" si="42"/>
        <v>6545</v>
      </c>
      <c r="E377" s="189">
        <f t="shared" si="42"/>
        <v>46515</v>
      </c>
      <c r="F377" s="189">
        <f t="shared" si="42"/>
        <v>34935</v>
      </c>
      <c r="G377" s="189">
        <f t="shared" si="42"/>
        <v>33221</v>
      </c>
      <c r="H377" s="189">
        <f t="shared" si="42"/>
        <v>5199</v>
      </c>
      <c r="I377" s="189">
        <f t="shared" si="42"/>
        <v>2854</v>
      </c>
      <c r="J377" s="189" t="str">
        <f t="shared" si="42"/>
        <v>-</v>
      </c>
      <c r="K377" s="189" t="str">
        <f t="shared" si="42"/>
        <v>-</v>
      </c>
      <c r="L377" s="189">
        <f t="shared" si="42"/>
        <v>129642</v>
      </c>
      <c r="N377" s="189">
        <f t="shared" si="35"/>
        <v>171482</v>
      </c>
      <c r="O377" s="189">
        <f t="shared" si="35"/>
        <v>234335</v>
      </c>
      <c r="P377" s="189">
        <f t="shared" si="35"/>
        <v>92439</v>
      </c>
      <c r="Q377" s="189">
        <f t="shared" si="35"/>
        <v>9447</v>
      </c>
      <c r="R377" s="189">
        <f t="shared" si="35"/>
        <v>1261</v>
      </c>
      <c r="S377" s="189">
        <f t="shared" si="35"/>
        <v>508964</v>
      </c>
    </row>
    <row r="378" spans="1:19" x14ac:dyDescent="0.2">
      <c r="A378" s="371">
        <v>1970</v>
      </c>
      <c r="B378" s="189" t="str">
        <f t="shared" ref="B378:L378" si="43">IF(AND(B307="-",B236="-",B165="-",B94="-"),"-",SUM(B307,B236,B165,B94))</f>
        <v>-</v>
      </c>
      <c r="C378" s="189">
        <f t="shared" si="43"/>
        <v>426</v>
      </c>
      <c r="D378" s="189">
        <f t="shared" si="43"/>
        <v>3496</v>
      </c>
      <c r="E378" s="189">
        <f t="shared" si="43"/>
        <v>27682</v>
      </c>
      <c r="F378" s="189">
        <f t="shared" si="43"/>
        <v>27317</v>
      </c>
      <c r="G378" s="189">
        <f t="shared" si="43"/>
        <v>42144</v>
      </c>
      <c r="H378" s="189">
        <f t="shared" si="43"/>
        <v>27854</v>
      </c>
      <c r="I378" s="189">
        <f t="shared" si="43"/>
        <v>11759</v>
      </c>
      <c r="J378" s="189" t="str">
        <f t="shared" si="43"/>
        <v>-</v>
      </c>
      <c r="K378" s="189" t="str">
        <f t="shared" si="43"/>
        <v>-</v>
      </c>
      <c r="L378" s="189">
        <f t="shared" si="43"/>
        <v>140678</v>
      </c>
      <c r="N378" s="189">
        <f t="shared" si="35"/>
        <v>206602</v>
      </c>
      <c r="O378" s="189">
        <f t="shared" si="35"/>
        <v>185770</v>
      </c>
      <c r="P378" s="189">
        <f t="shared" si="35"/>
        <v>449834</v>
      </c>
      <c r="Q378" s="189">
        <f t="shared" si="35"/>
        <v>44952</v>
      </c>
      <c r="R378" s="189">
        <f t="shared" si="35"/>
        <v>8110</v>
      </c>
      <c r="S378" s="189">
        <f t="shared" si="35"/>
        <v>895268</v>
      </c>
    </row>
    <row r="379" spans="1:19" x14ac:dyDescent="0.2">
      <c r="A379" s="371">
        <v>1971</v>
      </c>
      <c r="B379" s="189" t="str">
        <f t="shared" ref="B379:L379" si="44">IF(AND(B308="-",B237="-",B166="-",B95="-"),"-",SUM(B308,B237,B166,B95))</f>
        <v>-</v>
      </c>
      <c r="C379" s="189">
        <f t="shared" si="44"/>
        <v>44</v>
      </c>
      <c r="D379" s="189">
        <f t="shared" si="44"/>
        <v>2923</v>
      </c>
      <c r="E379" s="189">
        <f t="shared" si="44"/>
        <v>18560</v>
      </c>
      <c r="F379" s="189">
        <f t="shared" si="44"/>
        <v>19832</v>
      </c>
      <c r="G379" s="189">
        <f t="shared" si="44"/>
        <v>37036</v>
      </c>
      <c r="H379" s="189">
        <f t="shared" si="44"/>
        <v>3246</v>
      </c>
      <c r="I379" s="189">
        <f t="shared" si="44"/>
        <v>5225</v>
      </c>
      <c r="J379" s="189" t="str">
        <f t="shared" si="44"/>
        <v>-</v>
      </c>
      <c r="K379" s="189" t="str">
        <f t="shared" si="44"/>
        <v>-</v>
      </c>
      <c r="L379" s="189">
        <f t="shared" si="44"/>
        <v>86866</v>
      </c>
      <c r="N379" s="189">
        <f t="shared" si="35"/>
        <v>182831</v>
      </c>
      <c r="O379" s="189">
        <f t="shared" si="35"/>
        <v>415096</v>
      </c>
      <c r="P379" s="189">
        <f t="shared" si="35"/>
        <v>733593</v>
      </c>
      <c r="Q379" s="189">
        <f t="shared" si="35"/>
        <v>23483</v>
      </c>
      <c r="R379" s="189">
        <f t="shared" si="35"/>
        <v>5984</v>
      </c>
      <c r="S379" s="206">
        <f t="shared" si="35"/>
        <v>1360987</v>
      </c>
    </row>
    <row r="380" spans="1:19" x14ac:dyDescent="0.2">
      <c r="A380" s="371">
        <v>1972</v>
      </c>
      <c r="B380" s="189" t="str">
        <f t="shared" ref="B380:L380" si="45">IF(AND(B309="-",B238="-",B167="-",B96="-"),"-",SUM(B309,B238,B167,B96))</f>
        <v>-</v>
      </c>
      <c r="C380" s="189">
        <f t="shared" si="45"/>
        <v>1</v>
      </c>
      <c r="D380" s="189">
        <f t="shared" si="45"/>
        <v>3398</v>
      </c>
      <c r="E380" s="189">
        <f t="shared" si="45"/>
        <v>29863</v>
      </c>
      <c r="F380" s="189">
        <f t="shared" si="45"/>
        <v>31947</v>
      </c>
      <c r="G380" s="189">
        <f t="shared" si="45"/>
        <v>33145</v>
      </c>
      <c r="H380" s="189">
        <f t="shared" si="45"/>
        <v>11169</v>
      </c>
      <c r="I380" s="189">
        <f t="shared" si="45"/>
        <v>8916</v>
      </c>
      <c r="J380" s="189" t="str">
        <f t="shared" si="45"/>
        <v>-</v>
      </c>
      <c r="K380" s="189" t="str">
        <f t="shared" si="45"/>
        <v>-</v>
      </c>
      <c r="L380" s="189">
        <f t="shared" si="45"/>
        <v>118439</v>
      </c>
      <c r="N380" s="189">
        <f t="shared" ref="N380:S389" si="46">IF(AND(N309="-",N238="-",N167="-",N96="-"),"-",SUM(N309,N238,N167,N96))</f>
        <v>280318</v>
      </c>
      <c r="O380" s="189">
        <f t="shared" si="46"/>
        <v>336126</v>
      </c>
      <c r="P380" s="189">
        <f t="shared" si="46"/>
        <v>132241</v>
      </c>
      <c r="Q380" s="189">
        <f t="shared" si="46"/>
        <v>11681</v>
      </c>
      <c r="R380" s="189">
        <f t="shared" si="46"/>
        <v>522</v>
      </c>
      <c r="S380" s="206">
        <f t="shared" si="46"/>
        <v>760888</v>
      </c>
    </row>
    <row r="381" spans="1:19" x14ac:dyDescent="0.2">
      <c r="A381" s="371">
        <v>1973</v>
      </c>
      <c r="B381" s="189" t="str">
        <f t="shared" ref="B381:L381" si="47">IF(AND(B310="-",B239="-",B168="-",B97="-"),"-",SUM(B310,B239,B168,B97))</f>
        <v>-</v>
      </c>
      <c r="C381" s="189">
        <f t="shared" si="47"/>
        <v>169</v>
      </c>
      <c r="D381" s="189">
        <f t="shared" si="47"/>
        <v>1855</v>
      </c>
      <c r="E381" s="189">
        <f t="shared" si="47"/>
        <v>23439</v>
      </c>
      <c r="F381" s="189">
        <f t="shared" si="47"/>
        <v>101867</v>
      </c>
      <c r="G381" s="189">
        <f t="shared" si="47"/>
        <v>144975</v>
      </c>
      <c r="H381" s="189">
        <f t="shared" si="47"/>
        <v>47593</v>
      </c>
      <c r="I381" s="189">
        <f t="shared" si="47"/>
        <v>34756</v>
      </c>
      <c r="J381" s="189" t="str">
        <f t="shared" si="47"/>
        <v>-</v>
      </c>
      <c r="K381" s="189" t="str">
        <f t="shared" si="47"/>
        <v>-</v>
      </c>
      <c r="L381" s="189">
        <f t="shared" si="47"/>
        <v>354654</v>
      </c>
      <c r="N381" s="189">
        <f t="shared" si="46"/>
        <v>204665</v>
      </c>
      <c r="O381" s="189">
        <f t="shared" si="46"/>
        <v>286128</v>
      </c>
      <c r="P381" s="189">
        <f t="shared" si="46"/>
        <v>228478</v>
      </c>
      <c r="Q381" s="189">
        <f t="shared" si="46"/>
        <v>27782</v>
      </c>
      <c r="R381" s="189">
        <f t="shared" si="46"/>
        <v>6604</v>
      </c>
      <c r="S381" s="206">
        <f t="shared" si="46"/>
        <v>753657</v>
      </c>
    </row>
    <row r="382" spans="1:19" x14ac:dyDescent="0.2">
      <c r="A382" s="371">
        <v>1974</v>
      </c>
      <c r="B382" s="189" t="str">
        <f t="shared" ref="B382:L382" si="48">IF(AND(B311="-",B240="-",B169="-",B98="-"),"-",SUM(B311,B240,B169,B98))</f>
        <v>-</v>
      </c>
      <c r="C382" s="189">
        <f t="shared" si="48"/>
        <v>126</v>
      </c>
      <c r="D382" s="189">
        <f t="shared" si="48"/>
        <v>746</v>
      </c>
      <c r="E382" s="189">
        <f t="shared" si="48"/>
        <v>21470</v>
      </c>
      <c r="F382" s="189">
        <f t="shared" si="48"/>
        <v>56319</v>
      </c>
      <c r="G382" s="189">
        <f t="shared" si="48"/>
        <v>78403</v>
      </c>
      <c r="H382" s="189">
        <f t="shared" si="48"/>
        <v>37026</v>
      </c>
      <c r="I382" s="189">
        <f t="shared" si="48"/>
        <v>10443</v>
      </c>
      <c r="J382" s="189">
        <f t="shared" si="48"/>
        <v>1767</v>
      </c>
      <c r="K382" s="189">
        <f t="shared" si="48"/>
        <v>129</v>
      </c>
      <c r="L382" s="189">
        <f t="shared" si="48"/>
        <v>206429</v>
      </c>
      <c r="N382" s="189">
        <f t="shared" si="46"/>
        <v>173202</v>
      </c>
      <c r="O382" s="189">
        <f t="shared" si="46"/>
        <v>632679</v>
      </c>
      <c r="P382" s="189">
        <f t="shared" si="46"/>
        <v>246288</v>
      </c>
      <c r="Q382" s="189">
        <f t="shared" si="46"/>
        <v>39563</v>
      </c>
      <c r="R382" s="189">
        <f t="shared" si="46"/>
        <v>1310</v>
      </c>
      <c r="S382" s="206">
        <f t="shared" si="46"/>
        <v>1093042</v>
      </c>
    </row>
    <row r="383" spans="1:19" x14ac:dyDescent="0.2">
      <c r="A383" s="371">
        <v>1975</v>
      </c>
      <c r="B383" s="189" t="str">
        <f t="shared" ref="B383:L383" si="49">IF(AND(B312="-",B241="-",B170="-",B99="-"),"-",SUM(B312,B241,B170,B99))</f>
        <v>-</v>
      </c>
      <c r="C383" s="189">
        <f t="shared" si="49"/>
        <v>49</v>
      </c>
      <c r="D383" s="189">
        <f t="shared" si="49"/>
        <v>752</v>
      </c>
      <c r="E383" s="189">
        <f t="shared" si="49"/>
        <v>28757</v>
      </c>
      <c r="F383" s="189">
        <f t="shared" si="49"/>
        <v>67060</v>
      </c>
      <c r="G383" s="189">
        <f t="shared" si="49"/>
        <v>51006</v>
      </c>
      <c r="H383" s="189">
        <f t="shared" si="49"/>
        <v>56418</v>
      </c>
      <c r="I383" s="189">
        <f t="shared" si="49"/>
        <v>8795</v>
      </c>
      <c r="J383" s="189">
        <f t="shared" si="49"/>
        <v>859</v>
      </c>
      <c r="K383" s="189">
        <f t="shared" si="49"/>
        <v>57</v>
      </c>
      <c r="L383" s="189">
        <f t="shared" si="49"/>
        <v>213753</v>
      </c>
      <c r="N383" s="189">
        <f t="shared" si="46"/>
        <v>193006</v>
      </c>
      <c r="O383" s="189">
        <f t="shared" si="46"/>
        <v>291172</v>
      </c>
      <c r="P383" s="189">
        <f t="shared" si="46"/>
        <v>111480</v>
      </c>
      <c r="Q383" s="189">
        <f t="shared" si="46"/>
        <v>18219</v>
      </c>
      <c r="R383" s="189">
        <f t="shared" si="46"/>
        <v>730</v>
      </c>
      <c r="S383" s="206">
        <f t="shared" si="46"/>
        <v>614607</v>
      </c>
    </row>
    <row r="384" spans="1:19" x14ac:dyDescent="0.2">
      <c r="A384" s="371">
        <v>1976</v>
      </c>
      <c r="B384" s="189" t="str">
        <f t="shared" ref="B384:L384" si="50">IF(AND(B313="-",B242="-",B171="-",B100="-"),"-",SUM(B313,B242,B171,B100))</f>
        <v>-</v>
      </c>
      <c r="C384" s="189" t="str">
        <f t="shared" si="50"/>
        <v>-</v>
      </c>
      <c r="D384" s="189">
        <f t="shared" si="50"/>
        <v>3229</v>
      </c>
      <c r="E384" s="189">
        <f t="shared" si="50"/>
        <v>25367</v>
      </c>
      <c r="F384" s="189">
        <f t="shared" si="50"/>
        <v>42837</v>
      </c>
      <c r="G384" s="189">
        <f t="shared" si="50"/>
        <v>52334</v>
      </c>
      <c r="H384" s="189">
        <f t="shared" si="50"/>
        <v>22373</v>
      </c>
      <c r="I384" s="189">
        <f t="shared" si="50"/>
        <v>8249</v>
      </c>
      <c r="J384" s="189">
        <f t="shared" si="50"/>
        <v>1854</v>
      </c>
      <c r="K384" s="189" t="str">
        <f t="shared" si="50"/>
        <v>-</v>
      </c>
      <c r="L384" s="189">
        <f t="shared" si="50"/>
        <v>156243</v>
      </c>
      <c r="N384" s="189">
        <f t="shared" si="46"/>
        <v>406709</v>
      </c>
      <c r="O384" s="189">
        <f t="shared" si="46"/>
        <v>818955</v>
      </c>
      <c r="P384" s="189">
        <f t="shared" si="46"/>
        <v>385970</v>
      </c>
      <c r="Q384" s="189">
        <f t="shared" si="46"/>
        <v>34059</v>
      </c>
      <c r="R384" s="189">
        <f t="shared" si="46"/>
        <v>4602</v>
      </c>
      <c r="S384" s="206">
        <f t="shared" si="46"/>
        <v>1650295</v>
      </c>
    </row>
    <row r="385" spans="1:19" x14ac:dyDescent="0.2">
      <c r="A385" s="371">
        <v>1977</v>
      </c>
      <c r="B385" s="189" t="str">
        <f t="shared" ref="B385:L385" si="51">IF(AND(B314="-",B243="-",B172="-",B101="-"),"-",SUM(B314,B243,B172,B101))</f>
        <v>-</v>
      </c>
      <c r="C385" s="189" t="str">
        <f t="shared" si="51"/>
        <v>-</v>
      </c>
      <c r="D385" s="189">
        <f t="shared" si="51"/>
        <v>12605</v>
      </c>
      <c r="E385" s="189">
        <f t="shared" si="51"/>
        <v>41709</v>
      </c>
      <c r="F385" s="189">
        <f t="shared" si="51"/>
        <v>103337</v>
      </c>
      <c r="G385" s="189">
        <f t="shared" si="51"/>
        <v>115089</v>
      </c>
      <c r="H385" s="189">
        <f t="shared" si="51"/>
        <v>31483</v>
      </c>
      <c r="I385" s="189">
        <f t="shared" si="51"/>
        <v>9766</v>
      </c>
      <c r="J385" s="189">
        <f t="shared" si="51"/>
        <v>4141</v>
      </c>
      <c r="K385" s="189" t="str">
        <f t="shared" si="51"/>
        <v>-</v>
      </c>
      <c r="L385" s="189">
        <f t="shared" si="51"/>
        <v>318130</v>
      </c>
      <c r="N385" s="189">
        <f t="shared" si="46"/>
        <v>65334</v>
      </c>
      <c r="O385" s="189">
        <f t="shared" si="46"/>
        <v>225313</v>
      </c>
      <c r="P385" s="189">
        <f t="shared" si="46"/>
        <v>74210</v>
      </c>
      <c r="Q385" s="189">
        <f t="shared" si="46"/>
        <v>7447</v>
      </c>
      <c r="R385" s="189">
        <f t="shared" si="46"/>
        <v>592</v>
      </c>
      <c r="S385" s="189">
        <f t="shared" si="46"/>
        <v>372896</v>
      </c>
    </row>
    <row r="386" spans="1:19" x14ac:dyDescent="0.2">
      <c r="A386" s="371">
        <v>1978</v>
      </c>
      <c r="B386" s="189" t="str">
        <f t="shared" ref="B386:L386" si="52">IF(AND(B315="-",B244="-",B173="-",B102="-"),"-",SUM(B315,B244,B173,B102))</f>
        <v>-</v>
      </c>
      <c r="C386" s="189">
        <f t="shared" si="52"/>
        <v>17</v>
      </c>
      <c r="D386" s="189">
        <f t="shared" si="52"/>
        <v>2095</v>
      </c>
      <c r="E386" s="189">
        <f t="shared" si="52"/>
        <v>34665</v>
      </c>
      <c r="F386" s="189">
        <f t="shared" si="52"/>
        <v>58051</v>
      </c>
      <c r="G386" s="189">
        <f t="shared" si="52"/>
        <v>45829</v>
      </c>
      <c r="H386" s="189">
        <f t="shared" si="52"/>
        <v>24906</v>
      </c>
      <c r="I386" s="189">
        <f t="shared" si="52"/>
        <v>7322</v>
      </c>
      <c r="J386" s="189">
        <f t="shared" si="52"/>
        <v>3451</v>
      </c>
      <c r="K386" s="189" t="str">
        <f t="shared" si="52"/>
        <v>-</v>
      </c>
      <c r="L386" s="189">
        <f t="shared" si="52"/>
        <v>176336</v>
      </c>
      <c r="N386" s="189">
        <f t="shared" si="46"/>
        <v>261778</v>
      </c>
      <c r="O386" s="189">
        <f t="shared" si="46"/>
        <v>200389</v>
      </c>
      <c r="P386" s="189">
        <f t="shared" si="46"/>
        <v>84661</v>
      </c>
      <c r="Q386" s="189">
        <f t="shared" si="46"/>
        <v>8143</v>
      </c>
      <c r="R386" s="189">
        <f t="shared" si="46"/>
        <v>509</v>
      </c>
      <c r="S386" s="189">
        <f t="shared" si="46"/>
        <v>555480</v>
      </c>
    </row>
    <row r="387" spans="1:19" x14ac:dyDescent="0.2">
      <c r="A387" s="371">
        <v>1979</v>
      </c>
      <c r="B387" s="189" t="str">
        <f t="shared" ref="B387:L387" si="53">IF(AND(B316="-",B245="-",B174="-",B103="-"),"-",SUM(B316,B245,B174,B103))</f>
        <v>-</v>
      </c>
      <c r="C387" s="189" t="str">
        <f t="shared" si="53"/>
        <v>-</v>
      </c>
      <c r="D387" s="189">
        <f t="shared" si="53"/>
        <v>8229</v>
      </c>
      <c r="E387" s="189">
        <f t="shared" si="53"/>
        <v>1586</v>
      </c>
      <c r="F387" s="189">
        <f t="shared" si="53"/>
        <v>86104</v>
      </c>
      <c r="G387" s="189">
        <f t="shared" si="53"/>
        <v>99311</v>
      </c>
      <c r="H387" s="189">
        <f t="shared" si="53"/>
        <v>13038</v>
      </c>
      <c r="I387" s="189">
        <f t="shared" si="53"/>
        <v>25945</v>
      </c>
      <c r="J387" s="189">
        <f t="shared" si="53"/>
        <v>1861</v>
      </c>
      <c r="K387" s="189" t="str">
        <f t="shared" si="53"/>
        <v>-</v>
      </c>
      <c r="L387" s="189">
        <f t="shared" si="53"/>
        <v>236074</v>
      </c>
      <c r="N387" s="189">
        <f t="shared" si="46"/>
        <v>8203</v>
      </c>
      <c r="O387" s="189">
        <f t="shared" si="46"/>
        <v>520988</v>
      </c>
      <c r="P387" s="189">
        <f t="shared" si="46"/>
        <v>124187</v>
      </c>
      <c r="Q387" s="189">
        <f t="shared" si="46"/>
        <v>603</v>
      </c>
      <c r="R387" s="189" t="str">
        <f t="shared" si="46"/>
        <v>-</v>
      </c>
      <c r="S387" s="189">
        <f t="shared" si="46"/>
        <v>653981</v>
      </c>
    </row>
    <row r="388" spans="1:19" x14ac:dyDescent="0.2">
      <c r="A388" s="371">
        <v>1980</v>
      </c>
      <c r="B388" s="189" t="str">
        <f t="shared" ref="B388:L388" si="54">IF(AND(B317="-",B246="-",B175="-",B104="-"),"-",SUM(B317,B246,B175,B104))</f>
        <v>-</v>
      </c>
      <c r="C388" s="189" t="str">
        <f t="shared" si="54"/>
        <v>-</v>
      </c>
      <c r="D388" s="189">
        <f t="shared" si="54"/>
        <v>19104</v>
      </c>
      <c r="E388" s="189">
        <f t="shared" si="54"/>
        <v>27605</v>
      </c>
      <c r="F388" s="189">
        <f t="shared" si="54"/>
        <v>48693</v>
      </c>
      <c r="G388" s="189">
        <f t="shared" si="54"/>
        <v>62569</v>
      </c>
      <c r="H388" s="189">
        <f t="shared" si="54"/>
        <v>24710</v>
      </c>
      <c r="I388" s="189">
        <f t="shared" si="54"/>
        <v>16034</v>
      </c>
      <c r="J388" s="189">
        <f t="shared" si="54"/>
        <v>984</v>
      </c>
      <c r="K388" s="189" t="str">
        <f t="shared" si="54"/>
        <v>-</v>
      </c>
      <c r="L388" s="189">
        <f t="shared" si="54"/>
        <v>199699</v>
      </c>
      <c r="N388" s="189" t="str">
        <f t="shared" si="46"/>
        <v>-</v>
      </c>
      <c r="O388" s="189">
        <f t="shared" si="46"/>
        <v>86488</v>
      </c>
      <c r="P388" s="189">
        <f t="shared" si="46"/>
        <v>23709</v>
      </c>
      <c r="Q388" s="189">
        <f t="shared" si="46"/>
        <v>8</v>
      </c>
      <c r="R388" s="189" t="str">
        <f t="shared" si="46"/>
        <v>-</v>
      </c>
      <c r="S388" s="189">
        <f t="shared" si="46"/>
        <v>110205</v>
      </c>
    </row>
    <row r="389" spans="1:19" x14ac:dyDescent="0.2">
      <c r="A389" s="371">
        <v>1981</v>
      </c>
      <c r="B389" s="189" t="str">
        <f t="shared" ref="B389:L389" si="55">IF(AND(B318="-",B247="-",B176="-",B105="-"),"-",SUM(B318,B247,B176,B105))</f>
        <v>-</v>
      </c>
      <c r="C389" s="189" t="str">
        <f t="shared" si="55"/>
        <v>-</v>
      </c>
      <c r="D389" s="189">
        <f t="shared" si="55"/>
        <v>20715</v>
      </c>
      <c r="E389" s="189">
        <f t="shared" si="55"/>
        <v>0</v>
      </c>
      <c r="F389" s="189">
        <f t="shared" si="55"/>
        <v>32704</v>
      </c>
      <c r="G389" s="189">
        <f t="shared" si="55"/>
        <v>64830</v>
      </c>
      <c r="H389" s="189">
        <f t="shared" si="55"/>
        <v>14959</v>
      </c>
      <c r="I389" s="189">
        <f t="shared" si="55"/>
        <v>13003</v>
      </c>
      <c r="J389" s="189">
        <f t="shared" si="55"/>
        <v>1218</v>
      </c>
      <c r="K389" s="189" t="str">
        <f t="shared" si="55"/>
        <v>-</v>
      </c>
      <c r="L389" s="189">
        <f t="shared" si="55"/>
        <v>147429</v>
      </c>
      <c r="N389" s="189" t="str">
        <f t="shared" si="46"/>
        <v>-</v>
      </c>
      <c r="O389" s="189">
        <f t="shared" si="46"/>
        <v>305759</v>
      </c>
      <c r="P389" s="189">
        <f t="shared" si="46"/>
        <v>258796</v>
      </c>
      <c r="Q389" s="189" t="str">
        <f t="shared" si="46"/>
        <v>-</v>
      </c>
      <c r="R389" s="189" t="str">
        <f t="shared" si="46"/>
        <v>-</v>
      </c>
      <c r="S389" s="189">
        <f t="shared" si="46"/>
        <v>564555</v>
      </c>
    </row>
    <row r="390" spans="1:19" x14ac:dyDescent="0.2">
      <c r="A390" s="371">
        <v>1982</v>
      </c>
      <c r="B390" s="189" t="str">
        <f t="shared" ref="B390:L390" si="56">IF(AND(B319="-",B248="-",B177="-",B106="-"),"-",SUM(B319,B248,B177,B106))</f>
        <v>-</v>
      </c>
      <c r="C390" s="189" t="str">
        <f t="shared" si="56"/>
        <v>-</v>
      </c>
      <c r="D390" s="189">
        <f t="shared" si="56"/>
        <v>14595</v>
      </c>
      <c r="E390" s="189">
        <f t="shared" si="56"/>
        <v>12251</v>
      </c>
      <c r="F390" s="189">
        <f t="shared" si="56"/>
        <v>118975</v>
      </c>
      <c r="G390" s="189">
        <f t="shared" si="56"/>
        <v>45143</v>
      </c>
      <c r="H390" s="189">
        <f t="shared" si="56"/>
        <v>13398</v>
      </c>
      <c r="I390" s="189">
        <f t="shared" si="56"/>
        <v>7996</v>
      </c>
      <c r="J390" s="189">
        <f t="shared" si="56"/>
        <v>1400</v>
      </c>
      <c r="K390" s="189" t="str">
        <f t="shared" si="56"/>
        <v>-</v>
      </c>
      <c r="L390" s="189">
        <f t="shared" si="56"/>
        <v>213758</v>
      </c>
      <c r="N390" s="189" t="str">
        <f t="shared" ref="N390:S399" si="57">IF(AND(N319="-",N248="-",N177="-",N106="-"),"-",SUM(N319,N248,N177,N106))</f>
        <v>-</v>
      </c>
      <c r="O390" s="189">
        <f t="shared" si="57"/>
        <v>479187</v>
      </c>
      <c r="P390" s="189" t="str">
        <f t="shared" si="57"/>
        <v>-</v>
      </c>
      <c r="Q390" s="189" t="str">
        <f t="shared" si="57"/>
        <v>-</v>
      </c>
      <c r="R390" s="189" t="str">
        <f t="shared" si="57"/>
        <v>-</v>
      </c>
      <c r="S390" s="189">
        <f t="shared" si="57"/>
        <v>479187</v>
      </c>
    </row>
    <row r="391" spans="1:19" x14ac:dyDescent="0.2">
      <c r="A391" s="371">
        <v>1983</v>
      </c>
      <c r="B391" s="189" t="str">
        <f t="shared" ref="B391:L391" si="58">IF(AND(B320="-",B249="-",B178="-",B107="-"),"-",SUM(B320,B249,B178,B107))</f>
        <v>-</v>
      </c>
      <c r="C391" s="189" t="str">
        <f t="shared" si="58"/>
        <v>-</v>
      </c>
      <c r="D391" s="189">
        <f t="shared" si="58"/>
        <v>5058</v>
      </c>
      <c r="E391" s="189">
        <f t="shared" si="58"/>
        <v>13787</v>
      </c>
      <c r="F391" s="189">
        <f t="shared" si="58"/>
        <v>33705</v>
      </c>
      <c r="G391" s="189">
        <f t="shared" si="58"/>
        <v>9566</v>
      </c>
      <c r="H391" s="189">
        <f t="shared" si="58"/>
        <v>2476</v>
      </c>
      <c r="I391" s="189">
        <f t="shared" si="58"/>
        <v>4667</v>
      </c>
      <c r="J391" s="189">
        <f t="shared" si="58"/>
        <v>869</v>
      </c>
      <c r="K391" s="189" t="str">
        <f t="shared" si="58"/>
        <v>-</v>
      </c>
      <c r="L391" s="189">
        <f t="shared" si="58"/>
        <v>70128</v>
      </c>
      <c r="N391" s="189" t="str">
        <f t="shared" si="57"/>
        <v>-</v>
      </c>
      <c r="O391" s="189">
        <f t="shared" si="57"/>
        <v>275010</v>
      </c>
      <c r="P391" s="189">
        <f t="shared" si="57"/>
        <v>32531</v>
      </c>
      <c r="Q391" s="189">
        <f t="shared" si="57"/>
        <v>5803</v>
      </c>
      <c r="R391" s="189" t="str">
        <f t="shared" si="57"/>
        <v>-</v>
      </c>
      <c r="S391" s="189">
        <f t="shared" si="57"/>
        <v>313344</v>
      </c>
    </row>
    <row r="392" spans="1:19" x14ac:dyDescent="0.2">
      <c r="A392" s="371">
        <v>1984</v>
      </c>
      <c r="B392" s="189" t="str">
        <f t="shared" ref="B392:L392" si="59">IF(AND(B321="-",B250="-",B179="-",B108="-"),"-",SUM(B321,B250,B179,B108))</f>
        <v>-</v>
      </c>
      <c r="C392" s="189" t="str">
        <f t="shared" si="59"/>
        <v>-</v>
      </c>
      <c r="D392" s="189">
        <f t="shared" si="59"/>
        <v>1474</v>
      </c>
      <c r="E392" s="189">
        <f t="shared" si="59"/>
        <v>2456</v>
      </c>
      <c r="F392" s="189">
        <f t="shared" si="59"/>
        <v>17564</v>
      </c>
      <c r="G392" s="189">
        <f t="shared" si="59"/>
        <v>36569</v>
      </c>
      <c r="H392" s="189">
        <f t="shared" si="59"/>
        <v>741</v>
      </c>
      <c r="I392" s="189">
        <f t="shared" si="59"/>
        <v>956</v>
      </c>
      <c r="J392" s="189">
        <f t="shared" si="59"/>
        <v>905</v>
      </c>
      <c r="K392" s="189" t="str">
        <f t="shared" si="59"/>
        <v>-</v>
      </c>
      <c r="L392" s="189">
        <f t="shared" si="59"/>
        <v>60665</v>
      </c>
      <c r="N392" s="189" t="str">
        <f t="shared" si="57"/>
        <v>-</v>
      </c>
      <c r="O392" s="189" t="str">
        <f t="shared" si="57"/>
        <v>-</v>
      </c>
      <c r="P392" s="189" t="str">
        <f t="shared" si="57"/>
        <v>-</v>
      </c>
      <c r="Q392" s="189" t="str">
        <f t="shared" si="57"/>
        <v>-</v>
      </c>
      <c r="R392" s="189" t="str">
        <f t="shared" si="57"/>
        <v>-</v>
      </c>
      <c r="S392" s="189" t="str">
        <f t="shared" si="57"/>
        <v>-</v>
      </c>
    </row>
    <row r="393" spans="1:19" x14ac:dyDescent="0.2">
      <c r="A393" s="371">
        <v>1985</v>
      </c>
      <c r="B393" s="189" t="str">
        <f t="shared" ref="B393:L393" si="60">IF(AND(B322="-",B251="-",B180="-",B109="-"),"-",SUM(B322,B251,B180,B109))</f>
        <v>-</v>
      </c>
      <c r="C393" s="189" t="str">
        <f t="shared" si="60"/>
        <v>-</v>
      </c>
      <c r="D393" s="189">
        <f t="shared" si="60"/>
        <v>33834</v>
      </c>
      <c r="E393" s="189">
        <f t="shared" si="60"/>
        <v>14927</v>
      </c>
      <c r="F393" s="189">
        <f t="shared" si="60"/>
        <v>68776</v>
      </c>
      <c r="G393" s="189">
        <f t="shared" si="60"/>
        <v>62510</v>
      </c>
      <c r="H393" s="189">
        <f t="shared" si="60"/>
        <v>21484</v>
      </c>
      <c r="I393" s="189">
        <f t="shared" si="60"/>
        <v>4872</v>
      </c>
      <c r="J393" s="189">
        <f t="shared" si="60"/>
        <v>1353</v>
      </c>
      <c r="K393" s="189" t="str">
        <f t="shared" si="60"/>
        <v>-</v>
      </c>
      <c r="L393" s="189">
        <f t="shared" si="60"/>
        <v>207756</v>
      </c>
      <c r="N393" s="189" t="str">
        <f t="shared" si="57"/>
        <v>-</v>
      </c>
      <c r="O393" s="189">
        <f t="shared" si="57"/>
        <v>43870</v>
      </c>
      <c r="P393" s="189">
        <f t="shared" si="57"/>
        <v>15</v>
      </c>
      <c r="Q393" s="189" t="str">
        <f t="shared" si="57"/>
        <v>-</v>
      </c>
      <c r="R393" s="189" t="str">
        <f t="shared" si="57"/>
        <v>-</v>
      </c>
      <c r="S393" s="189">
        <f t="shared" si="57"/>
        <v>43885</v>
      </c>
    </row>
    <row r="394" spans="1:19" x14ac:dyDescent="0.2">
      <c r="A394" s="364">
        <v>1986</v>
      </c>
      <c r="B394" s="189" t="str">
        <f t="shared" ref="B394:L394" si="61">IF(AND(B323="-",B252="-",B181="-",B110="-"),"-",SUM(B323,B252,B181,B110))</f>
        <v>-</v>
      </c>
      <c r="C394" s="189" t="str">
        <f t="shared" si="61"/>
        <v>-</v>
      </c>
      <c r="D394" s="189">
        <f t="shared" si="61"/>
        <v>32363</v>
      </c>
      <c r="E394" s="189">
        <f t="shared" si="61"/>
        <v>49965</v>
      </c>
      <c r="F394" s="189">
        <f t="shared" si="61"/>
        <v>138114</v>
      </c>
      <c r="G394" s="189">
        <f t="shared" si="61"/>
        <v>114030</v>
      </c>
      <c r="H394" s="189">
        <f t="shared" si="61"/>
        <v>33955</v>
      </c>
      <c r="I394" s="189">
        <f t="shared" si="61"/>
        <v>26722</v>
      </c>
      <c r="J394" s="189">
        <f t="shared" si="61"/>
        <v>624</v>
      </c>
      <c r="K394" s="189" t="str">
        <f t="shared" si="61"/>
        <v>-</v>
      </c>
      <c r="L394" s="189">
        <f t="shared" si="61"/>
        <v>395773</v>
      </c>
      <c r="N394" s="189">
        <f t="shared" si="57"/>
        <v>12028</v>
      </c>
      <c r="O394" s="189">
        <f t="shared" si="57"/>
        <v>382357</v>
      </c>
      <c r="P394" s="189" t="str">
        <f t="shared" si="57"/>
        <v>-</v>
      </c>
      <c r="Q394" s="189" t="str">
        <f t="shared" si="57"/>
        <v>-</v>
      </c>
      <c r="R394" s="189" t="str">
        <f t="shared" si="57"/>
        <v>-</v>
      </c>
      <c r="S394" s="189">
        <f t="shared" si="57"/>
        <v>394385</v>
      </c>
    </row>
    <row r="395" spans="1:19" x14ac:dyDescent="0.2">
      <c r="A395" s="364">
        <v>1987</v>
      </c>
      <c r="B395" s="189" t="str">
        <f t="shared" ref="B395:L395" si="62">IF(AND(B324="-",B253="-",B182="-",B111="-"),"-",SUM(B324,B253,B182,B111))</f>
        <v>-</v>
      </c>
      <c r="C395" s="189" t="str">
        <f t="shared" si="62"/>
        <v>-</v>
      </c>
      <c r="D395" s="189">
        <f t="shared" si="62"/>
        <v>38904</v>
      </c>
      <c r="E395" s="189">
        <f t="shared" si="62"/>
        <v>48579</v>
      </c>
      <c r="F395" s="189">
        <f t="shared" si="62"/>
        <v>268821</v>
      </c>
      <c r="G395" s="189">
        <f t="shared" si="62"/>
        <v>82750</v>
      </c>
      <c r="H395" s="189">
        <f t="shared" si="62"/>
        <v>61039</v>
      </c>
      <c r="I395" s="189">
        <f t="shared" si="62"/>
        <v>17255</v>
      </c>
      <c r="J395" s="189">
        <f t="shared" si="62"/>
        <v>1916</v>
      </c>
      <c r="K395" s="189" t="str">
        <f t="shared" si="62"/>
        <v>-</v>
      </c>
      <c r="L395" s="189">
        <f t="shared" si="62"/>
        <v>519264</v>
      </c>
      <c r="N395" s="189">
        <f t="shared" si="57"/>
        <v>4117</v>
      </c>
      <c r="O395" s="189">
        <f t="shared" si="57"/>
        <v>255215</v>
      </c>
      <c r="P395" s="189">
        <f t="shared" si="57"/>
        <v>58754</v>
      </c>
      <c r="Q395" s="189">
        <f t="shared" si="57"/>
        <v>20776</v>
      </c>
      <c r="R395" s="189" t="str">
        <f t="shared" si="57"/>
        <v>-</v>
      </c>
      <c r="S395" s="189">
        <f t="shared" si="57"/>
        <v>338862</v>
      </c>
    </row>
    <row r="396" spans="1:19" x14ac:dyDescent="0.2">
      <c r="A396" s="364">
        <v>1988</v>
      </c>
      <c r="B396" s="189" t="str">
        <f t="shared" ref="B396:L396" si="63">IF(AND(B325="-",B254="-",B183="-",B112="-"),"-",SUM(B325,B254,B183,B112))</f>
        <v>-</v>
      </c>
      <c r="C396" s="189" t="str">
        <f t="shared" si="63"/>
        <v>-</v>
      </c>
      <c r="D396" s="189">
        <f t="shared" si="63"/>
        <v>56934</v>
      </c>
      <c r="E396" s="189">
        <f t="shared" si="63"/>
        <v>88831</v>
      </c>
      <c r="F396" s="189">
        <f t="shared" si="63"/>
        <v>110298</v>
      </c>
      <c r="G396" s="189">
        <f t="shared" si="63"/>
        <v>128960</v>
      </c>
      <c r="H396" s="189">
        <f t="shared" si="63"/>
        <v>31671</v>
      </c>
      <c r="I396" s="189">
        <f t="shared" si="63"/>
        <v>43426</v>
      </c>
      <c r="J396" s="189">
        <f t="shared" si="63"/>
        <v>1851</v>
      </c>
      <c r="K396" s="189" t="str">
        <f t="shared" si="63"/>
        <v>-</v>
      </c>
      <c r="L396" s="189">
        <f t="shared" si="63"/>
        <v>461971</v>
      </c>
      <c r="N396" s="189">
        <f t="shared" si="57"/>
        <v>1250</v>
      </c>
      <c r="O396" s="189">
        <f t="shared" si="57"/>
        <v>387467</v>
      </c>
      <c r="P396" s="189">
        <f t="shared" si="57"/>
        <v>233688</v>
      </c>
      <c r="Q396" s="189" t="str">
        <f t="shared" si="57"/>
        <v>-</v>
      </c>
      <c r="R396" s="189" t="str">
        <f t="shared" si="57"/>
        <v>-</v>
      </c>
      <c r="S396" s="189">
        <f t="shared" si="57"/>
        <v>622405</v>
      </c>
    </row>
    <row r="397" spans="1:19" x14ac:dyDescent="0.2">
      <c r="A397" s="364">
        <v>1989</v>
      </c>
      <c r="B397" s="189" t="str">
        <f t="shared" ref="B397:L397" si="64">IF(AND(B326="-",B255="-",B184="-",B113="-"),"-",SUM(B326,B255,B184,B113))</f>
        <v>-</v>
      </c>
      <c r="C397" s="189" t="str">
        <f t="shared" si="64"/>
        <v>-</v>
      </c>
      <c r="D397" s="189">
        <f t="shared" si="64"/>
        <v>87217</v>
      </c>
      <c r="E397" s="189">
        <f t="shared" si="64"/>
        <v>74133</v>
      </c>
      <c r="F397" s="189">
        <f t="shared" si="64"/>
        <v>70238</v>
      </c>
      <c r="G397" s="189">
        <f t="shared" si="64"/>
        <v>75449</v>
      </c>
      <c r="H397" s="189">
        <f t="shared" si="64"/>
        <v>24290</v>
      </c>
      <c r="I397" s="189">
        <f t="shared" si="64"/>
        <v>16878</v>
      </c>
      <c r="J397" s="189">
        <f t="shared" si="64"/>
        <v>2178</v>
      </c>
      <c r="K397" s="189" t="str">
        <f t="shared" si="64"/>
        <v>-</v>
      </c>
      <c r="L397" s="189">
        <f t="shared" si="64"/>
        <v>350383</v>
      </c>
      <c r="N397" s="189">
        <f t="shared" si="57"/>
        <v>1004</v>
      </c>
      <c r="O397" s="189">
        <f t="shared" si="57"/>
        <v>372173</v>
      </c>
      <c r="P397" s="189">
        <f t="shared" si="57"/>
        <v>61423</v>
      </c>
      <c r="Q397" s="189" t="str">
        <f t="shared" si="57"/>
        <v>-</v>
      </c>
      <c r="R397" s="189" t="str">
        <f t="shared" si="57"/>
        <v>-</v>
      </c>
      <c r="S397" s="189">
        <f t="shared" si="57"/>
        <v>434600</v>
      </c>
    </row>
    <row r="398" spans="1:19" x14ac:dyDescent="0.2">
      <c r="A398" s="364">
        <v>1990</v>
      </c>
      <c r="B398" s="189" t="str">
        <f t="shared" ref="B398:L398" si="65">IF(AND(B327="-",B256="-",B185="-",B114="-"),"-",SUM(B327,B256,B185,B114))</f>
        <v>-</v>
      </c>
      <c r="C398" s="189" t="str">
        <f t="shared" si="65"/>
        <v>-</v>
      </c>
      <c r="D398" s="189">
        <f t="shared" si="65"/>
        <v>15078</v>
      </c>
      <c r="E398" s="189">
        <f t="shared" si="65"/>
        <v>32580</v>
      </c>
      <c r="F398" s="189">
        <f t="shared" si="65"/>
        <v>119364</v>
      </c>
      <c r="G398" s="189">
        <f t="shared" si="65"/>
        <v>51588</v>
      </c>
      <c r="H398" s="189">
        <f t="shared" si="65"/>
        <v>7081</v>
      </c>
      <c r="I398" s="189">
        <f t="shared" si="65"/>
        <v>4165</v>
      </c>
      <c r="J398" s="189" t="str">
        <f t="shared" si="65"/>
        <v>-</v>
      </c>
      <c r="K398" s="189" t="str">
        <f t="shared" si="65"/>
        <v>-</v>
      </c>
      <c r="L398" s="189">
        <f t="shared" si="65"/>
        <v>229856</v>
      </c>
      <c r="N398" s="189">
        <f t="shared" si="57"/>
        <v>99</v>
      </c>
      <c r="O398" s="189">
        <f t="shared" si="57"/>
        <v>80281</v>
      </c>
      <c r="P398" s="189">
        <f t="shared" si="57"/>
        <v>30129</v>
      </c>
      <c r="Q398" s="189" t="str">
        <f t="shared" si="57"/>
        <v>-</v>
      </c>
      <c r="R398" s="189" t="str">
        <f t="shared" si="57"/>
        <v>-</v>
      </c>
      <c r="S398" s="189">
        <f t="shared" si="57"/>
        <v>110509</v>
      </c>
    </row>
    <row r="399" spans="1:19" x14ac:dyDescent="0.2">
      <c r="A399" s="364">
        <v>1991</v>
      </c>
      <c r="B399" s="189" t="str">
        <f t="shared" ref="B399:L399" si="66">IF(AND(B328="-",B257="-",B186="-",B115="-"),"-",SUM(B328,B257,B186,B115))</f>
        <v>-</v>
      </c>
      <c r="C399" s="189" t="str">
        <f t="shared" si="66"/>
        <v>-</v>
      </c>
      <c r="D399" s="189">
        <f t="shared" si="66"/>
        <v>3276</v>
      </c>
      <c r="E399" s="189">
        <f t="shared" si="66"/>
        <v>12570</v>
      </c>
      <c r="F399" s="189">
        <f t="shared" si="66"/>
        <v>15428</v>
      </c>
      <c r="G399" s="189">
        <f t="shared" si="66"/>
        <v>11596</v>
      </c>
      <c r="H399" s="189">
        <f t="shared" si="66"/>
        <v>18224</v>
      </c>
      <c r="I399" s="189">
        <f t="shared" si="66"/>
        <v>12439</v>
      </c>
      <c r="J399" s="189" t="str">
        <f t="shared" si="66"/>
        <v>-</v>
      </c>
      <c r="K399" s="189" t="str">
        <f t="shared" si="66"/>
        <v>-</v>
      </c>
      <c r="L399" s="189">
        <f t="shared" si="66"/>
        <v>73533</v>
      </c>
      <c r="N399" s="189">
        <f t="shared" si="57"/>
        <v>91249</v>
      </c>
      <c r="O399" s="189">
        <f t="shared" si="57"/>
        <v>188757</v>
      </c>
      <c r="P399" s="189">
        <f t="shared" si="57"/>
        <v>11</v>
      </c>
      <c r="Q399" s="189" t="str">
        <f t="shared" si="57"/>
        <v>-</v>
      </c>
      <c r="R399" s="189" t="str">
        <f t="shared" si="57"/>
        <v>-</v>
      </c>
      <c r="S399" s="189">
        <f t="shared" si="57"/>
        <v>280017</v>
      </c>
    </row>
    <row r="400" spans="1:19" x14ac:dyDescent="0.2">
      <c r="A400" s="364">
        <v>1992</v>
      </c>
      <c r="B400" s="189" t="str">
        <f t="shared" ref="B400:L400" si="67">IF(AND(B329="-",B258="-",B187="-",B116="-"),"-",SUM(B329,B258,B187,B116))</f>
        <v>-</v>
      </c>
      <c r="C400" s="189" t="str">
        <f t="shared" si="67"/>
        <v>-</v>
      </c>
      <c r="D400" s="189">
        <f t="shared" si="67"/>
        <v>20644</v>
      </c>
      <c r="E400" s="189" t="str">
        <f t="shared" si="67"/>
        <v>-</v>
      </c>
      <c r="F400" s="189">
        <f t="shared" si="67"/>
        <v>31488</v>
      </c>
      <c r="G400" s="189">
        <f t="shared" si="67"/>
        <v>26086</v>
      </c>
      <c r="H400" s="189">
        <f t="shared" si="67"/>
        <v>10757</v>
      </c>
      <c r="I400" s="189">
        <f t="shared" si="67"/>
        <v>19272</v>
      </c>
      <c r="J400" s="189" t="str">
        <f t="shared" si="67"/>
        <v>-</v>
      </c>
      <c r="K400" s="189" t="str">
        <f t="shared" si="67"/>
        <v>-</v>
      </c>
      <c r="L400" s="189">
        <f t="shared" si="67"/>
        <v>108247</v>
      </c>
      <c r="N400" s="189" t="str">
        <f t="shared" ref="N400:S409" si="68">IF(AND(N329="-",N258="-",N187="-",N116="-"),"-",SUM(N329,N258,N187,N116))</f>
        <v>-</v>
      </c>
      <c r="O400" s="189">
        <f t="shared" si="68"/>
        <v>23064</v>
      </c>
      <c r="P400" s="189">
        <f t="shared" si="68"/>
        <v>25133</v>
      </c>
      <c r="Q400" s="189" t="str">
        <f t="shared" si="68"/>
        <v>-</v>
      </c>
      <c r="R400" s="189">
        <f t="shared" si="68"/>
        <v>12</v>
      </c>
      <c r="S400" s="189">
        <f t="shared" si="68"/>
        <v>48209</v>
      </c>
    </row>
    <row r="401" spans="1:19" x14ac:dyDescent="0.2">
      <c r="A401" s="364">
        <v>1993</v>
      </c>
      <c r="B401" s="189" t="str">
        <f t="shared" ref="B401:L401" si="69">IF(AND(B330="-",B259="-",B188="-",B117="-"),"-",SUM(B330,B259,B188,B117))</f>
        <v>-</v>
      </c>
      <c r="C401" s="189" t="str">
        <f t="shared" si="69"/>
        <v>-</v>
      </c>
      <c r="D401" s="189">
        <f t="shared" si="69"/>
        <v>20311</v>
      </c>
      <c r="E401" s="189">
        <f t="shared" si="69"/>
        <v>14723</v>
      </c>
      <c r="F401" s="189">
        <f t="shared" si="69"/>
        <v>12952</v>
      </c>
      <c r="G401" s="189">
        <f t="shared" si="69"/>
        <v>10436</v>
      </c>
      <c r="H401" s="189">
        <f t="shared" si="69"/>
        <v>15578</v>
      </c>
      <c r="I401" s="189">
        <f t="shared" si="69"/>
        <v>6454</v>
      </c>
      <c r="J401" s="189">
        <f t="shared" si="69"/>
        <v>658</v>
      </c>
      <c r="K401" s="189" t="str">
        <f t="shared" si="69"/>
        <v>-</v>
      </c>
      <c r="L401" s="189">
        <f t="shared" si="69"/>
        <v>81112</v>
      </c>
      <c r="N401" s="189" t="str">
        <f t="shared" si="68"/>
        <v>-</v>
      </c>
      <c r="O401" s="189" t="str">
        <f t="shared" si="68"/>
        <v>-</v>
      </c>
      <c r="P401" s="189">
        <f t="shared" si="68"/>
        <v>2</v>
      </c>
      <c r="Q401" s="189" t="str">
        <f t="shared" si="68"/>
        <v>-</v>
      </c>
      <c r="R401" s="189">
        <f t="shared" si="68"/>
        <v>25</v>
      </c>
      <c r="S401" s="189">
        <f t="shared" si="68"/>
        <v>27</v>
      </c>
    </row>
    <row r="402" spans="1:19" x14ac:dyDescent="0.2">
      <c r="A402" s="364">
        <v>1994</v>
      </c>
      <c r="B402" s="189" t="str">
        <f t="shared" ref="B402:L402" si="70">IF(AND(B331="-",B260="-",B189="-",B118="-"),"-",SUM(B331,B260,B189,B118))</f>
        <v>-</v>
      </c>
      <c r="C402" s="189" t="str">
        <f t="shared" si="70"/>
        <v>-</v>
      </c>
      <c r="D402" s="189">
        <f t="shared" si="70"/>
        <v>7885</v>
      </c>
      <c r="E402" s="189">
        <f t="shared" si="70"/>
        <v>8906</v>
      </c>
      <c r="F402" s="189" t="str">
        <f t="shared" si="70"/>
        <v>-</v>
      </c>
      <c r="G402" s="189">
        <f t="shared" si="70"/>
        <v>234</v>
      </c>
      <c r="H402" s="189">
        <f t="shared" si="70"/>
        <v>1239</v>
      </c>
      <c r="I402" s="189">
        <f t="shared" si="70"/>
        <v>6588</v>
      </c>
      <c r="J402" s="189">
        <f t="shared" si="70"/>
        <v>378</v>
      </c>
      <c r="K402" s="189" t="str">
        <f t="shared" si="70"/>
        <v>-</v>
      </c>
      <c r="L402" s="189">
        <f t="shared" si="70"/>
        <v>25230</v>
      </c>
      <c r="N402" s="189" t="str">
        <f t="shared" si="68"/>
        <v>-</v>
      </c>
      <c r="O402" s="189" t="str">
        <f t="shared" si="68"/>
        <v>-</v>
      </c>
      <c r="P402" s="189" t="str">
        <f t="shared" si="68"/>
        <v>-</v>
      </c>
      <c r="Q402" s="189" t="str">
        <f t="shared" si="68"/>
        <v>-</v>
      </c>
      <c r="R402" s="189" t="str">
        <f t="shared" si="68"/>
        <v>-</v>
      </c>
      <c r="S402" s="189" t="str">
        <f t="shared" si="68"/>
        <v>-</v>
      </c>
    </row>
    <row r="403" spans="1:19" x14ac:dyDescent="0.2">
      <c r="A403" s="364">
        <v>1995</v>
      </c>
      <c r="B403" s="189" t="str">
        <f t="shared" ref="B403:L403" si="71">IF(AND(B332="-",B261="-",B190="-",B119="-"),"-",SUM(B332,B261,B190,B119))</f>
        <v>-</v>
      </c>
      <c r="C403" s="189" t="str">
        <f t="shared" si="71"/>
        <v>-</v>
      </c>
      <c r="D403" s="189">
        <f t="shared" si="71"/>
        <v>10907</v>
      </c>
      <c r="E403" s="189">
        <f t="shared" si="71"/>
        <v>35866</v>
      </c>
      <c r="F403" s="189">
        <f t="shared" si="71"/>
        <v>1682</v>
      </c>
      <c r="G403" s="189">
        <f t="shared" si="71"/>
        <v>97878</v>
      </c>
      <c r="H403" s="189">
        <f t="shared" si="71"/>
        <v>38547</v>
      </c>
      <c r="I403" s="189">
        <f t="shared" si="71"/>
        <v>28585</v>
      </c>
      <c r="J403" s="189">
        <f t="shared" si="71"/>
        <v>324</v>
      </c>
      <c r="K403" s="189" t="str">
        <f t="shared" si="71"/>
        <v>-</v>
      </c>
      <c r="L403" s="189">
        <f t="shared" si="71"/>
        <v>213789</v>
      </c>
      <c r="N403" s="189" t="str">
        <f t="shared" si="68"/>
        <v>-</v>
      </c>
      <c r="O403" s="189" t="str">
        <f t="shared" si="68"/>
        <v>-</v>
      </c>
      <c r="P403" s="189" t="str">
        <f t="shared" si="68"/>
        <v>-</v>
      </c>
      <c r="Q403" s="189" t="str">
        <f t="shared" si="68"/>
        <v>-</v>
      </c>
      <c r="R403" s="189" t="str">
        <f t="shared" si="68"/>
        <v>-</v>
      </c>
      <c r="S403" s="189" t="str">
        <f t="shared" si="68"/>
        <v>-</v>
      </c>
    </row>
    <row r="404" spans="1:19" x14ac:dyDescent="0.2">
      <c r="A404" s="364">
        <v>1996</v>
      </c>
      <c r="B404" s="189" t="str">
        <f t="shared" ref="B404:L404" si="72">IF(AND(B333="-",B262="-",B191="-",B120="-"),"-",SUM(B333,B262,B191,B120))</f>
        <v>-</v>
      </c>
      <c r="C404" s="189" t="str">
        <f t="shared" si="72"/>
        <v>-</v>
      </c>
      <c r="D404" s="189">
        <f t="shared" si="72"/>
        <v>28506</v>
      </c>
      <c r="E404" s="189">
        <f t="shared" si="72"/>
        <v>41500</v>
      </c>
      <c r="F404" s="189" t="str">
        <f t="shared" si="72"/>
        <v>-</v>
      </c>
      <c r="G404" s="189">
        <f t="shared" si="72"/>
        <v>63464</v>
      </c>
      <c r="H404" s="189">
        <f t="shared" si="72"/>
        <v>25967</v>
      </c>
      <c r="I404" s="189">
        <f t="shared" si="72"/>
        <v>14927</v>
      </c>
      <c r="J404" s="189">
        <f t="shared" si="72"/>
        <v>845</v>
      </c>
      <c r="K404" s="189" t="str">
        <f t="shared" si="72"/>
        <v>-</v>
      </c>
      <c r="L404" s="189">
        <f t="shared" si="72"/>
        <v>175209</v>
      </c>
      <c r="N404" s="189">
        <f t="shared" si="68"/>
        <v>8</v>
      </c>
      <c r="O404" s="189" t="str">
        <f t="shared" si="68"/>
        <v>-</v>
      </c>
      <c r="P404" s="189" t="str">
        <f t="shared" si="68"/>
        <v>-</v>
      </c>
      <c r="Q404" s="189" t="str">
        <f t="shared" si="68"/>
        <v>-</v>
      </c>
      <c r="R404" s="189" t="str">
        <f t="shared" si="68"/>
        <v>-</v>
      </c>
      <c r="S404" s="189">
        <f t="shared" si="68"/>
        <v>8</v>
      </c>
    </row>
    <row r="405" spans="1:19" x14ac:dyDescent="0.2">
      <c r="A405" s="364">
        <v>1997</v>
      </c>
      <c r="B405" s="189" t="str">
        <f t="shared" ref="B405:L405" si="73">IF(AND(B334="-",B263="-",B192="-",B121="-"),"-",SUM(B334,B263,B192,B121))</f>
        <v>-</v>
      </c>
      <c r="C405" s="189">
        <f t="shared" si="73"/>
        <v>4493</v>
      </c>
      <c r="D405" s="189">
        <f t="shared" si="73"/>
        <v>33366</v>
      </c>
      <c r="E405" s="189">
        <f t="shared" si="73"/>
        <v>35381</v>
      </c>
      <c r="F405" s="189" t="str">
        <f t="shared" si="73"/>
        <v>-</v>
      </c>
      <c r="G405" s="189">
        <f t="shared" si="73"/>
        <v>44843</v>
      </c>
      <c r="H405" s="189">
        <f t="shared" si="73"/>
        <v>25786</v>
      </c>
      <c r="I405" s="189">
        <f t="shared" si="73"/>
        <v>5370</v>
      </c>
      <c r="J405" s="189">
        <f t="shared" si="73"/>
        <v>492</v>
      </c>
      <c r="K405" s="189" t="str">
        <f t="shared" si="73"/>
        <v>-</v>
      </c>
      <c r="L405" s="189">
        <f t="shared" si="73"/>
        <v>149731</v>
      </c>
      <c r="N405" s="189" t="str">
        <f t="shared" si="68"/>
        <v>-</v>
      </c>
      <c r="O405" s="189" t="str">
        <f t="shared" si="68"/>
        <v>-</v>
      </c>
      <c r="P405" s="189" t="str">
        <f t="shared" si="68"/>
        <v>-</v>
      </c>
      <c r="Q405" s="189" t="str">
        <f t="shared" si="68"/>
        <v>-</v>
      </c>
      <c r="R405" s="189" t="str">
        <f t="shared" si="68"/>
        <v>-</v>
      </c>
      <c r="S405" s="189" t="str">
        <f t="shared" si="68"/>
        <v>-</v>
      </c>
    </row>
    <row r="406" spans="1:19" x14ac:dyDescent="0.2">
      <c r="A406" s="364">
        <v>1998</v>
      </c>
      <c r="B406" s="189" t="str">
        <f t="shared" ref="B406:L406" si="74">IF(AND(B335="-",B264="-",B193="-",B122="-"),"-",SUM(B335,B264,B193,B122))</f>
        <v>-</v>
      </c>
      <c r="C406" s="189">
        <f t="shared" si="74"/>
        <v>19953</v>
      </c>
      <c r="D406" s="189">
        <f t="shared" si="74"/>
        <v>39740</v>
      </c>
      <c r="E406" s="189">
        <f t="shared" si="74"/>
        <v>33749</v>
      </c>
      <c r="F406" s="189" t="str">
        <f t="shared" si="74"/>
        <v>-</v>
      </c>
      <c r="G406" s="189">
        <f t="shared" si="74"/>
        <v>20950</v>
      </c>
      <c r="H406" s="189">
        <f t="shared" si="74"/>
        <v>4952</v>
      </c>
      <c r="I406" s="189">
        <f t="shared" si="74"/>
        <v>3967</v>
      </c>
      <c r="J406" s="189">
        <f t="shared" si="74"/>
        <v>900</v>
      </c>
      <c r="K406" s="189" t="str">
        <f t="shared" si="74"/>
        <v>-</v>
      </c>
      <c r="L406" s="189">
        <f t="shared" si="74"/>
        <v>124211</v>
      </c>
      <c r="N406" s="189" t="str">
        <f t="shared" si="68"/>
        <v>-</v>
      </c>
      <c r="O406" s="189" t="str">
        <f t="shared" si="68"/>
        <v>-</v>
      </c>
      <c r="P406" s="189" t="str">
        <f t="shared" si="68"/>
        <v>-</v>
      </c>
      <c r="Q406" s="189" t="str">
        <f t="shared" si="68"/>
        <v>-</v>
      </c>
      <c r="R406" s="189" t="str">
        <f t="shared" si="68"/>
        <v>-</v>
      </c>
      <c r="S406" s="189" t="str">
        <f t="shared" si="68"/>
        <v>-</v>
      </c>
    </row>
    <row r="407" spans="1:19" x14ac:dyDescent="0.2">
      <c r="A407" s="364">
        <v>1999</v>
      </c>
      <c r="B407" s="189" t="str">
        <f t="shared" ref="B407:L407" si="75">IF(AND(B336="-",B265="-",B194="-",B123="-"),"-",SUM(B336,B265,B194,B123))</f>
        <v>-</v>
      </c>
      <c r="C407" s="189">
        <f t="shared" si="75"/>
        <v>826</v>
      </c>
      <c r="D407" s="189">
        <f t="shared" si="75"/>
        <v>6056</v>
      </c>
      <c r="E407" s="189">
        <f t="shared" si="75"/>
        <v>23447</v>
      </c>
      <c r="F407" s="189">
        <f t="shared" si="75"/>
        <v>8095</v>
      </c>
      <c r="G407" s="189">
        <f t="shared" si="75"/>
        <v>18064</v>
      </c>
      <c r="H407" s="189">
        <f t="shared" si="75"/>
        <v>1934</v>
      </c>
      <c r="I407" s="189">
        <f t="shared" si="75"/>
        <v>2816</v>
      </c>
      <c r="J407" s="189">
        <f t="shared" si="75"/>
        <v>1237</v>
      </c>
      <c r="K407" s="189">
        <f t="shared" si="75"/>
        <v>43</v>
      </c>
      <c r="L407" s="189">
        <f t="shared" si="75"/>
        <v>62518</v>
      </c>
      <c r="N407" s="189" t="str">
        <f t="shared" si="68"/>
        <v>-</v>
      </c>
      <c r="O407" s="189" t="str">
        <f t="shared" si="68"/>
        <v>-</v>
      </c>
      <c r="P407" s="189" t="str">
        <f t="shared" si="68"/>
        <v>-</v>
      </c>
      <c r="Q407" s="189" t="str">
        <f t="shared" si="68"/>
        <v>-</v>
      </c>
      <c r="R407" s="189" t="str">
        <f t="shared" si="68"/>
        <v>-</v>
      </c>
      <c r="S407" s="189" t="str">
        <f t="shared" si="68"/>
        <v>-</v>
      </c>
    </row>
    <row r="408" spans="1:19" x14ac:dyDescent="0.2">
      <c r="A408" s="364">
        <v>2000</v>
      </c>
      <c r="B408" s="189" t="str">
        <f t="shared" ref="B408:L408" si="76">IF(AND(B337="-",B266="-",B195="-",B124="-"),"-",SUM(B337,B266,B195,B124))</f>
        <v>-</v>
      </c>
      <c r="C408" s="189">
        <f t="shared" si="76"/>
        <v>1187</v>
      </c>
      <c r="D408" s="189">
        <f t="shared" si="76"/>
        <v>6085</v>
      </c>
      <c r="E408" s="189">
        <f t="shared" si="76"/>
        <v>11441</v>
      </c>
      <c r="F408" s="189">
        <f t="shared" si="76"/>
        <v>19664</v>
      </c>
      <c r="G408" s="189">
        <f t="shared" si="76"/>
        <v>48747</v>
      </c>
      <c r="H408" s="189">
        <f t="shared" si="76"/>
        <v>31534</v>
      </c>
      <c r="I408" s="189">
        <f t="shared" si="76"/>
        <v>13096</v>
      </c>
      <c r="J408" s="189">
        <f t="shared" si="76"/>
        <v>1537</v>
      </c>
      <c r="K408" s="189">
        <f t="shared" si="76"/>
        <v>367</v>
      </c>
      <c r="L408" s="189">
        <f t="shared" si="76"/>
        <v>133658</v>
      </c>
      <c r="N408" s="189" t="str">
        <f t="shared" si="68"/>
        <v>-</v>
      </c>
      <c r="O408" s="189" t="str">
        <f t="shared" si="68"/>
        <v>-</v>
      </c>
      <c r="P408" s="189" t="str">
        <f t="shared" si="68"/>
        <v>-</v>
      </c>
      <c r="Q408" s="189" t="str">
        <f t="shared" si="68"/>
        <v>-</v>
      </c>
      <c r="R408" s="189" t="str">
        <f t="shared" si="68"/>
        <v>-</v>
      </c>
      <c r="S408" s="189" t="str">
        <f t="shared" si="68"/>
        <v>-</v>
      </c>
    </row>
    <row r="409" spans="1:19" x14ac:dyDescent="0.2">
      <c r="A409" s="364">
        <v>2001</v>
      </c>
      <c r="B409" s="189" t="str">
        <f t="shared" ref="B409:L409" si="77">IF(AND(B338="-",B267="-",B196="-",B125="-"),"-",SUM(B338,B267,B196,B125))</f>
        <v>-</v>
      </c>
      <c r="C409" s="189">
        <f t="shared" si="77"/>
        <v>18536</v>
      </c>
      <c r="D409" s="189">
        <f t="shared" si="77"/>
        <v>60785</v>
      </c>
      <c r="E409" s="189">
        <f t="shared" si="77"/>
        <v>43288</v>
      </c>
      <c r="F409" s="189">
        <f t="shared" si="77"/>
        <v>37539</v>
      </c>
      <c r="G409" s="189">
        <f t="shared" si="77"/>
        <v>61997</v>
      </c>
      <c r="H409" s="189">
        <f t="shared" si="77"/>
        <v>31521</v>
      </c>
      <c r="I409" s="189">
        <f t="shared" si="77"/>
        <v>15840</v>
      </c>
      <c r="J409" s="189">
        <f t="shared" si="77"/>
        <v>1345</v>
      </c>
      <c r="K409" s="189">
        <f t="shared" si="77"/>
        <v>21</v>
      </c>
      <c r="L409" s="189">
        <f t="shared" si="77"/>
        <v>270872</v>
      </c>
      <c r="N409" s="189" t="str">
        <f t="shared" si="68"/>
        <v>-</v>
      </c>
      <c r="O409" s="189" t="str">
        <f t="shared" si="68"/>
        <v>-</v>
      </c>
      <c r="P409" s="189" t="str">
        <f t="shared" si="68"/>
        <v>-</v>
      </c>
      <c r="Q409" s="189" t="str">
        <f t="shared" si="68"/>
        <v>-</v>
      </c>
      <c r="R409" s="189" t="str">
        <f t="shared" si="68"/>
        <v>-</v>
      </c>
      <c r="S409" s="189" t="str">
        <f t="shared" si="68"/>
        <v>-</v>
      </c>
    </row>
    <row r="410" spans="1:19" x14ac:dyDescent="0.2">
      <c r="A410" s="364">
        <v>2002</v>
      </c>
      <c r="B410" s="189">
        <f t="shared" ref="B410:L410" si="78">IF(AND(B339="-",B268="-",B197="-",B126="-"),"-",SUM(B339,B268,B197,B126))</f>
        <v>6667</v>
      </c>
      <c r="C410" s="189">
        <f t="shared" si="78"/>
        <v>10689</v>
      </c>
      <c r="D410" s="189">
        <f t="shared" si="78"/>
        <v>23570</v>
      </c>
      <c r="E410" s="189">
        <f t="shared" si="78"/>
        <v>60833</v>
      </c>
      <c r="F410" s="189">
        <f t="shared" si="78"/>
        <v>13778</v>
      </c>
      <c r="G410" s="189">
        <f t="shared" si="78"/>
        <v>29627</v>
      </c>
      <c r="H410" s="189">
        <f t="shared" si="78"/>
        <v>61166</v>
      </c>
      <c r="I410" s="189">
        <f t="shared" si="78"/>
        <v>83742</v>
      </c>
      <c r="J410" s="189">
        <f t="shared" si="78"/>
        <v>1255</v>
      </c>
      <c r="K410" s="189">
        <f t="shared" si="78"/>
        <v>65</v>
      </c>
      <c r="L410" s="189">
        <f t="shared" si="78"/>
        <v>291392</v>
      </c>
      <c r="N410" s="189" t="str">
        <f t="shared" ref="N410:S419" si="79">IF(AND(N339="-",N268="-",N197="-",N126="-"),"-",SUM(N339,N268,N197,N126))</f>
        <v>-</v>
      </c>
      <c r="O410" s="189" t="str">
        <f t="shared" si="79"/>
        <v>-</v>
      </c>
      <c r="P410" s="189" t="str">
        <f t="shared" si="79"/>
        <v>-</v>
      </c>
      <c r="Q410" s="189" t="str">
        <f t="shared" si="79"/>
        <v>-</v>
      </c>
      <c r="R410" s="189" t="str">
        <f t="shared" si="79"/>
        <v>-</v>
      </c>
      <c r="S410" s="189" t="str">
        <f t="shared" si="79"/>
        <v>-</v>
      </c>
    </row>
    <row r="411" spans="1:19" x14ac:dyDescent="0.2">
      <c r="A411" s="118">
        <v>2003</v>
      </c>
      <c r="B411" s="189">
        <f t="shared" ref="B411:L411" si="80">IF(AND(B340="-",B269="-",B198="-",B127="-"),"-",SUM(B340,B269,B198,B127))</f>
        <v>3192</v>
      </c>
      <c r="C411" s="189">
        <f t="shared" si="80"/>
        <v>59009</v>
      </c>
      <c r="D411" s="189">
        <f t="shared" si="80"/>
        <v>74097</v>
      </c>
      <c r="E411" s="189">
        <f t="shared" si="80"/>
        <v>32325</v>
      </c>
      <c r="F411" s="189">
        <f t="shared" si="80"/>
        <v>20661</v>
      </c>
      <c r="G411" s="189">
        <f t="shared" si="80"/>
        <v>38429</v>
      </c>
      <c r="H411" s="189">
        <f t="shared" si="80"/>
        <v>50765</v>
      </c>
      <c r="I411" s="189">
        <f t="shared" si="80"/>
        <v>39680</v>
      </c>
      <c r="J411" s="189">
        <f t="shared" si="80"/>
        <v>999</v>
      </c>
      <c r="K411" s="189">
        <f t="shared" si="80"/>
        <v>137</v>
      </c>
      <c r="L411" s="189">
        <f t="shared" si="80"/>
        <v>319294</v>
      </c>
      <c r="N411" s="189" t="str">
        <f t="shared" si="79"/>
        <v>-</v>
      </c>
      <c r="O411" s="189" t="str">
        <f t="shared" si="79"/>
        <v>-</v>
      </c>
      <c r="P411" s="189" t="str">
        <f t="shared" si="79"/>
        <v>-</v>
      </c>
      <c r="Q411" s="189" t="str">
        <f t="shared" si="79"/>
        <v>-</v>
      </c>
      <c r="R411" s="189" t="str">
        <f t="shared" si="79"/>
        <v>-</v>
      </c>
      <c r="S411" s="189" t="str">
        <f t="shared" si="79"/>
        <v>-</v>
      </c>
    </row>
    <row r="412" spans="1:19" x14ac:dyDescent="0.2">
      <c r="A412" s="118">
        <v>2004</v>
      </c>
      <c r="B412" s="189">
        <f t="shared" ref="B412:L412" si="81">IF(AND(B341="-",B270="-",B199="-",B128="-"),"-",SUM(B341,B270,B199,B128))</f>
        <v>21049</v>
      </c>
      <c r="C412" s="189">
        <f t="shared" si="81"/>
        <v>34021</v>
      </c>
      <c r="D412" s="189">
        <f t="shared" si="81"/>
        <v>38044</v>
      </c>
      <c r="E412" s="189">
        <f t="shared" si="81"/>
        <v>25724</v>
      </c>
      <c r="F412" s="189">
        <f t="shared" si="81"/>
        <v>16373</v>
      </c>
      <c r="G412" s="189">
        <f t="shared" si="81"/>
        <v>78663</v>
      </c>
      <c r="H412" s="189">
        <f t="shared" si="81"/>
        <v>24802</v>
      </c>
      <c r="I412" s="189">
        <f t="shared" si="81"/>
        <v>8542</v>
      </c>
      <c r="J412" s="189">
        <f t="shared" si="81"/>
        <v>2191</v>
      </c>
      <c r="K412" s="189">
        <f t="shared" si="81"/>
        <v>182</v>
      </c>
      <c r="L412" s="189">
        <f t="shared" si="81"/>
        <v>249591</v>
      </c>
      <c r="N412" s="189" t="str">
        <f t="shared" si="79"/>
        <v>-</v>
      </c>
      <c r="O412" s="189" t="str">
        <f t="shared" si="79"/>
        <v>-</v>
      </c>
      <c r="P412" s="189" t="str">
        <f t="shared" si="79"/>
        <v>-</v>
      </c>
      <c r="Q412" s="189" t="str">
        <f t="shared" si="79"/>
        <v>-</v>
      </c>
      <c r="R412" s="189" t="str">
        <f t="shared" si="79"/>
        <v>-</v>
      </c>
      <c r="S412" s="189" t="str">
        <f t="shared" si="79"/>
        <v>-</v>
      </c>
    </row>
    <row r="413" spans="1:19" x14ac:dyDescent="0.2">
      <c r="A413" s="118">
        <v>2005</v>
      </c>
      <c r="B413" s="189">
        <f t="shared" ref="B413:L413" si="82">IF(AND(B342="-",B271="-",B200="-",B129="-"),"-",SUM(B342,B271,B200,B129))</f>
        <v>28384</v>
      </c>
      <c r="C413" s="189">
        <f t="shared" si="82"/>
        <v>4788</v>
      </c>
      <c r="D413" s="189">
        <f t="shared" si="82"/>
        <v>55741</v>
      </c>
      <c r="E413" s="189">
        <f t="shared" si="82"/>
        <v>49895</v>
      </c>
      <c r="F413" s="189" t="str">
        <f t="shared" si="82"/>
        <v>-</v>
      </c>
      <c r="G413" s="189" t="str">
        <f t="shared" si="82"/>
        <v>-</v>
      </c>
      <c r="H413" s="189">
        <f t="shared" si="82"/>
        <v>83313</v>
      </c>
      <c r="I413" s="189">
        <f t="shared" si="82"/>
        <v>17811</v>
      </c>
      <c r="J413" s="189">
        <f t="shared" si="82"/>
        <v>943</v>
      </c>
      <c r="K413" s="189">
        <f t="shared" si="82"/>
        <v>335</v>
      </c>
      <c r="L413" s="189">
        <f t="shared" si="82"/>
        <v>241210</v>
      </c>
      <c r="N413" s="189" t="str">
        <f t="shared" si="79"/>
        <v>-</v>
      </c>
      <c r="O413" s="189" t="str">
        <f t="shared" si="79"/>
        <v>-</v>
      </c>
      <c r="P413" s="189" t="str">
        <f t="shared" si="79"/>
        <v>-</v>
      </c>
      <c r="Q413" s="189" t="str">
        <f t="shared" si="79"/>
        <v>-</v>
      </c>
      <c r="R413" s="189" t="str">
        <f t="shared" si="79"/>
        <v>-</v>
      </c>
      <c r="S413" s="189" t="str">
        <f t="shared" si="79"/>
        <v>-</v>
      </c>
    </row>
    <row r="414" spans="1:19" x14ac:dyDescent="0.2">
      <c r="A414" s="118">
        <v>2006</v>
      </c>
      <c r="B414" s="189" t="str">
        <f t="shared" ref="B414:L414" si="83">IF(AND(B343="-",B272="-",B201="-",B130="-"),"-",SUM(B343,B272,B201,B130))</f>
        <v>-</v>
      </c>
      <c r="C414" s="189" t="str">
        <f t="shared" si="83"/>
        <v>-</v>
      </c>
      <c r="D414" s="189" t="str">
        <f t="shared" si="83"/>
        <v>-</v>
      </c>
      <c r="E414" s="189">
        <f t="shared" si="83"/>
        <v>9550</v>
      </c>
      <c r="F414" s="189">
        <f t="shared" si="83"/>
        <v>3616</v>
      </c>
      <c r="G414" s="189">
        <f t="shared" si="83"/>
        <v>962</v>
      </c>
      <c r="H414" s="189">
        <f t="shared" si="83"/>
        <v>4379</v>
      </c>
      <c r="I414" s="189">
        <f t="shared" si="83"/>
        <v>4039</v>
      </c>
      <c r="J414" s="189">
        <f t="shared" si="83"/>
        <v>1691</v>
      </c>
      <c r="K414" s="189">
        <f t="shared" si="83"/>
        <v>131</v>
      </c>
      <c r="L414" s="189">
        <f t="shared" si="83"/>
        <v>24368</v>
      </c>
      <c r="N414" s="189" t="str">
        <f t="shared" si="79"/>
        <v>-</v>
      </c>
      <c r="O414" s="189" t="str">
        <f t="shared" si="79"/>
        <v>-</v>
      </c>
      <c r="P414" s="189" t="str">
        <f t="shared" si="79"/>
        <v>-</v>
      </c>
      <c r="Q414" s="189" t="str">
        <f t="shared" si="79"/>
        <v>-</v>
      </c>
      <c r="R414" s="189" t="str">
        <f t="shared" si="79"/>
        <v>-</v>
      </c>
      <c r="S414" s="189" t="str">
        <f t="shared" si="79"/>
        <v>-</v>
      </c>
    </row>
    <row r="415" spans="1:19" s="366" customFormat="1" x14ac:dyDescent="0.2">
      <c r="A415" s="118">
        <v>2007</v>
      </c>
      <c r="B415" s="187" t="str">
        <f t="shared" ref="B415:L415" si="84">IF(AND(B344="-",B273="-",B202="-",B131="-"),"-",SUM(B344,B273,B202,B131))</f>
        <v>-</v>
      </c>
      <c r="C415" s="187">
        <f t="shared" si="84"/>
        <v>1871</v>
      </c>
      <c r="D415" s="187">
        <f t="shared" si="84"/>
        <v>7353</v>
      </c>
      <c r="E415" s="187">
        <f t="shared" si="84"/>
        <v>5190</v>
      </c>
      <c r="F415" s="187">
        <f t="shared" si="84"/>
        <v>2909</v>
      </c>
      <c r="G415" s="187">
        <f t="shared" si="84"/>
        <v>13884</v>
      </c>
      <c r="H415" s="187">
        <f t="shared" si="84"/>
        <v>1113</v>
      </c>
      <c r="I415" s="187">
        <f t="shared" si="84"/>
        <v>1004</v>
      </c>
      <c r="J415" s="187">
        <f t="shared" si="84"/>
        <v>717</v>
      </c>
      <c r="K415" s="187">
        <f t="shared" si="84"/>
        <v>3</v>
      </c>
      <c r="L415" s="187">
        <f t="shared" si="84"/>
        <v>34044</v>
      </c>
      <c r="M415" s="187"/>
      <c r="N415" s="187" t="str">
        <f t="shared" si="79"/>
        <v>-</v>
      </c>
      <c r="O415" s="187" t="str">
        <f t="shared" si="79"/>
        <v>-</v>
      </c>
      <c r="P415" s="187">
        <f t="shared" si="79"/>
        <v>5036</v>
      </c>
      <c r="Q415" s="187">
        <f t="shared" si="79"/>
        <v>519</v>
      </c>
      <c r="R415" s="187" t="str">
        <f t="shared" si="79"/>
        <v>-</v>
      </c>
      <c r="S415" s="187">
        <f t="shared" si="79"/>
        <v>5555</v>
      </c>
    </row>
    <row r="416" spans="1:19" s="366" customFormat="1" x14ac:dyDescent="0.2">
      <c r="A416" s="118">
        <v>2008</v>
      </c>
      <c r="B416" s="187" t="str">
        <f t="shared" ref="B416:L416" si="85">IF(AND(B345="-",B274="-",B203="-",B132="-"),"-",SUM(B345,B274,B203,B132))</f>
        <v>-</v>
      </c>
      <c r="C416" s="187" t="str">
        <f t="shared" si="85"/>
        <v>-</v>
      </c>
      <c r="D416" s="187" t="str">
        <f t="shared" si="85"/>
        <v>-</v>
      </c>
      <c r="E416" s="187" t="str">
        <f t="shared" si="85"/>
        <v>-</v>
      </c>
      <c r="F416" s="187" t="str">
        <f t="shared" si="85"/>
        <v>-</v>
      </c>
      <c r="G416" s="187" t="str">
        <f t="shared" si="85"/>
        <v>-</v>
      </c>
      <c r="H416" s="187">
        <f t="shared" si="85"/>
        <v>64</v>
      </c>
      <c r="I416" s="187">
        <f t="shared" si="85"/>
        <v>248</v>
      </c>
      <c r="J416" s="187">
        <f t="shared" si="85"/>
        <v>208</v>
      </c>
      <c r="K416" s="187" t="str">
        <f t="shared" si="85"/>
        <v>-</v>
      </c>
      <c r="L416" s="187">
        <f t="shared" si="85"/>
        <v>520</v>
      </c>
      <c r="M416" s="187"/>
      <c r="N416" s="187" t="str">
        <f t="shared" si="79"/>
        <v>-</v>
      </c>
      <c r="O416" s="187" t="str">
        <f t="shared" si="79"/>
        <v>-</v>
      </c>
      <c r="P416" s="187" t="str">
        <f t="shared" si="79"/>
        <v>-</v>
      </c>
      <c r="Q416" s="187" t="str">
        <f t="shared" si="79"/>
        <v>-</v>
      </c>
      <c r="R416" s="187" t="str">
        <f t="shared" si="79"/>
        <v>-</v>
      </c>
      <c r="S416" s="187" t="str">
        <f t="shared" si="79"/>
        <v>-</v>
      </c>
    </row>
    <row r="417" spans="1:19" s="366" customFormat="1" x14ac:dyDescent="0.2">
      <c r="A417" s="118">
        <v>2009</v>
      </c>
      <c r="B417" s="187" t="str">
        <f t="shared" ref="B417:L417" si="86">IF(AND(B346="-",B275="-",B204="-",B133="-"),"-",SUM(B346,B275,B204,B133))</f>
        <v>-</v>
      </c>
      <c r="C417" s="187" t="str">
        <f t="shared" si="86"/>
        <v>-</v>
      </c>
      <c r="D417" s="187" t="str">
        <f t="shared" si="86"/>
        <v>-</v>
      </c>
      <c r="E417" s="187" t="str">
        <f t="shared" si="86"/>
        <v>-</v>
      </c>
      <c r="F417" s="187" t="str">
        <f t="shared" si="86"/>
        <v>-</v>
      </c>
      <c r="G417" s="187" t="str">
        <f t="shared" si="86"/>
        <v>-</v>
      </c>
      <c r="H417" s="187">
        <f t="shared" si="86"/>
        <v>105</v>
      </c>
      <c r="I417" s="187">
        <f t="shared" si="86"/>
        <v>332</v>
      </c>
      <c r="J417" s="187" t="str">
        <f t="shared" si="86"/>
        <v>-</v>
      </c>
      <c r="K417" s="187" t="str">
        <f t="shared" si="86"/>
        <v>-</v>
      </c>
      <c r="L417" s="187">
        <f t="shared" si="86"/>
        <v>437</v>
      </c>
      <c r="M417" s="187"/>
      <c r="N417" s="187" t="str">
        <f t="shared" si="79"/>
        <v>-</v>
      </c>
      <c r="O417" s="187" t="str">
        <f t="shared" si="79"/>
        <v>-</v>
      </c>
      <c r="P417" s="187" t="str">
        <f t="shared" si="79"/>
        <v>-</v>
      </c>
      <c r="Q417" s="187">
        <f t="shared" si="79"/>
        <v>9278</v>
      </c>
      <c r="R417" s="187" t="str">
        <f t="shared" si="79"/>
        <v>-</v>
      </c>
      <c r="S417" s="187">
        <f t="shared" si="79"/>
        <v>9278</v>
      </c>
    </row>
    <row r="418" spans="1:19" s="366" customFormat="1" x14ac:dyDescent="0.2">
      <c r="A418" s="118">
        <v>2010</v>
      </c>
      <c r="B418" s="187" t="str">
        <f t="shared" ref="B418:L418" si="87">IF(AND(B347="-",B276="-",B205="-",B134="-"),"-",SUM(B347,B276,B205,B134))</f>
        <v>-</v>
      </c>
      <c r="C418" s="187" t="str">
        <f t="shared" si="87"/>
        <v>-</v>
      </c>
      <c r="D418" s="187">
        <f t="shared" si="87"/>
        <v>9183</v>
      </c>
      <c r="E418" s="187">
        <f t="shared" si="87"/>
        <v>8966</v>
      </c>
      <c r="F418" s="187">
        <f t="shared" si="87"/>
        <v>4327</v>
      </c>
      <c r="G418" s="187">
        <f t="shared" si="87"/>
        <v>3922</v>
      </c>
      <c r="H418" s="187">
        <f t="shared" si="87"/>
        <v>56</v>
      </c>
      <c r="I418" s="187">
        <f t="shared" si="87"/>
        <v>1859</v>
      </c>
      <c r="J418" s="187" t="str">
        <f t="shared" si="87"/>
        <v>-</v>
      </c>
      <c r="K418" s="187" t="str">
        <f t="shared" si="87"/>
        <v>-</v>
      </c>
      <c r="L418" s="187">
        <f t="shared" si="87"/>
        <v>28313</v>
      </c>
      <c r="M418" s="187"/>
      <c r="N418" s="187" t="str">
        <f t="shared" si="79"/>
        <v>-</v>
      </c>
      <c r="O418" s="187" t="str">
        <f t="shared" si="79"/>
        <v>-</v>
      </c>
      <c r="P418" s="187" t="str">
        <f t="shared" si="79"/>
        <v>-</v>
      </c>
      <c r="Q418" s="187" t="str">
        <f t="shared" si="79"/>
        <v>-</v>
      </c>
      <c r="R418" s="187" t="str">
        <f t="shared" si="79"/>
        <v>-</v>
      </c>
      <c r="S418" s="187" t="str">
        <f t="shared" si="79"/>
        <v>-</v>
      </c>
    </row>
    <row r="419" spans="1:19" s="366" customFormat="1" x14ac:dyDescent="0.2">
      <c r="A419" s="118">
        <v>2011</v>
      </c>
      <c r="B419" s="187" t="str">
        <f t="shared" ref="B419:L419" si="88">IF(AND(B348="-",B277="-",B206="-",B135="-"),"-",SUM(B348,B277,B206,B135))</f>
        <v>-</v>
      </c>
      <c r="C419" s="187">
        <f t="shared" si="88"/>
        <v>4481</v>
      </c>
      <c r="D419" s="187">
        <f t="shared" si="88"/>
        <v>8502</v>
      </c>
      <c r="E419" s="187">
        <f t="shared" si="88"/>
        <v>10655</v>
      </c>
      <c r="F419" s="187">
        <f t="shared" si="88"/>
        <v>726</v>
      </c>
      <c r="G419" s="187">
        <f t="shared" si="88"/>
        <v>1349</v>
      </c>
      <c r="H419" s="187">
        <f t="shared" si="88"/>
        <v>337</v>
      </c>
      <c r="I419" s="187">
        <f t="shared" si="88"/>
        <v>1200</v>
      </c>
      <c r="J419" s="187">
        <f t="shared" si="88"/>
        <v>1995</v>
      </c>
      <c r="K419" s="187" t="str">
        <f t="shared" si="88"/>
        <v>-</v>
      </c>
      <c r="L419" s="187">
        <f t="shared" si="88"/>
        <v>29245</v>
      </c>
      <c r="M419" s="187"/>
      <c r="N419" s="187" t="str">
        <f t="shared" si="79"/>
        <v>-</v>
      </c>
      <c r="O419" s="187" t="str">
        <f t="shared" si="79"/>
        <v>-</v>
      </c>
      <c r="P419" s="187" t="str">
        <f t="shared" si="79"/>
        <v>-</v>
      </c>
      <c r="Q419" s="187" t="str">
        <f t="shared" si="79"/>
        <v>-</v>
      </c>
      <c r="R419" s="187" t="str">
        <f t="shared" si="79"/>
        <v>-</v>
      </c>
      <c r="S419" s="187" t="str">
        <f t="shared" si="79"/>
        <v>-</v>
      </c>
    </row>
    <row r="420" spans="1:19" s="366" customFormat="1" x14ac:dyDescent="0.2">
      <c r="A420" s="118">
        <v>2012</v>
      </c>
      <c r="B420" s="187" t="str">
        <f t="shared" ref="B420:L420" si="89">IF(AND(B349="-",B278="-",B207="-",B136="-"),"-",SUM(B349,B278,B207,B136))</f>
        <v>-</v>
      </c>
      <c r="C420" s="187">
        <f t="shared" si="89"/>
        <v>3633</v>
      </c>
      <c r="D420" s="187">
        <f t="shared" si="89"/>
        <v>14904</v>
      </c>
      <c r="E420" s="187">
        <f t="shared" si="89"/>
        <v>8644</v>
      </c>
      <c r="F420" s="187">
        <f t="shared" si="89"/>
        <v>3241</v>
      </c>
      <c r="G420" s="187">
        <f t="shared" si="89"/>
        <v>10099</v>
      </c>
      <c r="H420" s="187">
        <f t="shared" si="89"/>
        <v>14561</v>
      </c>
      <c r="I420" s="187">
        <f t="shared" si="89"/>
        <v>8874</v>
      </c>
      <c r="J420" s="187">
        <f t="shared" si="89"/>
        <v>701</v>
      </c>
      <c r="K420" s="187" t="str">
        <f t="shared" si="89"/>
        <v>-</v>
      </c>
      <c r="L420" s="187">
        <f t="shared" si="89"/>
        <v>64657</v>
      </c>
      <c r="M420" s="187"/>
      <c r="N420" s="187" t="str">
        <f t="shared" ref="N420:S426" si="90">IF(AND(N349="-",N278="-",N207="-",N136="-"),"-",SUM(N349,N278,N207,N136))</f>
        <v>-</v>
      </c>
      <c r="O420" s="187" t="str">
        <f t="shared" si="90"/>
        <v>-</v>
      </c>
      <c r="P420" s="187" t="str">
        <f t="shared" si="90"/>
        <v>-</v>
      </c>
      <c r="Q420" s="187" t="str">
        <f t="shared" si="90"/>
        <v>-</v>
      </c>
      <c r="R420" s="187" t="str">
        <f t="shared" si="90"/>
        <v>-</v>
      </c>
      <c r="S420" s="187" t="str">
        <f t="shared" si="90"/>
        <v>-</v>
      </c>
    </row>
    <row r="421" spans="1:19" s="366" customFormat="1" x14ac:dyDescent="0.2">
      <c r="A421" s="118">
        <v>2013</v>
      </c>
      <c r="B421" s="187" t="str">
        <f t="shared" ref="B421:L421" si="91">IF(AND(B350="-",B279="-",B208="-",B137="-"),"-",SUM(B350,B279,B208,B137))</f>
        <v>-</v>
      </c>
      <c r="C421" s="187">
        <f t="shared" si="91"/>
        <v>7423</v>
      </c>
      <c r="D421" s="187">
        <f t="shared" si="91"/>
        <v>9100</v>
      </c>
      <c r="E421" s="187">
        <f t="shared" si="91"/>
        <v>7437</v>
      </c>
      <c r="F421" s="187">
        <f t="shared" si="91"/>
        <v>8502</v>
      </c>
      <c r="G421" s="187">
        <f t="shared" si="91"/>
        <v>40383</v>
      </c>
      <c r="H421" s="187">
        <f t="shared" si="91"/>
        <v>28386</v>
      </c>
      <c r="I421" s="187">
        <f t="shared" si="91"/>
        <v>8579</v>
      </c>
      <c r="J421" s="187">
        <f t="shared" si="91"/>
        <v>1002</v>
      </c>
      <c r="K421" s="187" t="str">
        <f t="shared" si="91"/>
        <v>-</v>
      </c>
      <c r="L421" s="187">
        <f t="shared" si="91"/>
        <v>110812</v>
      </c>
      <c r="M421" s="187"/>
      <c r="N421" s="187" t="str">
        <f t="shared" si="90"/>
        <v>-</v>
      </c>
      <c r="O421" s="187" t="str">
        <f t="shared" si="90"/>
        <v>-</v>
      </c>
      <c r="P421" s="187" t="str">
        <f t="shared" si="90"/>
        <v>-</v>
      </c>
      <c r="Q421" s="187" t="str">
        <f t="shared" si="90"/>
        <v>-</v>
      </c>
      <c r="R421" s="187" t="str">
        <f t="shared" si="90"/>
        <v>-</v>
      </c>
      <c r="S421" s="187" t="str">
        <f t="shared" si="90"/>
        <v>-</v>
      </c>
    </row>
    <row r="422" spans="1:19" s="366" customFormat="1" x14ac:dyDescent="0.2">
      <c r="A422" s="118">
        <v>2014</v>
      </c>
      <c r="B422" s="187" t="str">
        <f t="shared" ref="B422:L422" si="92">IF(AND(B351="-",B280="-",B209="-",B138="-"),"-",SUM(B351,B280,B209,B138))</f>
        <v>-</v>
      </c>
      <c r="C422" s="187">
        <f t="shared" si="92"/>
        <v>15554</v>
      </c>
      <c r="D422" s="187">
        <f t="shared" si="92"/>
        <v>48741</v>
      </c>
      <c r="E422" s="187">
        <f t="shared" si="92"/>
        <v>29909</v>
      </c>
      <c r="F422" s="187">
        <f t="shared" si="92"/>
        <v>18818</v>
      </c>
      <c r="G422" s="187">
        <f t="shared" si="92"/>
        <v>67003</v>
      </c>
      <c r="H422" s="187">
        <f t="shared" si="92"/>
        <v>8905</v>
      </c>
      <c r="I422" s="187">
        <f t="shared" si="92"/>
        <v>2515</v>
      </c>
      <c r="J422" s="187">
        <f t="shared" si="92"/>
        <v>469</v>
      </c>
      <c r="K422" s="187" t="str">
        <f t="shared" si="92"/>
        <v>-</v>
      </c>
      <c r="L422" s="187">
        <f t="shared" si="92"/>
        <v>191914</v>
      </c>
      <c r="M422" s="187"/>
      <c r="N422" s="187" t="str">
        <f t="shared" si="90"/>
        <v>-</v>
      </c>
      <c r="O422" s="187" t="str">
        <f t="shared" si="90"/>
        <v>-</v>
      </c>
      <c r="P422" s="187" t="str">
        <f t="shared" si="90"/>
        <v>-</v>
      </c>
      <c r="Q422" s="187">
        <f t="shared" si="90"/>
        <v>3296</v>
      </c>
      <c r="R422" s="187" t="str">
        <f t="shared" si="90"/>
        <v>-</v>
      </c>
      <c r="S422" s="187">
        <f t="shared" si="90"/>
        <v>3296</v>
      </c>
    </row>
    <row r="423" spans="1:19" s="366" customFormat="1" x14ac:dyDescent="0.2">
      <c r="A423" s="118">
        <v>2015</v>
      </c>
      <c r="B423" s="187" t="str">
        <f t="shared" ref="B423:L423" si="93">IF(AND(B352="-",B281="-",B210="-",B139="-"),"-",SUM(B352,B281,B210,B139))</f>
        <v>-</v>
      </c>
      <c r="C423" s="187">
        <f t="shared" si="93"/>
        <v>16420</v>
      </c>
      <c r="D423" s="187">
        <f t="shared" si="93"/>
        <v>14286</v>
      </c>
      <c r="E423" s="187">
        <f t="shared" si="93"/>
        <v>21331</v>
      </c>
      <c r="F423" s="187">
        <f t="shared" si="93"/>
        <v>28029</v>
      </c>
      <c r="G423" s="187">
        <f t="shared" si="93"/>
        <v>7549</v>
      </c>
      <c r="H423" s="187">
        <f t="shared" si="93"/>
        <v>2006</v>
      </c>
      <c r="I423" s="187">
        <f t="shared" si="93"/>
        <v>2593</v>
      </c>
      <c r="J423" s="187">
        <f t="shared" si="93"/>
        <v>1163</v>
      </c>
      <c r="K423" s="187" t="str">
        <f t="shared" si="93"/>
        <v>-</v>
      </c>
      <c r="L423" s="187">
        <f t="shared" si="93"/>
        <v>93377</v>
      </c>
      <c r="M423" s="187"/>
      <c r="N423" s="187" t="str">
        <f t="shared" si="90"/>
        <v>-</v>
      </c>
      <c r="O423" s="187" t="str">
        <f t="shared" si="90"/>
        <v>-</v>
      </c>
      <c r="P423" s="187" t="str">
        <f t="shared" si="90"/>
        <v>-</v>
      </c>
      <c r="Q423" s="187" t="str">
        <f t="shared" si="90"/>
        <v>-</v>
      </c>
      <c r="R423" s="187" t="str">
        <f t="shared" si="90"/>
        <v>-</v>
      </c>
      <c r="S423" s="187" t="str">
        <f t="shared" si="90"/>
        <v>-</v>
      </c>
    </row>
    <row r="424" spans="1:19" s="366" customFormat="1" x14ac:dyDescent="0.2">
      <c r="A424" s="118">
        <v>2016</v>
      </c>
      <c r="B424" s="187" t="str">
        <f t="shared" ref="B424:L424" si="94">IF(AND(B353="-",B282="-",B211="-",B140="-"),"-",SUM(B353,B282,B211,B140))</f>
        <v>-</v>
      </c>
      <c r="C424" s="187">
        <f t="shared" si="94"/>
        <v>6597</v>
      </c>
      <c r="D424" s="187">
        <f t="shared" si="94"/>
        <v>6023</v>
      </c>
      <c r="E424" s="187">
        <f t="shared" si="94"/>
        <v>4915</v>
      </c>
      <c r="F424" s="187">
        <f t="shared" si="94"/>
        <v>11264</v>
      </c>
      <c r="G424" s="187">
        <f t="shared" si="94"/>
        <v>8627</v>
      </c>
      <c r="H424" s="187">
        <f t="shared" si="94"/>
        <v>1812</v>
      </c>
      <c r="I424" s="187">
        <f t="shared" si="94"/>
        <v>869</v>
      </c>
      <c r="J424" s="187">
        <f t="shared" si="94"/>
        <v>182</v>
      </c>
      <c r="K424" s="187" t="str">
        <f t="shared" si="94"/>
        <v>-</v>
      </c>
      <c r="L424" s="187">
        <f t="shared" si="94"/>
        <v>40289</v>
      </c>
      <c r="M424" s="187"/>
      <c r="N424" s="187" t="str">
        <f t="shared" si="90"/>
        <v>-</v>
      </c>
      <c r="O424" s="187" t="str">
        <f t="shared" si="90"/>
        <v>-</v>
      </c>
      <c r="P424" s="187" t="str">
        <f t="shared" si="90"/>
        <v>-</v>
      </c>
      <c r="Q424" s="187" t="str">
        <f t="shared" si="90"/>
        <v>-</v>
      </c>
      <c r="R424" s="187" t="str">
        <f t="shared" si="90"/>
        <v>-</v>
      </c>
      <c r="S424" s="187" t="str">
        <f t="shared" si="90"/>
        <v>-</v>
      </c>
    </row>
    <row r="425" spans="1:19" s="366" customFormat="1" x14ac:dyDescent="0.2">
      <c r="A425" s="118">
        <v>2017</v>
      </c>
      <c r="B425" s="187" t="str">
        <f t="shared" ref="B425:L425" si="95">IF(AND(B354="-",B283="-",B212="-",B141="-"),"-",SUM(B354,B283,B212,B141))</f>
        <v>-</v>
      </c>
      <c r="C425" s="187">
        <f t="shared" si="95"/>
        <v>553</v>
      </c>
      <c r="D425" s="187">
        <f t="shared" si="95"/>
        <v>1229</v>
      </c>
      <c r="E425" s="187">
        <f t="shared" si="95"/>
        <v>3174</v>
      </c>
      <c r="F425" s="187">
        <f t="shared" si="95"/>
        <v>13019</v>
      </c>
      <c r="G425" s="262" t="str">
        <f t="shared" si="95"/>
        <v>-</v>
      </c>
      <c r="H425" s="187">
        <f t="shared" si="95"/>
        <v>137</v>
      </c>
      <c r="I425" s="273">
        <f t="shared" si="95"/>
        <v>1010</v>
      </c>
      <c r="J425" s="187">
        <f t="shared" si="95"/>
        <v>96</v>
      </c>
      <c r="K425" s="187" t="str">
        <f t="shared" si="95"/>
        <v>-</v>
      </c>
      <c r="L425" s="187">
        <f t="shared" si="95"/>
        <v>19218</v>
      </c>
      <c r="M425" s="187"/>
      <c r="N425" s="189" t="str">
        <f t="shared" si="90"/>
        <v>-</v>
      </c>
      <c r="O425" s="187" t="str">
        <f t="shared" si="90"/>
        <v>-</v>
      </c>
      <c r="P425" s="187" t="str">
        <f t="shared" si="90"/>
        <v>-</v>
      </c>
      <c r="Q425" s="187" t="str">
        <f t="shared" si="90"/>
        <v>-</v>
      </c>
      <c r="R425" s="187" t="str">
        <f t="shared" si="90"/>
        <v>-</v>
      </c>
      <c r="S425" s="187" t="str">
        <f t="shared" si="90"/>
        <v>-</v>
      </c>
    </row>
    <row r="426" spans="1:19" s="366" customFormat="1" x14ac:dyDescent="0.2">
      <c r="A426" s="118">
        <v>2018</v>
      </c>
      <c r="B426" s="187" t="str">
        <f t="shared" ref="B426:L426" si="96">IF(AND(B355="-",B284="-",B213="-",B142="-"),"-",SUM(B355,B284,B213,B142))</f>
        <v>-</v>
      </c>
      <c r="C426" s="187" t="str">
        <f t="shared" si="96"/>
        <v>-</v>
      </c>
      <c r="D426" s="187">
        <f t="shared" si="96"/>
        <v>1243</v>
      </c>
      <c r="E426" s="187">
        <f t="shared" si="96"/>
        <v>4407</v>
      </c>
      <c r="F426" s="187">
        <f t="shared" si="96"/>
        <v>4098</v>
      </c>
      <c r="G426" s="262">
        <f t="shared" si="96"/>
        <v>12918</v>
      </c>
      <c r="H426" s="187">
        <f t="shared" si="96"/>
        <v>225</v>
      </c>
      <c r="I426" s="187">
        <f t="shared" si="96"/>
        <v>806</v>
      </c>
      <c r="J426" s="187">
        <f t="shared" si="96"/>
        <v>431</v>
      </c>
      <c r="K426" s="187" t="str">
        <f t="shared" si="96"/>
        <v>-</v>
      </c>
      <c r="L426" s="187">
        <f t="shared" si="96"/>
        <v>24128</v>
      </c>
      <c r="M426" s="187"/>
      <c r="N426" s="187" t="str">
        <f t="shared" si="90"/>
        <v>-</v>
      </c>
      <c r="O426" s="187" t="str">
        <f t="shared" si="90"/>
        <v>-</v>
      </c>
      <c r="P426" s="187" t="str">
        <f t="shared" si="90"/>
        <v>-</v>
      </c>
      <c r="Q426" s="187" t="str">
        <f t="shared" si="90"/>
        <v>-</v>
      </c>
      <c r="R426" s="187" t="str">
        <f t="shared" si="90"/>
        <v>-</v>
      </c>
      <c r="S426" s="187" t="str">
        <f t="shared" si="90"/>
        <v>-</v>
      </c>
    </row>
    <row r="427" spans="1:19" s="489" customFormat="1" x14ac:dyDescent="0.2">
      <c r="A427" s="118">
        <v>2019</v>
      </c>
      <c r="B427" s="187" t="str">
        <f t="shared" ref="B427:L428" si="97">IF(AND(B356="-",B285="-",B214="-",B143="-"),"-",SUM(B356,B285,B214,B143))</f>
        <v>-</v>
      </c>
      <c r="C427" s="187">
        <f t="shared" si="97"/>
        <v>162</v>
      </c>
      <c r="D427" s="187">
        <f t="shared" si="97"/>
        <v>681</v>
      </c>
      <c r="E427" s="187">
        <f t="shared" si="97"/>
        <v>3364</v>
      </c>
      <c r="F427" s="187">
        <f t="shared" si="97"/>
        <v>16712</v>
      </c>
      <c r="G427" s="262">
        <f t="shared" si="97"/>
        <v>5953</v>
      </c>
      <c r="H427" s="187">
        <f t="shared" si="97"/>
        <v>632</v>
      </c>
      <c r="I427" s="187">
        <f t="shared" si="97"/>
        <v>870</v>
      </c>
      <c r="J427" s="187" t="str">
        <f t="shared" si="97"/>
        <v>-</v>
      </c>
      <c r="K427" s="187" t="str">
        <f t="shared" si="97"/>
        <v>-</v>
      </c>
      <c r="L427" s="187">
        <f t="shared" si="97"/>
        <v>28374</v>
      </c>
      <c r="M427" s="187"/>
      <c r="N427" s="187" t="str">
        <f t="shared" ref="N427:S428" si="98">IF(AND(N356="-",N285="-",N214="-",N143="-"),"-",SUM(N356,N285,N214,N143))</f>
        <v>-</v>
      </c>
      <c r="O427" s="187" t="str">
        <f t="shared" si="98"/>
        <v>-</v>
      </c>
      <c r="P427" s="187" t="str">
        <f t="shared" si="98"/>
        <v>-</v>
      </c>
      <c r="Q427" s="187" t="str">
        <f t="shared" si="98"/>
        <v>-</v>
      </c>
      <c r="R427" s="187" t="str">
        <f t="shared" si="98"/>
        <v>-</v>
      </c>
      <c r="S427" s="187" t="str">
        <f t="shared" si="98"/>
        <v>-</v>
      </c>
    </row>
    <row r="428" spans="1:19" x14ac:dyDescent="0.2">
      <c r="A428" s="124" t="s">
        <v>393</v>
      </c>
      <c r="B428" s="189" t="str">
        <f t="shared" si="97"/>
        <v>-</v>
      </c>
      <c r="C428" s="189">
        <f t="shared" si="97"/>
        <v>800</v>
      </c>
      <c r="D428" s="189">
        <f t="shared" si="97"/>
        <v>782</v>
      </c>
      <c r="E428" s="189">
        <f t="shared" si="97"/>
        <v>2565</v>
      </c>
      <c r="F428" s="189">
        <f t="shared" si="97"/>
        <v>5006</v>
      </c>
      <c r="G428" s="262">
        <f t="shared" si="97"/>
        <v>1855</v>
      </c>
      <c r="H428" s="189">
        <f t="shared" si="97"/>
        <v>560</v>
      </c>
      <c r="I428" s="189">
        <f t="shared" si="97"/>
        <v>997</v>
      </c>
      <c r="J428" s="189" t="str">
        <f t="shared" si="97"/>
        <v>-</v>
      </c>
      <c r="K428" s="189" t="str">
        <f t="shared" si="97"/>
        <v>-</v>
      </c>
      <c r="L428" s="189">
        <f t="shared" si="97"/>
        <v>12565</v>
      </c>
      <c r="N428" s="189" t="str">
        <f t="shared" si="98"/>
        <v>-</v>
      </c>
      <c r="O428" s="189" t="str">
        <f t="shared" si="98"/>
        <v>-</v>
      </c>
      <c r="P428" s="189" t="str">
        <f t="shared" si="98"/>
        <v>-</v>
      </c>
      <c r="Q428" s="189" t="str">
        <f t="shared" si="98"/>
        <v>-</v>
      </c>
      <c r="R428" s="189" t="str">
        <f t="shared" si="98"/>
        <v>-</v>
      </c>
      <c r="S428" s="189" t="str">
        <f t="shared" si="98"/>
        <v>-</v>
      </c>
    </row>
    <row r="430" spans="1:19" x14ac:dyDescent="0.2">
      <c r="A430" s="114" t="s">
        <v>111</v>
      </c>
    </row>
    <row r="431" spans="1:19" x14ac:dyDescent="0.2">
      <c r="A431" s="371">
        <v>1952</v>
      </c>
      <c r="B431" s="189">
        <f t="shared" ref="B431:L431" si="99">IF(AND(B5="-",B360="-"),"-",SUM(B5,B360))</f>
        <v>7233</v>
      </c>
      <c r="C431" s="189">
        <f t="shared" si="99"/>
        <v>19870</v>
      </c>
      <c r="D431" s="189">
        <f t="shared" si="99"/>
        <v>13687</v>
      </c>
      <c r="E431" s="189">
        <f t="shared" si="99"/>
        <v>37951</v>
      </c>
      <c r="F431" s="189">
        <f t="shared" si="99"/>
        <v>59136</v>
      </c>
      <c r="G431" s="189">
        <f t="shared" si="99"/>
        <v>72095</v>
      </c>
      <c r="H431" s="189">
        <f t="shared" si="99"/>
        <v>28046</v>
      </c>
      <c r="I431" s="189">
        <f t="shared" si="99"/>
        <v>9729</v>
      </c>
      <c r="J431" s="189" t="str">
        <f t="shared" si="99"/>
        <v>-</v>
      </c>
      <c r="K431" s="189" t="str">
        <f t="shared" si="99"/>
        <v>-</v>
      </c>
      <c r="L431" s="189">
        <f t="shared" si="99"/>
        <v>247747</v>
      </c>
      <c r="N431" s="189">
        <f t="shared" ref="N431:S440" si="100">IF(AND(N5="-",N360="-"),"-",SUM(N5,N360))</f>
        <v>31997</v>
      </c>
      <c r="O431" s="189">
        <f t="shared" si="100"/>
        <v>150506</v>
      </c>
      <c r="P431" s="189">
        <f t="shared" si="100"/>
        <v>130309</v>
      </c>
      <c r="Q431" s="189">
        <f t="shared" si="100"/>
        <v>35283</v>
      </c>
      <c r="R431" s="189">
        <f t="shared" si="100"/>
        <v>8392</v>
      </c>
      <c r="S431" s="189">
        <f t="shared" si="100"/>
        <v>356487</v>
      </c>
    </row>
    <row r="432" spans="1:19" x14ac:dyDescent="0.2">
      <c r="A432" s="371">
        <v>1953</v>
      </c>
      <c r="B432" s="189">
        <f t="shared" ref="B432:L432" si="101">IF(AND(B6="-",B361="-"),"-",SUM(B6,B361))</f>
        <v>2342</v>
      </c>
      <c r="C432" s="189">
        <f t="shared" si="101"/>
        <v>22550</v>
      </c>
      <c r="D432" s="189">
        <f t="shared" si="101"/>
        <v>4550</v>
      </c>
      <c r="E432" s="189">
        <f t="shared" si="101"/>
        <v>9355</v>
      </c>
      <c r="F432" s="189">
        <f t="shared" si="101"/>
        <v>32973</v>
      </c>
      <c r="G432" s="189">
        <f t="shared" si="101"/>
        <v>59124</v>
      </c>
      <c r="H432" s="189">
        <f t="shared" si="101"/>
        <v>19660</v>
      </c>
      <c r="I432" s="189">
        <f t="shared" si="101"/>
        <v>368</v>
      </c>
      <c r="J432" s="189" t="str">
        <f t="shared" si="101"/>
        <v>-</v>
      </c>
      <c r="K432" s="189" t="str">
        <f t="shared" si="101"/>
        <v>-</v>
      </c>
      <c r="L432" s="189">
        <f t="shared" si="101"/>
        <v>150922</v>
      </c>
      <c r="N432" s="189">
        <f t="shared" si="100"/>
        <v>19921</v>
      </c>
      <c r="O432" s="189">
        <f t="shared" si="100"/>
        <v>109070</v>
      </c>
      <c r="P432" s="189">
        <f t="shared" si="100"/>
        <v>108125</v>
      </c>
      <c r="Q432" s="189">
        <f t="shared" si="100"/>
        <v>33785</v>
      </c>
      <c r="R432" s="189">
        <f t="shared" si="100"/>
        <v>4056</v>
      </c>
      <c r="S432" s="189">
        <f t="shared" si="100"/>
        <v>274957</v>
      </c>
    </row>
    <row r="433" spans="1:19" x14ac:dyDescent="0.2">
      <c r="A433" s="371">
        <v>1954</v>
      </c>
      <c r="B433" s="189">
        <f t="shared" ref="B433:L433" si="102">IF(AND(B7="-",B362="-"),"-",SUM(B7,B362))</f>
        <v>11398</v>
      </c>
      <c r="C433" s="189">
        <f t="shared" si="102"/>
        <v>13438</v>
      </c>
      <c r="D433" s="189">
        <f t="shared" si="102"/>
        <v>9967</v>
      </c>
      <c r="E433" s="189">
        <f t="shared" si="102"/>
        <v>19487</v>
      </c>
      <c r="F433" s="189">
        <f t="shared" si="102"/>
        <v>45665</v>
      </c>
      <c r="G433" s="189">
        <f t="shared" si="102"/>
        <v>67498</v>
      </c>
      <c r="H433" s="189">
        <f t="shared" si="102"/>
        <v>27429</v>
      </c>
      <c r="I433" s="189">
        <f t="shared" si="102"/>
        <v>2514</v>
      </c>
      <c r="J433" s="189" t="str">
        <f t="shared" si="102"/>
        <v>-</v>
      </c>
      <c r="K433" s="189" t="str">
        <f t="shared" si="102"/>
        <v>-</v>
      </c>
      <c r="L433" s="189">
        <f t="shared" si="102"/>
        <v>197396</v>
      </c>
      <c r="N433" s="189">
        <f t="shared" si="100"/>
        <v>21577</v>
      </c>
      <c r="O433" s="189">
        <f t="shared" si="100"/>
        <v>99608</v>
      </c>
      <c r="P433" s="189">
        <f t="shared" si="100"/>
        <v>65620</v>
      </c>
      <c r="Q433" s="189">
        <f t="shared" si="100"/>
        <v>38963</v>
      </c>
      <c r="R433" s="189">
        <f t="shared" si="100"/>
        <v>1429</v>
      </c>
      <c r="S433" s="189">
        <f t="shared" si="100"/>
        <v>227197</v>
      </c>
    </row>
    <row r="434" spans="1:19" x14ac:dyDescent="0.2">
      <c r="A434" s="371">
        <v>1955</v>
      </c>
      <c r="B434" s="189">
        <f t="shared" ref="B434:L434" si="103">IF(AND(B8="-",B363="-"),"-",SUM(B8,B363))</f>
        <v>3882</v>
      </c>
      <c r="C434" s="189">
        <f t="shared" si="103"/>
        <v>15554</v>
      </c>
      <c r="D434" s="189">
        <f t="shared" si="103"/>
        <v>41494</v>
      </c>
      <c r="E434" s="189">
        <f t="shared" si="103"/>
        <v>54918</v>
      </c>
      <c r="F434" s="189">
        <f t="shared" si="103"/>
        <v>40159</v>
      </c>
      <c r="G434" s="189">
        <f t="shared" si="103"/>
        <v>100492</v>
      </c>
      <c r="H434" s="189">
        <f t="shared" si="103"/>
        <v>51276</v>
      </c>
      <c r="I434" s="189">
        <f t="shared" si="103"/>
        <v>2101</v>
      </c>
      <c r="J434" s="189" t="str">
        <f t="shared" si="103"/>
        <v>-</v>
      </c>
      <c r="K434" s="189" t="str">
        <f t="shared" si="103"/>
        <v>-</v>
      </c>
      <c r="L434" s="189">
        <f t="shared" si="103"/>
        <v>309876</v>
      </c>
      <c r="N434" s="189">
        <f t="shared" si="100"/>
        <v>19492</v>
      </c>
      <c r="O434" s="189">
        <f t="shared" si="100"/>
        <v>89554</v>
      </c>
      <c r="P434" s="189">
        <f t="shared" si="100"/>
        <v>107711</v>
      </c>
      <c r="Q434" s="189">
        <f t="shared" si="100"/>
        <v>34787</v>
      </c>
      <c r="R434" s="189">
        <f t="shared" si="100"/>
        <v>4407</v>
      </c>
      <c r="S434" s="189">
        <f t="shared" si="100"/>
        <v>255951</v>
      </c>
    </row>
    <row r="435" spans="1:19" x14ac:dyDescent="0.2">
      <c r="A435" s="371">
        <v>1956</v>
      </c>
      <c r="B435" s="189" t="str">
        <f t="shared" ref="B435:L435" si="104">IF(AND(B9="-",B364="-"),"-",SUM(B9,B364))</f>
        <v>-</v>
      </c>
      <c r="C435" s="189">
        <f t="shared" si="104"/>
        <v>24166</v>
      </c>
      <c r="D435" s="189">
        <f t="shared" si="104"/>
        <v>10263</v>
      </c>
      <c r="E435" s="189">
        <f t="shared" si="104"/>
        <v>41543</v>
      </c>
      <c r="F435" s="189">
        <f t="shared" si="104"/>
        <v>76859</v>
      </c>
      <c r="G435" s="189">
        <f t="shared" si="104"/>
        <v>157805</v>
      </c>
      <c r="H435" s="189">
        <f t="shared" si="104"/>
        <v>27616</v>
      </c>
      <c r="I435" s="189">
        <f t="shared" si="104"/>
        <v>4793</v>
      </c>
      <c r="J435" s="189" t="str">
        <f t="shared" si="104"/>
        <v>-</v>
      </c>
      <c r="K435" s="189" t="str">
        <f t="shared" si="104"/>
        <v>-</v>
      </c>
      <c r="L435" s="189">
        <f t="shared" si="104"/>
        <v>343045</v>
      </c>
      <c r="N435" s="189">
        <f t="shared" si="100"/>
        <v>38190</v>
      </c>
      <c r="O435" s="189">
        <f t="shared" si="100"/>
        <v>201653</v>
      </c>
      <c r="P435" s="189">
        <f t="shared" si="100"/>
        <v>159682</v>
      </c>
      <c r="Q435" s="189">
        <f t="shared" si="100"/>
        <v>37400</v>
      </c>
      <c r="R435" s="189">
        <f t="shared" si="100"/>
        <v>6289</v>
      </c>
      <c r="S435" s="189">
        <f t="shared" si="100"/>
        <v>443214</v>
      </c>
    </row>
    <row r="436" spans="1:19" x14ac:dyDescent="0.2">
      <c r="A436" s="371">
        <v>1957</v>
      </c>
      <c r="B436" s="189" t="str">
        <f t="shared" ref="B436:L436" si="105">IF(AND(B10="-",B365="-"),"-",SUM(B10,B365))</f>
        <v>-</v>
      </c>
      <c r="C436" s="189">
        <f t="shared" si="105"/>
        <v>4528</v>
      </c>
      <c r="D436" s="189">
        <f t="shared" si="105"/>
        <v>15671</v>
      </c>
      <c r="E436" s="189">
        <f t="shared" si="105"/>
        <v>51809</v>
      </c>
      <c r="F436" s="189">
        <f t="shared" si="105"/>
        <v>76911</v>
      </c>
      <c r="G436" s="189">
        <f t="shared" si="105"/>
        <v>77614</v>
      </c>
      <c r="H436" s="189">
        <f t="shared" si="105"/>
        <v>30227</v>
      </c>
      <c r="I436" s="189">
        <f t="shared" si="105"/>
        <v>157</v>
      </c>
      <c r="J436" s="189" t="str">
        <f t="shared" si="105"/>
        <v>-</v>
      </c>
      <c r="K436" s="189" t="str">
        <f t="shared" si="105"/>
        <v>-</v>
      </c>
      <c r="L436" s="189">
        <f t="shared" si="105"/>
        <v>256917</v>
      </c>
      <c r="N436" s="189">
        <f t="shared" si="100"/>
        <v>115983</v>
      </c>
      <c r="O436" s="189">
        <f t="shared" si="100"/>
        <v>212638</v>
      </c>
      <c r="P436" s="189">
        <f t="shared" si="100"/>
        <v>144501</v>
      </c>
      <c r="Q436" s="189">
        <f t="shared" si="100"/>
        <v>72288</v>
      </c>
      <c r="R436" s="189">
        <f t="shared" si="100"/>
        <v>5664</v>
      </c>
      <c r="S436" s="189">
        <f t="shared" si="100"/>
        <v>551074</v>
      </c>
    </row>
    <row r="437" spans="1:19" x14ac:dyDescent="0.2">
      <c r="A437" s="371">
        <v>1958</v>
      </c>
      <c r="B437" s="189" t="str">
        <f t="shared" ref="B437:L437" si="106">IF(AND(B11="-",B366="-"),"-",SUM(B11,B366))</f>
        <v>-</v>
      </c>
      <c r="C437" s="189">
        <f t="shared" si="106"/>
        <v>1722</v>
      </c>
      <c r="D437" s="189">
        <f t="shared" si="106"/>
        <v>14367</v>
      </c>
      <c r="E437" s="189">
        <f t="shared" si="106"/>
        <v>63016</v>
      </c>
      <c r="F437" s="189">
        <f t="shared" si="106"/>
        <v>53044</v>
      </c>
      <c r="G437" s="189">
        <f t="shared" si="106"/>
        <v>29223</v>
      </c>
      <c r="H437" s="189">
        <f t="shared" si="106"/>
        <v>10884</v>
      </c>
      <c r="I437" s="189">
        <f t="shared" si="106"/>
        <v>2620</v>
      </c>
      <c r="J437" s="189" t="str">
        <f t="shared" si="106"/>
        <v>-</v>
      </c>
      <c r="K437" s="189" t="str">
        <f t="shared" si="106"/>
        <v>-</v>
      </c>
      <c r="L437" s="189">
        <f t="shared" si="106"/>
        <v>174876</v>
      </c>
      <c r="N437" s="189">
        <f t="shared" si="100"/>
        <v>62698</v>
      </c>
      <c r="O437" s="189">
        <f t="shared" si="100"/>
        <v>71865</v>
      </c>
      <c r="P437" s="189">
        <f t="shared" si="100"/>
        <v>32008</v>
      </c>
      <c r="Q437" s="189">
        <f t="shared" si="100"/>
        <v>27809</v>
      </c>
      <c r="R437" s="189">
        <f t="shared" si="100"/>
        <v>2232</v>
      </c>
      <c r="S437" s="189">
        <f t="shared" si="100"/>
        <v>196612</v>
      </c>
    </row>
    <row r="438" spans="1:19" x14ac:dyDescent="0.2">
      <c r="A438" s="371">
        <v>1959</v>
      </c>
      <c r="B438" s="189" t="str">
        <f t="shared" ref="B438:L438" si="107">IF(AND(B12="-",B367="-"),"-",SUM(B12,B367))</f>
        <v>-</v>
      </c>
      <c r="C438" s="189">
        <f t="shared" si="107"/>
        <v>2950</v>
      </c>
      <c r="D438" s="189">
        <f t="shared" si="107"/>
        <v>4642</v>
      </c>
      <c r="E438" s="189">
        <f t="shared" si="107"/>
        <v>17325</v>
      </c>
      <c r="F438" s="189">
        <f t="shared" si="107"/>
        <v>10272</v>
      </c>
      <c r="G438" s="189">
        <f t="shared" si="107"/>
        <v>14286</v>
      </c>
      <c r="H438" s="189">
        <f t="shared" si="107"/>
        <v>3682</v>
      </c>
      <c r="I438" s="189">
        <f t="shared" si="107"/>
        <v>700</v>
      </c>
      <c r="J438" s="189" t="str">
        <f t="shared" si="107"/>
        <v>-</v>
      </c>
      <c r="K438" s="189" t="str">
        <f t="shared" si="107"/>
        <v>-</v>
      </c>
      <c r="L438" s="189">
        <f t="shared" si="107"/>
        <v>53857</v>
      </c>
      <c r="N438" s="189">
        <f t="shared" si="100"/>
        <v>40798</v>
      </c>
      <c r="O438" s="189">
        <f t="shared" si="100"/>
        <v>63503</v>
      </c>
      <c r="P438" s="189">
        <f t="shared" si="100"/>
        <v>49455</v>
      </c>
      <c r="Q438" s="189">
        <f t="shared" si="100"/>
        <v>14910</v>
      </c>
      <c r="R438" s="189">
        <f t="shared" si="100"/>
        <v>6135</v>
      </c>
      <c r="S438" s="189">
        <f t="shared" si="100"/>
        <v>174801</v>
      </c>
    </row>
    <row r="439" spans="1:19" x14ac:dyDescent="0.2">
      <c r="A439" s="371">
        <v>1960</v>
      </c>
      <c r="B439" s="189" t="str">
        <f t="shared" ref="B439:L439" si="108">IF(AND(B13="-",B368="-"),"-",SUM(B13,B368))</f>
        <v>-</v>
      </c>
      <c r="C439" s="189">
        <f t="shared" si="108"/>
        <v>2987</v>
      </c>
      <c r="D439" s="189">
        <f t="shared" si="108"/>
        <v>17046</v>
      </c>
      <c r="E439" s="189">
        <f t="shared" si="108"/>
        <v>12903</v>
      </c>
      <c r="F439" s="189">
        <f t="shared" si="108"/>
        <v>27744</v>
      </c>
      <c r="G439" s="189">
        <f t="shared" si="108"/>
        <v>48652</v>
      </c>
      <c r="H439" s="189">
        <f t="shared" si="108"/>
        <v>14987</v>
      </c>
      <c r="I439" s="189">
        <f t="shared" si="108"/>
        <v>3482</v>
      </c>
      <c r="J439" s="189" t="str">
        <f t="shared" si="108"/>
        <v>-</v>
      </c>
      <c r="K439" s="189" t="str">
        <f t="shared" si="108"/>
        <v>-</v>
      </c>
      <c r="L439" s="189">
        <f t="shared" si="108"/>
        <v>127801</v>
      </c>
      <c r="N439" s="189">
        <f t="shared" si="100"/>
        <v>9539</v>
      </c>
      <c r="O439" s="189">
        <f t="shared" si="100"/>
        <v>36644</v>
      </c>
      <c r="P439" s="189">
        <f t="shared" si="100"/>
        <v>55315</v>
      </c>
      <c r="Q439" s="189">
        <f t="shared" si="100"/>
        <v>9720</v>
      </c>
      <c r="R439" s="189">
        <f t="shared" si="100"/>
        <v>1168</v>
      </c>
      <c r="S439" s="189">
        <f t="shared" si="100"/>
        <v>112386</v>
      </c>
    </row>
    <row r="440" spans="1:19" x14ac:dyDescent="0.2">
      <c r="A440" s="371">
        <v>1961</v>
      </c>
      <c r="B440" s="189" t="str">
        <f t="shared" ref="B440:L440" si="109">IF(AND(B14="-",B369="-"),"-",SUM(B14,B369))</f>
        <v>-</v>
      </c>
      <c r="C440" s="189">
        <f t="shared" si="109"/>
        <v>1542</v>
      </c>
      <c r="D440" s="189">
        <f t="shared" si="109"/>
        <v>4559</v>
      </c>
      <c r="E440" s="189">
        <f t="shared" si="109"/>
        <v>19469</v>
      </c>
      <c r="F440" s="189">
        <f t="shared" si="109"/>
        <v>43522</v>
      </c>
      <c r="G440" s="189">
        <f t="shared" si="109"/>
        <v>29526</v>
      </c>
      <c r="H440" s="189">
        <f t="shared" si="109"/>
        <v>14537</v>
      </c>
      <c r="I440" s="189">
        <f t="shared" si="109"/>
        <v>2961</v>
      </c>
      <c r="J440" s="189" t="str">
        <f t="shared" si="109"/>
        <v>-</v>
      </c>
      <c r="K440" s="189" t="str">
        <f t="shared" si="109"/>
        <v>-</v>
      </c>
      <c r="L440" s="189">
        <f t="shared" si="109"/>
        <v>116116</v>
      </c>
      <c r="N440" s="189">
        <f t="shared" si="100"/>
        <v>64139</v>
      </c>
      <c r="O440" s="189">
        <f t="shared" si="100"/>
        <v>142189</v>
      </c>
      <c r="P440" s="189">
        <f t="shared" si="100"/>
        <v>88680</v>
      </c>
      <c r="Q440" s="189">
        <f t="shared" si="100"/>
        <v>30568</v>
      </c>
      <c r="R440" s="189">
        <f t="shared" si="100"/>
        <v>3064</v>
      </c>
      <c r="S440" s="189">
        <f t="shared" si="100"/>
        <v>328640</v>
      </c>
    </row>
    <row r="441" spans="1:19" x14ac:dyDescent="0.2">
      <c r="A441" s="371">
        <v>1962</v>
      </c>
      <c r="B441" s="189" t="str">
        <f t="shared" ref="B441:L441" si="110">IF(AND(B15="-",B370="-"),"-",SUM(B15,B370))</f>
        <v>-</v>
      </c>
      <c r="C441" s="189">
        <f t="shared" si="110"/>
        <v>732</v>
      </c>
      <c r="D441" s="189">
        <f t="shared" si="110"/>
        <v>2574</v>
      </c>
      <c r="E441" s="189">
        <f t="shared" si="110"/>
        <v>9871</v>
      </c>
      <c r="F441" s="189">
        <f t="shared" si="110"/>
        <v>14142</v>
      </c>
      <c r="G441" s="189">
        <f t="shared" si="110"/>
        <v>18331</v>
      </c>
      <c r="H441" s="189">
        <f t="shared" si="110"/>
        <v>6403</v>
      </c>
      <c r="I441" s="189">
        <f t="shared" si="110"/>
        <v>474</v>
      </c>
      <c r="J441" s="189" t="str">
        <f t="shared" si="110"/>
        <v>-</v>
      </c>
      <c r="K441" s="189" t="str">
        <f t="shared" si="110"/>
        <v>-</v>
      </c>
      <c r="L441" s="189">
        <f t="shared" si="110"/>
        <v>52527</v>
      </c>
      <c r="N441" s="189">
        <f t="shared" ref="N441:S450" si="111">IF(AND(N15="-",N370="-"),"-",SUM(N15,N370))</f>
        <v>32076</v>
      </c>
      <c r="O441" s="189">
        <f t="shared" si="111"/>
        <v>121453</v>
      </c>
      <c r="P441" s="189">
        <f t="shared" si="111"/>
        <v>115681</v>
      </c>
      <c r="Q441" s="189">
        <f t="shared" si="111"/>
        <v>19781</v>
      </c>
      <c r="R441" s="189">
        <f t="shared" si="111"/>
        <v>2984</v>
      </c>
      <c r="S441" s="189">
        <f t="shared" si="111"/>
        <v>291975</v>
      </c>
    </row>
    <row r="442" spans="1:19" x14ac:dyDescent="0.2">
      <c r="A442" s="371">
        <v>1963</v>
      </c>
      <c r="B442" s="189" t="str">
        <f t="shared" ref="B442:L442" si="112">IF(AND(B16="-",B371="-"),"-",SUM(B16,B371))</f>
        <v>-</v>
      </c>
      <c r="C442" s="189">
        <f t="shared" si="112"/>
        <v>2846</v>
      </c>
      <c r="D442" s="189">
        <f t="shared" si="112"/>
        <v>7770</v>
      </c>
      <c r="E442" s="189">
        <f t="shared" si="112"/>
        <v>28934</v>
      </c>
      <c r="F442" s="189">
        <f t="shared" si="112"/>
        <v>67810</v>
      </c>
      <c r="G442" s="189">
        <f t="shared" si="112"/>
        <v>39673</v>
      </c>
      <c r="H442" s="189">
        <f t="shared" si="112"/>
        <v>4699</v>
      </c>
      <c r="I442" s="189">
        <f t="shared" si="112"/>
        <v>742</v>
      </c>
      <c r="J442" s="189" t="str">
        <f t="shared" si="112"/>
        <v>-</v>
      </c>
      <c r="K442" s="189" t="str">
        <f t="shared" si="112"/>
        <v>-</v>
      </c>
      <c r="L442" s="189">
        <f t="shared" si="112"/>
        <v>152474</v>
      </c>
      <c r="N442" s="189">
        <f t="shared" si="111"/>
        <v>68233</v>
      </c>
      <c r="O442" s="189">
        <f t="shared" si="111"/>
        <v>222617</v>
      </c>
      <c r="P442" s="189">
        <f t="shared" si="111"/>
        <v>136545</v>
      </c>
      <c r="Q442" s="189">
        <f t="shared" si="111"/>
        <v>27737</v>
      </c>
      <c r="R442" s="189">
        <f t="shared" si="111"/>
        <v>2273</v>
      </c>
      <c r="S442" s="189">
        <f t="shared" si="111"/>
        <v>457405</v>
      </c>
    </row>
    <row r="443" spans="1:19" x14ac:dyDescent="0.2">
      <c r="A443" s="371">
        <v>1964</v>
      </c>
      <c r="B443" s="189" t="str">
        <f t="shared" ref="B443:L443" si="113">IF(AND(B17="-",B372="-"),"-",SUM(B17,B372))</f>
        <v>-</v>
      </c>
      <c r="C443" s="189">
        <f t="shared" si="113"/>
        <v>1366</v>
      </c>
      <c r="D443" s="189">
        <f t="shared" si="113"/>
        <v>8092</v>
      </c>
      <c r="E443" s="189">
        <f t="shared" si="113"/>
        <v>7581</v>
      </c>
      <c r="F443" s="189">
        <f t="shared" si="113"/>
        <v>17882</v>
      </c>
      <c r="G443" s="189">
        <f t="shared" si="113"/>
        <v>25771</v>
      </c>
      <c r="H443" s="189">
        <f t="shared" si="113"/>
        <v>5352</v>
      </c>
      <c r="I443" s="189">
        <f t="shared" si="113"/>
        <v>1385</v>
      </c>
      <c r="J443" s="189" t="str">
        <f t="shared" si="113"/>
        <v>-</v>
      </c>
      <c r="K443" s="189" t="str">
        <f t="shared" si="113"/>
        <v>-</v>
      </c>
      <c r="L443" s="189">
        <f t="shared" si="113"/>
        <v>67429</v>
      </c>
      <c r="N443" s="189">
        <f t="shared" si="111"/>
        <v>56855</v>
      </c>
      <c r="O443" s="189">
        <f t="shared" si="111"/>
        <v>183433</v>
      </c>
      <c r="P443" s="189">
        <f t="shared" si="111"/>
        <v>246102</v>
      </c>
      <c r="Q443" s="189">
        <f t="shared" si="111"/>
        <v>68149</v>
      </c>
      <c r="R443" s="189">
        <f t="shared" si="111"/>
        <v>2660</v>
      </c>
      <c r="S443" s="189">
        <f t="shared" si="111"/>
        <v>557199</v>
      </c>
    </row>
    <row r="444" spans="1:19" x14ac:dyDescent="0.2">
      <c r="A444" s="371">
        <v>1965</v>
      </c>
      <c r="B444" s="189" t="str">
        <f t="shared" ref="B444:L444" si="114">IF(AND(B18="-",B373="-"),"-",SUM(B18,B373))</f>
        <v>-</v>
      </c>
      <c r="C444" s="189">
        <f t="shared" si="114"/>
        <v>103</v>
      </c>
      <c r="D444" s="189">
        <f t="shared" si="114"/>
        <v>4164</v>
      </c>
      <c r="E444" s="189">
        <f t="shared" si="114"/>
        <v>10310</v>
      </c>
      <c r="F444" s="189">
        <f t="shared" si="114"/>
        <v>15979</v>
      </c>
      <c r="G444" s="189">
        <f t="shared" si="114"/>
        <v>14519</v>
      </c>
      <c r="H444" s="189">
        <f t="shared" si="114"/>
        <v>10835</v>
      </c>
      <c r="I444" s="189">
        <f t="shared" si="114"/>
        <v>1741</v>
      </c>
      <c r="J444" s="189" t="str">
        <f t="shared" si="114"/>
        <v>-</v>
      </c>
      <c r="K444" s="189" t="str">
        <f t="shared" si="114"/>
        <v>-</v>
      </c>
      <c r="L444" s="189">
        <f t="shared" si="114"/>
        <v>57651</v>
      </c>
      <c r="N444" s="189">
        <f t="shared" si="111"/>
        <v>41552</v>
      </c>
      <c r="O444" s="189">
        <f t="shared" si="111"/>
        <v>352153</v>
      </c>
      <c r="P444" s="189">
        <f t="shared" si="111"/>
        <v>227415</v>
      </c>
      <c r="Q444" s="189">
        <f t="shared" si="111"/>
        <v>38781</v>
      </c>
      <c r="R444" s="189">
        <f t="shared" si="111"/>
        <v>6145</v>
      </c>
      <c r="S444" s="189">
        <f t="shared" si="111"/>
        <v>666046</v>
      </c>
    </row>
    <row r="445" spans="1:19" x14ac:dyDescent="0.2">
      <c r="A445" s="371">
        <v>1966</v>
      </c>
      <c r="B445" s="189" t="str">
        <f t="shared" ref="B445:L445" si="115">IF(AND(B19="-",B374="-"),"-",SUM(B19,B374))</f>
        <v>-</v>
      </c>
      <c r="C445" s="189">
        <f t="shared" si="115"/>
        <v>660</v>
      </c>
      <c r="D445" s="189">
        <f t="shared" si="115"/>
        <v>8194</v>
      </c>
      <c r="E445" s="189">
        <f t="shared" si="115"/>
        <v>18471</v>
      </c>
      <c r="F445" s="189">
        <f t="shared" si="115"/>
        <v>31414</v>
      </c>
      <c r="G445" s="189">
        <f t="shared" si="115"/>
        <v>19466</v>
      </c>
      <c r="H445" s="189">
        <f t="shared" si="115"/>
        <v>15332</v>
      </c>
      <c r="I445" s="189">
        <f t="shared" si="115"/>
        <v>1780</v>
      </c>
      <c r="J445" s="189" t="str">
        <f t="shared" si="115"/>
        <v>-</v>
      </c>
      <c r="K445" s="189" t="str">
        <f t="shared" si="115"/>
        <v>-</v>
      </c>
      <c r="L445" s="189">
        <f t="shared" si="115"/>
        <v>95317</v>
      </c>
      <c r="N445" s="189">
        <f t="shared" si="111"/>
        <v>104341</v>
      </c>
      <c r="O445" s="189">
        <f t="shared" si="111"/>
        <v>258250</v>
      </c>
      <c r="P445" s="189">
        <f t="shared" si="111"/>
        <v>143274</v>
      </c>
      <c r="Q445" s="189">
        <f t="shared" si="111"/>
        <v>135665</v>
      </c>
      <c r="R445" s="189">
        <f t="shared" si="111"/>
        <v>4615</v>
      </c>
      <c r="S445" s="189">
        <f t="shared" si="111"/>
        <v>646145</v>
      </c>
    </row>
    <row r="446" spans="1:19" x14ac:dyDescent="0.2">
      <c r="A446" s="371">
        <v>1967</v>
      </c>
      <c r="B446" s="189" t="str">
        <f t="shared" ref="B446:L446" si="116">IF(AND(B20="-",B375="-"),"-",SUM(B20,B375))</f>
        <v>-</v>
      </c>
      <c r="C446" s="189">
        <f t="shared" si="116"/>
        <v>4396</v>
      </c>
      <c r="D446" s="189">
        <f t="shared" si="116"/>
        <v>8082</v>
      </c>
      <c r="E446" s="189">
        <f t="shared" si="116"/>
        <v>18622</v>
      </c>
      <c r="F446" s="189">
        <f t="shared" si="116"/>
        <v>34179</v>
      </c>
      <c r="G446" s="189">
        <f t="shared" si="116"/>
        <v>24321</v>
      </c>
      <c r="H446" s="189">
        <f t="shared" si="116"/>
        <v>9555</v>
      </c>
      <c r="I446" s="189">
        <f t="shared" si="116"/>
        <v>560</v>
      </c>
      <c r="J446" s="189" t="str">
        <f t="shared" si="116"/>
        <v>-</v>
      </c>
      <c r="K446" s="189" t="str">
        <f t="shared" si="116"/>
        <v>-</v>
      </c>
      <c r="L446" s="189">
        <f t="shared" si="116"/>
        <v>99715</v>
      </c>
      <c r="N446" s="189">
        <f t="shared" si="111"/>
        <v>73955</v>
      </c>
      <c r="O446" s="189">
        <f t="shared" si="111"/>
        <v>665311</v>
      </c>
      <c r="P446" s="189">
        <f t="shared" si="111"/>
        <v>196319</v>
      </c>
      <c r="Q446" s="189">
        <f t="shared" si="111"/>
        <v>67255</v>
      </c>
      <c r="R446" s="189">
        <f t="shared" si="111"/>
        <v>1154</v>
      </c>
      <c r="S446" s="206">
        <f t="shared" si="111"/>
        <v>1003994</v>
      </c>
    </row>
    <row r="447" spans="1:19" x14ac:dyDescent="0.2">
      <c r="A447" s="371">
        <v>1968</v>
      </c>
      <c r="B447" s="189" t="str">
        <f t="shared" ref="B447:L447" si="117">IF(AND(B21="-",B376="-"),"-",SUM(B21,B376))</f>
        <v>-</v>
      </c>
      <c r="C447" s="189">
        <f t="shared" si="117"/>
        <v>4502</v>
      </c>
      <c r="D447" s="189">
        <f t="shared" si="117"/>
        <v>15937</v>
      </c>
      <c r="E447" s="189">
        <f t="shared" si="117"/>
        <v>14422</v>
      </c>
      <c r="F447" s="189">
        <f t="shared" si="117"/>
        <v>35793</v>
      </c>
      <c r="G447" s="189">
        <f t="shared" si="117"/>
        <v>37215</v>
      </c>
      <c r="H447" s="189">
        <f t="shared" si="117"/>
        <v>1555</v>
      </c>
      <c r="I447" s="189">
        <f t="shared" si="117"/>
        <v>726</v>
      </c>
      <c r="J447" s="189" t="str">
        <f t="shared" si="117"/>
        <v>-</v>
      </c>
      <c r="K447" s="189" t="str">
        <f t="shared" si="117"/>
        <v>-</v>
      </c>
      <c r="L447" s="189">
        <f t="shared" si="117"/>
        <v>110150</v>
      </c>
      <c r="N447" s="189">
        <f t="shared" si="111"/>
        <v>222696</v>
      </c>
      <c r="O447" s="189">
        <f t="shared" si="111"/>
        <v>411046</v>
      </c>
      <c r="P447" s="189">
        <f t="shared" si="111"/>
        <v>162284</v>
      </c>
      <c r="Q447" s="189">
        <f t="shared" si="111"/>
        <v>28628</v>
      </c>
      <c r="R447" s="189">
        <f t="shared" si="111"/>
        <v>698</v>
      </c>
      <c r="S447" s="206">
        <f t="shared" si="111"/>
        <v>825352</v>
      </c>
    </row>
    <row r="448" spans="1:19" x14ac:dyDescent="0.2">
      <c r="A448" s="371">
        <v>1969</v>
      </c>
      <c r="B448" s="189" t="str">
        <f t="shared" ref="B448:L448" si="118">IF(AND(B22="-",B377="-"),"-",SUM(B22,B377))</f>
        <v>-</v>
      </c>
      <c r="C448" s="189">
        <f t="shared" si="118"/>
        <v>488</v>
      </c>
      <c r="D448" s="189">
        <f t="shared" si="118"/>
        <v>7470</v>
      </c>
      <c r="E448" s="189">
        <f t="shared" si="118"/>
        <v>51898</v>
      </c>
      <c r="F448" s="189">
        <f t="shared" si="118"/>
        <v>36769</v>
      </c>
      <c r="G448" s="189">
        <f t="shared" si="118"/>
        <v>34726</v>
      </c>
      <c r="H448" s="189">
        <f t="shared" si="118"/>
        <v>6064</v>
      </c>
      <c r="I448" s="189">
        <f t="shared" si="118"/>
        <v>2860</v>
      </c>
      <c r="J448" s="189" t="str">
        <f t="shared" si="118"/>
        <v>-</v>
      </c>
      <c r="K448" s="189" t="str">
        <f t="shared" si="118"/>
        <v>-</v>
      </c>
      <c r="L448" s="189">
        <f t="shared" si="118"/>
        <v>140275</v>
      </c>
      <c r="N448" s="189">
        <f t="shared" si="111"/>
        <v>183192</v>
      </c>
      <c r="O448" s="189">
        <f t="shared" si="111"/>
        <v>250287</v>
      </c>
      <c r="P448" s="189">
        <f t="shared" si="111"/>
        <v>108230</v>
      </c>
      <c r="Q448" s="189">
        <f t="shared" si="111"/>
        <v>14319</v>
      </c>
      <c r="R448" s="189">
        <f t="shared" si="111"/>
        <v>1309</v>
      </c>
      <c r="S448" s="206">
        <f t="shared" si="111"/>
        <v>557337</v>
      </c>
    </row>
    <row r="449" spans="1:19" x14ac:dyDescent="0.2">
      <c r="A449" s="371">
        <v>1970</v>
      </c>
      <c r="B449" s="189" t="str">
        <f t="shared" ref="B449:L449" si="119">IF(AND(B23="-",B378="-"),"-",SUM(B23,B378))</f>
        <v>-</v>
      </c>
      <c r="C449" s="189">
        <f t="shared" si="119"/>
        <v>1727</v>
      </c>
      <c r="D449" s="189">
        <f t="shared" si="119"/>
        <v>15154</v>
      </c>
      <c r="E449" s="189">
        <f t="shared" si="119"/>
        <v>35107</v>
      </c>
      <c r="F449" s="189">
        <f t="shared" si="119"/>
        <v>29004</v>
      </c>
      <c r="G449" s="189">
        <f t="shared" si="119"/>
        <v>43625</v>
      </c>
      <c r="H449" s="189">
        <f t="shared" si="119"/>
        <v>28290</v>
      </c>
      <c r="I449" s="189">
        <f t="shared" si="119"/>
        <v>11781</v>
      </c>
      <c r="J449" s="189" t="str">
        <f t="shared" si="119"/>
        <v>-</v>
      </c>
      <c r="K449" s="189" t="str">
        <f t="shared" si="119"/>
        <v>-</v>
      </c>
      <c r="L449" s="189">
        <f t="shared" si="119"/>
        <v>164688</v>
      </c>
      <c r="N449" s="189">
        <f t="shared" si="111"/>
        <v>234021</v>
      </c>
      <c r="O449" s="189">
        <f t="shared" si="111"/>
        <v>210426</v>
      </c>
      <c r="P449" s="189">
        <f t="shared" si="111"/>
        <v>479926</v>
      </c>
      <c r="Q449" s="189">
        <f t="shared" si="111"/>
        <v>57018</v>
      </c>
      <c r="R449" s="189">
        <f t="shared" si="111"/>
        <v>8352</v>
      </c>
      <c r="S449" s="206">
        <f t="shared" si="111"/>
        <v>989743</v>
      </c>
    </row>
    <row r="450" spans="1:19" x14ac:dyDescent="0.2">
      <c r="A450" s="371">
        <v>1971</v>
      </c>
      <c r="B450" s="189" t="str">
        <f t="shared" ref="B450:L450" si="120">IF(AND(B24="-",B379="-"),"-",SUM(B24,B379))</f>
        <v>-</v>
      </c>
      <c r="C450" s="189">
        <f t="shared" si="120"/>
        <v>1367</v>
      </c>
      <c r="D450" s="189">
        <f t="shared" si="120"/>
        <v>10743</v>
      </c>
      <c r="E450" s="189">
        <f t="shared" si="120"/>
        <v>23417</v>
      </c>
      <c r="F450" s="189">
        <f t="shared" si="120"/>
        <v>20605</v>
      </c>
      <c r="G450" s="189">
        <f t="shared" si="120"/>
        <v>38065</v>
      </c>
      <c r="H450" s="189">
        <f t="shared" si="120"/>
        <v>3465</v>
      </c>
      <c r="I450" s="189">
        <f t="shared" si="120"/>
        <v>5264</v>
      </c>
      <c r="J450" s="189" t="str">
        <f t="shared" si="120"/>
        <v>-</v>
      </c>
      <c r="K450" s="189" t="str">
        <f t="shared" si="120"/>
        <v>-</v>
      </c>
      <c r="L450" s="189">
        <f t="shared" si="120"/>
        <v>102926</v>
      </c>
      <c r="N450" s="189">
        <f t="shared" si="111"/>
        <v>217025</v>
      </c>
      <c r="O450" s="189">
        <f t="shared" si="111"/>
        <v>453174</v>
      </c>
      <c r="P450" s="189">
        <f t="shared" si="111"/>
        <v>778727</v>
      </c>
      <c r="Q450" s="189">
        <f t="shared" si="111"/>
        <v>34707</v>
      </c>
      <c r="R450" s="189">
        <f t="shared" si="111"/>
        <v>6489</v>
      </c>
      <c r="S450" s="206">
        <f t="shared" si="111"/>
        <v>1490122</v>
      </c>
    </row>
    <row r="451" spans="1:19" x14ac:dyDescent="0.2">
      <c r="A451" s="371">
        <v>1972</v>
      </c>
      <c r="B451" s="189" t="str">
        <f t="shared" ref="B451:L451" si="121">IF(AND(B25="-",B380="-"),"-",SUM(B25,B380))</f>
        <v>-</v>
      </c>
      <c r="C451" s="189">
        <f t="shared" si="121"/>
        <v>16</v>
      </c>
      <c r="D451" s="189">
        <f t="shared" si="121"/>
        <v>6707</v>
      </c>
      <c r="E451" s="189">
        <f t="shared" si="121"/>
        <v>33681</v>
      </c>
      <c r="F451" s="189">
        <f t="shared" si="121"/>
        <v>32766</v>
      </c>
      <c r="G451" s="189">
        <f t="shared" si="121"/>
        <v>33670</v>
      </c>
      <c r="H451" s="189">
        <f t="shared" si="121"/>
        <v>11504</v>
      </c>
      <c r="I451" s="189">
        <f t="shared" si="121"/>
        <v>8943</v>
      </c>
      <c r="J451" s="189" t="str">
        <f t="shared" si="121"/>
        <v>-</v>
      </c>
      <c r="K451" s="189" t="str">
        <f t="shared" si="121"/>
        <v>-</v>
      </c>
      <c r="L451" s="189">
        <f t="shared" si="121"/>
        <v>127287</v>
      </c>
      <c r="N451" s="189">
        <f t="shared" ref="N451:S460" si="122">IF(AND(N25="-",N380="-"),"-",SUM(N25,N380))</f>
        <v>305375</v>
      </c>
      <c r="O451" s="189">
        <f t="shared" si="122"/>
        <v>351441</v>
      </c>
      <c r="P451" s="189">
        <f t="shared" si="122"/>
        <v>147283</v>
      </c>
      <c r="Q451" s="189">
        <f t="shared" si="122"/>
        <v>19826</v>
      </c>
      <c r="R451" s="189">
        <f t="shared" si="122"/>
        <v>677</v>
      </c>
      <c r="S451" s="206">
        <f t="shared" si="122"/>
        <v>824602</v>
      </c>
    </row>
    <row r="452" spans="1:19" x14ac:dyDescent="0.2">
      <c r="A452" s="371">
        <v>1973</v>
      </c>
      <c r="B452" s="189" t="str">
        <f t="shared" ref="B452:L452" si="123">IF(AND(B26="-",B381="-"),"-",SUM(B26,B381))</f>
        <v>-</v>
      </c>
      <c r="C452" s="189">
        <f t="shared" si="123"/>
        <v>649</v>
      </c>
      <c r="D452" s="189">
        <f t="shared" si="123"/>
        <v>5596</v>
      </c>
      <c r="E452" s="189">
        <f t="shared" si="123"/>
        <v>25697</v>
      </c>
      <c r="F452" s="189">
        <f t="shared" si="123"/>
        <v>102817</v>
      </c>
      <c r="G452" s="189">
        <f t="shared" si="123"/>
        <v>145708</v>
      </c>
      <c r="H452" s="189">
        <f t="shared" si="123"/>
        <v>47884</v>
      </c>
      <c r="I452" s="189">
        <f t="shared" si="123"/>
        <v>34916</v>
      </c>
      <c r="J452" s="189" t="str">
        <f t="shared" si="123"/>
        <v>-</v>
      </c>
      <c r="K452" s="189" t="str">
        <f t="shared" si="123"/>
        <v>-</v>
      </c>
      <c r="L452" s="189">
        <f t="shared" si="123"/>
        <v>363267</v>
      </c>
      <c r="N452" s="189">
        <f t="shared" si="122"/>
        <v>220357</v>
      </c>
      <c r="O452" s="189">
        <f t="shared" si="122"/>
        <v>297929</v>
      </c>
      <c r="P452" s="189">
        <f t="shared" si="122"/>
        <v>231628</v>
      </c>
      <c r="Q452" s="189">
        <f t="shared" si="122"/>
        <v>28570</v>
      </c>
      <c r="R452" s="189">
        <f t="shared" si="122"/>
        <v>6893</v>
      </c>
      <c r="S452" s="206">
        <f t="shared" si="122"/>
        <v>785377</v>
      </c>
    </row>
    <row r="453" spans="1:19" x14ac:dyDescent="0.2">
      <c r="A453" s="371">
        <v>1974</v>
      </c>
      <c r="B453" s="189" t="str">
        <f t="shared" ref="B453:L453" si="124">IF(AND(B27="-",B382="-"),"-",SUM(B27,B382))</f>
        <v>-</v>
      </c>
      <c r="C453" s="189">
        <f t="shared" si="124"/>
        <v>496</v>
      </c>
      <c r="D453" s="189">
        <f t="shared" si="124"/>
        <v>13394</v>
      </c>
      <c r="E453" s="189">
        <f t="shared" si="124"/>
        <v>22639</v>
      </c>
      <c r="F453" s="189">
        <f t="shared" si="124"/>
        <v>58052</v>
      </c>
      <c r="G453" s="189">
        <f t="shared" si="124"/>
        <v>79420</v>
      </c>
      <c r="H453" s="189">
        <f t="shared" si="124"/>
        <v>37652</v>
      </c>
      <c r="I453" s="189">
        <f t="shared" si="124"/>
        <v>10561</v>
      </c>
      <c r="J453" s="189">
        <f t="shared" si="124"/>
        <v>1767</v>
      </c>
      <c r="K453" s="189">
        <f t="shared" si="124"/>
        <v>129</v>
      </c>
      <c r="L453" s="189">
        <f t="shared" si="124"/>
        <v>224110</v>
      </c>
      <c r="N453" s="189">
        <f t="shared" si="122"/>
        <v>177317</v>
      </c>
      <c r="O453" s="189">
        <f t="shared" si="122"/>
        <v>658812</v>
      </c>
      <c r="P453" s="189">
        <f t="shared" si="122"/>
        <v>255506</v>
      </c>
      <c r="Q453" s="189">
        <f t="shared" si="122"/>
        <v>44048</v>
      </c>
      <c r="R453" s="189">
        <f t="shared" si="122"/>
        <v>1510</v>
      </c>
      <c r="S453" s="206">
        <f t="shared" si="122"/>
        <v>1137193</v>
      </c>
    </row>
    <row r="454" spans="1:19" x14ac:dyDescent="0.2">
      <c r="A454" s="371">
        <v>1975</v>
      </c>
      <c r="B454" s="189" t="str">
        <f t="shared" ref="B454:L454" si="125">IF(AND(B28="-",B383="-"),"-",SUM(B28,B383))</f>
        <v>-</v>
      </c>
      <c r="C454" s="189">
        <f t="shared" si="125"/>
        <v>130</v>
      </c>
      <c r="D454" s="189">
        <f t="shared" si="125"/>
        <v>5178</v>
      </c>
      <c r="E454" s="189">
        <f t="shared" si="125"/>
        <v>32204</v>
      </c>
      <c r="F454" s="189">
        <f t="shared" si="125"/>
        <v>68994</v>
      </c>
      <c r="G454" s="189">
        <f t="shared" si="125"/>
        <v>51760</v>
      </c>
      <c r="H454" s="189">
        <f t="shared" si="125"/>
        <v>56705</v>
      </c>
      <c r="I454" s="189">
        <f t="shared" si="125"/>
        <v>8821</v>
      </c>
      <c r="J454" s="189">
        <f t="shared" si="125"/>
        <v>859</v>
      </c>
      <c r="K454" s="189">
        <f t="shared" si="125"/>
        <v>57</v>
      </c>
      <c r="L454" s="189">
        <f t="shared" si="125"/>
        <v>224708</v>
      </c>
      <c r="N454" s="189">
        <f t="shared" si="122"/>
        <v>209909</v>
      </c>
      <c r="O454" s="189">
        <f t="shared" si="122"/>
        <v>309326</v>
      </c>
      <c r="P454" s="189">
        <f t="shared" si="122"/>
        <v>116039</v>
      </c>
      <c r="Q454" s="189">
        <f t="shared" si="122"/>
        <v>21239</v>
      </c>
      <c r="R454" s="189">
        <f t="shared" si="122"/>
        <v>902</v>
      </c>
      <c r="S454" s="206">
        <f t="shared" si="122"/>
        <v>657415</v>
      </c>
    </row>
    <row r="455" spans="1:19" x14ac:dyDescent="0.2">
      <c r="A455" s="371">
        <v>1976</v>
      </c>
      <c r="B455" s="189" t="str">
        <f t="shared" ref="B455:L455" si="126">IF(AND(B29="-",B384="-"),"-",SUM(B29,B384))</f>
        <v>-</v>
      </c>
      <c r="C455" s="189" t="str">
        <f t="shared" si="126"/>
        <v>-</v>
      </c>
      <c r="D455" s="189">
        <f t="shared" si="126"/>
        <v>16405</v>
      </c>
      <c r="E455" s="189">
        <f t="shared" si="126"/>
        <v>33812</v>
      </c>
      <c r="F455" s="189">
        <f t="shared" si="126"/>
        <v>46771</v>
      </c>
      <c r="G455" s="189">
        <f t="shared" si="126"/>
        <v>53857</v>
      </c>
      <c r="H455" s="189">
        <f t="shared" si="126"/>
        <v>23187</v>
      </c>
      <c r="I455" s="189">
        <f t="shared" si="126"/>
        <v>8459</v>
      </c>
      <c r="J455" s="189">
        <f t="shared" si="126"/>
        <v>1854</v>
      </c>
      <c r="K455" s="189" t="str">
        <f t="shared" si="126"/>
        <v>-</v>
      </c>
      <c r="L455" s="189">
        <f t="shared" si="126"/>
        <v>184345</v>
      </c>
      <c r="N455" s="189">
        <f t="shared" si="122"/>
        <v>476818</v>
      </c>
      <c r="O455" s="189">
        <f t="shared" si="122"/>
        <v>883525</v>
      </c>
      <c r="P455" s="189">
        <f t="shared" si="122"/>
        <v>408970</v>
      </c>
      <c r="Q455" s="189">
        <f t="shared" si="122"/>
        <v>51306</v>
      </c>
      <c r="R455" s="189">
        <f t="shared" si="122"/>
        <v>6349</v>
      </c>
      <c r="S455" s="206">
        <f t="shared" si="122"/>
        <v>1826968</v>
      </c>
    </row>
    <row r="456" spans="1:19" x14ac:dyDescent="0.2">
      <c r="A456" s="371">
        <v>1977</v>
      </c>
      <c r="B456" s="189" t="str">
        <f t="shared" ref="B456:L456" si="127">IF(AND(B30="-",B385="-"),"-",SUM(B30,B385))</f>
        <v>-</v>
      </c>
      <c r="C456" s="189" t="str">
        <f t="shared" si="127"/>
        <v>-</v>
      </c>
      <c r="D456" s="189">
        <f t="shared" si="127"/>
        <v>18359</v>
      </c>
      <c r="E456" s="189">
        <f t="shared" si="127"/>
        <v>50432</v>
      </c>
      <c r="F456" s="189">
        <f t="shared" si="127"/>
        <v>107568</v>
      </c>
      <c r="G456" s="189">
        <f t="shared" si="127"/>
        <v>116350</v>
      </c>
      <c r="H456" s="189">
        <f t="shared" si="127"/>
        <v>32701</v>
      </c>
      <c r="I456" s="189">
        <f t="shared" si="127"/>
        <v>10463</v>
      </c>
      <c r="J456" s="189">
        <f t="shared" si="127"/>
        <v>4141</v>
      </c>
      <c r="K456" s="189" t="str">
        <f t="shared" si="127"/>
        <v>-</v>
      </c>
      <c r="L456" s="189">
        <f t="shared" si="127"/>
        <v>318130</v>
      </c>
      <c r="N456" s="189">
        <f t="shared" si="122"/>
        <v>91995</v>
      </c>
      <c r="O456" s="189">
        <f t="shared" si="122"/>
        <v>263698</v>
      </c>
      <c r="P456" s="189">
        <f t="shared" si="122"/>
        <v>79771</v>
      </c>
      <c r="Q456" s="189">
        <f t="shared" si="122"/>
        <v>9692</v>
      </c>
      <c r="R456" s="189">
        <f t="shared" si="122"/>
        <v>966</v>
      </c>
      <c r="S456" s="189">
        <f t="shared" si="122"/>
        <v>446122</v>
      </c>
    </row>
    <row r="457" spans="1:19" x14ac:dyDescent="0.2">
      <c r="A457" s="371">
        <v>1978</v>
      </c>
      <c r="B457" s="189" t="str">
        <f t="shared" ref="B457:L457" si="128">IF(AND(B31="-",B386="-"),"-",SUM(B31,B386))</f>
        <v>-</v>
      </c>
      <c r="C457" s="189">
        <f t="shared" si="128"/>
        <v>17</v>
      </c>
      <c r="D457" s="189">
        <f t="shared" si="128"/>
        <v>3199</v>
      </c>
      <c r="E457" s="189">
        <f t="shared" si="128"/>
        <v>40597</v>
      </c>
      <c r="F457" s="189">
        <f t="shared" si="128"/>
        <v>63087</v>
      </c>
      <c r="G457" s="189">
        <f t="shared" si="128"/>
        <v>46870</v>
      </c>
      <c r="H457" s="189">
        <f t="shared" si="128"/>
        <v>25023</v>
      </c>
      <c r="I457" s="189">
        <f t="shared" si="128"/>
        <v>9288</v>
      </c>
      <c r="J457" s="189">
        <f t="shared" si="128"/>
        <v>3451</v>
      </c>
      <c r="K457" s="189" t="str">
        <f t="shared" si="128"/>
        <v>-</v>
      </c>
      <c r="L457" s="189">
        <f t="shared" si="128"/>
        <v>191532</v>
      </c>
      <c r="N457" s="189">
        <f t="shared" si="122"/>
        <v>279618</v>
      </c>
      <c r="O457" s="189">
        <f t="shared" si="122"/>
        <v>227231</v>
      </c>
      <c r="P457" s="189">
        <f t="shared" si="122"/>
        <v>92810</v>
      </c>
      <c r="Q457" s="189">
        <f t="shared" si="122"/>
        <v>10378</v>
      </c>
      <c r="R457" s="189">
        <f t="shared" si="122"/>
        <v>1601</v>
      </c>
      <c r="S457" s="189">
        <f t="shared" si="122"/>
        <v>611638</v>
      </c>
    </row>
    <row r="458" spans="1:19" x14ac:dyDescent="0.2">
      <c r="A458" s="371">
        <v>1979</v>
      </c>
      <c r="B458" s="189" t="str">
        <f t="shared" ref="B458:L458" si="129">IF(AND(B32="-",B387="-"),"-",SUM(B32,B387))</f>
        <v>-</v>
      </c>
      <c r="C458" s="189" t="str">
        <f t="shared" si="129"/>
        <v>-</v>
      </c>
      <c r="D458" s="189">
        <f t="shared" si="129"/>
        <v>9001</v>
      </c>
      <c r="E458" s="189">
        <f t="shared" si="129"/>
        <v>1591</v>
      </c>
      <c r="F458" s="189">
        <f t="shared" si="129"/>
        <v>87971</v>
      </c>
      <c r="G458" s="189">
        <f t="shared" si="129"/>
        <v>102357</v>
      </c>
      <c r="H458" s="189">
        <f t="shared" si="129"/>
        <v>13238</v>
      </c>
      <c r="I458" s="189">
        <f t="shared" si="129"/>
        <v>25954</v>
      </c>
      <c r="J458" s="189">
        <f t="shared" si="129"/>
        <v>1861</v>
      </c>
      <c r="K458" s="189" t="str">
        <f t="shared" si="129"/>
        <v>-</v>
      </c>
      <c r="L458" s="189">
        <f t="shared" si="129"/>
        <v>241973</v>
      </c>
      <c r="N458" s="189">
        <f t="shared" si="122"/>
        <v>8214</v>
      </c>
      <c r="O458" s="189">
        <f t="shared" si="122"/>
        <v>548819</v>
      </c>
      <c r="P458" s="189">
        <f t="shared" si="122"/>
        <v>144092</v>
      </c>
      <c r="Q458" s="189">
        <f t="shared" si="122"/>
        <v>1563</v>
      </c>
      <c r="R458" s="189" t="str">
        <f t="shared" si="122"/>
        <v>-</v>
      </c>
      <c r="S458" s="189">
        <f t="shared" si="122"/>
        <v>702688</v>
      </c>
    </row>
    <row r="459" spans="1:19" x14ac:dyDescent="0.2">
      <c r="A459" s="371">
        <v>1980</v>
      </c>
      <c r="B459" s="189" t="str">
        <f t="shared" ref="B459:L459" si="130">IF(AND(B33="-",B388="-"),"-",SUM(B33,B388))</f>
        <v>-</v>
      </c>
      <c r="C459" s="189" t="str">
        <f t="shared" si="130"/>
        <v>-</v>
      </c>
      <c r="D459" s="189">
        <f t="shared" si="130"/>
        <v>23494</v>
      </c>
      <c r="E459" s="189">
        <f t="shared" si="130"/>
        <v>27620</v>
      </c>
      <c r="F459" s="189">
        <f t="shared" si="130"/>
        <v>49241</v>
      </c>
      <c r="G459" s="189">
        <f t="shared" si="130"/>
        <v>63098</v>
      </c>
      <c r="H459" s="189">
        <f t="shared" si="130"/>
        <v>24821</v>
      </c>
      <c r="I459" s="189">
        <f t="shared" si="130"/>
        <v>16039</v>
      </c>
      <c r="J459" s="189">
        <f t="shared" si="130"/>
        <v>984</v>
      </c>
      <c r="K459" s="189" t="str">
        <f t="shared" si="130"/>
        <v>-</v>
      </c>
      <c r="L459" s="189">
        <f t="shared" si="130"/>
        <v>205297</v>
      </c>
      <c r="N459" s="189" t="str">
        <f t="shared" si="122"/>
        <v>-</v>
      </c>
      <c r="O459" s="189">
        <f t="shared" si="122"/>
        <v>86488</v>
      </c>
      <c r="P459" s="189">
        <f t="shared" si="122"/>
        <v>29097</v>
      </c>
      <c r="Q459" s="189">
        <f t="shared" si="122"/>
        <v>5164</v>
      </c>
      <c r="R459" s="189">
        <f t="shared" si="122"/>
        <v>304</v>
      </c>
      <c r="S459" s="189">
        <f t="shared" si="122"/>
        <v>121053</v>
      </c>
    </row>
    <row r="460" spans="1:19" x14ac:dyDescent="0.2">
      <c r="A460" s="371">
        <v>1981</v>
      </c>
      <c r="B460" s="189" t="str">
        <f t="shared" ref="B460:L460" si="131">IF(AND(B34="-",B389="-"),"-",SUM(B34,B389))</f>
        <v>-</v>
      </c>
      <c r="C460" s="189" t="str">
        <f t="shared" si="131"/>
        <v>-</v>
      </c>
      <c r="D460" s="189">
        <f t="shared" si="131"/>
        <v>27322</v>
      </c>
      <c r="E460" s="189">
        <f t="shared" si="131"/>
        <v>0</v>
      </c>
      <c r="F460" s="189">
        <f t="shared" si="131"/>
        <v>33741</v>
      </c>
      <c r="G460" s="189">
        <f t="shared" si="131"/>
        <v>65343</v>
      </c>
      <c r="H460" s="189">
        <f t="shared" si="131"/>
        <v>14959</v>
      </c>
      <c r="I460" s="189">
        <f t="shared" si="131"/>
        <v>13012</v>
      </c>
      <c r="J460" s="189">
        <f t="shared" si="131"/>
        <v>1218</v>
      </c>
      <c r="K460" s="189" t="str">
        <f t="shared" si="131"/>
        <v>-</v>
      </c>
      <c r="L460" s="189">
        <f t="shared" si="131"/>
        <v>155595</v>
      </c>
      <c r="N460" s="189" t="str">
        <f t="shared" si="122"/>
        <v>-</v>
      </c>
      <c r="O460" s="189">
        <f t="shared" si="122"/>
        <v>338342</v>
      </c>
      <c r="P460" s="189">
        <f t="shared" si="122"/>
        <v>272037</v>
      </c>
      <c r="Q460" s="189" t="str">
        <f t="shared" si="122"/>
        <v>-</v>
      </c>
      <c r="R460" s="189" t="str">
        <f t="shared" si="122"/>
        <v>-</v>
      </c>
      <c r="S460" s="189">
        <f t="shared" si="122"/>
        <v>610379</v>
      </c>
    </row>
    <row r="461" spans="1:19" x14ac:dyDescent="0.2">
      <c r="A461" s="371">
        <v>1982</v>
      </c>
      <c r="B461" s="189" t="str">
        <f t="shared" ref="B461:L461" si="132">IF(AND(B35="-",B390="-"),"-",SUM(B35,B390))</f>
        <v>-</v>
      </c>
      <c r="C461" s="189" t="str">
        <f t="shared" si="132"/>
        <v>-</v>
      </c>
      <c r="D461" s="189">
        <f t="shared" si="132"/>
        <v>21749</v>
      </c>
      <c r="E461" s="189">
        <f t="shared" si="132"/>
        <v>12251</v>
      </c>
      <c r="F461" s="189">
        <f t="shared" si="132"/>
        <v>120194</v>
      </c>
      <c r="G461" s="189">
        <f t="shared" si="132"/>
        <v>45143</v>
      </c>
      <c r="H461" s="189">
        <f t="shared" si="132"/>
        <v>13398</v>
      </c>
      <c r="I461" s="189">
        <f t="shared" si="132"/>
        <v>7996</v>
      </c>
      <c r="J461" s="189">
        <f t="shared" si="132"/>
        <v>1400</v>
      </c>
      <c r="K461" s="189" t="str">
        <f t="shared" si="132"/>
        <v>-</v>
      </c>
      <c r="L461" s="189">
        <f t="shared" si="132"/>
        <v>222131</v>
      </c>
      <c r="N461" s="189" t="str">
        <f t="shared" ref="N461:S470" si="133">IF(AND(N35="-",N390="-"),"-",SUM(N35,N390))</f>
        <v>-</v>
      </c>
      <c r="O461" s="189">
        <f t="shared" si="133"/>
        <v>502949</v>
      </c>
      <c r="P461" s="189" t="str">
        <f t="shared" si="133"/>
        <v>-</v>
      </c>
      <c r="Q461" s="189" t="str">
        <f t="shared" si="133"/>
        <v>-</v>
      </c>
      <c r="R461" s="189" t="str">
        <f t="shared" si="133"/>
        <v>-</v>
      </c>
      <c r="S461" s="189">
        <f t="shared" si="133"/>
        <v>502949</v>
      </c>
    </row>
    <row r="462" spans="1:19" x14ac:dyDescent="0.2">
      <c r="A462" s="371">
        <v>1983</v>
      </c>
      <c r="B462" s="189" t="str">
        <f t="shared" ref="B462:L462" si="134">IF(AND(B36="-",B391="-"),"-",SUM(B36,B391))</f>
        <v>-</v>
      </c>
      <c r="C462" s="189" t="str">
        <f t="shared" si="134"/>
        <v>-</v>
      </c>
      <c r="D462" s="189">
        <f t="shared" si="134"/>
        <v>9419</v>
      </c>
      <c r="E462" s="189">
        <f t="shared" si="134"/>
        <v>13787</v>
      </c>
      <c r="F462" s="189">
        <f t="shared" si="134"/>
        <v>33943</v>
      </c>
      <c r="G462" s="189">
        <f t="shared" si="134"/>
        <v>9772</v>
      </c>
      <c r="H462" s="189">
        <f t="shared" si="134"/>
        <v>2592</v>
      </c>
      <c r="I462" s="189">
        <f t="shared" si="134"/>
        <v>4667</v>
      </c>
      <c r="J462" s="189">
        <f t="shared" si="134"/>
        <v>869</v>
      </c>
      <c r="K462" s="189" t="str">
        <f t="shared" si="134"/>
        <v>-</v>
      </c>
      <c r="L462" s="189">
        <f t="shared" si="134"/>
        <v>75049</v>
      </c>
      <c r="N462" s="189" t="str">
        <f t="shared" si="133"/>
        <v>-</v>
      </c>
      <c r="O462" s="189">
        <f t="shared" si="133"/>
        <v>275150</v>
      </c>
      <c r="P462" s="189">
        <f t="shared" si="133"/>
        <v>34896</v>
      </c>
      <c r="Q462" s="189">
        <f t="shared" si="133"/>
        <v>8346</v>
      </c>
      <c r="R462" s="189" t="str">
        <f t="shared" si="133"/>
        <v>-</v>
      </c>
      <c r="S462" s="189">
        <f t="shared" si="133"/>
        <v>318392</v>
      </c>
    </row>
    <row r="463" spans="1:19" x14ac:dyDescent="0.2">
      <c r="A463" s="371">
        <v>1984</v>
      </c>
      <c r="B463" s="189" t="str">
        <f t="shared" ref="B463:L463" si="135">IF(AND(B37="-",B392="-"),"-",SUM(B37,B392))</f>
        <v>-</v>
      </c>
      <c r="C463" s="189" t="str">
        <f t="shared" si="135"/>
        <v>-</v>
      </c>
      <c r="D463" s="189">
        <f t="shared" si="135"/>
        <v>2487</v>
      </c>
      <c r="E463" s="189">
        <f t="shared" si="135"/>
        <v>2456</v>
      </c>
      <c r="F463" s="189">
        <f t="shared" si="135"/>
        <v>17564</v>
      </c>
      <c r="G463" s="189">
        <f t="shared" si="135"/>
        <v>36826</v>
      </c>
      <c r="H463" s="189">
        <f t="shared" si="135"/>
        <v>741</v>
      </c>
      <c r="I463" s="189">
        <f t="shared" si="135"/>
        <v>956</v>
      </c>
      <c r="J463" s="189">
        <f t="shared" si="135"/>
        <v>905</v>
      </c>
      <c r="K463" s="189" t="str">
        <f t="shared" si="135"/>
        <v>-</v>
      </c>
      <c r="L463" s="189">
        <f t="shared" si="135"/>
        <v>61935</v>
      </c>
      <c r="N463" s="189" t="str">
        <f t="shared" si="133"/>
        <v>-</v>
      </c>
      <c r="O463" s="189" t="str">
        <f t="shared" si="133"/>
        <v>-</v>
      </c>
      <c r="P463" s="189">
        <f t="shared" si="133"/>
        <v>13649</v>
      </c>
      <c r="Q463" s="189" t="str">
        <f t="shared" si="133"/>
        <v>-</v>
      </c>
      <c r="R463" s="189" t="str">
        <f t="shared" si="133"/>
        <v>-</v>
      </c>
      <c r="S463" s="189">
        <f t="shared" si="133"/>
        <v>13649</v>
      </c>
    </row>
    <row r="464" spans="1:19" x14ac:dyDescent="0.2">
      <c r="A464" s="371">
        <v>1985</v>
      </c>
      <c r="B464" s="189" t="str">
        <f t="shared" ref="B464:L464" si="136">IF(AND(B38="-",B393="-"),"-",SUM(B38,B393))</f>
        <v>-</v>
      </c>
      <c r="C464" s="189" t="str">
        <f t="shared" si="136"/>
        <v>-</v>
      </c>
      <c r="D464" s="189">
        <f t="shared" si="136"/>
        <v>38390</v>
      </c>
      <c r="E464" s="189">
        <f t="shared" si="136"/>
        <v>14927</v>
      </c>
      <c r="F464" s="189">
        <f t="shared" si="136"/>
        <v>68776</v>
      </c>
      <c r="G464" s="189">
        <f t="shared" si="136"/>
        <v>63000</v>
      </c>
      <c r="H464" s="189">
        <f t="shared" si="136"/>
        <v>21484</v>
      </c>
      <c r="I464" s="189">
        <f t="shared" si="136"/>
        <v>4875</v>
      </c>
      <c r="J464" s="189">
        <f t="shared" si="136"/>
        <v>1353</v>
      </c>
      <c r="K464" s="189" t="str">
        <f t="shared" si="136"/>
        <v>-</v>
      </c>
      <c r="L464" s="189">
        <f t="shared" si="136"/>
        <v>212805</v>
      </c>
      <c r="N464" s="189" t="str">
        <f t="shared" si="133"/>
        <v>-</v>
      </c>
      <c r="O464" s="189">
        <f t="shared" si="133"/>
        <v>43870</v>
      </c>
      <c r="P464" s="189">
        <f t="shared" si="133"/>
        <v>18257</v>
      </c>
      <c r="Q464" s="189" t="str">
        <f t="shared" si="133"/>
        <v>-</v>
      </c>
      <c r="R464" s="189" t="str">
        <f t="shared" si="133"/>
        <v>-</v>
      </c>
      <c r="S464" s="189">
        <f t="shared" si="133"/>
        <v>62127</v>
      </c>
    </row>
    <row r="465" spans="1:19" x14ac:dyDescent="0.2">
      <c r="A465" s="364">
        <v>1986</v>
      </c>
      <c r="B465" s="189" t="str">
        <f t="shared" ref="B465:L465" si="137">IF(AND(B39="-",B394="-"),"-",SUM(B39,B394))</f>
        <v>-</v>
      </c>
      <c r="C465" s="189" t="str">
        <f t="shared" si="137"/>
        <v>-</v>
      </c>
      <c r="D465" s="189">
        <f t="shared" si="137"/>
        <v>36875</v>
      </c>
      <c r="E465" s="189">
        <f t="shared" si="137"/>
        <v>49965</v>
      </c>
      <c r="F465" s="189">
        <f t="shared" si="137"/>
        <v>138114</v>
      </c>
      <c r="G465" s="189">
        <f t="shared" si="137"/>
        <v>115615</v>
      </c>
      <c r="H465" s="189">
        <f t="shared" si="137"/>
        <v>33955</v>
      </c>
      <c r="I465" s="189">
        <f t="shared" si="137"/>
        <v>26722</v>
      </c>
      <c r="J465" s="189">
        <f t="shared" si="137"/>
        <v>624</v>
      </c>
      <c r="K465" s="189" t="str">
        <f t="shared" si="137"/>
        <v>-</v>
      </c>
      <c r="L465" s="189">
        <f t="shared" si="137"/>
        <v>401870</v>
      </c>
      <c r="N465" s="189">
        <f t="shared" si="133"/>
        <v>12028</v>
      </c>
      <c r="O465" s="189">
        <f t="shared" si="133"/>
        <v>382357</v>
      </c>
      <c r="P465" s="189">
        <f t="shared" si="133"/>
        <v>46063</v>
      </c>
      <c r="Q465" s="189" t="str">
        <f t="shared" si="133"/>
        <v>-</v>
      </c>
      <c r="R465" s="189" t="str">
        <f t="shared" si="133"/>
        <v>-</v>
      </c>
      <c r="S465" s="189">
        <f t="shared" si="133"/>
        <v>440448</v>
      </c>
    </row>
    <row r="466" spans="1:19" x14ac:dyDescent="0.2">
      <c r="A466" s="364">
        <v>1987</v>
      </c>
      <c r="B466" s="189" t="str">
        <f t="shared" ref="B466:L466" si="138">IF(AND(B40="-",B395="-"),"-",SUM(B40,B395))</f>
        <v>-</v>
      </c>
      <c r="C466" s="189" t="str">
        <f t="shared" si="138"/>
        <v>-</v>
      </c>
      <c r="D466" s="189">
        <f t="shared" si="138"/>
        <v>41231</v>
      </c>
      <c r="E466" s="189">
        <f t="shared" si="138"/>
        <v>48579</v>
      </c>
      <c r="F466" s="189">
        <f t="shared" si="138"/>
        <v>271046</v>
      </c>
      <c r="G466" s="189">
        <f t="shared" si="138"/>
        <v>82750</v>
      </c>
      <c r="H466" s="189">
        <f t="shared" si="138"/>
        <v>61039</v>
      </c>
      <c r="I466" s="189">
        <f t="shared" si="138"/>
        <v>17255</v>
      </c>
      <c r="J466" s="189">
        <f t="shared" si="138"/>
        <v>1916</v>
      </c>
      <c r="K466" s="189" t="str">
        <f t="shared" si="138"/>
        <v>-</v>
      </c>
      <c r="L466" s="189">
        <f t="shared" si="138"/>
        <v>523816</v>
      </c>
      <c r="N466" s="189">
        <f t="shared" si="133"/>
        <v>4117</v>
      </c>
      <c r="O466" s="189">
        <f t="shared" si="133"/>
        <v>262605</v>
      </c>
      <c r="P466" s="189">
        <f t="shared" si="133"/>
        <v>58754</v>
      </c>
      <c r="Q466" s="189">
        <f t="shared" si="133"/>
        <v>20776</v>
      </c>
      <c r="R466" s="189" t="str">
        <f t="shared" si="133"/>
        <v>-</v>
      </c>
      <c r="S466" s="189">
        <f t="shared" si="133"/>
        <v>346252</v>
      </c>
    </row>
    <row r="467" spans="1:19" x14ac:dyDescent="0.2">
      <c r="A467" s="364">
        <v>1988</v>
      </c>
      <c r="B467" s="189" t="str">
        <f t="shared" ref="B467:L467" si="139">IF(AND(B41="-",B396="-"),"-",SUM(B41,B396))</f>
        <v>-</v>
      </c>
      <c r="C467" s="189" t="str">
        <f t="shared" si="139"/>
        <v>-</v>
      </c>
      <c r="D467" s="189">
        <f t="shared" si="139"/>
        <v>57907</v>
      </c>
      <c r="E467" s="189">
        <f t="shared" si="139"/>
        <v>89479</v>
      </c>
      <c r="F467" s="189">
        <f t="shared" si="139"/>
        <v>110298</v>
      </c>
      <c r="G467" s="189">
        <f t="shared" si="139"/>
        <v>128960</v>
      </c>
      <c r="H467" s="189">
        <f t="shared" si="139"/>
        <v>31671</v>
      </c>
      <c r="I467" s="189">
        <f t="shared" si="139"/>
        <v>43426</v>
      </c>
      <c r="J467" s="189">
        <f t="shared" si="139"/>
        <v>1851</v>
      </c>
      <c r="K467" s="189" t="str">
        <f t="shared" si="139"/>
        <v>-</v>
      </c>
      <c r="L467" s="189">
        <f t="shared" si="139"/>
        <v>463592</v>
      </c>
      <c r="N467" s="189">
        <f t="shared" si="133"/>
        <v>1250</v>
      </c>
      <c r="O467" s="189">
        <f t="shared" si="133"/>
        <v>387467</v>
      </c>
      <c r="P467" s="189">
        <f t="shared" si="133"/>
        <v>233688</v>
      </c>
      <c r="Q467" s="189" t="str">
        <f t="shared" si="133"/>
        <v>-</v>
      </c>
      <c r="R467" s="189" t="str">
        <f t="shared" si="133"/>
        <v>-</v>
      </c>
      <c r="S467" s="189">
        <f t="shared" si="133"/>
        <v>622405</v>
      </c>
    </row>
    <row r="468" spans="1:19" x14ac:dyDescent="0.2">
      <c r="A468" s="364">
        <v>1989</v>
      </c>
      <c r="B468" s="189" t="str">
        <f t="shared" ref="B468:L468" si="140">IF(AND(B42="-",B397="-"),"-",SUM(B42,B397))</f>
        <v>-</v>
      </c>
      <c r="C468" s="189" t="str">
        <f t="shared" si="140"/>
        <v>-</v>
      </c>
      <c r="D468" s="189">
        <f t="shared" si="140"/>
        <v>87870</v>
      </c>
      <c r="E468" s="189">
        <f t="shared" si="140"/>
        <v>74508</v>
      </c>
      <c r="F468" s="189">
        <f t="shared" si="140"/>
        <v>70238</v>
      </c>
      <c r="G468" s="189">
        <f t="shared" si="140"/>
        <v>76932</v>
      </c>
      <c r="H468" s="189">
        <f t="shared" si="140"/>
        <v>24642</v>
      </c>
      <c r="I468" s="189">
        <f t="shared" si="140"/>
        <v>16878</v>
      </c>
      <c r="J468" s="189">
        <f t="shared" si="140"/>
        <v>2178</v>
      </c>
      <c r="K468" s="189" t="str">
        <f t="shared" si="140"/>
        <v>-</v>
      </c>
      <c r="L468" s="189">
        <f t="shared" si="140"/>
        <v>353246</v>
      </c>
      <c r="N468" s="189">
        <f t="shared" si="133"/>
        <v>1004</v>
      </c>
      <c r="O468" s="189">
        <f t="shared" si="133"/>
        <v>372173</v>
      </c>
      <c r="P468" s="189">
        <f t="shared" si="133"/>
        <v>77014</v>
      </c>
      <c r="Q468" s="189">
        <f t="shared" si="133"/>
        <v>5527</v>
      </c>
      <c r="R468" s="189" t="str">
        <f t="shared" si="133"/>
        <v>-</v>
      </c>
      <c r="S468" s="189">
        <f t="shared" si="133"/>
        <v>455718</v>
      </c>
    </row>
    <row r="469" spans="1:19" x14ac:dyDescent="0.2">
      <c r="A469" s="364">
        <v>1990</v>
      </c>
      <c r="B469" s="189" t="str">
        <f t="shared" ref="B469:L469" si="141">IF(AND(B43="-",B398="-"),"-",SUM(B43,B398))</f>
        <v>-</v>
      </c>
      <c r="C469" s="189" t="str">
        <f t="shared" si="141"/>
        <v>-</v>
      </c>
      <c r="D469" s="189">
        <f t="shared" si="141"/>
        <v>15567</v>
      </c>
      <c r="E469" s="189">
        <f t="shared" si="141"/>
        <v>32646</v>
      </c>
      <c r="F469" s="189">
        <f t="shared" si="141"/>
        <v>119364</v>
      </c>
      <c r="G469" s="189">
        <f t="shared" si="141"/>
        <v>52037</v>
      </c>
      <c r="H469" s="189">
        <f t="shared" si="141"/>
        <v>8259</v>
      </c>
      <c r="I469" s="189">
        <f t="shared" si="141"/>
        <v>4236</v>
      </c>
      <c r="J469" s="189" t="str">
        <f t="shared" si="141"/>
        <v>-</v>
      </c>
      <c r="K469" s="189" t="str">
        <f t="shared" si="141"/>
        <v>-</v>
      </c>
      <c r="L469" s="189">
        <f t="shared" si="141"/>
        <v>232109</v>
      </c>
      <c r="N469" s="189">
        <f t="shared" si="133"/>
        <v>99</v>
      </c>
      <c r="O469" s="189">
        <f t="shared" si="133"/>
        <v>80281</v>
      </c>
      <c r="P469" s="189">
        <f t="shared" si="133"/>
        <v>33675</v>
      </c>
      <c r="Q469" s="189">
        <f t="shared" si="133"/>
        <v>7034</v>
      </c>
      <c r="R469" s="189">
        <f t="shared" si="133"/>
        <v>304</v>
      </c>
      <c r="S469" s="189">
        <f t="shared" si="133"/>
        <v>121393</v>
      </c>
    </row>
    <row r="470" spans="1:19" x14ac:dyDescent="0.2">
      <c r="A470" s="364">
        <v>1991</v>
      </c>
      <c r="B470" s="189" t="str">
        <f t="shared" ref="B470:L470" si="142">IF(AND(B44="-",B399="-"),"-",SUM(B44,B399))</f>
        <v>-</v>
      </c>
      <c r="C470" s="189" t="str">
        <f t="shared" si="142"/>
        <v>-</v>
      </c>
      <c r="D470" s="189">
        <f t="shared" si="142"/>
        <v>3601</v>
      </c>
      <c r="E470" s="189">
        <f t="shared" si="142"/>
        <v>12597</v>
      </c>
      <c r="F470" s="189">
        <f t="shared" si="142"/>
        <v>15428</v>
      </c>
      <c r="G470" s="189">
        <f t="shared" si="142"/>
        <v>12047</v>
      </c>
      <c r="H470" s="189">
        <f t="shared" si="142"/>
        <v>18335</v>
      </c>
      <c r="I470" s="189">
        <f t="shared" si="142"/>
        <v>12439</v>
      </c>
      <c r="J470" s="189" t="str">
        <f t="shared" si="142"/>
        <v>-</v>
      </c>
      <c r="K470" s="189" t="str">
        <f t="shared" si="142"/>
        <v>-</v>
      </c>
      <c r="L470" s="189">
        <f t="shared" si="142"/>
        <v>74447</v>
      </c>
      <c r="N470" s="189">
        <f t="shared" si="133"/>
        <v>91249</v>
      </c>
      <c r="O470" s="189">
        <f t="shared" si="133"/>
        <v>188757</v>
      </c>
      <c r="P470" s="189">
        <f t="shared" si="133"/>
        <v>21629</v>
      </c>
      <c r="Q470" s="189">
        <f t="shared" si="133"/>
        <v>5160</v>
      </c>
      <c r="R470" s="189" t="str">
        <f t="shared" si="133"/>
        <v>-</v>
      </c>
      <c r="S470" s="189">
        <f t="shared" si="133"/>
        <v>306795</v>
      </c>
    </row>
    <row r="471" spans="1:19" x14ac:dyDescent="0.2">
      <c r="A471" s="364">
        <v>1992</v>
      </c>
      <c r="B471" s="189" t="str">
        <f t="shared" ref="B471:L471" si="143">IF(AND(B45="-",B400="-"),"-",SUM(B45,B400))</f>
        <v>-</v>
      </c>
      <c r="C471" s="189" t="str">
        <f t="shared" si="143"/>
        <v>-</v>
      </c>
      <c r="D471" s="189">
        <f t="shared" si="143"/>
        <v>21020</v>
      </c>
      <c r="E471" s="189">
        <f t="shared" si="143"/>
        <v>925</v>
      </c>
      <c r="F471" s="189">
        <f t="shared" si="143"/>
        <v>31606</v>
      </c>
      <c r="G471" s="189">
        <f t="shared" si="143"/>
        <v>26160</v>
      </c>
      <c r="H471" s="189">
        <f t="shared" si="143"/>
        <v>10757</v>
      </c>
      <c r="I471" s="189">
        <f t="shared" si="143"/>
        <v>19272</v>
      </c>
      <c r="J471" s="189" t="str">
        <f t="shared" si="143"/>
        <v>-</v>
      </c>
      <c r="K471" s="189" t="str">
        <f t="shared" si="143"/>
        <v>-</v>
      </c>
      <c r="L471" s="189">
        <f t="shared" si="143"/>
        <v>109740</v>
      </c>
      <c r="N471" s="189" t="str">
        <f t="shared" ref="N471:S480" si="144">IF(AND(N45="-",N400="-"),"-",SUM(N45,N400))</f>
        <v>-</v>
      </c>
      <c r="O471" s="189">
        <f t="shared" si="144"/>
        <v>23726</v>
      </c>
      <c r="P471" s="189">
        <f t="shared" si="144"/>
        <v>25900</v>
      </c>
      <c r="Q471" s="189" t="str">
        <f t="shared" si="144"/>
        <v>-</v>
      </c>
      <c r="R471" s="189">
        <f t="shared" si="144"/>
        <v>12</v>
      </c>
      <c r="S471" s="189">
        <f t="shared" si="144"/>
        <v>49638</v>
      </c>
    </row>
    <row r="472" spans="1:19" x14ac:dyDescent="0.2">
      <c r="A472" s="364">
        <v>1993</v>
      </c>
      <c r="B472" s="189" t="str">
        <f t="shared" ref="B472:L472" si="145">IF(AND(B46="-",B401="-"),"-",SUM(B46,B401))</f>
        <v>-</v>
      </c>
      <c r="C472" s="189" t="str">
        <f t="shared" si="145"/>
        <v>-</v>
      </c>
      <c r="D472" s="189">
        <f t="shared" si="145"/>
        <v>20564</v>
      </c>
      <c r="E472" s="189">
        <f t="shared" si="145"/>
        <v>14736</v>
      </c>
      <c r="F472" s="189">
        <f t="shared" si="145"/>
        <v>12989</v>
      </c>
      <c r="G472" s="189">
        <f t="shared" si="145"/>
        <v>10473</v>
      </c>
      <c r="H472" s="189">
        <f t="shared" si="145"/>
        <v>15643</v>
      </c>
      <c r="I472" s="189">
        <f t="shared" si="145"/>
        <v>6454</v>
      </c>
      <c r="J472" s="189">
        <f t="shared" si="145"/>
        <v>658</v>
      </c>
      <c r="K472" s="189" t="str">
        <f t="shared" si="145"/>
        <v>-</v>
      </c>
      <c r="L472" s="189">
        <f t="shared" si="145"/>
        <v>81517</v>
      </c>
      <c r="N472" s="189" t="str">
        <f t="shared" si="144"/>
        <v>-</v>
      </c>
      <c r="O472" s="189">
        <f t="shared" si="144"/>
        <v>207</v>
      </c>
      <c r="P472" s="189">
        <f t="shared" si="144"/>
        <v>582</v>
      </c>
      <c r="Q472" s="189">
        <f t="shared" si="144"/>
        <v>853</v>
      </c>
      <c r="R472" s="189">
        <f t="shared" si="144"/>
        <v>25</v>
      </c>
      <c r="S472" s="189">
        <f t="shared" si="144"/>
        <v>1667</v>
      </c>
    </row>
    <row r="473" spans="1:19" x14ac:dyDescent="0.2">
      <c r="A473" s="364">
        <v>1994</v>
      </c>
      <c r="B473" s="189" t="str">
        <f t="shared" ref="B473:L473" si="146">IF(AND(B47="-",B402="-"),"-",SUM(B47,B402))</f>
        <v>-</v>
      </c>
      <c r="C473" s="189" t="str">
        <f t="shared" si="146"/>
        <v>-</v>
      </c>
      <c r="D473" s="189">
        <f t="shared" si="146"/>
        <v>7885</v>
      </c>
      <c r="E473" s="189">
        <f t="shared" si="146"/>
        <v>8906</v>
      </c>
      <c r="F473" s="189" t="str">
        <f t="shared" si="146"/>
        <v>-</v>
      </c>
      <c r="G473" s="189">
        <f t="shared" si="146"/>
        <v>234</v>
      </c>
      <c r="H473" s="189">
        <f t="shared" si="146"/>
        <v>1239</v>
      </c>
      <c r="I473" s="189">
        <f t="shared" si="146"/>
        <v>6588</v>
      </c>
      <c r="J473" s="189">
        <f t="shared" si="146"/>
        <v>378</v>
      </c>
      <c r="K473" s="189" t="str">
        <f t="shared" si="146"/>
        <v>-</v>
      </c>
      <c r="L473" s="189">
        <f t="shared" si="146"/>
        <v>25230</v>
      </c>
      <c r="N473" s="189" t="str">
        <f t="shared" si="144"/>
        <v>-</v>
      </c>
      <c r="O473" s="189" t="str">
        <f t="shared" si="144"/>
        <v>-</v>
      </c>
      <c r="P473" s="189" t="str">
        <f t="shared" si="144"/>
        <v>-</v>
      </c>
      <c r="Q473" s="189" t="str">
        <f t="shared" si="144"/>
        <v>-</v>
      </c>
      <c r="R473" s="189" t="str">
        <f t="shared" si="144"/>
        <v>-</v>
      </c>
      <c r="S473" s="189" t="str">
        <f t="shared" si="144"/>
        <v>-</v>
      </c>
    </row>
    <row r="474" spans="1:19" x14ac:dyDescent="0.2">
      <c r="A474" s="364">
        <v>1995</v>
      </c>
      <c r="B474" s="189" t="str">
        <f t="shared" ref="B474:L474" si="147">IF(AND(B48="-",B403="-"),"-",SUM(B48,B403))</f>
        <v>-</v>
      </c>
      <c r="C474" s="189" t="str">
        <f t="shared" si="147"/>
        <v>-</v>
      </c>
      <c r="D474" s="189">
        <f t="shared" si="147"/>
        <v>10907</v>
      </c>
      <c r="E474" s="189">
        <f t="shared" si="147"/>
        <v>35866</v>
      </c>
      <c r="F474" s="189">
        <f t="shared" si="147"/>
        <v>1682</v>
      </c>
      <c r="G474" s="189">
        <f t="shared" si="147"/>
        <v>97878</v>
      </c>
      <c r="H474" s="189">
        <f t="shared" si="147"/>
        <v>38547</v>
      </c>
      <c r="I474" s="189">
        <f t="shared" si="147"/>
        <v>28585</v>
      </c>
      <c r="J474" s="189">
        <f t="shared" si="147"/>
        <v>324</v>
      </c>
      <c r="K474" s="189" t="str">
        <f t="shared" si="147"/>
        <v>-</v>
      </c>
      <c r="L474" s="189">
        <f t="shared" si="147"/>
        <v>213789</v>
      </c>
      <c r="N474" s="189" t="str">
        <f t="shared" si="144"/>
        <v>-</v>
      </c>
      <c r="O474" s="189" t="str">
        <f t="shared" si="144"/>
        <v>-</v>
      </c>
      <c r="P474" s="189" t="str">
        <f t="shared" si="144"/>
        <v>-</v>
      </c>
      <c r="Q474" s="189" t="str">
        <f t="shared" si="144"/>
        <v>-</v>
      </c>
      <c r="R474" s="189" t="str">
        <f t="shared" si="144"/>
        <v>-</v>
      </c>
      <c r="S474" s="189" t="str">
        <f t="shared" si="144"/>
        <v>-</v>
      </c>
    </row>
    <row r="475" spans="1:19" x14ac:dyDescent="0.2">
      <c r="A475" s="364">
        <v>1996</v>
      </c>
      <c r="B475" s="189" t="str">
        <f t="shared" ref="B475:L475" si="148">IF(AND(B49="-",B404="-"),"-",SUM(B49,B404))</f>
        <v>-</v>
      </c>
      <c r="C475" s="189" t="str">
        <f t="shared" si="148"/>
        <v>-</v>
      </c>
      <c r="D475" s="189">
        <f t="shared" si="148"/>
        <v>28506</v>
      </c>
      <c r="E475" s="189">
        <f t="shared" si="148"/>
        <v>41500</v>
      </c>
      <c r="F475" s="189" t="str">
        <f t="shared" si="148"/>
        <v>-</v>
      </c>
      <c r="G475" s="189">
        <f t="shared" si="148"/>
        <v>63464</v>
      </c>
      <c r="H475" s="189">
        <f t="shared" si="148"/>
        <v>25967</v>
      </c>
      <c r="I475" s="189">
        <f t="shared" si="148"/>
        <v>14927</v>
      </c>
      <c r="J475" s="189">
        <f t="shared" si="148"/>
        <v>845</v>
      </c>
      <c r="K475" s="189" t="str">
        <f t="shared" si="148"/>
        <v>-</v>
      </c>
      <c r="L475" s="189">
        <f t="shared" si="148"/>
        <v>175209</v>
      </c>
      <c r="N475" s="189">
        <f t="shared" si="144"/>
        <v>8</v>
      </c>
      <c r="O475" s="189" t="str">
        <f t="shared" si="144"/>
        <v>-</v>
      </c>
      <c r="P475" s="189" t="str">
        <f t="shared" si="144"/>
        <v>-</v>
      </c>
      <c r="Q475" s="189" t="str">
        <f t="shared" si="144"/>
        <v>-</v>
      </c>
      <c r="R475" s="189" t="str">
        <f t="shared" si="144"/>
        <v>-</v>
      </c>
      <c r="S475" s="189">
        <f t="shared" si="144"/>
        <v>8</v>
      </c>
    </row>
    <row r="476" spans="1:19" x14ac:dyDescent="0.2">
      <c r="A476" s="364">
        <v>1997</v>
      </c>
      <c r="B476" s="189" t="str">
        <f t="shared" ref="B476:L476" si="149">IF(AND(B50="-",B405="-"),"-",SUM(B50,B405))</f>
        <v>-</v>
      </c>
      <c r="C476" s="189">
        <f t="shared" si="149"/>
        <v>4493</v>
      </c>
      <c r="D476" s="189">
        <f t="shared" si="149"/>
        <v>33391</v>
      </c>
      <c r="E476" s="189">
        <f t="shared" si="149"/>
        <v>35384</v>
      </c>
      <c r="F476" s="189" t="str">
        <f t="shared" si="149"/>
        <v>-</v>
      </c>
      <c r="G476" s="189">
        <f t="shared" si="149"/>
        <v>44843</v>
      </c>
      <c r="H476" s="189">
        <f t="shared" si="149"/>
        <v>25786</v>
      </c>
      <c r="I476" s="189">
        <f t="shared" si="149"/>
        <v>5370</v>
      </c>
      <c r="J476" s="189">
        <f t="shared" si="149"/>
        <v>492</v>
      </c>
      <c r="K476" s="189" t="str">
        <f t="shared" si="149"/>
        <v>-</v>
      </c>
      <c r="L476" s="189">
        <f t="shared" si="149"/>
        <v>149759</v>
      </c>
      <c r="N476" s="189" t="str">
        <f t="shared" si="144"/>
        <v>-</v>
      </c>
      <c r="O476" s="189" t="str">
        <f t="shared" si="144"/>
        <v>-</v>
      </c>
      <c r="P476" s="189" t="str">
        <f t="shared" si="144"/>
        <v>-</v>
      </c>
      <c r="Q476" s="189" t="str">
        <f t="shared" si="144"/>
        <v>-</v>
      </c>
      <c r="R476" s="189" t="str">
        <f t="shared" si="144"/>
        <v>-</v>
      </c>
      <c r="S476" s="189" t="str">
        <f t="shared" si="144"/>
        <v>-</v>
      </c>
    </row>
    <row r="477" spans="1:19" x14ac:dyDescent="0.2">
      <c r="A477" s="364">
        <v>1998</v>
      </c>
      <c r="B477" s="189" t="str">
        <f t="shared" ref="B477:L477" si="150">IF(AND(B51="-",B406="-"),"-",SUM(B51,B406))</f>
        <v>-</v>
      </c>
      <c r="C477" s="189">
        <f t="shared" si="150"/>
        <v>19953</v>
      </c>
      <c r="D477" s="189">
        <f t="shared" si="150"/>
        <v>39740</v>
      </c>
      <c r="E477" s="189">
        <f t="shared" si="150"/>
        <v>33749</v>
      </c>
      <c r="F477" s="189" t="str">
        <f t="shared" si="150"/>
        <v>-</v>
      </c>
      <c r="G477" s="189">
        <f t="shared" si="150"/>
        <v>20950</v>
      </c>
      <c r="H477" s="189">
        <f t="shared" si="150"/>
        <v>4952</v>
      </c>
      <c r="I477" s="189">
        <f t="shared" si="150"/>
        <v>3967</v>
      </c>
      <c r="J477" s="189">
        <f t="shared" si="150"/>
        <v>900</v>
      </c>
      <c r="K477" s="189" t="str">
        <f t="shared" si="150"/>
        <v>-</v>
      </c>
      <c r="L477" s="189">
        <f t="shared" si="150"/>
        <v>124211</v>
      </c>
      <c r="N477" s="189" t="str">
        <f t="shared" si="144"/>
        <v>-</v>
      </c>
      <c r="O477" s="189" t="str">
        <f t="shared" si="144"/>
        <v>-</v>
      </c>
      <c r="P477" s="189" t="str">
        <f t="shared" si="144"/>
        <v>-</v>
      </c>
      <c r="Q477" s="189" t="str">
        <f t="shared" si="144"/>
        <v>-</v>
      </c>
      <c r="R477" s="189" t="str">
        <f t="shared" si="144"/>
        <v>-</v>
      </c>
      <c r="S477" s="189" t="str">
        <f t="shared" si="144"/>
        <v>-</v>
      </c>
    </row>
    <row r="478" spans="1:19" x14ac:dyDescent="0.2">
      <c r="A478" s="364">
        <v>1999</v>
      </c>
      <c r="B478" s="189" t="str">
        <f t="shared" ref="B478:L478" si="151">IF(AND(B52="-",B407="-"),"-",SUM(B52,B407))</f>
        <v>-</v>
      </c>
      <c r="C478" s="189">
        <f t="shared" si="151"/>
        <v>826</v>
      </c>
      <c r="D478" s="189">
        <f t="shared" si="151"/>
        <v>6056</v>
      </c>
      <c r="E478" s="189">
        <f t="shared" si="151"/>
        <v>23462</v>
      </c>
      <c r="F478" s="189">
        <f t="shared" si="151"/>
        <v>8095</v>
      </c>
      <c r="G478" s="189">
        <f t="shared" si="151"/>
        <v>18064</v>
      </c>
      <c r="H478" s="189">
        <f t="shared" si="151"/>
        <v>1934</v>
      </c>
      <c r="I478" s="189">
        <f t="shared" si="151"/>
        <v>2816</v>
      </c>
      <c r="J478" s="189">
        <f t="shared" si="151"/>
        <v>1237</v>
      </c>
      <c r="K478" s="189">
        <f t="shared" si="151"/>
        <v>43</v>
      </c>
      <c r="L478" s="189">
        <f t="shared" si="151"/>
        <v>62533</v>
      </c>
      <c r="N478" s="189" t="str">
        <f t="shared" si="144"/>
        <v>-</v>
      </c>
      <c r="O478" s="189" t="str">
        <f t="shared" si="144"/>
        <v>-</v>
      </c>
      <c r="P478" s="189" t="str">
        <f t="shared" si="144"/>
        <v>-</v>
      </c>
      <c r="Q478" s="189" t="str">
        <f t="shared" si="144"/>
        <v>-</v>
      </c>
      <c r="R478" s="189" t="str">
        <f t="shared" si="144"/>
        <v>-</v>
      </c>
      <c r="S478" s="189" t="str">
        <f t="shared" si="144"/>
        <v>-</v>
      </c>
    </row>
    <row r="479" spans="1:19" x14ac:dyDescent="0.2">
      <c r="A479" s="364">
        <v>2000</v>
      </c>
      <c r="B479" s="189" t="str">
        <f t="shared" ref="B479:L479" si="152">IF(AND(B53="-",B408="-"),"-",SUM(B53,B408))</f>
        <v>-</v>
      </c>
      <c r="C479" s="189">
        <f t="shared" si="152"/>
        <v>1187</v>
      </c>
      <c r="D479" s="189">
        <f t="shared" si="152"/>
        <v>6094</v>
      </c>
      <c r="E479" s="189">
        <f t="shared" si="152"/>
        <v>11677</v>
      </c>
      <c r="F479" s="189">
        <f t="shared" si="152"/>
        <v>19664</v>
      </c>
      <c r="G479" s="189">
        <f t="shared" si="152"/>
        <v>50698</v>
      </c>
      <c r="H479" s="189">
        <f t="shared" si="152"/>
        <v>31583</v>
      </c>
      <c r="I479" s="189">
        <f t="shared" si="152"/>
        <v>13096</v>
      </c>
      <c r="J479" s="189">
        <f t="shared" si="152"/>
        <v>1537</v>
      </c>
      <c r="K479" s="189">
        <f t="shared" si="152"/>
        <v>367</v>
      </c>
      <c r="L479" s="189">
        <f t="shared" si="152"/>
        <v>135903</v>
      </c>
      <c r="N479" s="189" t="str">
        <f t="shared" si="144"/>
        <v>-</v>
      </c>
      <c r="O479" s="189" t="str">
        <f t="shared" si="144"/>
        <v>-</v>
      </c>
      <c r="P479" s="189">
        <f t="shared" si="144"/>
        <v>11600</v>
      </c>
      <c r="Q479" s="189">
        <f t="shared" si="144"/>
        <v>658</v>
      </c>
      <c r="R479" s="189" t="str">
        <f t="shared" si="144"/>
        <v>-</v>
      </c>
      <c r="S479" s="189">
        <f t="shared" si="144"/>
        <v>12258</v>
      </c>
    </row>
    <row r="480" spans="1:19" x14ac:dyDescent="0.2">
      <c r="A480" s="364">
        <v>2001</v>
      </c>
      <c r="B480" s="189" t="str">
        <f t="shared" ref="B480:L480" si="153">IF(AND(B54="-",B409="-"),"-",SUM(B54,B409))</f>
        <v>-</v>
      </c>
      <c r="C480" s="189">
        <f t="shared" si="153"/>
        <v>18536</v>
      </c>
      <c r="D480" s="189">
        <f t="shared" si="153"/>
        <v>61165</v>
      </c>
      <c r="E480" s="189">
        <f t="shared" si="153"/>
        <v>44992</v>
      </c>
      <c r="F480" s="189">
        <f t="shared" si="153"/>
        <v>38464</v>
      </c>
      <c r="G480" s="189">
        <f t="shared" si="153"/>
        <v>62750</v>
      </c>
      <c r="H480" s="189">
        <f t="shared" si="153"/>
        <v>31850</v>
      </c>
      <c r="I480" s="189">
        <f t="shared" si="153"/>
        <v>15840</v>
      </c>
      <c r="J480" s="189">
        <f t="shared" si="153"/>
        <v>1345</v>
      </c>
      <c r="K480" s="189">
        <f t="shared" si="153"/>
        <v>21</v>
      </c>
      <c r="L480" s="189">
        <f t="shared" si="153"/>
        <v>274963</v>
      </c>
      <c r="N480" s="189" t="str">
        <f t="shared" si="144"/>
        <v>-</v>
      </c>
      <c r="O480" s="189">
        <f t="shared" si="144"/>
        <v>3701</v>
      </c>
      <c r="P480" s="189">
        <f t="shared" si="144"/>
        <v>3376</v>
      </c>
      <c r="Q480" s="189">
        <f t="shared" si="144"/>
        <v>2256</v>
      </c>
      <c r="R480" s="189" t="str">
        <f t="shared" si="144"/>
        <v>-</v>
      </c>
      <c r="S480" s="189">
        <f t="shared" si="144"/>
        <v>9333</v>
      </c>
    </row>
    <row r="481" spans="1:19" x14ac:dyDescent="0.2">
      <c r="A481" s="364">
        <v>2002</v>
      </c>
      <c r="B481" s="189">
        <f t="shared" ref="B481:L481" si="154">IF(AND(B55="-",B410="-"),"-",SUM(B55,B410))</f>
        <v>6667</v>
      </c>
      <c r="C481" s="189">
        <f t="shared" si="154"/>
        <v>10689</v>
      </c>
      <c r="D481" s="189">
        <f t="shared" si="154"/>
        <v>24425</v>
      </c>
      <c r="E481" s="189">
        <f t="shared" si="154"/>
        <v>64022</v>
      </c>
      <c r="F481" s="189">
        <f t="shared" si="154"/>
        <v>18019</v>
      </c>
      <c r="G481" s="189">
        <f t="shared" si="154"/>
        <v>34139</v>
      </c>
      <c r="H481" s="189">
        <f t="shared" si="154"/>
        <v>61166</v>
      </c>
      <c r="I481" s="189">
        <f t="shared" si="154"/>
        <v>83742</v>
      </c>
      <c r="J481" s="189">
        <f t="shared" si="154"/>
        <v>1255</v>
      </c>
      <c r="K481" s="189">
        <f t="shared" si="154"/>
        <v>65</v>
      </c>
      <c r="L481" s="189">
        <f t="shared" si="154"/>
        <v>304189</v>
      </c>
      <c r="N481" s="189" t="str">
        <f t="shared" ref="N481:S490" si="155">IF(AND(N55="-",N410="-"),"-",SUM(N55,N410))</f>
        <v>-</v>
      </c>
      <c r="O481" s="189" t="str">
        <f t="shared" si="155"/>
        <v>-</v>
      </c>
      <c r="P481" s="189">
        <f t="shared" si="155"/>
        <v>1515</v>
      </c>
      <c r="Q481" s="189" t="str">
        <f t="shared" si="155"/>
        <v>-</v>
      </c>
      <c r="R481" s="189" t="str">
        <f t="shared" si="155"/>
        <v>-</v>
      </c>
      <c r="S481" s="189">
        <f t="shared" si="155"/>
        <v>1515</v>
      </c>
    </row>
    <row r="482" spans="1:19" x14ac:dyDescent="0.2">
      <c r="A482" s="118">
        <v>2003</v>
      </c>
      <c r="B482" s="189">
        <f t="shared" ref="B482:L482" si="156">IF(AND(B56="-",B411="-"),"-",SUM(B56,B411))</f>
        <v>3192</v>
      </c>
      <c r="C482" s="189">
        <f t="shared" si="156"/>
        <v>59009</v>
      </c>
      <c r="D482" s="189">
        <f t="shared" si="156"/>
        <v>79024</v>
      </c>
      <c r="E482" s="189">
        <f t="shared" si="156"/>
        <v>33496</v>
      </c>
      <c r="F482" s="189">
        <f t="shared" si="156"/>
        <v>21971</v>
      </c>
      <c r="G482" s="189">
        <f t="shared" si="156"/>
        <v>40806</v>
      </c>
      <c r="H482" s="189">
        <f t="shared" si="156"/>
        <v>51364</v>
      </c>
      <c r="I482" s="189">
        <f t="shared" si="156"/>
        <v>39680</v>
      </c>
      <c r="J482" s="189">
        <f t="shared" si="156"/>
        <v>999</v>
      </c>
      <c r="K482" s="189">
        <f t="shared" si="156"/>
        <v>137</v>
      </c>
      <c r="L482" s="189">
        <f t="shared" si="156"/>
        <v>329678</v>
      </c>
      <c r="M482" s="187"/>
      <c r="N482" s="189" t="str">
        <f t="shared" si="155"/>
        <v>-</v>
      </c>
      <c r="O482" s="189">
        <f t="shared" si="155"/>
        <v>1473</v>
      </c>
      <c r="P482" s="189">
        <f t="shared" si="155"/>
        <v>3657</v>
      </c>
      <c r="Q482" s="189">
        <f t="shared" si="155"/>
        <v>1311</v>
      </c>
      <c r="R482" s="189" t="str">
        <f t="shared" si="155"/>
        <v>-</v>
      </c>
      <c r="S482" s="189">
        <f t="shared" si="155"/>
        <v>6441</v>
      </c>
    </row>
    <row r="483" spans="1:19" x14ac:dyDescent="0.2">
      <c r="A483" s="118">
        <v>2004</v>
      </c>
      <c r="B483" s="189">
        <f t="shared" ref="B483:L483" si="157">IF(AND(B57="-",B412="-"),"-",SUM(B57,B412))</f>
        <v>21049</v>
      </c>
      <c r="C483" s="189">
        <f t="shared" si="157"/>
        <v>34021</v>
      </c>
      <c r="D483" s="189">
        <f t="shared" si="157"/>
        <v>39928</v>
      </c>
      <c r="E483" s="189">
        <f t="shared" si="157"/>
        <v>25741</v>
      </c>
      <c r="F483" s="189">
        <f t="shared" si="157"/>
        <v>16754</v>
      </c>
      <c r="G483" s="189">
        <f t="shared" si="157"/>
        <v>78994</v>
      </c>
      <c r="H483" s="189">
        <f t="shared" si="157"/>
        <v>25307</v>
      </c>
      <c r="I483" s="189">
        <f t="shared" si="157"/>
        <v>8542</v>
      </c>
      <c r="J483" s="189">
        <f t="shared" si="157"/>
        <v>2191</v>
      </c>
      <c r="K483" s="189">
        <f t="shared" si="157"/>
        <v>182</v>
      </c>
      <c r="L483" s="189">
        <f t="shared" si="157"/>
        <v>252709</v>
      </c>
      <c r="N483" s="189" t="str">
        <f t="shared" si="155"/>
        <v>-</v>
      </c>
      <c r="O483" s="189">
        <f t="shared" si="155"/>
        <v>718</v>
      </c>
      <c r="P483" s="189">
        <f t="shared" si="155"/>
        <v>1399</v>
      </c>
      <c r="Q483" s="189">
        <f t="shared" si="155"/>
        <v>6722</v>
      </c>
      <c r="R483" s="189" t="str">
        <f t="shared" si="155"/>
        <v>-</v>
      </c>
      <c r="S483" s="189">
        <f t="shared" si="155"/>
        <v>8839</v>
      </c>
    </row>
    <row r="484" spans="1:19" x14ac:dyDescent="0.2">
      <c r="A484" s="118">
        <v>2005</v>
      </c>
      <c r="B484" s="189">
        <f t="shared" ref="B484:L484" si="158">IF(AND(B58="-",B413="-"),"-",SUM(B58,B413))</f>
        <v>28384</v>
      </c>
      <c r="C484" s="189">
        <f t="shared" si="158"/>
        <v>4788</v>
      </c>
      <c r="D484" s="189">
        <f t="shared" si="158"/>
        <v>60860</v>
      </c>
      <c r="E484" s="189">
        <f t="shared" si="158"/>
        <v>50822</v>
      </c>
      <c r="F484" s="189">
        <f t="shared" si="158"/>
        <v>367</v>
      </c>
      <c r="G484" s="189">
        <f t="shared" si="158"/>
        <v>3672</v>
      </c>
      <c r="H484" s="189">
        <f t="shared" si="158"/>
        <v>83313</v>
      </c>
      <c r="I484" s="189">
        <f t="shared" si="158"/>
        <v>17811</v>
      </c>
      <c r="J484" s="189">
        <f t="shared" si="158"/>
        <v>943</v>
      </c>
      <c r="K484" s="189">
        <f t="shared" si="158"/>
        <v>335</v>
      </c>
      <c r="L484" s="189">
        <f t="shared" si="158"/>
        <v>251295</v>
      </c>
      <c r="N484" s="189" t="str">
        <f t="shared" si="155"/>
        <v>-</v>
      </c>
      <c r="O484" s="189">
        <f t="shared" si="155"/>
        <v>204</v>
      </c>
      <c r="P484" s="189">
        <f t="shared" si="155"/>
        <v>2414</v>
      </c>
      <c r="Q484" s="189" t="str">
        <f t="shared" si="155"/>
        <v>-</v>
      </c>
      <c r="R484" s="189" t="str">
        <f t="shared" si="155"/>
        <v>-</v>
      </c>
      <c r="S484" s="189">
        <f t="shared" si="155"/>
        <v>2618</v>
      </c>
    </row>
    <row r="485" spans="1:19" x14ac:dyDescent="0.2">
      <c r="A485" s="118">
        <v>2006</v>
      </c>
      <c r="B485" s="189" t="str">
        <f t="shared" ref="B485:L485" si="159">IF(AND(B59="-",B414="-"),"-",SUM(B59,B414))</f>
        <v>-</v>
      </c>
      <c r="C485" s="189" t="str">
        <f t="shared" si="159"/>
        <v>-</v>
      </c>
      <c r="D485" s="189">
        <f t="shared" si="159"/>
        <v>7167</v>
      </c>
      <c r="E485" s="189">
        <f t="shared" si="159"/>
        <v>12718</v>
      </c>
      <c r="F485" s="189">
        <f t="shared" si="159"/>
        <v>3617</v>
      </c>
      <c r="G485" s="189">
        <f t="shared" si="159"/>
        <v>1023</v>
      </c>
      <c r="H485" s="189">
        <f t="shared" si="159"/>
        <v>4471</v>
      </c>
      <c r="I485" s="189">
        <f t="shared" si="159"/>
        <v>4039</v>
      </c>
      <c r="J485" s="189">
        <f t="shared" si="159"/>
        <v>1691</v>
      </c>
      <c r="K485" s="189">
        <f t="shared" si="159"/>
        <v>131</v>
      </c>
      <c r="L485" s="189">
        <f t="shared" si="159"/>
        <v>34857</v>
      </c>
      <c r="N485" s="189" t="str">
        <f t="shared" si="155"/>
        <v>-</v>
      </c>
      <c r="O485" s="189">
        <f t="shared" si="155"/>
        <v>10</v>
      </c>
      <c r="P485" s="189">
        <f t="shared" si="155"/>
        <v>915</v>
      </c>
      <c r="Q485" s="189">
        <f t="shared" si="155"/>
        <v>489</v>
      </c>
      <c r="R485" s="189" t="str">
        <f t="shared" si="155"/>
        <v>-</v>
      </c>
      <c r="S485" s="189">
        <f t="shared" si="155"/>
        <v>1414</v>
      </c>
    </row>
    <row r="486" spans="1:19" s="366" customFormat="1" x14ac:dyDescent="0.2">
      <c r="A486" s="118">
        <v>2007</v>
      </c>
      <c r="B486" s="187" t="str">
        <f t="shared" ref="B486:L486" si="160">IF(AND(B60="-",B415="-"),"-",SUM(B60,B415))</f>
        <v>-</v>
      </c>
      <c r="C486" s="187">
        <f t="shared" si="160"/>
        <v>1871</v>
      </c>
      <c r="D486" s="187">
        <f t="shared" si="160"/>
        <v>8130</v>
      </c>
      <c r="E486" s="187">
        <f t="shared" si="160"/>
        <v>5564</v>
      </c>
      <c r="F486" s="187">
        <f t="shared" si="160"/>
        <v>3024</v>
      </c>
      <c r="G486" s="187">
        <f t="shared" si="160"/>
        <v>14047</v>
      </c>
      <c r="H486" s="187">
        <f t="shared" si="160"/>
        <v>1127</v>
      </c>
      <c r="I486" s="187">
        <f t="shared" si="160"/>
        <v>1004</v>
      </c>
      <c r="J486" s="187">
        <f t="shared" si="160"/>
        <v>717</v>
      </c>
      <c r="K486" s="187">
        <f t="shared" si="160"/>
        <v>3</v>
      </c>
      <c r="L486" s="187">
        <f t="shared" si="160"/>
        <v>35487</v>
      </c>
      <c r="M486" s="187"/>
      <c r="N486" s="187" t="str">
        <f t="shared" si="155"/>
        <v>-</v>
      </c>
      <c r="O486" s="187">
        <f t="shared" si="155"/>
        <v>1062</v>
      </c>
      <c r="P486" s="187">
        <f t="shared" si="155"/>
        <v>15371</v>
      </c>
      <c r="Q486" s="187">
        <f t="shared" si="155"/>
        <v>676</v>
      </c>
      <c r="R486" s="187" t="str">
        <f t="shared" si="155"/>
        <v>-</v>
      </c>
      <c r="S486" s="187">
        <f t="shared" si="155"/>
        <v>17109</v>
      </c>
    </row>
    <row r="487" spans="1:19" s="366" customFormat="1" x14ac:dyDescent="0.2">
      <c r="A487" s="118">
        <v>2008</v>
      </c>
      <c r="B487" s="187" t="str">
        <f t="shared" ref="B487:L487" si="161">IF(AND(B61="-",B416="-"),"-",SUM(B61,B416))</f>
        <v>-</v>
      </c>
      <c r="C487" s="187" t="str">
        <f t="shared" si="161"/>
        <v>-</v>
      </c>
      <c r="D487" s="187">
        <f t="shared" si="161"/>
        <v>2616</v>
      </c>
      <c r="E487" s="187">
        <f t="shared" si="161"/>
        <v>2508</v>
      </c>
      <c r="F487" s="187">
        <f t="shared" si="161"/>
        <v>129</v>
      </c>
      <c r="G487" s="187">
        <f t="shared" si="161"/>
        <v>161</v>
      </c>
      <c r="H487" s="187">
        <f t="shared" si="161"/>
        <v>84</v>
      </c>
      <c r="I487" s="187">
        <f t="shared" si="161"/>
        <v>248</v>
      </c>
      <c r="J487" s="187">
        <f t="shared" si="161"/>
        <v>208</v>
      </c>
      <c r="K487" s="187" t="str">
        <f t="shared" si="161"/>
        <v>-</v>
      </c>
      <c r="L487" s="187">
        <f t="shared" si="161"/>
        <v>5954</v>
      </c>
      <c r="M487" s="187"/>
      <c r="N487" s="187" t="str">
        <f t="shared" si="155"/>
        <v>-</v>
      </c>
      <c r="O487" s="187">
        <f t="shared" si="155"/>
        <v>49</v>
      </c>
      <c r="P487" s="187">
        <f t="shared" si="155"/>
        <v>356</v>
      </c>
      <c r="Q487" s="187">
        <f t="shared" si="155"/>
        <v>29</v>
      </c>
      <c r="R487" s="187" t="str">
        <f t="shared" si="155"/>
        <v>-</v>
      </c>
      <c r="S487" s="187">
        <f t="shared" si="155"/>
        <v>434</v>
      </c>
    </row>
    <row r="488" spans="1:19" s="366" customFormat="1" x14ac:dyDescent="0.2">
      <c r="A488" s="118">
        <v>2009</v>
      </c>
      <c r="B488" s="187" t="str">
        <f t="shared" ref="B488:L488" si="162">IF(AND(B62="-",B417="-"),"-",SUM(B62,B417))</f>
        <v>-</v>
      </c>
      <c r="C488" s="187" t="str">
        <f t="shared" si="162"/>
        <v>-</v>
      </c>
      <c r="D488" s="187">
        <f t="shared" si="162"/>
        <v>119</v>
      </c>
      <c r="E488" s="187">
        <f t="shared" si="162"/>
        <v>232</v>
      </c>
      <c r="F488" s="187">
        <f t="shared" si="162"/>
        <v>240</v>
      </c>
      <c r="G488" s="187">
        <f t="shared" si="162"/>
        <v>117</v>
      </c>
      <c r="H488" s="187">
        <f t="shared" si="162"/>
        <v>109</v>
      </c>
      <c r="I488" s="187">
        <f t="shared" si="162"/>
        <v>332</v>
      </c>
      <c r="J488" s="187" t="str">
        <f t="shared" si="162"/>
        <v>-</v>
      </c>
      <c r="K488" s="187" t="str">
        <f t="shared" si="162"/>
        <v>-</v>
      </c>
      <c r="L488" s="187">
        <f t="shared" si="162"/>
        <v>1149</v>
      </c>
      <c r="M488" s="187"/>
      <c r="N488" s="187" t="str">
        <f t="shared" si="155"/>
        <v>-</v>
      </c>
      <c r="O488" s="187">
        <f t="shared" si="155"/>
        <v>9061</v>
      </c>
      <c r="P488" s="187">
        <f t="shared" si="155"/>
        <v>3458</v>
      </c>
      <c r="Q488" s="187">
        <f t="shared" si="155"/>
        <v>9443</v>
      </c>
      <c r="R488" s="187" t="str">
        <f t="shared" si="155"/>
        <v>-</v>
      </c>
      <c r="S488" s="187">
        <f t="shared" si="155"/>
        <v>21962</v>
      </c>
    </row>
    <row r="489" spans="1:19" s="366" customFormat="1" x14ac:dyDescent="0.2">
      <c r="A489" s="118">
        <v>2010</v>
      </c>
      <c r="B489" s="187" t="str">
        <f t="shared" ref="B489:L489" si="163">IF(AND(B63="-",B418="-"),"-",SUM(B63,B418))</f>
        <v>-</v>
      </c>
      <c r="C489" s="187" t="str">
        <f t="shared" si="163"/>
        <v>-</v>
      </c>
      <c r="D489" s="187">
        <f t="shared" si="163"/>
        <v>9763</v>
      </c>
      <c r="E489" s="187">
        <f t="shared" si="163"/>
        <v>15618</v>
      </c>
      <c r="F489" s="187">
        <f t="shared" si="163"/>
        <v>6448</v>
      </c>
      <c r="G489" s="187">
        <f t="shared" si="163"/>
        <v>5579</v>
      </c>
      <c r="H489" s="187">
        <f t="shared" si="163"/>
        <v>166</v>
      </c>
      <c r="I489" s="187">
        <f t="shared" si="163"/>
        <v>1859</v>
      </c>
      <c r="J489" s="187" t="str">
        <f t="shared" si="163"/>
        <v>-</v>
      </c>
      <c r="K489" s="187" t="str">
        <f t="shared" si="163"/>
        <v>-</v>
      </c>
      <c r="L489" s="187">
        <f t="shared" si="163"/>
        <v>39433</v>
      </c>
      <c r="M489" s="187"/>
      <c r="N489" s="187" t="str">
        <f t="shared" si="155"/>
        <v>-</v>
      </c>
      <c r="O489" s="187">
        <f t="shared" si="155"/>
        <v>637</v>
      </c>
      <c r="P489" s="187">
        <f t="shared" si="155"/>
        <v>368</v>
      </c>
      <c r="Q489" s="187">
        <f t="shared" si="155"/>
        <v>35</v>
      </c>
      <c r="R489" s="187" t="str">
        <f t="shared" si="155"/>
        <v>-</v>
      </c>
      <c r="S489" s="187">
        <f t="shared" si="155"/>
        <v>1040</v>
      </c>
    </row>
    <row r="490" spans="1:19" s="366" customFormat="1" x14ac:dyDescent="0.2">
      <c r="A490" s="118">
        <v>2011</v>
      </c>
      <c r="B490" s="187" t="str">
        <f t="shared" ref="B490:L490" si="164">IF(AND(B64="-",B419="-"),"-",SUM(B64,B419))</f>
        <v>-</v>
      </c>
      <c r="C490" s="187">
        <f t="shared" si="164"/>
        <v>4481</v>
      </c>
      <c r="D490" s="187">
        <f t="shared" si="164"/>
        <v>9559</v>
      </c>
      <c r="E490" s="187">
        <f t="shared" si="164"/>
        <v>12055</v>
      </c>
      <c r="F490" s="187">
        <f t="shared" si="164"/>
        <v>840</v>
      </c>
      <c r="G490" s="187">
        <f t="shared" si="164"/>
        <v>1588</v>
      </c>
      <c r="H490" s="187">
        <f t="shared" si="164"/>
        <v>363</v>
      </c>
      <c r="I490" s="187">
        <f t="shared" si="164"/>
        <v>1200</v>
      </c>
      <c r="J490" s="187">
        <f t="shared" si="164"/>
        <v>1995</v>
      </c>
      <c r="K490" s="187" t="str">
        <f t="shared" si="164"/>
        <v>-</v>
      </c>
      <c r="L490" s="187">
        <f t="shared" si="164"/>
        <v>32081</v>
      </c>
      <c r="M490" s="187"/>
      <c r="N490" s="187" t="str">
        <f t="shared" si="155"/>
        <v>-</v>
      </c>
      <c r="O490" s="187">
        <f t="shared" si="155"/>
        <v>234</v>
      </c>
      <c r="P490" s="187">
        <f t="shared" si="155"/>
        <v>147</v>
      </c>
      <c r="Q490" s="187">
        <f t="shared" si="155"/>
        <v>83</v>
      </c>
      <c r="R490" s="187" t="str">
        <f t="shared" si="155"/>
        <v>-</v>
      </c>
      <c r="S490" s="187">
        <f t="shared" si="155"/>
        <v>464</v>
      </c>
    </row>
    <row r="491" spans="1:19" s="366" customFormat="1" x14ac:dyDescent="0.2">
      <c r="A491" s="118">
        <v>2012</v>
      </c>
      <c r="B491" s="187" t="str">
        <f t="shared" ref="B491:L491" si="165">IF(AND(B65="-",B420="-"),"-",SUM(B65,B420))</f>
        <v>-</v>
      </c>
      <c r="C491" s="187">
        <f t="shared" si="165"/>
        <v>3633</v>
      </c>
      <c r="D491" s="187">
        <f t="shared" si="165"/>
        <v>15938</v>
      </c>
      <c r="E491" s="187">
        <f t="shared" si="165"/>
        <v>14010</v>
      </c>
      <c r="F491" s="187">
        <f t="shared" si="165"/>
        <v>3451</v>
      </c>
      <c r="G491" s="187">
        <f t="shared" si="165"/>
        <v>10248</v>
      </c>
      <c r="H491" s="187">
        <f t="shared" si="165"/>
        <v>16246</v>
      </c>
      <c r="I491" s="187">
        <f t="shared" si="165"/>
        <v>8874</v>
      </c>
      <c r="J491" s="187">
        <f t="shared" si="165"/>
        <v>701</v>
      </c>
      <c r="K491" s="187" t="str">
        <f t="shared" si="165"/>
        <v>-</v>
      </c>
      <c r="L491" s="187">
        <f t="shared" si="165"/>
        <v>73101</v>
      </c>
      <c r="M491" s="187"/>
      <c r="N491" s="187" t="str">
        <f t="shared" ref="N491:S497" si="166">IF(AND(N65="-",N420="-"),"-",SUM(N65,N420))</f>
        <v>-</v>
      </c>
      <c r="O491" s="187">
        <f t="shared" si="166"/>
        <v>38</v>
      </c>
      <c r="P491" s="187">
        <f t="shared" si="166"/>
        <v>35</v>
      </c>
      <c r="Q491" s="187">
        <f t="shared" si="166"/>
        <v>551</v>
      </c>
      <c r="R491" s="187" t="str">
        <f t="shared" si="166"/>
        <v>-</v>
      </c>
      <c r="S491" s="187">
        <f t="shared" si="166"/>
        <v>624</v>
      </c>
    </row>
    <row r="492" spans="1:19" s="366" customFormat="1" x14ac:dyDescent="0.2">
      <c r="A492" s="118">
        <v>2013</v>
      </c>
      <c r="B492" s="187" t="str">
        <f t="shared" ref="B492:L492" si="167">IF(AND(B66="-",B421="-"),"-",SUM(B66,B421))</f>
        <v>-</v>
      </c>
      <c r="C492" s="187">
        <f t="shared" si="167"/>
        <v>7423</v>
      </c>
      <c r="D492" s="187">
        <f t="shared" si="167"/>
        <v>9532</v>
      </c>
      <c r="E492" s="187">
        <f t="shared" si="167"/>
        <v>8141</v>
      </c>
      <c r="F492" s="187">
        <f t="shared" si="167"/>
        <v>8638</v>
      </c>
      <c r="G492" s="187">
        <f t="shared" si="167"/>
        <v>40662</v>
      </c>
      <c r="H492" s="187">
        <f t="shared" si="167"/>
        <v>28780</v>
      </c>
      <c r="I492" s="187">
        <f t="shared" si="167"/>
        <v>8579</v>
      </c>
      <c r="J492" s="187">
        <f t="shared" si="167"/>
        <v>1002</v>
      </c>
      <c r="K492" s="187" t="str">
        <f t="shared" si="167"/>
        <v>-</v>
      </c>
      <c r="L492" s="187">
        <f t="shared" si="167"/>
        <v>112757</v>
      </c>
      <c r="M492" s="187"/>
      <c r="N492" s="187" t="str">
        <f t="shared" si="166"/>
        <v>-</v>
      </c>
      <c r="O492" s="187">
        <f t="shared" si="166"/>
        <v>39</v>
      </c>
      <c r="P492" s="187">
        <f t="shared" si="166"/>
        <v>295</v>
      </c>
      <c r="Q492" s="187">
        <f t="shared" si="166"/>
        <v>118</v>
      </c>
      <c r="R492" s="187" t="str">
        <f t="shared" si="166"/>
        <v>-</v>
      </c>
      <c r="S492" s="187">
        <f t="shared" si="166"/>
        <v>452</v>
      </c>
    </row>
    <row r="493" spans="1:19" s="366" customFormat="1" x14ac:dyDescent="0.2">
      <c r="A493" s="118">
        <v>2014</v>
      </c>
      <c r="B493" s="187" t="str">
        <f t="shared" ref="B493:L493" si="168">IF(AND(B67="-",B422="-"),"-",SUM(B67,B422))</f>
        <v>-</v>
      </c>
      <c r="C493" s="187">
        <f t="shared" si="168"/>
        <v>15554</v>
      </c>
      <c r="D493" s="187">
        <f t="shared" si="168"/>
        <v>61545</v>
      </c>
      <c r="E493" s="187">
        <f t="shared" si="168"/>
        <v>30634</v>
      </c>
      <c r="F493" s="187">
        <f t="shared" si="168"/>
        <v>21100</v>
      </c>
      <c r="G493" s="187">
        <f t="shared" si="168"/>
        <v>67178</v>
      </c>
      <c r="H493" s="187">
        <f t="shared" si="168"/>
        <v>9101</v>
      </c>
      <c r="I493" s="187">
        <f t="shared" si="168"/>
        <v>2515</v>
      </c>
      <c r="J493" s="187">
        <f t="shared" si="168"/>
        <v>469</v>
      </c>
      <c r="K493" s="187" t="str">
        <f t="shared" si="168"/>
        <v>-</v>
      </c>
      <c r="L493" s="187">
        <f t="shared" si="168"/>
        <v>208096</v>
      </c>
      <c r="M493" s="187"/>
      <c r="N493" s="187" t="str">
        <f t="shared" si="166"/>
        <v>-</v>
      </c>
      <c r="O493" s="187">
        <f t="shared" si="166"/>
        <v>2428</v>
      </c>
      <c r="P493" s="187">
        <f t="shared" si="166"/>
        <v>1570</v>
      </c>
      <c r="Q493" s="187">
        <f t="shared" si="166"/>
        <v>7000</v>
      </c>
      <c r="R493" s="187" t="str">
        <f t="shared" si="166"/>
        <v>-</v>
      </c>
      <c r="S493" s="187">
        <f t="shared" si="166"/>
        <v>10998</v>
      </c>
    </row>
    <row r="494" spans="1:19" s="366" customFormat="1" x14ac:dyDescent="0.2">
      <c r="A494" s="118">
        <v>2015</v>
      </c>
      <c r="B494" s="187" t="str">
        <f t="shared" ref="B494:L494" si="169">IF(AND(B68="-",B423="-"),"-",SUM(B68,B423))</f>
        <v>-</v>
      </c>
      <c r="C494" s="187">
        <f t="shared" si="169"/>
        <v>16420</v>
      </c>
      <c r="D494" s="187">
        <f t="shared" si="169"/>
        <v>21092</v>
      </c>
      <c r="E494" s="187">
        <f t="shared" si="169"/>
        <v>22858</v>
      </c>
      <c r="F494" s="187">
        <f t="shared" si="169"/>
        <v>29322</v>
      </c>
      <c r="G494" s="187">
        <f t="shared" si="169"/>
        <v>8249</v>
      </c>
      <c r="H494" s="187">
        <f t="shared" si="169"/>
        <v>2562</v>
      </c>
      <c r="I494" s="187">
        <f t="shared" si="169"/>
        <v>2593</v>
      </c>
      <c r="J494" s="187">
        <f t="shared" si="169"/>
        <v>1163</v>
      </c>
      <c r="K494" s="187" t="str">
        <f t="shared" si="169"/>
        <v>-</v>
      </c>
      <c r="L494" s="187">
        <f t="shared" si="169"/>
        <v>104259</v>
      </c>
      <c r="M494" s="187"/>
      <c r="N494" s="187" t="str">
        <f t="shared" si="166"/>
        <v>-</v>
      </c>
      <c r="O494" s="187">
        <f t="shared" si="166"/>
        <v>328</v>
      </c>
      <c r="P494" s="187">
        <f t="shared" si="166"/>
        <v>411</v>
      </c>
      <c r="Q494" s="187">
        <f t="shared" si="166"/>
        <v>1474</v>
      </c>
      <c r="R494" s="187" t="str">
        <f t="shared" si="166"/>
        <v>-</v>
      </c>
      <c r="S494" s="187">
        <f t="shared" si="166"/>
        <v>2213</v>
      </c>
    </row>
    <row r="495" spans="1:19" s="366" customFormat="1" x14ac:dyDescent="0.2">
      <c r="A495" s="118">
        <v>2016</v>
      </c>
      <c r="B495" s="187" t="str">
        <f t="shared" ref="B495:L495" si="170">IF(AND(B69="-",B424="-"),"-",SUM(B69,B424))</f>
        <v>-</v>
      </c>
      <c r="C495" s="187">
        <f t="shared" si="170"/>
        <v>6597</v>
      </c>
      <c r="D495" s="187">
        <f t="shared" si="170"/>
        <v>6542</v>
      </c>
      <c r="E495" s="187">
        <f t="shared" si="170"/>
        <v>5658</v>
      </c>
      <c r="F495" s="187">
        <f t="shared" si="170"/>
        <v>11433</v>
      </c>
      <c r="G495" s="187">
        <f t="shared" si="170"/>
        <v>9254</v>
      </c>
      <c r="H495" s="187">
        <f t="shared" si="170"/>
        <v>1812</v>
      </c>
      <c r="I495" s="187">
        <f t="shared" si="170"/>
        <v>869</v>
      </c>
      <c r="J495" s="187">
        <f t="shared" si="170"/>
        <v>182</v>
      </c>
      <c r="K495" s="187" t="str">
        <f t="shared" si="170"/>
        <v>-</v>
      </c>
      <c r="L495" s="187">
        <f t="shared" si="170"/>
        <v>42347</v>
      </c>
      <c r="M495" s="187"/>
      <c r="N495" s="187" t="str">
        <f t="shared" si="166"/>
        <v>-</v>
      </c>
      <c r="O495" s="187" t="str">
        <f t="shared" si="166"/>
        <v>-</v>
      </c>
      <c r="P495" s="187" t="str">
        <f t="shared" si="166"/>
        <v>-</v>
      </c>
      <c r="Q495" s="187" t="str">
        <f t="shared" si="166"/>
        <v>-</v>
      </c>
      <c r="R495" s="187" t="str">
        <f t="shared" si="166"/>
        <v>-</v>
      </c>
      <c r="S495" s="187" t="str">
        <f t="shared" si="166"/>
        <v>-</v>
      </c>
    </row>
    <row r="496" spans="1:19" s="366" customFormat="1" x14ac:dyDescent="0.2">
      <c r="A496" s="118">
        <v>2017</v>
      </c>
      <c r="B496" s="187" t="str">
        <f t="shared" ref="B496:L496" si="171">IF(AND(B70="-",B425="-"),"-",SUM(B70,B425))</f>
        <v>-</v>
      </c>
      <c r="C496" s="187">
        <f t="shared" si="171"/>
        <v>553</v>
      </c>
      <c r="D496" s="187">
        <f t="shared" si="171"/>
        <v>2309</v>
      </c>
      <c r="E496" s="187">
        <f t="shared" si="171"/>
        <v>3826</v>
      </c>
      <c r="F496" s="187">
        <f t="shared" si="171"/>
        <v>13069</v>
      </c>
      <c r="G496" s="187">
        <f t="shared" si="171"/>
        <v>611</v>
      </c>
      <c r="H496" s="187">
        <f t="shared" si="171"/>
        <v>371</v>
      </c>
      <c r="I496" s="273">
        <f t="shared" si="171"/>
        <v>1010</v>
      </c>
      <c r="J496" s="187">
        <f t="shared" si="171"/>
        <v>96</v>
      </c>
      <c r="K496" s="187" t="str">
        <f t="shared" si="171"/>
        <v>-</v>
      </c>
      <c r="L496" s="187">
        <f t="shared" si="171"/>
        <v>21845</v>
      </c>
      <c r="M496" s="187"/>
      <c r="N496" s="187" t="str">
        <f t="shared" si="166"/>
        <v>-</v>
      </c>
      <c r="O496" s="187">
        <f t="shared" si="166"/>
        <v>16</v>
      </c>
      <c r="P496" s="187">
        <f t="shared" si="166"/>
        <v>305</v>
      </c>
      <c r="Q496" s="187">
        <f t="shared" si="166"/>
        <v>149</v>
      </c>
      <c r="R496" s="187" t="str">
        <f t="shared" si="166"/>
        <v>-</v>
      </c>
      <c r="S496" s="187">
        <f t="shared" si="166"/>
        <v>470</v>
      </c>
    </row>
    <row r="497" spans="1:19" s="366" customFormat="1" x14ac:dyDescent="0.2">
      <c r="A497" s="118">
        <v>2018</v>
      </c>
      <c r="B497" s="187" t="str">
        <f t="shared" ref="B497:L497" si="172">IF(AND(B71="-",B426="-"),"-",SUM(B71,B426))</f>
        <v>-</v>
      </c>
      <c r="C497" s="187" t="str">
        <f t="shared" si="172"/>
        <v>-</v>
      </c>
      <c r="D497" s="187">
        <f t="shared" si="172"/>
        <v>1259</v>
      </c>
      <c r="E497" s="187">
        <f t="shared" si="172"/>
        <v>4676</v>
      </c>
      <c r="F497" s="187">
        <f t="shared" si="172"/>
        <v>4108</v>
      </c>
      <c r="G497" s="187">
        <f t="shared" si="172"/>
        <v>12956</v>
      </c>
      <c r="H497" s="187">
        <f t="shared" si="172"/>
        <v>225</v>
      </c>
      <c r="I497" s="187">
        <f t="shared" si="172"/>
        <v>806</v>
      </c>
      <c r="J497" s="187">
        <f t="shared" si="172"/>
        <v>431</v>
      </c>
      <c r="K497" s="187" t="str">
        <f t="shared" si="172"/>
        <v>-</v>
      </c>
      <c r="L497" s="187">
        <f t="shared" si="172"/>
        <v>24461</v>
      </c>
      <c r="M497" s="187"/>
      <c r="N497" s="187" t="str">
        <f t="shared" si="166"/>
        <v>-</v>
      </c>
      <c r="O497" s="187">
        <f t="shared" si="166"/>
        <v>8</v>
      </c>
      <c r="P497" s="187">
        <f t="shared" si="166"/>
        <v>84</v>
      </c>
      <c r="Q497" s="187" t="str">
        <f t="shared" si="166"/>
        <v>-</v>
      </c>
      <c r="R497" s="187" t="str">
        <f t="shared" si="166"/>
        <v>-</v>
      </c>
      <c r="S497" s="187">
        <f t="shared" si="166"/>
        <v>92</v>
      </c>
    </row>
    <row r="498" spans="1:19" s="489" customFormat="1" x14ac:dyDescent="0.2">
      <c r="A498" s="118">
        <v>2019</v>
      </c>
      <c r="B498" s="187" t="str">
        <f t="shared" ref="B498:L499" si="173">IF(AND(B72="-",B427="-"),"-",SUM(B72,B427))</f>
        <v>-</v>
      </c>
      <c r="C498" s="187">
        <f t="shared" si="173"/>
        <v>162</v>
      </c>
      <c r="D498" s="187">
        <f t="shared" si="173"/>
        <v>698</v>
      </c>
      <c r="E498" s="187">
        <f t="shared" si="173"/>
        <v>3400</v>
      </c>
      <c r="F498" s="187">
        <f t="shared" si="173"/>
        <v>17046</v>
      </c>
      <c r="G498" s="187">
        <f>IF(AND(G72="-",G427="-"),"-",SUM(G72,G427))</f>
        <v>6046</v>
      </c>
      <c r="H498" s="187">
        <f t="shared" si="173"/>
        <v>660</v>
      </c>
      <c r="I498" s="187">
        <f t="shared" si="173"/>
        <v>870</v>
      </c>
      <c r="J498" s="187" t="str">
        <f t="shared" si="173"/>
        <v>-</v>
      </c>
      <c r="K498" s="187" t="str">
        <f t="shared" si="173"/>
        <v>-</v>
      </c>
      <c r="L498" s="187">
        <f t="shared" si="173"/>
        <v>28882</v>
      </c>
      <c r="M498" s="187"/>
      <c r="N498" s="187" t="str">
        <f t="shared" ref="N498:S499" si="174">IF(AND(N72="-",N427="-"),"-",SUM(N72,N427))</f>
        <v>-</v>
      </c>
      <c r="O498" s="187">
        <f t="shared" si="174"/>
        <v>1029</v>
      </c>
      <c r="P498" s="187">
        <f t="shared" si="174"/>
        <v>302</v>
      </c>
      <c r="Q498" s="187">
        <f t="shared" si="174"/>
        <v>81</v>
      </c>
      <c r="R498" s="187" t="str">
        <f t="shared" si="174"/>
        <v>-</v>
      </c>
      <c r="S498" s="187">
        <f t="shared" si="174"/>
        <v>1412</v>
      </c>
    </row>
    <row r="499" spans="1:19" x14ac:dyDescent="0.2">
      <c r="A499" s="124" t="s">
        <v>393</v>
      </c>
      <c r="B499" s="276" t="str">
        <f t="shared" si="173"/>
        <v>-</v>
      </c>
      <c r="C499" s="276">
        <f t="shared" si="173"/>
        <v>800</v>
      </c>
      <c r="D499" s="276">
        <f t="shared" si="173"/>
        <v>866</v>
      </c>
      <c r="E499" s="276">
        <f t="shared" si="173"/>
        <v>2601</v>
      </c>
      <c r="F499" s="276">
        <f t="shared" si="173"/>
        <v>5063</v>
      </c>
      <c r="G499" s="276">
        <f>IF(AND(G73="-",G428="-"),"-",SUM(G73,G428))</f>
        <v>1868</v>
      </c>
      <c r="H499" s="276">
        <f t="shared" si="173"/>
        <v>560</v>
      </c>
      <c r="I499" s="276">
        <f t="shared" si="173"/>
        <v>997</v>
      </c>
      <c r="J499" s="276" t="str">
        <f t="shared" si="173"/>
        <v>-</v>
      </c>
      <c r="K499" s="276" t="str">
        <f t="shared" si="173"/>
        <v>-</v>
      </c>
      <c r="L499" s="276">
        <f t="shared" si="173"/>
        <v>12755</v>
      </c>
      <c r="M499" s="276"/>
      <c r="N499" s="276" t="str">
        <f t="shared" si="174"/>
        <v>-</v>
      </c>
      <c r="O499" s="276">
        <f t="shared" si="174"/>
        <v>63</v>
      </c>
      <c r="P499" s="276">
        <f t="shared" si="174"/>
        <v>64</v>
      </c>
      <c r="Q499" s="276">
        <f t="shared" si="174"/>
        <v>2</v>
      </c>
      <c r="R499" s="276" t="str">
        <f t="shared" si="174"/>
        <v>-</v>
      </c>
      <c r="S499" s="276">
        <f t="shared" si="174"/>
        <v>129</v>
      </c>
    </row>
    <row r="500" spans="1:19" x14ac:dyDescent="0.2">
      <c r="A500" s="549" t="s">
        <v>290</v>
      </c>
      <c r="B500" s="550"/>
      <c r="C500" s="550"/>
      <c r="D500" s="550"/>
      <c r="E500" s="550"/>
      <c r="F500" s="550"/>
      <c r="G500" s="550"/>
      <c r="H500" s="550"/>
      <c r="I500" s="550"/>
      <c r="J500" s="550"/>
      <c r="K500" s="550"/>
      <c r="L500" s="550"/>
      <c r="M500" s="550"/>
      <c r="N500" s="550"/>
      <c r="O500" s="550"/>
      <c r="P500" s="550"/>
      <c r="Q500" s="550"/>
      <c r="R500" s="550"/>
      <c r="S500" s="550"/>
    </row>
    <row r="501" spans="1:19" x14ac:dyDescent="0.2">
      <c r="A501" s="551"/>
      <c r="B501" s="552"/>
      <c r="C501" s="552"/>
      <c r="D501" s="552"/>
      <c r="E501" s="552"/>
      <c r="F501" s="552"/>
      <c r="G501" s="552"/>
      <c r="H501" s="552"/>
      <c r="I501" s="552"/>
      <c r="J501" s="552"/>
      <c r="K501" s="552"/>
      <c r="L501" s="552"/>
      <c r="M501" s="552"/>
      <c r="N501" s="552"/>
      <c r="O501" s="552"/>
      <c r="P501" s="552"/>
      <c r="Q501" s="552"/>
      <c r="R501" s="552"/>
      <c r="S501" s="552"/>
    </row>
    <row r="502" spans="1:19" x14ac:dyDescent="0.2">
      <c r="A502" s="551"/>
      <c r="B502" s="552"/>
      <c r="C502" s="552"/>
      <c r="D502" s="552"/>
      <c r="E502" s="552"/>
      <c r="F502" s="552"/>
      <c r="G502" s="552"/>
      <c r="H502" s="552"/>
      <c r="I502" s="552"/>
      <c r="J502" s="552"/>
      <c r="K502" s="552"/>
      <c r="L502" s="552"/>
      <c r="M502" s="552"/>
      <c r="N502" s="552"/>
      <c r="O502" s="552"/>
      <c r="P502" s="552"/>
      <c r="Q502" s="552"/>
      <c r="R502" s="552"/>
      <c r="S502" s="552"/>
    </row>
    <row r="503" spans="1:19" x14ac:dyDescent="0.2">
      <c r="A503" s="553"/>
      <c r="B503" s="553"/>
      <c r="C503" s="553"/>
      <c r="D503" s="553"/>
      <c r="E503" s="553"/>
      <c r="F503" s="553"/>
      <c r="G503" s="553"/>
      <c r="H503" s="553"/>
      <c r="I503" s="553"/>
      <c r="J503" s="553"/>
      <c r="K503" s="553"/>
      <c r="L503" s="553"/>
      <c r="M503" s="553"/>
      <c r="N503" s="553"/>
      <c r="O503" s="553"/>
      <c r="P503" s="553"/>
      <c r="Q503" s="553"/>
      <c r="R503" s="553"/>
      <c r="S503" s="553"/>
    </row>
    <row r="504" spans="1:19" x14ac:dyDescent="0.2">
      <c r="A504" s="553"/>
      <c r="B504" s="553"/>
      <c r="C504" s="553"/>
      <c r="D504" s="553"/>
      <c r="E504" s="553"/>
      <c r="F504" s="553"/>
      <c r="G504" s="553"/>
      <c r="H504" s="553"/>
      <c r="I504" s="553"/>
      <c r="J504" s="553"/>
      <c r="K504" s="553"/>
      <c r="L504" s="553"/>
      <c r="M504" s="553"/>
      <c r="N504" s="553"/>
      <c r="O504" s="553"/>
      <c r="P504" s="553"/>
      <c r="Q504" s="553"/>
      <c r="R504" s="553"/>
      <c r="S504" s="553"/>
    </row>
    <row r="505" spans="1:19" x14ac:dyDescent="0.2">
      <c r="A505" s="554" t="s">
        <v>48</v>
      </c>
      <c r="B505" s="554"/>
      <c r="C505" s="554"/>
      <c r="D505" s="554"/>
      <c r="E505" s="554"/>
      <c r="F505" s="554"/>
      <c r="G505" s="554"/>
      <c r="H505" s="554"/>
      <c r="I505" s="554"/>
      <c r="J505" s="554"/>
      <c r="K505" s="554"/>
      <c r="L505" s="554"/>
      <c r="M505" s="554"/>
      <c r="N505" s="554"/>
      <c r="O505" s="554"/>
      <c r="P505" s="554"/>
      <c r="Q505" s="554"/>
      <c r="R505" s="554"/>
      <c r="S505" s="554"/>
    </row>
    <row r="506" spans="1:19" x14ac:dyDescent="0.2">
      <c r="A506" s="554"/>
      <c r="B506" s="554"/>
      <c r="C506" s="554"/>
      <c r="D506" s="554"/>
      <c r="E506" s="554"/>
      <c r="F506" s="554"/>
      <c r="G506" s="554"/>
      <c r="H506" s="554"/>
      <c r="I506" s="554"/>
      <c r="J506" s="554"/>
      <c r="K506" s="554"/>
      <c r="L506" s="554"/>
      <c r="M506" s="554"/>
      <c r="N506" s="554"/>
      <c r="O506" s="554"/>
      <c r="P506" s="554"/>
      <c r="Q506" s="554"/>
      <c r="R506" s="554"/>
      <c r="S506" s="554"/>
    </row>
    <row r="507" spans="1:19" x14ac:dyDescent="0.2">
      <c r="A507" s="554"/>
      <c r="B507" s="554"/>
      <c r="C507" s="554"/>
      <c r="D507" s="554"/>
      <c r="E507" s="554"/>
      <c r="F507" s="554"/>
      <c r="G507" s="554"/>
      <c r="H507" s="554"/>
      <c r="I507" s="554"/>
      <c r="J507" s="554"/>
      <c r="K507" s="554"/>
      <c r="L507" s="554"/>
      <c r="M507" s="554"/>
      <c r="N507" s="554"/>
      <c r="O507" s="554"/>
      <c r="P507" s="554"/>
      <c r="Q507" s="554"/>
      <c r="R507" s="554"/>
      <c r="S507" s="554"/>
    </row>
    <row r="520" spans="1:19" s="324" customFormat="1" x14ac:dyDescent="0.2">
      <c r="A520" s="243"/>
      <c r="B520" s="275"/>
      <c r="C520" s="275"/>
      <c r="D520" s="275"/>
      <c r="E520" s="275"/>
      <c r="F520" s="275"/>
      <c r="G520" s="275"/>
      <c r="H520" s="275"/>
      <c r="I520" s="275"/>
      <c r="J520" s="275"/>
      <c r="K520" s="275"/>
      <c r="L520" s="275"/>
      <c r="M520" s="275"/>
      <c r="N520" s="275"/>
      <c r="O520" s="275"/>
      <c r="P520" s="275"/>
      <c r="Q520" s="275"/>
      <c r="R520" s="275"/>
      <c r="S520" s="275"/>
    </row>
    <row r="527" spans="1:19" ht="11.25" customHeight="1" x14ac:dyDescent="0.2">
      <c r="A527" s="559" t="s">
        <v>356</v>
      </c>
      <c r="B527" s="559"/>
      <c r="C527" s="558"/>
      <c r="D527" s="558"/>
      <c r="E527" s="558"/>
      <c r="F527" s="558"/>
      <c r="G527" s="558"/>
      <c r="H527" s="558"/>
      <c r="I527" s="558"/>
      <c r="J527" s="558"/>
      <c r="K527" s="558"/>
      <c r="L527" s="558"/>
      <c r="M527" s="558"/>
      <c r="N527" s="558"/>
      <c r="O527" s="558"/>
      <c r="P527" s="558"/>
      <c r="Q527" s="558"/>
      <c r="R527" s="558"/>
      <c r="S527" s="558"/>
    </row>
    <row r="528" spans="1:19" ht="11.25" customHeight="1" x14ac:dyDescent="0.2">
      <c r="A528" s="135" t="s">
        <v>33</v>
      </c>
      <c r="B528" s="136" t="s">
        <v>43</v>
      </c>
      <c r="C528" s="136" t="s">
        <v>34</v>
      </c>
      <c r="D528" s="136" t="s">
        <v>35</v>
      </c>
      <c r="E528" s="136" t="s">
        <v>36</v>
      </c>
      <c r="F528" s="136" t="s">
        <v>37</v>
      </c>
      <c r="G528" s="136" t="s">
        <v>38</v>
      </c>
      <c r="H528" s="136" t="s">
        <v>39</v>
      </c>
      <c r="I528" s="136" t="s">
        <v>40</v>
      </c>
      <c r="J528" s="136" t="s">
        <v>44</v>
      </c>
      <c r="K528" s="136" t="s">
        <v>83</v>
      </c>
      <c r="L528" s="136" t="s">
        <v>28</v>
      </c>
      <c r="M528" s="136"/>
      <c r="N528" s="136" t="s">
        <v>36</v>
      </c>
      <c r="O528" s="136" t="s">
        <v>37</v>
      </c>
      <c r="P528" s="136" t="s">
        <v>38</v>
      </c>
      <c r="Q528" s="136" t="s">
        <v>39</v>
      </c>
      <c r="R528" s="136" t="s">
        <v>40</v>
      </c>
      <c r="S528" s="136" t="s">
        <v>28</v>
      </c>
    </row>
    <row r="529" spans="1:19" ht="11.25" customHeight="1" x14ac:dyDescent="0.2">
      <c r="A529" s="118"/>
      <c r="B529" s="557" t="s">
        <v>67</v>
      </c>
      <c r="C529" s="557"/>
      <c r="D529" s="557"/>
      <c r="E529" s="557"/>
      <c r="F529" s="557"/>
      <c r="G529" s="557"/>
      <c r="H529" s="557"/>
      <c r="I529" s="557"/>
      <c r="J529" s="557"/>
      <c r="K529" s="557"/>
      <c r="L529" s="557"/>
      <c r="M529" s="187"/>
      <c r="N529" s="557" t="s">
        <v>68</v>
      </c>
      <c r="O529" s="557"/>
      <c r="P529" s="557"/>
      <c r="Q529" s="557"/>
      <c r="R529" s="557"/>
      <c r="S529" s="557"/>
    </row>
    <row r="530" spans="1:19" x14ac:dyDescent="0.2">
      <c r="A530" s="405" t="s">
        <v>112</v>
      </c>
      <c r="B530" s="203"/>
      <c r="C530" s="187"/>
      <c r="D530" s="187"/>
      <c r="E530" s="187"/>
      <c r="F530" s="187"/>
      <c r="G530" s="187"/>
      <c r="H530" s="187"/>
      <c r="I530" s="187"/>
      <c r="J530" s="187"/>
      <c r="K530" s="187"/>
      <c r="L530" s="187"/>
      <c r="M530" s="187"/>
      <c r="N530" s="187"/>
      <c r="O530" s="187"/>
      <c r="P530" s="187"/>
      <c r="Q530" s="187"/>
      <c r="R530" s="187"/>
      <c r="S530" s="187"/>
    </row>
    <row r="531" spans="1:19" ht="11.25" customHeight="1" x14ac:dyDescent="0.2">
      <c r="A531" s="348" t="s">
        <v>30</v>
      </c>
      <c r="B531" s="203" t="s">
        <v>29</v>
      </c>
      <c r="C531" s="203" t="s">
        <v>29</v>
      </c>
      <c r="D531" s="203">
        <f t="shared" ref="D531:L531" si="175">AVERAGE(D34:D38)</f>
        <v>4738.2</v>
      </c>
      <c r="E531" s="203">
        <f t="shared" si="175"/>
        <v>0</v>
      </c>
      <c r="F531" s="203">
        <f t="shared" si="175"/>
        <v>498.8</v>
      </c>
      <c r="G531" s="203">
        <f t="shared" si="175"/>
        <v>293.2</v>
      </c>
      <c r="H531" s="203">
        <f t="shared" si="175"/>
        <v>23.2</v>
      </c>
      <c r="I531" s="203">
        <f t="shared" si="175"/>
        <v>2.4</v>
      </c>
      <c r="J531" s="203" t="s">
        <v>29</v>
      </c>
      <c r="K531" s="203" t="s">
        <v>29</v>
      </c>
      <c r="L531" s="203">
        <f t="shared" si="175"/>
        <v>5555.8</v>
      </c>
      <c r="M531" s="187"/>
      <c r="N531" s="203" t="s">
        <v>29</v>
      </c>
      <c r="O531" s="203">
        <f>AVERAGE(O34:O38)</f>
        <v>18828.333333333332</v>
      </c>
      <c r="P531" s="203">
        <f>AVERAGE(P34:P38)</f>
        <v>11874.25</v>
      </c>
      <c r="Q531" s="203">
        <f>AVERAGE(Q34:Q38)</f>
        <v>2543</v>
      </c>
      <c r="R531" s="187" t="s">
        <v>29</v>
      </c>
      <c r="S531" s="203">
        <f>AVERAGE(S34:S38)</f>
        <v>21305</v>
      </c>
    </row>
    <row r="532" spans="1:19" ht="11.25" customHeight="1" x14ac:dyDescent="0.2">
      <c r="A532" s="348" t="s">
        <v>87</v>
      </c>
      <c r="B532" s="203" t="s">
        <v>29</v>
      </c>
      <c r="C532" s="203" t="s">
        <v>29</v>
      </c>
      <c r="D532" s="203">
        <f t="shared" ref="D532:L532" si="176">AVERAGE(D39:D43)</f>
        <v>1790.8</v>
      </c>
      <c r="E532" s="203">
        <f t="shared" si="176"/>
        <v>363</v>
      </c>
      <c r="F532" s="203">
        <f t="shared" si="176"/>
        <v>2225</v>
      </c>
      <c r="G532" s="203">
        <f t="shared" si="176"/>
        <v>1172.3333333333333</v>
      </c>
      <c r="H532" s="203">
        <f t="shared" si="176"/>
        <v>765</v>
      </c>
      <c r="I532" s="203">
        <f t="shared" si="176"/>
        <v>71</v>
      </c>
      <c r="J532" s="203" t="s">
        <v>29</v>
      </c>
      <c r="K532" s="203" t="s">
        <v>29</v>
      </c>
      <c r="L532" s="203">
        <f t="shared" si="176"/>
        <v>3477.2</v>
      </c>
      <c r="M532" s="187"/>
      <c r="N532" s="203" t="s">
        <v>29</v>
      </c>
      <c r="O532" s="203">
        <f>AVERAGE(O39:O43)</f>
        <v>7390</v>
      </c>
      <c r="P532" s="203">
        <f>AVERAGE(P39:P43)</f>
        <v>21733.333333333332</v>
      </c>
      <c r="Q532" s="203">
        <f>AVERAGE(Q39:Q43)</f>
        <v>6280.5</v>
      </c>
      <c r="R532" s="203">
        <f>AVERAGE(R39:R43)</f>
        <v>304</v>
      </c>
      <c r="S532" s="203">
        <f>AVERAGE(S39:S43)</f>
        <v>21363.75</v>
      </c>
    </row>
    <row r="533" spans="1:19" ht="11.25" customHeight="1" x14ac:dyDescent="0.2">
      <c r="A533" s="348" t="s">
        <v>14</v>
      </c>
      <c r="B533" s="203" t="s">
        <v>29</v>
      </c>
      <c r="C533" s="203" t="s">
        <v>29</v>
      </c>
      <c r="D533" s="203">
        <f>AVERAGE(D44:D48)</f>
        <v>318</v>
      </c>
      <c r="E533" s="203">
        <f>AVERAGE(E44:E48)</f>
        <v>321.66666666666669</v>
      </c>
      <c r="F533" s="203">
        <f>AVERAGE(F44:F48)</f>
        <v>77.5</v>
      </c>
      <c r="G533" s="203">
        <f>AVERAGE(G44:G48)</f>
        <v>187.33333333333334</v>
      </c>
      <c r="H533" s="203">
        <f>AVERAGE(H44:H48)</f>
        <v>88</v>
      </c>
      <c r="I533" s="203" t="s">
        <v>29</v>
      </c>
      <c r="J533" s="203" t="s">
        <v>29</v>
      </c>
      <c r="K533" s="203" t="s">
        <v>29</v>
      </c>
      <c r="L533" s="203">
        <f>AVERAGE(L44:L48)</f>
        <v>937.33333333333337</v>
      </c>
      <c r="M533" s="187"/>
      <c r="N533" s="203" t="s">
        <v>29</v>
      </c>
      <c r="O533" s="203">
        <f>AVERAGE(O44:O48)</f>
        <v>434.5</v>
      </c>
      <c r="P533" s="203">
        <f>AVERAGE(P44:P48)</f>
        <v>7655</v>
      </c>
      <c r="Q533" s="203">
        <f>AVERAGE(Q44:Q48)</f>
        <v>3006.5</v>
      </c>
      <c r="R533" s="203" t="s">
        <v>29</v>
      </c>
      <c r="S533" s="203">
        <f>AVERAGE(S44:S48)</f>
        <v>9949</v>
      </c>
    </row>
    <row r="534" spans="1:19" ht="11.25" customHeight="1" x14ac:dyDescent="0.2">
      <c r="A534" s="348" t="s">
        <v>207</v>
      </c>
      <c r="B534" s="203" t="s">
        <v>29</v>
      </c>
      <c r="C534" s="203" t="s">
        <v>29</v>
      </c>
      <c r="D534" s="203">
        <f>AVERAGE(D49:D53)</f>
        <v>8.5</v>
      </c>
      <c r="E534" s="203">
        <f>AVERAGE(E49:E53)</f>
        <v>63.5</v>
      </c>
      <c r="F534" s="203" t="s">
        <v>29</v>
      </c>
      <c r="G534" s="203">
        <f>AVERAGE(G49:G53)</f>
        <v>1951</v>
      </c>
      <c r="H534" s="203">
        <f>AVERAGE(H49:H53)</f>
        <v>49</v>
      </c>
      <c r="I534" s="203" t="s">
        <v>29</v>
      </c>
      <c r="J534" s="203" t="s">
        <v>29</v>
      </c>
      <c r="K534" s="203" t="s">
        <v>29</v>
      </c>
      <c r="L534" s="203">
        <f>AVERAGE(L49:L53)</f>
        <v>572</v>
      </c>
      <c r="M534" s="187"/>
      <c r="N534" s="203" t="s">
        <v>29</v>
      </c>
      <c r="O534" s="203" t="s">
        <v>29</v>
      </c>
      <c r="P534" s="203">
        <f>AVERAGE(P49:P53)</f>
        <v>11600</v>
      </c>
      <c r="Q534" s="203">
        <f>AVERAGE(Q49:Q53)</f>
        <v>658</v>
      </c>
      <c r="R534" s="203" t="s">
        <v>29</v>
      </c>
      <c r="S534" s="203">
        <f>AVERAGE(S49:S53)</f>
        <v>12258</v>
      </c>
    </row>
    <row r="535" spans="1:19" ht="11.25" customHeight="1" x14ac:dyDescent="0.2">
      <c r="A535" s="118" t="s">
        <v>238</v>
      </c>
      <c r="B535" s="203" t="s">
        <v>29</v>
      </c>
      <c r="C535" s="203" t="s">
        <v>29</v>
      </c>
      <c r="D535" s="203">
        <f>AVERAGE(D54:D58)</f>
        <v>2633</v>
      </c>
      <c r="E535" s="203">
        <f t="shared" ref="E535:S535" si="177">AVERAGE(E54:E58)</f>
        <v>1401.6</v>
      </c>
      <c r="F535" s="203">
        <f t="shared" si="177"/>
        <v>1444.8</v>
      </c>
      <c r="G535" s="203">
        <f t="shared" si="177"/>
        <v>2329</v>
      </c>
      <c r="H535" s="203">
        <f t="shared" si="177"/>
        <v>477.66666666666669</v>
      </c>
      <c r="I535" s="203" t="s">
        <v>29</v>
      </c>
      <c r="J535" s="203" t="s">
        <v>29</v>
      </c>
      <c r="K535" s="203" t="s">
        <v>29</v>
      </c>
      <c r="L535" s="203">
        <f t="shared" si="177"/>
        <v>8095</v>
      </c>
      <c r="M535" s="203"/>
      <c r="N535" s="203" t="s">
        <v>29</v>
      </c>
      <c r="O535" s="203">
        <f t="shared" si="177"/>
        <v>1524</v>
      </c>
      <c r="P535" s="203">
        <f t="shared" si="177"/>
        <v>2472.1999999999998</v>
      </c>
      <c r="Q535" s="203">
        <f t="shared" si="177"/>
        <v>3429.6666666666665</v>
      </c>
      <c r="R535" s="203" t="s">
        <v>29</v>
      </c>
      <c r="S535" s="203">
        <f t="shared" si="177"/>
        <v>5749.2</v>
      </c>
    </row>
    <row r="536" spans="1:19" ht="11.25" customHeight="1" x14ac:dyDescent="0.2">
      <c r="A536" s="118">
        <v>2006</v>
      </c>
      <c r="B536" s="203" t="str">
        <f t="shared" ref="B536:L536" si="178">B59</f>
        <v>-</v>
      </c>
      <c r="C536" s="203" t="str">
        <f t="shared" si="178"/>
        <v>-</v>
      </c>
      <c r="D536" s="203">
        <f t="shared" si="178"/>
        <v>7167</v>
      </c>
      <c r="E536" s="203">
        <f t="shared" si="178"/>
        <v>3168</v>
      </c>
      <c r="F536" s="203">
        <f t="shared" si="178"/>
        <v>1</v>
      </c>
      <c r="G536" s="203">
        <f t="shared" si="178"/>
        <v>61</v>
      </c>
      <c r="H536" s="203">
        <f t="shared" si="178"/>
        <v>92</v>
      </c>
      <c r="I536" s="203" t="str">
        <f t="shared" si="178"/>
        <v>-</v>
      </c>
      <c r="J536" s="203" t="str">
        <f t="shared" si="178"/>
        <v>-</v>
      </c>
      <c r="K536" s="203" t="str">
        <f t="shared" si="178"/>
        <v>-</v>
      </c>
      <c r="L536" s="203">
        <f t="shared" si="178"/>
        <v>10489</v>
      </c>
      <c r="M536" s="187"/>
      <c r="N536" s="203" t="str">
        <f t="shared" ref="N536:S548" si="179">N59</f>
        <v>-</v>
      </c>
      <c r="O536" s="203">
        <f t="shared" si="179"/>
        <v>10</v>
      </c>
      <c r="P536" s="203">
        <f t="shared" si="179"/>
        <v>915</v>
      </c>
      <c r="Q536" s="203">
        <f t="shared" si="179"/>
        <v>489</v>
      </c>
      <c r="R536" s="203" t="str">
        <f t="shared" si="179"/>
        <v>-</v>
      </c>
      <c r="S536" s="203">
        <f t="shared" si="179"/>
        <v>1414</v>
      </c>
    </row>
    <row r="537" spans="1:19" s="366" customFormat="1" ht="11.25" customHeight="1" x14ac:dyDescent="0.2">
      <c r="A537" s="118">
        <v>2007</v>
      </c>
      <c r="B537" s="203" t="str">
        <f t="shared" ref="B537:L537" si="180">B60</f>
        <v>-</v>
      </c>
      <c r="C537" s="203" t="str">
        <f t="shared" si="180"/>
        <v>-</v>
      </c>
      <c r="D537" s="203">
        <f t="shared" si="180"/>
        <v>777</v>
      </c>
      <c r="E537" s="203">
        <f t="shared" si="180"/>
        <v>374</v>
      </c>
      <c r="F537" s="203">
        <f t="shared" si="180"/>
        <v>115</v>
      </c>
      <c r="G537" s="203">
        <f t="shared" si="180"/>
        <v>163</v>
      </c>
      <c r="H537" s="203">
        <f t="shared" si="180"/>
        <v>14</v>
      </c>
      <c r="I537" s="203" t="str">
        <f t="shared" si="180"/>
        <v>-</v>
      </c>
      <c r="J537" s="203" t="str">
        <f t="shared" si="180"/>
        <v>-</v>
      </c>
      <c r="K537" s="203" t="str">
        <f t="shared" si="180"/>
        <v>-</v>
      </c>
      <c r="L537" s="203">
        <f t="shared" si="180"/>
        <v>1443</v>
      </c>
      <c r="M537" s="187"/>
      <c r="N537" s="203" t="str">
        <f t="shared" si="179"/>
        <v>-</v>
      </c>
      <c r="O537" s="203">
        <f t="shared" si="179"/>
        <v>1062</v>
      </c>
      <c r="P537" s="203">
        <f t="shared" si="179"/>
        <v>10335</v>
      </c>
      <c r="Q537" s="203">
        <f t="shared" si="179"/>
        <v>157</v>
      </c>
      <c r="R537" s="203" t="str">
        <f t="shared" si="179"/>
        <v>-</v>
      </c>
      <c r="S537" s="203">
        <f t="shared" si="179"/>
        <v>11554</v>
      </c>
    </row>
    <row r="538" spans="1:19" s="366" customFormat="1" ht="11.25" customHeight="1" x14ac:dyDescent="0.2">
      <c r="A538" s="118">
        <v>2008</v>
      </c>
      <c r="B538" s="203" t="str">
        <f t="shared" ref="B538:L538" si="181">B61</f>
        <v>-</v>
      </c>
      <c r="C538" s="203" t="str">
        <f t="shared" si="181"/>
        <v>-</v>
      </c>
      <c r="D538" s="203">
        <f t="shared" si="181"/>
        <v>2616</v>
      </c>
      <c r="E538" s="203">
        <f t="shared" si="181"/>
        <v>2508</v>
      </c>
      <c r="F538" s="203">
        <f t="shared" si="181"/>
        <v>129</v>
      </c>
      <c r="G538" s="203">
        <f t="shared" si="181"/>
        <v>161</v>
      </c>
      <c r="H538" s="203">
        <f t="shared" si="181"/>
        <v>20</v>
      </c>
      <c r="I538" s="203" t="str">
        <f t="shared" si="181"/>
        <v>-</v>
      </c>
      <c r="J538" s="203" t="str">
        <f t="shared" si="181"/>
        <v>-</v>
      </c>
      <c r="K538" s="203" t="str">
        <f t="shared" si="181"/>
        <v>-</v>
      </c>
      <c r="L538" s="203">
        <f t="shared" si="181"/>
        <v>5434</v>
      </c>
      <c r="M538" s="187"/>
      <c r="N538" s="203" t="str">
        <f t="shared" si="179"/>
        <v>-</v>
      </c>
      <c r="O538" s="203">
        <f t="shared" si="179"/>
        <v>49</v>
      </c>
      <c r="P538" s="203">
        <f t="shared" si="179"/>
        <v>356</v>
      </c>
      <c r="Q538" s="203">
        <f t="shared" si="179"/>
        <v>29</v>
      </c>
      <c r="R538" s="203" t="str">
        <f t="shared" si="179"/>
        <v>-</v>
      </c>
      <c r="S538" s="203">
        <f t="shared" si="179"/>
        <v>434</v>
      </c>
    </row>
    <row r="539" spans="1:19" s="366" customFormat="1" ht="11.25" customHeight="1" x14ac:dyDescent="0.2">
      <c r="A539" s="118">
        <v>2009</v>
      </c>
      <c r="B539" s="203" t="str">
        <f t="shared" ref="B539:L539" si="182">B62</f>
        <v>-</v>
      </c>
      <c r="C539" s="203" t="str">
        <f t="shared" si="182"/>
        <v>-</v>
      </c>
      <c r="D539" s="203">
        <f t="shared" si="182"/>
        <v>119</v>
      </c>
      <c r="E539" s="203">
        <f t="shared" si="182"/>
        <v>232</v>
      </c>
      <c r="F539" s="203">
        <f t="shared" si="182"/>
        <v>240</v>
      </c>
      <c r="G539" s="203">
        <f t="shared" si="182"/>
        <v>117</v>
      </c>
      <c r="H539" s="203">
        <f t="shared" si="182"/>
        <v>4</v>
      </c>
      <c r="I539" s="203" t="str">
        <f t="shared" si="182"/>
        <v>-</v>
      </c>
      <c r="J539" s="203" t="str">
        <f t="shared" si="182"/>
        <v>-</v>
      </c>
      <c r="K539" s="203" t="str">
        <f t="shared" si="182"/>
        <v>-</v>
      </c>
      <c r="L539" s="203">
        <f t="shared" si="182"/>
        <v>712</v>
      </c>
      <c r="M539" s="187"/>
      <c r="N539" s="203" t="str">
        <f t="shared" si="179"/>
        <v>-</v>
      </c>
      <c r="O539" s="203">
        <f t="shared" si="179"/>
        <v>9061</v>
      </c>
      <c r="P539" s="203">
        <f t="shared" si="179"/>
        <v>3458</v>
      </c>
      <c r="Q539" s="203">
        <f t="shared" si="179"/>
        <v>165</v>
      </c>
      <c r="R539" s="203" t="str">
        <f t="shared" si="179"/>
        <v>-</v>
      </c>
      <c r="S539" s="203">
        <f t="shared" si="179"/>
        <v>12684</v>
      </c>
    </row>
    <row r="540" spans="1:19" s="366" customFormat="1" ht="11.25" customHeight="1" x14ac:dyDescent="0.2">
      <c r="A540" s="118">
        <v>2010</v>
      </c>
      <c r="B540" s="203" t="str">
        <f t="shared" ref="B540:L540" si="183">B63</f>
        <v>-</v>
      </c>
      <c r="C540" s="203" t="str">
        <f t="shared" si="183"/>
        <v>-</v>
      </c>
      <c r="D540" s="203">
        <f t="shared" si="183"/>
        <v>580</v>
      </c>
      <c r="E540" s="203">
        <f t="shared" si="183"/>
        <v>6652</v>
      </c>
      <c r="F540" s="203">
        <f t="shared" si="183"/>
        <v>2121</v>
      </c>
      <c r="G540" s="203">
        <f t="shared" si="183"/>
        <v>1657</v>
      </c>
      <c r="H540" s="203">
        <f t="shared" si="183"/>
        <v>110</v>
      </c>
      <c r="I540" s="203" t="str">
        <f t="shared" si="183"/>
        <v>-</v>
      </c>
      <c r="J540" s="203" t="str">
        <f t="shared" si="183"/>
        <v>-</v>
      </c>
      <c r="K540" s="203" t="str">
        <f t="shared" si="183"/>
        <v>-</v>
      </c>
      <c r="L540" s="203">
        <f t="shared" si="183"/>
        <v>11120</v>
      </c>
      <c r="M540" s="187"/>
      <c r="N540" s="203" t="str">
        <f t="shared" si="179"/>
        <v>-</v>
      </c>
      <c r="O540" s="203">
        <f t="shared" si="179"/>
        <v>637</v>
      </c>
      <c r="P540" s="203">
        <f t="shared" si="179"/>
        <v>368</v>
      </c>
      <c r="Q540" s="203">
        <f t="shared" si="179"/>
        <v>35</v>
      </c>
      <c r="R540" s="203" t="str">
        <f t="shared" si="179"/>
        <v>-</v>
      </c>
      <c r="S540" s="203">
        <f t="shared" si="179"/>
        <v>1040</v>
      </c>
    </row>
    <row r="541" spans="1:19" s="366" customFormat="1" ht="11.25" customHeight="1" x14ac:dyDescent="0.2">
      <c r="A541" s="118">
        <v>2011</v>
      </c>
      <c r="B541" s="203" t="str">
        <f t="shared" ref="B541:L541" si="184">B64</f>
        <v>-</v>
      </c>
      <c r="C541" s="203" t="str">
        <f t="shared" si="184"/>
        <v>-</v>
      </c>
      <c r="D541" s="203">
        <f t="shared" si="184"/>
        <v>1057</v>
      </c>
      <c r="E541" s="203">
        <f t="shared" si="184"/>
        <v>1400</v>
      </c>
      <c r="F541" s="203">
        <f t="shared" si="184"/>
        <v>114</v>
      </c>
      <c r="G541" s="203">
        <f t="shared" si="184"/>
        <v>239</v>
      </c>
      <c r="H541" s="203">
        <f t="shared" si="184"/>
        <v>26</v>
      </c>
      <c r="I541" s="203" t="str">
        <f t="shared" si="184"/>
        <v>-</v>
      </c>
      <c r="J541" s="203" t="str">
        <f t="shared" si="184"/>
        <v>-</v>
      </c>
      <c r="K541" s="203" t="str">
        <f t="shared" si="184"/>
        <v>-</v>
      </c>
      <c r="L541" s="203">
        <f t="shared" si="184"/>
        <v>2836</v>
      </c>
      <c r="M541" s="187"/>
      <c r="N541" s="203" t="str">
        <f t="shared" si="179"/>
        <v>-</v>
      </c>
      <c r="O541" s="203">
        <f t="shared" si="179"/>
        <v>234</v>
      </c>
      <c r="P541" s="203">
        <f t="shared" si="179"/>
        <v>147</v>
      </c>
      <c r="Q541" s="203">
        <f t="shared" si="179"/>
        <v>83</v>
      </c>
      <c r="R541" s="203" t="str">
        <f t="shared" si="179"/>
        <v>-</v>
      </c>
      <c r="S541" s="203">
        <f t="shared" si="179"/>
        <v>464</v>
      </c>
    </row>
    <row r="542" spans="1:19" s="366" customFormat="1" ht="11.25" customHeight="1" x14ac:dyDescent="0.2">
      <c r="A542" s="118">
        <v>2012</v>
      </c>
      <c r="B542" s="203" t="str">
        <f t="shared" ref="B542:L542" si="185">B65</f>
        <v>-</v>
      </c>
      <c r="C542" s="203" t="str">
        <f t="shared" si="185"/>
        <v>-</v>
      </c>
      <c r="D542" s="203">
        <f t="shared" si="185"/>
        <v>1034</v>
      </c>
      <c r="E542" s="203">
        <f t="shared" si="185"/>
        <v>5366</v>
      </c>
      <c r="F542" s="203">
        <f t="shared" si="185"/>
        <v>210</v>
      </c>
      <c r="G542" s="203">
        <f t="shared" si="185"/>
        <v>149</v>
      </c>
      <c r="H542" s="203">
        <f t="shared" si="185"/>
        <v>1685</v>
      </c>
      <c r="I542" s="203" t="str">
        <f t="shared" si="185"/>
        <v>-</v>
      </c>
      <c r="J542" s="203" t="str">
        <f t="shared" si="185"/>
        <v>-</v>
      </c>
      <c r="K542" s="203" t="str">
        <f t="shared" si="185"/>
        <v>-</v>
      </c>
      <c r="L542" s="203">
        <f t="shared" si="185"/>
        <v>8444</v>
      </c>
      <c r="M542" s="187"/>
      <c r="N542" s="203" t="str">
        <f t="shared" si="179"/>
        <v>-</v>
      </c>
      <c r="O542" s="203">
        <f t="shared" si="179"/>
        <v>38</v>
      </c>
      <c r="P542" s="203">
        <f t="shared" si="179"/>
        <v>35</v>
      </c>
      <c r="Q542" s="203">
        <f t="shared" si="179"/>
        <v>551</v>
      </c>
      <c r="R542" s="203" t="str">
        <f t="shared" si="179"/>
        <v>-</v>
      </c>
      <c r="S542" s="203">
        <f t="shared" si="179"/>
        <v>624</v>
      </c>
    </row>
    <row r="543" spans="1:19" s="366" customFormat="1" ht="11.25" customHeight="1" x14ac:dyDescent="0.2">
      <c r="A543" s="118">
        <v>2013</v>
      </c>
      <c r="B543" s="203" t="str">
        <f t="shared" ref="B543:L543" si="186">B66</f>
        <v>-</v>
      </c>
      <c r="C543" s="203" t="str">
        <f t="shared" si="186"/>
        <v>-</v>
      </c>
      <c r="D543" s="203">
        <f t="shared" si="186"/>
        <v>432</v>
      </c>
      <c r="E543" s="203">
        <f t="shared" si="186"/>
        <v>704</v>
      </c>
      <c r="F543" s="203">
        <f t="shared" si="186"/>
        <v>136</v>
      </c>
      <c r="G543" s="203">
        <f t="shared" si="186"/>
        <v>279</v>
      </c>
      <c r="H543" s="203">
        <f t="shared" si="186"/>
        <v>394</v>
      </c>
      <c r="I543" s="203" t="str">
        <f t="shared" si="186"/>
        <v>-</v>
      </c>
      <c r="J543" s="203" t="str">
        <f t="shared" si="186"/>
        <v>-</v>
      </c>
      <c r="K543" s="203" t="str">
        <f t="shared" si="186"/>
        <v>-</v>
      </c>
      <c r="L543" s="203">
        <f t="shared" si="186"/>
        <v>1945</v>
      </c>
      <c r="M543" s="187"/>
      <c r="N543" s="203" t="str">
        <f t="shared" si="179"/>
        <v>-</v>
      </c>
      <c r="O543" s="203">
        <f t="shared" si="179"/>
        <v>39</v>
      </c>
      <c r="P543" s="203">
        <f t="shared" si="179"/>
        <v>295</v>
      </c>
      <c r="Q543" s="203">
        <f t="shared" si="179"/>
        <v>118</v>
      </c>
      <c r="R543" s="203" t="str">
        <f t="shared" si="179"/>
        <v>-</v>
      </c>
      <c r="S543" s="203">
        <f t="shared" si="179"/>
        <v>452</v>
      </c>
    </row>
    <row r="544" spans="1:19" ht="11.25" customHeight="1" x14ac:dyDescent="0.2">
      <c r="A544" s="118">
        <v>2014</v>
      </c>
      <c r="B544" s="203" t="str">
        <f t="shared" ref="B544:L544" si="187">B67</f>
        <v>-</v>
      </c>
      <c r="C544" s="203" t="str">
        <f t="shared" si="187"/>
        <v>-</v>
      </c>
      <c r="D544" s="203">
        <f t="shared" si="187"/>
        <v>12804</v>
      </c>
      <c r="E544" s="203">
        <f t="shared" si="187"/>
        <v>725</v>
      </c>
      <c r="F544" s="203">
        <f t="shared" si="187"/>
        <v>2282</v>
      </c>
      <c r="G544" s="203">
        <f t="shared" si="187"/>
        <v>175</v>
      </c>
      <c r="H544" s="203">
        <f t="shared" si="187"/>
        <v>196</v>
      </c>
      <c r="I544" s="203" t="str">
        <f t="shared" si="187"/>
        <v>-</v>
      </c>
      <c r="J544" s="203" t="str">
        <f t="shared" si="187"/>
        <v>-</v>
      </c>
      <c r="K544" s="203" t="str">
        <f t="shared" si="187"/>
        <v>-</v>
      </c>
      <c r="L544" s="203">
        <f t="shared" si="187"/>
        <v>16182</v>
      </c>
      <c r="M544" s="187"/>
      <c r="N544" s="203" t="str">
        <f t="shared" si="179"/>
        <v>-</v>
      </c>
      <c r="O544" s="203">
        <f t="shared" si="179"/>
        <v>2428</v>
      </c>
      <c r="P544" s="203">
        <f t="shared" si="179"/>
        <v>1570</v>
      </c>
      <c r="Q544" s="203">
        <f t="shared" si="179"/>
        <v>3704</v>
      </c>
      <c r="R544" s="203" t="str">
        <f t="shared" si="179"/>
        <v>-</v>
      </c>
      <c r="S544" s="203">
        <f t="shared" si="179"/>
        <v>7702</v>
      </c>
    </row>
    <row r="545" spans="1:19" s="366" customFormat="1" ht="11.25" customHeight="1" x14ac:dyDescent="0.2">
      <c r="A545" s="118">
        <v>2015</v>
      </c>
      <c r="B545" s="203" t="str">
        <f t="shared" ref="B545:L545" si="188">B68</f>
        <v>-</v>
      </c>
      <c r="C545" s="203" t="str">
        <f t="shared" si="188"/>
        <v>-</v>
      </c>
      <c r="D545" s="203">
        <f t="shared" si="188"/>
        <v>6806</v>
      </c>
      <c r="E545" s="203">
        <f t="shared" si="188"/>
        <v>1527</v>
      </c>
      <c r="F545" s="203">
        <f t="shared" si="188"/>
        <v>1293</v>
      </c>
      <c r="G545" s="203">
        <f t="shared" si="188"/>
        <v>700</v>
      </c>
      <c r="H545" s="203">
        <f t="shared" si="188"/>
        <v>556</v>
      </c>
      <c r="I545" s="203" t="str">
        <f t="shared" si="188"/>
        <v>-</v>
      </c>
      <c r="J545" s="203" t="str">
        <f t="shared" si="188"/>
        <v>-</v>
      </c>
      <c r="K545" s="203" t="str">
        <f t="shared" si="188"/>
        <v>-</v>
      </c>
      <c r="L545" s="203">
        <f t="shared" si="188"/>
        <v>10882</v>
      </c>
      <c r="M545" s="187"/>
      <c r="N545" s="203" t="str">
        <f t="shared" si="179"/>
        <v>-</v>
      </c>
      <c r="O545" s="203">
        <f t="shared" si="179"/>
        <v>328</v>
      </c>
      <c r="P545" s="203">
        <f t="shared" si="179"/>
        <v>411</v>
      </c>
      <c r="Q545" s="203">
        <f t="shared" si="179"/>
        <v>1474</v>
      </c>
      <c r="R545" s="203" t="str">
        <f t="shared" si="179"/>
        <v>-</v>
      </c>
      <c r="S545" s="203">
        <f t="shared" si="179"/>
        <v>2213</v>
      </c>
    </row>
    <row r="546" spans="1:19" s="366" customFormat="1" ht="11.25" customHeight="1" x14ac:dyDescent="0.2">
      <c r="A546" s="118">
        <v>2016</v>
      </c>
      <c r="B546" s="203" t="str">
        <f t="shared" ref="B546:L546" si="189">B69</f>
        <v>-</v>
      </c>
      <c r="C546" s="203" t="str">
        <f t="shared" si="189"/>
        <v>-</v>
      </c>
      <c r="D546" s="203">
        <f t="shared" si="189"/>
        <v>519</v>
      </c>
      <c r="E546" s="203">
        <f t="shared" si="189"/>
        <v>743</v>
      </c>
      <c r="F546" s="203">
        <f t="shared" si="189"/>
        <v>169</v>
      </c>
      <c r="G546" s="203">
        <f t="shared" si="189"/>
        <v>627</v>
      </c>
      <c r="H546" s="203" t="str">
        <f t="shared" si="189"/>
        <v>-</v>
      </c>
      <c r="I546" s="203" t="str">
        <f t="shared" si="189"/>
        <v>-</v>
      </c>
      <c r="J546" s="203" t="str">
        <f t="shared" si="189"/>
        <v>-</v>
      </c>
      <c r="K546" s="203" t="str">
        <f t="shared" si="189"/>
        <v>-</v>
      </c>
      <c r="L546" s="203">
        <f t="shared" si="189"/>
        <v>2058</v>
      </c>
      <c r="M546" s="187"/>
      <c r="N546" s="203" t="str">
        <f t="shared" si="179"/>
        <v>-</v>
      </c>
      <c r="O546" s="203" t="str">
        <f t="shared" si="179"/>
        <v>-</v>
      </c>
      <c r="P546" s="203" t="str">
        <f t="shared" si="179"/>
        <v>-</v>
      </c>
      <c r="Q546" s="203" t="str">
        <f t="shared" si="179"/>
        <v>-</v>
      </c>
      <c r="R546" s="203" t="str">
        <f t="shared" si="179"/>
        <v>-</v>
      </c>
      <c r="S546" s="203" t="str">
        <f t="shared" si="179"/>
        <v>-</v>
      </c>
    </row>
    <row r="547" spans="1:19" s="366" customFormat="1" ht="11.25" customHeight="1" x14ac:dyDescent="0.2">
      <c r="A547" s="118">
        <v>2017</v>
      </c>
      <c r="B547" s="203" t="str">
        <f t="shared" ref="B547:L547" si="190">B70</f>
        <v>-</v>
      </c>
      <c r="C547" s="203" t="str">
        <f t="shared" si="190"/>
        <v>-</v>
      </c>
      <c r="D547" s="203">
        <f t="shared" si="190"/>
        <v>1080</v>
      </c>
      <c r="E547" s="203">
        <f t="shared" si="190"/>
        <v>652</v>
      </c>
      <c r="F547" s="203">
        <f t="shared" si="190"/>
        <v>50</v>
      </c>
      <c r="G547" s="203">
        <f t="shared" si="190"/>
        <v>611</v>
      </c>
      <c r="H547" s="203">
        <f t="shared" si="190"/>
        <v>234</v>
      </c>
      <c r="I547" s="203" t="str">
        <f t="shared" si="190"/>
        <v>-</v>
      </c>
      <c r="J547" s="203" t="str">
        <f t="shared" si="190"/>
        <v>-</v>
      </c>
      <c r="K547" s="203" t="str">
        <f t="shared" si="190"/>
        <v>-</v>
      </c>
      <c r="L547" s="203">
        <f t="shared" si="190"/>
        <v>2627</v>
      </c>
      <c r="M547" s="187"/>
      <c r="N547" s="203" t="str">
        <f t="shared" si="179"/>
        <v>-</v>
      </c>
      <c r="O547" s="203">
        <f t="shared" si="179"/>
        <v>16</v>
      </c>
      <c r="P547" s="203">
        <f t="shared" si="179"/>
        <v>305</v>
      </c>
      <c r="Q547" s="203">
        <f t="shared" si="179"/>
        <v>149</v>
      </c>
      <c r="R547" s="203" t="str">
        <f t="shared" si="179"/>
        <v>-</v>
      </c>
      <c r="S547" s="203">
        <f t="shared" si="179"/>
        <v>470</v>
      </c>
    </row>
    <row r="548" spans="1:19" s="366" customFormat="1" ht="11.25" customHeight="1" x14ac:dyDescent="0.2">
      <c r="A548" s="118">
        <v>2018</v>
      </c>
      <c r="B548" s="203" t="str">
        <f t="shared" ref="B548:L548" si="191">B71</f>
        <v>-</v>
      </c>
      <c r="C548" s="203" t="str">
        <f t="shared" si="191"/>
        <v>-</v>
      </c>
      <c r="D548" s="203">
        <f t="shared" si="191"/>
        <v>16</v>
      </c>
      <c r="E548" s="203">
        <f t="shared" si="191"/>
        <v>269</v>
      </c>
      <c r="F548" s="203">
        <f t="shared" si="191"/>
        <v>10</v>
      </c>
      <c r="G548" s="203">
        <f t="shared" si="191"/>
        <v>38</v>
      </c>
      <c r="H548" s="203">
        <f t="shared" si="191"/>
        <v>0</v>
      </c>
      <c r="I548" s="203" t="str">
        <f t="shared" si="191"/>
        <v>-</v>
      </c>
      <c r="J548" s="203" t="str">
        <f t="shared" si="191"/>
        <v>-</v>
      </c>
      <c r="K548" s="203" t="str">
        <f t="shared" si="191"/>
        <v>-</v>
      </c>
      <c r="L548" s="203">
        <f t="shared" si="191"/>
        <v>333</v>
      </c>
      <c r="M548" s="187"/>
      <c r="N548" s="203" t="str">
        <f t="shared" si="179"/>
        <v>-</v>
      </c>
      <c r="O548" s="203">
        <f t="shared" si="179"/>
        <v>8</v>
      </c>
      <c r="P548" s="203">
        <f t="shared" si="179"/>
        <v>84</v>
      </c>
      <c r="Q548" s="203" t="str">
        <f t="shared" si="179"/>
        <v>-</v>
      </c>
      <c r="R548" s="203" t="str">
        <f t="shared" si="179"/>
        <v>-</v>
      </c>
      <c r="S548" s="203">
        <f t="shared" si="179"/>
        <v>92</v>
      </c>
    </row>
    <row r="549" spans="1:19" s="489" customFormat="1" ht="11.25" customHeight="1" x14ac:dyDescent="0.2">
      <c r="A549" s="118">
        <v>2019</v>
      </c>
      <c r="B549" s="203" t="str">
        <f t="shared" ref="B549:L550" si="192">B72</f>
        <v>-</v>
      </c>
      <c r="C549" s="203" t="str">
        <f t="shared" si="192"/>
        <v>-</v>
      </c>
      <c r="D549" s="203">
        <f t="shared" si="192"/>
        <v>17</v>
      </c>
      <c r="E549" s="203">
        <f t="shared" si="192"/>
        <v>36</v>
      </c>
      <c r="F549" s="203">
        <f t="shared" si="192"/>
        <v>334</v>
      </c>
      <c r="G549" s="203">
        <f t="shared" si="192"/>
        <v>93</v>
      </c>
      <c r="H549" s="203">
        <f t="shared" si="192"/>
        <v>28</v>
      </c>
      <c r="I549" s="203" t="str">
        <f t="shared" si="192"/>
        <v>-</v>
      </c>
      <c r="J549" s="203" t="str">
        <f t="shared" si="192"/>
        <v>-</v>
      </c>
      <c r="K549" s="203" t="str">
        <f t="shared" si="192"/>
        <v>-</v>
      </c>
      <c r="L549" s="203">
        <f t="shared" si="192"/>
        <v>508</v>
      </c>
      <c r="M549" s="187"/>
      <c r="N549" s="203" t="str">
        <f t="shared" ref="N549:S550" si="193">N72</f>
        <v>-</v>
      </c>
      <c r="O549" s="203">
        <f t="shared" si="193"/>
        <v>1029</v>
      </c>
      <c r="P549" s="203">
        <f t="shared" si="193"/>
        <v>302</v>
      </c>
      <c r="Q549" s="203">
        <f t="shared" si="193"/>
        <v>81</v>
      </c>
      <c r="R549" s="203" t="str">
        <f t="shared" si="193"/>
        <v>-</v>
      </c>
      <c r="S549" s="203">
        <f t="shared" si="193"/>
        <v>1412</v>
      </c>
    </row>
    <row r="550" spans="1:19" ht="11.25" customHeight="1" x14ac:dyDescent="0.2">
      <c r="A550" s="118" t="s">
        <v>393</v>
      </c>
      <c r="B550" s="203" t="str">
        <f t="shared" si="192"/>
        <v>-</v>
      </c>
      <c r="C550" s="203" t="str">
        <f t="shared" si="192"/>
        <v>-</v>
      </c>
      <c r="D550" s="203">
        <f t="shared" si="192"/>
        <v>84</v>
      </c>
      <c r="E550" s="203">
        <f t="shared" si="192"/>
        <v>36</v>
      </c>
      <c r="F550" s="203">
        <f t="shared" si="192"/>
        <v>57</v>
      </c>
      <c r="G550" s="203">
        <f t="shared" si="192"/>
        <v>13</v>
      </c>
      <c r="H550" s="203">
        <f t="shared" si="192"/>
        <v>0</v>
      </c>
      <c r="I550" s="203" t="str">
        <f t="shared" si="192"/>
        <v>-</v>
      </c>
      <c r="J550" s="203" t="str">
        <f t="shared" si="192"/>
        <v>-</v>
      </c>
      <c r="K550" s="203" t="str">
        <f t="shared" si="192"/>
        <v>-</v>
      </c>
      <c r="L550" s="203">
        <f t="shared" si="192"/>
        <v>190</v>
      </c>
      <c r="M550" s="187"/>
      <c r="N550" s="203" t="str">
        <f t="shared" si="193"/>
        <v>-</v>
      </c>
      <c r="O550" s="203">
        <f t="shared" si="193"/>
        <v>63</v>
      </c>
      <c r="P550" s="203">
        <f t="shared" si="193"/>
        <v>64</v>
      </c>
      <c r="Q550" s="203">
        <f t="shared" si="193"/>
        <v>2</v>
      </c>
      <c r="R550" s="203" t="str">
        <f t="shared" si="193"/>
        <v>-</v>
      </c>
      <c r="S550" s="203">
        <f t="shared" si="193"/>
        <v>129</v>
      </c>
    </row>
    <row r="551" spans="1:19" ht="11.25" customHeight="1" x14ac:dyDescent="0.2">
      <c r="A551" s="348"/>
      <c r="B551" s="203"/>
      <c r="C551" s="203"/>
      <c r="D551" s="203"/>
      <c r="E551" s="203"/>
      <c r="F551" s="203"/>
      <c r="G551" s="203"/>
      <c r="H551" s="203"/>
      <c r="I551" s="203"/>
      <c r="J551" s="203"/>
      <c r="K551" s="203"/>
      <c r="L551" s="203"/>
      <c r="M551" s="187"/>
      <c r="N551" s="203"/>
      <c r="O551" s="203"/>
      <c r="P551" s="203"/>
      <c r="Q551" s="203"/>
      <c r="R551" s="203"/>
      <c r="S551" s="203"/>
    </row>
    <row r="552" spans="1:19" ht="11.25" customHeight="1" x14ac:dyDescent="0.2">
      <c r="A552" s="159" t="str">
        <f>A75</f>
        <v>Tillamook</v>
      </c>
      <c r="B552" s="203"/>
      <c r="C552" s="203"/>
      <c r="D552" s="203"/>
      <c r="E552" s="203"/>
      <c r="F552" s="203"/>
      <c r="G552" s="203"/>
      <c r="H552" s="203"/>
      <c r="I552" s="203"/>
      <c r="J552" s="203"/>
      <c r="K552" s="203"/>
      <c r="L552" s="203"/>
      <c r="M552" s="187"/>
      <c r="N552" s="203"/>
      <c r="O552" s="203"/>
      <c r="P552" s="203"/>
      <c r="Q552" s="203"/>
      <c r="R552" s="203"/>
      <c r="S552" s="203"/>
    </row>
    <row r="553" spans="1:19" ht="11.25" customHeight="1" x14ac:dyDescent="0.2">
      <c r="A553" s="348" t="s">
        <v>30</v>
      </c>
      <c r="B553" s="203" t="s">
        <v>29</v>
      </c>
      <c r="C553" s="203" t="s">
        <v>29</v>
      </c>
      <c r="D553" s="203">
        <f t="shared" ref="D553:L553" si="194">AVERAGE(D105:D109)</f>
        <v>1546.6</v>
      </c>
      <c r="E553" s="203">
        <f t="shared" si="194"/>
        <v>282.8</v>
      </c>
      <c r="F553" s="203">
        <f t="shared" si="194"/>
        <v>2379.8000000000002</v>
      </c>
      <c r="G553" s="203">
        <f t="shared" si="194"/>
        <v>1209.5999999999999</v>
      </c>
      <c r="H553" s="203">
        <f t="shared" si="194"/>
        <v>281.2</v>
      </c>
      <c r="I553" s="203">
        <f t="shared" si="194"/>
        <v>198.8</v>
      </c>
      <c r="J553" s="203">
        <f t="shared" si="194"/>
        <v>6.5</v>
      </c>
      <c r="K553" s="203" t="s">
        <v>29</v>
      </c>
      <c r="L553" s="203">
        <f t="shared" si="194"/>
        <v>5901.4</v>
      </c>
      <c r="M553" s="187"/>
      <c r="N553" s="187" t="s">
        <v>29</v>
      </c>
      <c r="O553" s="203">
        <f>AVERAGE(O105:O109)</f>
        <v>68831.5</v>
      </c>
      <c r="P553" s="203">
        <f>AVERAGE(P105:P109)</f>
        <v>20119.666666666668</v>
      </c>
      <c r="Q553" s="203">
        <f>AVERAGE(Q105:Q109)</f>
        <v>1637</v>
      </c>
      <c r="R553" s="187" t="s">
        <v>29</v>
      </c>
      <c r="S553" s="203">
        <f>AVERAGE(S105:S109)</f>
        <v>84330.5</v>
      </c>
    </row>
    <row r="554" spans="1:19" ht="11.25" customHeight="1" x14ac:dyDescent="0.2">
      <c r="A554" s="348" t="s">
        <v>87</v>
      </c>
      <c r="B554" s="203" t="s">
        <v>29</v>
      </c>
      <c r="C554" s="203" t="s">
        <v>29</v>
      </c>
      <c r="D554" s="203">
        <f t="shared" ref="D554:L554" si="195">AVERAGE(D110:D114)</f>
        <v>1745</v>
      </c>
      <c r="E554" s="203">
        <f t="shared" si="195"/>
        <v>3147.2</v>
      </c>
      <c r="F554" s="203">
        <f t="shared" si="195"/>
        <v>8129.4</v>
      </c>
      <c r="G554" s="203">
        <f t="shared" si="195"/>
        <v>6211.8</v>
      </c>
      <c r="H554" s="203">
        <f t="shared" si="195"/>
        <v>4945.8</v>
      </c>
      <c r="I554" s="203">
        <f t="shared" si="195"/>
        <v>2060.1999999999998</v>
      </c>
      <c r="J554" s="203">
        <f t="shared" si="195"/>
        <v>11</v>
      </c>
      <c r="K554" s="203" t="s">
        <v>29</v>
      </c>
      <c r="L554" s="203">
        <f t="shared" si="195"/>
        <v>26241.599999999999</v>
      </c>
      <c r="M554" s="187"/>
      <c r="N554" s="187" t="s">
        <v>29</v>
      </c>
      <c r="O554" s="203">
        <f>AVERAGE(O110:O114)</f>
        <v>82149.8</v>
      </c>
      <c r="P554" s="203">
        <f>AVERAGE(P110:P114)</f>
        <v>29286.5</v>
      </c>
      <c r="Q554" s="203">
        <f>AVERAGE(Q110:Q114)</f>
        <v>5397</v>
      </c>
      <c r="R554" s="187" t="s">
        <v>29</v>
      </c>
      <c r="S554" s="203">
        <f>AVERAGE(S110:S114)</f>
        <v>106658.4</v>
      </c>
    </row>
    <row r="555" spans="1:19" ht="11.25" customHeight="1" x14ac:dyDescent="0.2">
      <c r="A555" s="348" t="s">
        <v>14</v>
      </c>
      <c r="B555" s="203" t="s">
        <v>29</v>
      </c>
      <c r="C555" s="203" t="s">
        <v>29</v>
      </c>
      <c r="D555" s="203">
        <f>AVERAGE(D115:D119)</f>
        <v>306.2</v>
      </c>
      <c r="E555" s="203">
        <f t="shared" ref="E555:J555" si="196">AVERAGE(E115:E119)</f>
        <v>374.5</v>
      </c>
      <c r="F555" s="203">
        <f t="shared" si="196"/>
        <v>1434.6666666666667</v>
      </c>
      <c r="G555" s="203">
        <f t="shared" si="196"/>
        <v>2843</v>
      </c>
      <c r="H555" s="203">
        <f t="shared" si="196"/>
        <v>1922.25</v>
      </c>
      <c r="I555" s="203">
        <f t="shared" si="196"/>
        <v>1606.6</v>
      </c>
      <c r="J555" s="203">
        <f t="shared" si="196"/>
        <v>7</v>
      </c>
      <c r="K555" s="203" t="s">
        <v>29</v>
      </c>
      <c r="L555" s="203">
        <f>AVERAGE(L115:L119)</f>
        <v>6886.8</v>
      </c>
      <c r="M555" s="187"/>
      <c r="N555" s="187" t="s">
        <v>29</v>
      </c>
      <c r="O555" s="203">
        <f>AVERAGE(O115:O119)</f>
        <v>45366.5</v>
      </c>
      <c r="P555" s="203">
        <f>AVERAGE(P115:P119)</f>
        <v>7065</v>
      </c>
      <c r="Q555" s="187" t="s">
        <v>29</v>
      </c>
      <c r="R555" s="187" t="s">
        <v>29</v>
      </c>
      <c r="S555" s="203">
        <f>AVERAGE(S115:S119)</f>
        <v>48905</v>
      </c>
    </row>
    <row r="556" spans="1:19" ht="11.25" customHeight="1" x14ac:dyDescent="0.2">
      <c r="A556" s="348" t="s">
        <v>207</v>
      </c>
      <c r="B556" s="203" t="s">
        <v>29</v>
      </c>
      <c r="C556" s="203" t="s">
        <v>29</v>
      </c>
      <c r="D556" s="203">
        <f>AVERAGE(D120:D124)</f>
        <v>363</v>
      </c>
      <c r="E556" s="203">
        <f t="shared" ref="E556:J556" si="197">AVERAGE(E120:E124)</f>
        <v>2862.6</v>
      </c>
      <c r="F556" s="203">
        <f t="shared" si="197"/>
        <v>370</v>
      </c>
      <c r="G556" s="203">
        <f t="shared" si="197"/>
        <v>2082.1999999999998</v>
      </c>
      <c r="H556" s="203">
        <f t="shared" si="197"/>
        <v>1413.4</v>
      </c>
      <c r="I556" s="203">
        <f t="shared" si="197"/>
        <v>1259.2</v>
      </c>
      <c r="J556" s="203">
        <f t="shared" si="197"/>
        <v>21</v>
      </c>
      <c r="K556" s="203" t="s">
        <v>29</v>
      </c>
      <c r="L556" s="203">
        <f>AVERAGE(L120:L124)</f>
        <v>8191</v>
      </c>
      <c r="M556" s="187"/>
      <c r="N556" s="187" t="s">
        <v>29</v>
      </c>
      <c r="O556" s="203" t="s">
        <v>29</v>
      </c>
      <c r="P556" s="203" t="s">
        <v>29</v>
      </c>
      <c r="Q556" s="187" t="s">
        <v>29</v>
      </c>
      <c r="R556" s="187" t="s">
        <v>29</v>
      </c>
      <c r="S556" s="203" t="s">
        <v>29</v>
      </c>
    </row>
    <row r="557" spans="1:19" ht="11.25" customHeight="1" x14ac:dyDescent="0.2">
      <c r="A557" s="118" t="s">
        <v>238</v>
      </c>
      <c r="B557" s="203">
        <f>AVERAGE(B125:B129)</f>
        <v>1881</v>
      </c>
      <c r="C557" s="203">
        <f>AVERAGE(C125:C129)</f>
        <v>887.6</v>
      </c>
      <c r="D557" s="203">
        <f>AVERAGE(D125:D129)</f>
        <v>5198.2</v>
      </c>
      <c r="E557" s="203">
        <f t="shared" ref="E557:J557" si="198">AVERAGE(E125:E129)</f>
        <v>6483.6</v>
      </c>
      <c r="F557" s="203">
        <f t="shared" si="198"/>
        <v>2709.25</v>
      </c>
      <c r="G557" s="203">
        <f t="shared" si="198"/>
        <v>3511.25</v>
      </c>
      <c r="H557" s="203">
        <f t="shared" si="198"/>
        <v>3416.2</v>
      </c>
      <c r="I557" s="203">
        <f t="shared" si="198"/>
        <v>3074.4</v>
      </c>
      <c r="J557" s="203">
        <f t="shared" si="198"/>
        <v>31</v>
      </c>
      <c r="K557" s="203" t="str">
        <f>K125</f>
        <v>-</v>
      </c>
      <c r="L557" s="203">
        <f>AVERAGE(L125:L129)</f>
        <v>25572.2</v>
      </c>
      <c r="M557" s="187"/>
      <c r="N557" s="203" t="str">
        <f t="shared" ref="N557:S557" si="199">N125</f>
        <v>-</v>
      </c>
      <c r="O557" s="203" t="str">
        <f t="shared" si="199"/>
        <v>-</v>
      </c>
      <c r="P557" s="203" t="str">
        <f t="shared" si="199"/>
        <v>-</v>
      </c>
      <c r="Q557" s="203" t="str">
        <f t="shared" si="199"/>
        <v>-</v>
      </c>
      <c r="R557" s="203" t="str">
        <f t="shared" si="199"/>
        <v>-</v>
      </c>
      <c r="S557" s="203" t="str">
        <f t="shared" si="199"/>
        <v>-</v>
      </c>
    </row>
    <row r="558" spans="1:19" ht="11.25" customHeight="1" x14ac:dyDescent="0.2">
      <c r="A558" s="118">
        <v>2006</v>
      </c>
      <c r="B558" s="203" t="str">
        <f t="shared" ref="B558:L558" si="200">B130</f>
        <v>-</v>
      </c>
      <c r="C558" s="203" t="str">
        <f t="shared" si="200"/>
        <v>-</v>
      </c>
      <c r="D558" s="203" t="str">
        <f t="shared" si="200"/>
        <v>-</v>
      </c>
      <c r="E558" s="203">
        <f t="shared" si="200"/>
        <v>1153</v>
      </c>
      <c r="F558" s="203">
        <f t="shared" si="200"/>
        <v>60</v>
      </c>
      <c r="G558" s="203">
        <f t="shared" si="200"/>
        <v>39</v>
      </c>
      <c r="H558" s="203">
        <f t="shared" si="200"/>
        <v>450</v>
      </c>
      <c r="I558" s="203">
        <f t="shared" si="200"/>
        <v>959</v>
      </c>
      <c r="J558" s="203">
        <f t="shared" si="200"/>
        <v>95</v>
      </c>
      <c r="K558" s="203" t="str">
        <f t="shared" si="200"/>
        <v>-</v>
      </c>
      <c r="L558" s="203">
        <f t="shared" si="200"/>
        <v>2756</v>
      </c>
      <c r="M558" s="187"/>
      <c r="N558" s="203" t="str">
        <f t="shared" ref="N558:S570" si="201">N130</f>
        <v>-</v>
      </c>
      <c r="O558" s="203" t="str">
        <f t="shared" si="201"/>
        <v>-</v>
      </c>
      <c r="P558" s="203" t="str">
        <f t="shared" si="201"/>
        <v>-</v>
      </c>
      <c r="Q558" s="203" t="str">
        <f t="shared" si="201"/>
        <v>-</v>
      </c>
      <c r="R558" s="203" t="str">
        <f t="shared" si="201"/>
        <v>-</v>
      </c>
      <c r="S558" s="203" t="str">
        <f t="shared" si="201"/>
        <v>-</v>
      </c>
    </row>
    <row r="559" spans="1:19" s="366" customFormat="1" ht="11.25" customHeight="1" x14ac:dyDescent="0.2">
      <c r="A559" s="118">
        <v>2007</v>
      </c>
      <c r="B559" s="203" t="str">
        <f t="shared" ref="B559:L559" si="202">B131</f>
        <v>-</v>
      </c>
      <c r="C559" s="203">
        <f t="shared" si="202"/>
        <v>14</v>
      </c>
      <c r="D559" s="203">
        <f t="shared" si="202"/>
        <v>2757</v>
      </c>
      <c r="E559" s="203">
        <f t="shared" si="202"/>
        <v>922</v>
      </c>
      <c r="F559" s="203">
        <f t="shared" si="202"/>
        <v>6</v>
      </c>
      <c r="G559" s="203">
        <f t="shared" si="202"/>
        <v>59</v>
      </c>
      <c r="H559" s="203">
        <f t="shared" si="202"/>
        <v>136</v>
      </c>
      <c r="I559" s="203">
        <f t="shared" si="202"/>
        <v>237</v>
      </c>
      <c r="J559" s="203">
        <f t="shared" si="202"/>
        <v>47</v>
      </c>
      <c r="K559" s="203" t="str">
        <f t="shared" si="202"/>
        <v>-</v>
      </c>
      <c r="L559" s="203">
        <f t="shared" si="202"/>
        <v>4178</v>
      </c>
      <c r="M559" s="187"/>
      <c r="N559" s="203" t="str">
        <f t="shared" si="201"/>
        <v>-</v>
      </c>
      <c r="O559" s="203" t="str">
        <f t="shared" si="201"/>
        <v>-</v>
      </c>
      <c r="P559" s="203">
        <f t="shared" si="201"/>
        <v>1195</v>
      </c>
      <c r="Q559" s="203">
        <f t="shared" si="201"/>
        <v>84</v>
      </c>
      <c r="R559" s="203" t="str">
        <f t="shared" si="201"/>
        <v>-</v>
      </c>
      <c r="S559" s="203">
        <f t="shared" si="201"/>
        <v>1279</v>
      </c>
    </row>
    <row r="560" spans="1:19" s="366" customFormat="1" ht="11.25" customHeight="1" x14ac:dyDescent="0.2">
      <c r="A560" s="118">
        <v>2008</v>
      </c>
      <c r="B560" s="203" t="str">
        <f t="shared" ref="B560:L560" si="203">B132</f>
        <v>-</v>
      </c>
      <c r="C560" s="203" t="str">
        <f t="shared" si="203"/>
        <v>-</v>
      </c>
      <c r="D560" s="203" t="str">
        <f t="shared" si="203"/>
        <v>-</v>
      </c>
      <c r="E560" s="203" t="str">
        <f t="shared" si="203"/>
        <v>-</v>
      </c>
      <c r="F560" s="203" t="str">
        <f t="shared" si="203"/>
        <v>-</v>
      </c>
      <c r="G560" s="203" t="str">
        <f t="shared" si="203"/>
        <v>-</v>
      </c>
      <c r="H560" s="203">
        <f t="shared" si="203"/>
        <v>64</v>
      </c>
      <c r="I560" s="203">
        <f t="shared" si="203"/>
        <v>12</v>
      </c>
      <c r="J560" s="203" t="str">
        <f t="shared" si="203"/>
        <v>--</v>
      </c>
      <c r="K560" s="203" t="str">
        <f t="shared" si="203"/>
        <v>-</v>
      </c>
      <c r="L560" s="203">
        <f t="shared" si="203"/>
        <v>76</v>
      </c>
      <c r="M560" s="187"/>
      <c r="N560" s="203" t="str">
        <f t="shared" si="201"/>
        <v>-</v>
      </c>
      <c r="O560" s="203" t="str">
        <f t="shared" si="201"/>
        <v>-</v>
      </c>
      <c r="P560" s="203" t="str">
        <f t="shared" si="201"/>
        <v>-</v>
      </c>
      <c r="Q560" s="203" t="str">
        <f t="shared" si="201"/>
        <v>-</v>
      </c>
      <c r="R560" s="203" t="str">
        <f t="shared" si="201"/>
        <v>-</v>
      </c>
      <c r="S560" s="203" t="str">
        <f t="shared" si="201"/>
        <v>-</v>
      </c>
    </row>
    <row r="561" spans="1:19" s="366" customFormat="1" ht="11.25" customHeight="1" x14ac:dyDescent="0.2">
      <c r="A561" s="118">
        <v>2009</v>
      </c>
      <c r="B561" s="203" t="str">
        <f t="shared" ref="B561:L561" si="204">B133</f>
        <v>-</v>
      </c>
      <c r="C561" s="203" t="str">
        <f t="shared" si="204"/>
        <v>-</v>
      </c>
      <c r="D561" s="203" t="str">
        <f t="shared" si="204"/>
        <v>-</v>
      </c>
      <c r="E561" s="203" t="str">
        <f t="shared" si="204"/>
        <v>-</v>
      </c>
      <c r="F561" s="203" t="str">
        <f t="shared" si="204"/>
        <v>-</v>
      </c>
      <c r="G561" s="203" t="str">
        <f t="shared" si="204"/>
        <v>-</v>
      </c>
      <c r="H561" s="203">
        <f t="shared" si="204"/>
        <v>105</v>
      </c>
      <c r="I561" s="203">
        <f t="shared" si="204"/>
        <v>39</v>
      </c>
      <c r="J561" s="203" t="str">
        <f t="shared" si="204"/>
        <v>-</v>
      </c>
      <c r="K561" s="203" t="str">
        <f t="shared" si="204"/>
        <v>-</v>
      </c>
      <c r="L561" s="203">
        <f t="shared" si="204"/>
        <v>144</v>
      </c>
      <c r="M561" s="187"/>
      <c r="N561" s="203" t="str">
        <f t="shared" si="201"/>
        <v>-</v>
      </c>
      <c r="O561" s="203" t="str">
        <f t="shared" si="201"/>
        <v>-</v>
      </c>
      <c r="P561" s="203" t="str">
        <f t="shared" si="201"/>
        <v>-</v>
      </c>
      <c r="Q561" s="203">
        <f t="shared" si="201"/>
        <v>3490</v>
      </c>
      <c r="R561" s="203" t="str">
        <f t="shared" si="201"/>
        <v>-</v>
      </c>
      <c r="S561" s="203">
        <f t="shared" si="201"/>
        <v>3490</v>
      </c>
    </row>
    <row r="562" spans="1:19" s="366" customFormat="1" ht="11.25" customHeight="1" x14ac:dyDescent="0.2">
      <c r="A562" s="118">
        <v>2010</v>
      </c>
      <c r="B562" s="203" t="str">
        <f t="shared" ref="B562:L562" si="205">B134</f>
        <v>-</v>
      </c>
      <c r="C562" s="203" t="str">
        <f t="shared" si="205"/>
        <v>-</v>
      </c>
      <c r="D562" s="203">
        <f t="shared" si="205"/>
        <v>108</v>
      </c>
      <c r="E562" s="203">
        <f t="shared" si="205"/>
        <v>2466</v>
      </c>
      <c r="F562" s="203">
        <f t="shared" si="205"/>
        <v>931</v>
      </c>
      <c r="G562" s="203">
        <f t="shared" si="205"/>
        <v>72</v>
      </c>
      <c r="H562" s="203">
        <f t="shared" si="205"/>
        <v>56</v>
      </c>
      <c r="I562" s="203">
        <f t="shared" si="205"/>
        <v>15</v>
      </c>
      <c r="J562" s="203" t="str">
        <f t="shared" si="205"/>
        <v>-</v>
      </c>
      <c r="K562" s="203" t="str">
        <f t="shared" si="205"/>
        <v>-</v>
      </c>
      <c r="L562" s="203">
        <f t="shared" si="205"/>
        <v>3648</v>
      </c>
      <c r="M562" s="187"/>
      <c r="N562" s="203" t="str">
        <f t="shared" si="201"/>
        <v>-</v>
      </c>
      <c r="O562" s="203" t="str">
        <f t="shared" si="201"/>
        <v>-</v>
      </c>
      <c r="P562" s="203" t="str">
        <f t="shared" si="201"/>
        <v>-</v>
      </c>
      <c r="Q562" s="203" t="str">
        <f t="shared" si="201"/>
        <v>-</v>
      </c>
      <c r="R562" s="203" t="str">
        <f t="shared" si="201"/>
        <v>-</v>
      </c>
      <c r="S562" s="203" t="str">
        <f t="shared" si="201"/>
        <v>-</v>
      </c>
    </row>
    <row r="563" spans="1:19" s="366" customFormat="1" ht="11.25" customHeight="1" x14ac:dyDescent="0.2">
      <c r="A563" s="118">
        <v>2011</v>
      </c>
      <c r="B563" s="203" t="str">
        <f t="shared" ref="B563:L563" si="206">B135</f>
        <v>-</v>
      </c>
      <c r="C563" s="203">
        <f t="shared" si="206"/>
        <v>1</v>
      </c>
      <c r="D563" s="203">
        <f t="shared" si="206"/>
        <v>130</v>
      </c>
      <c r="E563" s="203">
        <f t="shared" si="206"/>
        <v>615</v>
      </c>
      <c r="F563" s="203">
        <f t="shared" si="206"/>
        <v>174</v>
      </c>
      <c r="G563" s="203">
        <f t="shared" si="206"/>
        <v>52</v>
      </c>
      <c r="H563" s="203">
        <f t="shared" si="206"/>
        <v>114</v>
      </c>
      <c r="I563" s="203">
        <f t="shared" si="206"/>
        <v>20</v>
      </c>
      <c r="J563" s="203" t="str">
        <f t="shared" si="206"/>
        <v>-</v>
      </c>
      <c r="K563" s="203" t="str">
        <f t="shared" si="206"/>
        <v>-</v>
      </c>
      <c r="L563" s="203">
        <f t="shared" si="206"/>
        <v>1106</v>
      </c>
      <c r="M563" s="187"/>
      <c r="N563" s="203" t="str">
        <f t="shared" si="201"/>
        <v>-</v>
      </c>
      <c r="O563" s="203" t="str">
        <f t="shared" si="201"/>
        <v>-</v>
      </c>
      <c r="P563" s="203" t="str">
        <f t="shared" si="201"/>
        <v>-</v>
      </c>
      <c r="Q563" s="203" t="str">
        <f t="shared" si="201"/>
        <v>-</v>
      </c>
      <c r="R563" s="203" t="str">
        <f t="shared" si="201"/>
        <v>-</v>
      </c>
      <c r="S563" s="203" t="str">
        <f t="shared" si="201"/>
        <v>-</v>
      </c>
    </row>
    <row r="564" spans="1:19" s="366" customFormat="1" ht="11.25" customHeight="1" x14ac:dyDescent="0.2">
      <c r="A564" s="118">
        <v>2012</v>
      </c>
      <c r="B564" s="203" t="str">
        <f t="shared" ref="B564:L564" si="207">B136</f>
        <v>-</v>
      </c>
      <c r="C564" s="203">
        <f t="shared" si="207"/>
        <v>440</v>
      </c>
      <c r="D564" s="203">
        <f t="shared" si="207"/>
        <v>1492</v>
      </c>
      <c r="E564" s="203">
        <f t="shared" si="207"/>
        <v>441</v>
      </c>
      <c r="F564" s="203">
        <f t="shared" si="207"/>
        <v>178</v>
      </c>
      <c r="G564" s="203">
        <f t="shared" si="207"/>
        <v>55</v>
      </c>
      <c r="H564" s="203">
        <f t="shared" si="207"/>
        <v>1146</v>
      </c>
      <c r="I564" s="203">
        <f t="shared" si="207"/>
        <v>3645</v>
      </c>
      <c r="J564" s="203" t="str">
        <f t="shared" si="207"/>
        <v>-</v>
      </c>
      <c r="K564" s="203" t="str">
        <f t="shared" si="207"/>
        <v>-</v>
      </c>
      <c r="L564" s="203">
        <f t="shared" si="207"/>
        <v>7397</v>
      </c>
      <c r="M564" s="187"/>
      <c r="N564" s="203" t="str">
        <f t="shared" si="201"/>
        <v>-</v>
      </c>
      <c r="O564" s="203" t="str">
        <f t="shared" si="201"/>
        <v>-</v>
      </c>
      <c r="P564" s="203" t="str">
        <f t="shared" si="201"/>
        <v>-</v>
      </c>
      <c r="Q564" s="203" t="str">
        <f t="shared" si="201"/>
        <v>-</v>
      </c>
      <c r="R564" s="203" t="str">
        <f t="shared" si="201"/>
        <v>-</v>
      </c>
      <c r="S564" s="203" t="str">
        <f t="shared" si="201"/>
        <v>-</v>
      </c>
    </row>
    <row r="565" spans="1:19" s="366" customFormat="1" ht="11.25" customHeight="1" x14ac:dyDescent="0.2">
      <c r="A565" s="118">
        <v>2013</v>
      </c>
      <c r="B565" s="203" t="str">
        <f t="shared" ref="B565:L565" si="208">B137</f>
        <v>-</v>
      </c>
      <c r="C565" s="203">
        <f t="shared" si="208"/>
        <v>1391</v>
      </c>
      <c r="D565" s="203">
        <f t="shared" si="208"/>
        <v>349</v>
      </c>
      <c r="E565" s="203">
        <f t="shared" si="208"/>
        <v>144</v>
      </c>
      <c r="F565" s="203">
        <f t="shared" si="208"/>
        <v>380</v>
      </c>
      <c r="G565" s="203">
        <f t="shared" si="208"/>
        <v>2869</v>
      </c>
      <c r="H565" s="203">
        <f t="shared" si="208"/>
        <v>3461</v>
      </c>
      <c r="I565" s="203">
        <f t="shared" si="208"/>
        <v>286</v>
      </c>
      <c r="J565" s="203" t="str">
        <f t="shared" si="208"/>
        <v>-</v>
      </c>
      <c r="K565" s="203" t="str">
        <f t="shared" si="208"/>
        <v>-</v>
      </c>
      <c r="L565" s="203">
        <f t="shared" si="208"/>
        <v>8880</v>
      </c>
      <c r="M565" s="187"/>
      <c r="N565" s="203" t="str">
        <f t="shared" si="201"/>
        <v>-</v>
      </c>
      <c r="O565" s="203" t="str">
        <f t="shared" si="201"/>
        <v>-</v>
      </c>
      <c r="P565" s="203" t="str">
        <f t="shared" si="201"/>
        <v>-</v>
      </c>
      <c r="Q565" s="203" t="str">
        <f t="shared" si="201"/>
        <v>-</v>
      </c>
      <c r="R565" s="203" t="str">
        <f t="shared" si="201"/>
        <v>-</v>
      </c>
      <c r="S565" s="203" t="str">
        <f t="shared" si="201"/>
        <v>-</v>
      </c>
    </row>
    <row r="566" spans="1:19" ht="11.25" customHeight="1" x14ac:dyDescent="0.2">
      <c r="A566" s="118">
        <v>2014</v>
      </c>
      <c r="B566" s="203" t="str">
        <f t="shared" ref="B566:L566" si="209">B138</f>
        <v>-</v>
      </c>
      <c r="C566" s="203">
        <f t="shared" si="209"/>
        <v>20</v>
      </c>
      <c r="D566" s="203">
        <f t="shared" si="209"/>
        <v>1133</v>
      </c>
      <c r="E566" s="203">
        <f t="shared" si="209"/>
        <v>2640</v>
      </c>
      <c r="F566" s="203">
        <f t="shared" si="209"/>
        <v>593</v>
      </c>
      <c r="G566" s="203">
        <f t="shared" si="209"/>
        <v>246</v>
      </c>
      <c r="H566" s="203">
        <f t="shared" si="209"/>
        <v>2355</v>
      </c>
      <c r="I566" s="203">
        <f t="shared" si="209"/>
        <v>22</v>
      </c>
      <c r="J566" s="203" t="str">
        <f t="shared" si="209"/>
        <v>-</v>
      </c>
      <c r="K566" s="203" t="str">
        <f t="shared" si="209"/>
        <v>-</v>
      </c>
      <c r="L566" s="203">
        <f t="shared" si="209"/>
        <v>7009</v>
      </c>
      <c r="M566" s="187"/>
      <c r="N566" s="203" t="str">
        <f t="shared" si="201"/>
        <v>-</v>
      </c>
      <c r="O566" s="203" t="str">
        <f t="shared" si="201"/>
        <v>-</v>
      </c>
      <c r="P566" s="203" t="str">
        <f t="shared" si="201"/>
        <v>-</v>
      </c>
      <c r="Q566" s="203">
        <f t="shared" si="201"/>
        <v>1104</v>
      </c>
      <c r="R566" s="203" t="str">
        <f t="shared" si="201"/>
        <v>-</v>
      </c>
      <c r="S566" s="203">
        <f t="shared" si="201"/>
        <v>1104</v>
      </c>
    </row>
    <row r="567" spans="1:19" s="366" customFormat="1" ht="11.25" customHeight="1" x14ac:dyDescent="0.2">
      <c r="A567" s="118">
        <v>2015</v>
      </c>
      <c r="B567" s="203" t="str">
        <f t="shared" ref="B567:L567" si="210">B139</f>
        <v>-</v>
      </c>
      <c r="C567" s="203">
        <f t="shared" si="210"/>
        <v>205</v>
      </c>
      <c r="D567" s="203">
        <f t="shared" si="210"/>
        <v>4114</v>
      </c>
      <c r="E567" s="203">
        <f t="shared" si="210"/>
        <v>3118</v>
      </c>
      <c r="F567" s="203">
        <f t="shared" si="210"/>
        <v>96</v>
      </c>
      <c r="G567" s="203">
        <f t="shared" si="210"/>
        <v>186</v>
      </c>
      <c r="H567" s="203">
        <f t="shared" si="210"/>
        <v>807</v>
      </c>
      <c r="I567" s="203">
        <f t="shared" si="210"/>
        <v>319</v>
      </c>
      <c r="J567" s="203" t="str">
        <f t="shared" si="210"/>
        <v>-</v>
      </c>
      <c r="K567" s="203" t="str">
        <f t="shared" si="210"/>
        <v>-</v>
      </c>
      <c r="L567" s="203">
        <f t="shared" si="210"/>
        <v>8845</v>
      </c>
      <c r="M567" s="187"/>
      <c r="N567" s="203" t="str">
        <f t="shared" si="201"/>
        <v>-</v>
      </c>
      <c r="O567" s="203" t="str">
        <f t="shared" si="201"/>
        <v>-</v>
      </c>
      <c r="P567" s="203" t="str">
        <f t="shared" si="201"/>
        <v>-</v>
      </c>
      <c r="Q567" s="203" t="str">
        <f t="shared" si="201"/>
        <v>-</v>
      </c>
      <c r="R567" s="203" t="str">
        <f t="shared" si="201"/>
        <v>-</v>
      </c>
      <c r="S567" s="203" t="str">
        <f t="shared" si="201"/>
        <v>-</v>
      </c>
    </row>
    <row r="568" spans="1:19" s="366" customFormat="1" ht="11.25" customHeight="1" x14ac:dyDescent="0.2">
      <c r="A568" s="118">
        <v>2016</v>
      </c>
      <c r="B568" s="203" t="str">
        <f t="shared" ref="B568:L568" si="211">B140</f>
        <v>-</v>
      </c>
      <c r="C568" s="203">
        <f t="shared" si="211"/>
        <v>167</v>
      </c>
      <c r="D568" s="203">
        <f t="shared" si="211"/>
        <v>185</v>
      </c>
      <c r="E568" s="203">
        <f t="shared" si="211"/>
        <v>515</v>
      </c>
      <c r="F568" s="203">
        <f t="shared" si="211"/>
        <v>16</v>
      </c>
      <c r="G568" s="203">
        <f t="shared" si="211"/>
        <v>23</v>
      </c>
      <c r="H568" s="203">
        <f t="shared" si="211"/>
        <v>135</v>
      </c>
      <c r="I568" s="203">
        <f t="shared" si="211"/>
        <v>26</v>
      </c>
      <c r="J568" s="203" t="str">
        <f t="shared" si="211"/>
        <v>-</v>
      </c>
      <c r="K568" s="203" t="str">
        <f t="shared" si="211"/>
        <v>-</v>
      </c>
      <c r="L568" s="203">
        <f t="shared" si="211"/>
        <v>1067</v>
      </c>
      <c r="M568" s="187"/>
      <c r="N568" s="203" t="str">
        <f t="shared" si="201"/>
        <v>-</v>
      </c>
      <c r="O568" s="203" t="str">
        <f t="shared" si="201"/>
        <v>-</v>
      </c>
      <c r="P568" s="203" t="str">
        <f t="shared" si="201"/>
        <v>-</v>
      </c>
      <c r="Q568" s="203" t="str">
        <f t="shared" si="201"/>
        <v>-</v>
      </c>
      <c r="R568" s="203" t="str">
        <f t="shared" si="201"/>
        <v>-</v>
      </c>
      <c r="S568" s="203" t="str">
        <f t="shared" si="201"/>
        <v>-</v>
      </c>
    </row>
    <row r="569" spans="1:19" s="366" customFormat="1" ht="11.25" customHeight="1" x14ac:dyDescent="0.2">
      <c r="A569" s="118">
        <v>2017</v>
      </c>
      <c r="B569" s="203" t="str">
        <f t="shared" ref="B569:L569" si="212">B141</f>
        <v>-</v>
      </c>
      <c r="C569" s="203">
        <f t="shared" si="212"/>
        <v>6</v>
      </c>
      <c r="D569" s="203">
        <f t="shared" si="212"/>
        <v>325</v>
      </c>
      <c r="E569" s="203">
        <f t="shared" si="212"/>
        <v>224</v>
      </c>
      <c r="F569" s="203">
        <f t="shared" si="212"/>
        <v>17</v>
      </c>
      <c r="G569" s="203" t="str">
        <f t="shared" si="212"/>
        <v>-</v>
      </c>
      <c r="H569" s="203">
        <f t="shared" si="212"/>
        <v>112</v>
      </c>
      <c r="I569" s="203">
        <f t="shared" si="212"/>
        <v>33</v>
      </c>
      <c r="J569" s="203" t="str">
        <f t="shared" si="212"/>
        <v>-</v>
      </c>
      <c r="K569" s="203" t="str">
        <f t="shared" si="212"/>
        <v>-</v>
      </c>
      <c r="L569" s="203">
        <f t="shared" si="212"/>
        <v>717</v>
      </c>
      <c r="M569" s="187"/>
      <c r="N569" s="203" t="str">
        <f t="shared" si="201"/>
        <v>-</v>
      </c>
      <c r="O569" s="203" t="str">
        <f t="shared" si="201"/>
        <v>-</v>
      </c>
      <c r="P569" s="203" t="str">
        <f t="shared" si="201"/>
        <v>-</v>
      </c>
      <c r="Q569" s="203" t="str">
        <f t="shared" si="201"/>
        <v>-</v>
      </c>
      <c r="R569" s="203" t="str">
        <f t="shared" si="201"/>
        <v>-</v>
      </c>
      <c r="S569" s="203" t="str">
        <f t="shared" si="201"/>
        <v>-</v>
      </c>
    </row>
    <row r="570" spans="1:19" s="366" customFormat="1" ht="11.25" customHeight="1" x14ac:dyDescent="0.2">
      <c r="A570" s="118">
        <v>2018</v>
      </c>
      <c r="B570" s="203" t="str">
        <f t="shared" ref="B570:L570" si="213">B142</f>
        <v>-</v>
      </c>
      <c r="C570" s="203" t="str">
        <f t="shared" si="213"/>
        <v>-</v>
      </c>
      <c r="D570" s="203">
        <f t="shared" si="213"/>
        <v>180</v>
      </c>
      <c r="E570" s="203">
        <f t="shared" si="213"/>
        <v>168</v>
      </c>
      <c r="F570" s="203">
        <f t="shared" si="213"/>
        <v>19</v>
      </c>
      <c r="G570" s="203">
        <f t="shared" si="213"/>
        <v>58</v>
      </c>
      <c r="H570" s="203">
        <f t="shared" si="213"/>
        <v>26</v>
      </c>
      <c r="I570" s="203">
        <f t="shared" si="213"/>
        <v>14</v>
      </c>
      <c r="J570" s="203" t="str">
        <f t="shared" si="213"/>
        <v>-</v>
      </c>
      <c r="K570" s="203" t="str">
        <f t="shared" si="213"/>
        <v>-</v>
      </c>
      <c r="L570" s="203">
        <f t="shared" si="213"/>
        <v>465</v>
      </c>
      <c r="M570" s="187"/>
      <c r="N570" s="203" t="str">
        <f t="shared" si="201"/>
        <v>-</v>
      </c>
      <c r="O570" s="203" t="str">
        <f t="shared" si="201"/>
        <v>-</v>
      </c>
      <c r="P570" s="203" t="str">
        <f t="shared" si="201"/>
        <v>-</v>
      </c>
      <c r="Q570" s="203" t="str">
        <f t="shared" si="201"/>
        <v>-</v>
      </c>
      <c r="R570" s="203" t="str">
        <f t="shared" si="201"/>
        <v>-</v>
      </c>
      <c r="S570" s="203" t="str">
        <f t="shared" si="201"/>
        <v>-</v>
      </c>
    </row>
    <row r="571" spans="1:19" s="489" customFormat="1" ht="11.25" customHeight="1" x14ac:dyDescent="0.2">
      <c r="A571" s="118">
        <v>2019</v>
      </c>
      <c r="B571" s="203" t="str">
        <f t="shared" ref="B571:L572" si="214">B143</f>
        <v>-</v>
      </c>
      <c r="C571" s="203">
        <f t="shared" si="214"/>
        <v>3</v>
      </c>
      <c r="D571" s="203">
        <f t="shared" si="214"/>
        <v>144</v>
      </c>
      <c r="E571" s="203">
        <f t="shared" si="214"/>
        <v>68</v>
      </c>
      <c r="F571" s="203">
        <f t="shared" si="214"/>
        <v>234</v>
      </c>
      <c r="G571" s="203">
        <f t="shared" si="214"/>
        <v>42</v>
      </c>
      <c r="H571" s="203">
        <f t="shared" si="214"/>
        <v>33</v>
      </c>
      <c r="I571" s="203">
        <f t="shared" si="214"/>
        <v>43</v>
      </c>
      <c r="J571" s="203" t="str">
        <f t="shared" si="214"/>
        <v>-</v>
      </c>
      <c r="K571" s="203" t="str">
        <f t="shared" si="214"/>
        <v>-</v>
      </c>
      <c r="L571" s="203">
        <f t="shared" si="214"/>
        <v>567</v>
      </c>
      <c r="M571" s="187"/>
      <c r="N571" s="203" t="str">
        <f>N143</f>
        <v>-</v>
      </c>
      <c r="O571" s="203" t="str">
        <f t="shared" ref="O571:S572" si="215">O143</f>
        <v>-</v>
      </c>
      <c r="P571" s="203" t="str">
        <f t="shared" si="215"/>
        <v>-</v>
      </c>
      <c r="Q571" s="203" t="str">
        <f t="shared" si="215"/>
        <v>-</v>
      </c>
      <c r="R571" s="203" t="str">
        <f t="shared" si="215"/>
        <v>-</v>
      </c>
      <c r="S571" s="203" t="str">
        <f t="shared" si="215"/>
        <v>-</v>
      </c>
    </row>
    <row r="572" spans="1:19" ht="11.25" customHeight="1" x14ac:dyDescent="0.2">
      <c r="A572" s="118" t="s">
        <v>393</v>
      </c>
      <c r="B572" s="203" t="str">
        <f t="shared" si="214"/>
        <v>-</v>
      </c>
      <c r="C572" s="203">
        <f t="shared" si="214"/>
        <v>15</v>
      </c>
      <c r="D572" s="203">
        <f t="shared" si="214"/>
        <v>9</v>
      </c>
      <c r="E572" s="203">
        <f t="shared" si="214"/>
        <v>488</v>
      </c>
      <c r="F572" s="203">
        <f t="shared" si="214"/>
        <v>38</v>
      </c>
      <c r="G572" s="203">
        <f t="shared" si="214"/>
        <v>19</v>
      </c>
      <c r="H572" s="203">
        <f t="shared" si="214"/>
        <v>72</v>
      </c>
      <c r="I572" s="203">
        <f t="shared" si="214"/>
        <v>42</v>
      </c>
      <c r="J572" s="203" t="str">
        <f t="shared" si="214"/>
        <v>-</v>
      </c>
      <c r="K572" s="203" t="str">
        <f t="shared" si="214"/>
        <v>-</v>
      </c>
      <c r="L572" s="203">
        <f t="shared" si="214"/>
        <v>683</v>
      </c>
      <c r="M572" s="187"/>
      <c r="N572" s="203" t="str">
        <f>N144</f>
        <v>-</v>
      </c>
      <c r="O572" s="203" t="str">
        <f t="shared" si="215"/>
        <v>-</v>
      </c>
      <c r="P572" s="203" t="str">
        <f t="shared" si="215"/>
        <v>-</v>
      </c>
      <c r="Q572" s="203" t="str">
        <f t="shared" si="215"/>
        <v>-</v>
      </c>
      <c r="R572" s="203" t="str">
        <f t="shared" si="215"/>
        <v>-</v>
      </c>
      <c r="S572" s="203" t="str">
        <f t="shared" si="215"/>
        <v>-</v>
      </c>
    </row>
    <row r="573" spans="1:19" ht="11.25" customHeight="1" x14ac:dyDescent="0.2">
      <c r="A573" s="118"/>
      <c r="B573" s="203"/>
      <c r="C573" s="203"/>
      <c r="D573" s="203"/>
      <c r="E573" s="203"/>
      <c r="F573" s="203"/>
      <c r="G573" s="203"/>
      <c r="H573" s="203"/>
      <c r="I573" s="203"/>
      <c r="J573" s="203"/>
      <c r="K573" s="203"/>
      <c r="L573" s="203"/>
      <c r="M573" s="187"/>
      <c r="N573" s="203"/>
      <c r="O573" s="203"/>
      <c r="P573" s="203"/>
      <c r="Q573" s="203"/>
      <c r="R573" s="203"/>
      <c r="S573" s="203"/>
    </row>
    <row r="574" spans="1:19" ht="11.25" customHeight="1" x14ac:dyDescent="0.2">
      <c r="A574" s="555" t="s">
        <v>357</v>
      </c>
      <c r="B574" s="555"/>
      <c r="C574" s="556"/>
      <c r="D574" s="556"/>
      <c r="E574" s="556"/>
      <c r="F574" s="556"/>
      <c r="G574" s="556"/>
      <c r="H574" s="556"/>
      <c r="I574" s="556"/>
      <c r="J574" s="556"/>
      <c r="K574" s="556"/>
      <c r="L574" s="556"/>
      <c r="M574" s="556"/>
      <c r="N574" s="556"/>
      <c r="O574" s="556"/>
      <c r="P574" s="556"/>
      <c r="Q574" s="556"/>
      <c r="R574" s="556"/>
      <c r="S574" s="556"/>
    </row>
    <row r="575" spans="1:19" ht="11.25" customHeight="1" x14ac:dyDescent="0.2">
      <c r="A575" s="124" t="s">
        <v>33</v>
      </c>
      <c r="B575" s="276" t="s">
        <v>43</v>
      </c>
      <c r="C575" s="276" t="s">
        <v>34</v>
      </c>
      <c r="D575" s="276" t="s">
        <v>35</v>
      </c>
      <c r="E575" s="276" t="s">
        <v>36</v>
      </c>
      <c r="F575" s="276" t="s">
        <v>37</v>
      </c>
      <c r="G575" s="276" t="s">
        <v>38</v>
      </c>
      <c r="H575" s="276" t="s">
        <v>39</v>
      </c>
      <c r="I575" s="276" t="s">
        <v>40</v>
      </c>
      <c r="J575" s="276" t="s">
        <v>44</v>
      </c>
      <c r="K575" s="276" t="s">
        <v>83</v>
      </c>
      <c r="L575" s="276" t="s">
        <v>28</v>
      </c>
      <c r="M575" s="276"/>
      <c r="N575" s="276" t="s">
        <v>36</v>
      </c>
      <c r="O575" s="276" t="s">
        <v>37</v>
      </c>
      <c r="P575" s="276" t="s">
        <v>38</v>
      </c>
      <c r="Q575" s="276" t="s">
        <v>39</v>
      </c>
      <c r="R575" s="276" t="s">
        <v>40</v>
      </c>
      <c r="S575" s="276" t="s">
        <v>28</v>
      </c>
    </row>
    <row r="576" spans="1:19" ht="11.25" customHeight="1" x14ac:dyDescent="0.2">
      <c r="B576" s="557" t="s">
        <v>67</v>
      </c>
      <c r="C576" s="557"/>
      <c r="D576" s="557"/>
      <c r="E576" s="557"/>
      <c r="F576" s="557"/>
      <c r="G576" s="557"/>
      <c r="H576" s="557"/>
      <c r="I576" s="557"/>
      <c r="J576" s="557"/>
      <c r="K576" s="557"/>
      <c r="L576" s="557"/>
      <c r="N576" s="557" t="s">
        <v>68</v>
      </c>
      <c r="O576" s="557"/>
      <c r="P576" s="557"/>
      <c r="Q576" s="557"/>
      <c r="R576" s="557"/>
      <c r="S576" s="557"/>
    </row>
    <row r="577" spans="1:19" ht="11.25" customHeight="1" x14ac:dyDescent="0.2">
      <c r="A577" s="418" t="str">
        <f>A146</f>
        <v>Newport</v>
      </c>
      <c r="B577" s="200"/>
      <c r="C577" s="200"/>
      <c r="D577" s="200"/>
      <c r="E577" s="200"/>
      <c r="F577" s="200"/>
      <c r="G577" s="200"/>
      <c r="H577" s="200"/>
      <c r="I577" s="200"/>
      <c r="J577" s="200"/>
      <c r="K577" s="200"/>
      <c r="L577" s="200"/>
      <c r="N577" s="200"/>
      <c r="O577" s="200"/>
      <c r="P577" s="200"/>
      <c r="Q577" s="200"/>
      <c r="R577" s="200"/>
      <c r="S577" s="200"/>
    </row>
    <row r="578" spans="1:19" ht="11.25" customHeight="1" x14ac:dyDescent="0.2">
      <c r="A578" s="371" t="s">
        <v>30</v>
      </c>
      <c r="B578" s="200" t="s">
        <v>29</v>
      </c>
      <c r="C578" s="200" t="s">
        <v>29</v>
      </c>
      <c r="D578" s="200">
        <f t="shared" ref="D578:L578" si="216">AVERAGE(D176:D180)</f>
        <v>6292</v>
      </c>
      <c r="E578" s="200">
        <f t="shared" si="216"/>
        <v>2255.6</v>
      </c>
      <c r="F578" s="200">
        <f t="shared" si="216"/>
        <v>11737</v>
      </c>
      <c r="G578" s="200">
        <f t="shared" si="216"/>
        <v>5174.3999999999996</v>
      </c>
      <c r="H578" s="200">
        <f t="shared" si="216"/>
        <v>959.4</v>
      </c>
      <c r="I578" s="200">
        <f t="shared" si="216"/>
        <v>1476</v>
      </c>
      <c r="J578" s="200">
        <f t="shared" si="216"/>
        <v>111</v>
      </c>
      <c r="K578" s="200" t="s">
        <v>29</v>
      </c>
      <c r="L578" s="200">
        <f t="shared" si="216"/>
        <v>27916.6</v>
      </c>
      <c r="N578" s="189" t="s">
        <v>29</v>
      </c>
      <c r="O578" s="200">
        <f>AVERAGE(O176:O180)</f>
        <v>75337.25</v>
      </c>
      <c r="P578" s="200">
        <f>AVERAGE(P176:P180)</f>
        <v>66674</v>
      </c>
      <c r="Q578" s="200">
        <f>AVERAGE(Q176:Q180)</f>
        <v>4161</v>
      </c>
      <c r="R578" s="189" t="s">
        <v>29</v>
      </c>
      <c r="S578" s="200">
        <f>AVERAGE(S176:S180)</f>
        <v>109714.5</v>
      </c>
    </row>
    <row r="579" spans="1:19" ht="11.25" customHeight="1" x14ac:dyDescent="0.2">
      <c r="A579" s="371" t="s">
        <v>87</v>
      </c>
      <c r="B579" s="200" t="s">
        <v>29</v>
      </c>
      <c r="C579" s="200" t="s">
        <v>29</v>
      </c>
      <c r="D579" s="200">
        <f t="shared" ref="D579:L579" si="217">AVERAGE(D181:D185)</f>
        <v>8800</v>
      </c>
      <c r="E579" s="200">
        <f t="shared" si="217"/>
        <v>14067.4</v>
      </c>
      <c r="F579" s="200">
        <f t="shared" si="217"/>
        <v>27794.799999999999</v>
      </c>
      <c r="G579" s="200">
        <f t="shared" si="217"/>
        <v>14835.4</v>
      </c>
      <c r="H579" s="200">
        <f t="shared" si="217"/>
        <v>6926</v>
      </c>
      <c r="I579" s="200">
        <f t="shared" si="217"/>
        <v>10533.2</v>
      </c>
      <c r="J579" s="189" t="s">
        <v>29</v>
      </c>
      <c r="K579" s="200" t="s">
        <v>29</v>
      </c>
      <c r="L579" s="200">
        <f t="shared" si="217"/>
        <v>82956.800000000003</v>
      </c>
      <c r="N579" s="200">
        <f>AVERAGE(N181:N185)</f>
        <v>56</v>
      </c>
      <c r="O579" s="200">
        <f>AVERAGE(O181:O185)</f>
        <v>108283.2</v>
      </c>
      <c r="P579" s="200">
        <f>AVERAGE(P181:P185)</f>
        <v>44241</v>
      </c>
      <c r="Q579" s="200">
        <f>AVERAGE(Q181:Q185)</f>
        <v>5166</v>
      </c>
      <c r="R579" s="189" t="s">
        <v>29</v>
      </c>
      <c r="S579" s="200">
        <f>AVERAGE(S181:S185)</f>
        <v>135872.20000000001</v>
      </c>
    </row>
    <row r="580" spans="1:19" ht="11.25" customHeight="1" x14ac:dyDescent="0.2">
      <c r="A580" s="371" t="s">
        <v>14</v>
      </c>
      <c r="B580" s="200" t="s">
        <v>29</v>
      </c>
      <c r="C580" s="200" t="s">
        <v>29</v>
      </c>
      <c r="D580" s="200">
        <f t="shared" ref="D580:I580" si="218">AVERAGE(D186:D190)</f>
        <v>11090.8</v>
      </c>
      <c r="E580" s="200">
        <f t="shared" si="218"/>
        <v>13999.5</v>
      </c>
      <c r="F580" s="200">
        <f t="shared" si="218"/>
        <v>14613.333333333334</v>
      </c>
      <c r="G580" s="200">
        <f t="shared" si="218"/>
        <v>29112.25</v>
      </c>
      <c r="H580" s="200">
        <f t="shared" si="218"/>
        <v>11701.8</v>
      </c>
      <c r="I580" s="200">
        <f t="shared" si="218"/>
        <v>10884.2</v>
      </c>
      <c r="J580" s="189" t="s">
        <v>29</v>
      </c>
      <c r="K580" s="200" t="s">
        <v>29</v>
      </c>
      <c r="L580" s="200">
        <f>AVERAGE(L186:L190)</f>
        <v>76934.2</v>
      </c>
      <c r="N580" s="200">
        <f>AVERAGE(N186:N190)</f>
        <v>58218</v>
      </c>
      <c r="O580" s="200">
        <f>AVERAGE(O186:O190)</f>
        <v>24703.5</v>
      </c>
      <c r="P580" s="200">
        <f>AVERAGE(P186:P190)</f>
        <v>7972</v>
      </c>
      <c r="Q580" s="189" t="s">
        <v>29</v>
      </c>
      <c r="R580" s="189" t="s">
        <v>29</v>
      </c>
      <c r="S580" s="200">
        <f>AVERAGE(S186:S190)</f>
        <v>41189.666666666664</v>
      </c>
    </row>
    <row r="581" spans="1:19" ht="11.25" customHeight="1" x14ac:dyDescent="0.2">
      <c r="A581" s="371" t="s">
        <v>207</v>
      </c>
      <c r="B581" s="200" t="s">
        <v>29</v>
      </c>
      <c r="C581" s="200" t="s">
        <v>29</v>
      </c>
      <c r="D581" s="200">
        <f t="shared" ref="D581:I581" si="219">AVERAGE(D191:D195)</f>
        <v>17947</v>
      </c>
      <c r="E581" s="200">
        <f t="shared" si="219"/>
        <v>16800.400000000001</v>
      </c>
      <c r="F581" s="200">
        <f t="shared" si="219"/>
        <v>3786</v>
      </c>
      <c r="G581" s="200">
        <f t="shared" si="219"/>
        <v>24728.799999999999</v>
      </c>
      <c r="H581" s="200">
        <f t="shared" si="219"/>
        <v>12137.8</v>
      </c>
      <c r="I581" s="200">
        <f t="shared" si="219"/>
        <v>4149.6000000000004</v>
      </c>
      <c r="J581" s="189" t="s">
        <v>29</v>
      </c>
      <c r="K581" s="200" t="s">
        <v>29</v>
      </c>
      <c r="L581" s="200">
        <f>AVERAGE(L191:L195)</f>
        <v>81290.399999999994</v>
      </c>
      <c r="N581" s="200" t="s">
        <v>29</v>
      </c>
      <c r="O581" s="200" t="s">
        <v>29</v>
      </c>
      <c r="P581" s="200" t="s">
        <v>29</v>
      </c>
      <c r="Q581" s="189" t="s">
        <v>29</v>
      </c>
      <c r="R581" s="189" t="s">
        <v>29</v>
      </c>
      <c r="S581" s="200" t="s">
        <v>29</v>
      </c>
    </row>
    <row r="582" spans="1:19" ht="11.25" customHeight="1" x14ac:dyDescent="0.2">
      <c r="A582" s="118" t="s">
        <v>238</v>
      </c>
      <c r="B582" s="200">
        <f>AVERAGE(B196:B200)</f>
        <v>5438.25</v>
      </c>
      <c r="C582" s="200">
        <f>AVERAGE(C196:C200)</f>
        <v>7253.4</v>
      </c>
      <c r="D582" s="200">
        <f t="shared" ref="D582:I582" si="220">AVERAGE(D196:D200)</f>
        <v>23240.6</v>
      </c>
      <c r="E582" s="200">
        <f t="shared" si="220"/>
        <v>18831.599999999999</v>
      </c>
      <c r="F582" s="200">
        <f t="shared" si="220"/>
        <v>10414.5</v>
      </c>
      <c r="G582" s="200">
        <f t="shared" si="220"/>
        <v>20541</v>
      </c>
      <c r="H582" s="200">
        <f t="shared" si="220"/>
        <v>26687.4</v>
      </c>
      <c r="I582" s="200">
        <f t="shared" si="220"/>
        <v>20998</v>
      </c>
      <c r="J582" s="200" t="str">
        <f>J196</f>
        <v>-</v>
      </c>
      <c r="K582" s="189" t="s">
        <v>29</v>
      </c>
      <c r="L582" s="200">
        <f>AVERAGE(L196:L200)</f>
        <v>126126</v>
      </c>
      <c r="N582" s="200" t="str">
        <f t="shared" ref="N582:S582" si="221">N196</f>
        <v>-</v>
      </c>
      <c r="O582" s="200" t="str">
        <f t="shared" si="221"/>
        <v>-</v>
      </c>
      <c r="P582" s="200" t="str">
        <f t="shared" si="221"/>
        <v>-</v>
      </c>
      <c r="Q582" s="200" t="str">
        <f t="shared" si="221"/>
        <v>-</v>
      </c>
      <c r="R582" s="200" t="str">
        <f t="shared" si="221"/>
        <v>-</v>
      </c>
      <c r="S582" s="200" t="str">
        <f t="shared" si="221"/>
        <v>-</v>
      </c>
    </row>
    <row r="583" spans="1:19" ht="11.25" customHeight="1" x14ac:dyDescent="0.2">
      <c r="A583" s="118">
        <v>2006</v>
      </c>
      <c r="B583" s="200" t="str">
        <f t="shared" ref="B583:J583" si="222">B201</f>
        <v>-</v>
      </c>
      <c r="C583" s="200" t="str">
        <f t="shared" si="222"/>
        <v>-</v>
      </c>
      <c r="D583" s="200" t="str">
        <f t="shared" si="222"/>
        <v>-</v>
      </c>
      <c r="E583" s="200">
        <f t="shared" si="222"/>
        <v>8397</v>
      </c>
      <c r="F583" s="200">
        <f t="shared" si="222"/>
        <v>3556</v>
      </c>
      <c r="G583" s="200">
        <f t="shared" si="222"/>
        <v>923</v>
      </c>
      <c r="H583" s="200">
        <f t="shared" si="222"/>
        <v>3852</v>
      </c>
      <c r="I583" s="200">
        <f t="shared" si="222"/>
        <v>1528</v>
      </c>
      <c r="J583" s="200">
        <f t="shared" si="222"/>
        <v>639</v>
      </c>
      <c r="K583" s="189" t="s">
        <v>29</v>
      </c>
      <c r="L583" s="200">
        <f t="shared" ref="L583:L597" si="223">L201</f>
        <v>18895</v>
      </c>
      <c r="N583" s="200" t="str">
        <f t="shared" ref="N583:S595" si="224">N201</f>
        <v>-</v>
      </c>
      <c r="O583" s="200" t="str">
        <f t="shared" si="224"/>
        <v>-</v>
      </c>
      <c r="P583" s="200" t="str">
        <f t="shared" si="224"/>
        <v>-</v>
      </c>
      <c r="Q583" s="200" t="str">
        <f t="shared" si="224"/>
        <v>-</v>
      </c>
      <c r="R583" s="200" t="str">
        <f t="shared" si="224"/>
        <v>-</v>
      </c>
      <c r="S583" s="200" t="str">
        <f t="shared" si="224"/>
        <v>-</v>
      </c>
    </row>
    <row r="584" spans="1:19" s="366" customFormat="1" ht="11.25" customHeight="1" x14ac:dyDescent="0.2">
      <c r="A584" s="118">
        <v>2007</v>
      </c>
      <c r="B584" s="203" t="str">
        <f t="shared" ref="B584:J584" si="225">B202</f>
        <v>-</v>
      </c>
      <c r="C584" s="203">
        <f t="shared" si="225"/>
        <v>279</v>
      </c>
      <c r="D584" s="203">
        <f t="shared" si="225"/>
        <v>1553</v>
      </c>
      <c r="E584" s="203">
        <f t="shared" si="225"/>
        <v>1427</v>
      </c>
      <c r="F584" s="203">
        <f t="shared" si="225"/>
        <v>323</v>
      </c>
      <c r="G584" s="203">
        <f t="shared" si="225"/>
        <v>338</v>
      </c>
      <c r="H584" s="203">
        <f t="shared" si="225"/>
        <v>88</v>
      </c>
      <c r="I584" s="203">
        <f t="shared" si="225"/>
        <v>54</v>
      </c>
      <c r="J584" s="203">
        <f t="shared" si="225"/>
        <v>2</v>
      </c>
      <c r="K584" s="187" t="s">
        <v>29</v>
      </c>
      <c r="L584" s="203">
        <f t="shared" si="223"/>
        <v>4064</v>
      </c>
      <c r="M584" s="187"/>
      <c r="N584" s="203" t="str">
        <f t="shared" si="224"/>
        <v>-</v>
      </c>
      <c r="O584" s="203" t="str">
        <f t="shared" si="224"/>
        <v>-</v>
      </c>
      <c r="P584" s="203">
        <f t="shared" si="224"/>
        <v>1607</v>
      </c>
      <c r="Q584" s="203">
        <f t="shared" si="224"/>
        <v>276</v>
      </c>
      <c r="R584" s="203" t="str">
        <f t="shared" si="224"/>
        <v>-</v>
      </c>
      <c r="S584" s="203">
        <f t="shared" si="224"/>
        <v>1883</v>
      </c>
    </row>
    <row r="585" spans="1:19" s="366" customFormat="1" ht="11.25" customHeight="1" x14ac:dyDescent="0.2">
      <c r="A585" s="118">
        <v>2008</v>
      </c>
      <c r="B585" s="203" t="str">
        <f t="shared" ref="B585:J585" si="226">B203</f>
        <v>-</v>
      </c>
      <c r="C585" s="203" t="str">
        <f t="shared" si="226"/>
        <v>-</v>
      </c>
      <c r="D585" s="203" t="str">
        <f t="shared" si="226"/>
        <v>-</v>
      </c>
      <c r="E585" s="203" t="str">
        <f t="shared" si="226"/>
        <v>-</v>
      </c>
      <c r="F585" s="203" t="str">
        <f t="shared" si="226"/>
        <v>-</v>
      </c>
      <c r="G585" s="203" t="str">
        <f t="shared" si="226"/>
        <v>-</v>
      </c>
      <c r="H585" s="203" t="str">
        <f t="shared" si="226"/>
        <v>-</v>
      </c>
      <c r="I585" s="203" t="str">
        <f t="shared" si="226"/>
        <v>-</v>
      </c>
      <c r="J585" s="203" t="str">
        <f t="shared" si="226"/>
        <v>-</v>
      </c>
      <c r="K585" s="187" t="s">
        <v>29</v>
      </c>
      <c r="L585" s="203" t="str">
        <f t="shared" si="223"/>
        <v>-</v>
      </c>
      <c r="M585" s="187"/>
      <c r="N585" s="203" t="str">
        <f t="shared" si="224"/>
        <v>-</v>
      </c>
      <c r="O585" s="203" t="str">
        <f t="shared" si="224"/>
        <v>-</v>
      </c>
      <c r="P585" s="203" t="str">
        <f t="shared" si="224"/>
        <v>-</v>
      </c>
      <c r="Q585" s="203" t="str">
        <f t="shared" si="224"/>
        <v>-</v>
      </c>
      <c r="R585" s="203" t="str">
        <f t="shared" si="224"/>
        <v>-</v>
      </c>
      <c r="S585" s="203" t="str">
        <f t="shared" si="224"/>
        <v>-</v>
      </c>
    </row>
    <row r="586" spans="1:19" s="366" customFormat="1" ht="11.25" customHeight="1" x14ac:dyDescent="0.2">
      <c r="A586" s="118">
        <v>2009</v>
      </c>
      <c r="B586" s="203" t="str">
        <f t="shared" ref="B586:J586" si="227">B204</f>
        <v>-</v>
      </c>
      <c r="C586" s="203" t="str">
        <f t="shared" si="227"/>
        <v>-</v>
      </c>
      <c r="D586" s="203" t="str">
        <f t="shared" si="227"/>
        <v>-</v>
      </c>
      <c r="E586" s="203" t="str">
        <f t="shared" si="227"/>
        <v>-</v>
      </c>
      <c r="F586" s="203" t="str">
        <f t="shared" si="227"/>
        <v>-</v>
      </c>
      <c r="G586" s="203" t="str">
        <f t="shared" si="227"/>
        <v>-</v>
      </c>
      <c r="H586" s="203" t="str">
        <f t="shared" si="227"/>
        <v>-</v>
      </c>
      <c r="I586" s="203" t="str">
        <f t="shared" si="227"/>
        <v>-</v>
      </c>
      <c r="J586" s="203" t="str">
        <f t="shared" si="227"/>
        <v>-</v>
      </c>
      <c r="K586" s="187" t="s">
        <v>29</v>
      </c>
      <c r="L586" s="203" t="str">
        <f t="shared" si="223"/>
        <v>-</v>
      </c>
      <c r="M586" s="187"/>
      <c r="N586" s="203" t="str">
        <f t="shared" si="224"/>
        <v>-</v>
      </c>
      <c r="O586" s="203" t="str">
        <f t="shared" si="224"/>
        <v>-</v>
      </c>
      <c r="P586" s="203" t="str">
        <f t="shared" si="224"/>
        <v>-</v>
      </c>
      <c r="Q586" s="203">
        <f t="shared" si="224"/>
        <v>5105</v>
      </c>
      <c r="R586" s="203" t="str">
        <f t="shared" si="224"/>
        <v>-</v>
      </c>
      <c r="S586" s="203">
        <f t="shared" si="224"/>
        <v>5105</v>
      </c>
    </row>
    <row r="587" spans="1:19" s="366" customFormat="1" ht="11.25" customHeight="1" x14ac:dyDescent="0.2">
      <c r="A587" s="118">
        <v>2010</v>
      </c>
      <c r="B587" s="203" t="str">
        <f t="shared" ref="B587:J587" si="228">B205</f>
        <v>-</v>
      </c>
      <c r="C587" s="203" t="str">
        <f t="shared" si="228"/>
        <v>-</v>
      </c>
      <c r="D587" s="203">
        <f t="shared" si="228"/>
        <v>3950</v>
      </c>
      <c r="E587" s="203">
        <f t="shared" si="228"/>
        <v>3513</v>
      </c>
      <c r="F587" s="203">
        <f t="shared" si="228"/>
        <v>2505</v>
      </c>
      <c r="G587" s="203">
        <f t="shared" si="228"/>
        <v>2409</v>
      </c>
      <c r="H587" s="203" t="str">
        <f t="shared" si="228"/>
        <v>-</v>
      </c>
      <c r="I587" s="203" t="str">
        <f t="shared" si="228"/>
        <v>-</v>
      </c>
      <c r="J587" s="203" t="str">
        <f t="shared" si="228"/>
        <v>-</v>
      </c>
      <c r="K587" s="187" t="s">
        <v>29</v>
      </c>
      <c r="L587" s="203">
        <f t="shared" si="223"/>
        <v>12377</v>
      </c>
      <c r="M587" s="187"/>
      <c r="N587" s="203" t="str">
        <f t="shared" si="224"/>
        <v>-</v>
      </c>
      <c r="O587" s="203" t="str">
        <f t="shared" si="224"/>
        <v>-</v>
      </c>
      <c r="P587" s="203" t="str">
        <f t="shared" si="224"/>
        <v>-</v>
      </c>
      <c r="Q587" s="203" t="str">
        <f t="shared" si="224"/>
        <v>-</v>
      </c>
      <c r="R587" s="203" t="str">
        <f t="shared" si="224"/>
        <v>-</v>
      </c>
      <c r="S587" s="203" t="str">
        <f t="shared" si="224"/>
        <v>-</v>
      </c>
    </row>
    <row r="588" spans="1:19" s="366" customFormat="1" ht="11.25" customHeight="1" x14ac:dyDescent="0.2">
      <c r="A588" s="118">
        <v>2011</v>
      </c>
      <c r="B588" s="203" t="str">
        <f t="shared" ref="B588:J588" si="229">B206</f>
        <v>-</v>
      </c>
      <c r="C588" s="203">
        <f t="shared" si="229"/>
        <v>378</v>
      </c>
      <c r="D588" s="203">
        <f t="shared" si="229"/>
        <v>2357</v>
      </c>
      <c r="E588" s="203">
        <f t="shared" si="229"/>
        <v>1477</v>
      </c>
      <c r="F588" s="203">
        <f t="shared" si="229"/>
        <v>192</v>
      </c>
      <c r="G588" s="203">
        <f t="shared" si="229"/>
        <v>561</v>
      </c>
      <c r="H588" s="203" t="str">
        <f t="shared" si="229"/>
        <v>-</v>
      </c>
      <c r="I588" s="203">
        <f t="shared" si="229"/>
        <v>15</v>
      </c>
      <c r="J588" s="203" t="str">
        <f t="shared" si="229"/>
        <v>-</v>
      </c>
      <c r="K588" s="187" t="s">
        <v>29</v>
      </c>
      <c r="L588" s="203">
        <f t="shared" si="223"/>
        <v>4980</v>
      </c>
      <c r="M588" s="187"/>
      <c r="N588" s="203" t="str">
        <f t="shared" si="224"/>
        <v>-</v>
      </c>
      <c r="O588" s="203" t="str">
        <f t="shared" si="224"/>
        <v>-</v>
      </c>
      <c r="P588" s="203" t="str">
        <f t="shared" si="224"/>
        <v>-</v>
      </c>
      <c r="Q588" s="203" t="str">
        <f t="shared" si="224"/>
        <v>-</v>
      </c>
      <c r="R588" s="203" t="str">
        <f t="shared" si="224"/>
        <v>-</v>
      </c>
      <c r="S588" s="203" t="str">
        <f t="shared" si="224"/>
        <v>-</v>
      </c>
    </row>
    <row r="589" spans="1:19" s="366" customFormat="1" ht="11.25" customHeight="1" x14ac:dyDescent="0.2">
      <c r="A589" s="118">
        <v>2012</v>
      </c>
      <c r="B589" s="203" t="str">
        <f t="shared" ref="B589:J589" si="230">B207</f>
        <v>-</v>
      </c>
      <c r="C589" s="203">
        <f t="shared" si="230"/>
        <v>1090</v>
      </c>
      <c r="D589" s="203">
        <f t="shared" si="230"/>
        <v>4408</v>
      </c>
      <c r="E589" s="203">
        <f t="shared" si="230"/>
        <v>2578</v>
      </c>
      <c r="F589" s="203">
        <f t="shared" si="230"/>
        <v>998</v>
      </c>
      <c r="G589" s="203">
        <f t="shared" si="230"/>
        <v>5819</v>
      </c>
      <c r="H589" s="203">
        <f t="shared" si="230"/>
        <v>8550</v>
      </c>
      <c r="I589" s="203">
        <f t="shared" si="230"/>
        <v>3169</v>
      </c>
      <c r="J589" s="203" t="str">
        <f t="shared" si="230"/>
        <v>-</v>
      </c>
      <c r="K589" s="187" t="s">
        <v>29</v>
      </c>
      <c r="L589" s="203">
        <f t="shared" si="223"/>
        <v>26612</v>
      </c>
      <c r="M589" s="187"/>
      <c r="N589" s="203" t="str">
        <f t="shared" si="224"/>
        <v>-</v>
      </c>
      <c r="O589" s="203" t="str">
        <f t="shared" si="224"/>
        <v>-</v>
      </c>
      <c r="P589" s="203" t="str">
        <f t="shared" si="224"/>
        <v>-</v>
      </c>
      <c r="Q589" s="203" t="str">
        <f t="shared" si="224"/>
        <v>-</v>
      </c>
      <c r="R589" s="203" t="str">
        <f t="shared" si="224"/>
        <v>-</v>
      </c>
      <c r="S589" s="203" t="str">
        <f t="shared" si="224"/>
        <v>-</v>
      </c>
    </row>
    <row r="590" spans="1:19" s="366" customFormat="1" ht="11.25" customHeight="1" x14ac:dyDescent="0.2">
      <c r="A590" s="118">
        <v>2013</v>
      </c>
      <c r="B590" s="203" t="str">
        <f t="shared" ref="B590:J590" si="231">B208</f>
        <v>-</v>
      </c>
      <c r="C590" s="203">
        <f t="shared" si="231"/>
        <v>2186</v>
      </c>
      <c r="D590" s="203">
        <f t="shared" si="231"/>
        <v>3436</v>
      </c>
      <c r="E590" s="203">
        <f t="shared" si="231"/>
        <v>1740</v>
      </c>
      <c r="F590" s="203">
        <f t="shared" si="231"/>
        <v>1443</v>
      </c>
      <c r="G590" s="203">
        <f t="shared" si="231"/>
        <v>5569</v>
      </c>
      <c r="H590" s="203">
        <f t="shared" si="231"/>
        <v>865</v>
      </c>
      <c r="I590" s="203">
        <f t="shared" si="231"/>
        <v>461</v>
      </c>
      <c r="J590" s="203" t="str">
        <f t="shared" si="231"/>
        <v>-</v>
      </c>
      <c r="K590" s="187" t="s">
        <v>29</v>
      </c>
      <c r="L590" s="203">
        <f t="shared" si="223"/>
        <v>15700</v>
      </c>
      <c r="M590" s="187"/>
      <c r="N590" s="203" t="str">
        <f t="shared" si="224"/>
        <v>-</v>
      </c>
      <c r="O590" s="203" t="str">
        <f t="shared" si="224"/>
        <v>-</v>
      </c>
      <c r="P590" s="203" t="str">
        <f t="shared" si="224"/>
        <v>-</v>
      </c>
      <c r="Q590" s="203" t="str">
        <f t="shared" si="224"/>
        <v>-</v>
      </c>
      <c r="R590" s="203" t="str">
        <f t="shared" si="224"/>
        <v>-</v>
      </c>
      <c r="S590" s="203" t="str">
        <f t="shared" si="224"/>
        <v>-</v>
      </c>
    </row>
    <row r="591" spans="1:19" ht="11.25" customHeight="1" x14ac:dyDescent="0.2">
      <c r="A591" s="118">
        <v>2014</v>
      </c>
      <c r="B591" s="203" t="str">
        <f t="shared" ref="B591:J591" si="232">B209</f>
        <v>-</v>
      </c>
      <c r="C591" s="203">
        <f t="shared" si="232"/>
        <v>9078</v>
      </c>
      <c r="D591" s="203">
        <f t="shared" si="232"/>
        <v>18829</v>
      </c>
      <c r="E591" s="203">
        <f t="shared" si="232"/>
        <v>8108</v>
      </c>
      <c r="F591" s="203">
        <f t="shared" si="232"/>
        <v>6348</v>
      </c>
      <c r="G591" s="203">
        <f t="shared" si="232"/>
        <v>36167</v>
      </c>
      <c r="H591" s="203">
        <f t="shared" si="232"/>
        <v>3658</v>
      </c>
      <c r="I591" s="203">
        <f t="shared" si="232"/>
        <v>934</v>
      </c>
      <c r="J591" s="203" t="str">
        <f t="shared" si="232"/>
        <v>-</v>
      </c>
      <c r="K591" s="187" t="s">
        <v>29</v>
      </c>
      <c r="L591" s="203">
        <f t="shared" si="223"/>
        <v>83122</v>
      </c>
      <c r="M591" s="187"/>
      <c r="N591" s="203" t="str">
        <f t="shared" si="224"/>
        <v>-</v>
      </c>
      <c r="O591" s="203" t="str">
        <f t="shared" si="224"/>
        <v>-</v>
      </c>
      <c r="P591" s="203" t="str">
        <f t="shared" si="224"/>
        <v>-</v>
      </c>
      <c r="Q591" s="203">
        <f t="shared" si="224"/>
        <v>1222</v>
      </c>
      <c r="R591" s="203" t="str">
        <f t="shared" si="224"/>
        <v>-</v>
      </c>
      <c r="S591" s="203">
        <f t="shared" si="224"/>
        <v>1222</v>
      </c>
    </row>
    <row r="592" spans="1:19" s="366" customFormat="1" ht="11.25" customHeight="1" x14ac:dyDescent="0.2">
      <c r="A592" s="118">
        <v>2015</v>
      </c>
      <c r="B592" s="203" t="str">
        <f t="shared" ref="B592:J592" si="233">B210</f>
        <v>-</v>
      </c>
      <c r="C592" s="203">
        <f t="shared" si="233"/>
        <v>7286</v>
      </c>
      <c r="D592" s="203">
        <f t="shared" si="233"/>
        <v>2240</v>
      </c>
      <c r="E592" s="203">
        <f t="shared" si="233"/>
        <v>2503</v>
      </c>
      <c r="F592" s="203">
        <f t="shared" si="233"/>
        <v>18472</v>
      </c>
      <c r="G592" s="203">
        <f t="shared" si="233"/>
        <v>5544</v>
      </c>
      <c r="H592" s="203">
        <f t="shared" si="233"/>
        <v>813</v>
      </c>
      <c r="I592" s="203" t="str">
        <f t="shared" si="233"/>
        <v>-</v>
      </c>
      <c r="J592" s="203" t="str">
        <f t="shared" si="233"/>
        <v>-</v>
      </c>
      <c r="K592" s="187" t="s">
        <v>29</v>
      </c>
      <c r="L592" s="203">
        <f t="shared" si="223"/>
        <v>36858</v>
      </c>
      <c r="M592" s="187"/>
      <c r="N592" s="203" t="str">
        <f t="shared" si="224"/>
        <v>-</v>
      </c>
      <c r="O592" s="203" t="str">
        <f t="shared" si="224"/>
        <v>-</v>
      </c>
      <c r="P592" s="203" t="str">
        <f t="shared" si="224"/>
        <v>-</v>
      </c>
      <c r="Q592" s="203" t="str">
        <f t="shared" si="224"/>
        <v>-</v>
      </c>
      <c r="R592" s="203" t="str">
        <f t="shared" si="224"/>
        <v>-</v>
      </c>
      <c r="S592" s="203" t="str">
        <f t="shared" si="224"/>
        <v>-</v>
      </c>
    </row>
    <row r="593" spans="1:19" s="366" customFormat="1" ht="11.25" customHeight="1" x14ac:dyDescent="0.2">
      <c r="A593" s="118">
        <v>2016</v>
      </c>
      <c r="B593" s="203" t="str">
        <f t="shared" ref="B593:J593" si="234">B211</f>
        <v>-</v>
      </c>
      <c r="C593" s="203">
        <f t="shared" si="234"/>
        <v>5610</v>
      </c>
      <c r="D593" s="203">
        <f t="shared" si="234"/>
        <v>5044</v>
      </c>
      <c r="E593" s="203">
        <f t="shared" si="234"/>
        <v>1948</v>
      </c>
      <c r="F593" s="203">
        <f t="shared" si="234"/>
        <v>9188</v>
      </c>
      <c r="G593" s="203">
        <f t="shared" si="234"/>
        <v>8063</v>
      </c>
      <c r="H593" s="203">
        <f t="shared" si="234"/>
        <v>1426</v>
      </c>
      <c r="I593" s="203">
        <f t="shared" si="234"/>
        <v>2</v>
      </c>
      <c r="J593" s="203" t="str">
        <f t="shared" si="234"/>
        <v>-</v>
      </c>
      <c r="K593" s="187" t="s">
        <v>29</v>
      </c>
      <c r="L593" s="203">
        <f t="shared" si="223"/>
        <v>31281</v>
      </c>
      <c r="M593" s="187"/>
      <c r="N593" s="203" t="str">
        <f t="shared" si="224"/>
        <v>-</v>
      </c>
      <c r="O593" s="203" t="str">
        <f t="shared" si="224"/>
        <v>-</v>
      </c>
      <c r="P593" s="203" t="str">
        <f t="shared" si="224"/>
        <v>-</v>
      </c>
      <c r="Q593" s="203" t="str">
        <f t="shared" si="224"/>
        <v>-</v>
      </c>
      <c r="R593" s="203" t="str">
        <f t="shared" si="224"/>
        <v>-</v>
      </c>
      <c r="S593" s="203" t="str">
        <f t="shared" si="224"/>
        <v>-</v>
      </c>
    </row>
    <row r="594" spans="1:19" s="366" customFormat="1" ht="11.25" customHeight="1" x14ac:dyDescent="0.2">
      <c r="A594" s="118">
        <v>2017</v>
      </c>
      <c r="B594" s="203" t="str">
        <f t="shared" ref="B594:J594" si="235">B212</f>
        <v>-</v>
      </c>
      <c r="C594" s="203">
        <f t="shared" si="235"/>
        <v>547</v>
      </c>
      <c r="D594" s="203">
        <f t="shared" si="235"/>
        <v>904</v>
      </c>
      <c r="E594" s="203">
        <f t="shared" si="235"/>
        <v>2950</v>
      </c>
      <c r="F594" s="203">
        <f t="shared" si="235"/>
        <v>13002</v>
      </c>
      <c r="G594" s="203" t="str">
        <f t="shared" si="235"/>
        <v>-</v>
      </c>
      <c r="H594" s="203">
        <f t="shared" si="235"/>
        <v>25</v>
      </c>
      <c r="I594" s="203">
        <f t="shared" si="235"/>
        <v>10</v>
      </c>
      <c r="J594" s="203" t="str">
        <f t="shared" si="235"/>
        <v>-</v>
      </c>
      <c r="K594" s="187" t="s">
        <v>29</v>
      </c>
      <c r="L594" s="203">
        <f t="shared" si="223"/>
        <v>17438</v>
      </c>
      <c r="M594" s="187"/>
      <c r="N594" s="203" t="str">
        <f t="shared" si="224"/>
        <v>-</v>
      </c>
      <c r="O594" s="203" t="str">
        <f t="shared" si="224"/>
        <v>-</v>
      </c>
      <c r="P594" s="203" t="str">
        <f t="shared" si="224"/>
        <v>-</v>
      </c>
      <c r="Q594" s="203" t="str">
        <f t="shared" si="224"/>
        <v>-</v>
      </c>
      <c r="R594" s="203" t="str">
        <f t="shared" si="224"/>
        <v>-</v>
      </c>
      <c r="S594" s="203" t="str">
        <f t="shared" si="224"/>
        <v>-</v>
      </c>
    </row>
    <row r="595" spans="1:19" s="366" customFormat="1" ht="11.25" customHeight="1" x14ac:dyDescent="0.2">
      <c r="A595" s="118">
        <v>2018</v>
      </c>
      <c r="B595" s="203" t="str">
        <f t="shared" ref="B595:J595" si="236">B213</f>
        <v>-</v>
      </c>
      <c r="C595" s="203" t="str">
        <f t="shared" si="236"/>
        <v>-</v>
      </c>
      <c r="D595" s="203">
        <f t="shared" si="236"/>
        <v>491</v>
      </c>
      <c r="E595" s="203">
        <f t="shared" si="236"/>
        <v>709</v>
      </c>
      <c r="F595" s="203">
        <f t="shared" si="236"/>
        <v>2101</v>
      </c>
      <c r="G595" s="203">
        <f t="shared" si="236"/>
        <v>11031</v>
      </c>
      <c r="H595" s="203">
        <f t="shared" si="236"/>
        <v>151</v>
      </c>
      <c r="I595" s="203">
        <f t="shared" si="236"/>
        <v>4</v>
      </c>
      <c r="J595" s="203" t="str">
        <f t="shared" si="236"/>
        <v>-</v>
      </c>
      <c r="K595" s="187" t="s">
        <v>29</v>
      </c>
      <c r="L595" s="203">
        <f t="shared" si="223"/>
        <v>14487</v>
      </c>
      <c r="M595" s="187"/>
      <c r="N595" s="203" t="str">
        <f t="shared" si="224"/>
        <v>-</v>
      </c>
      <c r="O595" s="203" t="str">
        <f t="shared" si="224"/>
        <v>-</v>
      </c>
      <c r="P595" s="203" t="str">
        <f t="shared" si="224"/>
        <v>-</v>
      </c>
      <c r="Q595" s="203" t="str">
        <f t="shared" si="224"/>
        <v>-</v>
      </c>
      <c r="R595" s="203" t="str">
        <f t="shared" si="224"/>
        <v>-</v>
      </c>
      <c r="S595" s="203" t="str">
        <f t="shared" si="224"/>
        <v>-</v>
      </c>
    </row>
    <row r="596" spans="1:19" s="489" customFormat="1" ht="11.25" customHeight="1" x14ac:dyDescent="0.2">
      <c r="A596" s="118">
        <v>2019</v>
      </c>
      <c r="B596" s="203" t="str">
        <f t="shared" ref="B596:J597" si="237">B214</f>
        <v>-</v>
      </c>
      <c r="C596" s="203">
        <f t="shared" si="237"/>
        <v>68</v>
      </c>
      <c r="D596" s="203">
        <f t="shared" si="237"/>
        <v>351</v>
      </c>
      <c r="E596" s="203">
        <f t="shared" si="237"/>
        <v>2602</v>
      </c>
      <c r="F596" s="203">
        <f t="shared" si="237"/>
        <v>14763</v>
      </c>
      <c r="G596" s="203">
        <f t="shared" si="237"/>
        <v>4429</v>
      </c>
      <c r="H596" s="203">
        <f t="shared" si="237"/>
        <v>537</v>
      </c>
      <c r="I596" s="203">
        <f t="shared" si="237"/>
        <v>14</v>
      </c>
      <c r="J596" s="203" t="str">
        <f t="shared" si="237"/>
        <v>-</v>
      </c>
      <c r="K596" s="187" t="s">
        <v>29</v>
      </c>
      <c r="L596" s="203">
        <f t="shared" si="223"/>
        <v>22764</v>
      </c>
      <c r="M596" s="187"/>
      <c r="N596" s="203" t="str">
        <f t="shared" ref="N596:S597" si="238">N214</f>
        <v>-</v>
      </c>
      <c r="O596" s="203" t="str">
        <f t="shared" si="238"/>
        <v>-</v>
      </c>
      <c r="P596" s="203" t="str">
        <f t="shared" si="238"/>
        <v>-</v>
      </c>
      <c r="Q596" s="203" t="str">
        <f t="shared" si="238"/>
        <v>-</v>
      </c>
      <c r="R596" s="203" t="str">
        <f t="shared" si="238"/>
        <v>-</v>
      </c>
      <c r="S596" s="203" t="str">
        <f t="shared" si="238"/>
        <v>-</v>
      </c>
    </row>
    <row r="597" spans="1:19" ht="11.25" customHeight="1" x14ac:dyDescent="0.2">
      <c r="A597" s="118" t="s">
        <v>393</v>
      </c>
      <c r="B597" s="203" t="str">
        <f t="shared" si="237"/>
        <v>-</v>
      </c>
      <c r="C597" s="203">
        <f t="shared" si="237"/>
        <v>513</v>
      </c>
      <c r="D597" s="203">
        <f t="shared" si="237"/>
        <v>713</v>
      </c>
      <c r="E597" s="203">
        <f t="shared" si="237"/>
        <v>1765</v>
      </c>
      <c r="F597" s="203">
        <f t="shared" si="237"/>
        <v>3758</v>
      </c>
      <c r="G597" s="203">
        <f t="shared" si="237"/>
        <v>1661</v>
      </c>
      <c r="H597" s="203">
        <f t="shared" si="237"/>
        <v>414</v>
      </c>
      <c r="I597" s="203">
        <f t="shared" si="237"/>
        <v>16</v>
      </c>
      <c r="J597" s="203" t="str">
        <f t="shared" si="237"/>
        <v>-</v>
      </c>
      <c r="K597" s="187" t="s">
        <v>29</v>
      </c>
      <c r="L597" s="203">
        <f t="shared" si="223"/>
        <v>8840</v>
      </c>
      <c r="M597" s="187"/>
      <c r="N597" s="203" t="str">
        <f t="shared" si="238"/>
        <v>-</v>
      </c>
      <c r="O597" s="203" t="str">
        <f t="shared" si="238"/>
        <v>-</v>
      </c>
      <c r="P597" s="203" t="str">
        <f t="shared" si="238"/>
        <v>-</v>
      </c>
      <c r="Q597" s="203" t="str">
        <f t="shared" si="238"/>
        <v>-</v>
      </c>
      <c r="R597" s="203" t="str">
        <f t="shared" si="238"/>
        <v>-</v>
      </c>
      <c r="S597" s="203" t="str">
        <f t="shared" si="238"/>
        <v>-</v>
      </c>
    </row>
    <row r="598" spans="1:19" ht="11.25" customHeight="1" x14ac:dyDescent="0.2">
      <c r="A598" s="371"/>
      <c r="B598" s="200"/>
      <c r="C598" s="200"/>
      <c r="D598" s="200"/>
      <c r="E598" s="200"/>
      <c r="F598" s="200"/>
      <c r="G598" s="200"/>
      <c r="H598" s="200"/>
      <c r="I598" s="200"/>
      <c r="J598" s="200"/>
      <c r="K598" s="200"/>
      <c r="L598" s="200"/>
      <c r="N598" s="200"/>
      <c r="O598" s="200"/>
      <c r="P598" s="200"/>
      <c r="Q598" s="200"/>
      <c r="R598" s="200"/>
      <c r="S598" s="200"/>
    </row>
    <row r="599" spans="1:19" x14ac:dyDescent="0.2">
      <c r="A599" s="418" t="str">
        <f>A217</f>
        <v>Coos Bay</v>
      </c>
      <c r="B599" s="200"/>
      <c r="C599" s="200"/>
      <c r="D599" s="200"/>
      <c r="E599" s="200"/>
      <c r="F599" s="200"/>
      <c r="G599" s="200"/>
      <c r="H599" s="200"/>
      <c r="I599" s="200"/>
      <c r="J599" s="200"/>
      <c r="K599" s="200"/>
      <c r="L599" s="200"/>
      <c r="N599" s="200"/>
      <c r="O599" s="200"/>
      <c r="P599" s="200"/>
      <c r="Q599" s="200"/>
      <c r="R599" s="200"/>
      <c r="S599" s="200"/>
    </row>
    <row r="600" spans="1:19" ht="11.25" customHeight="1" x14ac:dyDescent="0.2">
      <c r="A600" s="371" t="s">
        <v>30</v>
      </c>
      <c r="B600" s="200" t="s">
        <v>29</v>
      </c>
      <c r="C600" s="200" t="s">
        <v>29</v>
      </c>
      <c r="D600" s="200">
        <f t="shared" ref="D600:L600" si="239">AVERAGE(D247:D251)</f>
        <v>5514.6</v>
      </c>
      <c r="E600" s="200">
        <f t="shared" si="239"/>
        <v>4301</v>
      </c>
      <c r="F600" s="200">
        <f t="shared" si="239"/>
        <v>29871.4</v>
      </c>
      <c r="G600" s="200">
        <f t="shared" si="239"/>
        <v>17260.2</v>
      </c>
      <c r="H600" s="200">
        <f t="shared" si="239"/>
        <v>5419</v>
      </c>
      <c r="I600" s="200">
        <f t="shared" si="239"/>
        <v>1129.4000000000001</v>
      </c>
      <c r="J600" s="200">
        <f t="shared" si="239"/>
        <v>11</v>
      </c>
      <c r="K600" s="200" t="s">
        <v>29</v>
      </c>
      <c r="L600" s="200">
        <f t="shared" si="239"/>
        <v>63506.6</v>
      </c>
      <c r="N600" s="189" t="s">
        <v>29</v>
      </c>
      <c r="O600" s="200">
        <f>AVERAGE(O247:O251)</f>
        <v>115958</v>
      </c>
      <c r="P600" s="200">
        <f>AVERAGE(P247:P251)</f>
        <v>31020.5</v>
      </c>
      <c r="Q600" s="200">
        <f>AVERAGE(Q247:Q251)</f>
        <v>5</v>
      </c>
      <c r="R600" s="189" t="s">
        <v>29</v>
      </c>
      <c r="S600" s="200">
        <f>AVERAGE(S247:S251)</f>
        <v>131469.5</v>
      </c>
    </row>
    <row r="601" spans="1:19" ht="11.25" customHeight="1" x14ac:dyDescent="0.2">
      <c r="A601" s="371" t="s">
        <v>87</v>
      </c>
      <c r="B601" s="200" t="s">
        <v>29</v>
      </c>
      <c r="C601" s="200" t="s">
        <v>29</v>
      </c>
      <c r="D601" s="200">
        <f t="shared" ref="D601:L601" si="240">AVERAGE(D252:D256)</f>
        <v>30467.200000000001</v>
      </c>
      <c r="E601" s="200">
        <f t="shared" si="240"/>
        <v>28161.8</v>
      </c>
      <c r="F601" s="200">
        <f t="shared" si="240"/>
        <v>103530.4</v>
      </c>
      <c r="G601" s="200">
        <f t="shared" si="240"/>
        <v>64284.4</v>
      </c>
      <c r="H601" s="200">
        <f t="shared" si="240"/>
        <v>18029</v>
      </c>
      <c r="I601" s="200">
        <f t="shared" si="240"/>
        <v>8518</v>
      </c>
      <c r="J601" s="200">
        <f t="shared" si="240"/>
        <v>2178</v>
      </c>
      <c r="K601" s="200" t="s">
        <v>29</v>
      </c>
      <c r="L601" s="200">
        <f t="shared" si="240"/>
        <v>253426.4</v>
      </c>
      <c r="N601" s="200">
        <f t="shared" ref="N601:S601" si="241">AVERAGE(N252:N256)</f>
        <v>21.666666666666668</v>
      </c>
      <c r="O601" s="200">
        <f t="shared" si="241"/>
        <v>103641.4</v>
      </c>
      <c r="P601" s="200">
        <f t="shared" si="241"/>
        <v>44708.333333333336</v>
      </c>
      <c r="Q601" s="200">
        <f t="shared" si="241"/>
        <v>10213</v>
      </c>
      <c r="R601" s="189" t="s">
        <v>29</v>
      </c>
      <c r="S601" s="200">
        <f t="shared" si="241"/>
        <v>132522</v>
      </c>
    </row>
    <row r="602" spans="1:19" ht="11.25" customHeight="1" x14ac:dyDescent="0.2">
      <c r="A602" s="371" t="s">
        <v>14</v>
      </c>
      <c r="B602" s="200" t="s">
        <v>29</v>
      </c>
      <c r="C602" s="200" t="s">
        <v>29</v>
      </c>
      <c r="D602" s="200">
        <f>AVERAGE(D257:D261)</f>
        <v>1101.8</v>
      </c>
      <c r="E602" s="200">
        <f t="shared" ref="E602:J602" si="242">AVERAGE(E257:E261)</f>
        <v>3642.25</v>
      </c>
      <c r="F602" s="200">
        <f t="shared" si="242"/>
        <v>3908</v>
      </c>
      <c r="G602" s="200">
        <f t="shared" si="242"/>
        <v>4543.75</v>
      </c>
      <c r="H602" s="200">
        <f t="shared" si="242"/>
        <v>3587.4</v>
      </c>
      <c r="I602" s="200">
        <f t="shared" si="242"/>
        <v>1700.6</v>
      </c>
      <c r="J602" s="200">
        <f t="shared" si="242"/>
        <v>451</v>
      </c>
      <c r="K602" s="200" t="s">
        <v>29</v>
      </c>
      <c r="L602" s="200">
        <f>AVERAGE(L257:L261)</f>
        <v>15554</v>
      </c>
      <c r="N602" s="200">
        <f>AVERAGE(N257:N261)</f>
        <v>33031</v>
      </c>
      <c r="O602" s="200">
        <f>AVERAGE(O257:O261)</f>
        <v>35840.5</v>
      </c>
      <c r="P602" s="200">
        <f>AVERAGE(P257:P261)</f>
        <v>1068.5</v>
      </c>
      <c r="Q602" s="189" t="s">
        <v>29</v>
      </c>
      <c r="R602" s="189" t="s">
        <v>29</v>
      </c>
      <c r="S602" s="200">
        <f>AVERAGE(S257:S261)</f>
        <v>35624.666666666664</v>
      </c>
    </row>
    <row r="603" spans="1:19" ht="11.25" customHeight="1" x14ac:dyDescent="0.2">
      <c r="A603" s="371" t="s">
        <v>207</v>
      </c>
      <c r="B603" s="200" t="s">
        <v>29</v>
      </c>
      <c r="C603" s="200" t="s">
        <v>29</v>
      </c>
      <c r="D603" s="200">
        <f>AVERAGE(D262:D266)</f>
        <v>3377</v>
      </c>
      <c r="E603" s="200">
        <f t="shared" ref="E603:J603" si="243">AVERAGE(E262:E266)</f>
        <v>8994</v>
      </c>
      <c r="F603" s="200">
        <f t="shared" si="243"/>
        <v>9723.5</v>
      </c>
      <c r="G603" s="200">
        <f t="shared" si="243"/>
        <v>11353.4</v>
      </c>
      <c r="H603" s="200">
        <f t="shared" si="243"/>
        <v>4217.6000000000004</v>
      </c>
      <c r="I603" s="200">
        <f t="shared" si="243"/>
        <v>1930.2</v>
      </c>
      <c r="J603" s="200">
        <f t="shared" si="243"/>
        <v>981.2</v>
      </c>
      <c r="K603" s="200" t="s">
        <v>29</v>
      </c>
      <c r="L603" s="200">
        <f>AVERAGE(L262:L266)</f>
        <v>36042.400000000001</v>
      </c>
      <c r="N603" s="200">
        <f>AVERAGE(N262:N266)</f>
        <v>8</v>
      </c>
      <c r="O603" s="200" t="s">
        <v>29</v>
      </c>
      <c r="P603" s="200" t="s">
        <v>29</v>
      </c>
      <c r="Q603" s="189" t="s">
        <v>29</v>
      </c>
      <c r="R603" s="189" t="s">
        <v>29</v>
      </c>
      <c r="S603" s="200">
        <f>AVERAGE(S262:S266)</f>
        <v>8</v>
      </c>
    </row>
    <row r="604" spans="1:19" ht="11.25" customHeight="1" x14ac:dyDescent="0.2">
      <c r="A604" s="118" t="s">
        <v>238</v>
      </c>
      <c r="B604" s="200">
        <f>AVERAGE(B267:B271)</f>
        <v>7479.25</v>
      </c>
      <c r="C604" s="200">
        <f>AVERAGE(C267:C271)</f>
        <v>17217.400000000001</v>
      </c>
      <c r="D604" s="200">
        <f>AVERAGE(D267:D271)</f>
        <v>21668.6</v>
      </c>
      <c r="E604" s="200">
        <f t="shared" ref="E604:L604" si="244">AVERAGE(E267:E271)</f>
        <v>20216.5</v>
      </c>
      <c r="F604" s="200">
        <f t="shared" si="244"/>
        <v>7753</v>
      </c>
      <c r="G604" s="200">
        <f t="shared" si="244"/>
        <v>26693</v>
      </c>
      <c r="H604" s="200">
        <f t="shared" si="244"/>
        <v>18998.400000000001</v>
      </c>
      <c r="I604" s="200">
        <f t="shared" si="244"/>
        <v>8507.2000000000007</v>
      </c>
      <c r="J604" s="200">
        <f t="shared" si="244"/>
        <v>1275.8</v>
      </c>
      <c r="K604" s="200">
        <f t="shared" si="244"/>
        <v>148</v>
      </c>
      <c r="L604" s="200">
        <f t="shared" si="244"/>
        <v>117528.8</v>
      </c>
      <c r="N604" s="200" t="str">
        <f t="shared" ref="N604:S604" si="245">N267</f>
        <v>-</v>
      </c>
      <c r="O604" s="200" t="str">
        <f t="shared" si="245"/>
        <v>-</v>
      </c>
      <c r="P604" s="200" t="str">
        <f t="shared" si="245"/>
        <v>-</v>
      </c>
      <c r="Q604" s="200" t="str">
        <f t="shared" si="245"/>
        <v>-</v>
      </c>
      <c r="R604" s="200" t="str">
        <f t="shared" si="245"/>
        <v>-</v>
      </c>
      <c r="S604" s="200" t="str">
        <f t="shared" si="245"/>
        <v>-</v>
      </c>
    </row>
    <row r="605" spans="1:19" ht="11.25" customHeight="1" x14ac:dyDescent="0.2">
      <c r="A605" s="118">
        <v>2006</v>
      </c>
      <c r="B605" s="200" t="str">
        <f t="shared" ref="B605:L605" si="246">B272</f>
        <v>-</v>
      </c>
      <c r="C605" s="200" t="str">
        <f t="shared" si="246"/>
        <v>-</v>
      </c>
      <c r="D605" s="200" t="str">
        <f t="shared" si="246"/>
        <v>-</v>
      </c>
      <c r="E605" s="200" t="str">
        <f t="shared" si="246"/>
        <v>-</v>
      </c>
      <c r="F605" s="200" t="str">
        <f t="shared" si="246"/>
        <v>-</v>
      </c>
      <c r="G605" s="200" t="str">
        <f t="shared" si="246"/>
        <v>-</v>
      </c>
      <c r="H605" s="200">
        <f t="shared" si="246"/>
        <v>65</v>
      </c>
      <c r="I605" s="200">
        <f t="shared" si="246"/>
        <v>962</v>
      </c>
      <c r="J605" s="200">
        <f t="shared" si="246"/>
        <v>821</v>
      </c>
      <c r="K605" s="200">
        <f t="shared" si="246"/>
        <v>131</v>
      </c>
      <c r="L605" s="200">
        <f t="shared" si="246"/>
        <v>1979</v>
      </c>
      <c r="N605" s="200" t="str">
        <f t="shared" ref="N605:S617" si="247">N272</f>
        <v>-</v>
      </c>
      <c r="O605" s="200" t="str">
        <f t="shared" si="247"/>
        <v>-</v>
      </c>
      <c r="P605" s="200" t="str">
        <f t="shared" si="247"/>
        <v>-</v>
      </c>
      <c r="Q605" s="200" t="str">
        <f t="shared" si="247"/>
        <v>-</v>
      </c>
      <c r="R605" s="200" t="str">
        <f t="shared" si="247"/>
        <v>-</v>
      </c>
      <c r="S605" s="200" t="str">
        <f t="shared" si="247"/>
        <v>-</v>
      </c>
    </row>
    <row r="606" spans="1:19" s="366" customFormat="1" ht="11.25" customHeight="1" x14ac:dyDescent="0.2">
      <c r="A606" s="118">
        <v>2007</v>
      </c>
      <c r="B606" s="203" t="str">
        <f t="shared" ref="B606:L606" si="248">B273</f>
        <v>-</v>
      </c>
      <c r="C606" s="203">
        <f t="shared" si="248"/>
        <v>1563</v>
      </c>
      <c r="D606" s="203">
        <f t="shared" si="248"/>
        <v>3018</v>
      </c>
      <c r="E606" s="203">
        <f t="shared" si="248"/>
        <v>2114</v>
      </c>
      <c r="F606" s="203">
        <f t="shared" si="248"/>
        <v>1430</v>
      </c>
      <c r="G606" s="203">
        <f t="shared" si="248"/>
        <v>11963</v>
      </c>
      <c r="H606" s="203">
        <f t="shared" si="248"/>
        <v>489</v>
      </c>
      <c r="I606" s="203">
        <f t="shared" si="248"/>
        <v>504</v>
      </c>
      <c r="J606" s="203">
        <f t="shared" si="248"/>
        <v>621</v>
      </c>
      <c r="K606" s="203">
        <f t="shared" si="248"/>
        <v>3</v>
      </c>
      <c r="L606" s="203">
        <f t="shared" si="248"/>
        <v>21705</v>
      </c>
      <c r="M606" s="187"/>
      <c r="N606" s="203" t="str">
        <f t="shared" si="247"/>
        <v>-</v>
      </c>
      <c r="O606" s="203" t="str">
        <f t="shared" si="247"/>
        <v>-</v>
      </c>
      <c r="P606" s="203">
        <f t="shared" si="247"/>
        <v>2234</v>
      </c>
      <c r="Q606" s="203">
        <f t="shared" si="247"/>
        <v>159</v>
      </c>
      <c r="R606" s="203" t="str">
        <f t="shared" si="247"/>
        <v>-</v>
      </c>
      <c r="S606" s="203">
        <f t="shared" si="247"/>
        <v>2393</v>
      </c>
    </row>
    <row r="607" spans="1:19" s="366" customFormat="1" ht="11.25" customHeight="1" x14ac:dyDescent="0.2">
      <c r="A607" s="118">
        <v>2008</v>
      </c>
      <c r="B607" s="203" t="str">
        <f t="shared" ref="B607:L607" si="249">B274</f>
        <v>-</v>
      </c>
      <c r="C607" s="203" t="str">
        <f t="shared" si="249"/>
        <v>-</v>
      </c>
      <c r="D607" s="203" t="str">
        <f t="shared" si="249"/>
        <v>-</v>
      </c>
      <c r="E607" s="203" t="str">
        <f t="shared" si="249"/>
        <v>-</v>
      </c>
      <c r="F607" s="203" t="str">
        <f t="shared" si="249"/>
        <v>-</v>
      </c>
      <c r="G607" s="203" t="str">
        <f t="shared" si="249"/>
        <v>-</v>
      </c>
      <c r="H607" s="203" t="str">
        <f t="shared" si="249"/>
        <v>-</v>
      </c>
      <c r="I607" s="203" t="str">
        <f t="shared" si="249"/>
        <v>-</v>
      </c>
      <c r="J607" s="203">
        <f t="shared" si="249"/>
        <v>208</v>
      </c>
      <c r="K607" s="203" t="str">
        <f t="shared" si="249"/>
        <v>-</v>
      </c>
      <c r="L607" s="203">
        <f t="shared" si="249"/>
        <v>208</v>
      </c>
      <c r="M607" s="187"/>
      <c r="N607" s="203" t="str">
        <f t="shared" si="247"/>
        <v>-</v>
      </c>
      <c r="O607" s="203" t="str">
        <f t="shared" si="247"/>
        <v>-</v>
      </c>
      <c r="P607" s="203" t="str">
        <f t="shared" si="247"/>
        <v>-</v>
      </c>
      <c r="Q607" s="203" t="str">
        <f t="shared" si="247"/>
        <v>-</v>
      </c>
      <c r="R607" s="203" t="str">
        <f t="shared" si="247"/>
        <v>-</v>
      </c>
      <c r="S607" s="203" t="str">
        <f t="shared" si="247"/>
        <v>-</v>
      </c>
    </row>
    <row r="608" spans="1:19" s="366" customFormat="1" ht="11.25" customHeight="1" x14ac:dyDescent="0.2">
      <c r="A608" s="118">
        <v>2009</v>
      </c>
      <c r="B608" s="203" t="str">
        <f t="shared" ref="B608:L608" si="250">B275</f>
        <v>-</v>
      </c>
      <c r="C608" s="203" t="str">
        <f t="shared" si="250"/>
        <v>-</v>
      </c>
      <c r="D608" s="203" t="str">
        <f t="shared" si="250"/>
        <v>-</v>
      </c>
      <c r="E608" s="203" t="str">
        <f t="shared" si="250"/>
        <v>-</v>
      </c>
      <c r="F608" s="203" t="str">
        <f t="shared" si="250"/>
        <v>-</v>
      </c>
      <c r="G608" s="203" t="str">
        <f t="shared" si="250"/>
        <v>-</v>
      </c>
      <c r="H608" s="203" t="str">
        <f t="shared" si="250"/>
        <v>-</v>
      </c>
      <c r="I608" s="203">
        <f t="shared" si="250"/>
        <v>293</v>
      </c>
      <c r="J608" s="203" t="str">
        <f t="shared" si="250"/>
        <v>-</v>
      </c>
      <c r="K608" s="203" t="str">
        <f t="shared" si="250"/>
        <v>-</v>
      </c>
      <c r="L608" s="203">
        <f t="shared" si="250"/>
        <v>293</v>
      </c>
      <c r="M608" s="187"/>
      <c r="N608" s="203" t="str">
        <f t="shared" si="247"/>
        <v>-</v>
      </c>
      <c r="O608" s="203" t="str">
        <f t="shared" si="247"/>
        <v>-</v>
      </c>
      <c r="P608" s="203" t="str">
        <f t="shared" si="247"/>
        <v>-</v>
      </c>
      <c r="Q608" s="203">
        <f t="shared" si="247"/>
        <v>683</v>
      </c>
      <c r="R608" s="203" t="str">
        <f t="shared" si="247"/>
        <v>-</v>
      </c>
      <c r="S608" s="203">
        <f t="shared" si="247"/>
        <v>683</v>
      </c>
    </row>
    <row r="609" spans="1:19" s="366" customFormat="1" ht="11.25" customHeight="1" x14ac:dyDescent="0.2">
      <c r="A609" s="118">
        <v>2010</v>
      </c>
      <c r="B609" s="203" t="str">
        <f t="shared" ref="B609:L609" si="251">B276</f>
        <v>-</v>
      </c>
      <c r="C609" s="203" t="str">
        <f t="shared" si="251"/>
        <v>-</v>
      </c>
      <c r="D609" s="203">
        <f t="shared" si="251"/>
        <v>4961</v>
      </c>
      <c r="E609" s="203">
        <f t="shared" si="251"/>
        <v>2987</v>
      </c>
      <c r="F609" s="203">
        <f t="shared" si="251"/>
        <v>840</v>
      </c>
      <c r="G609" s="203">
        <f t="shared" si="251"/>
        <v>1316</v>
      </c>
      <c r="H609" s="203" t="str">
        <f t="shared" si="251"/>
        <v>-</v>
      </c>
      <c r="I609" s="203">
        <f t="shared" si="251"/>
        <v>1315</v>
      </c>
      <c r="J609" s="203" t="str">
        <f t="shared" si="251"/>
        <v>-</v>
      </c>
      <c r="K609" s="203" t="str">
        <f t="shared" si="251"/>
        <v>-</v>
      </c>
      <c r="L609" s="203">
        <f t="shared" si="251"/>
        <v>11419</v>
      </c>
      <c r="M609" s="187"/>
      <c r="N609" s="203" t="str">
        <f t="shared" si="247"/>
        <v>-</v>
      </c>
      <c r="O609" s="203" t="str">
        <f t="shared" si="247"/>
        <v>-</v>
      </c>
      <c r="P609" s="203" t="str">
        <f t="shared" si="247"/>
        <v>-</v>
      </c>
      <c r="Q609" s="203" t="str">
        <f t="shared" si="247"/>
        <v>-</v>
      </c>
      <c r="R609" s="203" t="str">
        <f t="shared" si="247"/>
        <v>-</v>
      </c>
      <c r="S609" s="203" t="str">
        <f t="shared" si="247"/>
        <v>-</v>
      </c>
    </row>
    <row r="610" spans="1:19" s="366" customFormat="1" ht="11.25" customHeight="1" x14ac:dyDescent="0.2">
      <c r="A610" s="118">
        <v>2011</v>
      </c>
      <c r="B610" s="203" t="str">
        <f t="shared" ref="B610:L610" si="252">B277</f>
        <v>-</v>
      </c>
      <c r="C610" s="203">
        <f t="shared" si="252"/>
        <v>4102</v>
      </c>
      <c r="D610" s="203">
        <f t="shared" si="252"/>
        <v>5414</v>
      </c>
      <c r="E610" s="203">
        <f t="shared" si="252"/>
        <v>8309</v>
      </c>
      <c r="F610" s="203">
        <f t="shared" si="252"/>
        <v>333</v>
      </c>
      <c r="G610" s="203">
        <f t="shared" si="252"/>
        <v>399</v>
      </c>
      <c r="H610" s="203">
        <f t="shared" si="252"/>
        <v>223</v>
      </c>
      <c r="I610" s="203">
        <f t="shared" si="252"/>
        <v>1058</v>
      </c>
      <c r="J610" s="203">
        <f t="shared" si="252"/>
        <v>1995</v>
      </c>
      <c r="K610" s="203" t="str">
        <f t="shared" si="252"/>
        <v>-</v>
      </c>
      <c r="L610" s="203">
        <f t="shared" si="252"/>
        <v>21833</v>
      </c>
      <c r="M610" s="187"/>
      <c r="N610" s="203" t="str">
        <f t="shared" si="247"/>
        <v>-</v>
      </c>
      <c r="O610" s="203" t="str">
        <f t="shared" si="247"/>
        <v>-</v>
      </c>
      <c r="P610" s="203" t="str">
        <f t="shared" si="247"/>
        <v>-</v>
      </c>
      <c r="Q610" s="203" t="str">
        <f t="shared" si="247"/>
        <v>-</v>
      </c>
      <c r="R610" s="203" t="str">
        <f t="shared" si="247"/>
        <v>-</v>
      </c>
      <c r="S610" s="203" t="str">
        <f t="shared" si="247"/>
        <v>-</v>
      </c>
    </row>
    <row r="611" spans="1:19" s="366" customFormat="1" ht="11.25" customHeight="1" x14ac:dyDescent="0.2">
      <c r="A611" s="118">
        <v>2012</v>
      </c>
      <c r="B611" s="203" t="str">
        <f t="shared" ref="B611:L611" si="253">B278</f>
        <v>-</v>
      </c>
      <c r="C611" s="203">
        <f t="shared" si="253"/>
        <v>2103</v>
      </c>
      <c r="D611" s="203">
        <f t="shared" si="253"/>
        <v>8633</v>
      </c>
      <c r="E611" s="203">
        <f t="shared" si="253"/>
        <v>4338</v>
      </c>
      <c r="F611" s="203">
        <f t="shared" si="253"/>
        <v>609</v>
      </c>
      <c r="G611" s="203">
        <f t="shared" si="253"/>
        <v>2897</v>
      </c>
      <c r="H611" s="203">
        <f t="shared" si="253"/>
        <v>3981</v>
      </c>
      <c r="I611" s="203">
        <f t="shared" si="253"/>
        <v>1942</v>
      </c>
      <c r="J611" s="203">
        <f t="shared" si="253"/>
        <v>701</v>
      </c>
      <c r="K611" s="203" t="str">
        <f t="shared" si="253"/>
        <v>-</v>
      </c>
      <c r="L611" s="203">
        <f t="shared" si="253"/>
        <v>25204</v>
      </c>
      <c r="M611" s="187"/>
      <c r="N611" s="203" t="str">
        <f t="shared" si="247"/>
        <v>-</v>
      </c>
      <c r="O611" s="203" t="str">
        <f t="shared" si="247"/>
        <v>-</v>
      </c>
      <c r="P611" s="203" t="str">
        <f t="shared" si="247"/>
        <v>-</v>
      </c>
      <c r="Q611" s="203" t="str">
        <f t="shared" si="247"/>
        <v>-</v>
      </c>
      <c r="R611" s="203" t="str">
        <f t="shared" si="247"/>
        <v>-</v>
      </c>
      <c r="S611" s="203" t="str">
        <f t="shared" si="247"/>
        <v>-</v>
      </c>
    </row>
    <row r="612" spans="1:19" s="366" customFormat="1" ht="11.25" customHeight="1" x14ac:dyDescent="0.2">
      <c r="A612" s="118">
        <v>2013</v>
      </c>
      <c r="B612" s="203" t="str">
        <f t="shared" ref="B612:L612" si="254">B279</f>
        <v>-</v>
      </c>
      <c r="C612" s="203">
        <f t="shared" si="254"/>
        <v>3796</v>
      </c>
      <c r="D612" s="203">
        <f t="shared" si="254"/>
        <v>5308</v>
      </c>
      <c r="E612" s="203">
        <f t="shared" si="254"/>
        <v>4103</v>
      </c>
      <c r="F612" s="203">
        <f t="shared" si="254"/>
        <v>3508</v>
      </c>
      <c r="G612" s="203">
        <f t="shared" si="254"/>
        <v>30097</v>
      </c>
      <c r="H612" s="203">
        <f t="shared" si="254"/>
        <v>23925</v>
      </c>
      <c r="I612" s="203">
        <f t="shared" si="254"/>
        <v>7677</v>
      </c>
      <c r="J612" s="203">
        <f t="shared" si="254"/>
        <v>1002</v>
      </c>
      <c r="K612" s="203" t="str">
        <f t="shared" si="254"/>
        <v>-</v>
      </c>
      <c r="L612" s="203">
        <f t="shared" si="254"/>
        <v>79416</v>
      </c>
      <c r="M612" s="187"/>
      <c r="N612" s="203" t="str">
        <f t="shared" si="247"/>
        <v>-</v>
      </c>
      <c r="O612" s="203" t="str">
        <f t="shared" si="247"/>
        <v>-</v>
      </c>
      <c r="P612" s="203" t="str">
        <f t="shared" si="247"/>
        <v>-</v>
      </c>
      <c r="Q612" s="203" t="str">
        <f t="shared" si="247"/>
        <v>-</v>
      </c>
      <c r="R612" s="203" t="str">
        <f t="shared" si="247"/>
        <v>-</v>
      </c>
      <c r="S612" s="203" t="str">
        <f t="shared" si="247"/>
        <v>-</v>
      </c>
    </row>
    <row r="613" spans="1:19" ht="11.25" customHeight="1" x14ac:dyDescent="0.2">
      <c r="A613" s="118">
        <v>2014</v>
      </c>
      <c r="B613" s="203" t="str">
        <f t="shared" ref="B613:L613" si="255">B280</f>
        <v>-</v>
      </c>
      <c r="C613" s="203">
        <f t="shared" si="255"/>
        <v>6403</v>
      </c>
      <c r="D613" s="203">
        <f t="shared" si="255"/>
        <v>15427</v>
      </c>
      <c r="E613" s="203">
        <f t="shared" si="255"/>
        <v>17812</v>
      </c>
      <c r="F613" s="203">
        <f t="shared" si="255"/>
        <v>11385</v>
      </c>
      <c r="G613" s="203">
        <f t="shared" si="255"/>
        <v>30187</v>
      </c>
      <c r="H613" s="203">
        <f t="shared" si="255"/>
        <v>2838</v>
      </c>
      <c r="I613" s="203">
        <f t="shared" si="255"/>
        <v>1116</v>
      </c>
      <c r="J613" s="203">
        <f t="shared" si="255"/>
        <v>469</v>
      </c>
      <c r="K613" s="203" t="str">
        <f t="shared" si="255"/>
        <v>-</v>
      </c>
      <c r="L613" s="203">
        <f t="shared" si="255"/>
        <v>85637</v>
      </c>
      <c r="M613" s="187"/>
      <c r="N613" s="203" t="str">
        <f t="shared" si="247"/>
        <v>-</v>
      </c>
      <c r="O613" s="203" t="str">
        <f t="shared" si="247"/>
        <v>-</v>
      </c>
      <c r="P613" s="203" t="str">
        <f t="shared" si="247"/>
        <v>-</v>
      </c>
      <c r="Q613" s="203">
        <f t="shared" si="247"/>
        <v>970</v>
      </c>
      <c r="R613" s="203" t="str">
        <f t="shared" si="247"/>
        <v>-</v>
      </c>
      <c r="S613" s="203">
        <f t="shared" si="247"/>
        <v>970</v>
      </c>
    </row>
    <row r="614" spans="1:19" s="366" customFormat="1" ht="11.25" customHeight="1" x14ac:dyDescent="0.2">
      <c r="A614" s="118">
        <v>2015</v>
      </c>
      <c r="B614" s="203" t="str">
        <f t="shared" ref="B614:L614" si="256">B281</f>
        <v>-</v>
      </c>
      <c r="C614" s="203">
        <f t="shared" si="256"/>
        <v>8890</v>
      </c>
      <c r="D614" s="203">
        <f t="shared" si="256"/>
        <v>6786</v>
      </c>
      <c r="E614" s="203">
        <f t="shared" si="256"/>
        <v>14182</v>
      </c>
      <c r="F614" s="203">
        <f t="shared" si="256"/>
        <v>8682</v>
      </c>
      <c r="G614" s="203">
        <f t="shared" si="256"/>
        <v>1727</v>
      </c>
      <c r="H614" s="203">
        <f t="shared" si="256"/>
        <v>386</v>
      </c>
      <c r="I614" s="203">
        <f t="shared" si="256"/>
        <v>1635</v>
      </c>
      <c r="J614" s="203">
        <f t="shared" si="256"/>
        <v>1163</v>
      </c>
      <c r="K614" s="203" t="str">
        <f t="shared" si="256"/>
        <v>-</v>
      </c>
      <c r="L614" s="203">
        <f t="shared" si="256"/>
        <v>43451</v>
      </c>
      <c r="M614" s="187"/>
      <c r="N614" s="203" t="str">
        <f t="shared" si="247"/>
        <v>-</v>
      </c>
      <c r="O614" s="203" t="str">
        <f t="shared" si="247"/>
        <v>-</v>
      </c>
      <c r="P614" s="203" t="str">
        <f t="shared" si="247"/>
        <v>-</v>
      </c>
      <c r="Q614" s="203" t="str">
        <f t="shared" si="247"/>
        <v>-</v>
      </c>
      <c r="R614" s="203" t="str">
        <f t="shared" si="247"/>
        <v>-</v>
      </c>
      <c r="S614" s="203" t="str">
        <f t="shared" si="247"/>
        <v>-</v>
      </c>
    </row>
    <row r="615" spans="1:19" s="366" customFormat="1" ht="11.25" customHeight="1" x14ac:dyDescent="0.2">
      <c r="A615" s="118">
        <v>2016</v>
      </c>
      <c r="B615" s="203" t="str">
        <f t="shared" ref="B615:L615" si="257">B282</f>
        <v>-</v>
      </c>
      <c r="C615" s="203">
        <f t="shared" si="257"/>
        <v>808</v>
      </c>
      <c r="D615" s="203">
        <f t="shared" si="257"/>
        <v>760</v>
      </c>
      <c r="E615" s="203">
        <f t="shared" si="257"/>
        <v>2273</v>
      </c>
      <c r="F615" s="203">
        <f t="shared" si="257"/>
        <v>2039</v>
      </c>
      <c r="G615" s="203">
        <f t="shared" si="257"/>
        <v>541</v>
      </c>
      <c r="H615" s="203">
        <f t="shared" si="257"/>
        <v>251</v>
      </c>
      <c r="I615" s="203">
        <f t="shared" si="257"/>
        <v>689</v>
      </c>
      <c r="J615" s="203">
        <f t="shared" si="257"/>
        <v>182</v>
      </c>
      <c r="K615" s="203" t="str">
        <f t="shared" si="257"/>
        <v>-</v>
      </c>
      <c r="L615" s="203">
        <f t="shared" si="257"/>
        <v>7543</v>
      </c>
      <c r="M615" s="187"/>
      <c r="N615" s="203" t="str">
        <f t="shared" si="247"/>
        <v>-</v>
      </c>
      <c r="O615" s="203" t="str">
        <f t="shared" si="247"/>
        <v>-</v>
      </c>
      <c r="P615" s="203" t="str">
        <f t="shared" si="247"/>
        <v>-</v>
      </c>
      <c r="Q615" s="203" t="str">
        <f t="shared" si="247"/>
        <v>-</v>
      </c>
      <c r="R615" s="203" t="str">
        <f t="shared" si="247"/>
        <v>-</v>
      </c>
      <c r="S615" s="203" t="str">
        <f t="shared" si="247"/>
        <v>-</v>
      </c>
    </row>
    <row r="616" spans="1:19" s="366" customFormat="1" ht="11.25" customHeight="1" x14ac:dyDescent="0.2">
      <c r="A616" s="118">
        <v>2017</v>
      </c>
      <c r="B616" s="203" t="str">
        <f t="shared" ref="B616:L616" si="258">B283</f>
        <v>-</v>
      </c>
      <c r="C616" s="203" t="str">
        <f t="shared" si="258"/>
        <v>-</v>
      </c>
      <c r="D616" s="203" t="str">
        <f t="shared" si="258"/>
        <v>-</v>
      </c>
      <c r="E616" s="203" t="str">
        <f t="shared" si="258"/>
        <v>-</v>
      </c>
      <c r="F616" s="203" t="str">
        <f t="shared" si="258"/>
        <v>-</v>
      </c>
      <c r="G616" s="203" t="str">
        <f t="shared" si="258"/>
        <v>-</v>
      </c>
      <c r="H616" s="203" t="str">
        <f t="shared" si="258"/>
        <v>-</v>
      </c>
      <c r="I616" s="203">
        <f t="shared" si="258"/>
        <v>638</v>
      </c>
      <c r="J616" s="203">
        <f t="shared" si="258"/>
        <v>96</v>
      </c>
      <c r="K616" s="203" t="str">
        <f t="shared" si="258"/>
        <v>-</v>
      </c>
      <c r="L616" s="203">
        <f t="shared" si="258"/>
        <v>734</v>
      </c>
      <c r="M616" s="187"/>
      <c r="N616" s="203" t="str">
        <f t="shared" si="247"/>
        <v>-</v>
      </c>
      <c r="O616" s="203" t="str">
        <f t="shared" si="247"/>
        <v>-</v>
      </c>
      <c r="P616" s="203" t="str">
        <f t="shared" si="247"/>
        <v>-</v>
      </c>
      <c r="Q616" s="203" t="str">
        <f t="shared" si="247"/>
        <v>-</v>
      </c>
      <c r="R616" s="203" t="str">
        <f t="shared" si="247"/>
        <v>-</v>
      </c>
      <c r="S616" s="203" t="str">
        <f t="shared" si="247"/>
        <v>-</v>
      </c>
    </row>
    <row r="617" spans="1:19" s="366" customFormat="1" ht="11.25" customHeight="1" x14ac:dyDescent="0.2">
      <c r="A617" s="118">
        <v>2018</v>
      </c>
      <c r="B617" s="203" t="str">
        <f t="shared" ref="B617:L617" si="259">B284</f>
        <v>-</v>
      </c>
      <c r="C617" s="203" t="str">
        <f t="shared" si="259"/>
        <v>-</v>
      </c>
      <c r="D617" s="203">
        <f t="shared" si="259"/>
        <v>300</v>
      </c>
      <c r="E617" s="203">
        <f t="shared" si="259"/>
        <v>2001</v>
      </c>
      <c r="F617" s="203">
        <f t="shared" si="259"/>
        <v>810</v>
      </c>
      <c r="G617" s="203">
        <f t="shared" si="259"/>
        <v>1215</v>
      </c>
      <c r="H617" s="203">
        <f t="shared" si="259"/>
        <v>48</v>
      </c>
      <c r="I617" s="203">
        <f t="shared" si="259"/>
        <v>472</v>
      </c>
      <c r="J617" s="203">
        <f t="shared" si="259"/>
        <v>431</v>
      </c>
      <c r="K617" s="203" t="str">
        <f t="shared" si="259"/>
        <v>-</v>
      </c>
      <c r="L617" s="203">
        <f t="shared" si="259"/>
        <v>5277</v>
      </c>
      <c r="M617" s="187"/>
      <c r="N617" s="203" t="str">
        <f t="shared" si="247"/>
        <v>-</v>
      </c>
      <c r="O617" s="203" t="str">
        <f t="shared" si="247"/>
        <v>-</v>
      </c>
      <c r="P617" s="203" t="str">
        <f t="shared" si="247"/>
        <v>-</v>
      </c>
      <c r="Q617" s="203" t="str">
        <f t="shared" si="247"/>
        <v>-</v>
      </c>
      <c r="R617" s="203" t="str">
        <f t="shared" si="247"/>
        <v>-</v>
      </c>
      <c r="S617" s="203" t="str">
        <f t="shared" si="247"/>
        <v>-</v>
      </c>
    </row>
    <row r="618" spans="1:19" s="489" customFormat="1" ht="11.25" customHeight="1" x14ac:dyDescent="0.2">
      <c r="A618" s="118">
        <v>2019</v>
      </c>
      <c r="B618" s="203" t="str">
        <f t="shared" ref="B618:L619" si="260">B285</f>
        <v>-</v>
      </c>
      <c r="C618" s="203">
        <f t="shared" si="260"/>
        <v>79</v>
      </c>
      <c r="D618" s="203">
        <f t="shared" si="260"/>
        <v>170</v>
      </c>
      <c r="E618" s="203">
        <f t="shared" si="260"/>
        <v>632</v>
      </c>
      <c r="F618" s="203">
        <f t="shared" si="260"/>
        <v>1245</v>
      </c>
      <c r="G618" s="203">
        <f t="shared" si="260"/>
        <v>170</v>
      </c>
      <c r="H618" s="203">
        <f t="shared" si="260"/>
        <v>62</v>
      </c>
      <c r="I618" s="203">
        <f t="shared" si="260"/>
        <v>813</v>
      </c>
      <c r="J618" s="203" t="str">
        <f t="shared" si="260"/>
        <v>-</v>
      </c>
      <c r="K618" s="203" t="str">
        <f t="shared" si="260"/>
        <v>-</v>
      </c>
      <c r="L618" s="203">
        <f t="shared" si="260"/>
        <v>3171</v>
      </c>
      <c r="M618" s="187"/>
      <c r="N618" s="203" t="str">
        <f t="shared" ref="N618:S619" si="261">N285</f>
        <v>-</v>
      </c>
      <c r="O618" s="203" t="str">
        <f t="shared" si="261"/>
        <v>-</v>
      </c>
      <c r="P618" s="203" t="str">
        <f t="shared" si="261"/>
        <v>-</v>
      </c>
      <c r="Q618" s="203" t="str">
        <f t="shared" si="261"/>
        <v>-</v>
      </c>
      <c r="R618" s="203" t="str">
        <f t="shared" si="261"/>
        <v>-</v>
      </c>
      <c r="S618" s="203" t="str">
        <f t="shared" si="261"/>
        <v>-</v>
      </c>
    </row>
    <row r="619" spans="1:19" ht="11.25" customHeight="1" x14ac:dyDescent="0.2">
      <c r="A619" s="118" t="s">
        <v>393</v>
      </c>
      <c r="B619" s="203" t="str">
        <f t="shared" si="260"/>
        <v>-</v>
      </c>
      <c r="C619" s="203">
        <f t="shared" si="260"/>
        <v>271</v>
      </c>
      <c r="D619" s="203">
        <f t="shared" si="260"/>
        <v>55</v>
      </c>
      <c r="E619" s="203">
        <f t="shared" si="260"/>
        <v>144</v>
      </c>
      <c r="F619" s="203">
        <f t="shared" si="260"/>
        <v>559</v>
      </c>
      <c r="G619" s="203">
        <f t="shared" si="260"/>
        <v>175</v>
      </c>
      <c r="H619" s="203">
        <f t="shared" si="260"/>
        <v>74</v>
      </c>
      <c r="I619" s="203">
        <f t="shared" si="260"/>
        <v>939</v>
      </c>
      <c r="J619" s="203" t="str">
        <f t="shared" si="260"/>
        <v>-</v>
      </c>
      <c r="K619" s="203" t="str">
        <f t="shared" si="260"/>
        <v>-</v>
      </c>
      <c r="L619" s="203">
        <f t="shared" si="260"/>
        <v>2217</v>
      </c>
      <c r="M619" s="187"/>
      <c r="N619" s="203" t="str">
        <f t="shared" si="261"/>
        <v>-</v>
      </c>
      <c r="O619" s="203" t="str">
        <f t="shared" si="261"/>
        <v>-</v>
      </c>
      <c r="P619" s="203" t="str">
        <f t="shared" si="261"/>
        <v>-</v>
      </c>
      <c r="Q619" s="203" t="str">
        <f t="shared" si="261"/>
        <v>-</v>
      </c>
      <c r="R619" s="203" t="str">
        <f t="shared" si="261"/>
        <v>-</v>
      </c>
      <c r="S619" s="203" t="str">
        <f t="shared" si="261"/>
        <v>-</v>
      </c>
    </row>
    <row r="620" spans="1:19" ht="11.25" customHeight="1" x14ac:dyDescent="0.2">
      <c r="A620" s="118"/>
      <c r="B620" s="200"/>
      <c r="C620" s="200"/>
      <c r="D620" s="200"/>
      <c r="E620" s="200"/>
      <c r="F620" s="200"/>
      <c r="G620" s="200"/>
      <c r="H620" s="200"/>
      <c r="I620" s="200"/>
      <c r="J620" s="200"/>
      <c r="K620" s="200"/>
      <c r="L620" s="200"/>
      <c r="N620" s="200"/>
      <c r="O620" s="200"/>
      <c r="P620" s="200"/>
      <c r="Q620" s="200"/>
      <c r="R620" s="200"/>
      <c r="S620" s="200"/>
    </row>
    <row r="621" spans="1:19" ht="11.25" customHeight="1" x14ac:dyDescent="0.2">
      <c r="A621" s="555" t="s">
        <v>358</v>
      </c>
      <c r="B621" s="555"/>
      <c r="C621" s="556"/>
      <c r="D621" s="556"/>
      <c r="E621" s="556"/>
      <c r="F621" s="556"/>
      <c r="G621" s="556"/>
      <c r="H621" s="556"/>
      <c r="I621" s="556"/>
      <c r="J621" s="556"/>
      <c r="K621" s="556"/>
      <c r="L621" s="556"/>
      <c r="M621" s="556"/>
      <c r="N621" s="556"/>
      <c r="O621" s="556"/>
      <c r="P621" s="556"/>
      <c r="Q621" s="556"/>
      <c r="R621" s="556"/>
      <c r="S621" s="556"/>
    </row>
    <row r="622" spans="1:19" ht="11.25" customHeight="1" x14ac:dyDescent="0.2">
      <c r="A622" s="124" t="s">
        <v>33</v>
      </c>
      <c r="B622" s="276" t="s">
        <v>43</v>
      </c>
      <c r="C622" s="276" t="s">
        <v>34</v>
      </c>
      <c r="D622" s="276" t="s">
        <v>35</v>
      </c>
      <c r="E622" s="276" t="s">
        <v>36</v>
      </c>
      <c r="F622" s="276" t="s">
        <v>37</v>
      </c>
      <c r="G622" s="276" t="s">
        <v>38</v>
      </c>
      <c r="H622" s="276" t="s">
        <v>39</v>
      </c>
      <c r="I622" s="276" t="s">
        <v>40</v>
      </c>
      <c r="J622" s="276" t="s">
        <v>44</v>
      </c>
      <c r="K622" s="276" t="s">
        <v>83</v>
      </c>
      <c r="L622" s="276" t="s">
        <v>28</v>
      </c>
      <c r="M622" s="276"/>
      <c r="N622" s="276" t="s">
        <v>36</v>
      </c>
      <c r="O622" s="276" t="s">
        <v>37</v>
      </c>
      <c r="P622" s="276" t="s">
        <v>38</v>
      </c>
      <c r="Q622" s="276" t="s">
        <v>39</v>
      </c>
      <c r="R622" s="276" t="s">
        <v>40</v>
      </c>
      <c r="S622" s="276" t="s">
        <v>28</v>
      </c>
    </row>
    <row r="623" spans="1:19" ht="11.25" customHeight="1" x14ac:dyDescent="0.2">
      <c r="B623" s="557" t="s">
        <v>67</v>
      </c>
      <c r="C623" s="557"/>
      <c r="D623" s="557"/>
      <c r="E623" s="557"/>
      <c r="F623" s="557"/>
      <c r="G623" s="557"/>
      <c r="H623" s="557"/>
      <c r="I623" s="557"/>
      <c r="J623" s="557"/>
      <c r="K623" s="557"/>
      <c r="L623" s="557"/>
      <c r="N623" s="557" t="s">
        <v>68</v>
      </c>
      <c r="O623" s="557"/>
      <c r="P623" s="557"/>
      <c r="Q623" s="557"/>
      <c r="R623" s="557"/>
      <c r="S623" s="557"/>
    </row>
    <row r="624" spans="1:19" ht="11.25" customHeight="1" x14ac:dyDescent="0.2">
      <c r="A624" s="418" t="str">
        <f>A288</f>
        <v>Brookings</v>
      </c>
      <c r="B624" s="200"/>
      <c r="C624" s="200"/>
      <c r="D624" s="200"/>
      <c r="E624" s="200"/>
      <c r="F624" s="200"/>
      <c r="G624" s="200"/>
      <c r="H624" s="200"/>
      <c r="I624" s="200"/>
      <c r="J624" s="200"/>
      <c r="K624" s="200"/>
      <c r="L624" s="200"/>
      <c r="N624" s="200"/>
      <c r="O624" s="200"/>
      <c r="P624" s="200"/>
      <c r="Q624" s="200"/>
      <c r="R624" s="200"/>
      <c r="S624" s="200"/>
    </row>
    <row r="625" spans="1:19" ht="11.25" customHeight="1" x14ac:dyDescent="0.2">
      <c r="A625" s="371" t="s">
        <v>30</v>
      </c>
      <c r="B625" s="200" t="s">
        <v>29</v>
      </c>
      <c r="C625" s="200" t="s">
        <v>29</v>
      </c>
      <c r="D625" s="200">
        <f t="shared" ref="D625:L625" si="262">AVERAGE(D318:D322)</f>
        <v>1782</v>
      </c>
      <c r="E625" s="200">
        <f t="shared" si="262"/>
        <v>1844.8</v>
      </c>
      <c r="F625" s="200">
        <f t="shared" si="262"/>
        <v>10356.6</v>
      </c>
      <c r="G625" s="200">
        <f t="shared" si="262"/>
        <v>20079.400000000001</v>
      </c>
      <c r="H625" s="200">
        <f t="shared" si="262"/>
        <v>3952</v>
      </c>
      <c r="I625" s="200">
        <f t="shared" si="262"/>
        <v>3494.6</v>
      </c>
      <c r="J625" s="200">
        <f t="shared" si="262"/>
        <v>1113.2</v>
      </c>
      <c r="K625" s="200" t="s">
        <v>29</v>
      </c>
      <c r="L625" s="200">
        <f t="shared" si="262"/>
        <v>42622.6</v>
      </c>
      <c r="N625" s="189" t="s">
        <v>29</v>
      </c>
      <c r="O625" s="200">
        <f>AVERAGE(O318:O322)</f>
        <v>15829.75</v>
      </c>
      <c r="P625" s="200">
        <f>AVERAGE(P318:P322)</f>
        <v>35594</v>
      </c>
      <c r="Q625" s="189" t="s">
        <v>29</v>
      </c>
      <c r="R625" s="189" t="s">
        <v>29</v>
      </c>
      <c r="S625" s="200">
        <f>AVERAGE(S318:S322)</f>
        <v>24728.25</v>
      </c>
    </row>
    <row r="626" spans="1:19" ht="11.25" customHeight="1" x14ac:dyDescent="0.2">
      <c r="A626" s="371" t="s">
        <v>87</v>
      </c>
      <c r="B626" s="200" t="s">
        <v>29</v>
      </c>
      <c r="C626" s="200" t="s">
        <v>29</v>
      </c>
      <c r="D626" s="200">
        <f t="shared" ref="D626:L626" si="263">AVERAGE(D323:D327)</f>
        <v>5087</v>
      </c>
      <c r="E626" s="200">
        <f t="shared" si="263"/>
        <v>16801.5</v>
      </c>
      <c r="F626" s="200">
        <f t="shared" si="263"/>
        <v>9562</v>
      </c>
      <c r="G626" s="200">
        <f t="shared" si="263"/>
        <v>8706.3333333333339</v>
      </c>
      <c r="H626" s="200">
        <f t="shared" si="263"/>
        <v>2844</v>
      </c>
      <c r="I626" s="200">
        <f t="shared" si="263"/>
        <v>963</v>
      </c>
      <c r="J626" s="200">
        <f t="shared" si="263"/>
        <v>1460</v>
      </c>
      <c r="K626" s="200" t="s">
        <v>29</v>
      </c>
      <c r="L626" s="200">
        <f t="shared" si="263"/>
        <v>28824.6</v>
      </c>
      <c r="N626" s="200">
        <f t="shared" ref="N626:S626" si="264">AVERAGE(N323:N327)</f>
        <v>4594.25</v>
      </c>
      <c r="O626" s="200">
        <f t="shared" si="264"/>
        <v>7121</v>
      </c>
      <c r="P626" s="189" t="s">
        <v>29</v>
      </c>
      <c r="Q626" s="189" t="s">
        <v>29</v>
      </c>
      <c r="R626" s="189" t="s">
        <v>29</v>
      </c>
      <c r="S626" s="200">
        <f t="shared" si="264"/>
        <v>6374.5</v>
      </c>
    </row>
    <row r="627" spans="1:19" ht="11.25" customHeight="1" x14ac:dyDescent="0.2">
      <c r="A627" s="371" t="s">
        <v>14</v>
      </c>
      <c r="B627" s="200" t="s">
        <v>29</v>
      </c>
      <c r="C627" s="200" t="s">
        <v>29</v>
      </c>
      <c r="D627" s="200">
        <f>AVERAGE(D328:D332)</f>
        <v>264.5</v>
      </c>
      <c r="E627" s="189" t="s">
        <v>29</v>
      </c>
      <c r="F627" s="200">
        <f>AVERAGE(F328:F332)</f>
        <v>1682</v>
      </c>
      <c r="G627" s="200">
        <f>AVERAGE(G328:G332)</f>
        <v>234</v>
      </c>
      <c r="H627" s="200">
        <f>AVERAGE(H328:H332)</f>
        <v>210</v>
      </c>
      <c r="I627" s="200">
        <f>AVERAGE(I328:I332)</f>
        <v>1190.5</v>
      </c>
      <c r="J627" s="189" t="s">
        <v>29</v>
      </c>
      <c r="K627" s="200" t="s">
        <v>29</v>
      </c>
      <c r="L627" s="200">
        <f>AVERAGE(L328:L332)</f>
        <v>1678.6666666666667</v>
      </c>
      <c r="N627" s="189" t="s">
        <v>29</v>
      </c>
      <c r="O627" s="189" t="s">
        <v>29</v>
      </c>
      <c r="P627" s="189" t="s">
        <v>29</v>
      </c>
      <c r="Q627" s="189" t="s">
        <v>29</v>
      </c>
      <c r="R627" s="189" t="s">
        <v>29</v>
      </c>
      <c r="S627" s="189" t="s">
        <v>29</v>
      </c>
    </row>
    <row r="628" spans="1:19" ht="11.25" customHeight="1" x14ac:dyDescent="0.2">
      <c r="A628" s="371" t="s">
        <v>207</v>
      </c>
      <c r="B628" s="200" t="s">
        <v>29</v>
      </c>
      <c r="C628" s="200" t="s">
        <v>29</v>
      </c>
      <c r="D628" s="200">
        <f>AVERAGE(D333:D337)</f>
        <v>1063.5999999999999</v>
      </c>
      <c r="E628" s="189" t="s">
        <v>29</v>
      </c>
      <c r="F628" s="200" t="s">
        <v>29</v>
      </c>
      <c r="G628" s="200">
        <f>AVERAGE(G333:G337)</f>
        <v>1049.2</v>
      </c>
      <c r="H628" s="200">
        <f>AVERAGE(H333:H337)</f>
        <v>664.5</v>
      </c>
      <c r="I628" s="200">
        <f>AVERAGE(I333:I337)</f>
        <v>696.2</v>
      </c>
      <c r="J628" s="189" t="s">
        <v>29</v>
      </c>
      <c r="K628" s="200" t="s">
        <v>29</v>
      </c>
      <c r="L628" s="200">
        <f>AVERAGE(L333:L337)</f>
        <v>3541.6</v>
      </c>
      <c r="N628" s="189" t="s">
        <v>29</v>
      </c>
      <c r="O628" s="189" t="s">
        <v>29</v>
      </c>
      <c r="P628" s="189" t="s">
        <v>29</v>
      </c>
      <c r="Q628" s="189" t="s">
        <v>29</v>
      </c>
      <c r="R628" s="189" t="s">
        <v>29</v>
      </c>
      <c r="S628" s="189" t="s">
        <v>29</v>
      </c>
    </row>
    <row r="629" spans="1:19" ht="11.25" customHeight="1" x14ac:dyDescent="0.2">
      <c r="A629" s="118" t="s">
        <v>238</v>
      </c>
      <c r="B629" s="200">
        <f>AVERAGE(B338:B342)</f>
        <v>24.5</v>
      </c>
      <c r="C629" s="200">
        <f>AVERAGE(C338:C342)</f>
        <v>62.75</v>
      </c>
      <c r="D629" s="200">
        <f>AVERAGE(D338:D342)</f>
        <v>425</v>
      </c>
      <c r="E629" s="200">
        <f t="shared" ref="E629:J629" si="265">AVERAGE(E338:E342)</f>
        <v>1155.75</v>
      </c>
      <c r="F629" s="200">
        <f t="shared" si="265"/>
        <v>1614.6666666666667</v>
      </c>
      <c r="G629" s="200">
        <f t="shared" si="265"/>
        <v>1433.75</v>
      </c>
      <c r="H629" s="200">
        <f t="shared" si="265"/>
        <v>1211.4000000000001</v>
      </c>
      <c r="I629" s="200">
        <f t="shared" si="265"/>
        <v>543.4</v>
      </c>
      <c r="J629" s="200">
        <f t="shared" si="265"/>
        <v>66.333333333333329</v>
      </c>
      <c r="K629" s="200" t="str">
        <f>K338</f>
        <v>-</v>
      </c>
      <c r="L629" s="200">
        <f>AVERAGE(L338:L342)</f>
        <v>5244.8</v>
      </c>
      <c r="N629" s="200" t="str">
        <f t="shared" ref="N629:S629" si="266">N338</f>
        <v>-</v>
      </c>
      <c r="O629" s="200" t="str">
        <f t="shared" si="266"/>
        <v>-</v>
      </c>
      <c r="P629" s="200" t="str">
        <f t="shared" si="266"/>
        <v>-</v>
      </c>
      <c r="Q629" s="200" t="str">
        <f t="shared" si="266"/>
        <v>-</v>
      </c>
      <c r="R629" s="200" t="str">
        <f t="shared" si="266"/>
        <v>-</v>
      </c>
      <c r="S629" s="200" t="str">
        <f t="shared" si="266"/>
        <v>-</v>
      </c>
    </row>
    <row r="630" spans="1:19" ht="11.25" customHeight="1" x14ac:dyDescent="0.2">
      <c r="A630" s="118">
        <v>2006</v>
      </c>
      <c r="B630" s="200" t="str">
        <f t="shared" ref="B630:L630" si="267">B343</f>
        <v>-</v>
      </c>
      <c r="C630" s="200" t="str">
        <f t="shared" si="267"/>
        <v>-</v>
      </c>
      <c r="D630" s="200" t="str">
        <f t="shared" si="267"/>
        <v>-</v>
      </c>
      <c r="E630" s="200" t="str">
        <f t="shared" si="267"/>
        <v>-</v>
      </c>
      <c r="F630" s="200" t="str">
        <f t="shared" si="267"/>
        <v>-</v>
      </c>
      <c r="G630" s="200" t="str">
        <f t="shared" si="267"/>
        <v>-</v>
      </c>
      <c r="H630" s="200">
        <f t="shared" si="267"/>
        <v>12</v>
      </c>
      <c r="I630" s="200">
        <f t="shared" si="267"/>
        <v>590</v>
      </c>
      <c r="J630" s="200">
        <f t="shared" si="267"/>
        <v>136</v>
      </c>
      <c r="K630" s="200" t="str">
        <f t="shared" si="267"/>
        <v>-</v>
      </c>
      <c r="L630" s="200">
        <f t="shared" si="267"/>
        <v>738</v>
      </c>
      <c r="N630" s="200" t="str">
        <f t="shared" ref="N630:S642" si="268">N343</f>
        <v>-</v>
      </c>
      <c r="O630" s="200" t="str">
        <f t="shared" si="268"/>
        <v>-</v>
      </c>
      <c r="P630" s="200" t="str">
        <f t="shared" si="268"/>
        <v>-</v>
      </c>
      <c r="Q630" s="200" t="str">
        <f t="shared" si="268"/>
        <v>-</v>
      </c>
      <c r="R630" s="200" t="str">
        <f t="shared" si="268"/>
        <v>-</v>
      </c>
      <c r="S630" s="200" t="str">
        <f t="shared" si="268"/>
        <v>-</v>
      </c>
    </row>
    <row r="631" spans="1:19" s="366" customFormat="1" ht="11.25" customHeight="1" x14ac:dyDescent="0.2">
      <c r="A631" s="118">
        <v>2007</v>
      </c>
      <c r="B631" s="203" t="str">
        <f t="shared" ref="B631:L631" si="269">B344</f>
        <v>-</v>
      </c>
      <c r="C631" s="203">
        <f t="shared" si="269"/>
        <v>15</v>
      </c>
      <c r="D631" s="203">
        <f t="shared" si="269"/>
        <v>25</v>
      </c>
      <c r="E631" s="203">
        <f t="shared" si="269"/>
        <v>727</v>
      </c>
      <c r="F631" s="203">
        <f t="shared" si="269"/>
        <v>1150</v>
      </c>
      <c r="G631" s="203">
        <f t="shared" si="269"/>
        <v>1524</v>
      </c>
      <c r="H631" s="203">
        <f t="shared" si="269"/>
        <v>400</v>
      </c>
      <c r="I631" s="203">
        <f t="shared" si="269"/>
        <v>209</v>
      </c>
      <c r="J631" s="203">
        <f t="shared" si="269"/>
        <v>47</v>
      </c>
      <c r="K631" s="203" t="str">
        <f t="shared" si="269"/>
        <v>-</v>
      </c>
      <c r="L631" s="203">
        <f t="shared" si="269"/>
        <v>4097</v>
      </c>
      <c r="M631" s="187"/>
      <c r="N631" s="203" t="str">
        <f t="shared" si="268"/>
        <v>-</v>
      </c>
      <c r="O631" s="203" t="str">
        <f t="shared" si="268"/>
        <v>-</v>
      </c>
      <c r="P631" s="203" t="str">
        <f t="shared" si="268"/>
        <v>-</v>
      </c>
      <c r="Q631" s="203" t="str">
        <f t="shared" si="268"/>
        <v>-</v>
      </c>
      <c r="R631" s="203" t="str">
        <f t="shared" si="268"/>
        <v>-</v>
      </c>
      <c r="S631" s="203" t="str">
        <f t="shared" si="268"/>
        <v>-</v>
      </c>
    </row>
    <row r="632" spans="1:19" s="366" customFormat="1" ht="11.25" customHeight="1" x14ac:dyDescent="0.2">
      <c r="A632" s="118">
        <v>2008</v>
      </c>
      <c r="B632" s="203" t="str">
        <f t="shared" ref="B632:L632" si="270">B345</f>
        <v>-</v>
      </c>
      <c r="C632" s="203" t="str">
        <f t="shared" si="270"/>
        <v>-</v>
      </c>
      <c r="D632" s="203" t="str">
        <f t="shared" si="270"/>
        <v>-</v>
      </c>
      <c r="E632" s="203" t="str">
        <f t="shared" si="270"/>
        <v>-</v>
      </c>
      <c r="F632" s="203" t="str">
        <f t="shared" si="270"/>
        <v>-</v>
      </c>
      <c r="G632" s="203" t="str">
        <f t="shared" si="270"/>
        <v>-</v>
      </c>
      <c r="H632" s="203" t="str">
        <f t="shared" si="270"/>
        <v>-</v>
      </c>
      <c r="I632" s="203">
        <f t="shared" si="270"/>
        <v>236</v>
      </c>
      <c r="J632" s="203" t="str">
        <f t="shared" si="270"/>
        <v>-</v>
      </c>
      <c r="K632" s="203" t="str">
        <f t="shared" si="270"/>
        <v>-</v>
      </c>
      <c r="L632" s="203">
        <f t="shared" si="270"/>
        <v>236</v>
      </c>
      <c r="M632" s="187"/>
      <c r="N632" s="203" t="str">
        <f t="shared" si="268"/>
        <v>-</v>
      </c>
      <c r="O632" s="203" t="str">
        <f t="shared" si="268"/>
        <v>-</v>
      </c>
      <c r="P632" s="203" t="str">
        <f t="shared" si="268"/>
        <v>-</v>
      </c>
      <c r="Q632" s="203" t="str">
        <f t="shared" si="268"/>
        <v>-</v>
      </c>
      <c r="R632" s="203" t="str">
        <f t="shared" si="268"/>
        <v>-</v>
      </c>
      <c r="S632" s="203" t="str">
        <f t="shared" si="268"/>
        <v>-</v>
      </c>
    </row>
    <row r="633" spans="1:19" s="366" customFormat="1" ht="11.25" customHeight="1" x14ac:dyDescent="0.2">
      <c r="A633" s="118">
        <v>2009</v>
      </c>
      <c r="B633" s="203" t="str">
        <f t="shared" ref="B633:L633" si="271">B346</f>
        <v>-</v>
      </c>
      <c r="C633" s="203" t="str">
        <f t="shared" si="271"/>
        <v>-</v>
      </c>
      <c r="D633" s="203" t="str">
        <f t="shared" si="271"/>
        <v>-</v>
      </c>
      <c r="E633" s="203" t="str">
        <f t="shared" si="271"/>
        <v>-</v>
      </c>
      <c r="F633" s="203" t="str">
        <f t="shared" si="271"/>
        <v>-</v>
      </c>
      <c r="G633" s="203" t="str">
        <f t="shared" si="271"/>
        <v>-</v>
      </c>
      <c r="H633" s="203" t="str">
        <f t="shared" si="271"/>
        <v>-</v>
      </c>
      <c r="I633" s="203" t="str">
        <f t="shared" si="271"/>
        <v>-</v>
      </c>
      <c r="J633" s="203" t="str">
        <f t="shared" si="271"/>
        <v>-</v>
      </c>
      <c r="K633" s="203" t="str">
        <f t="shared" si="271"/>
        <v>-</v>
      </c>
      <c r="L633" s="203" t="str">
        <f t="shared" si="271"/>
        <v>-</v>
      </c>
      <c r="M633" s="187"/>
      <c r="N633" s="203" t="str">
        <f t="shared" si="268"/>
        <v>-</v>
      </c>
      <c r="O633" s="203" t="str">
        <f t="shared" si="268"/>
        <v>-</v>
      </c>
      <c r="P633" s="203" t="str">
        <f t="shared" si="268"/>
        <v>-</v>
      </c>
      <c r="Q633" s="203" t="str">
        <f t="shared" si="268"/>
        <v>-</v>
      </c>
      <c r="R633" s="203" t="str">
        <f t="shared" si="268"/>
        <v>-</v>
      </c>
      <c r="S633" s="203" t="str">
        <f t="shared" si="268"/>
        <v>-</v>
      </c>
    </row>
    <row r="634" spans="1:19" s="366" customFormat="1" ht="11.25" customHeight="1" x14ac:dyDescent="0.2">
      <c r="A634" s="118">
        <v>2010</v>
      </c>
      <c r="B634" s="203" t="str">
        <f t="shared" ref="B634:L634" si="272">B347</f>
        <v>-</v>
      </c>
      <c r="C634" s="203" t="str">
        <f t="shared" si="272"/>
        <v>-</v>
      </c>
      <c r="D634" s="203">
        <f t="shared" si="272"/>
        <v>164</v>
      </c>
      <c r="E634" s="203" t="str">
        <f t="shared" si="272"/>
        <v>-</v>
      </c>
      <c r="F634" s="203">
        <f t="shared" si="272"/>
        <v>51</v>
      </c>
      <c r="G634" s="203">
        <f t="shared" si="272"/>
        <v>125</v>
      </c>
      <c r="H634" s="203" t="str">
        <f t="shared" si="272"/>
        <v>-</v>
      </c>
      <c r="I634" s="203">
        <f t="shared" si="272"/>
        <v>529</v>
      </c>
      <c r="J634" s="203" t="str">
        <f t="shared" si="272"/>
        <v>-</v>
      </c>
      <c r="K634" s="203" t="str">
        <f t="shared" si="272"/>
        <v>-</v>
      </c>
      <c r="L634" s="203">
        <f t="shared" si="272"/>
        <v>869</v>
      </c>
      <c r="M634" s="187"/>
      <c r="N634" s="203" t="str">
        <f t="shared" si="268"/>
        <v>-</v>
      </c>
      <c r="O634" s="203" t="str">
        <f t="shared" si="268"/>
        <v>-</v>
      </c>
      <c r="P634" s="203" t="str">
        <f t="shared" si="268"/>
        <v>-</v>
      </c>
      <c r="Q634" s="203" t="str">
        <f t="shared" si="268"/>
        <v>-</v>
      </c>
      <c r="R634" s="203" t="str">
        <f t="shared" si="268"/>
        <v>-</v>
      </c>
      <c r="S634" s="203" t="str">
        <f t="shared" si="268"/>
        <v>-</v>
      </c>
    </row>
    <row r="635" spans="1:19" s="366" customFormat="1" ht="11.25" customHeight="1" x14ac:dyDescent="0.2">
      <c r="A635" s="118">
        <v>2011</v>
      </c>
      <c r="B635" s="203" t="str">
        <f t="shared" ref="B635:L635" si="273">B348</f>
        <v>-</v>
      </c>
      <c r="C635" s="203" t="str">
        <f t="shared" si="273"/>
        <v>-</v>
      </c>
      <c r="D635" s="203">
        <f t="shared" si="273"/>
        <v>601</v>
      </c>
      <c r="E635" s="203">
        <f t="shared" si="273"/>
        <v>254</v>
      </c>
      <c r="F635" s="203">
        <f t="shared" si="273"/>
        <v>27</v>
      </c>
      <c r="G635" s="203">
        <f t="shared" si="273"/>
        <v>337</v>
      </c>
      <c r="H635" s="203" t="str">
        <f t="shared" si="273"/>
        <v>-</v>
      </c>
      <c r="I635" s="203">
        <f t="shared" si="273"/>
        <v>107</v>
      </c>
      <c r="J635" s="203" t="str">
        <f t="shared" si="273"/>
        <v>-</v>
      </c>
      <c r="K635" s="203" t="str">
        <f t="shared" si="273"/>
        <v>-</v>
      </c>
      <c r="L635" s="203">
        <f t="shared" si="273"/>
        <v>1326</v>
      </c>
      <c r="M635" s="187"/>
      <c r="N635" s="203" t="str">
        <f t="shared" si="268"/>
        <v>-</v>
      </c>
      <c r="O635" s="203" t="str">
        <f t="shared" si="268"/>
        <v>-</v>
      </c>
      <c r="P635" s="203" t="str">
        <f t="shared" si="268"/>
        <v>-</v>
      </c>
      <c r="Q635" s="203" t="str">
        <f t="shared" si="268"/>
        <v>-</v>
      </c>
      <c r="R635" s="203" t="str">
        <f t="shared" si="268"/>
        <v>-</v>
      </c>
      <c r="S635" s="203" t="str">
        <f t="shared" si="268"/>
        <v>-</v>
      </c>
    </row>
    <row r="636" spans="1:19" s="366" customFormat="1" ht="11.25" customHeight="1" x14ac:dyDescent="0.2">
      <c r="A636" s="118">
        <v>2012</v>
      </c>
      <c r="B636" s="203" t="str">
        <f t="shared" ref="B636:L636" si="274">B349</f>
        <v>-</v>
      </c>
      <c r="C636" s="203" t="str">
        <f t="shared" si="274"/>
        <v xml:space="preserve">- </v>
      </c>
      <c r="D636" s="203">
        <f t="shared" si="274"/>
        <v>371</v>
      </c>
      <c r="E636" s="203">
        <f t="shared" si="274"/>
        <v>1287</v>
      </c>
      <c r="F636" s="203">
        <f t="shared" si="274"/>
        <v>1456</v>
      </c>
      <c r="G636" s="203">
        <f t="shared" si="274"/>
        <v>1328</v>
      </c>
      <c r="H636" s="203">
        <f t="shared" si="274"/>
        <v>884</v>
      </c>
      <c r="I636" s="203">
        <f t="shared" si="274"/>
        <v>118</v>
      </c>
      <c r="J636" s="203" t="str">
        <f t="shared" si="274"/>
        <v>-</v>
      </c>
      <c r="K636" s="203" t="str">
        <f t="shared" si="274"/>
        <v>-</v>
      </c>
      <c r="L636" s="203">
        <f t="shared" si="274"/>
        <v>5444</v>
      </c>
      <c r="M636" s="187"/>
      <c r="N636" s="203" t="str">
        <f t="shared" si="268"/>
        <v>-</v>
      </c>
      <c r="O636" s="203" t="str">
        <f t="shared" si="268"/>
        <v>-</v>
      </c>
      <c r="P636" s="203" t="str">
        <f t="shared" si="268"/>
        <v>-</v>
      </c>
      <c r="Q636" s="203" t="str">
        <f t="shared" si="268"/>
        <v>-</v>
      </c>
      <c r="R636" s="203" t="str">
        <f t="shared" si="268"/>
        <v>-</v>
      </c>
      <c r="S636" s="203" t="str">
        <f t="shared" si="268"/>
        <v>-</v>
      </c>
    </row>
    <row r="637" spans="1:19" s="366" customFormat="1" ht="11.25" customHeight="1" x14ac:dyDescent="0.2">
      <c r="A637" s="118">
        <v>2013</v>
      </c>
      <c r="B637" s="203" t="str">
        <f t="shared" ref="B637:L637" si="275">B350</f>
        <v>-</v>
      </c>
      <c r="C637" s="203">
        <f t="shared" si="275"/>
        <v>50</v>
      </c>
      <c r="D637" s="203">
        <f t="shared" si="275"/>
        <v>7</v>
      </c>
      <c r="E637" s="203">
        <f t="shared" si="275"/>
        <v>1450</v>
      </c>
      <c r="F637" s="203">
        <f t="shared" si="275"/>
        <v>3171</v>
      </c>
      <c r="G637" s="203">
        <f t="shared" si="275"/>
        <v>1848</v>
      </c>
      <c r="H637" s="203">
        <f t="shared" si="275"/>
        <v>135</v>
      </c>
      <c r="I637" s="203">
        <f t="shared" si="275"/>
        <v>155</v>
      </c>
      <c r="J637" s="203" t="str">
        <f t="shared" si="275"/>
        <v>-</v>
      </c>
      <c r="K637" s="203" t="str">
        <f t="shared" si="275"/>
        <v>-</v>
      </c>
      <c r="L637" s="203">
        <f t="shared" si="275"/>
        <v>6816</v>
      </c>
      <c r="M637" s="187"/>
      <c r="N637" s="203" t="str">
        <f t="shared" si="268"/>
        <v>-</v>
      </c>
      <c r="O637" s="203" t="str">
        <f t="shared" si="268"/>
        <v>-</v>
      </c>
      <c r="P637" s="203" t="str">
        <f t="shared" si="268"/>
        <v>-</v>
      </c>
      <c r="Q637" s="203" t="str">
        <f t="shared" si="268"/>
        <v>-</v>
      </c>
      <c r="R637" s="203" t="str">
        <f t="shared" si="268"/>
        <v>-</v>
      </c>
      <c r="S637" s="203" t="str">
        <f t="shared" si="268"/>
        <v>-</v>
      </c>
    </row>
    <row r="638" spans="1:19" ht="11.25" customHeight="1" x14ac:dyDescent="0.2">
      <c r="A638" s="118">
        <v>2014</v>
      </c>
      <c r="B638" s="203" t="str">
        <f t="shared" ref="B638:L638" si="276">B351</f>
        <v>-</v>
      </c>
      <c r="C638" s="203">
        <f t="shared" si="276"/>
        <v>53</v>
      </c>
      <c r="D638" s="203">
        <f t="shared" si="276"/>
        <v>13352</v>
      </c>
      <c r="E638" s="203">
        <f t="shared" si="276"/>
        <v>1349</v>
      </c>
      <c r="F638" s="203">
        <f t="shared" si="276"/>
        <v>492</v>
      </c>
      <c r="G638" s="203">
        <f t="shared" si="276"/>
        <v>403</v>
      </c>
      <c r="H638" s="203">
        <f t="shared" si="276"/>
        <v>54</v>
      </c>
      <c r="I638" s="203">
        <f t="shared" si="276"/>
        <v>443</v>
      </c>
      <c r="J638" s="203" t="str">
        <f t="shared" si="276"/>
        <v>-</v>
      </c>
      <c r="K638" s="203" t="str">
        <f t="shared" si="276"/>
        <v>-</v>
      </c>
      <c r="L638" s="203">
        <f t="shared" si="276"/>
        <v>16146</v>
      </c>
      <c r="M638" s="187"/>
      <c r="N638" s="203" t="str">
        <f t="shared" si="268"/>
        <v>-</v>
      </c>
      <c r="O638" s="203" t="str">
        <f t="shared" si="268"/>
        <v>-</v>
      </c>
      <c r="P638" s="203" t="str">
        <f t="shared" si="268"/>
        <v>-</v>
      </c>
      <c r="Q638" s="203" t="str">
        <f t="shared" si="268"/>
        <v>-</v>
      </c>
      <c r="R638" s="203" t="str">
        <f t="shared" si="268"/>
        <v>-</v>
      </c>
      <c r="S638" s="203" t="str">
        <f t="shared" si="268"/>
        <v>-</v>
      </c>
    </row>
    <row r="639" spans="1:19" s="366" customFormat="1" ht="11.25" customHeight="1" x14ac:dyDescent="0.2">
      <c r="A639" s="118">
        <v>2015</v>
      </c>
      <c r="B639" s="203" t="str">
        <f t="shared" ref="B639:L639" si="277">B352</f>
        <v>-</v>
      </c>
      <c r="C639" s="203">
        <f t="shared" si="277"/>
        <v>39</v>
      </c>
      <c r="D639" s="203">
        <f t="shared" si="277"/>
        <v>1146</v>
      </c>
      <c r="E639" s="203">
        <f t="shared" si="277"/>
        <v>1528</v>
      </c>
      <c r="F639" s="203">
        <f t="shared" si="277"/>
        <v>779</v>
      </c>
      <c r="G639" s="203">
        <f t="shared" si="277"/>
        <v>92</v>
      </c>
      <c r="H639" s="203" t="str">
        <f t="shared" si="277"/>
        <v>-</v>
      </c>
      <c r="I639" s="203">
        <f t="shared" si="277"/>
        <v>639</v>
      </c>
      <c r="J639" s="203" t="str">
        <f t="shared" si="277"/>
        <v>-</v>
      </c>
      <c r="K639" s="203" t="str">
        <f t="shared" si="277"/>
        <v>-</v>
      </c>
      <c r="L639" s="203">
        <f t="shared" si="277"/>
        <v>4223</v>
      </c>
      <c r="M639" s="187"/>
      <c r="N639" s="203" t="str">
        <f t="shared" si="268"/>
        <v>-</v>
      </c>
      <c r="O639" s="203" t="str">
        <f t="shared" si="268"/>
        <v>-</v>
      </c>
      <c r="P639" s="203" t="str">
        <f t="shared" si="268"/>
        <v>-</v>
      </c>
      <c r="Q639" s="203" t="str">
        <f t="shared" si="268"/>
        <v>-</v>
      </c>
      <c r="R639" s="203" t="str">
        <f t="shared" si="268"/>
        <v>-</v>
      </c>
      <c r="S639" s="203" t="str">
        <f t="shared" si="268"/>
        <v>-</v>
      </c>
    </row>
    <row r="640" spans="1:19" s="366" customFormat="1" ht="11.25" customHeight="1" x14ac:dyDescent="0.2">
      <c r="A640" s="118">
        <v>2016</v>
      </c>
      <c r="B640" s="203" t="str">
        <f t="shared" ref="B640:L640" si="278">B353</f>
        <v>-</v>
      </c>
      <c r="C640" s="203">
        <f t="shared" si="278"/>
        <v>12</v>
      </c>
      <c r="D640" s="203">
        <f t="shared" si="278"/>
        <v>34</v>
      </c>
      <c r="E640" s="203">
        <f t="shared" si="278"/>
        <v>179</v>
      </c>
      <c r="F640" s="203">
        <f t="shared" si="278"/>
        <v>21</v>
      </c>
      <c r="G640" s="203" t="str">
        <f t="shared" si="278"/>
        <v>-</v>
      </c>
      <c r="H640" s="203" t="str">
        <f t="shared" si="278"/>
        <v>-</v>
      </c>
      <c r="I640" s="203">
        <f t="shared" si="278"/>
        <v>152</v>
      </c>
      <c r="J640" s="203" t="str">
        <f t="shared" si="278"/>
        <v>-</v>
      </c>
      <c r="K640" s="203" t="str">
        <f t="shared" si="278"/>
        <v>-</v>
      </c>
      <c r="L640" s="203">
        <f t="shared" si="278"/>
        <v>398</v>
      </c>
      <c r="M640" s="187"/>
      <c r="N640" s="203" t="str">
        <f t="shared" si="268"/>
        <v>-</v>
      </c>
      <c r="O640" s="203" t="str">
        <f t="shared" si="268"/>
        <v>-</v>
      </c>
      <c r="P640" s="203" t="str">
        <f t="shared" si="268"/>
        <v>-</v>
      </c>
      <c r="Q640" s="203" t="str">
        <f t="shared" si="268"/>
        <v>-</v>
      </c>
      <c r="R640" s="203" t="str">
        <f t="shared" si="268"/>
        <v>-</v>
      </c>
      <c r="S640" s="203" t="str">
        <f t="shared" si="268"/>
        <v>-</v>
      </c>
    </row>
    <row r="641" spans="1:19" s="366" customFormat="1" ht="11.25" customHeight="1" x14ac:dyDescent="0.2">
      <c r="A641" s="118">
        <v>2017</v>
      </c>
      <c r="B641" s="203" t="str">
        <f t="shared" ref="B641:L641" si="279">B354</f>
        <v>-</v>
      </c>
      <c r="C641" s="203" t="str">
        <f t="shared" si="279"/>
        <v>-</v>
      </c>
      <c r="D641" s="203" t="str">
        <f t="shared" si="279"/>
        <v>-</v>
      </c>
      <c r="E641" s="203" t="str">
        <f t="shared" si="279"/>
        <v>-</v>
      </c>
      <c r="F641" s="203" t="str">
        <f t="shared" si="279"/>
        <v>-</v>
      </c>
      <c r="G641" s="203" t="str">
        <f t="shared" si="279"/>
        <v>-</v>
      </c>
      <c r="H641" s="203" t="str">
        <f t="shared" si="279"/>
        <v>-</v>
      </c>
      <c r="I641" s="203">
        <f t="shared" si="279"/>
        <v>329</v>
      </c>
      <c r="J641" s="203" t="str">
        <f t="shared" si="279"/>
        <v>-</v>
      </c>
      <c r="K641" s="203" t="str">
        <f t="shared" si="279"/>
        <v>-</v>
      </c>
      <c r="L641" s="203">
        <f t="shared" si="279"/>
        <v>329</v>
      </c>
      <c r="M641" s="187"/>
      <c r="N641" s="203" t="str">
        <f t="shared" si="268"/>
        <v>-</v>
      </c>
      <c r="O641" s="203" t="str">
        <f t="shared" si="268"/>
        <v>-</v>
      </c>
      <c r="P641" s="203" t="str">
        <f t="shared" si="268"/>
        <v>-</v>
      </c>
      <c r="Q641" s="203" t="str">
        <f t="shared" si="268"/>
        <v>-</v>
      </c>
      <c r="R641" s="203" t="str">
        <f t="shared" si="268"/>
        <v>-</v>
      </c>
      <c r="S641" s="203" t="str">
        <f t="shared" si="268"/>
        <v>-</v>
      </c>
    </row>
    <row r="642" spans="1:19" s="366" customFormat="1" ht="11.25" customHeight="1" x14ac:dyDescent="0.2">
      <c r="A642" s="118">
        <v>2018</v>
      </c>
      <c r="B642" s="203" t="str">
        <f t="shared" ref="B642:L642" si="280">B355</f>
        <v>-</v>
      </c>
      <c r="C642" s="203" t="str">
        <f t="shared" si="280"/>
        <v>-</v>
      </c>
      <c r="D642" s="203">
        <f t="shared" si="280"/>
        <v>272</v>
      </c>
      <c r="E642" s="203">
        <f t="shared" si="280"/>
        <v>1529</v>
      </c>
      <c r="F642" s="203">
        <f t="shared" si="280"/>
        <v>1168</v>
      </c>
      <c r="G642" s="203">
        <f t="shared" si="280"/>
        <v>614</v>
      </c>
      <c r="H642" s="203" t="str">
        <f t="shared" si="280"/>
        <v>-</v>
      </c>
      <c r="I642" s="203">
        <f t="shared" si="280"/>
        <v>316</v>
      </c>
      <c r="J642" s="203" t="str">
        <f t="shared" si="280"/>
        <v>-</v>
      </c>
      <c r="K642" s="203" t="str">
        <f t="shared" si="280"/>
        <v>-</v>
      </c>
      <c r="L642" s="203">
        <f t="shared" si="280"/>
        <v>3899</v>
      </c>
      <c r="M642" s="187"/>
      <c r="N642" s="203" t="str">
        <f t="shared" si="268"/>
        <v>-</v>
      </c>
      <c r="O642" s="203" t="str">
        <f t="shared" si="268"/>
        <v>-</v>
      </c>
      <c r="P642" s="203" t="str">
        <f t="shared" si="268"/>
        <v>-</v>
      </c>
      <c r="Q642" s="203" t="str">
        <f t="shared" si="268"/>
        <v>-</v>
      </c>
      <c r="R642" s="203" t="str">
        <f t="shared" si="268"/>
        <v>-</v>
      </c>
      <c r="S642" s="203" t="str">
        <f t="shared" si="268"/>
        <v>-</v>
      </c>
    </row>
    <row r="643" spans="1:19" s="489" customFormat="1" ht="11.25" customHeight="1" x14ac:dyDescent="0.2">
      <c r="A643" s="118">
        <v>2019</v>
      </c>
      <c r="B643" s="203" t="str">
        <f t="shared" ref="B643:L644" si="281">B356</f>
        <v>-</v>
      </c>
      <c r="C643" s="203">
        <f t="shared" si="281"/>
        <v>12</v>
      </c>
      <c r="D643" s="203">
        <f t="shared" si="281"/>
        <v>16</v>
      </c>
      <c r="E643" s="203">
        <f t="shared" si="281"/>
        <v>62</v>
      </c>
      <c r="F643" s="203">
        <f t="shared" si="281"/>
        <v>470</v>
      </c>
      <c r="G643" s="203">
        <f t="shared" si="281"/>
        <v>1312</v>
      </c>
      <c r="H643" s="203" t="str">
        <f t="shared" si="281"/>
        <v>-</v>
      </c>
      <c r="I643" s="203" t="str">
        <f t="shared" si="281"/>
        <v>-</v>
      </c>
      <c r="J643" s="203" t="str">
        <f t="shared" si="281"/>
        <v>-</v>
      </c>
      <c r="K643" s="203" t="str">
        <f t="shared" si="281"/>
        <v>-</v>
      </c>
      <c r="L643" s="203">
        <f t="shared" si="281"/>
        <v>1872</v>
      </c>
      <c r="M643" s="187"/>
      <c r="N643" s="203" t="str">
        <f t="shared" ref="N643:S644" si="282">N356</f>
        <v>-</v>
      </c>
      <c r="O643" s="203" t="str">
        <f t="shared" si="282"/>
        <v>-</v>
      </c>
      <c r="P643" s="203" t="str">
        <f t="shared" si="282"/>
        <v>-</v>
      </c>
      <c r="Q643" s="203" t="str">
        <f t="shared" si="282"/>
        <v>-</v>
      </c>
      <c r="R643" s="203" t="str">
        <f t="shared" si="282"/>
        <v>-</v>
      </c>
      <c r="S643" s="203" t="str">
        <f t="shared" si="282"/>
        <v>-</v>
      </c>
    </row>
    <row r="644" spans="1:19" ht="11.25" customHeight="1" x14ac:dyDescent="0.2">
      <c r="A644" s="118" t="s">
        <v>393</v>
      </c>
      <c r="B644" s="203" t="str">
        <f t="shared" si="281"/>
        <v>-</v>
      </c>
      <c r="C644" s="203">
        <f t="shared" si="281"/>
        <v>1</v>
      </c>
      <c r="D644" s="203">
        <f t="shared" si="281"/>
        <v>5</v>
      </c>
      <c r="E644" s="203">
        <f t="shared" si="281"/>
        <v>168</v>
      </c>
      <c r="F644" s="203">
        <f t="shared" si="281"/>
        <v>651</v>
      </c>
      <c r="G644" s="203" t="str">
        <f t="shared" si="281"/>
        <v>-</v>
      </c>
      <c r="H644" s="203" t="str">
        <f t="shared" si="281"/>
        <v>-</v>
      </c>
      <c r="I644" s="203" t="str">
        <f t="shared" si="281"/>
        <v>-</v>
      </c>
      <c r="J644" s="203" t="str">
        <f t="shared" si="281"/>
        <v>-</v>
      </c>
      <c r="K644" s="203" t="str">
        <f t="shared" si="281"/>
        <v>-</v>
      </c>
      <c r="L644" s="203">
        <f t="shared" si="281"/>
        <v>825</v>
      </c>
      <c r="M644" s="187"/>
      <c r="N644" s="203" t="str">
        <f t="shared" si="282"/>
        <v>-</v>
      </c>
      <c r="O644" s="203" t="str">
        <f t="shared" si="282"/>
        <v>-</v>
      </c>
      <c r="P644" s="203" t="str">
        <f t="shared" si="282"/>
        <v>-</v>
      </c>
      <c r="Q644" s="203" t="str">
        <f t="shared" si="282"/>
        <v>-</v>
      </c>
      <c r="R644" s="203" t="str">
        <f t="shared" si="282"/>
        <v>-</v>
      </c>
      <c r="S644" s="203" t="str">
        <f t="shared" si="282"/>
        <v>-</v>
      </c>
    </row>
    <row r="645" spans="1:19" ht="11.25" customHeight="1" x14ac:dyDescent="0.2">
      <c r="A645" s="371"/>
      <c r="B645" s="200"/>
      <c r="C645" s="200"/>
      <c r="D645" s="200"/>
      <c r="E645" s="200"/>
      <c r="F645" s="200"/>
      <c r="G645" s="200"/>
      <c r="H645" s="200"/>
      <c r="I645" s="200"/>
      <c r="J645" s="200"/>
      <c r="K645" s="200"/>
      <c r="L645" s="200"/>
      <c r="N645" s="200"/>
      <c r="O645" s="200"/>
      <c r="P645" s="200"/>
      <c r="Q645" s="200"/>
      <c r="R645" s="200"/>
      <c r="S645" s="200"/>
    </row>
    <row r="646" spans="1:19" ht="11.25" customHeight="1" x14ac:dyDescent="0.2">
      <c r="A646" s="419" t="str">
        <f>A359</f>
        <v>South of Cape Falcon</v>
      </c>
      <c r="B646" s="200"/>
      <c r="C646" s="200"/>
      <c r="D646" s="200"/>
      <c r="E646" s="200"/>
      <c r="F646" s="200"/>
      <c r="G646" s="200"/>
      <c r="H646" s="200"/>
      <c r="I646" s="200"/>
      <c r="J646" s="200"/>
      <c r="K646" s="200"/>
      <c r="L646" s="200"/>
      <c r="N646" s="200"/>
      <c r="O646" s="200"/>
      <c r="P646" s="200"/>
      <c r="Q646" s="200"/>
      <c r="R646" s="200"/>
      <c r="S646" s="200"/>
    </row>
    <row r="647" spans="1:19" ht="11.25" customHeight="1" x14ac:dyDescent="0.2">
      <c r="A647" s="371" t="s">
        <v>30</v>
      </c>
      <c r="B647" s="200" t="s">
        <v>29</v>
      </c>
      <c r="C647" s="200" t="s">
        <v>29</v>
      </c>
      <c r="D647" s="200">
        <f t="shared" ref="D647:L647" si="283">AVERAGE(D389:D393)</f>
        <v>15135.2</v>
      </c>
      <c r="E647" s="200">
        <f t="shared" si="283"/>
        <v>8684.2000000000007</v>
      </c>
      <c r="F647" s="200">
        <f t="shared" si="283"/>
        <v>54344.800000000003</v>
      </c>
      <c r="G647" s="200">
        <f t="shared" si="283"/>
        <v>43723.6</v>
      </c>
      <c r="H647" s="200">
        <f t="shared" si="283"/>
        <v>10611.6</v>
      </c>
      <c r="I647" s="200">
        <f t="shared" si="283"/>
        <v>6298.8</v>
      </c>
      <c r="J647" s="200">
        <f t="shared" si="283"/>
        <v>1149</v>
      </c>
      <c r="K647" s="200" t="s">
        <v>29</v>
      </c>
      <c r="L647" s="200">
        <f t="shared" si="283"/>
        <v>139947.20000000001</v>
      </c>
      <c r="N647" s="189" t="s">
        <v>29</v>
      </c>
      <c r="O647" s="200">
        <f>AVERAGE(O389:O393)</f>
        <v>275956.5</v>
      </c>
      <c r="P647" s="200">
        <f>AVERAGE(P389:P393)</f>
        <v>97114</v>
      </c>
      <c r="Q647" s="200">
        <f>AVERAGE(Q389:Q393)</f>
        <v>5803</v>
      </c>
      <c r="R647" s="189" t="s">
        <v>29</v>
      </c>
      <c r="S647" s="200">
        <f>AVERAGE(S389:S393)</f>
        <v>350242.75</v>
      </c>
    </row>
    <row r="648" spans="1:19" ht="11.25" customHeight="1" x14ac:dyDescent="0.2">
      <c r="A648" s="371" t="s">
        <v>87</v>
      </c>
      <c r="B648" s="200" t="s">
        <v>29</v>
      </c>
      <c r="C648" s="200" t="s">
        <v>29</v>
      </c>
      <c r="D648" s="200">
        <f t="shared" ref="D648:L648" si="284">AVERAGE(D394:D398)</f>
        <v>46099.199999999997</v>
      </c>
      <c r="E648" s="200">
        <f t="shared" si="284"/>
        <v>58817.599999999999</v>
      </c>
      <c r="F648" s="200">
        <f t="shared" si="284"/>
        <v>141367</v>
      </c>
      <c r="G648" s="200">
        <f t="shared" si="284"/>
        <v>90555.4</v>
      </c>
      <c r="H648" s="200">
        <f t="shared" si="284"/>
        <v>31607.200000000001</v>
      </c>
      <c r="I648" s="200">
        <f t="shared" si="284"/>
        <v>21689.200000000001</v>
      </c>
      <c r="J648" s="200">
        <f t="shared" si="284"/>
        <v>1642.25</v>
      </c>
      <c r="K648" s="200" t="s">
        <v>29</v>
      </c>
      <c r="L648" s="200">
        <f t="shared" si="284"/>
        <v>391449.4</v>
      </c>
      <c r="N648" s="200">
        <f t="shared" ref="N648:S648" si="285">AVERAGE(N394:N398)</f>
        <v>3699.6</v>
      </c>
      <c r="O648" s="200">
        <f t="shared" si="285"/>
        <v>295498.59999999998</v>
      </c>
      <c r="P648" s="200">
        <f t="shared" si="285"/>
        <v>95998.5</v>
      </c>
      <c r="Q648" s="200">
        <f t="shared" si="285"/>
        <v>20776</v>
      </c>
      <c r="R648" s="189" t="s">
        <v>29</v>
      </c>
      <c r="S648" s="200">
        <f t="shared" si="285"/>
        <v>380152.2</v>
      </c>
    </row>
    <row r="649" spans="1:19" ht="11.25" customHeight="1" x14ac:dyDescent="0.2">
      <c r="A649" s="371" t="s">
        <v>14</v>
      </c>
      <c r="B649" s="200" t="s">
        <v>29</v>
      </c>
      <c r="C649" s="200" t="s">
        <v>29</v>
      </c>
      <c r="D649" s="200">
        <f>AVERAGE(D399:D403)</f>
        <v>12604.6</v>
      </c>
      <c r="E649" s="200">
        <f t="shared" ref="E649:J649" si="286">AVERAGE(E399:E403)</f>
        <v>18016.25</v>
      </c>
      <c r="F649" s="200">
        <f t="shared" si="286"/>
        <v>15387.5</v>
      </c>
      <c r="G649" s="200">
        <f t="shared" si="286"/>
        <v>29246</v>
      </c>
      <c r="H649" s="200">
        <f t="shared" si="286"/>
        <v>16869</v>
      </c>
      <c r="I649" s="200">
        <f t="shared" si="286"/>
        <v>14667.6</v>
      </c>
      <c r="J649" s="200">
        <f t="shared" si="286"/>
        <v>453.33333333333331</v>
      </c>
      <c r="K649" s="200" t="s">
        <v>29</v>
      </c>
      <c r="L649" s="200">
        <f>AVERAGE(L399:L403)</f>
        <v>100382.2</v>
      </c>
      <c r="N649" s="200">
        <f>AVERAGE(N399:N403)</f>
        <v>91249</v>
      </c>
      <c r="O649" s="200">
        <f>AVERAGE(O399:O403)</f>
        <v>105910.5</v>
      </c>
      <c r="P649" s="200">
        <f>AVERAGE(P399:P403)</f>
        <v>8382</v>
      </c>
      <c r="Q649" s="189" t="s">
        <v>29</v>
      </c>
      <c r="R649" s="189" t="s">
        <v>29</v>
      </c>
      <c r="S649" s="200">
        <f>AVERAGE(S399:S403)</f>
        <v>109417.66666666667</v>
      </c>
    </row>
    <row r="650" spans="1:19" ht="11.25" customHeight="1" x14ac:dyDescent="0.2">
      <c r="A650" s="371" t="s">
        <v>207</v>
      </c>
      <c r="B650" s="200" t="s">
        <v>29</v>
      </c>
      <c r="C650" s="200" t="s">
        <v>29</v>
      </c>
      <c r="D650" s="200">
        <f>AVERAGE(D404:D408)</f>
        <v>22750.6</v>
      </c>
      <c r="E650" s="200">
        <f t="shared" ref="E650:J650" si="287">AVERAGE(E404:E408)</f>
        <v>29103.599999999999</v>
      </c>
      <c r="F650" s="200">
        <f t="shared" si="287"/>
        <v>13879.5</v>
      </c>
      <c r="G650" s="200">
        <f t="shared" si="287"/>
        <v>39213.599999999999</v>
      </c>
      <c r="H650" s="200">
        <f t="shared" si="287"/>
        <v>18034.599999999999</v>
      </c>
      <c r="I650" s="200">
        <f t="shared" si="287"/>
        <v>8035.2</v>
      </c>
      <c r="J650" s="200">
        <f t="shared" si="287"/>
        <v>1002.2</v>
      </c>
      <c r="K650" s="200" t="s">
        <v>29</v>
      </c>
      <c r="L650" s="200">
        <f>AVERAGE(L404:L408)</f>
        <v>129065.4</v>
      </c>
      <c r="N650" s="200">
        <f>AVERAGE(N404:N408)</f>
        <v>8</v>
      </c>
      <c r="O650" s="200" t="s">
        <v>29</v>
      </c>
      <c r="P650" s="200" t="s">
        <v>29</v>
      </c>
      <c r="Q650" s="189" t="s">
        <v>29</v>
      </c>
      <c r="R650" s="189" t="s">
        <v>29</v>
      </c>
      <c r="S650" s="200">
        <f>AVERAGE(S404:S408)</f>
        <v>8</v>
      </c>
    </row>
    <row r="651" spans="1:19" ht="11.25" customHeight="1" x14ac:dyDescent="0.2">
      <c r="A651" s="118" t="s">
        <v>238</v>
      </c>
      <c r="B651" s="200">
        <f>AVERAGE(B409:B413)</f>
        <v>14823</v>
      </c>
      <c r="C651" s="200">
        <f>AVERAGE(C409:C413)</f>
        <v>25408.6</v>
      </c>
      <c r="D651" s="200">
        <f>AVERAGE(D409:D413)</f>
        <v>50447.4</v>
      </c>
      <c r="E651" s="200">
        <f t="shared" ref="E651:L651" si="288">AVERAGE(E409:E413)</f>
        <v>42413</v>
      </c>
      <c r="F651" s="200">
        <f t="shared" si="288"/>
        <v>22087.75</v>
      </c>
      <c r="G651" s="200">
        <f t="shared" si="288"/>
        <v>52179</v>
      </c>
      <c r="H651" s="200">
        <f t="shared" si="288"/>
        <v>50313.4</v>
      </c>
      <c r="I651" s="200">
        <f t="shared" si="288"/>
        <v>33123</v>
      </c>
      <c r="J651" s="200">
        <f t="shared" si="288"/>
        <v>1346.6</v>
      </c>
      <c r="K651" s="200">
        <f t="shared" si="288"/>
        <v>148</v>
      </c>
      <c r="L651" s="200">
        <f t="shared" si="288"/>
        <v>274471.8</v>
      </c>
      <c r="N651" s="200" t="str">
        <f t="shared" ref="N651:S651" si="289">N409</f>
        <v>-</v>
      </c>
      <c r="O651" s="200" t="str">
        <f t="shared" si="289"/>
        <v>-</v>
      </c>
      <c r="P651" s="200" t="str">
        <f t="shared" si="289"/>
        <v>-</v>
      </c>
      <c r="Q651" s="200" t="str">
        <f t="shared" si="289"/>
        <v>-</v>
      </c>
      <c r="R651" s="200" t="str">
        <f t="shared" si="289"/>
        <v>-</v>
      </c>
      <c r="S651" s="200" t="str">
        <f t="shared" si="289"/>
        <v>-</v>
      </c>
    </row>
    <row r="652" spans="1:19" ht="11.25" customHeight="1" x14ac:dyDescent="0.2">
      <c r="A652" s="118">
        <v>2006</v>
      </c>
      <c r="B652" s="203" t="str">
        <f t="shared" ref="B652:L652" si="290">B414</f>
        <v>-</v>
      </c>
      <c r="C652" s="203" t="str">
        <f t="shared" si="290"/>
        <v>-</v>
      </c>
      <c r="D652" s="203" t="str">
        <f t="shared" si="290"/>
        <v>-</v>
      </c>
      <c r="E652" s="203">
        <f t="shared" si="290"/>
        <v>9550</v>
      </c>
      <c r="F652" s="203">
        <f t="shared" si="290"/>
        <v>3616</v>
      </c>
      <c r="G652" s="203">
        <f t="shared" si="290"/>
        <v>962</v>
      </c>
      <c r="H652" s="203">
        <f t="shared" si="290"/>
        <v>4379</v>
      </c>
      <c r="I652" s="203">
        <f t="shared" si="290"/>
        <v>4039</v>
      </c>
      <c r="J652" s="203">
        <f t="shared" si="290"/>
        <v>1691</v>
      </c>
      <c r="K652" s="203">
        <f t="shared" si="290"/>
        <v>131</v>
      </c>
      <c r="L652" s="203">
        <f t="shared" si="290"/>
        <v>24368</v>
      </c>
      <c r="N652" s="203" t="str">
        <f t="shared" ref="N652:S664" si="291">N414</f>
        <v>-</v>
      </c>
      <c r="O652" s="203" t="str">
        <f t="shared" si="291"/>
        <v>-</v>
      </c>
      <c r="P652" s="203" t="str">
        <f t="shared" si="291"/>
        <v>-</v>
      </c>
      <c r="Q652" s="203" t="str">
        <f t="shared" si="291"/>
        <v>-</v>
      </c>
      <c r="R652" s="203" t="str">
        <f t="shared" si="291"/>
        <v>-</v>
      </c>
      <c r="S652" s="203" t="str">
        <f t="shared" si="291"/>
        <v>-</v>
      </c>
    </row>
    <row r="653" spans="1:19" s="366" customFormat="1" ht="11.25" customHeight="1" x14ac:dyDescent="0.2">
      <c r="A653" s="118">
        <v>2007</v>
      </c>
      <c r="B653" s="203" t="str">
        <f t="shared" ref="B653:L653" si="292">B415</f>
        <v>-</v>
      </c>
      <c r="C653" s="203">
        <f t="shared" si="292"/>
        <v>1871</v>
      </c>
      <c r="D653" s="203">
        <f t="shared" si="292"/>
        <v>7353</v>
      </c>
      <c r="E653" s="203">
        <f t="shared" si="292"/>
        <v>5190</v>
      </c>
      <c r="F653" s="203">
        <f t="shared" si="292"/>
        <v>2909</v>
      </c>
      <c r="G653" s="203">
        <f t="shared" si="292"/>
        <v>13884</v>
      </c>
      <c r="H653" s="203">
        <f t="shared" si="292"/>
        <v>1113</v>
      </c>
      <c r="I653" s="203">
        <f t="shared" si="292"/>
        <v>1004</v>
      </c>
      <c r="J653" s="203">
        <f t="shared" si="292"/>
        <v>717</v>
      </c>
      <c r="K653" s="203">
        <f t="shared" si="292"/>
        <v>3</v>
      </c>
      <c r="L653" s="203">
        <f t="shared" si="292"/>
        <v>34044</v>
      </c>
      <c r="M653" s="187"/>
      <c r="N653" s="203" t="str">
        <f t="shared" si="291"/>
        <v>-</v>
      </c>
      <c r="O653" s="203" t="str">
        <f t="shared" si="291"/>
        <v>-</v>
      </c>
      <c r="P653" s="203">
        <f t="shared" si="291"/>
        <v>5036</v>
      </c>
      <c r="Q653" s="203">
        <f t="shared" si="291"/>
        <v>519</v>
      </c>
      <c r="R653" s="203" t="str">
        <f t="shared" si="291"/>
        <v>-</v>
      </c>
      <c r="S653" s="203">
        <f t="shared" si="291"/>
        <v>5555</v>
      </c>
    </row>
    <row r="654" spans="1:19" s="366" customFormat="1" ht="11.25" customHeight="1" x14ac:dyDescent="0.2">
      <c r="A654" s="118">
        <v>2008</v>
      </c>
      <c r="B654" s="203" t="str">
        <f t="shared" ref="B654:L654" si="293">B416</f>
        <v>-</v>
      </c>
      <c r="C654" s="203" t="str">
        <f t="shared" si="293"/>
        <v>-</v>
      </c>
      <c r="D654" s="203" t="str">
        <f t="shared" si="293"/>
        <v>-</v>
      </c>
      <c r="E654" s="203" t="str">
        <f t="shared" si="293"/>
        <v>-</v>
      </c>
      <c r="F654" s="203" t="str">
        <f t="shared" si="293"/>
        <v>-</v>
      </c>
      <c r="G654" s="203" t="str">
        <f t="shared" si="293"/>
        <v>-</v>
      </c>
      <c r="H654" s="203">
        <f t="shared" si="293"/>
        <v>64</v>
      </c>
      <c r="I654" s="203">
        <f t="shared" si="293"/>
        <v>248</v>
      </c>
      <c r="J654" s="203">
        <f t="shared" si="293"/>
        <v>208</v>
      </c>
      <c r="K654" s="203" t="str">
        <f t="shared" si="293"/>
        <v>-</v>
      </c>
      <c r="L654" s="203">
        <f t="shared" si="293"/>
        <v>520</v>
      </c>
      <c r="M654" s="187"/>
      <c r="N654" s="203" t="str">
        <f t="shared" si="291"/>
        <v>-</v>
      </c>
      <c r="O654" s="203" t="str">
        <f t="shared" si="291"/>
        <v>-</v>
      </c>
      <c r="P654" s="203" t="str">
        <f t="shared" si="291"/>
        <v>-</v>
      </c>
      <c r="Q654" s="203" t="str">
        <f t="shared" si="291"/>
        <v>-</v>
      </c>
      <c r="R654" s="203" t="str">
        <f t="shared" si="291"/>
        <v>-</v>
      </c>
      <c r="S654" s="203" t="str">
        <f t="shared" si="291"/>
        <v>-</v>
      </c>
    </row>
    <row r="655" spans="1:19" s="366" customFormat="1" ht="11.25" customHeight="1" x14ac:dyDescent="0.2">
      <c r="A655" s="118">
        <v>2009</v>
      </c>
      <c r="B655" s="203" t="str">
        <f t="shared" ref="B655:L655" si="294">B417</f>
        <v>-</v>
      </c>
      <c r="C655" s="203" t="str">
        <f t="shared" si="294"/>
        <v>-</v>
      </c>
      <c r="D655" s="203" t="str">
        <f t="shared" si="294"/>
        <v>-</v>
      </c>
      <c r="E655" s="203" t="str">
        <f t="shared" si="294"/>
        <v>-</v>
      </c>
      <c r="F655" s="203" t="str">
        <f t="shared" si="294"/>
        <v>-</v>
      </c>
      <c r="G655" s="203" t="str">
        <f t="shared" si="294"/>
        <v>-</v>
      </c>
      <c r="H655" s="203">
        <f t="shared" si="294"/>
        <v>105</v>
      </c>
      <c r="I655" s="203">
        <f t="shared" si="294"/>
        <v>332</v>
      </c>
      <c r="J655" s="203" t="str">
        <f t="shared" si="294"/>
        <v>-</v>
      </c>
      <c r="K655" s="203" t="str">
        <f t="shared" si="294"/>
        <v>-</v>
      </c>
      <c r="L655" s="203">
        <f t="shared" si="294"/>
        <v>437</v>
      </c>
      <c r="M655" s="187"/>
      <c r="N655" s="203" t="str">
        <f t="shared" si="291"/>
        <v>-</v>
      </c>
      <c r="O655" s="203" t="str">
        <f t="shared" si="291"/>
        <v>-</v>
      </c>
      <c r="P655" s="203" t="str">
        <f t="shared" si="291"/>
        <v>-</v>
      </c>
      <c r="Q655" s="203">
        <f t="shared" si="291"/>
        <v>9278</v>
      </c>
      <c r="R655" s="203" t="str">
        <f t="shared" si="291"/>
        <v>-</v>
      </c>
      <c r="S655" s="203">
        <f t="shared" si="291"/>
        <v>9278</v>
      </c>
    </row>
    <row r="656" spans="1:19" s="366" customFormat="1" ht="11.25" customHeight="1" x14ac:dyDescent="0.2">
      <c r="A656" s="118">
        <v>2010</v>
      </c>
      <c r="B656" s="203" t="str">
        <f t="shared" ref="B656:L656" si="295">B418</f>
        <v>-</v>
      </c>
      <c r="C656" s="203" t="str">
        <f t="shared" si="295"/>
        <v>-</v>
      </c>
      <c r="D656" s="203">
        <f t="shared" si="295"/>
        <v>9183</v>
      </c>
      <c r="E656" s="203">
        <f t="shared" si="295"/>
        <v>8966</v>
      </c>
      <c r="F656" s="203">
        <f t="shared" si="295"/>
        <v>4327</v>
      </c>
      <c r="G656" s="203">
        <f t="shared" si="295"/>
        <v>3922</v>
      </c>
      <c r="H656" s="203">
        <f t="shared" si="295"/>
        <v>56</v>
      </c>
      <c r="I656" s="203">
        <f t="shared" si="295"/>
        <v>1859</v>
      </c>
      <c r="J656" s="203" t="str">
        <f t="shared" si="295"/>
        <v>-</v>
      </c>
      <c r="K656" s="203" t="str">
        <f t="shared" si="295"/>
        <v>-</v>
      </c>
      <c r="L656" s="203">
        <f t="shared" si="295"/>
        <v>28313</v>
      </c>
      <c r="M656" s="187"/>
      <c r="N656" s="203" t="str">
        <f t="shared" si="291"/>
        <v>-</v>
      </c>
      <c r="O656" s="203" t="str">
        <f t="shared" si="291"/>
        <v>-</v>
      </c>
      <c r="P656" s="203" t="str">
        <f t="shared" si="291"/>
        <v>-</v>
      </c>
      <c r="Q656" s="203" t="str">
        <f t="shared" si="291"/>
        <v>-</v>
      </c>
      <c r="R656" s="203" t="str">
        <f t="shared" si="291"/>
        <v>-</v>
      </c>
      <c r="S656" s="203" t="str">
        <f t="shared" si="291"/>
        <v>-</v>
      </c>
    </row>
    <row r="657" spans="1:19" s="366" customFormat="1" ht="11.25" customHeight="1" x14ac:dyDescent="0.2">
      <c r="A657" s="118">
        <v>2011</v>
      </c>
      <c r="B657" s="203" t="str">
        <f t="shared" ref="B657:L657" si="296">B419</f>
        <v>-</v>
      </c>
      <c r="C657" s="203">
        <f t="shared" si="296"/>
        <v>4481</v>
      </c>
      <c r="D657" s="203">
        <f t="shared" si="296"/>
        <v>8502</v>
      </c>
      <c r="E657" s="203">
        <f t="shared" si="296"/>
        <v>10655</v>
      </c>
      <c r="F657" s="203">
        <f t="shared" si="296"/>
        <v>726</v>
      </c>
      <c r="G657" s="203">
        <f t="shared" si="296"/>
        <v>1349</v>
      </c>
      <c r="H657" s="203">
        <f t="shared" si="296"/>
        <v>337</v>
      </c>
      <c r="I657" s="203">
        <f t="shared" si="296"/>
        <v>1200</v>
      </c>
      <c r="J657" s="203">
        <f t="shared" si="296"/>
        <v>1995</v>
      </c>
      <c r="K657" s="203" t="str">
        <f t="shared" si="296"/>
        <v>-</v>
      </c>
      <c r="L657" s="203">
        <f t="shared" si="296"/>
        <v>29245</v>
      </c>
      <c r="M657" s="187"/>
      <c r="N657" s="203" t="str">
        <f t="shared" si="291"/>
        <v>-</v>
      </c>
      <c r="O657" s="203" t="str">
        <f t="shared" si="291"/>
        <v>-</v>
      </c>
      <c r="P657" s="203" t="str">
        <f t="shared" si="291"/>
        <v>-</v>
      </c>
      <c r="Q657" s="203" t="str">
        <f t="shared" si="291"/>
        <v>-</v>
      </c>
      <c r="R657" s="203" t="str">
        <f t="shared" si="291"/>
        <v>-</v>
      </c>
      <c r="S657" s="203" t="str">
        <f t="shared" si="291"/>
        <v>-</v>
      </c>
    </row>
    <row r="658" spans="1:19" s="366" customFormat="1" ht="11.25" customHeight="1" x14ac:dyDescent="0.2">
      <c r="A658" s="118">
        <v>2012</v>
      </c>
      <c r="B658" s="203" t="str">
        <f t="shared" ref="B658:L658" si="297">B420</f>
        <v>-</v>
      </c>
      <c r="C658" s="203">
        <f t="shared" si="297"/>
        <v>3633</v>
      </c>
      <c r="D658" s="203">
        <f t="shared" si="297"/>
        <v>14904</v>
      </c>
      <c r="E658" s="203">
        <f t="shared" si="297"/>
        <v>8644</v>
      </c>
      <c r="F658" s="203">
        <f t="shared" si="297"/>
        <v>3241</v>
      </c>
      <c r="G658" s="203">
        <f t="shared" si="297"/>
        <v>10099</v>
      </c>
      <c r="H658" s="203">
        <f t="shared" si="297"/>
        <v>14561</v>
      </c>
      <c r="I658" s="203">
        <f t="shared" si="297"/>
        <v>8874</v>
      </c>
      <c r="J658" s="203">
        <f t="shared" si="297"/>
        <v>701</v>
      </c>
      <c r="K658" s="203" t="str">
        <f t="shared" si="297"/>
        <v>-</v>
      </c>
      <c r="L658" s="203">
        <f t="shared" si="297"/>
        <v>64657</v>
      </c>
      <c r="M658" s="187"/>
      <c r="N658" s="203" t="str">
        <f t="shared" si="291"/>
        <v>-</v>
      </c>
      <c r="O658" s="203" t="str">
        <f t="shared" si="291"/>
        <v>-</v>
      </c>
      <c r="P658" s="203" t="str">
        <f t="shared" si="291"/>
        <v>-</v>
      </c>
      <c r="Q658" s="203" t="str">
        <f t="shared" si="291"/>
        <v>-</v>
      </c>
      <c r="R658" s="203" t="str">
        <f t="shared" si="291"/>
        <v>-</v>
      </c>
      <c r="S658" s="203" t="str">
        <f t="shared" si="291"/>
        <v>-</v>
      </c>
    </row>
    <row r="659" spans="1:19" s="366" customFormat="1" ht="11.25" customHeight="1" x14ac:dyDescent="0.2">
      <c r="A659" s="118">
        <v>2013</v>
      </c>
      <c r="B659" s="203" t="str">
        <f t="shared" ref="B659:L659" si="298">B421</f>
        <v>-</v>
      </c>
      <c r="C659" s="203">
        <f t="shared" si="298"/>
        <v>7423</v>
      </c>
      <c r="D659" s="203">
        <f t="shared" si="298"/>
        <v>9100</v>
      </c>
      <c r="E659" s="203">
        <f t="shared" si="298"/>
        <v>7437</v>
      </c>
      <c r="F659" s="203">
        <f t="shared" si="298"/>
        <v>8502</v>
      </c>
      <c r="G659" s="203">
        <f t="shared" si="298"/>
        <v>40383</v>
      </c>
      <c r="H659" s="203">
        <f t="shared" si="298"/>
        <v>28386</v>
      </c>
      <c r="I659" s="203">
        <f t="shared" si="298"/>
        <v>8579</v>
      </c>
      <c r="J659" s="203">
        <f t="shared" si="298"/>
        <v>1002</v>
      </c>
      <c r="K659" s="203" t="str">
        <f t="shared" si="298"/>
        <v>-</v>
      </c>
      <c r="L659" s="203">
        <f t="shared" si="298"/>
        <v>110812</v>
      </c>
      <c r="M659" s="187"/>
      <c r="N659" s="203" t="str">
        <f t="shared" si="291"/>
        <v>-</v>
      </c>
      <c r="O659" s="203" t="str">
        <f t="shared" si="291"/>
        <v>-</v>
      </c>
      <c r="P659" s="203" t="str">
        <f t="shared" si="291"/>
        <v>-</v>
      </c>
      <c r="Q659" s="203" t="str">
        <f t="shared" si="291"/>
        <v>-</v>
      </c>
      <c r="R659" s="203" t="str">
        <f t="shared" si="291"/>
        <v>-</v>
      </c>
      <c r="S659" s="203" t="str">
        <f t="shared" si="291"/>
        <v>-</v>
      </c>
    </row>
    <row r="660" spans="1:19" ht="11.25" customHeight="1" x14ac:dyDescent="0.2">
      <c r="A660" s="118">
        <v>2014</v>
      </c>
      <c r="B660" s="203" t="str">
        <f t="shared" ref="B660:L660" si="299">B422</f>
        <v>-</v>
      </c>
      <c r="C660" s="203">
        <f t="shared" si="299"/>
        <v>15554</v>
      </c>
      <c r="D660" s="203">
        <f t="shared" si="299"/>
        <v>48741</v>
      </c>
      <c r="E660" s="203">
        <f t="shared" si="299"/>
        <v>29909</v>
      </c>
      <c r="F660" s="203">
        <f t="shared" si="299"/>
        <v>18818</v>
      </c>
      <c r="G660" s="203">
        <f t="shared" si="299"/>
        <v>67003</v>
      </c>
      <c r="H660" s="203">
        <f t="shared" si="299"/>
        <v>8905</v>
      </c>
      <c r="I660" s="203">
        <f t="shared" si="299"/>
        <v>2515</v>
      </c>
      <c r="J660" s="203">
        <f t="shared" si="299"/>
        <v>469</v>
      </c>
      <c r="K660" s="203" t="str">
        <f t="shared" si="299"/>
        <v>-</v>
      </c>
      <c r="L660" s="203">
        <f t="shared" si="299"/>
        <v>191914</v>
      </c>
      <c r="M660" s="187"/>
      <c r="N660" s="203" t="str">
        <f t="shared" si="291"/>
        <v>-</v>
      </c>
      <c r="O660" s="203" t="str">
        <f t="shared" si="291"/>
        <v>-</v>
      </c>
      <c r="P660" s="203" t="str">
        <f t="shared" si="291"/>
        <v>-</v>
      </c>
      <c r="Q660" s="203">
        <f t="shared" si="291"/>
        <v>3296</v>
      </c>
      <c r="R660" s="203" t="str">
        <f t="shared" si="291"/>
        <v>-</v>
      </c>
      <c r="S660" s="203">
        <f t="shared" si="291"/>
        <v>3296</v>
      </c>
    </row>
    <row r="661" spans="1:19" s="366" customFormat="1" ht="11.25" customHeight="1" x14ac:dyDescent="0.2">
      <c r="A661" s="118">
        <v>2015</v>
      </c>
      <c r="B661" s="203" t="str">
        <f t="shared" ref="B661:L661" si="300">B423</f>
        <v>-</v>
      </c>
      <c r="C661" s="203">
        <f t="shared" si="300"/>
        <v>16420</v>
      </c>
      <c r="D661" s="203">
        <f t="shared" si="300"/>
        <v>14286</v>
      </c>
      <c r="E661" s="203">
        <f t="shared" si="300"/>
        <v>21331</v>
      </c>
      <c r="F661" s="203">
        <f t="shared" si="300"/>
        <v>28029</v>
      </c>
      <c r="G661" s="203">
        <f t="shared" si="300"/>
        <v>7549</v>
      </c>
      <c r="H661" s="203">
        <f t="shared" si="300"/>
        <v>2006</v>
      </c>
      <c r="I661" s="203">
        <f t="shared" si="300"/>
        <v>2593</v>
      </c>
      <c r="J661" s="203">
        <f t="shared" si="300"/>
        <v>1163</v>
      </c>
      <c r="K661" s="203" t="str">
        <f t="shared" si="300"/>
        <v>-</v>
      </c>
      <c r="L661" s="203">
        <f t="shared" si="300"/>
        <v>93377</v>
      </c>
      <c r="M661" s="187"/>
      <c r="N661" s="203" t="str">
        <f t="shared" si="291"/>
        <v>-</v>
      </c>
      <c r="O661" s="203" t="str">
        <f t="shared" si="291"/>
        <v>-</v>
      </c>
      <c r="P661" s="203" t="str">
        <f t="shared" si="291"/>
        <v>-</v>
      </c>
      <c r="Q661" s="203" t="str">
        <f t="shared" si="291"/>
        <v>-</v>
      </c>
      <c r="R661" s="203" t="str">
        <f t="shared" si="291"/>
        <v>-</v>
      </c>
      <c r="S661" s="203" t="str">
        <f t="shared" si="291"/>
        <v>-</v>
      </c>
    </row>
    <row r="662" spans="1:19" s="366" customFormat="1" ht="11.25" customHeight="1" x14ac:dyDescent="0.2">
      <c r="A662" s="118">
        <v>2016</v>
      </c>
      <c r="B662" s="203" t="str">
        <f t="shared" ref="B662:L662" si="301">B424</f>
        <v>-</v>
      </c>
      <c r="C662" s="203">
        <f t="shared" si="301"/>
        <v>6597</v>
      </c>
      <c r="D662" s="203">
        <f t="shared" si="301"/>
        <v>6023</v>
      </c>
      <c r="E662" s="203">
        <f t="shared" si="301"/>
        <v>4915</v>
      </c>
      <c r="F662" s="203">
        <f t="shared" si="301"/>
        <v>11264</v>
      </c>
      <c r="G662" s="203">
        <f t="shared" si="301"/>
        <v>8627</v>
      </c>
      <c r="H662" s="203">
        <f t="shared" si="301"/>
        <v>1812</v>
      </c>
      <c r="I662" s="203">
        <f t="shared" si="301"/>
        <v>869</v>
      </c>
      <c r="J662" s="203">
        <f t="shared" si="301"/>
        <v>182</v>
      </c>
      <c r="K662" s="203" t="str">
        <f t="shared" si="301"/>
        <v>-</v>
      </c>
      <c r="L662" s="203">
        <f t="shared" si="301"/>
        <v>40289</v>
      </c>
      <c r="M662" s="187"/>
      <c r="N662" s="203" t="str">
        <f t="shared" si="291"/>
        <v>-</v>
      </c>
      <c r="O662" s="203" t="str">
        <f t="shared" si="291"/>
        <v>-</v>
      </c>
      <c r="P662" s="203" t="str">
        <f t="shared" si="291"/>
        <v>-</v>
      </c>
      <c r="Q662" s="203" t="str">
        <f t="shared" si="291"/>
        <v>-</v>
      </c>
      <c r="R662" s="203" t="str">
        <f t="shared" si="291"/>
        <v>-</v>
      </c>
      <c r="S662" s="203" t="str">
        <f t="shared" si="291"/>
        <v>-</v>
      </c>
    </row>
    <row r="663" spans="1:19" s="366" customFormat="1" ht="11.25" customHeight="1" x14ac:dyDescent="0.2">
      <c r="A663" s="118">
        <v>2017</v>
      </c>
      <c r="B663" s="203" t="str">
        <f t="shared" ref="B663:L663" si="302">B425</f>
        <v>-</v>
      </c>
      <c r="C663" s="203">
        <f t="shared" si="302"/>
        <v>553</v>
      </c>
      <c r="D663" s="203">
        <f t="shared" si="302"/>
        <v>1229</v>
      </c>
      <c r="E663" s="203">
        <f t="shared" si="302"/>
        <v>3174</v>
      </c>
      <c r="F663" s="203">
        <f t="shared" si="302"/>
        <v>13019</v>
      </c>
      <c r="G663" s="203" t="str">
        <f t="shared" si="302"/>
        <v>-</v>
      </c>
      <c r="H663" s="203">
        <f t="shared" si="302"/>
        <v>137</v>
      </c>
      <c r="I663" s="203">
        <f t="shared" si="302"/>
        <v>1010</v>
      </c>
      <c r="J663" s="203">
        <f t="shared" si="302"/>
        <v>96</v>
      </c>
      <c r="K663" s="203" t="str">
        <f t="shared" si="302"/>
        <v>-</v>
      </c>
      <c r="L663" s="203">
        <f t="shared" si="302"/>
        <v>19218</v>
      </c>
      <c r="M663" s="187"/>
      <c r="N663" s="203" t="str">
        <f t="shared" si="291"/>
        <v>-</v>
      </c>
      <c r="O663" s="203" t="str">
        <f t="shared" si="291"/>
        <v>-</v>
      </c>
      <c r="P663" s="203" t="str">
        <f t="shared" si="291"/>
        <v>-</v>
      </c>
      <c r="Q663" s="203" t="str">
        <f t="shared" si="291"/>
        <v>-</v>
      </c>
      <c r="R663" s="203" t="str">
        <f t="shared" si="291"/>
        <v>-</v>
      </c>
      <c r="S663" s="203" t="str">
        <f t="shared" si="291"/>
        <v>-</v>
      </c>
    </row>
    <row r="664" spans="1:19" s="366" customFormat="1" ht="11.25" customHeight="1" x14ac:dyDescent="0.2">
      <c r="A664" s="118">
        <v>2018</v>
      </c>
      <c r="B664" s="203" t="str">
        <f t="shared" ref="B664:L664" si="303">B426</f>
        <v>-</v>
      </c>
      <c r="C664" s="203" t="str">
        <f t="shared" si="303"/>
        <v>-</v>
      </c>
      <c r="D664" s="203">
        <f t="shared" si="303"/>
        <v>1243</v>
      </c>
      <c r="E664" s="203">
        <f t="shared" si="303"/>
        <v>4407</v>
      </c>
      <c r="F664" s="203">
        <f t="shared" si="303"/>
        <v>4098</v>
      </c>
      <c r="G664" s="203">
        <f t="shared" si="303"/>
        <v>12918</v>
      </c>
      <c r="H664" s="203">
        <f t="shared" si="303"/>
        <v>225</v>
      </c>
      <c r="I664" s="203">
        <f t="shared" si="303"/>
        <v>806</v>
      </c>
      <c r="J664" s="203">
        <f t="shared" si="303"/>
        <v>431</v>
      </c>
      <c r="K664" s="203" t="str">
        <f t="shared" si="303"/>
        <v>-</v>
      </c>
      <c r="L664" s="203">
        <f t="shared" si="303"/>
        <v>24128</v>
      </c>
      <c r="M664" s="187"/>
      <c r="N664" s="203" t="str">
        <f t="shared" si="291"/>
        <v>-</v>
      </c>
      <c r="O664" s="203" t="str">
        <f t="shared" si="291"/>
        <v>-</v>
      </c>
      <c r="P664" s="203" t="str">
        <f t="shared" si="291"/>
        <v>-</v>
      </c>
      <c r="Q664" s="203" t="str">
        <f t="shared" si="291"/>
        <v>-</v>
      </c>
      <c r="R664" s="203" t="str">
        <f t="shared" si="291"/>
        <v>-</v>
      </c>
      <c r="S664" s="203" t="str">
        <f t="shared" si="291"/>
        <v>-</v>
      </c>
    </row>
    <row r="665" spans="1:19" s="489" customFormat="1" ht="11.25" customHeight="1" x14ac:dyDescent="0.2">
      <c r="A665" s="118">
        <v>2019</v>
      </c>
      <c r="B665" s="203" t="str">
        <f t="shared" ref="B665:L666" si="304">B427</f>
        <v>-</v>
      </c>
      <c r="C665" s="203">
        <f t="shared" si="304"/>
        <v>162</v>
      </c>
      <c r="D665" s="203">
        <f t="shared" si="304"/>
        <v>681</v>
      </c>
      <c r="E665" s="203">
        <f t="shared" si="304"/>
        <v>3364</v>
      </c>
      <c r="F665" s="203">
        <f t="shared" si="304"/>
        <v>16712</v>
      </c>
      <c r="G665" s="203">
        <f t="shared" si="304"/>
        <v>5953</v>
      </c>
      <c r="H665" s="203">
        <f t="shared" si="304"/>
        <v>632</v>
      </c>
      <c r="I665" s="203">
        <f t="shared" si="304"/>
        <v>870</v>
      </c>
      <c r="J665" s="203" t="str">
        <f t="shared" si="304"/>
        <v>-</v>
      </c>
      <c r="K665" s="203" t="str">
        <f t="shared" si="304"/>
        <v>-</v>
      </c>
      <c r="L665" s="203">
        <f t="shared" si="304"/>
        <v>28374</v>
      </c>
      <c r="M665" s="187"/>
      <c r="N665" s="203" t="str">
        <f t="shared" ref="N665:S666" si="305">N427</f>
        <v>-</v>
      </c>
      <c r="O665" s="203" t="str">
        <f t="shared" si="305"/>
        <v>-</v>
      </c>
      <c r="P665" s="203" t="str">
        <f t="shared" si="305"/>
        <v>-</v>
      </c>
      <c r="Q665" s="203" t="str">
        <f t="shared" si="305"/>
        <v>-</v>
      </c>
      <c r="R665" s="203" t="str">
        <f t="shared" si="305"/>
        <v>-</v>
      </c>
      <c r="S665" s="203" t="str">
        <f t="shared" si="305"/>
        <v>-</v>
      </c>
    </row>
    <row r="666" spans="1:19" ht="11.25" customHeight="1" x14ac:dyDescent="0.2">
      <c r="A666" s="118" t="s">
        <v>393</v>
      </c>
      <c r="B666" s="203" t="str">
        <f t="shared" si="304"/>
        <v>-</v>
      </c>
      <c r="C666" s="203">
        <f t="shared" si="304"/>
        <v>800</v>
      </c>
      <c r="D666" s="203">
        <f t="shared" si="304"/>
        <v>782</v>
      </c>
      <c r="E666" s="203">
        <f t="shared" si="304"/>
        <v>2565</v>
      </c>
      <c r="F666" s="203">
        <f t="shared" si="304"/>
        <v>5006</v>
      </c>
      <c r="G666" s="203">
        <f t="shared" si="304"/>
        <v>1855</v>
      </c>
      <c r="H666" s="203">
        <f t="shared" si="304"/>
        <v>560</v>
      </c>
      <c r="I666" s="203">
        <f t="shared" si="304"/>
        <v>997</v>
      </c>
      <c r="J666" s="203" t="str">
        <f t="shared" si="304"/>
        <v>-</v>
      </c>
      <c r="K666" s="203" t="str">
        <f t="shared" si="304"/>
        <v>-</v>
      </c>
      <c r="L666" s="203">
        <f t="shared" si="304"/>
        <v>12565</v>
      </c>
      <c r="M666" s="187"/>
      <c r="N666" s="203" t="str">
        <f t="shared" si="305"/>
        <v>-</v>
      </c>
      <c r="O666" s="203" t="str">
        <f t="shared" si="305"/>
        <v>-</v>
      </c>
      <c r="P666" s="203" t="str">
        <f t="shared" si="305"/>
        <v>-</v>
      </c>
      <c r="Q666" s="203" t="str">
        <f t="shared" si="305"/>
        <v>-</v>
      </c>
      <c r="R666" s="203" t="str">
        <f t="shared" si="305"/>
        <v>-</v>
      </c>
      <c r="S666" s="203" t="str">
        <f t="shared" si="305"/>
        <v>-</v>
      </c>
    </row>
    <row r="667" spans="1:19" ht="11.25" customHeight="1" x14ac:dyDescent="0.2">
      <c r="A667" s="118"/>
      <c r="B667" s="203"/>
      <c r="C667" s="203"/>
      <c r="D667" s="203"/>
      <c r="E667" s="203"/>
      <c r="F667" s="203"/>
      <c r="G667" s="203"/>
      <c r="H667" s="203"/>
      <c r="I667" s="203"/>
      <c r="J667" s="203"/>
      <c r="K667" s="203"/>
      <c r="L667" s="203"/>
      <c r="N667" s="203"/>
      <c r="O667" s="203"/>
      <c r="P667" s="203"/>
      <c r="Q667" s="203"/>
      <c r="R667" s="203"/>
      <c r="S667" s="203"/>
    </row>
    <row r="668" spans="1:19" ht="11.25" customHeight="1" x14ac:dyDescent="0.2">
      <c r="A668" s="555" t="s">
        <v>359</v>
      </c>
      <c r="B668" s="555"/>
      <c r="C668" s="556"/>
      <c r="D668" s="556"/>
      <c r="E668" s="556"/>
      <c r="F668" s="556"/>
      <c r="G668" s="556"/>
      <c r="H668" s="556"/>
      <c r="I668" s="556"/>
      <c r="J668" s="556"/>
      <c r="K668" s="556"/>
      <c r="L668" s="556"/>
      <c r="M668" s="556"/>
      <c r="N668" s="556"/>
      <c r="O668" s="556"/>
      <c r="P668" s="556"/>
      <c r="Q668" s="556"/>
      <c r="R668" s="556"/>
      <c r="S668" s="556"/>
    </row>
    <row r="669" spans="1:19" ht="11.25" customHeight="1" x14ac:dyDescent="0.2">
      <c r="A669" s="124" t="s">
        <v>33</v>
      </c>
      <c r="B669" s="276" t="s">
        <v>43</v>
      </c>
      <c r="C669" s="276" t="s">
        <v>34</v>
      </c>
      <c r="D669" s="276" t="s">
        <v>35</v>
      </c>
      <c r="E669" s="276" t="s">
        <v>36</v>
      </c>
      <c r="F669" s="276" t="s">
        <v>37</v>
      </c>
      <c r="G669" s="276" t="s">
        <v>38</v>
      </c>
      <c r="H669" s="276" t="s">
        <v>39</v>
      </c>
      <c r="I669" s="276" t="s">
        <v>40</v>
      </c>
      <c r="J669" s="276" t="s">
        <v>44</v>
      </c>
      <c r="K669" s="276" t="s">
        <v>83</v>
      </c>
      <c r="L669" s="276" t="s">
        <v>28</v>
      </c>
      <c r="M669" s="276"/>
      <c r="N669" s="276" t="s">
        <v>36</v>
      </c>
      <c r="O669" s="276" t="s">
        <v>37</v>
      </c>
      <c r="P669" s="276" t="s">
        <v>38</v>
      </c>
      <c r="Q669" s="276" t="s">
        <v>39</v>
      </c>
      <c r="R669" s="276" t="s">
        <v>40</v>
      </c>
      <c r="S669" s="276" t="s">
        <v>28</v>
      </c>
    </row>
    <row r="670" spans="1:19" ht="11.25" customHeight="1" x14ac:dyDescent="0.2">
      <c r="B670" s="557" t="s">
        <v>67</v>
      </c>
      <c r="C670" s="557"/>
      <c r="D670" s="557"/>
      <c r="E670" s="557"/>
      <c r="F670" s="557"/>
      <c r="G670" s="557"/>
      <c r="H670" s="557"/>
      <c r="I670" s="557"/>
      <c r="J670" s="557"/>
      <c r="K670" s="557"/>
      <c r="L670" s="557"/>
      <c r="N670" s="557" t="s">
        <v>68</v>
      </c>
      <c r="O670" s="557"/>
      <c r="P670" s="557"/>
      <c r="Q670" s="557"/>
      <c r="R670" s="557"/>
      <c r="S670" s="557"/>
    </row>
    <row r="671" spans="1:19" ht="11.25" customHeight="1" x14ac:dyDescent="0.2">
      <c r="A671" s="419" t="str">
        <f>A430</f>
        <v>Statewide Total</v>
      </c>
      <c r="B671" s="200"/>
      <c r="C671" s="200"/>
      <c r="D671" s="200"/>
      <c r="E671" s="200"/>
      <c r="F671" s="200"/>
      <c r="G671" s="200"/>
      <c r="H671" s="200"/>
      <c r="I671" s="200"/>
      <c r="J671" s="200"/>
      <c r="K671" s="200"/>
      <c r="L671" s="200"/>
      <c r="N671" s="200"/>
      <c r="O671" s="200"/>
      <c r="P671" s="200"/>
      <c r="Q671" s="200"/>
      <c r="R671" s="200"/>
      <c r="S671" s="200"/>
    </row>
    <row r="672" spans="1:19" ht="11.25" customHeight="1" x14ac:dyDescent="0.2">
      <c r="A672" s="371" t="s">
        <v>30</v>
      </c>
      <c r="B672" s="200" t="s">
        <v>29</v>
      </c>
      <c r="C672" s="200" t="s">
        <v>29</v>
      </c>
      <c r="D672" s="200">
        <f t="shared" ref="D672:L672" si="306">AVERAGE(D460:D464)</f>
        <v>19873.400000000001</v>
      </c>
      <c r="E672" s="200">
        <f t="shared" si="306"/>
        <v>8684.2000000000007</v>
      </c>
      <c r="F672" s="200">
        <f t="shared" si="306"/>
        <v>54843.6</v>
      </c>
      <c r="G672" s="200">
        <f t="shared" si="306"/>
        <v>44016.800000000003</v>
      </c>
      <c r="H672" s="200">
        <f t="shared" si="306"/>
        <v>10634.8</v>
      </c>
      <c r="I672" s="200">
        <f t="shared" si="306"/>
        <v>6301.2</v>
      </c>
      <c r="J672" s="200">
        <f t="shared" si="306"/>
        <v>1149</v>
      </c>
      <c r="K672" s="200" t="s">
        <v>29</v>
      </c>
      <c r="L672" s="200">
        <f t="shared" si="306"/>
        <v>145503</v>
      </c>
      <c r="N672" s="189" t="s">
        <v>29</v>
      </c>
      <c r="O672" s="200">
        <f>AVERAGE(O460:O464)</f>
        <v>290077.75</v>
      </c>
      <c r="P672" s="200">
        <f>AVERAGE(P460:P464)</f>
        <v>84709.75</v>
      </c>
      <c r="Q672" s="200">
        <f>AVERAGE(Q460:Q464)</f>
        <v>8346</v>
      </c>
      <c r="R672" s="189" t="s">
        <v>29</v>
      </c>
      <c r="S672" s="200">
        <f>AVERAGE(S460:S464)</f>
        <v>301499.2</v>
      </c>
    </row>
    <row r="673" spans="1:20" ht="11.25" customHeight="1" x14ac:dyDescent="0.2">
      <c r="A673" s="371" t="s">
        <v>87</v>
      </c>
      <c r="B673" s="200" t="s">
        <v>29</v>
      </c>
      <c r="C673" s="200" t="s">
        <v>29</v>
      </c>
      <c r="D673" s="200">
        <f t="shared" ref="D673:L673" si="307">AVERAGE(D465:D469)</f>
        <v>47890</v>
      </c>
      <c r="E673" s="200">
        <f t="shared" si="307"/>
        <v>59035.4</v>
      </c>
      <c r="F673" s="200">
        <f t="shared" si="307"/>
        <v>141812</v>
      </c>
      <c r="G673" s="200">
        <f t="shared" si="307"/>
        <v>91258.8</v>
      </c>
      <c r="H673" s="200">
        <f t="shared" si="307"/>
        <v>31913.200000000001</v>
      </c>
      <c r="I673" s="200">
        <f t="shared" si="307"/>
        <v>21703.4</v>
      </c>
      <c r="J673" s="200">
        <f t="shared" si="307"/>
        <v>1642.25</v>
      </c>
      <c r="K673" s="200" t="s">
        <v>29</v>
      </c>
      <c r="L673" s="200">
        <f t="shared" si="307"/>
        <v>394926.6</v>
      </c>
      <c r="N673" s="200">
        <f t="shared" ref="N673:S673" si="308">AVERAGE(N465:N469)</f>
        <v>3699.6</v>
      </c>
      <c r="O673" s="200">
        <f t="shared" si="308"/>
        <v>296976.59999999998</v>
      </c>
      <c r="P673" s="200">
        <f t="shared" si="308"/>
        <v>89838.8</v>
      </c>
      <c r="Q673" s="200">
        <f t="shared" si="308"/>
        <v>11112.333333333334</v>
      </c>
      <c r="R673" s="200">
        <f t="shared" si="308"/>
        <v>304</v>
      </c>
      <c r="S673" s="200">
        <f t="shared" si="308"/>
        <v>397243.2</v>
      </c>
    </row>
    <row r="674" spans="1:20" ht="11.25" customHeight="1" x14ac:dyDescent="0.2">
      <c r="A674" s="371" t="s">
        <v>14</v>
      </c>
      <c r="B674" s="200" t="s">
        <v>29</v>
      </c>
      <c r="C674" s="200" t="s">
        <v>29</v>
      </c>
      <c r="D674" s="200">
        <f>AVERAGE(D470:D474)</f>
        <v>12795.4</v>
      </c>
      <c r="E674" s="200">
        <f t="shared" ref="E674:J674" si="309">AVERAGE(E470:E474)</f>
        <v>14606</v>
      </c>
      <c r="F674" s="200">
        <f t="shared" si="309"/>
        <v>15426.25</v>
      </c>
      <c r="G674" s="200">
        <f t="shared" si="309"/>
        <v>29358.400000000001</v>
      </c>
      <c r="H674" s="200">
        <f t="shared" si="309"/>
        <v>16904.2</v>
      </c>
      <c r="I674" s="200">
        <f t="shared" si="309"/>
        <v>14667.6</v>
      </c>
      <c r="J674" s="200">
        <f t="shared" si="309"/>
        <v>453.33333333333331</v>
      </c>
      <c r="K674" s="200" t="s">
        <v>29</v>
      </c>
      <c r="L674" s="200">
        <f>AVERAGE(L470:L474)</f>
        <v>100944.6</v>
      </c>
      <c r="N674" s="200">
        <f t="shared" ref="N674:S674" si="310">AVERAGE(N470:N474)</f>
        <v>91249</v>
      </c>
      <c r="O674" s="200">
        <f t="shared" si="310"/>
        <v>70896.666666666672</v>
      </c>
      <c r="P674" s="200">
        <f t="shared" si="310"/>
        <v>16037</v>
      </c>
      <c r="Q674" s="200">
        <f t="shared" si="310"/>
        <v>3006.5</v>
      </c>
      <c r="R674" s="200">
        <f t="shared" si="310"/>
        <v>18.5</v>
      </c>
      <c r="S674" s="200">
        <f t="shared" si="310"/>
        <v>119366.66666666667</v>
      </c>
    </row>
    <row r="675" spans="1:20" ht="11.25" customHeight="1" x14ac:dyDescent="0.2">
      <c r="A675" s="371" t="s">
        <v>207</v>
      </c>
      <c r="B675" s="200" t="s">
        <v>29</v>
      </c>
      <c r="C675" s="200" t="s">
        <v>29</v>
      </c>
      <c r="D675" s="200">
        <f>AVERAGE(D475:D479)</f>
        <v>22757.4</v>
      </c>
      <c r="E675" s="200">
        <f t="shared" ref="E675:J675" si="311">AVERAGE(E475:E479)</f>
        <v>29154.400000000001</v>
      </c>
      <c r="F675" s="200">
        <f t="shared" si="311"/>
        <v>13879.5</v>
      </c>
      <c r="G675" s="200">
        <f t="shared" si="311"/>
        <v>39603.800000000003</v>
      </c>
      <c r="H675" s="200">
        <f t="shared" si="311"/>
        <v>18044.400000000001</v>
      </c>
      <c r="I675" s="200">
        <f t="shared" si="311"/>
        <v>8035.2</v>
      </c>
      <c r="J675" s="200">
        <f t="shared" si="311"/>
        <v>1002.2</v>
      </c>
      <c r="K675" s="200" t="s">
        <v>29</v>
      </c>
      <c r="L675" s="200">
        <f>AVERAGE(L475:L479)</f>
        <v>129523</v>
      </c>
      <c r="N675" s="200">
        <f t="shared" ref="N675:S675" si="312">AVERAGE(N475:N479)</f>
        <v>8</v>
      </c>
      <c r="O675" s="200" t="s">
        <v>29</v>
      </c>
      <c r="P675" s="200">
        <f t="shared" si="312"/>
        <v>11600</v>
      </c>
      <c r="Q675" s="200">
        <f t="shared" si="312"/>
        <v>658</v>
      </c>
      <c r="R675" s="200" t="s">
        <v>29</v>
      </c>
      <c r="S675" s="200">
        <f t="shared" si="312"/>
        <v>6133</v>
      </c>
    </row>
    <row r="676" spans="1:20" ht="11.25" customHeight="1" x14ac:dyDescent="0.2">
      <c r="A676" s="118" t="s">
        <v>238</v>
      </c>
      <c r="B676" s="200">
        <f>AVERAGE(B480:B484)</f>
        <v>14823</v>
      </c>
      <c r="C676" s="200">
        <f>AVERAGE(C480:C484)</f>
        <v>25408.6</v>
      </c>
      <c r="D676" s="200">
        <f>AVERAGE(D480:D484)</f>
        <v>53080.4</v>
      </c>
      <c r="E676" s="200">
        <f t="shared" ref="E676:L676" si="313">AVERAGE(E480:E484)</f>
        <v>43814.6</v>
      </c>
      <c r="F676" s="200">
        <f t="shared" si="313"/>
        <v>19115</v>
      </c>
      <c r="G676" s="200">
        <f t="shared" si="313"/>
        <v>44072.2</v>
      </c>
      <c r="H676" s="200">
        <f t="shared" si="313"/>
        <v>50600</v>
      </c>
      <c r="I676" s="200">
        <f t="shared" si="313"/>
        <v>33123</v>
      </c>
      <c r="J676" s="200">
        <f t="shared" si="313"/>
        <v>1346.6</v>
      </c>
      <c r="K676" s="200">
        <f t="shared" si="313"/>
        <v>148</v>
      </c>
      <c r="L676" s="200">
        <f t="shared" si="313"/>
        <v>282566.8</v>
      </c>
      <c r="N676" s="200" t="str">
        <f>N480</f>
        <v>-</v>
      </c>
      <c r="O676" s="200">
        <f>AVERAGE(O480:O484)</f>
        <v>1524</v>
      </c>
      <c r="P676" s="200">
        <f>AVERAGE(P480:P484)</f>
        <v>2472.1999999999998</v>
      </c>
      <c r="Q676" s="200">
        <f>AVERAGE(Q480:Q484)</f>
        <v>3429.6666666666665</v>
      </c>
      <c r="R676" s="200" t="str">
        <f>R480</f>
        <v>-</v>
      </c>
      <c r="S676" s="200">
        <f>AVERAGE(S480:S484)</f>
        <v>5749.2</v>
      </c>
    </row>
    <row r="677" spans="1:20" s="366" customFormat="1" ht="11.25" customHeight="1" x14ac:dyDescent="0.2">
      <c r="A677" s="118">
        <v>2006</v>
      </c>
      <c r="B677" s="203" t="str">
        <f t="shared" ref="B677:L677" si="314">B485</f>
        <v>-</v>
      </c>
      <c r="C677" s="203" t="str">
        <f t="shared" si="314"/>
        <v>-</v>
      </c>
      <c r="D677" s="203">
        <f t="shared" si="314"/>
        <v>7167</v>
      </c>
      <c r="E677" s="203">
        <f t="shared" si="314"/>
        <v>12718</v>
      </c>
      <c r="F677" s="203">
        <f t="shared" si="314"/>
        <v>3617</v>
      </c>
      <c r="G677" s="203">
        <f t="shared" si="314"/>
        <v>1023</v>
      </c>
      <c r="H677" s="203">
        <f t="shared" si="314"/>
        <v>4471</v>
      </c>
      <c r="I677" s="203">
        <f t="shared" si="314"/>
        <v>4039</v>
      </c>
      <c r="J677" s="203">
        <f t="shared" si="314"/>
        <v>1691</v>
      </c>
      <c r="K677" s="203">
        <f t="shared" si="314"/>
        <v>131</v>
      </c>
      <c r="L677" s="203">
        <f t="shared" si="314"/>
        <v>34857</v>
      </c>
      <c r="M677" s="187"/>
      <c r="N677" s="203" t="str">
        <f t="shared" ref="N677:S689" si="315">N485</f>
        <v>-</v>
      </c>
      <c r="O677" s="203">
        <f t="shared" si="315"/>
        <v>10</v>
      </c>
      <c r="P677" s="203">
        <f t="shared" si="315"/>
        <v>915</v>
      </c>
      <c r="Q677" s="203">
        <f t="shared" si="315"/>
        <v>489</v>
      </c>
      <c r="R677" s="203" t="str">
        <f t="shared" si="315"/>
        <v>-</v>
      </c>
      <c r="S677" s="203">
        <f t="shared" si="315"/>
        <v>1414</v>
      </c>
    </row>
    <row r="678" spans="1:20" s="366" customFormat="1" ht="11.25" customHeight="1" x14ac:dyDescent="0.2">
      <c r="A678" s="118">
        <v>2007</v>
      </c>
      <c r="B678" s="203" t="str">
        <f t="shared" ref="B678:L678" si="316">B486</f>
        <v>-</v>
      </c>
      <c r="C678" s="203">
        <f t="shared" si="316"/>
        <v>1871</v>
      </c>
      <c r="D678" s="203">
        <f t="shared" si="316"/>
        <v>8130</v>
      </c>
      <c r="E678" s="203">
        <f t="shared" si="316"/>
        <v>5564</v>
      </c>
      <c r="F678" s="203">
        <f t="shared" si="316"/>
        <v>3024</v>
      </c>
      <c r="G678" s="203">
        <f t="shared" si="316"/>
        <v>14047</v>
      </c>
      <c r="H678" s="203">
        <f t="shared" si="316"/>
        <v>1127</v>
      </c>
      <c r="I678" s="203">
        <f t="shared" si="316"/>
        <v>1004</v>
      </c>
      <c r="J678" s="203">
        <f t="shared" si="316"/>
        <v>717</v>
      </c>
      <c r="K678" s="203">
        <f t="shared" si="316"/>
        <v>3</v>
      </c>
      <c r="L678" s="203">
        <f t="shared" si="316"/>
        <v>35487</v>
      </c>
      <c r="M678" s="187"/>
      <c r="N678" s="203" t="str">
        <f t="shared" si="315"/>
        <v>-</v>
      </c>
      <c r="O678" s="203">
        <f t="shared" si="315"/>
        <v>1062</v>
      </c>
      <c r="P678" s="203">
        <f t="shared" si="315"/>
        <v>15371</v>
      </c>
      <c r="Q678" s="203">
        <f t="shared" si="315"/>
        <v>676</v>
      </c>
      <c r="R678" s="203" t="str">
        <f t="shared" si="315"/>
        <v>-</v>
      </c>
      <c r="S678" s="203">
        <f t="shared" si="315"/>
        <v>17109</v>
      </c>
    </row>
    <row r="679" spans="1:20" s="366" customFormat="1" ht="11.25" customHeight="1" x14ac:dyDescent="0.2">
      <c r="A679" s="118">
        <v>2008</v>
      </c>
      <c r="B679" s="203" t="str">
        <f t="shared" ref="B679:L679" si="317">B487</f>
        <v>-</v>
      </c>
      <c r="C679" s="203" t="str">
        <f t="shared" si="317"/>
        <v>-</v>
      </c>
      <c r="D679" s="203">
        <f t="shared" si="317"/>
        <v>2616</v>
      </c>
      <c r="E679" s="203">
        <f t="shared" si="317"/>
        <v>2508</v>
      </c>
      <c r="F679" s="203">
        <f t="shared" si="317"/>
        <v>129</v>
      </c>
      <c r="G679" s="203">
        <f t="shared" si="317"/>
        <v>161</v>
      </c>
      <c r="H679" s="203">
        <f t="shared" si="317"/>
        <v>84</v>
      </c>
      <c r="I679" s="203">
        <f t="shared" si="317"/>
        <v>248</v>
      </c>
      <c r="J679" s="203">
        <f t="shared" si="317"/>
        <v>208</v>
      </c>
      <c r="K679" s="203" t="str">
        <f t="shared" si="317"/>
        <v>-</v>
      </c>
      <c r="L679" s="203">
        <f t="shared" si="317"/>
        <v>5954</v>
      </c>
      <c r="M679" s="187"/>
      <c r="N679" s="203" t="str">
        <f t="shared" si="315"/>
        <v>-</v>
      </c>
      <c r="O679" s="203">
        <f t="shared" si="315"/>
        <v>49</v>
      </c>
      <c r="P679" s="203">
        <f t="shared" si="315"/>
        <v>356</v>
      </c>
      <c r="Q679" s="203">
        <f t="shared" si="315"/>
        <v>29</v>
      </c>
      <c r="R679" s="203" t="str">
        <f t="shared" si="315"/>
        <v>-</v>
      </c>
      <c r="S679" s="203">
        <f t="shared" si="315"/>
        <v>434</v>
      </c>
    </row>
    <row r="680" spans="1:20" s="366" customFormat="1" ht="11.25" customHeight="1" x14ac:dyDescent="0.2">
      <c r="A680" s="118">
        <v>2009</v>
      </c>
      <c r="B680" s="203" t="str">
        <f t="shared" ref="B680:L680" si="318">B488</f>
        <v>-</v>
      </c>
      <c r="C680" s="203" t="str">
        <f t="shared" si="318"/>
        <v>-</v>
      </c>
      <c r="D680" s="203">
        <f t="shared" si="318"/>
        <v>119</v>
      </c>
      <c r="E680" s="203">
        <f t="shared" si="318"/>
        <v>232</v>
      </c>
      <c r="F680" s="203">
        <f t="shared" si="318"/>
        <v>240</v>
      </c>
      <c r="G680" s="203">
        <f t="shared" si="318"/>
        <v>117</v>
      </c>
      <c r="H680" s="203">
        <f t="shared" si="318"/>
        <v>109</v>
      </c>
      <c r="I680" s="203">
        <f t="shared" si="318"/>
        <v>332</v>
      </c>
      <c r="J680" s="203" t="str">
        <f t="shared" si="318"/>
        <v>-</v>
      </c>
      <c r="K680" s="203" t="str">
        <f t="shared" si="318"/>
        <v>-</v>
      </c>
      <c r="L680" s="203">
        <f t="shared" si="318"/>
        <v>1149</v>
      </c>
      <c r="M680" s="187"/>
      <c r="N680" s="203" t="str">
        <f t="shared" si="315"/>
        <v>-</v>
      </c>
      <c r="O680" s="203">
        <f t="shared" si="315"/>
        <v>9061</v>
      </c>
      <c r="P680" s="203">
        <f t="shared" si="315"/>
        <v>3458</v>
      </c>
      <c r="Q680" s="203">
        <f t="shared" si="315"/>
        <v>9443</v>
      </c>
      <c r="R680" s="203" t="str">
        <f t="shared" si="315"/>
        <v>-</v>
      </c>
      <c r="S680" s="203">
        <f t="shared" si="315"/>
        <v>21962</v>
      </c>
    </row>
    <row r="681" spans="1:20" s="366" customFormat="1" ht="11.25" customHeight="1" x14ac:dyDescent="0.2">
      <c r="A681" s="118">
        <v>2010</v>
      </c>
      <c r="B681" s="203" t="str">
        <f t="shared" ref="B681:L681" si="319">B489</f>
        <v>-</v>
      </c>
      <c r="C681" s="203" t="str">
        <f t="shared" si="319"/>
        <v>-</v>
      </c>
      <c r="D681" s="203">
        <f t="shared" si="319"/>
        <v>9763</v>
      </c>
      <c r="E681" s="203">
        <f t="shared" si="319"/>
        <v>15618</v>
      </c>
      <c r="F681" s="203">
        <f t="shared" si="319"/>
        <v>6448</v>
      </c>
      <c r="G681" s="203">
        <f t="shared" si="319"/>
        <v>5579</v>
      </c>
      <c r="H681" s="203">
        <f t="shared" si="319"/>
        <v>166</v>
      </c>
      <c r="I681" s="203">
        <f t="shared" si="319"/>
        <v>1859</v>
      </c>
      <c r="J681" s="203" t="str">
        <f t="shared" si="319"/>
        <v>-</v>
      </c>
      <c r="K681" s="203" t="str">
        <f t="shared" si="319"/>
        <v>-</v>
      </c>
      <c r="L681" s="203">
        <f t="shared" si="319"/>
        <v>39433</v>
      </c>
      <c r="M681" s="187"/>
      <c r="N681" s="203" t="str">
        <f t="shared" si="315"/>
        <v>-</v>
      </c>
      <c r="O681" s="203">
        <f t="shared" si="315"/>
        <v>637</v>
      </c>
      <c r="P681" s="203">
        <f t="shared" si="315"/>
        <v>368</v>
      </c>
      <c r="Q681" s="203">
        <f t="shared" si="315"/>
        <v>35</v>
      </c>
      <c r="R681" s="203" t="str">
        <f t="shared" si="315"/>
        <v>-</v>
      </c>
      <c r="S681" s="203">
        <f t="shared" si="315"/>
        <v>1040</v>
      </c>
    </row>
    <row r="682" spans="1:20" s="366" customFormat="1" ht="11.25" customHeight="1" x14ac:dyDescent="0.2">
      <c r="A682" s="118">
        <v>2011</v>
      </c>
      <c r="B682" s="203" t="str">
        <f t="shared" ref="B682:L682" si="320">B490</f>
        <v>-</v>
      </c>
      <c r="C682" s="203">
        <f t="shared" si="320"/>
        <v>4481</v>
      </c>
      <c r="D682" s="203">
        <f t="shared" si="320"/>
        <v>9559</v>
      </c>
      <c r="E682" s="203">
        <f t="shared" si="320"/>
        <v>12055</v>
      </c>
      <c r="F682" s="203">
        <f t="shared" si="320"/>
        <v>840</v>
      </c>
      <c r="G682" s="203">
        <f t="shared" si="320"/>
        <v>1588</v>
      </c>
      <c r="H682" s="203">
        <f t="shared" si="320"/>
        <v>363</v>
      </c>
      <c r="I682" s="203">
        <f t="shared" si="320"/>
        <v>1200</v>
      </c>
      <c r="J682" s="203">
        <f t="shared" si="320"/>
        <v>1995</v>
      </c>
      <c r="K682" s="203" t="str">
        <f t="shared" si="320"/>
        <v>-</v>
      </c>
      <c r="L682" s="203">
        <f t="shared" si="320"/>
        <v>32081</v>
      </c>
      <c r="M682" s="187"/>
      <c r="N682" s="203" t="str">
        <f t="shared" si="315"/>
        <v>-</v>
      </c>
      <c r="O682" s="203">
        <f t="shared" si="315"/>
        <v>234</v>
      </c>
      <c r="P682" s="203">
        <f t="shared" si="315"/>
        <v>147</v>
      </c>
      <c r="Q682" s="203">
        <f t="shared" si="315"/>
        <v>83</v>
      </c>
      <c r="R682" s="203" t="str">
        <f t="shared" si="315"/>
        <v>-</v>
      </c>
      <c r="S682" s="203">
        <f t="shared" si="315"/>
        <v>464</v>
      </c>
    </row>
    <row r="683" spans="1:20" s="366" customFormat="1" ht="11.25" customHeight="1" x14ac:dyDescent="0.2">
      <c r="A683" s="118">
        <v>2012</v>
      </c>
      <c r="B683" s="203" t="str">
        <f t="shared" ref="B683:L683" si="321">B491</f>
        <v>-</v>
      </c>
      <c r="C683" s="203">
        <f t="shared" si="321"/>
        <v>3633</v>
      </c>
      <c r="D683" s="203">
        <f t="shared" si="321"/>
        <v>15938</v>
      </c>
      <c r="E683" s="203">
        <f t="shared" si="321"/>
        <v>14010</v>
      </c>
      <c r="F683" s="203">
        <f t="shared" si="321"/>
        <v>3451</v>
      </c>
      <c r="G683" s="203">
        <f t="shared" si="321"/>
        <v>10248</v>
      </c>
      <c r="H683" s="203">
        <f t="shared" si="321"/>
        <v>16246</v>
      </c>
      <c r="I683" s="203">
        <f t="shared" si="321"/>
        <v>8874</v>
      </c>
      <c r="J683" s="203">
        <f t="shared" si="321"/>
        <v>701</v>
      </c>
      <c r="K683" s="203" t="str">
        <f t="shared" si="321"/>
        <v>-</v>
      </c>
      <c r="L683" s="203">
        <f t="shared" si="321"/>
        <v>73101</v>
      </c>
      <c r="M683" s="187"/>
      <c r="N683" s="203" t="str">
        <f t="shared" si="315"/>
        <v>-</v>
      </c>
      <c r="O683" s="203">
        <f t="shared" si="315"/>
        <v>38</v>
      </c>
      <c r="P683" s="203">
        <f t="shared" si="315"/>
        <v>35</v>
      </c>
      <c r="Q683" s="203">
        <f t="shared" si="315"/>
        <v>551</v>
      </c>
      <c r="R683" s="203" t="str">
        <f t="shared" si="315"/>
        <v>-</v>
      </c>
      <c r="S683" s="203">
        <f t="shared" si="315"/>
        <v>624</v>
      </c>
    </row>
    <row r="684" spans="1:20" s="366" customFormat="1" ht="11.25" customHeight="1" x14ac:dyDescent="0.2">
      <c r="A684" s="118">
        <v>2013</v>
      </c>
      <c r="B684" s="203" t="str">
        <f t="shared" ref="B684:L684" si="322">B492</f>
        <v>-</v>
      </c>
      <c r="C684" s="203">
        <f t="shared" si="322"/>
        <v>7423</v>
      </c>
      <c r="D684" s="203">
        <f t="shared" si="322"/>
        <v>9532</v>
      </c>
      <c r="E684" s="203">
        <f t="shared" si="322"/>
        <v>8141</v>
      </c>
      <c r="F684" s="203">
        <f t="shared" si="322"/>
        <v>8638</v>
      </c>
      <c r="G684" s="203">
        <f t="shared" si="322"/>
        <v>40662</v>
      </c>
      <c r="H684" s="203">
        <f t="shared" si="322"/>
        <v>28780</v>
      </c>
      <c r="I684" s="203">
        <f t="shared" si="322"/>
        <v>8579</v>
      </c>
      <c r="J684" s="203">
        <f t="shared" si="322"/>
        <v>1002</v>
      </c>
      <c r="K684" s="203" t="str">
        <f t="shared" si="322"/>
        <v>-</v>
      </c>
      <c r="L684" s="203">
        <f t="shared" si="322"/>
        <v>112757</v>
      </c>
      <c r="M684" s="187"/>
      <c r="N684" s="203" t="str">
        <f t="shared" si="315"/>
        <v>-</v>
      </c>
      <c r="O684" s="203">
        <f t="shared" si="315"/>
        <v>39</v>
      </c>
      <c r="P684" s="203">
        <f t="shared" si="315"/>
        <v>295</v>
      </c>
      <c r="Q684" s="203">
        <f t="shared" si="315"/>
        <v>118</v>
      </c>
      <c r="R684" s="203" t="str">
        <f t="shared" si="315"/>
        <v>-</v>
      </c>
      <c r="S684" s="203">
        <f t="shared" si="315"/>
        <v>452</v>
      </c>
    </row>
    <row r="685" spans="1:20" ht="11.25" customHeight="1" x14ac:dyDescent="0.2">
      <c r="A685" s="118">
        <v>2014</v>
      </c>
      <c r="B685" s="203" t="str">
        <f t="shared" ref="B685:L685" si="323">B493</f>
        <v>-</v>
      </c>
      <c r="C685" s="203">
        <f t="shared" si="323"/>
        <v>15554</v>
      </c>
      <c r="D685" s="203">
        <f t="shared" si="323"/>
        <v>61545</v>
      </c>
      <c r="E685" s="203">
        <f t="shared" si="323"/>
        <v>30634</v>
      </c>
      <c r="F685" s="203">
        <f t="shared" si="323"/>
        <v>21100</v>
      </c>
      <c r="G685" s="203">
        <f t="shared" si="323"/>
        <v>67178</v>
      </c>
      <c r="H685" s="203">
        <f t="shared" si="323"/>
        <v>9101</v>
      </c>
      <c r="I685" s="203">
        <f t="shared" si="323"/>
        <v>2515</v>
      </c>
      <c r="J685" s="203">
        <f t="shared" si="323"/>
        <v>469</v>
      </c>
      <c r="K685" s="203" t="str">
        <f t="shared" si="323"/>
        <v>-</v>
      </c>
      <c r="L685" s="203">
        <f t="shared" si="323"/>
        <v>208096</v>
      </c>
      <c r="M685" s="187"/>
      <c r="N685" s="203" t="str">
        <f t="shared" si="315"/>
        <v>-</v>
      </c>
      <c r="O685" s="203">
        <f t="shared" si="315"/>
        <v>2428</v>
      </c>
      <c r="P685" s="203">
        <f t="shared" si="315"/>
        <v>1570</v>
      </c>
      <c r="Q685" s="203">
        <f t="shared" si="315"/>
        <v>7000</v>
      </c>
      <c r="R685" s="203" t="str">
        <f t="shared" si="315"/>
        <v>-</v>
      </c>
      <c r="S685" s="203">
        <f t="shared" si="315"/>
        <v>10998</v>
      </c>
      <c r="T685" s="366"/>
    </row>
    <row r="686" spans="1:20" s="366" customFormat="1" ht="11.25" customHeight="1" x14ac:dyDescent="0.2">
      <c r="A686" s="118">
        <v>2015</v>
      </c>
      <c r="B686" s="203" t="str">
        <f t="shared" ref="B686:L686" si="324">B494</f>
        <v>-</v>
      </c>
      <c r="C686" s="203">
        <f t="shared" si="324"/>
        <v>16420</v>
      </c>
      <c r="D686" s="203">
        <f t="shared" si="324"/>
        <v>21092</v>
      </c>
      <c r="E686" s="203">
        <f t="shared" si="324"/>
        <v>22858</v>
      </c>
      <c r="F686" s="203">
        <f t="shared" si="324"/>
        <v>29322</v>
      </c>
      <c r="G686" s="203">
        <f t="shared" si="324"/>
        <v>8249</v>
      </c>
      <c r="H686" s="203">
        <f t="shared" si="324"/>
        <v>2562</v>
      </c>
      <c r="I686" s="203">
        <f t="shared" si="324"/>
        <v>2593</v>
      </c>
      <c r="J686" s="203">
        <f t="shared" si="324"/>
        <v>1163</v>
      </c>
      <c r="K686" s="203" t="str">
        <f t="shared" si="324"/>
        <v>-</v>
      </c>
      <c r="L686" s="203">
        <f t="shared" si="324"/>
        <v>104259</v>
      </c>
      <c r="M686" s="187"/>
      <c r="N686" s="203" t="str">
        <f t="shared" si="315"/>
        <v>-</v>
      </c>
      <c r="O686" s="203">
        <f t="shared" si="315"/>
        <v>328</v>
      </c>
      <c r="P686" s="203">
        <f t="shared" si="315"/>
        <v>411</v>
      </c>
      <c r="Q686" s="203">
        <f t="shared" si="315"/>
        <v>1474</v>
      </c>
      <c r="R686" s="203" t="str">
        <f t="shared" si="315"/>
        <v>-</v>
      </c>
      <c r="S686" s="203">
        <f t="shared" si="315"/>
        <v>2213</v>
      </c>
    </row>
    <row r="687" spans="1:20" s="366" customFormat="1" ht="11.25" customHeight="1" x14ac:dyDescent="0.2">
      <c r="A687" s="118">
        <v>2016</v>
      </c>
      <c r="B687" s="203" t="str">
        <f t="shared" ref="B687:L687" si="325">B495</f>
        <v>-</v>
      </c>
      <c r="C687" s="203">
        <f t="shared" si="325"/>
        <v>6597</v>
      </c>
      <c r="D687" s="203">
        <f t="shared" si="325"/>
        <v>6542</v>
      </c>
      <c r="E687" s="203">
        <f t="shared" si="325"/>
        <v>5658</v>
      </c>
      <c r="F687" s="203">
        <f t="shared" si="325"/>
        <v>11433</v>
      </c>
      <c r="G687" s="203">
        <f t="shared" si="325"/>
        <v>9254</v>
      </c>
      <c r="H687" s="203">
        <f t="shared" si="325"/>
        <v>1812</v>
      </c>
      <c r="I687" s="203">
        <f t="shared" si="325"/>
        <v>869</v>
      </c>
      <c r="J687" s="203">
        <f t="shared" si="325"/>
        <v>182</v>
      </c>
      <c r="K687" s="203" t="str">
        <f t="shared" si="325"/>
        <v>-</v>
      </c>
      <c r="L687" s="203">
        <f t="shared" si="325"/>
        <v>42347</v>
      </c>
      <c r="M687" s="187"/>
      <c r="N687" s="203" t="str">
        <f t="shared" si="315"/>
        <v>-</v>
      </c>
      <c r="O687" s="203" t="str">
        <f t="shared" si="315"/>
        <v>-</v>
      </c>
      <c r="P687" s="203" t="str">
        <f t="shared" si="315"/>
        <v>-</v>
      </c>
      <c r="Q687" s="203" t="str">
        <f t="shared" si="315"/>
        <v>-</v>
      </c>
      <c r="R687" s="203" t="str">
        <f t="shared" si="315"/>
        <v>-</v>
      </c>
      <c r="S687" s="203" t="str">
        <f t="shared" si="315"/>
        <v>-</v>
      </c>
    </row>
    <row r="688" spans="1:20" s="366" customFormat="1" ht="11.25" customHeight="1" x14ac:dyDescent="0.2">
      <c r="A688" s="118">
        <v>2017</v>
      </c>
      <c r="B688" s="203" t="str">
        <f t="shared" ref="B688:L688" si="326">B496</f>
        <v>-</v>
      </c>
      <c r="C688" s="203">
        <f t="shared" si="326"/>
        <v>553</v>
      </c>
      <c r="D688" s="203">
        <f t="shared" si="326"/>
        <v>2309</v>
      </c>
      <c r="E688" s="203">
        <f t="shared" si="326"/>
        <v>3826</v>
      </c>
      <c r="F688" s="203">
        <f t="shared" si="326"/>
        <v>13069</v>
      </c>
      <c r="G688" s="203">
        <f t="shared" si="326"/>
        <v>611</v>
      </c>
      <c r="H688" s="203">
        <f t="shared" si="326"/>
        <v>371</v>
      </c>
      <c r="I688" s="203">
        <f t="shared" si="326"/>
        <v>1010</v>
      </c>
      <c r="J688" s="203">
        <f t="shared" si="326"/>
        <v>96</v>
      </c>
      <c r="K688" s="203" t="str">
        <f t="shared" si="326"/>
        <v>-</v>
      </c>
      <c r="L688" s="203">
        <f t="shared" si="326"/>
        <v>21845</v>
      </c>
      <c r="M688" s="187"/>
      <c r="N688" s="203" t="str">
        <f t="shared" si="315"/>
        <v>-</v>
      </c>
      <c r="O688" s="203">
        <f t="shared" si="315"/>
        <v>16</v>
      </c>
      <c r="P688" s="203">
        <f t="shared" si="315"/>
        <v>305</v>
      </c>
      <c r="Q688" s="203">
        <f t="shared" si="315"/>
        <v>149</v>
      </c>
      <c r="R688" s="203" t="str">
        <f t="shared" si="315"/>
        <v>-</v>
      </c>
      <c r="S688" s="203">
        <f t="shared" si="315"/>
        <v>470</v>
      </c>
    </row>
    <row r="689" spans="1:19" s="366" customFormat="1" ht="11.25" customHeight="1" x14ac:dyDescent="0.2">
      <c r="A689" s="118">
        <v>2018</v>
      </c>
      <c r="B689" s="203" t="str">
        <f t="shared" ref="B689:L689" si="327">B497</f>
        <v>-</v>
      </c>
      <c r="C689" s="203" t="str">
        <f t="shared" si="327"/>
        <v>-</v>
      </c>
      <c r="D689" s="203">
        <f t="shared" si="327"/>
        <v>1259</v>
      </c>
      <c r="E689" s="203">
        <f t="shared" si="327"/>
        <v>4676</v>
      </c>
      <c r="F689" s="203">
        <f t="shared" si="327"/>
        <v>4108</v>
      </c>
      <c r="G689" s="203">
        <f t="shared" si="327"/>
        <v>12956</v>
      </c>
      <c r="H689" s="203">
        <f t="shared" si="327"/>
        <v>225</v>
      </c>
      <c r="I689" s="203">
        <f t="shared" si="327"/>
        <v>806</v>
      </c>
      <c r="J689" s="203">
        <f t="shared" si="327"/>
        <v>431</v>
      </c>
      <c r="K689" s="203" t="str">
        <f t="shared" si="327"/>
        <v>-</v>
      </c>
      <c r="L689" s="203">
        <f t="shared" si="327"/>
        <v>24461</v>
      </c>
      <c r="M689" s="187"/>
      <c r="N689" s="203" t="str">
        <f t="shared" si="315"/>
        <v>-</v>
      </c>
      <c r="O689" s="203">
        <f t="shared" si="315"/>
        <v>8</v>
      </c>
      <c r="P689" s="203">
        <f t="shared" si="315"/>
        <v>84</v>
      </c>
      <c r="Q689" s="203" t="str">
        <f t="shared" si="315"/>
        <v>-</v>
      </c>
      <c r="R689" s="203" t="str">
        <f t="shared" si="315"/>
        <v>-</v>
      </c>
      <c r="S689" s="203">
        <f t="shared" si="315"/>
        <v>92</v>
      </c>
    </row>
    <row r="690" spans="1:19" s="489" customFormat="1" ht="11.25" customHeight="1" x14ac:dyDescent="0.2">
      <c r="A690" s="118">
        <v>2019</v>
      </c>
      <c r="B690" s="203" t="str">
        <f t="shared" ref="B690:L691" si="328">B498</f>
        <v>-</v>
      </c>
      <c r="C690" s="203">
        <f t="shared" si="328"/>
        <v>162</v>
      </c>
      <c r="D690" s="203">
        <f t="shared" si="328"/>
        <v>698</v>
      </c>
      <c r="E690" s="203">
        <f t="shared" si="328"/>
        <v>3400</v>
      </c>
      <c r="F690" s="203">
        <f t="shared" si="328"/>
        <v>17046</v>
      </c>
      <c r="G690" s="203">
        <f t="shared" si="328"/>
        <v>6046</v>
      </c>
      <c r="H690" s="203">
        <f t="shared" si="328"/>
        <v>660</v>
      </c>
      <c r="I690" s="203">
        <f t="shared" si="328"/>
        <v>870</v>
      </c>
      <c r="J690" s="203" t="str">
        <f t="shared" si="328"/>
        <v>-</v>
      </c>
      <c r="K690" s="203" t="str">
        <f t="shared" si="328"/>
        <v>-</v>
      </c>
      <c r="L690" s="203">
        <f t="shared" si="328"/>
        <v>28882</v>
      </c>
      <c r="M690" s="187"/>
      <c r="N690" s="203" t="str">
        <f t="shared" ref="N690:S691" si="329">N498</f>
        <v>-</v>
      </c>
      <c r="O690" s="203">
        <f t="shared" si="329"/>
        <v>1029</v>
      </c>
      <c r="P690" s="203">
        <f t="shared" si="329"/>
        <v>302</v>
      </c>
      <c r="Q690" s="203">
        <f t="shared" si="329"/>
        <v>81</v>
      </c>
      <c r="R690" s="203" t="str">
        <f t="shared" si="329"/>
        <v>-</v>
      </c>
      <c r="S690" s="203">
        <f t="shared" si="329"/>
        <v>1412</v>
      </c>
    </row>
    <row r="691" spans="1:19" ht="11.25" customHeight="1" x14ac:dyDescent="0.2">
      <c r="A691" s="118" t="s">
        <v>393</v>
      </c>
      <c r="B691" s="203" t="str">
        <f t="shared" si="328"/>
        <v>-</v>
      </c>
      <c r="C691" s="203">
        <f t="shared" si="328"/>
        <v>800</v>
      </c>
      <c r="D691" s="203">
        <f t="shared" si="328"/>
        <v>866</v>
      </c>
      <c r="E691" s="203">
        <f t="shared" si="328"/>
        <v>2601</v>
      </c>
      <c r="F691" s="203">
        <f t="shared" si="328"/>
        <v>5063</v>
      </c>
      <c r="G691" s="203">
        <f t="shared" si="328"/>
        <v>1868</v>
      </c>
      <c r="H691" s="203">
        <f t="shared" si="328"/>
        <v>560</v>
      </c>
      <c r="I691" s="203">
        <f t="shared" si="328"/>
        <v>997</v>
      </c>
      <c r="J691" s="203" t="str">
        <f t="shared" si="328"/>
        <v>-</v>
      </c>
      <c r="K691" s="203" t="str">
        <f t="shared" si="328"/>
        <v>-</v>
      </c>
      <c r="L691" s="203">
        <f t="shared" si="328"/>
        <v>12755</v>
      </c>
      <c r="M691" s="187"/>
      <c r="N691" s="203" t="str">
        <f t="shared" si="329"/>
        <v>-</v>
      </c>
      <c r="O691" s="203">
        <f t="shared" si="329"/>
        <v>63</v>
      </c>
      <c r="P691" s="203">
        <f t="shared" si="329"/>
        <v>64</v>
      </c>
      <c r="Q691" s="203">
        <f t="shared" si="329"/>
        <v>2</v>
      </c>
      <c r="R691" s="203" t="str">
        <f t="shared" si="329"/>
        <v>-</v>
      </c>
      <c r="S691" s="203">
        <f t="shared" si="329"/>
        <v>129</v>
      </c>
    </row>
    <row r="692" spans="1:19" ht="11.25" customHeight="1" x14ac:dyDescent="0.2">
      <c r="A692" s="549" t="str">
        <f>A500</f>
        <v>a/ Monthly totals are the sum of statistical weeks with closest fit to the calendar month.  Excludes harvests off Alaska, Washington (north of Leadbetter Point), and California that were landed in Oregon.  Landings are reported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1988 includes Florence through Bandon and after 1987 includes Florence through Port Orford; Brookings area prior to 1988 includes Port Orford through Brookings and after 1987 includes Gold Beach through Brookings.   Values include state-waters only terminal area fisheries.</v>
      </c>
      <c r="B692" s="550"/>
      <c r="C692" s="550"/>
      <c r="D692" s="550"/>
      <c r="E692" s="550"/>
      <c r="F692" s="550"/>
      <c r="G692" s="550"/>
      <c r="H692" s="550"/>
      <c r="I692" s="550"/>
      <c r="J692" s="550"/>
      <c r="K692" s="550"/>
      <c r="L692" s="550"/>
      <c r="M692" s="550"/>
      <c r="N692" s="550"/>
      <c r="O692" s="550"/>
      <c r="P692" s="550"/>
      <c r="Q692" s="550"/>
      <c r="R692" s="550"/>
      <c r="S692" s="550"/>
    </row>
    <row r="693" spans="1:19" ht="11.25" customHeight="1" x14ac:dyDescent="0.2">
      <c r="A693" s="551"/>
      <c r="B693" s="552"/>
      <c r="C693" s="552"/>
      <c r="D693" s="552"/>
      <c r="E693" s="552"/>
      <c r="F693" s="552"/>
      <c r="G693" s="552"/>
      <c r="H693" s="552"/>
      <c r="I693" s="552"/>
      <c r="J693" s="552"/>
      <c r="K693" s="552"/>
      <c r="L693" s="552"/>
      <c r="M693" s="552"/>
      <c r="N693" s="552"/>
      <c r="O693" s="552"/>
      <c r="P693" s="552"/>
      <c r="Q693" s="552"/>
      <c r="R693" s="552"/>
      <c r="S693" s="552"/>
    </row>
    <row r="694" spans="1:19" ht="11.25" customHeight="1" x14ac:dyDescent="0.2">
      <c r="A694" s="553"/>
      <c r="B694" s="553"/>
      <c r="C694" s="553"/>
      <c r="D694" s="553"/>
      <c r="E694" s="553"/>
      <c r="F694" s="553"/>
      <c r="G694" s="553"/>
      <c r="H694" s="553"/>
      <c r="I694" s="553"/>
      <c r="J694" s="553"/>
      <c r="K694" s="553"/>
      <c r="L694" s="553"/>
      <c r="M694" s="553"/>
      <c r="N694" s="553"/>
      <c r="O694" s="553"/>
      <c r="P694" s="553"/>
      <c r="Q694" s="553"/>
      <c r="R694" s="553"/>
      <c r="S694" s="553"/>
    </row>
    <row r="695" spans="1:19" ht="11.25" customHeight="1" x14ac:dyDescent="0.2">
      <c r="A695" s="553"/>
      <c r="B695" s="553"/>
      <c r="C695" s="553"/>
      <c r="D695" s="553"/>
      <c r="E695" s="553"/>
      <c r="F695" s="553"/>
      <c r="G695" s="553"/>
      <c r="H695" s="553"/>
      <c r="I695" s="553"/>
      <c r="J695" s="553"/>
      <c r="K695" s="553"/>
      <c r="L695" s="553"/>
      <c r="M695" s="553"/>
      <c r="N695" s="553"/>
      <c r="O695" s="553"/>
      <c r="P695" s="553"/>
      <c r="Q695" s="553"/>
      <c r="R695" s="553"/>
      <c r="S695" s="553"/>
    </row>
    <row r="696" spans="1:19" ht="9" customHeight="1" x14ac:dyDescent="0.2">
      <c r="A696" s="553"/>
      <c r="B696" s="553"/>
      <c r="C696" s="553"/>
      <c r="D696" s="553"/>
      <c r="E696" s="553"/>
      <c r="F696" s="553"/>
      <c r="G696" s="553"/>
      <c r="H696" s="553"/>
      <c r="I696" s="553"/>
      <c r="J696" s="553"/>
      <c r="K696" s="553"/>
      <c r="L696" s="553"/>
      <c r="M696" s="553"/>
      <c r="N696" s="553"/>
      <c r="O696" s="553"/>
      <c r="P696" s="553"/>
      <c r="Q696" s="553"/>
      <c r="R696" s="553"/>
      <c r="S696" s="553"/>
    </row>
    <row r="697" spans="1:19" ht="11.25" customHeight="1" x14ac:dyDescent="0.2">
      <c r="A697" s="554" t="str">
        <f>A505</f>
        <v>b/  Preliminary.</v>
      </c>
      <c r="B697" s="554"/>
      <c r="C697" s="554"/>
      <c r="D697" s="554"/>
      <c r="E697" s="554"/>
      <c r="F697" s="554"/>
      <c r="G697" s="554"/>
      <c r="H697" s="554"/>
      <c r="I697" s="554"/>
      <c r="J697" s="554"/>
      <c r="K697" s="554"/>
      <c r="L697" s="554"/>
      <c r="M697" s="554"/>
      <c r="N697" s="554"/>
      <c r="O697" s="554"/>
      <c r="P697" s="554"/>
      <c r="Q697" s="554"/>
      <c r="R697" s="554"/>
      <c r="S697" s="554"/>
    </row>
    <row r="698" spans="1:19" ht="11.25" customHeight="1" x14ac:dyDescent="0.2">
      <c r="A698" s="554"/>
      <c r="B698" s="554"/>
      <c r="C698" s="554"/>
      <c r="D698" s="554"/>
      <c r="E698" s="554"/>
      <c r="F698" s="554"/>
      <c r="G698" s="554"/>
      <c r="H698" s="554"/>
      <c r="I698" s="554"/>
      <c r="J698" s="554"/>
      <c r="K698" s="554"/>
      <c r="L698" s="554"/>
      <c r="M698" s="554"/>
      <c r="N698" s="554"/>
      <c r="O698" s="554"/>
      <c r="P698" s="554"/>
      <c r="Q698" s="554"/>
      <c r="R698" s="554"/>
      <c r="S698" s="554"/>
    </row>
    <row r="699" spans="1:19" ht="11.25" customHeight="1" x14ac:dyDescent="0.2">
      <c r="A699" s="554"/>
      <c r="B699" s="554"/>
      <c r="C699" s="554"/>
      <c r="D699" s="554"/>
      <c r="E699" s="554"/>
      <c r="F699" s="554"/>
      <c r="G699" s="554"/>
      <c r="H699" s="554"/>
      <c r="I699" s="554"/>
      <c r="J699" s="554"/>
      <c r="K699" s="554"/>
      <c r="L699" s="554"/>
      <c r="M699" s="554"/>
      <c r="N699" s="554"/>
      <c r="O699" s="554"/>
      <c r="P699" s="554"/>
      <c r="Q699" s="554"/>
      <c r="R699" s="554"/>
      <c r="S699" s="554"/>
    </row>
    <row r="700" spans="1:19" ht="11.25" customHeight="1" x14ac:dyDescent="0.2"/>
    <row r="701" spans="1:19" ht="11.25" customHeight="1" x14ac:dyDescent="0.2"/>
    <row r="702" spans="1:19" ht="11.25" customHeight="1" x14ac:dyDescent="0.2"/>
    <row r="703" spans="1:19" ht="11.25" customHeight="1" x14ac:dyDescent="0.2"/>
    <row r="704" spans="1:19" ht="11.25" customHeight="1" x14ac:dyDescent="0.2"/>
    <row r="705" ht="11.25" customHeight="1" x14ac:dyDescent="0.2"/>
    <row r="706" ht="11.25" customHeight="1" x14ac:dyDescent="0.2"/>
    <row r="707" ht="11.25" customHeight="1" x14ac:dyDescent="0.2"/>
    <row r="708" ht="11.25" customHeight="1" x14ac:dyDescent="0.2"/>
    <row r="709" ht="11.25" customHeight="1" x14ac:dyDescent="0.2"/>
    <row r="710" ht="11.25" customHeight="1" x14ac:dyDescent="0.2"/>
    <row r="711" ht="11.25" customHeight="1" x14ac:dyDescent="0.2"/>
    <row r="712" ht="11.25" customHeight="1" x14ac:dyDescent="0.2"/>
    <row r="713" ht="11.25" customHeight="1" x14ac:dyDescent="0.2"/>
    <row r="714" ht="11.25" customHeight="1" x14ac:dyDescent="0.2"/>
    <row r="715" ht="11.25" customHeight="1" x14ac:dyDescent="0.2"/>
    <row r="716" ht="11.25" customHeight="1" x14ac:dyDescent="0.2"/>
    <row r="717" ht="11.25" customHeight="1" x14ac:dyDescent="0.2"/>
    <row r="718" ht="11.25" customHeight="1" x14ac:dyDescent="0.2"/>
    <row r="719" ht="11.25" customHeight="1" x14ac:dyDescent="0.2"/>
    <row r="720" ht="11.25" customHeight="1" x14ac:dyDescent="0.2"/>
    <row r="721" ht="11.25" customHeight="1" x14ac:dyDescent="0.2"/>
    <row r="722" ht="11.25" customHeight="1" x14ac:dyDescent="0.2"/>
    <row r="723" ht="11.25" customHeight="1" x14ac:dyDescent="0.2"/>
    <row r="724" ht="11.25" customHeight="1" x14ac:dyDescent="0.2"/>
    <row r="725" ht="11.25" customHeight="1" x14ac:dyDescent="0.2"/>
    <row r="726" ht="11.25" customHeight="1" x14ac:dyDescent="0.2"/>
    <row r="727" ht="11.25" customHeight="1" x14ac:dyDescent="0.2"/>
    <row r="728" ht="11.25" customHeight="1" x14ac:dyDescent="0.2"/>
    <row r="729" ht="11.25" customHeight="1" x14ac:dyDescent="0.2"/>
    <row r="730" ht="11.25" customHeight="1" x14ac:dyDescent="0.2"/>
    <row r="731" ht="11.25" customHeight="1" x14ac:dyDescent="0.2"/>
    <row r="732" ht="11.25" customHeight="1" x14ac:dyDescent="0.2"/>
    <row r="733" ht="11.25" customHeight="1" x14ac:dyDescent="0.2"/>
    <row r="734" ht="11.25" customHeight="1" x14ac:dyDescent="0.2"/>
    <row r="735" ht="11.25" customHeight="1" x14ac:dyDescent="0.2"/>
    <row r="736" ht="11.25" customHeight="1" x14ac:dyDescent="0.2"/>
    <row r="737" ht="11.25" customHeight="1" x14ac:dyDescent="0.2"/>
    <row r="738" ht="11.2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row r="746" ht="11.25" customHeight="1" x14ac:dyDescent="0.2"/>
    <row r="747" ht="11.25" customHeight="1" x14ac:dyDescent="0.2"/>
    <row r="748" ht="11.25" customHeight="1" x14ac:dyDescent="0.2"/>
    <row r="749" ht="11.25" customHeight="1" x14ac:dyDescent="0.2"/>
    <row r="750" ht="11.25" customHeight="1" x14ac:dyDescent="0.2"/>
    <row r="751" ht="11.25" customHeight="1" x14ac:dyDescent="0.2"/>
    <row r="752" ht="11.25" customHeight="1" x14ac:dyDescent="0.2"/>
    <row r="753" ht="11.25" customHeight="1" x14ac:dyDescent="0.2"/>
    <row r="754" ht="11.25" customHeight="1" x14ac:dyDescent="0.2"/>
    <row r="755" ht="11.25" customHeight="1" x14ac:dyDescent="0.2"/>
    <row r="756" ht="11.25" customHeight="1" x14ac:dyDescent="0.2"/>
    <row r="757" ht="11.25" customHeight="1" x14ac:dyDescent="0.2"/>
    <row r="758" ht="11.25" customHeight="1" x14ac:dyDescent="0.2"/>
    <row r="759" ht="11.25" customHeight="1" x14ac:dyDescent="0.2"/>
    <row r="760" ht="11.25" customHeight="1" x14ac:dyDescent="0.2"/>
    <row r="761" ht="11.25" customHeight="1" x14ac:dyDescent="0.2"/>
    <row r="762" ht="11.25" customHeight="1" x14ac:dyDescent="0.2"/>
    <row r="763" ht="11.25" customHeight="1" x14ac:dyDescent="0.2"/>
    <row r="764" ht="11.25" customHeight="1" x14ac:dyDescent="0.2"/>
    <row r="765" ht="11.25" customHeight="1" x14ac:dyDescent="0.2"/>
    <row r="766" ht="11.25" customHeight="1" x14ac:dyDescent="0.2"/>
    <row r="767" ht="11.25" customHeight="1" x14ac:dyDescent="0.2"/>
    <row r="768" ht="11.25" customHeight="1" x14ac:dyDescent="0.2"/>
    <row r="769" ht="11.25" customHeight="1" x14ac:dyDescent="0.2"/>
    <row r="770" ht="11.25" customHeight="1" x14ac:dyDescent="0.2"/>
    <row r="771" ht="11.25" customHeight="1" x14ac:dyDescent="0.2"/>
    <row r="772" ht="11.25" customHeight="1" x14ac:dyDescent="0.2"/>
    <row r="773" ht="11.25" customHeight="1" x14ac:dyDescent="0.2"/>
    <row r="774" ht="11.25" customHeight="1" x14ac:dyDescent="0.2"/>
    <row r="775" ht="11.25" customHeight="1" x14ac:dyDescent="0.2"/>
    <row r="776" ht="11.25" customHeight="1" x14ac:dyDescent="0.2"/>
    <row r="777" ht="11.25" customHeight="1" x14ac:dyDescent="0.2"/>
    <row r="778" ht="11.25" customHeight="1" x14ac:dyDescent="0.2"/>
    <row r="779" ht="11.25" customHeight="1" x14ac:dyDescent="0.2"/>
    <row r="780" ht="11.25" customHeight="1" x14ac:dyDescent="0.2"/>
    <row r="781" ht="11.25" customHeight="1" x14ac:dyDescent="0.2"/>
    <row r="782" ht="11.25" customHeight="1" x14ac:dyDescent="0.2"/>
    <row r="783" ht="11.25" customHeight="1" x14ac:dyDescent="0.2"/>
    <row r="784" ht="11.25" customHeight="1" x14ac:dyDescent="0.2"/>
    <row r="785" ht="11.25" customHeight="1" x14ac:dyDescent="0.2"/>
  </sheetData>
  <mergeCells count="23">
    <mergeCell ref="B576:L576"/>
    <mergeCell ref="N576:S576"/>
    <mergeCell ref="A1:S1"/>
    <mergeCell ref="B3:L3"/>
    <mergeCell ref="N3:S3"/>
    <mergeCell ref="A500:S504"/>
    <mergeCell ref="A505:S505"/>
    <mergeCell ref="A506:S506"/>
    <mergeCell ref="A507:S507"/>
    <mergeCell ref="A527:S527"/>
    <mergeCell ref="B529:L529"/>
    <mergeCell ref="N529:S529"/>
    <mergeCell ref="A574:S574"/>
    <mergeCell ref="A692:S696"/>
    <mergeCell ref="A697:S697"/>
    <mergeCell ref="A698:S698"/>
    <mergeCell ref="A699:S699"/>
    <mergeCell ref="A621:S621"/>
    <mergeCell ref="B623:L623"/>
    <mergeCell ref="N623:S623"/>
    <mergeCell ref="A668:S668"/>
    <mergeCell ref="B670:L670"/>
    <mergeCell ref="N670:S670"/>
  </mergeCells>
  <pageMargins left="0.7" right="0.7" top="0.75" bottom="0.75" header="0.3" footer="0.3"/>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2"/>
  <dimension ref="A1:R543"/>
  <sheetViews>
    <sheetView showGridLines="0" tabSelected="1" topLeftCell="A328" zoomScale="90" zoomScaleNormal="90" workbookViewId="0">
      <selection activeCell="G341" sqref="G341"/>
    </sheetView>
  </sheetViews>
  <sheetFormatPr defaultColWidth="8" defaultRowHeight="11.25" x14ac:dyDescent="0.2"/>
  <cols>
    <col min="1" max="1" width="11.25" style="364" customWidth="1"/>
    <col min="2" max="11" width="9.625" style="74" customWidth="1"/>
    <col min="12" max="16384" width="8" style="318"/>
  </cols>
  <sheetData>
    <row r="1" spans="1:11" x14ac:dyDescent="0.2">
      <c r="A1" s="561" t="s">
        <v>292</v>
      </c>
      <c r="B1" s="561"/>
      <c r="C1" s="561"/>
      <c r="D1" s="561"/>
      <c r="E1" s="561"/>
      <c r="F1" s="561"/>
      <c r="G1" s="561"/>
      <c r="H1" s="561"/>
      <c r="I1" s="561"/>
      <c r="J1" s="561"/>
      <c r="K1" s="561"/>
    </row>
    <row r="2" spans="1:11" s="325" customFormat="1" x14ac:dyDescent="0.2">
      <c r="A2" s="135" t="s">
        <v>49</v>
      </c>
      <c r="B2" s="136" t="s">
        <v>43</v>
      </c>
      <c r="C2" s="136" t="s">
        <v>34</v>
      </c>
      <c r="D2" s="136" t="s">
        <v>35</v>
      </c>
      <c r="E2" s="136" t="s">
        <v>36</v>
      </c>
      <c r="F2" s="136" t="s">
        <v>37</v>
      </c>
      <c r="G2" s="136" t="s">
        <v>38</v>
      </c>
      <c r="H2" s="136" t="s">
        <v>39</v>
      </c>
      <c r="I2" s="137" t="s">
        <v>40</v>
      </c>
      <c r="J2" s="137" t="s">
        <v>44</v>
      </c>
      <c r="K2" s="137" t="s">
        <v>28</v>
      </c>
    </row>
    <row r="3" spans="1:11" x14ac:dyDescent="0.2">
      <c r="A3" s="118"/>
      <c r="B3" s="73"/>
      <c r="C3" s="73"/>
      <c r="D3" s="73"/>
      <c r="E3" s="73"/>
      <c r="F3" s="73"/>
      <c r="G3" s="73"/>
      <c r="H3" s="73"/>
      <c r="I3" s="73"/>
      <c r="J3" s="73"/>
      <c r="K3" s="73"/>
    </row>
    <row r="4" spans="1:11" x14ac:dyDescent="0.2">
      <c r="A4" s="118"/>
      <c r="B4" s="73"/>
      <c r="C4" s="73"/>
      <c r="D4" s="73"/>
      <c r="E4" s="73"/>
      <c r="F4" s="73"/>
      <c r="G4" s="73"/>
      <c r="H4" s="73"/>
      <c r="I4" s="73"/>
      <c r="J4" s="73"/>
      <c r="K4" s="73"/>
    </row>
    <row r="5" spans="1:11" x14ac:dyDescent="0.2">
      <c r="A5" s="109" t="s">
        <v>112</v>
      </c>
    </row>
    <row r="6" spans="1:11" x14ac:dyDescent="0.2">
      <c r="A6" s="371">
        <v>1976</v>
      </c>
      <c r="B6" s="74" t="s">
        <v>29</v>
      </c>
      <c r="C6" s="74">
        <v>0</v>
      </c>
      <c r="D6" s="74">
        <v>785</v>
      </c>
      <c r="E6" s="74">
        <v>9916</v>
      </c>
      <c r="F6" s="74">
        <v>22017</v>
      </c>
      <c r="G6" s="74">
        <v>44997</v>
      </c>
      <c r="H6" s="74">
        <v>22282</v>
      </c>
      <c r="I6" s="74">
        <v>528</v>
      </c>
      <c r="J6" s="74">
        <v>22</v>
      </c>
      <c r="K6" s="74">
        <f t="shared" ref="K6:K50" si="0">SUM(B6:J6)</f>
        <v>100547</v>
      </c>
    </row>
    <row r="7" spans="1:11" x14ac:dyDescent="0.2">
      <c r="A7" s="371">
        <v>1977</v>
      </c>
      <c r="B7" s="74" t="s">
        <v>29</v>
      </c>
      <c r="C7" s="74">
        <v>0</v>
      </c>
      <c r="D7" s="74">
        <v>702</v>
      </c>
      <c r="E7" s="74">
        <v>7064</v>
      </c>
      <c r="F7" s="74">
        <v>18484</v>
      </c>
      <c r="G7" s="74">
        <v>21570</v>
      </c>
      <c r="H7" s="74">
        <v>2493</v>
      </c>
      <c r="I7" s="74">
        <v>203</v>
      </c>
      <c r="J7" s="74" t="s">
        <v>29</v>
      </c>
      <c r="K7" s="74">
        <f t="shared" si="0"/>
        <v>50516</v>
      </c>
    </row>
    <row r="8" spans="1:11" x14ac:dyDescent="0.2">
      <c r="A8" s="371">
        <v>1978</v>
      </c>
      <c r="B8" s="74" t="s">
        <v>29</v>
      </c>
      <c r="C8" s="74">
        <v>0</v>
      </c>
      <c r="D8" s="74">
        <v>867</v>
      </c>
      <c r="E8" s="74">
        <v>13099</v>
      </c>
      <c r="F8" s="74">
        <v>18162</v>
      </c>
      <c r="G8" s="74">
        <v>20450</v>
      </c>
      <c r="H8" s="74">
        <v>10107</v>
      </c>
      <c r="I8" s="74">
        <v>390</v>
      </c>
      <c r="J8" s="74" t="s">
        <v>29</v>
      </c>
      <c r="K8" s="74">
        <f t="shared" si="0"/>
        <v>63075</v>
      </c>
    </row>
    <row r="9" spans="1:11" x14ac:dyDescent="0.2">
      <c r="A9" s="371">
        <v>1979</v>
      </c>
      <c r="B9" s="74" t="s">
        <v>29</v>
      </c>
      <c r="C9" s="74" t="s">
        <v>29</v>
      </c>
      <c r="D9" s="74">
        <v>835</v>
      </c>
      <c r="E9" s="74">
        <v>5032</v>
      </c>
      <c r="F9" s="74">
        <v>14813</v>
      </c>
      <c r="G9" s="74">
        <v>19699</v>
      </c>
      <c r="H9" s="74">
        <v>2898</v>
      </c>
      <c r="I9" s="74" t="s">
        <v>29</v>
      </c>
      <c r="J9" s="74" t="s">
        <v>29</v>
      </c>
      <c r="K9" s="74">
        <f t="shared" si="0"/>
        <v>43277</v>
      </c>
    </row>
    <row r="10" spans="1:11" x14ac:dyDescent="0.2">
      <c r="A10" s="371">
        <v>1980</v>
      </c>
      <c r="B10" s="74" t="s">
        <v>29</v>
      </c>
      <c r="C10" s="74" t="s">
        <v>29</v>
      </c>
      <c r="D10" s="74">
        <v>1262</v>
      </c>
      <c r="E10" s="74">
        <v>7798</v>
      </c>
      <c r="F10" s="74">
        <v>13704</v>
      </c>
      <c r="G10" s="74">
        <v>19706</v>
      </c>
      <c r="H10" s="74">
        <v>3845</v>
      </c>
      <c r="I10" s="74" t="s">
        <v>29</v>
      </c>
      <c r="J10" s="74" t="s">
        <v>29</v>
      </c>
      <c r="K10" s="74">
        <f t="shared" si="0"/>
        <v>46315</v>
      </c>
    </row>
    <row r="11" spans="1:11" x14ac:dyDescent="0.2">
      <c r="A11" s="371">
        <v>1981</v>
      </c>
      <c r="B11" s="74" t="s">
        <v>29</v>
      </c>
      <c r="C11" s="74" t="s">
        <v>29</v>
      </c>
      <c r="D11" s="74">
        <v>977</v>
      </c>
      <c r="E11" s="74">
        <v>4886</v>
      </c>
      <c r="F11" s="74">
        <v>14119</v>
      </c>
      <c r="G11" s="74">
        <v>20088</v>
      </c>
      <c r="H11" s="74">
        <v>4625</v>
      </c>
      <c r="I11" s="74" t="s">
        <v>29</v>
      </c>
      <c r="J11" s="74" t="s">
        <v>29</v>
      </c>
      <c r="K11" s="74">
        <f t="shared" si="0"/>
        <v>44695</v>
      </c>
    </row>
    <row r="12" spans="1:11" x14ac:dyDescent="0.2">
      <c r="A12" s="371">
        <v>1982</v>
      </c>
      <c r="B12" s="74" t="s">
        <v>29</v>
      </c>
      <c r="C12" s="74" t="s">
        <v>29</v>
      </c>
      <c r="D12" s="74" t="s">
        <v>29</v>
      </c>
      <c r="E12" s="74">
        <v>4906</v>
      </c>
      <c r="F12" s="74">
        <v>22330</v>
      </c>
      <c r="G12" s="74">
        <v>0</v>
      </c>
      <c r="H12" s="74" t="s">
        <v>29</v>
      </c>
      <c r="I12" s="74" t="s">
        <v>29</v>
      </c>
      <c r="J12" s="74" t="s">
        <v>29</v>
      </c>
      <c r="K12" s="74">
        <f t="shared" si="0"/>
        <v>27236</v>
      </c>
    </row>
    <row r="13" spans="1:11" x14ac:dyDescent="0.2">
      <c r="A13" s="371">
        <v>1983</v>
      </c>
      <c r="B13" s="74" t="s">
        <v>29</v>
      </c>
      <c r="C13" s="74" t="s">
        <v>29</v>
      </c>
      <c r="D13" s="74" t="s">
        <v>29</v>
      </c>
      <c r="E13" s="74">
        <v>2678</v>
      </c>
      <c r="F13" s="74">
        <v>12878</v>
      </c>
      <c r="G13" s="74">
        <v>11536</v>
      </c>
      <c r="H13" s="74">
        <v>3759</v>
      </c>
      <c r="I13" s="74" t="s">
        <v>29</v>
      </c>
      <c r="J13" s="74" t="s">
        <v>29</v>
      </c>
      <c r="K13" s="74">
        <f t="shared" si="0"/>
        <v>30851</v>
      </c>
    </row>
    <row r="14" spans="1:11" x14ac:dyDescent="0.2">
      <c r="A14" s="371">
        <v>1984</v>
      </c>
      <c r="B14" s="74" t="s">
        <v>29</v>
      </c>
      <c r="C14" s="74" t="s">
        <v>29</v>
      </c>
      <c r="D14" s="74" t="s">
        <v>29</v>
      </c>
      <c r="E14" s="74" t="s">
        <v>29</v>
      </c>
      <c r="F14" s="74">
        <v>2018</v>
      </c>
      <c r="G14" s="74">
        <v>6285</v>
      </c>
      <c r="H14" s="74" t="s">
        <v>29</v>
      </c>
      <c r="I14" s="74" t="s">
        <v>29</v>
      </c>
      <c r="J14" s="74" t="s">
        <v>29</v>
      </c>
      <c r="K14" s="74">
        <f t="shared" si="0"/>
        <v>8303</v>
      </c>
    </row>
    <row r="15" spans="1:11" x14ac:dyDescent="0.2">
      <c r="A15" s="371">
        <v>1985</v>
      </c>
      <c r="B15" s="74" t="s">
        <v>29</v>
      </c>
      <c r="C15" s="74" t="s">
        <v>29</v>
      </c>
      <c r="D15" s="74" t="s">
        <v>29</v>
      </c>
      <c r="E15" s="74">
        <v>605</v>
      </c>
      <c r="F15" s="74">
        <v>7838</v>
      </c>
      <c r="G15" s="74">
        <v>11578</v>
      </c>
      <c r="H15" s="74" t="s">
        <v>29</v>
      </c>
      <c r="I15" s="74" t="s">
        <v>29</v>
      </c>
      <c r="J15" s="74" t="s">
        <v>29</v>
      </c>
      <c r="K15" s="74">
        <f t="shared" si="0"/>
        <v>20021</v>
      </c>
    </row>
    <row r="16" spans="1:11" x14ac:dyDescent="0.2">
      <c r="A16" s="364">
        <v>1986</v>
      </c>
      <c r="B16" s="74" t="s">
        <v>29</v>
      </c>
      <c r="C16" s="74" t="s">
        <v>29</v>
      </c>
      <c r="D16" s="74" t="s">
        <v>29</v>
      </c>
      <c r="E16" s="74">
        <v>707</v>
      </c>
      <c r="F16" s="74">
        <v>12115</v>
      </c>
      <c r="G16" s="74">
        <v>7721</v>
      </c>
      <c r="H16" s="74" t="s">
        <v>29</v>
      </c>
      <c r="I16" s="74" t="s">
        <v>29</v>
      </c>
      <c r="J16" s="74" t="s">
        <v>29</v>
      </c>
      <c r="K16" s="74">
        <f t="shared" si="0"/>
        <v>20543</v>
      </c>
    </row>
    <row r="17" spans="1:11" x14ac:dyDescent="0.2">
      <c r="A17" s="364">
        <v>1987</v>
      </c>
      <c r="B17" s="74" t="s">
        <v>29</v>
      </c>
      <c r="C17" s="74" t="s">
        <v>29</v>
      </c>
      <c r="D17" s="74" t="s">
        <v>29</v>
      </c>
      <c r="E17" s="74">
        <v>578</v>
      </c>
      <c r="F17" s="74">
        <v>8508</v>
      </c>
      <c r="G17" s="74">
        <v>8044</v>
      </c>
      <c r="H17" s="74" t="s">
        <v>29</v>
      </c>
      <c r="I17" s="74" t="s">
        <v>29</v>
      </c>
      <c r="J17" s="74" t="s">
        <v>29</v>
      </c>
      <c r="K17" s="74">
        <f t="shared" si="0"/>
        <v>17130</v>
      </c>
    </row>
    <row r="18" spans="1:11" x14ac:dyDescent="0.2">
      <c r="A18" s="364">
        <v>1988</v>
      </c>
      <c r="B18" s="74" t="s">
        <v>29</v>
      </c>
      <c r="C18" s="74" t="s">
        <v>29</v>
      </c>
      <c r="D18" s="74" t="s">
        <v>29</v>
      </c>
      <c r="E18" s="74" t="s">
        <v>29</v>
      </c>
      <c r="F18" s="74">
        <v>5668</v>
      </c>
      <c r="G18" s="74" t="s">
        <v>29</v>
      </c>
      <c r="H18" s="74" t="s">
        <v>29</v>
      </c>
      <c r="I18" s="74" t="s">
        <v>29</v>
      </c>
      <c r="J18" s="74" t="s">
        <v>29</v>
      </c>
      <c r="K18" s="74">
        <f t="shared" si="0"/>
        <v>5668</v>
      </c>
    </row>
    <row r="19" spans="1:11" x14ac:dyDescent="0.2">
      <c r="A19" s="364">
        <v>1989</v>
      </c>
      <c r="B19" s="74" t="s">
        <v>29</v>
      </c>
      <c r="C19" s="74" t="s">
        <v>29</v>
      </c>
      <c r="D19" s="74">
        <v>146</v>
      </c>
      <c r="E19" s="74">
        <v>1223</v>
      </c>
      <c r="F19" s="74">
        <v>9225</v>
      </c>
      <c r="G19" s="74">
        <v>9243</v>
      </c>
      <c r="H19" s="74" t="s">
        <v>29</v>
      </c>
      <c r="I19" s="74" t="s">
        <v>29</v>
      </c>
      <c r="J19" s="74" t="s">
        <v>29</v>
      </c>
      <c r="K19" s="74">
        <f t="shared" si="0"/>
        <v>19837</v>
      </c>
    </row>
    <row r="20" spans="1:11" x14ac:dyDescent="0.2">
      <c r="A20" s="364">
        <v>1990</v>
      </c>
      <c r="B20" s="74" t="s">
        <v>29</v>
      </c>
      <c r="C20" s="74" t="s">
        <v>29</v>
      </c>
      <c r="D20" s="74" t="s">
        <v>29</v>
      </c>
      <c r="E20" s="74">
        <v>1933</v>
      </c>
      <c r="F20" s="74">
        <v>8936</v>
      </c>
      <c r="G20" s="74">
        <v>13229</v>
      </c>
      <c r="H20" s="74">
        <v>1423</v>
      </c>
      <c r="I20" s="74" t="s">
        <v>29</v>
      </c>
      <c r="J20" s="74" t="s">
        <v>29</v>
      </c>
      <c r="K20" s="74">
        <f t="shared" si="0"/>
        <v>25521</v>
      </c>
    </row>
    <row r="21" spans="1:11" x14ac:dyDescent="0.2">
      <c r="A21" s="364">
        <v>1991</v>
      </c>
      <c r="B21" s="74" t="s">
        <v>29</v>
      </c>
      <c r="C21" s="74" t="s">
        <v>29</v>
      </c>
      <c r="D21" s="74" t="s">
        <v>29</v>
      </c>
      <c r="E21" s="74">
        <v>1496</v>
      </c>
      <c r="F21" s="74">
        <v>8959</v>
      </c>
      <c r="G21" s="74">
        <v>9422</v>
      </c>
      <c r="H21" s="74">
        <v>1777</v>
      </c>
      <c r="I21" s="74" t="s">
        <v>29</v>
      </c>
      <c r="J21" s="74" t="s">
        <v>29</v>
      </c>
      <c r="K21" s="74">
        <f t="shared" si="0"/>
        <v>21654</v>
      </c>
    </row>
    <row r="22" spans="1:11" x14ac:dyDescent="0.2">
      <c r="A22" s="364">
        <v>1992</v>
      </c>
      <c r="B22" s="74" t="s">
        <v>29</v>
      </c>
      <c r="C22" s="74" t="s">
        <v>29</v>
      </c>
      <c r="D22" s="74" t="s">
        <v>29</v>
      </c>
      <c r="E22" s="74" t="s">
        <v>29</v>
      </c>
      <c r="F22" s="74">
        <v>9812</v>
      </c>
      <c r="G22" s="74">
        <v>1842</v>
      </c>
      <c r="H22" s="74">
        <v>1271</v>
      </c>
      <c r="I22" s="74" t="s">
        <v>29</v>
      </c>
      <c r="J22" s="74" t="s">
        <v>29</v>
      </c>
      <c r="K22" s="74">
        <f t="shared" si="0"/>
        <v>12925</v>
      </c>
    </row>
    <row r="23" spans="1:11" x14ac:dyDescent="0.2">
      <c r="A23" s="364">
        <v>1993</v>
      </c>
      <c r="B23" s="74" t="s">
        <v>29</v>
      </c>
      <c r="C23" s="74" t="s">
        <v>29</v>
      </c>
      <c r="D23" s="74" t="s">
        <v>29</v>
      </c>
      <c r="E23" s="74" t="s">
        <v>29</v>
      </c>
      <c r="F23" s="74">
        <v>5676</v>
      </c>
      <c r="G23" s="74">
        <v>7861</v>
      </c>
      <c r="H23" s="74">
        <v>4279</v>
      </c>
      <c r="I23" s="74" t="s">
        <v>29</v>
      </c>
      <c r="J23" s="74" t="s">
        <v>29</v>
      </c>
      <c r="K23" s="74">
        <f t="shared" si="0"/>
        <v>17816</v>
      </c>
    </row>
    <row r="24" spans="1:11" x14ac:dyDescent="0.2">
      <c r="A24" s="364">
        <v>1994</v>
      </c>
      <c r="B24" s="74" t="s">
        <v>29</v>
      </c>
      <c r="C24" s="74" t="s">
        <v>29</v>
      </c>
      <c r="D24" s="74" t="s">
        <v>29</v>
      </c>
      <c r="E24" s="74" t="s">
        <v>29</v>
      </c>
      <c r="F24" s="74" t="s">
        <v>29</v>
      </c>
      <c r="G24" s="74" t="s">
        <v>29</v>
      </c>
      <c r="H24" s="74" t="s">
        <v>29</v>
      </c>
      <c r="I24" s="74" t="s">
        <v>29</v>
      </c>
      <c r="J24" s="74" t="s">
        <v>29</v>
      </c>
      <c r="K24" s="74" t="s">
        <v>29</v>
      </c>
    </row>
    <row r="25" spans="1:11" x14ac:dyDescent="0.2">
      <c r="A25" s="364">
        <v>1995</v>
      </c>
      <c r="B25" s="74" t="s">
        <v>29</v>
      </c>
      <c r="C25" s="74" t="s">
        <v>29</v>
      </c>
      <c r="D25" s="74" t="s">
        <v>29</v>
      </c>
      <c r="E25" s="74" t="s">
        <v>29</v>
      </c>
      <c r="F25" s="74">
        <v>2275</v>
      </c>
      <c r="G25" s="74">
        <v>7656</v>
      </c>
      <c r="H25" s="74">
        <v>1007</v>
      </c>
      <c r="I25" s="74" t="s">
        <v>29</v>
      </c>
      <c r="J25" s="74" t="s">
        <v>29</v>
      </c>
      <c r="K25" s="74">
        <f t="shared" si="0"/>
        <v>10938</v>
      </c>
    </row>
    <row r="26" spans="1:11" x14ac:dyDescent="0.2">
      <c r="A26" s="364">
        <v>1996</v>
      </c>
      <c r="B26" s="74" t="s">
        <v>29</v>
      </c>
      <c r="C26" s="74" t="s">
        <v>29</v>
      </c>
      <c r="D26" s="74" t="s">
        <v>29</v>
      </c>
      <c r="E26" s="74" t="s">
        <v>29</v>
      </c>
      <c r="F26" s="74">
        <v>963</v>
      </c>
      <c r="G26" s="74">
        <v>3782</v>
      </c>
      <c r="H26" s="74">
        <v>889</v>
      </c>
      <c r="I26" s="74" t="s">
        <v>29</v>
      </c>
      <c r="J26" s="74" t="s">
        <v>29</v>
      </c>
      <c r="K26" s="74">
        <f t="shared" si="0"/>
        <v>5634</v>
      </c>
    </row>
    <row r="27" spans="1:11" x14ac:dyDescent="0.2">
      <c r="A27" s="364">
        <v>1997</v>
      </c>
      <c r="B27" s="74" t="s">
        <v>29</v>
      </c>
      <c r="C27" s="74" t="s">
        <v>29</v>
      </c>
      <c r="D27" s="74" t="s">
        <v>29</v>
      </c>
      <c r="E27" s="74" t="s">
        <v>29</v>
      </c>
      <c r="F27" s="74">
        <v>2772</v>
      </c>
      <c r="G27" s="74">
        <v>830</v>
      </c>
      <c r="H27" s="74" t="s">
        <v>29</v>
      </c>
      <c r="I27" s="74" t="s">
        <v>29</v>
      </c>
      <c r="J27" s="74" t="s">
        <v>29</v>
      </c>
      <c r="K27" s="74">
        <f t="shared" si="0"/>
        <v>3602</v>
      </c>
    </row>
    <row r="28" spans="1:11" x14ac:dyDescent="0.2">
      <c r="A28" s="364">
        <v>1998</v>
      </c>
      <c r="B28" s="74" t="s">
        <v>29</v>
      </c>
      <c r="C28" s="74" t="s">
        <v>29</v>
      </c>
      <c r="D28" s="74" t="s">
        <v>29</v>
      </c>
      <c r="E28" s="74" t="s">
        <v>29</v>
      </c>
      <c r="F28" s="74" t="s">
        <v>29</v>
      </c>
      <c r="G28" s="74">
        <v>1830</v>
      </c>
      <c r="H28" s="74">
        <v>284</v>
      </c>
      <c r="I28" s="74" t="s">
        <v>29</v>
      </c>
      <c r="J28" s="74" t="s">
        <v>29</v>
      </c>
      <c r="K28" s="74">
        <f t="shared" si="0"/>
        <v>2114</v>
      </c>
    </row>
    <row r="29" spans="1:11" x14ac:dyDescent="0.2">
      <c r="A29" s="364">
        <v>1999</v>
      </c>
      <c r="B29" s="74" t="s">
        <v>29</v>
      </c>
      <c r="C29" s="74" t="s">
        <v>29</v>
      </c>
      <c r="D29" s="74" t="s">
        <v>29</v>
      </c>
      <c r="E29" s="74" t="s">
        <v>29</v>
      </c>
      <c r="F29" s="74">
        <v>2098</v>
      </c>
      <c r="G29" s="74">
        <v>3653</v>
      </c>
      <c r="H29" s="74">
        <v>1666</v>
      </c>
      <c r="I29" s="74" t="s">
        <v>29</v>
      </c>
      <c r="J29" s="74" t="s">
        <v>29</v>
      </c>
      <c r="K29" s="74">
        <f t="shared" si="0"/>
        <v>7417</v>
      </c>
    </row>
    <row r="30" spans="1:11" x14ac:dyDescent="0.2">
      <c r="A30" s="364">
        <v>2000</v>
      </c>
      <c r="B30" s="74" t="s">
        <v>29</v>
      </c>
      <c r="C30" s="74" t="s">
        <v>29</v>
      </c>
      <c r="D30" s="74" t="s">
        <v>29</v>
      </c>
      <c r="E30" s="74" t="s">
        <v>29</v>
      </c>
      <c r="F30" s="74">
        <v>3994</v>
      </c>
      <c r="G30" s="74">
        <v>4449</v>
      </c>
      <c r="H30" s="74" t="s">
        <v>29</v>
      </c>
      <c r="I30" s="74" t="s">
        <v>29</v>
      </c>
      <c r="J30" s="74" t="s">
        <v>29</v>
      </c>
      <c r="K30" s="74">
        <f t="shared" si="0"/>
        <v>8443</v>
      </c>
    </row>
    <row r="31" spans="1:11" x14ac:dyDescent="0.2">
      <c r="A31" s="364">
        <v>2001</v>
      </c>
      <c r="B31" s="74" t="s">
        <v>29</v>
      </c>
      <c r="C31" s="74" t="s">
        <v>29</v>
      </c>
      <c r="D31" s="74" t="s">
        <v>29</v>
      </c>
      <c r="E31" s="74" t="s">
        <v>29</v>
      </c>
      <c r="F31" s="74">
        <v>7990</v>
      </c>
      <c r="G31" s="74">
        <v>12960</v>
      </c>
      <c r="H31" s="74">
        <v>2291</v>
      </c>
      <c r="I31" s="74" t="s">
        <v>29</v>
      </c>
      <c r="J31" s="74" t="s">
        <v>29</v>
      </c>
      <c r="K31" s="74">
        <f t="shared" si="0"/>
        <v>23241</v>
      </c>
    </row>
    <row r="32" spans="1:11" x14ac:dyDescent="0.2">
      <c r="A32" s="364">
        <v>2002</v>
      </c>
      <c r="B32" s="74" t="s">
        <v>29</v>
      </c>
      <c r="C32" s="74" t="s">
        <v>29</v>
      </c>
      <c r="D32" s="74">
        <v>155</v>
      </c>
      <c r="E32" s="74">
        <v>372</v>
      </c>
      <c r="F32" s="74">
        <v>3989</v>
      </c>
      <c r="G32" s="74">
        <v>6373</v>
      </c>
      <c r="H32" s="74">
        <v>1156</v>
      </c>
      <c r="I32" s="74">
        <v>6</v>
      </c>
      <c r="J32" s="74" t="s">
        <v>29</v>
      </c>
      <c r="K32" s="74">
        <f t="shared" si="0"/>
        <v>12051</v>
      </c>
    </row>
    <row r="33" spans="1:13" x14ac:dyDescent="0.2">
      <c r="A33" s="118">
        <v>2003</v>
      </c>
      <c r="B33" s="74" t="s">
        <v>29</v>
      </c>
      <c r="C33" s="74" t="s">
        <v>29</v>
      </c>
      <c r="D33" s="74" t="s">
        <v>29</v>
      </c>
      <c r="E33" s="74">
        <v>151</v>
      </c>
      <c r="F33" s="74">
        <v>5275</v>
      </c>
      <c r="G33" s="74">
        <v>12550</v>
      </c>
      <c r="H33" s="74">
        <v>1250</v>
      </c>
      <c r="I33" s="74" t="s">
        <v>29</v>
      </c>
      <c r="J33" s="74" t="s">
        <v>29</v>
      </c>
      <c r="K33" s="74">
        <f t="shared" si="0"/>
        <v>19226</v>
      </c>
    </row>
    <row r="34" spans="1:13" x14ac:dyDescent="0.2">
      <c r="A34" s="118">
        <v>2004</v>
      </c>
      <c r="B34" s="74" t="s">
        <v>29</v>
      </c>
      <c r="C34" s="74" t="s">
        <v>29</v>
      </c>
      <c r="D34" s="74" t="s">
        <v>29</v>
      </c>
      <c r="E34" s="74">
        <v>256</v>
      </c>
      <c r="F34" s="74">
        <v>4439</v>
      </c>
      <c r="G34" s="74">
        <v>11290</v>
      </c>
      <c r="H34" s="74">
        <v>2608</v>
      </c>
      <c r="I34" s="74" t="s">
        <v>29</v>
      </c>
      <c r="J34" s="74" t="s">
        <v>29</v>
      </c>
      <c r="K34" s="74">
        <f t="shared" si="0"/>
        <v>18593</v>
      </c>
    </row>
    <row r="35" spans="1:13" x14ac:dyDescent="0.2">
      <c r="A35" s="118">
        <v>2005</v>
      </c>
      <c r="B35" s="74" t="s">
        <v>29</v>
      </c>
      <c r="C35" s="74" t="s">
        <v>29</v>
      </c>
      <c r="D35" s="74" t="s">
        <v>29</v>
      </c>
      <c r="E35" s="74" t="s">
        <v>29</v>
      </c>
      <c r="F35" s="74">
        <v>2246</v>
      </c>
      <c r="G35" s="74">
        <v>8116</v>
      </c>
      <c r="H35" s="74">
        <v>2900</v>
      </c>
      <c r="I35" s="74" t="s">
        <v>29</v>
      </c>
      <c r="J35" s="74" t="s">
        <v>29</v>
      </c>
      <c r="K35" s="74">
        <f t="shared" si="0"/>
        <v>13262</v>
      </c>
    </row>
    <row r="36" spans="1:13" x14ac:dyDescent="0.2">
      <c r="A36" s="118">
        <v>2006</v>
      </c>
      <c r="B36" s="74" t="s">
        <v>29</v>
      </c>
      <c r="C36" s="74" t="s">
        <v>29</v>
      </c>
      <c r="D36" s="74" t="s">
        <v>29</v>
      </c>
      <c r="E36" s="74" t="s">
        <v>29</v>
      </c>
      <c r="F36" s="74">
        <v>1711</v>
      </c>
      <c r="G36" s="74">
        <v>5769</v>
      </c>
      <c r="H36" s="74">
        <v>762</v>
      </c>
      <c r="I36" s="74" t="s">
        <v>29</v>
      </c>
      <c r="J36" s="74" t="s">
        <v>29</v>
      </c>
      <c r="K36" s="74">
        <f t="shared" si="0"/>
        <v>8242</v>
      </c>
    </row>
    <row r="37" spans="1:13" s="366" customFormat="1" x14ac:dyDescent="0.2">
      <c r="A37" s="118">
        <v>2007</v>
      </c>
      <c r="B37" s="73" t="s">
        <v>29</v>
      </c>
      <c r="C37" s="73" t="s">
        <v>29</v>
      </c>
      <c r="D37" s="73" t="s">
        <v>29</v>
      </c>
      <c r="E37" s="73" t="s">
        <v>29</v>
      </c>
      <c r="F37" s="73">
        <v>2548</v>
      </c>
      <c r="G37" s="73">
        <v>8849</v>
      </c>
      <c r="H37" s="73">
        <v>989</v>
      </c>
      <c r="I37" s="73" t="s">
        <v>29</v>
      </c>
      <c r="J37" s="73" t="s">
        <v>29</v>
      </c>
      <c r="K37" s="73">
        <f t="shared" si="0"/>
        <v>12386</v>
      </c>
    </row>
    <row r="38" spans="1:13" s="366" customFormat="1" x14ac:dyDescent="0.2">
      <c r="A38" s="118">
        <v>2008</v>
      </c>
      <c r="B38" s="73" t="s">
        <v>29</v>
      </c>
      <c r="C38" s="73" t="s">
        <v>29</v>
      </c>
      <c r="D38" s="73">
        <v>66</v>
      </c>
      <c r="E38" s="73">
        <v>498</v>
      </c>
      <c r="F38" s="73">
        <v>1875</v>
      </c>
      <c r="G38" s="73">
        <v>1215</v>
      </c>
      <c r="H38" s="73" t="s">
        <v>29</v>
      </c>
      <c r="I38" s="73" t="s">
        <v>29</v>
      </c>
      <c r="J38" s="73" t="s">
        <v>29</v>
      </c>
      <c r="K38" s="73">
        <f t="shared" si="0"/>
        <v>3654</v>
      </c>
    </row>
    <row r="39" spans="1:13" s="366" customFormat="1" x14ac:dyDescent="0.2">
      <c r="A39" s="118">
        <v>2009</v>
      </c>
      <c r="B39" s="73" t="s">
        <v>29</v>
      </c>
      <c r="C39" s="73" t="s">
        <v>29</v>
      </c>
      <c r="D39" s="73" t="s">
        <v>29</v>
      </c>
      <c r="E39" s="73">
        <v>85</v>
      </c>
      <c r="F39" s="73">
        <v>5698</v>
      </c>
      <c r="G39" s="73">
        <v>6097</v>
      </c>
      <c r="H39" s="73">
        <v>370</v>
      </c>
      <c r="I39" s="73" t="s">
        <v>29</v>
      </c>
      <c r="J39" s="73" t="s">
        <v>29</v>
      </c>
      <c r="K39" s="73">
        <f t="shared" si="0"/>
        <v>12250</v>
      </c>
    </row>
    <row r="40" spans="1:13" s="366" customFormat="1" x14ac:dyDescent="0.2">
      <c r="A40" s="118">
        <v>2010</v>
      </c>
      <c r="B40" s="73" t="s">
        <v>29</v>
      </c>
      <c r="C40" s="73" t="s">
        <v>29</v>
      </c>
      <c r="D40" s="73" t="s">
        <v>29</v>
      </c>
      <c r="E40" s="73">
        <v>306</v>
      </c>
      <c r="F40" s="73">
        <v>2211</v>
      </c>
      <c r="G40" s="73">
        <v>6996</v>
      </c>
      <c r="H40" s="73">
        <v>741</v>
      </c>
      <c r="I40" s="73" t="s">
        <v>29</v>
      </c>
      <c r="J40" s="73" t="s">
        <v>29</v>
      </c>
      <c r="K40" s="73">
        <f t="shared" si="0"/>
        <v>10254</v>
      </c>
    </row>
    <row r="41" spans="1:13" s="366" customFormat="1" x14ac:dyDescent="0.2">
      <c r="A41" s="118">
        <v>2011</v>
      </c>
      <c r="B41" s="73" t="s">
        <v>29</v>
      </c>
      <c r="C41" s="73" t="s">
        <v>29</v>
      </c>
      <c r="D41" s="73" t="s">
        <v>29</v>
      </c>
      <c r="E41" s="73">
        <v>459</v>
      </c>
      <c r="F41" s="73">
        <v>1402</v>
      </c>
      <c r="G41" s="73">
        <v>4645</v>
      </c>
      <c r="H41" s="73">
        <v>877</v>
      </c>
      <c r="I41" s="73" t="s">
        <v>29</v>
      </c>
      <c r="J41" s="73" t="s">
        <v>29</v>
      </c>
      <c r="K41" s="73">
        <f t="shared" si="0"/>
        <v>7383</v>
      </c>
    </row>
    <row r="42" spans="1:13" s="366" customFormat="1" x14ac:dyDescent="0.2">
      <c r="A42" s="118">
        <v>2012</v>
      </c>
      <c r="B42" s="73" t="s">
        <v>29</v>
      </c>
      <c r="C42" s="73" t="s">
        <v>29</v>
      </c>
      <c r="D42" s="73" t="s">
        <v>29</v>
      </c>
      <c r="E42" s="73">
        <v>681</v>
      </c>
      <c r="F42" s="73">
        <v>1792</v>
      </c>
      <c r="G42" s="73">
        <v>1954</v>
      </c>
      <c r="H42" s="73">
        <v>411</v>
      </c>
      <c r="I42" s="73" t="s">
        <v>29</v>
      </c>
      <c r="J42" s="73" t="s">
        <v>29</v>
      </c>
      <c r="K42" s="73">
        <f t="shared" si="0"/>
        <v>4838</v>
      </c>
    </row>
    <row r="43" spans="1:13" s="366" customFormat="1" x14ac:dyDescent="0.2">
      <c r="A43" s="118">
        <v>2013</v>
      </c>
      <c r="B43" s="73" t="s">
        <v>29</v>
      </c>
      <c r="C43" s="73" t="s">
        <v>29</v>
      </c>
      <c r="D43" s="73" t="s">
        <v>29</v>
      </c>
      <c r="E43" s="73">
        <v>1593</v>
      </c>
      <c r="F43" s="73">
        <v>1329</v>
      </c>
      <c r="G43" s="73">
        <v>2912</v>
      </c>
      <c r="H43" s="73">
        <v>302</v>
      </c>
      <c r="I43" s="73" t="s">
        <v>29</v>
      </c>
      <c r="J43" s="73" t="s">
        <v>29</v>
      </c>
      <c r="K43" s="73">
        <f t="shared" si="0"/>
        <v>6136</v>
      </c>
    </row>
    <row r="44" spans="1:13" s="366" customFormat="1" x14ac:dyDescent="0.2">
      <c r="A44" s="118">
        <v>2014</v>
      </c>
      <c r="B44" s="73" t="s">
        <v>29</v>
      </c>
      <c r="C44" s="73" t="s">
        <v>29</v>
      </c>
      <c r="D44" s="73">
        <v>42</v>
      </c>
      <c r="E44" s="73">
        <v>708</v>
      </c>
      <c r="F44" s="73">
        <v>3579</v>
      </c>
      <c r="G44" s="73">
        <v>6279</v>
      </c>
      <c r="H44" s="73">
        <v>1647</v>
      </c>
      <c r="I44" s="73" t="s">
        <v>29</v>
      </c>
      <c r="J44" s="73" t="s">
        <v>29</v>
      </c>
      <c r="K44" s="73">
        <f t="shared" si="0"/>
        <v>12255</v>
      </c>
      <c r="M44" s="225"/>
    </row>
    <row r="45" spans="1:13" s="366" customFormat="1" x14ac:dyDescent="0.2">
      <c r="A45" s="118">
        <v>2015</v>
      </c>
      <c r="B45" s="73" t="s">
        <v>29</v>
      </c>
      <c r="C45" s="73" t="s">
        <v>29</v>
      </c>
      <c r="D45" s="73">
        <v>62</v>
      </c>
      <c r="E45" s="73">
        <v>699</v>
      </c>
      <c r="F45" s="73">
        <v>2723</v>
      </c>
      <c r="G45" s="73">
        <v>3092</v>
      </c>
      <c r="H45" s="73">
        <v>2053</v>
      </c>
      <c r="I45" s="73" t="s">
        <v>29</v>
      </c>
      <c r="J45" s="73" t="s">
        <v>29</v>
      </c>
      <c r="K45" s="73">
        <f t="shared" si="0"/>
        <v>8629</v>
      </c>
      <c r="M45" s="225"/>
    </row>
    <row r="46" spans="1:13" s="366" customFormat="1" x14ac:dyDescent="0.2">
      <c r="A46" s="118">
        <v>2016</v>
      </c>
      <c r="B46" s="73" t="s">
        <v>29</v>
      </c>
      <c r="C46" s="73" t="s">
        <v>29</v>
      </c>
      <c r="D46" s="73" t="s">
        <v>29</v>
      </c>
      <c r="E46" s="73" t="s">
        <v>29</v>
      </c>
      <c r="F46" s="73">
        <v>1920</v>
      </c>
      <c r="G46" s="73">
        <v>2412</v>
      </c>
      <c r="H46" s="73" t="s">
        <v>29</v>
      </c>
      <c r="I46" s="73" t="s">
        <v>29</v>
      </c>
      <c r="J46" s="73" t="s">
        <v>29</v>
      </c>
      <c r="K46" s="73">
        <f t="shared" si="0"/>
        <v>4332</v>
      </c>
      <c r="M46" s="225"/>
    </row>
    <row r="47" spans="1:13" x14ac:dyDescent="0.2">
      <c r="A47" s="118">
        <v>2017</v>
      </c>
      <c r="B47" s="74" t="s">
        <v>29</v>
      </c>
      <c r="C47" s="74" t="s">
        <v>29</v>
      </c>
      <c r="D47" s="74" t="s">
        <v>29</v>
      </c>
      <c r="E47" s="74">
        <v>587</v>
      </c>
      <c r="F47" s="74">
        <v>2697</v>
      </c>
      <c r="G47" s="74">
        <v>5284</v>
      </c>
      <c r="H47" s="74" t="s">
        <v>29</v>
      </c>
      <c r="I47" s="73" t="s">
        <v>29</v>
      </c>
      <c r="J47" s="74" t="s">
        <v>29</v>
      </c>
      <c r="K47" s="74">
        <f t="shared" si="0"/>
        <v>8568</v>
      </c>
      <c r="M47" s="207"/>
    </row>
    <row r="48" spans="1:13" s="366" customFormat="1" x14ac:dyDescent="0.2">
      <c r="A48" s="118">
        <v>2018</v>
      </c>
      <c r="B48" s="73" t="s">
        <v>29</v>
      </c>
      <c r="C48" s="73" t="s">
        <v>29</v>
      </c>
      <c r="D48" s="73" t="s">
        <v>29</v>
      </c>
      <c r="E48" s="73">
        <v>380</v>
      </c>
      <c r="F48" s="73">
        <v>1839</v>
      </c>
      <c r="G48" s="355">
        <v>5332</v>
      </c>
      <c r="H48" s="355">
        <v>148</v>
      </c>
      <c r="I48" s="73" t="s">
        <v>29</v>
      </c>
      <c r="J48" s="73" t="s">
        <v>29</v>
      </c>
      <c r="K48" s="73">
        <f>SUM(B48:J48)</f>
        <v>7699</v>
      </c>
      <c r="M48" s="225"/>
    </row>
    <row r="49" spans="1:13" s="489" customFormat="1" x14ac:dyDescent="0.2">
      <c r="A49" s="118">
        <v>2019</v>
      </c>
      <c r="B49" s="73" t="s">
        <v>29</v>
      </c>
      <c r="C49" s="73" t="s">
        <v>29</v>
      </c>
      <c r="D49" s="73" t="s">
        <v>29</v>
      </c>
      <c r="E49" s="73">
        <v>1334</v>
      </c>
      <c r="F49" s="73">
        <v>5066</v>
      </c>
      <c r="G49" s="355">
        <v>7930</v>
      </c>
      <c r="H49" s="355">
        <v>365</v>
      </c>
      <c r="I49" s="73" t="s">
        <v>29</v>
      </c>
      <c r="J49" s="73" t="s">
        <v>29</v>
      </c>
      <c r="K49" s="73">
        <f t="shared" ref="K49" si="1">SUM(B49:J49)</f>
        <v>14695</v>
      </c>
      <c r="M49" s="225"/>
    </row>
    <row r="50" spans="1:13" x14ac:dyDescent="0.2">
      <c r="A50" s="118" t="s">
        <v>393</v>
      </c>
      <c r="B50" s="74" t="s">
        <v>29</v>
      </c>
      <c r="C50" s="74" t="s">
        <v>29</v>
      </c>
      <c r="D50" s="74" t="s">
        <v>29</v>
      </c>
      <c r="E50" s="74">
        <v>83</v>
      </c>
      <c r="F50" s="74">
        <v>3367</v>
      </c>
      <c r="G50" s="268" t="s">
        <v>29</v>
      </c>
      <c r="H50" s="268" t="s">
        <v>29</v>
      </c>
      <c r="I50" s="73" t="s">
        <v>29</v>
      </c>
      <c r="J50" s="74" t="s">
        <v>29</v>
      </c>
      <c r="K50" s="74">
        <f t="shared" si="0"/>
        <v>3450</v>
      </c>
      <c r="M50" s="207"/>
    </row>
    <row r="51" spans="1:13" x14ac:dyDescent="0.2">
      <c r="G51" s="268"/>
      <c r="H51" s="268"/>
    </row>
    <row r="52" spans="1:13" x14ac:dyDescent="0.2">
      <c r="A52" s="109" t="s">
        <v>53</v>
      </c>
    </row>
    <row r="53" spans="1:13" x14ac:dyDescent="0.2">
      <c r="A53" s="371">
        <v>1976</v>
      </c>
      <c r="B53" s="74" t="s">
        <v>29</v>
      </c>
      <c r="C53" s="74">
        <v>0</v>
      </c>
      <c r="D53" s="74">
        <v>922</v>
      </c>
      <c r="E53" s="74">
        <v>4962</v>
      </c>
      <c r="F53" s="74">
        <v>14642</v>
      </c>
      <c r="G53" s="74">
        <v>26531</v>
      </c>
      <c r="H53" s="74">
        <v>8557</v>
      </c>
      <c r="I53" s="74">
        <v>659</v>
      </c>
      <c r="J53" s="74">
        <v>61</v>
      </c>
      <c r="K53" s="74">
        <f t="shared" ref="K53:K97" si="2">SUM(B53:J53)</f>
        <v>56334</v>
      </c>
    </row>
    <row r="54" spans="1:13" x14ac:dyDescent="0.2">
      <c r="A54" s="371">
        <v>1977</v>
      </c>
      <c r="B54" s="74" t="s">
        <v>29</v>
      </c>
      <c r="C54" s="74">
        <v>0</v>
      </c>
      <c r="D54" s="74">
        <v>1638</v>
      </c>
      <c r="E54" s="74">
        <v>6055</v>
      </c>
      <c r="F54" s="74">
        <v>19520</v>
      </c>
      <c r="G54" s="74">
        <v>21593</v>
      </c>
      <c r="H54" s="74">
        <v>3407</v>
      </c>
      <c r="I54" s="74">
        <v>42</v>
      </c>
      <c r="J54" s="74" t="s">
        <v>29</v>
      </c>
      <c r="K54" s="74">
        <f t="shared" si="2"/>
        <v>52255</v>
      </c>
    </row>
    <row r="55" spans="1:13" x14ac:dyDescent="0.2">
      <c r="A55" s="371">
        <v>1978</v>
      </c>
      <c r="B55" s="74" t="s">
        <v>29</v>
      </c>
      <c r="C55" s="74">
        <v>0</v>
      </c>
      <c r="D55" s="74">
        <v>1337</v>
      </c>
      <c r="E55" s="74">
        <v>4609</v>
      </c>
      <c r="F55" s="74">
        <v>10525</v>
      </c>
      <c r="G55" s="74">
        <v>11936</v>
      </c>
      <c r="H55" s="74">
        <v>2855</v>
      </c>
      <c r="I55" s="74">
        <v>478</v>
      </c>
      <c r="J55" s="74" t="s">
        <v>29</v>
      </c>
      <c r="K55" s="74">
        <f t="shared" si="2"/>
        <v>31740</v>
      </c>
    </row>
    <row r="56" spans="1:13" x14ac:dyDescent="0.2">
      <c r="A56" s="371">
        <v>1979</v>
      </c>
      <c r="B56" s="74" t="s">
        <v>29</v>
      </c>
      <c r="C56" s="74" t="s">
        <v>29</v>
      </c>
      <c r="D56" s="74">
        <v>937</v>
      </c>
      <c r="E56" s="74">
        <v>3246</v>
      </c>
      <c r="F56" s="74">
        <v>11822</v>
      </c>
      <c r="G56" s="74">
        <v>14461</v>
      </c>
      <c r="H56" s="74">
        <v>557</v>
      </c>
      <c r="I56" s="74" t="s">
        <v>29</v>
      </c>
      <c r="J56" s="74" t="s">
        <v>29</v>
      </c>
      <c r="K56" s="74">
        <f t="shared" si="2"/>
        <v>31023</v>
      </c>
    </row>
    <row r="57" spans="1:13" x14ac:dyDescent="0.2">
      <c r="A57" s="371">
        <v>1980</v>
      </c>
      <c r="B57" s="74" t="s">
        <v>29</v>
      </c>
      <c r="C57" s="74" t="s">
        <v>29</v>
      </c>
      <c r="D57" s="74">
        <v>381</v>
      </c>
      <c r="E57" s="74">
        <v>8509</v>
      </c>
      <c r="F57" s="74">
        <v>17257</v>
      </c>
      <c r="G57" s="74">
        <v>18105</v>
      </c>
      <c r="H57" s="74">
        <v>3585</v>
      </c>
      <c r="I57" s="74" t="s">
        <v>29</v>
      </c>
      <c r="J57" s="74" t="s">
        <v>29</v>
      </c>
      <c r="K57" s="74">
        <f t="shared" si="2"/>
        <v>47837</v>
      </c>
    </row>
    <row r="58" spans="1:13" x14ac:dyDescent="0.2">
      <c r="A58" s="371">
        <v>1981</v>
      </c>
      <c r="B58" s="74" t="s">
        <v>29</v>
      </c>
      <c r="C58" s="74" t="s">
        <v>29</v>
      </c>
      <c r="D58" s="74">
        <v>1275</v>
      </c>
      <c r="E58" s="74">
        <v>2189</v>
      </c>
      <c r="F58" s="74">
        <v>11501</v>
      </c>
      <c r="G58" s="74">
        <v>16480</v>
      </c>
      <c r="H58" s="74">
        <v>6566</v>
      </c>
      <c r="I58" s="74" t="s">
        <v>29</v>
      </c>
      <c r="J58" s="74" t="s">
        <v>29</v>
      </c>
      <c r="K58" s="74">
        <f t="shared" si="2"/>
        <v>38011</v>
      </c>
    </row>
    <row r="59" spans="1:13" x14ac:dyDescent="0.2">
      <c r="A59" s="371">
        <v>1982</v>
      </c>
      <c r="B59" s="74" t="s">
        <v>29</v>
      </c>
      <c r="C59" s="74" t="s">
        <v>29</v>
      </c>
      <c r="D59" s="74">
        <v>80</v>
      </c>
      <c r="E59" s="74">
        <v>2744</v>
      </c>
      <c r="F59" s="74">
        <v>21780</v>
      </c>
      <c r="G59" s="268" t="s">
        <v>29</v>
      </c>
      <c r="H59" s="268" t="s">
        <v>29</v>
      </c>
      <c r="I59" s="74" t="s">
        <v>29</v>
      </c>
      <c r="J59" s="74" t="s">
        <v>29</v>
      </c>
      <c r="K59" s="74">
        <f t="shared" si="2"/>
        <v>24604</v>
      </c>
    </row>
    <row r="60" spans="1:13" x14ac:dyDescent="0.2">
      <c r="A60" s="371">
        <v>1983</v>
      </c>
      <c r="B60" s="74" t="s">
        <v>29</v>
      </c>
      <c r="C60" s="74" t="s">
        <v>29</v>
      </c>
      <c r="D60" s="74" t="s">
        <v>29</v>
      </c>
      <c r="E60" s="74">
        <v>1188</v>
      </c>
      <c r="F60" s="74">
        <v>12649</v>
      </c>
      <c r="G60" s="74">
        <v>7810</v>
      </c>
      <c r="H60" s="74">
        <v>3660</v>
      </c>
      <c r="I60" s="74" t="s">
        <v>29</v>
      </c>
      <c r="J60" s="74" t="s">
        <v>29</v>
      </c>
      <c r="K60" s="74">
        <f t="shared" si="2"/>
        <v>25307</v>
      </c>
    </row>
    <row r="61" spans="1:13" x14ac:dyDescent="0.2">
      <c r="A61" s="371">
        <v>1984</v>
      </c>
      <c r="B61" s="74" t="s">
        <v>29</v>
      </c>
      <c r="C61" s="74" t="s">
        <v>29</v>
      </c>
      <c r="D61" s="74" t="s">
        <v>29</v>
      </c>
      <c r="E61" s="74" t="s">
        <v>29</v>
      </c>
      <c r="F61" s="74">
        <v>11794</v>
      </c>
      <c r="G61" s="74">
        <v>12001</v>
      </c>
      <c r="H61" s="74">
        <v>1215</v>
      </c>
      <c r="I61" s="74" t="s">
        <v>29</v>
      </c>
      <c r="J61" s="74" t="s">
        <v>29</v>
      </c>
      <c r="K61" s="74">
        <f t="shared" si="2"/>
        <v>25010</v>
      </c>
    </row>
    <row r="62" spans="1:13" x14ac:dyDescent="0.2">
      <c r="A62" s="371">
        <v>1985</v>
      </c>
      <c r="B62" s="74" t="s">
        <v>29</v>
      </c>
      <c r="C62" s="74" t="s">
        <v>29</v>
      </c>
      <c r="D62" s="74" t="s">
        <v>29</v>
      </c>
      <c r="E62" s="74" t="s">
        <v>29</v>
      </c>
      <c r="F62" s="74">
        <v>13027</v>
      </c>
      <c r="G62" s="74">
        <v>21716</v>
      </c>
      <c r="H62" s="74">
        <v>2210</v>
      </c>
      <c r="I62" s="74">
        <v>1603</v>
      </c>
      <c r="J62" s="74" t="s">
        <v>29</v>
      </c>
      <c r="K62" s="74">
        <f t="shared" si="2"/>
        <v>38556</v>
      </c>
    </row>
    <row r="63" spans="1:13" x14ac:dyDescent="0.2">
      <c r="A63" s="364">
        <v>1986</v>
      </c>
      <c r="B63" s="74" t="s">
        <v>29</v>
      </c>
      <c r="C63" s="74" t="s">
        <v>29</v>
      </c>
      <c r="D63" s="74" t="s">
        <v>29</v>
      </c>
      <c r="E63" s="74">
        <v>1874</v>
      </c>
      <c r="F63" s="74">
        <v>12965</v>
      </c>
      <c r="G63" s="74">
        <v>3092</v>
      </c>
      <c r="H63" s="277" t="s">
        <v>116</v>
      </c>
      <c r="I63" s="74" t="s">
        <v>116</v>
      </c>
      <c r="J63" s="277" t="s">
        <v>116</v>
      </c>
      <c r="K63" s="74">
        <f t="shared" si="2"/>
        <v>17931</v>
      </c>
    </row>
    <row r="64" spans="1:13" x14ac:dyDescent="0.2">
      <c r="A64" s="364">
        <v>1987</v>
      </c>
      <c r="B64" s="74" t="s">
        <v>29</v>
      </c>
      <c r="C64" s="74" t="s">
        <v>29</v>
      </c>
      <c r="D64" s="74" t="s">
        <v>29</v>
      </c>
      <c r="E64" s="74">
        <v>1834</v>
      </c>
      <c r="F64" s="74">
        <v>12430</v>
      </c>
      <c r="G64" s="74">
        <v>10946</v>
      </c>
      <c r="H64" s="74">
        <v>3841</v>
      </c>
      <c r="I64" s="74" t="s">
        <v>116</v>
      </c>
      <c r="J64" s="74" t="s">
        <v>29</v>
      </c>
      <c r="K64" s="74">
        <f t="shared" si="2"/>
        <v>29051</v>
      </c>
    </row>
    <row r="65" spans="1:11" x14ac:dyDescent="0.2">
      <c r="A65" s="364">
        <v>1988</v>
      </c>
      <c r="B65" s="74" t="s">
        <v>29</v>
      </c>
      <c r="C65" s="74" t="s">
        <v>29</v>
      </c>
      <c r="D65" s="74">
        <v>278</v>
      </c>
      <c r="E65" s="74">
        <v>2107</v>
      </c>
      <c r="F65" s="74">
        <v>9605</v>
      </c>
      <c r="G65" s="74">
        <v>13839</v>
      </c>
      <c r="H65" s="74">
        <v>7429</v>
      </c>
      <c r="I65" s="74" t="s">
        <v>116</v>
      </c>
      <c r="J65" s="74" t="s">
        <v>29</v>
      </c>
      <c r="K65" s="74">
        <f t="shared" si="2"/>
        <v>33258</v>
      </c>
    </row>
    <row r="66" spans="1:11" x14ac:dyDescent="0.2">
      <c r="A66" s="364">
        <v>1989</v>
      </c>
      <c r="B66" s="74" t="s">
        <v>29</v>
      </c>
      <c r="C66" s="74" t="s">
        <v>29</v>
      </c>
      <c r="D66" s="74">
        <v>295</v>
      </c>
      <c r="E66" s="74">
        <v>3026</v>
      </c>
      <c r="F66" s="74">
        <v>15406</v>
      </c>
      <c r="G66" s="74">
        <v>12253</v>
      </c>
      <c r="H66" s="74">
        <v>317</v>
      </c>
      <c r="I66" s="74" t="s">
        <v>116</v>
      </c>
      <c r="J66" s="74" t="s">
        <v>29</v>
      </c>
      <c r="K66" s="74">
        <f t="shared" si="2"/>
        <v>31297</v>
      </c>
    </row>
    <row r="67" spans="1:11" x14ac:dyDescent="0.2">
      <c r="A67" s="364">
        <v>1990</v>
      </c>
      <c r="B67" s="74" t="s">
        <v>29</v>
      </c>
      <c r="C67" s="74" t="s">
        <v>29</v>
      </c>
      <c r="D67" s="74">
        <v>94</v>
      </c>
      <c r="E67" s="74">
        <v>1186</v>
      </c>
      <c r="F67" s="74">
        <v>9908</v>
      </c>
      <c r="G67" s="74">
        <v>16327</v>
      </c>
      <c r="H67" s="74">
        <v>5981</v>
      </c>
      <c r="I67" s="74" t="s">
        <v>116</v>
      </c>
      <c r="J67" s="74" t="s">
        <v>29</v>
      </c>
      <c r="K67" s="74">
        <f t="shared" si="2"/>
        <v>33496</v>
      </c>
    </row>
    <row r="68" spans="1:11" x14ac:dyDescent="0.2">
      <c r="A68" s="364">
        <v>1991</v>
      </c>
      <c r="B68" s="74" t="s">
        <v>29</v>
      </c>
      <c r="C68" s="74" t="s">
        <v>29</v>
      </c>
      <c r="D68" s="74">
        <v>426</v>
      </c>
      <c r="E68" s="74">
        <v>3990</v>
      </c>
      <c r="F68" s="74">
        <v>16608</v>
      </c>
      <c r="G68" s="74" t="s">
        <v>29</v>
      </c>
      <c r="H68" s="74" t="s">
        <v>29</v>
      </c>
      <c r="I68" s="74" t="s">
        <v>116</v>
      </c>
      <c r="J68" s="74" t="s">
        <v>29</v>
      </c>
      <c r="K68" s="74">
        <f t="shared" si="2"/>
        <v>21024</v>
      </c>
    </row>
    <row r="69" spans="1:11" x14ac:dyDescent="0.2">
      <c r="A69" s="364">
        <v>1992</v>
      </c>
      <c r="B69" s="74" t="s">
        <v>29</v>
      </c>
      <c r="C69" s="74" t="s">
        <v>29</v>
      </c>
      <c r="D69" s="74">
        <v>1172</v>
      </c>
      <c r="E69" s="74">
        <v>3418</v>
      </c>
      <c r="F69" s="74">
        <v>11657</v>
      </c>
      <c r="G69" s="74">
        <v>7053</v>
      </c>
      <c r="H69" s="74">
        <v>2835</v>
      </c>
      <c r="I69" s="74" t="s">
        <v>116</v>
      </c>
      <c r="J69" s="74" t="s">
        <v>29</v>
      </c>
      <c r="K69" s="74">
        <f t="shared" si="2"/>
        <v>26135</v>
      </c>
    </row>
    <row r="70" spans="1:11" x14ac:dyDescent="0.2">
      <c r="A70" s="364">
        <v>1993</v>
      </c>
      <c r="B70" s="74" t="s">
        <v>29</v>
      </c>
      <c r="C70" s="74" t="s">
        <v>29</v>
      </c>
      <c r="D70" s="74">
        <v>797</v>
      </c>
      <c r="E70" s="74">
        <v>195</v>
      </c>
      <c r="F70" s="74">
        <v>3091</v>
      </c>
      <c r="G70" s="74">
        <v>1488</v>
      </c>
      <c r="H70" s="74" t="s">
        <v>116</v>
      </c>
      <c r="I70" s="74" t="s">
        <v>116</v>
      </c>
      <c r="J70" s="74" t="s">
        <v>29</v>
      </c>
      <c r="K70" s="74">
        <f t="shared" si="2"/>
        <v>5571</v>
      </c>
    </row>
    <row r="71" spans="1:11" x14ac:dyDescent="0.2">
      <c r="A71" s="364">
        <v>1994</v>
      </c>
      <c r="B71" s="74" t="s">
        <v>29</v>
      </c>
      <c r="C71" s="74" t="s">
        <v>29</v>
      </c>
      <c r="D71" s="74">
        <v>603</v>
      </c>
      <c r="E71" s="74">
        <v>931</v>
      </c>
      <c r="F71" s="74" t="s">
        <v>29</v>
      </c>
      <c r="G71" s="74" t="s">
        <v>29</v>
      </c>
      <c r="H71" s="74" t="s">
        <v>29</v>
      </c>
      <c r="I71" s="74">
        <v>8749</v>
      </c>
      <c r="J71" s="74">
        <v>3</v>
      </c>
      <c r="K71" s="74">
        <f t="shared" si="2"/>
        <v>10286</v>
      </c>
    </row>
    <row r="72" spans="1:11" x14ac:dyDescent="0.2">
      <c r="A72" s="364">
        <v>1995</v>
      </c>
      <c r="B72" s="74" t="s">
        <v>29</v>
      </c>
      <c r="C72" s="74" t="s">
        <v>29</v>
      </c>
      <c r="D72" s="74">
        <v>644</v>
      </c>
      <c r="E72" s="74">
        <v>76</v>
      </c>
      <c r="F72" s="74" t="s">
        <v>29</v>
      </c>
      <c r="G72" s="74" t="s">
        <v>29</v>
      </c>
      <c r="H72" s="74">
        <v>1314</v>
      </c>
      <c r="I72" s="74">
        <v>1008</v>
      </c>
      <c r="J72" s="74">
        <v>788</v>
      </c>
      <c r="K72" s="74">
        <f t="shared" si="2"/>
        <v>3830</v>
      </c>
    </row>
    <row r="73" spans="1:11" x14ac:dyDescent="0.2">
      <c r="A73" s="364">
        <v>1996</v>
      </c>
      <c r="B73" s="74" t="s">
        <v>29</v>
      </c>
      <c r="C73" s="74" t="s">
        <v>29</v>
      </c>
      <c r="D73" s="74">
        <v>762</v>
      </c>
      <c r="E73" s="74">
        <v>118</v>
      </c>
      <c r="F73" s="74">
        <v>44</v>
      </c>
      <c r="G73" s="74">
        <v>464</v>
      </c>
      <c r="H73" s="74">
        <v>3655</v>
      </c>
      <c r="I73" s="74">
        <v>3255</v>
      </c>
      <c r="J73" s="74" t="s">
        <v>29</v>
      </c>
      <c r="K73" s="74">
        <f t="shared" si="2"/>
        <v>8298</v>
      </c>
    </row>
    <row r="74" spans="1:11" x14ac:dyDescent="0.2">
      <c r="A74" s="364">
        <v>1997</v>
      </c>
      <c r="B74" s="74" t="s">
        <v>29</v>
      </c>
      <c r="C74" s="268">
        <v>0</v>
      </c>
      <c r="D74" s="74">
        <v>36</v>
      </c>
      <c r="E74" s="74">
        <v>94</v>
      </c>
      <c r="F74" s="74">
        <v>8</v>
      </c>
      <c r="G74" s="74">
        <v>366</v>
      </c>
      <c r="H74" s="74">
        <v>1418</v>
      </c>
      <c r="I74" s="74">
        <v>1673</v>
      </c>
      <c r="J74" s="74" t="s">
        <v>116</v>
      </c>
      <c r="K74" s="74">
        <f t="shared" si="2"/>
        <v>3595</v>
      </c>
    </row>
    <row r="75" spans="1:11" x14ac:dyDescent="0.2">
      <c r="A75" s="364">
        <v>1998</v>
      </c>
      <c r="B75" s="74" t="s">
        <v>29</v>
      </c>
      <c r="C75" s="268">
        <v>0</v>
      </c>
      <c r="D75" s="74">
        <v>609</v>
      </c>
      <c r="E75" s="74">
        <v>59</v>
      </c>
      <c r="F75" s="74">
        <v>11</v>
      </c>
      <c r="G75" s="74">
        <v>258</v>
      </c>
      <c r="H75" s="74">
        <v>2256</v>
      </c>
      <c r="I75" s="74">
        <v>2900</v>
      </c>
      <c r="J75" s="74" t="s">
        <v>116</v>
      </c>
      <c r="K75" s="74">
        <f t="shared" si="2"/>
        <v>6093</v>
      </c>
    </row>
    <row r="76" spans="1:11" x14ac:dyDescent="0.2">
      <c r="A76" s="364">
        <v>1999</v>
      </c>
      <c r="B76" s="74" t="s">
        <v>29</v>
      </c>
      <c r="C76" s="74">
        <v>6</v>
      </c>
      <c r="D76" s="74">
        <v>643</v>
      </c>
      <c r="E76" s="74">
        <v>129</v>
      </c>
      <c r="F76" s="74">
        <v>3427</v>
      </c>
      <c r="G76" s="74">
        <v>253</v>
      </c>
      <c r="H76" s="74">
        <v>3126</v>
      </c>
      <c r="I76" s="74">
        <v>3469</v>
      </c>
      <c r="J76" s="74">
        <v>104</v>
      </c>
      <c r="K76" s="74">
        <f t="shared" si="2"/>
        <v>11157</v>
      </c>
    </row>
    <row r="77" spans="1:11" x14ac:dyDescent="0.2">
      <c r="A77" s="364">
        <v>2000</v>
      </c>
      <c r="B77" s="74" t="s">
        <v>29</v>
      </c>
      <c r="C77" s="74">
        <v>14</v>
      </c>
      <c r="D77" s="74">
        <v>397</v>
      </c>
      <c r="E77" s="74">
        <v>108</v>
      </c>
      <c r="F77" s="74">
        <v>3763</v>
      </c>
      <c r="G77" s="74">
        <v>388</v>
      </c>
      <c r="H77" s="74">
        <v>3405</v>
      </c>
      <c r="I77" s="74">
        <v>3176</v>
      </c>
      <c r="J77" s="74">
        <v>235</v>
      </c>
      <c r="K77" s="74">
        <f t="shared" si="2"/>
        <v>11486</v>
      </c>
    </row>
    <row r="78" spans="1:11" x14ac:dyDescent="0.2">
      <c r="A78" s="364">
        <v>2001</v>
      </c>
      <c r="B78" s="74" t="s">
        <v>29</v>
      </c>
      <c r="C78" s="268">
        <v>0</v>
      </c>
      <c r="D78" s="74">
        <v>526</v>
      </c>
      <c r="E78" s="74">
        <v>2827</v>
      </c>
      <c r="F78" s="74">
        <v>7278</v>
      </c>
      <c r="G78" s="74">
        <v>895</v>
      </c>
      <c r="H78" s="74">
        <v>2747</v>
      </c>
      <c r="I78" s="74">
        <v>2051</v>
      </c>
      <c r="J78" s="74">
        <v>162</v>
      </c>
      <c r="K78" s="74">
        <f t="shared" si="2"/>
        <v>16486</v>
      </c>
    </row>
    <row r="79" spans="1:11" x14ac:dyDescent="0.2">
      <c r="A79" s="364">
        <v>2002</v>
      </c>
      <c r="B79" s="74" t="s">
        <v>29</v>
      </c>
      <c r="C79" s="74">
        <v>11</v>
      </c>
      <c r="D79" s="74">
        <v>386</v>
      </c>
      <c r="E79" s="74">
        <v>360</v>
      </c>
      <c r="F79" s="74">
        <v>7005</v>
      </c>
      <c r="G79" s="74">
        <v>4787</v>
      </c>
      <c r="H79" s="74">
        <v>5041</v>
      </c>
      <c r="I79" s="74">
        <v>6767</v>
      </c>
      <c r="J79" s="74">
        <v>50</v>
      </c>
      <c r="K79" s="74">
        <f t="shared" si="2"/>
        <v>24407</v>
      </c>
    </row>
    <row r="80" spans="1:11" x14ac:dyDescent="0.2">
      <c r="A80" s="118">
        <v>2003</v>
      </c>
      <c r="B80" s="74">
        <v>21</v>
      </c>
      <c r="C80" s="74">
        <v>5</v>
      </c>
      <c r="D80" s="74">
        <v>435</v>
      </c>
      <c r="E80" s="74">
        <v>1860</v>
      </c>
      <c r="F80" s="74">
        <v>11990</v>
      </c>
      <c r="G80" s="74">
        <v>5450</v>
      </c>
      <c r="H80" s="74">
        <v>4819</v>
      </c>
      <c r="I80" s="74">
        <v>3019</v>
      </c>
      <c r="J80" s="74">
        <v>395</v>
      </c>
      <c r="K80" s="74">
        <f t="shared" si="2"/>
        <v>27994</v>
      </c>
    </row>
    <row r="81" spans="1:11" x14ac:dyDescent="0.2">
      <c r="A81" s="118">
        <v>2004</v>
      </c>
      <c r="B81" s="74">
        <v>8</v>
      </c>
      <c r="C81" s="74">
        <v>94</v>
      </c>
      <c r="D81" s="74">
        <v>397</v>
      </c>
      <c r="E81" s="74">
        <v>2849</v>
      </c>
      <c r="F81" s="74">
        <v>11855</v>
      </c>
      <c r="G81" s="74">
        <v>6729</v>
      </c>
      <c r="H81" s="74">
        <v>4442</v>
      </c>
      <c r="I81" s="74">
        <v>2647</v>
      </c>
      <c r="J81" s="74">
        <v>291</v>
      </c>
      <c r="K81" s="74">
        <f t="shared" si="2"/>
        <v>29312</v>
      </c>
    </row>
    <row r="82" spans="1:11" x14ac:dyDescent="0.2">
      <c r="A82" s="118">
        <v>2005</v>
      </c>
      <c r="B82" s="74">
        <v>28</v>
      </c>
      <c r="C82" s="74">
        <v>66</v>
      </c>
      <c r="D82" s="74">
        <v>463</v>
      </c>
      <c r="E82" s="74">
        <v>2318</v>
      </c>
      <c r="F82" s="74">
        <v>3216</v>
      </c>
      <c r="G82" s="74">
        <v>1622</v>
      </c>
      <c r="H82" s="74">
        <v>3799</v>
      </c>
      <c r="I82" s="74">
        <v>599</v>
      </c>
      <c r="J82" s="74">
        <v>12</v>
      </c>
      <c r="K82" s="74">
        <f t="shared" si="2"/>
        <v>12123</v>
      </c>
    </row>
    <row r="83" spans="1:11" x14ac:dyDescent="0.2">
      <c r="A83" s="118">
        <v>2006</v>
      </c>
      <c r="B83" s="74">
        <v>2</v>
      </c>
      <c r="C83" s="74">
        <v>16</v>
      </c>
      <c r="D83" s="74">
        <v>385</v>
      </c>
      <c r="E83" s="74">
        <v>1334</v>
      </c>
      <c r="F83" s="74">
        <v>3299</v>
      </c>
      <c r="G83" s="74">
        <v>497</v>
      </c>
      <c r="H83" s="74">
        <v>5292</v>
      </c>
      <c r="I83" s="74">
        <v>4988</v>
      </c>
      <c r="J83" s="74">
        <v>98</v>
      </c>
      <c r="K83" s="74">
        <f t="shared" si="2"/>
        <v>15911</v>
      </c>
    </row>
    <row r="84" spans="1:11" s="366" customFormat="1" x14ac:dyDescent="0.2">
      <c r="A84" s="118">
        <v>2007</v>
      </c>
      <c r="B84" s="73" t="s">
        <v>29</v>
      </c>
      <c r="C84" s="73">
        <v>16</v>
      </c>
      <c r="D84" s="73">
        <v>828</v>
      </c>
      <c r="E84" s="73">
        <v>1753</v>
      </c>
      <c r="F84" s="73">
        <v>4612</v>
      </c>
      <c r="G84" s="73">
        <v>8074</v>
      </c>
      <c r="H84" s="73">
        <v>3459</v>
      </c>
      <c r="I84" s="73">
        <v>2286</v>
      </c>
      <c r="J84" s="277" t="s">
        <v>116</v>
      </c>
      <c r="K84" s="73">
        <f t="shared" si="2"/>
        <v>21028</v>
      </c>
    </row>
    <row r="85" spans="1:11" s="366" customFormat="1" x14ac:dyDescent="0.2">
      <c r="A85" s="118">
        <v>2008</v>
      </c>
      <c r="B85" s="73" t="s">
        <v>29</v>
      </c>
      <c r="C85" s="73" t="s">
        <v>29</v>
      </c>
      <c r="D85" s="73" t="s">
        <v>29</v>
      </c>
      <c r="E85" s="73">
        <v>643</v>
      </c>
      <c r="F85" s="73">
        <v>1269</v>
      </c>
      <c r="G85" s="73">
        <v>1226</v>
      </c>
      <c r="H85" s="73">
        <v>3635</v>
      </c>
      <c r="I85" s="73">
        <v>2348</v>
      </c>
      <c r="J85" s="167" t="s">
        <v>116</v>
      </c>
      <c r="K85" s="73">
        <f t="shared" si="2"/>
        <v>9121</v>
      </c>
    </row>
    <row r="86" spans="1:11" s="366" customFormat="1" x14ac:dyDescent="0.2">
      <c r="A86" s="118">
        <v>2009</v>
      </c>
      <c r="B86" s="73" t="s">
        <v>29</v>
      </c>
      <c r="C86" s="73" t="s">
        <v>29</v>
      </c>
      <c r="D86" s="73" t="s">
        <v>29</v>
      </c>
      <c r="E86" s="73">
        <f>176+798</f>
        <v>974</v>
      </c>
      <c r="F86" s="73">
        <v>10482</v>
      </c>
      <c r="G86" s="73">
        <v>7131</v>
      </c>
      <c r="H86" s="73">
        <v>1772</v>
      </c>
      <c r="I86" s="73">
        <v>2009</v>
      </c>
      <c r="J86" s="73" t="s">
        <v>29</v>
      </c>
      <c r="K86" s="73">
        <f t="shared" si="2"/>
        <v>22368</v>
      </c>
    </row>
    <row r="87" spans="1:11" s="366" customFormat="1" x14ac:dyDescent="0.2">
      <c r="A87" s="118">
        <v>2010</v>
      </c>
      <c r="B87" s="73" t="s">
        <v>29</v>
      </c>
      <c r="C87" s="73" t="s">
        <v>29</v>
      </c>
      <c r="D87" s="73">
        <v>126</v>
      </c>
      <c r="E87" s="73">
        <v>1158</v>
      </c>
      <c r="F87" s="73">
        <v>3833</v>
      </c>
      <c r="G87" s="73">
        <v>3620</v>
      </c>
      <c r="H87" s="73">
        <v>3718</v>
      </c>
      <c r="I87" s="73">
        <v>1048</v>
      </c>
      <c r="J87" s="73" t="s">
        <v>29</v>
      </c>
      <c r="K87" s="73">
        <f t="shared" si="2"/>
        <v>13503</v>
      </c>
    </row>
    <row r="88" spans="1:11" s="366" customFormat="1" x14ac:dyDescent="0.2">
      <c r="A88" s="118">
        <v>2011</v>
      </c>
      <c r="B88" s="73">
        <v>0</v>
      </c>
      <c r="C88" s="73">
        <v>50</v>
      </c>
      <c r="D88" s="73">
        <v>143</v>
      </c>
      <c r="E88" s="73">
        <v>936</v>
      </c>
      <c r="F88" s="73">
        <v>3771</v>
      </c>
      <c r="G88" s="73">
        <v>2968</v>
      </c>
      <c r="H88" s="73">
        <v>3730</v>
      </c>
      <c r="I88" s="73">
        <v>1240</v>
      </c>
      <c r="J88" s="73" t="s">
        <v>29</v>
      </c>
      <c r="K88" s="73">
        <f t="shared" si="2"/>
        <v>12838</v>
      </c>
    </row>
    <row r="89" spans="1:11" s="366" customFormat="1" x14ac:dyDescent="0.2">
      <c r="A89" s="118">
        <v>2012</v>
      </c>
      <c r="B89" s="73">
        <v>0</v>
      </c>
      <c r="C89" s="73">
        <v>38</v>
      </c>
      <c r="D89" s="73">
        <v>567</v>
      </c>
      <c r="E89" s="73">
        <v>830</v>
      </c>
      <c r="F89" s="73">
        <v>2372</v>
      </c>
      <c r="G89" s="73">
        <v>2933</v>
      </c>
      <c r="H89" s="73">
        <v>4126</v>
      </c>
      <c r="I89" s="73">
        <v>1521</v>
      </c>
      <c r="J89" s="73" t="s">
        <v>29</v>
      </c>
      <c r="K89" s="73">
        <f t="shared" si="2"/>
        <v>12387</v>
      </c>
    </row>
    <row r="90" spans="1:11" s="366" customFormat="1" x14ac:dyDescent="0.2">
      <c r="A90" s="118">
        <v>2013</v>
      </c>
      <c r="B90" s="73">
        <v>2</v>
      </c>
      <c r="C90" s="73">
        <v>78</v>
      </c>
      <c r="D90" s="73">
        <v>369</v>
      </c>
      <c r="E90" s="73">
        <v>647</v>
      </c>
      <c r="F90" s="73">
        <v>3166</v>
      </c>
      <c r="G90" s="73">
        <v>2605</v>
      </c>
      <c r="H90" s="73">
        <v>3326</v>
      </c>
      <c r="I90" s="73">
        <v>3942</v>
      </c>
      <c r="J90" s="73" t="s">
        <v>29</v>
      </c>
      <c r="K90" s="73">
        <f t="shared" si="2"/>
        <v>14135</v>
      </c>
    </row>
    <row r="91" spans="1:11" s="366" customFormat="1" x14ac:dyDescent="0.2">
      <c r="A91" s="118">
        <v>2014</v>
      </c>
      <c r="B91" s="73">
        <v>0</v>
      </c>
      <c r="C91" s="73">
        <v>7</v>
      </c>
      <c r="D91" s="73">
        <v>1052</v>
      </c>
      <c r="E91" s="73">
        <v>1110</v>
      </c>
      <c r="F91" s="73">
        <v>9027</v>
      </c>
      <c r="G91" s="73">
        <v>4657</v>
      </c>
      <c r="H91" s="73">
        <v>8066</v>
      </c>
      <c r="I91" s="73">
        <v>1305</v>
      </c>
      <c r="J91" s="73" t="s">
        <v>29</v>
      </c>
      <c r="K91" s="73">
        <f t="shared" si="2"/>
        <v>25224</v>
      </c>
    </row>
    <row r="92" spans="1:11" s="366" customFormat="1" x14ac:dyDescent="0.2">
      <c r="A92" s="118">
        <v>2015</v>
      </c>
      <c r="B92" s="73">
        <v>0</v>
      </c>
      <c r="C92" s="73">
        <v>42</v>
      </c>
      <c r="D92" s="73">
        <v>919</v>
      </c>
      <c r="E92" s="73">
        <v>485</v>
      </c>
      <c r="F92" s="73">
        <v>3259</v>
      </c>
      <c r="G92" s="73">
        <v>2097</v>
      </c>
      <c r="H92" s="73">
        <v>6463</v>
      </c>
      <c r="I92" s="73">
        <v>2217</v>
      </c>
      <c r="J92" s="73" t="s">
        <v>29</v>
      </c>
      <c r="K92" s="73">
        <f t="shared" si="2"/>
        <v>15482</v>
      </c>
    </row>
    <row r="93" spans="1:11" s="366" customFormat="1" x14ac:dyDescent="0.2">
      <c r="A93" s="118">
        <v>2016</v>
      </c>
      <c r="B93" s="73">
        <v>14</v>
      </c>
      <c r="C93" s="73">
        <v>4</v>
      </c>
      <c r="D93" s="73">
        <v>838</v>
      </c>
      <c r="E93" s="73">
        <v>1578</v>
      </c>
      <c r="F93" s="73">
        <v>1657</v>
      </c>
      <c r="G93" s="73">
        <v>855</v>
      </c>
      <c r="H93" s="73">
        <v>5505</v>
      </c>
      <c r="I93" s="73">
        <v>530</v>
      </c>
      <c r="J93" s="73" t="s">
        <v>29</v>
      </c>
      <c r="K93" s="73">
        <f t="shared" si="2"/>
        <v>10981</v>
      </c>
    </row>
    <row r="94" spans="1:11" x14ac:dyDescent="0.2">
      <c r="A94" s="118">
        <v>2017</v>
      </c>
      <c r="B94" s="74">
        <v>0</v>
      </c>
      <c r="C94" s="74">
        <v>12</v>
      </c>
      <c r="D94" s="74">
        <v>335</v>
      </c>
      <c r="E94" s="74">
        <v>692</v>
      </c>
      <c r="F94" s="74">
        <v>2161</v>
      </c>
      <c r="G94" s="74">
        <v>2039</v>
      </c>
      <c r="H94" s="74">
        <v>3100</v>
      </c>
      <c r="I94" s="74">
        <v>292</v>
      </c>
      <c r="J94" s="74" t="s">
        <v>29</v>
      </c>
      <c r="K94" s="74">
        <f t="shared" si="2"/>
        <v>8631</v>
      </c>
    </row>
    <row r="95" spans="1:11" s="366" customFormat="1" x14ac:dyDescent="0.2">
      <c r="A95" s="118">
        <v>2018</v>
      </c>
      <c r="B95" s="73">
        <v>0</v>
      </c>
      <c r="C95" s="73">
        <v>0</v>
      </c>
      <c r="D95" s="73">
        <v>354</v>
      </c>
      <c r="E95" s="73">
        <v>332</v>
      </c>
      <c r="F95" s="73">
        <v>1533</v>
      </c>
      <c r="G95" s="73">
        <v>4541</v>
      </c>
      <c r="H95" s="73">
        <v>3670</v>
      </c>
      <c r="I95" s="73">
        <v>829</v>
      </c>
      <c r="J95" s="73" t="s">
        <v>29</v>
      </c>
      <c r="K95" s="73">
        <f>SUM(B95:J95)</f>
        <v>11259</v>
      </c>
    </row>
    <row r="96" spans="1:11" s="489" customFormat="1" x14ac:dyDescent="0.2">
      <c r="A96" s="118">
        <v>2019</v>
      </c>
      <c r="B96" s="73">
        <v>0</v>
      </c>
      <c r="C96" s="73">
        <v>0</v>
      </c>
      <c r="D96" s="73">
        <v>293</v>
      </c>
      <c r="E96" s="73">
        <v>2061</v>
      </c>
      <c r="F96" s="73">
        <v>8113</v>
      </c>
      <c r="G96" s="73">
        <v>6440</v>
      </c>
      <c r="H96" s="73">
        <v>2725</v>
      </c>
      <c r="I96" s="73">
        <v>1470</v>
      </c>
      <c r="J96" s="73" t="s">
        <v>29</v>
      </c>
      <c r="K96" s="73">
        <f t="shared" ref="K96" si="3">SUM(B96:J96)</f>
        <v>21102</v>
      </c>
    </row>
    <row r="97" spans="1:11" x14ac:dyDescent="0.2">
      <c r="A97" s="118" t="s">
        <v>393</v>
      </c>
      <c r="B97" s="74">
        <v>8</v>
      </c>
      <c r="C97" s="74">
        <v>0</v>
      </c>
      <c r="D97" s="74">
        <v>114</v>
      </c>
      <c r="E97" s="74">
        <v>230</v>
      </c>
      <c r="F97" s="74">
        <v>4125</v>
      </c>
      <c r="G97" s="74">
        <v>3076</v>
      </c>
      <c r="H97" s="74">
        <v>4240</v>
      </c>
      <c r="I97" s="74">
        <v>1401</v>
      </c>
      <c r="J97" s="74" t="s">
        <v>29</v>
      </c>
      <c r="K97" s="74">
        <f t="shared" si="2"/>
        <v>13194</v>
      </c>
    </row>
    <row r="99" spans="1:11" x14ac:dyDescent="0.2">
      <c r="A99" s="109" t="s">
        <v>54</v>
      </c>
    </row>
    <row r="100" spans="1:11" x14ac:dyDescent="0.2">
      <c r="A100" s="371">
        <v>1976</v>
      </c>
      <c r="B100" s="74" t="s">
        <v>29</v>
      </c>
      <c r="C100" s="74">
        <v>0</v>
      </c>
      <c r="D100" s="74">
        <v>3673</v>
      </c>
      <c r="E100" s="74">
        <v>22309</v>
      </c>
      <c r="F100" s="74">
        <v>34620</v>
      </c>
      <c r="G100" s="74">
        <v>56329</v>
      </c>
      <c r="H100" s="74">
        <v>14172</v>
      </c>
      <c r="I100" s="74">
        <v>633</v>
      </c>
      <c r="J100" s="74">
        <v>46</v>
      </c>
      <c r="K100" s="74">
        <f t="shared" ref="K100:K144" si="4">SUM(B100:J100)</f>
        <v>131782</v>
      </c>
    </row>
    <row r="101" spans="1:11" x14ac:dyDescent="0.2">
      <c r="A101" s="371">
        <v>1977</v>
      </c>
      <c r="B101" s="74" t="s">
        <v>29</v>
      </c>
      <c r="C101" s="74">
        <v>0</v>
      </c>
      <c r="D101" s="74">
        <v>1809</v>
      </c>
      <c r="E101" s="74">
        <v>9270</v>
      </c>
      <c r="F101" s="74">
        <v>35513</v>
      </c>
      <c r="G101" s="74">
        <v>29909</v>
      </c>
      <c r="H101" s="74">
        <v>7903</v>
      </c>
      <c r="I101" s="74">
        <v>339</v>
      </c>
      <c r="J101" s="74" t="s">
        <v>29</v>
      </c>
      <c r="K101" s="74">
        <f t="shared" si="4"/>
        <v>84743</v>
      </c>
    </row>
    <row r="102" spans="1:11" x14ac:dyDescent="0.2">
      <c r="A102" s="371">
        <v>1978</v>
      </c>
      <c r="B102" s="74" t="s">
        <v>29</v>
      </c>
      <c r="C102" s="74">
        <v>0</v>
      </c>
      <c r="D102" s="74">
        <v>4142</v>
      </c>
      <c r="E102" s="74">
        <v>17391</v>
      </c>
      <c r="F102" s="74">
        <v>46868</v>
      </c>
      <c r="G102" s="74">
        <v>36531</v>
      </c>
      <c r="H102" s="74">
        <v>7980</v>
      </c>
      <c r="I102" s="74">
        <v>2644</v>
      </c>
      <c r="J102" s="74" t="s">
        <v>29</v>
      </c>
      <c r="K102" s="74">
        <f t="shared" si="4"/>
        <v>115556</v>
      </c>
    </row>
    <row r="103" spans="1:11" x14ac:dyDescent="0.2">
      <c r="A103" s="371">
        <v>1979</v>
      </c>
      <c r="B103" s="74" t="s">
        <v>29</v>
      </c>
      <c r="C103" s="74" t="s">
        <v>29</v>
      </c>
      <c r="D103" s="74">
        <v>2042</v>
      </c>
      <c r="E103" s="74">
        <v>8170</v>
      </c>
      <c r="F103" s="74">
        <v>33235</v>
      </c>
      <c r="G103" s="74">
        <v>28746</v>
      </c>
      <c r="H103" s="74">
        <v>238</v>
      </c>
      <c r="I103" s="74" t="s">
        <v>29</v>
      </c>
      <c r="J103" s="74" t="s">
        <v>29</v>
      </c>
      <c r="K103" s="74">
        <f t="shared" si="4"/>
        <v>72431</v>
      </c>
    </row>
    <row r="104" spans="1:11" x14ac:dyDescent="0.2">
      <c r="A104" s="371">
        <v>1980</v>
      </c>
      <c r="B104" s="74" t="s">
        <v>29</v>
      </c>
      <c r="C104" s="74" t="s">
        <v>29</v>
      </c>
      <c r="D104" s="74">
        <v>1763</v>
      </c>
      <c r="E104" s="74">
        <v>16743</v>
      </c>
      <c r="F104" s="74">
        <v>38971</v>
      </c>
      <c r="G104" s="74">
        <v>22614</v>
      </c>
      <c r="H104" s="74">
        <v>3774</v>
      </c>
      <c r="I104" s="74" t="s">
        <v>116</v>
      </c>
      <c r="J104" s="74" t="s">
        <v>29</v>
      </c>
      <c r="K104" s="74">
        <f t="shared" si="4"/>
        <v>83865</v>
      </c>
    </row>
    <row r="105" spans="1:11" x14ac:dyDescent="0.2">
      <c r="A105" s="371">
        <v>1981</v>
      </c>
      <c r="B105" s="74" t="s">
        <v>29</v>
      </c>
      <c r="C105" s="74" t="s">
        <v>29</v>
      </c>
      <c r="D105" s="74">
        <v>2282</v>
      </c>
      <c r="E105" s="74">
        <v>8244</v>
      </c>
      <c r="F105" s="74">
        <v>27630</v>
      </c>
      <c r="G105" s="74">
        <v>31722</v>
      </c>
      <c r="H105" s="74">
        <v>7464</v>
      </c>
      <c r="I105" s="74" t="s">
        <v>116</v>
      </c>
      <c r="J105" s="74" t="s">
        <v>29</v>
      </c>
      <c r="K105" s="74">
        <f t="shared" si="4"/>
        <v>77342</v>
      </c>
    </row>
    <row r="106" spans="1:11" x14ac:dyDescent="0.2">
      <c r="A106" s="371">
        <v>1982</v>
      </c>
      <c r="B106" s="74" t="s">
        <v>29</v>
      </c>
      <c r="C106" s="74" t="s">
        <v>29</v>
      </c>
      <c r="D106" s="74">
        <v>191</v>
      </c>
      <c r="E106" s="74">
        <v>7310</v>
      </c>
      <c r="F106" s="74">
        <v>45979</v>
      </c>
      <c r="G106" s="268" t="s">
        <v>29</v>
      </c>
      <c r="H106" s="268" t="s">
        <v>29</v>
      </c>
      <c r="I106" s="74" t="s">
        <v>29</v>
      </c>
      <c r="J106" s="74" t="s">
        <v>29</v>
      </c>
      <c r="K106" s="74">
        <f t="shared" si="4"/>
        <v>53480</v>
      </c>
    </row>
    <row r="107" spans="1:11" x14ac:dyDescent="0.2">
      <c r="A107" s="371">
        <v>1983</v>
      </c>
      <c r="B107" s="74" t="s">
        <v>29</v>
      </c>
      <c r="C107" s="74" t="s">
        <v>29</v>
      </c>
      <c r="D107" s="74" t="s">
        <v>29</v>
      </c>
      <c r="E107" s="74">
        <v>3594</v>
      </c>
      <c r="F107" s="74">
        <v>22844</v>
      </c>
      <c r="G107" s="74">
        <v>10934</v>
      </c>
      <c r="H107" s="74">
        <v>5187</v>
      </c>
      <c r="I107" s="74" t="s">
        <v>29</v>
      </c>
      <c r="J107" s="74" t="s">
        <v>29</v>
      </c>
      <c r="K107" s="74">
        <f t="shared" si="4"/>
        <v>42559</v>
      </c>
    </row>
    <row r="108" spans="1:11" x14ac:dyDescent="0.2">
      <c r="A108" s="371">
        <v>1984</v>
      </c>
      <c r="B108" s="74" t="s">
        <v>29</v>
      </c>
      <c r="C108" s="74" t="s">
        <v>29</v>
      </c>
      <c r="D108" s="74" t="s">
        <v>29</v>
      </c>
      <c r="E108" s="74" t="s">
        <v>29</v>
      </c>
      <c r="F108" s="74">
        <v>23994</v>
      </c>
      <c r="G108" s="74">
        <v>16767</v>
      </c>
      <c r="H108" s="74">
        <v>775</v>
      </c>
      <c r="I108" s="74" t="s">
        <v>29</v>
      </c>
      <c r="J108" s="74" t="s">
        <v>29</v>
      </c>
      <c r="K108" s="74">
        <f t="shared" si="4"/>
        <v>41536</v>
      </c>
    </row>
    <row r="109" spans="1:11" x14ac:dyDescent="0.2">
      <c r="A109" s="371">
        <v>1985</v>
      </c>
      <c r="B109" s="74" t="s">
        <v>29</v>
      </c>
      <c r="C109" s="74" t="s">
        <v>29</v>
      </c>
      <c r="D109" s="74" t="s">
        <v>29</v>
      </c>
      <c r="E109" s="74" t="s">
        <v>29</v>
      </c>
      <c r="F109" s="74">
        <v>24310</v>
      </c>
      <c r="G109" s="74">
        <v>44421</v>
      </c>
      <c r="H109" s="74">
        <v>1823</v>
      </c>
      <c r="I109" s="74" t="s">
        <v>29</v>
      </c>
      <c r="J109" s="74" t="s">
        <v>29</v>
      </c>
      <c r="K109" s="74">
        <f t="shared" si="4"/>
        <v>70554</v>
      </c>
    </row>
    <row r="110" spans="1:11" x14ac:dyDescent="0.2">
      <c r="A110" s="364">
        <v>1986</v>
      </c>
      <c r="B110" s="74" t="s">
        <v>29</v>
      </c>
      <c r="C110" s="74" t="s">
        <v>29</v>
      </c>
      <c r="D110" s="74">
        <v>1388</v>
      </c>
      <c r="E110" s="74">
        <v>3936</v>
      </c>
      <c r="F110" s="74">
        <v>38854</v>
      </c>
      <c r="G110" s="74">
        <v>7972</v>
      </c>
      <c r="H110" s="74" t="s">
        <v>29</v>
      </c>
      <c r="I110" s="74" t="s">
        <v>29</v>
      </c>
      <c r="J110" s="74" t="s">
        <v>29</v>
      </c>
      <c r="K110" s="74">
        <f t="shared" si="4"/>
        <v>52150</v>
      </c>
    </row>
    <row r="111" spans="1:11" x14ac:dyDescent="0.2">
      <c r="A111" s="364">
        <v>1987</v>
      </c>
      <c r="B111" s="74" t="s">
        <v>29</v>
      </c>
      <c r="C111" s="74" t="s">
        <v>29</v>
      </c>
      <c r="D111" s="74" t="s">
        <v>29</v>
      </c>
      <c r="E111" s="74">
        <v>5155</v>
      </c>
      <c r="F111" s="74">
        <v>39988</v>
      </c>
      <c r="G111" s="74">
        <v>23219</v>
      </c>
      <c r="H111" s="74">
        <v>8590</v>
      </c>
      <c r="I111" s="74" t="s">
        <v>29</v>
      </c>
      <c r="J111" s="74" t="s">
        <v>29</v>
      </c>
      <c r="K111" s="74">
        <f t="shared" si="4"/>
        <v>76952</v>
      </c>
    </row>
    <row r="112" spans="1:11" x14ac:dyDescent="0.2">
      <c r="A112" s="364">
        <v>1988</v>
      </c>
      <c r="B112" s="74" t="s">
        <v>29</v>
      </c>
      <c r="C112" s="74" t="s">
        <v>29</v>
      </c>
      <c r="D112" s="74">
        <v>972</v>
      </c>
      <c r="E112" s="74">
        <v>7134</v>
      </c>
      <c r="F112" s="74">
        <v>37919</v>
      </c>
      <c r="G112" s="74">
        <v>34166</v>
      </c>
      <c r="H112" s="74">
        <v>9412</v>
      </c>
      <c r="I112" s="74" t="s">
        <v>29</v>
      </c>
      <c r="J112" s="74" t="s">
        <v>29</v>
      </c>
      <c r="K112" s="74">
        <f t="shared" si="4"/>
        <v>89603</v>
      </c>
    </row>
    <row r="113" spans="1:11" x14ac:dyDescent="0.2">
      <c r="A113" s="364">
        <v>1989</v>
      </c>
      <c r="B113" s="74" t="s">
        <v>29</v>
      </c>
      <c r="C113" s="74" t="s">
        <v>29</v>
      </c>
      <c r="D113" s="74">
        <v>945</v>
      </c>
      <c r="E113" s="74">
        <v>17235</v>
      </c>
      <c r="F113" s="74">
        <v>37469</v>
      </c>
      <c r="G113" s="74">
        <v>26306</v>
      </c>
      <c r="H113" s="74">
        <v>814</v>
      </c>
      <c r="I113" s="74" t="s">
        <v>29</v>
      </c>
      <c r="J113" s="74" t="s">
        <v>29</v>
      </c>
      <c r="K113" s="74">
        <f t="shared" si="4"/>
        <v>82769</v>
      </c>
    </row>
    <row r="114" spans="1:11" x14ac:dyDescent="0.2">
      <c r="A114" s="364">
        <v>1990</v>
      </c>
      <c r="B114" s="74" t="s">
        <v>29</v>
      </c>
      <c r="C114" s="74" t="s">
        <v>29</v>
      </c>
      <c r="D114" s="74">
        <v>683</v>
      </c>
      <c r="E114" s="74">
        <v>5484</v>
      </c>
      <c r="F114" s="74">
        <v>32790</v>
      </c>
      <c r="G114" s="74">
        <v>28335</v>
      </c>
      <c r="H114" s="74">
        <v>4105</v>
      </c>
      <c r="I114" s="74" t="s">
        <v>29</v>
      </c>
      <c r="J114" s="74" t="s">
        <v>29</v>
      </c>
      <c r="K114" s="74">
        <f t="shared" si="4"/>
        <v>71397</v>
      </c>
    </row>
    <row r="115" spans="1:11" x14ac:dyDescent="0.2">
      <c r="A115" s="364">
        <v>1991</v>
      </c>
      <c r="B115" s="74" t="s">
        <v>29</v>
      </c>
      <c r="C115" s="74" t="s">
        <v>29</v>
      </c>
      <c r="D115" s="74">
        <v>848</v>
      </c>
      <c r="E115" s="74">
        <v>11837</v>
      </c>
      <c r="F115" s="74">
        <v>40566</v>
      </c>
      <c r="G115" s="74" t="s">
        <v>29</v>
      </c>
      <c r="H115" s="74" t="s">
        <v>29</v>
      </c>
      <c r="I115" s="74" t="s">
        <v>29</v>
      </c>
      <c r="J115" s="74" t="s">
        <v>29</v>
      </c>
      <c r="K115" s="74">
        <f t="shared" si="4"/>
        <v>53251</v>
      </c>
    </row>
    <row r="116" spans="1:11" x14ac:dyDescent="0.2">
      <c r="A116" s="364">
        <v>1992</v>
      </c>
      <c r="B116" s="74" t="s">
        <v>29</v>
      </c>
      <c r="C116" s="74" t="s">
        <v>29</v>
      </c>
      <c r="D116" s="74">
        <v>1124</v>
      </c>
      <c r="E116" s="74">
        <v>7072</v>
      </c>
      <c r="F116" s="74">
        <v>27891</v>
      </c>
      <c r="G116" s="74">
        <v>14611</v>
      </c>
      <c r="H116" s="74">
        <v>2351</v>
      </c>
      <c r="I116" s="74" t="s">
        <v>29</v>
      </c>
      <c r="J116" s="74" t="s">
        <v>29</v>
      </c>
      <c r="K116" s="74">
        <f t="shared" si="4"/>
        <v>53049</v>
      </c>
    </row>
    <row r="117" spans="1:11" x14ac:dyDescent="0.2">
      <c r="A117" s="364">
        <v>1993</v>
      </c>
      <c r="B117" s="74" t="s">
        <v>29</v>
      </c>
      <c r="C117" s="74" t="s">
        <v>29</v>
      </c>
      <c r="D117" s="74">
        <v>233</v>
      </c>
      <c r="E117" s="74">
        <v>229</v>
      </c>
      <c r="F117" s="74">
        <v>11588</v>
      </c>
      <c r="G117" s="74">
        <v>5062</v>
      </c>
      <c r="H117" s="74" t="s">
        <v>29</v>
      </c>
      <c r="I117" s="74" t="s">
        <v>29</v>
      </c>
      <c r="J117" s="74" t="s">
        <v>29</v>
      </c>
      <c r="K117" s="74">
        <f t="shared" si="4"/>
        <v>17112</v>
      </c>
    </row>
    <row r="118" spans="1:11" x14ac:dyDescent="0.2">
      <c r="A118" s="364">
        <v>1994</v>
      </c>
      <c r="B118" s="74" t="s">
        <v>29</v>
      </c>
      <c r="C118" s="74" t="s">
        <v>29</v>
      </c>
      <c r="D118" s="74">
        <v>77</v>
      </c>
      <c r="E118" s="74">
        <v>9</v>
      </c>
      <c r="F118" s="74" t="s">
        <v>29</v>
      </c>
      <c r="G118" s="74" t="s">
        <v>29</v>
      </c>
      <c r="H118" s="74" t="s">
        <v>29</v>
      </c>
      <c r="I118" s="74" t="s">
        <v>29</v>
      </c>
      <c r="J118" s="74" t="s">
        <v>29</v>
      </c>
      <c r="K118" s="74">
        <f t="shared" si="4"/>
        <v>86</v>
      </c>
    </row>
    <row r="119" spans="1:11" x14ac:dyDescent="0.2">
      <c r="A119" s="364">
        <v>1995</v>
      </c>
      <c r="B119" s="74" t="s">
        <v>29</v>
      </c>
      <c r="C119" s="74" t="s">
        <v>29</v>
      </c>
      <c r="D119" s="74">
        <v>139</v>
      </c>
      <c r="E119" s="74">
        <v>260</v>
      </c>
      <c r="F119" s="74" t="s">
        <v>29</v>
      </c>
      <c r="G119" s="74" t="s">
        <v>29</v>
      </c>
      <c r="H119" s="74">
        <v>427</v>
      </c>
      <c r="I119" s="74">
        <v>117</v>
      </c>
      <c r="J119" s="74" t="s">
        <v>29</v>
      </c>
      <c r="K119" s="74">
        <f t="shared" si="4"/>
        <v>943</v>
      </c>
    </row>
    <row r="120" spans="1:11" x14ac:dyDescent="0.2">
      <c r="A120" s="364">
        <v>1996</v>
      </c>
      <c r="B120" s="74" t="s">
        <v>29</v>
      </c>
      <c r="C120" s="74" t="s">
        <v>29</v>
      </c>
      <c r="D120" s="74">
        <v>312</v>
      </c>
      <c r="E120" s="74">
        <v>188</v>
      </c>
      <c r="F120" s="74">
        <v>22</v>
      </c>
      <c r="G120" s="74">
        <v>1789</v>
      </c>
      <c r="H120" s="74">
        <v>460</v>
      </c>
      <c r="I120" s="74" t="s">
        <v>29</v>
      </c>
      <c r="J120" s="74" t="s">
        <v>29</v>
      </c>
      <c r="K120" s="74">
        <f t="shared" si="4"/>
        <v>2771</v>
      </c>
    </row>
    <row r="121" spans="1:11" x14ac:dyDescent="0.2">
      <c r="A121" s="364">
        <v>1997</v>
      </c>
      <c r="B121" s="74" t="s">
        <v>29</v>
      </c>
      <c r="C121" s="74">
        <v>25</v>
      </c>
      <c r="D121" s="74">
        <v>130</v>
      </c>
      <c r="E121" s="74">
        <v>169</v>
      </c>
      <c r="F121" s="74">
        <v>112</v>
      </c>
      <c r="G121" s="74">
        <v>1686</v>
      </c>
      <c r="H121" s="74">
        <v>313</v>
      </c>
      <c r="I121" s="74" t="s">
        <v>29</v>
      </c>
      <c r="J121" s="74" t="s">
        <v>29</v>
      </c>
      <c r="K121" s="74">
        <f t="shared" si="4"/>
        <v>2435</v>
      </c>
    </row>
    <row r="122" spans="1:11" x14ac:dyDescent="0.2">
      <c r="A122" s="364">
        <v>1998</v>
      </c>
      <c r="B122" s="74" t="s">
        <v>29</v>
      </c>
      <c r="C122" s="268">
        <v>0</v>
      </c>
      <c r="D122" s="74">
        <v>32</v>
      </c>
      <c r="E122" s="74">
        <v>88</v>
      </c>
      <c r="F122" s="74">
        <v>109</v>
      </c>
      <c r="G122" s="74">
        <v>922</v>
      </c>
      <c r="H122" s="74">
        <v>152</v>
      </c>
      <c r="I122" s="74">
        <v>12</v>
      </c>
      <c r="J122" s="74" t="s">
        <v>29</v>
      </c>
      <c r="K122" s="74">
        <f t="shared" si="4"/>
        <v>1315</v>
      </c>
    </row>
    <row r="123" spans="1:11" x14ac:dyDescent="0.2">
      <c r="A123" s="364">
        <v>1999</v>
      </c>
      <c r="B123" s="74" t="s">
        <v>29</v>
      </c>
      <c r="C123" s="74">
        <v>6</v>
      </c>
      <c r="D123" s="74">
        <v>16</v>
      </c>
      <c r="E123" s="74">
        <v>67</v>
      </c>
      <c r="F123" s="74">
        <v>7127</v>
      </c>
      <c r="G123" s="74">
        <v>139</v>
      </c>
      <c r="H123" s="74">
        <v>46</v>
      </c>
      <c r="I123" s="74">
        <v>26</v>
      </c>
      <c r="J123" s="74" t="s">
        <v>29</v>
      </c>
      <c r="K123" s="74">
        <f t="shared" si="4"/>
        <v>7427</v>
      </c>
    </row>
    <row r="124" spans="1:11" x14ac:dyDescent="0.2">
      <c r="A124" s="364">
        <v>2000</v>
      </c>
      <c r="B124" s="74" t="s">
        <v>29</v>
      </c>
      <c r="C124" s="74">
        <v>4</v>
      </c>
      <c r="D124" s="74">
        <v>15</v>
      </c>
      <c r="E124" s="74">
        <v>56</v>
      </c>
      <c r="F124" s="74">
        <v>11723</v>
      </c>
      <c r="G124" s="74">
        <v>913</v>
      </c>
      <c r="H124" s="74">
        <v>272</v>
      </c>
      <c r="I124" s="74">
        <v>50</v>
      </c>
      <c r="J124" s="74" t="s">
        <v>29</v>
      </c>
      <c r="K124" s="74">
        <f t="shared" si="4"/>
        <v>13033</v>
      </c>
    </row>
    <row r="125" spans="1:11" x14ac:dyDescent="0.2">
      <c r="A125" s="364">
        <v>2001</v>
      </c>
      <c r="B125" s="74" t="s">
        <v>29</v>
      </c>
      <c r="C125" s="268">
        <v>0</v>
      </c>
      <c r="D125" s="74">
        <v>175</v>
      </c>
      <c r="E125" s="74">
        <v>6648</v>
      </c>
      <c r="F125" s="74">
        <v>13301</v>
      </c>
      <c r="G125" s="74">
        <v>2432</v>
      </c>
      <c r="H125" s="74">
        <v>872</v>
      </c>
      <c r="I125" s="74">
        <v>143</v>
      </c>
      <c r="J125" s="74" t="s">
        <v>29</v>
      </c>
      <c r="K125" s="74">
        <f t="shared" si="4"/>
        <v>23571</v>
      </c>
    </row>
    <row r="126" spans="1:11" x14ac:dyDescent="0.2">
      <c r="A126" s="364">
        <v>2002</v>
      </c>
      <c r="B126" s="74" t="s">
        <v>29</v>
      </c>
      <c r="C126" s="74">
        <v>34</v>
      </c>
      <c r="D126" s="74">
        <v>123</v>
      </c>
      <c r="E126" s="74">
        <v>502</v>
      </c>
      <c r="F126" s="74">
        <v>12360</v>
      </c>
      <c r="G126" s="74">
        <v>2837</v>
      </c>
      <c r="H126" s="74">
        <v>1469</v>
      </c>
      <c r="I126" s="74">
        <v>738</v>
      </c>
      <c r="J126" s="74" t="s">
        <v>29</v>
      </c>
      <c r="K126" s="74">
        <f t="shared" si="4"/>
        <v>18063</v>
      </c>
    </row>
    <row r="127" spans="1:11" x14ac:dyDescent="0.2">
      <c r="A127" s="118">
        <v>2003</v>
      </c>
      <c r="B127" s="74">
        <v>24</v>
      </c>
      <c r="C127" s="74">
        <v>28</v>
      </c>
      <c r="D127" s="74">
        <v>310</v>
      </c>
      <c r="E127" s="74">
        <v>3761</v>
      </c>
      <c r="F127" s="74">
        <v>20799</v>
      </c>
      <c r="G127" s="74">
        <v>12739</v>
      </c>
      <c r="H127" s="74">
        <v>1371</v>
      </c>
      <c r="I127" s="74">
        <v>526</v>
      </c>
      <c r="J127" s="74" t="s">
        <v>29</v>
      </c>
      <c r="K127" s="74">
        <f t="shared" si="4"/>
        <v>39558</v>
      </c>
    </row>
    <row r="128" spans="1:11" x14ac:dyDescent="0.2">
      <c r="A128" s="118">
        <v>2004</v>
      </c>
      <c r="B128" s="74">
        <v>36</v>
      </c>
      <c r="C128" s="74">
        <v>57</v>
      </c>
      <c r="D128" s="74">
        <v>139</v>
      </c>
      <c r="E128" s="74">
        <v>4642</v>
      </c>
      <c r="F128" s="74">
        <v>17640</v>
      </c>
      <c r="G128" s="74">
        <v>12676</v>
      </c>
      <c r="H128" s="74">
        <v>3423</v>
      </c>
      <c r="I128" s="74">
        <v>413</v>
      </c>
      <c r="J128" s="74" t="s">
        <v>29</v>
      </c>
      <c r="K128" s="74">
        <f t="shared" si="4"/>
        <v>39026</v>
      </c>
    </row>
    <row r="129" spans="1:11" x14ac:dyDescent="0.2">
      <c r="A129" s="118">
        <v>2005</v>
      </c>
      <c r="B129" s="74">
        <v>0</v>
      </c>
      <c r="C129" s="74">
        <v>264</v>
      </c>
      <c r="D129" s="74">
        <v>429</v>
      </c>
      <c r="E129" s="74">
        <v>3927</v>
      </c>
      <c r="F129" s="74">
        <v>3562</v>
      </c>
      <c r="G129" s="74">
        <v>1863</v>
      </c>
      <c r="H129" s="74">
        <v>3187</v>
      </c>
      <c r="I129" s="74">
        <v>167</v>
      </c>
      <c r="J129" s="74" t="s">
        <v>29</v>
      </c>
      <c r="K129" s="74">
        <f t="shared" si="4"/>
        <v>13399</v>
      </c>
    </row>
    <row r="130" spans="1:11" x14ac:dyDescent="0.2">
      <c r="A130" s="118">
        <v>2006</v>
      </c>
      <c r="B130" s="74">
        <v>8</v>
      </c>
      <c r="C130" s="74">
        <v>43</v>
      </c>
      <c r="D130" s="74">
        <v>139</v>
      </c>
      <c r="E130" s="74">
        <v>1593</v>
      </c>
      <c r="F130" s="74">
        <v>5785</v>
      </c>
      <c r="G130" s="74">
        <v>584</v>
      </c>
      <c r="H130" s="74">
        <v>1919</v>
      </c>
      <c r="I130" s="74">
        <v>299</v>
      </c>
      <c r="J130" s="74" t="s">
        <v>29</v>
      </c>
      <c r="K130" s="74">
        <f t="shared" si="4"/>
        <v>10370</v>
      </c>
    </row>
    <row r="131" spans="1:11" s="366" customFormat="1" x14ac:dyDescent="0.2">
      <c r="A131" s="118">
        <v>2007</v>
      </c>
      <c r="B131" s="73">
        <v>19</v>
      </c>
      <c r="C131" s="73">
        <v>26</v>
      </c>
      <c r="D131" s="73">
        <v>87</v>
      </c>
      <c r="E131" s="73">
        <v>3472</v>
      </c>
      <c r="F131" s="73">
        <v>8013</v>
      </c>
      <c r="G131" s="73">
        <v>8284</v>
      </c>
      <c r="H131" s="73">
        <v>778</v>
      </c>
      <c r="I131" s="73">
        <v>46</v>
      </c>
      <c r="J131" s="73">
        <v>40</v>
      </c>
      <c r="K131" s="73">
        <f t="shared" si="4"/>
        <v>20765</v>
      </c>
    </row>
    <row r="132" spans="1:11" s="366" customFormat="1" x14ac:dyDescent="0.2">
      <c r="A132" s="118">
        <v>2008</v>
      </c>
      <c r="B132" s="73" t="s">
        <v>29</v>
      </c>
      <c r="C132" s="73" t="s">
        <v>29</v>
      </c>
      <c r="D132" s="73" t="s">
        <v>29</v>
      </c>
      <c r="E132" s="73">
        <v>1128</v>
      </c>
      <c r="F132" s="73">
        <v>2301</v>
      </c>
      <c r="G132" s="73">
        <v>2020</v>
      </c>
      <c r="H132" s="73" t="s">
        <v>29</v>
      </c>
      <c r="I132" s="73" t="s">
        <v>29</v>
      </c>
      <c r="J132" s="73" t="s">
        <v>29</v>
      </c>
      <c r="K132" s="73">
        <f t="shared" si="4"/>
        <v>5449</v>
      </c>
    </row>
    <row r="133" spans="1:11" s="366" customFormat="1" x14ac:dyDescent="0.2">
      <c r="A133" s="118">
        <v>2009</v>
      </c>
      <c r="B133" s="73" t="s">
        <v>29</v>
      </c>
      <c r="C133" s="73" t="s">
        <v>29</v>
      </c>
      <c r="D133" s="73" t="s">
        <v>29</v>
      </c>
      <c r="E133" s="73">
        <v>2126</v>
      </c>
      <c r="F133" s="73">
        <v>13786</v>
      </c>
      <c r="G133" s="73">
        <v>12307</v>
      </c>
      <c r="H133" s="73">
        <v>1388</v>
      </c>
      <c r="I133" s="73" t="s">
        <v>29</v>
      </c>
      <c r="J133" s="73" t="s">
        <v>29</v>
      </c>
      <c r="K133" s="73">
        <f t="shared" si="4"/>
        <v>29607</v>
      </c>
    </row>
    <row r="134" spans="1:11" s="366" customFormat="1" x14ac:dyDescent="0.2">
      <c r="A134" s="118">
        <v>2010</v>
      </c>
      <c r="B134" s="73" t="s">
        <v>29</v>
      </c>
      <c r="C134" s="73" t="s">
        <v>29</v>
      </c>
      <c r="D134" s="73">
        <v>349</v>
      </c>
      <c r="E134" s="73">
        <v>1093</v>
      </c>
      <c r="F134" s="73">
        <v>2933</v>
      </c>
      <c r="G134" s="73">
        <v>8491</v>
      </c>
      <c r="H134" s="73">
        <v>2127</v>
      </c>
      <c r="I134" s="73" t="s">
        <v>29</v>
      </c>
      <c r="J134" s="73" t="s">
        <v>29</v>
      </c>
      <c r="K134" s="73">
        <f t="shared" si="4"/>
        <v>14993</v>
      </c>
    </row>
    <row r="135" spans="1:11" s="366" customFormat="1" x14ac:dyDescent="0.2">
      <c r="A135" s="118">
        <v>2011</v>
      </c>
      <c r="B135" s="73">
        <v>20</v>
      </c>
      <c r="C135" s="73">
        <v>2</v>
      </c>
      <c r="D135" s="73">
        <v>103</v>
      </c>
      <c r="E135" s="73">
        <v>847</v>
      </c>
      <c r="F135" s="73">
        <v>4550</v>
      </c>
      <c r="G135" s="73">
        <v>2518</v>
      </c>
      <c r="H135" s="73">
        <v>3913</v>
      </c>
      <c r="I135" s="73" t="s">
        <v>29</v>
      </c>
      <c r="J135" s="73" t="s">
        <v>29</v>
      </c>
      <c r="K135" s="73">
        <f t="shared" si="4"/>
        <v>11953</v>
      </c>
    </row>
    <row r="136" spans="1:11" s="366" customFormat="1" x14ac:dyDescent="0.2">
      <c r="A136" s="118">
        <v>2012</v>
      </c>
      <c r="B136" s="73">
        <v>23</v>
      </c>
      <c r="C136" s="73">
        <v>290</v>
      </c>
      <c r="D136" s="73">
        <v>325</v>
      </c>
      <c r="E136" s="73">
        <v>658</v>
      </c>
      <c r="F136" s="73">
        <v>3425</v>
      </c>
      <c r="G136" s="73">
        <v>4030</v>
      </c>
      <c r="H136" s="73">
        <v>5947</v>
      </c>
      <c r="I136" s="73">
        <v>107</v>
      </c>
      <c r="J136" s="73" t="s">
        <v>29</v>
      </c>
      <c r="K136" s="73">
        <f t="shared" si="4"/>
        <v>14805</v>
      </c>
    </row>
    <row r="137" spans="1:11" s="366" customFormat="1" x14ac:dyDescent="0.2">
      <c r="A137" s="118">
        <v>2013</v>
      </c>
      <c r="B137" s="73">
        <v>354</v>
      </c>
      <c r="C137" s="73">
        <v>441</v>
      </c>
      <c r="D137" s="73">
        <v>204</v>
      </c>
      <c r="E137" s="73">
        <v>425</v>
      </c>
      <c r="F137" s="73">
        <v>5037</v>
      </c>
      <c r="G137" s="73">
        <v>4073</v>
      </c>
      <c r="H137" s="73">
        <v>4606</v>
      </c>
      <c r="I137" s="73">
        <v>188</v>
      </c>
      <c r="J137" s="73" t="s">
        <v>29</v>
      </c>
      <c r="K137" s="73">
        <f t="shared" si="4"/>
        <v>15328</v>
      </c>
    </row>
    <row r="138" spans="1:11" s="366" customFormat="1" x14ac:dyDescent="0.2">
      <c r="A138" s="118">
        <v>2014</v>
      </c>
      <c r="B138" s="73">
        <v>87</v>
      </c>
      <c r="C138" s="73">
        <v>83</v>
      </c>
      <c r="D138" s="73">
        <v>492</v>
      </c>
      <c r="E138" s="73">
        <v>2235</v>
      </c>
      <c r="F138" s="73">
        <v>15116</v>
      </c>
      <c r="G138" s="73">
        <v>9307</v>
      </c>
      <c r="H138" s="73">
        <v>9804</v>
      </c>
      <c r="I138" s="73">
        <v>63</v>
      </c>
      <c r="J138" s="73" t="s">
        <v>29</v>
      </c>
      <c r="K138" s="73">
        <f t="shared" si="4"/>
        <v>37187</v>
      </c>
    </row>
    <row r="139" spans="1:11" s="366" customFormat="1" x14ac:dyDescent="0.2">
      <c r="A139" s="118">
        <v>2015</v>
      </c>
      <c r="B139" s="73">
        <v>48</v>
      </c>
      <c r="C139" s="73">
        <v>76</v>
      </c>
      <c r="D139" s="73">
        <v>136</v>
      </c>
      <c r="E139" s="73">
        <v>716</v>
      </c>
      <c r="F139" s="73">
        <v>9102</v>
      </c>
      <c r="G139" s="73">
        <v>2369</v>
      </c>
      <c r="H139" s="73">
        <v>5680</v>
      </c>
      <c r="I139" s="73">
        <v>75</v>
      </c>
      <c r="J139" s="73" t="s">
        <v>29</v>
      </c>
      <c r="K139" s="73">
        <f t="shared" si="4"/>
        <v>18202</v>
      </c>
    </row>
    <row r="140" spans="1:11" s="366" customFormat="1" x14ac:dyDescent="0.2">
      <c r="A140" s="118">
        <v>2016</v>
      </c>
      <c r="B140" s="73">
        <v>50</v>
      </c>
      <c r="C140" s="73">
        <v>9</v>
      </c>
      <c r="D140" s="73">
        <v>41</v>
      </c>
      <c r="E140" s="73">
        <v>647</v>
      </c>
      <c r="F140" s="73">
        <v>2448</v>
      </c>
      <c r="G140" s="73">
        <v>1037</v>
      </c>
      <c r="H140" s="73">
        <v>3886</v>
      </c>
      <c r="I140" s="73">
        <v>75</v>
      </c>
      <c r="J140" s="73" t="s">
        <v>29</v>
      </c>
      <c r="K140" s="73">
        <f t="shared" si="4"/>
        <v>8193</v>
      </c>
    </row>
    <row r="141" spans="1:11" x14ac:dyDescent="0.2">
      <c r="A141" s="118">
        <v>2017</v>
      </c>
      <c r="B141" s="74">
        <v>0</v>
      </c>
      <c r="C141" s="74">
        <v>0</v>
      </c>
      <c r="D141" s="74">
        <v>12</v>
      </c>
      <c r="E141" s="74">
        <v>299</v>
      </c>
      <c r="F141" s="74">
        <v>4528</v>
      </c>
      <c r="G141" s="74">
        <v>2751</v>
      </c>
      <c r="H141" s="74">
        <v>2603</v>
      </c>
      <c r="I141" s="74">
        <v>89</v>
      </c>
      <c r="J141" s="74" t="s">
        <v>29</v>
      </c>
      <c r="K141" s="74">
        <f t="shared" si="4"/>
        <v>10282</v>
      </c>
    </row>
    <row r="142" spans="1:11" s="366" customFormat="1" x14ac:dyDescent="0.2">
      <c r="A142" s="118">
        <v>2018</v>
      </c>
      <c r="B142" s="73">
        <v>39</v>
      </c>
      <c r="C142" s="73">
        <v>0</v>
      </c>
      <c r="D142" s="73">
        <v>125</v>
      </c>
      <c r="E142" s="73">
        <v>538</v>
      </c>
      <c r="F142" s="73">
        <v>5623</v>
      </c>
      <c r="G142" s="73">
        <v>11666</v>
      </c>
      <c r="H142" s="73">
        <v>5502</v>
      </c>
      <c r="I142" s="73">
        <v>70</v>
      </c>
      <c r="J142" s="73" t="s">
        <v>29</v>
      </c>
      <c r="K142" s="73">
        <f>SUM(B142:J142)</f>
        <v>23563</v>
      </c>
    </row>
    <row r="143" spans="1:11" s="489" customFormat="1" x14ac:dyDescent="0.2">
      <c r="A143" s="118">
        <v>2019</v>
      </c>
      <c r="B143" s="73">
        <v>37</v>
      </c>
      <c r="C143" s="73">
        <v>0</v>
      </c>
      <c r="D143" s="73">
        <v>65</v>
      </c>
      <c r="E143" s="73">
        <v>2864</v>
      </c>
      <c r="F143" s="73">
        <v>16935</v>
      </c>
      <c r="G143" s="73">
        <v>11609</v>
      </c>
      <c r="H143" s="73">
        <v>3507</v>
      </c>
      <c r="I143" s="73">
        <v>96</v>
      </c>
      <c r="J143" s="73" t="s">
        <v>29</v>
      </c>
      <c r="K143" s="73">
        <f t="shared" ref="K143" si="5">SUM(B143:J143)</f>
        <v>35113</v>
      </c>
    </row>
    <row r="144" spans="1:11" x14ac:dyDescent="0.2">
      <c r="A144" s="118" t="s">
        <v>393</v>
      </c>
      <c r="B144" s="74">
        <v>0</v>
      </c>
      <c r="C144" s="74">
        <v>44</v>
      </c>
      <c r="D144" s="74">
        <v>92</v>
      </c>
      <c r="E144" s="74">
        <v>251</v>
      </c>
      <c r="F144" s="74">
        <v>9740</v>
      </c>
      <c r="G144" s="74">
        <v>4942</v>
      </c>
      <c r="H144" s="74">
        <v>3370</v>
      </c>
      <c r="I144" s="74">
        <v>178</v>
      </c>
      <c r="J144" s="74" t="s">
        <v>29</v>
      </c>
      <c r="K144" s="74">
        <f t="shared" si="4"/>
        <v>18617</v>
      </c>
    </row>
    <row r="146" spans="1:11" x14ac:dyDescent="0.2">
      <c r="A146" s="109" t="s">
        <v>55</v>
      </c>
    </row>
    <row r="147" spans="1:11" x14ac:dyDescent="0.2">
      <c r="A147" s="371">
        <v>1976</v>
      </c>
      <c r="B147" s="74" t="s">
        <v>29</v>
      </c>
      <c r="C147" s="74">
        <v>0</v>
      </c>
      <c r="D147" s="74">
        <v>5605</v>
      </c>
      <c r="E147" s="74">
        <v>25857</v>
      </c>
      <c r="F147" s="74">
        <v>55125</v>
      </c>
      <c r="G147" s="74">
        <v>54107</v>
      </c>
      <c r="H147" s="74">
        <v>12866</v>
      </c>
      <c r="I147" s="74">
        <v>395</v>
      </c>
      <c r="J147" s="74">
        <v>63</v>
      </c>
      <c r="K147" s="74">
        <f t="shared" ref="K147:K191" si="6">SUM(B147:J147)</f>
        <v>154018</v>
      </c>
    </row>
    <row r="148" spans="1:11" x14ac:dyDescent="0.2">
      <c r="A148" s="371">
        <v>1977</v>
      </c>
      <c r="B148" s="74" t="s">
        <v>29</v>
      </c>
      <c r="C148" s="74">
        <v>0</v>
      </c>
      <c r="D148" s="74">
        <v>9927</v>
      </c>
      <c r="E148" s="74">
        <v>16612</v>
      </c>
      <c r="F148" s="74">
        <v>38995</v>
      </c>
      <c r="G148" s="74">
        <v>27856</v>
      </c>
      <c r="H148" s="74">
        <v>10854</v>
      </c>
      <c r="I148" s="74">
        <v>391</v>
      </c>
      <c r="J148" s="74">
        <v>132</v>
      </c>
      <c r="K148" s="74">
        <f t="shared" si="6"/>
        <v>104767</v>
      </c>
    </row>
    <row r="149" spans="1:11" x14ac:dyDescent="0.2">
      <c r="A149" s="371">
        <v>1978</v>
      </c>
      <c r="B149" s="74" t="s">
        <v>29</v>
      </c>
      <c r="C149" s="74">
        <v>0</v>
      </c>
      <c r="D149" s="74">
        <v>3958</v>
      </c>
      <c r="E149" s="74">
        <v>24509</v>
      </c>
      <c r="F149" s="74">
        <v>39967</v>
      </c>
      <c r="G149" s="74">
        <v>26859</v>
      </c>
      <c r="H149" s="74">
        <v>8261</v>
      </c>
      <c r="I149" s="74">
        <v>1169</v>
      </c>
      <c r="J149" s="74" t="s">
        <v>116</v>
      </c>
      <c r="K149" s="74">
        <f t="shared" si="6"/>
        <v>104723</v>
      </c>
    </row>
    <row r="150" spans="1:11" x14ac:dyDescent="0.2">
      <c r="A150" s="371">
        <v>1979</v>
      </c>
      <c r="B150" s="74" t="s">
        <v>29</v>
      </c>
      <c r="C150" s="74" t="s">
        <v>29</v>
      </c>
      <c r="D150" s="74">
        <v>4776</v>
      </c>
      <c r="E150" s="74">
        <v>21465</v>
      </c>
      <c r="F150" s="74">
        <v>42883</v>
      </c>
      <c r="G150" s="74">
        <v>25240</v>
      </c>
      <c r="H150" s="74">
        <v>301</v>
      </c>
      <c r="I150" s="74" t="s">
        <v>29</v>
      </c>
      <c r="J150" s="74" t="s">
        <v>116</v>
      </c>
      <c r="K150" s="74">
        <f t="shared" si="6"/>
        <v>94665</v>
      </c>
    </row>
    <row r="151" spans="1:11" x14ac:dyDescent="0.2">
      <c r="A151" s="371">
        <v>1980</v>
      </c>
      <c r="B151" s="74" t="s">
        <v>29</v>
      </c>
      <c r="C151" s="74" t="s">
        <v>29</v>
      </c>
      <c r="D151" s="74">
        <v>2214</v>
      </c>
      <c r="E151" s="74">
        <v>32083</v>
      </c>
      <c r="F151" s="74">
        <v>46195</v>
      </c>
      <c r="G151" s="74">
        <v>14325</v>
      </c>
      <c r="H151" s="74">
        <v>2588</v>
      </c>
      <c r="I151" s="74" t="s">
        <v>116</v>
      </c>
      <c r="J151" s="74" t="s">
        <v>116</v>
      </c>
      <c r="K151" s="74">
        <f t="shared" si="6"/>
        <v>97405</v>
      </c>
    </row>
    <row r="152" spans="1:11" x14ac:dyDescent="0.2">
      <c r="A152" s="371">
        <v>1981</v>
      </c>
      <c r="B152" s="74" t="s">
        <v>29</v>
      </c>
      <c r="C152" s="74" t="s">
        <v>29</v>
      </c>
      <c r="D152" s="74">
        <v>6638</v>
      </c>
      <c r="E152" s="74">
        <v>13894</v>
      </c>
      <c r="F152" s="74">
        <v>35213</v>
      </c>
      <c r="G152" s="74">
        <v>22698</v>
      </c>
      <c r="H152" s="74">
        <v>5457</v>
      </c>
      <c r="I152" s="74" t="s">
        <v>116</v>
      </c>
      <c r="J152" s="74" t="s">
        <v>116</v>
      </c>
      <c r="K152" s="74">
        <f t="shared" si="6"/>
        <v>83900</v>
      </c>
    </row>
    <row r="153" spans="1:11" x14ac:dyDescent="0.2">
      <c r="A153" s="371">
        <v>1982</v>
      </c>
      <c r="B153" s="74" t="s">
        <v>29</v>
      </c>
      <c r="C153" s="74" t="s">
        <v>29</v>
      </c>
      <c r="D153" s="74">
        <v>92</v>
      </c>
      <c r="E153" s="74">
        <v>11983</v>
      </c>
      <c r="F153" s="74">
        <v>47280</v>
      </c>
      <c r="G153" s="268" t="s">
        <v>29</v>
      </c>
      <c r="H153" s="268" t="s">
        <v>29</v>
      </c>
      <c r="I153" s="74" t="s">
        <v>116</v>
      </c>
      <c r="J153" s="74" t="s">
        <v>116</v>
      </c>
      <c r="K153" s="74">
        <f t="shared" si="6"/>
        <v>59355</v>
      </c>
    </row>
    <row r="154" spans="1:11" x14ac:dyDescent="0.2">
      <c r="A154" s="371">
        <v>1983</v>
      </c>
      <c r="B154" s="74" t="s">
        <v>29</v>
      </c>
      <c r="C154" s="74" t="s">
        <v>29</v>
      </c>
      <c r="D154" s="74" t="s">
        <v>29</v>
      </c>
      <c r="E154" s="74">
        <v>14223</v>
      </c>
      <c r="F154" s="74">
        <v>36921</v>
      </c>
      <c r="G154" s="74">
        <v>13634</v>
      </c>
      <c r="H154" s="74">
        <v>6850</v>
      </c>
      <c r="I154" s="74" t="s">
        <v>116</v>
      </c>
      <c r="J154" s="74" t="s">
        <v>116</v>
      </c>
      <c r="K154" s="74">
        <f t="shared" si="6"/>
        <v>71628</v>
      </c>
    </row>
    <row r="155" spans="1:11" x14ac:dyDescent="0.2">
      <c r="A155" s="371">
        <v>1984</v>
      </c>
      <c r="B155" s="74" t="s">
        <v>29</v>
      </c>
      <c r="C155" s="74" t="s">
        <v>29</v>
      </c>
      <c r="D155" s="74" t="s">
        <v>29</v>
      </c>
      <c r="E155" s="74" t="s">
        <v>29</v>
      </c>
      <c r="F155" s="74">
        <v>22036</v>
      </c>
      <c r="G155" s="74">
        <v>17872</v>
      </c>
      <c r="H155" s="74">
        <v>328</v>
      </c>
      <c r="I155" s="74" t="s">
        <v>116</v>
      </c>
      <c r="J155" s="74" t="s">
        <v>116</v>
      </c>
      <c r="K155" s="74">
        <f t="shared" si="6"/>
        <v>40236</v>
      </c>
    </row>
    <row r="156" spans="1:11" x14ac:dyDescent="0.2">
      <c r="A156" s="371">
        <v>1985</v>
      </c>
      <c r="B156" s="74" t="s">
        <v>29</v>
      </c>
      <c r="C156" s="74" t="s">
        <v>29</v>
      </c>
      <c r="D156" s="74" t="s">
        <v>29</v>
      </c>
      <c r="E156" s="74" t="s">
        <v>29</v>
      </c>
      <c r="F156" s="74">
        <v>33136</v>
      </c>
      <c r="G156" s="74">
        <v>29192</v>
      </c>
      <c r="H156" s="74">
        <v>1173</v>
      </c>
      <c r="I156" s="74" t="s">
        <v>116</v>
      </c>
      <c r="J156" s="74" t="s">
        <v>116</v>
      </c>
      <c r="K156" s="74">
        <f t="shared" si="6"/>
        <v>63501</v>
      </c>
    </row>
    <row r="157" spans="1:11" x14ac:dyDescent="0.2">
      <c r="A157" s="364">
        <v>1986</v>
      </c>
      <c r="B157" s="74" t="s">
        <v>29</v>
      </c>
      <c r="C157" s="74" t="s">
        <v>29</v>
      </c>
      <c r="D157" s="74">
        <v>780</v>
      </c>
      <c r="E157" s="74">
        <v>4931</v>
      </c>
      <c r="F157" s="74">
        <v>33625</v>
      </c>
      <c r="G157" s="74">
        <v>4269</v>
      </c>
      <c r="H157" s="74" t="s">
        <v>29</v>
      </c>
      <c r="I157" s="74" t="s">
        <v>116</v>
      </c>
      <c r="J157" s="74" t="s">
        <v>116</v>
      </c>
      <c r="K157" s="74">
        <f t="shared" si="6"/>
        <v>43605</v>
      </c>
    </row>
    <row r="158" spans="1:11" x14ac:dyDescent="0.2">
      <c r="A158" s="364">
        <v>1987</v>
      </c>
      <c r="B158" s="74" t="s">
        <v>29</v>
      </c>
      <c r="C158" s="74" t="s">
        <v>29</v>
      </c>
      <c r="D158" s="74" t="s">
        <v>29</v>
      </c>
      <c r="E158" s="74">
        <v>3936</v>
      </c>
      <c r="F158" s="74">
        <v>40589</v>
      </c>
      <c r="G158" s="74">
        <v>12812</v>
      </c>
      <c r="H158" s="74">
        <v>5190</v>
      </c>
      <c r="I158" s="74" t="s">
        <v>116</v>
      </c>
      <c r="J158" s="74" t="s">
        <v>116</v>
      </c>
      <c r="K158" s="74">
        <f t="shared" si="6"/>
        <v>62527</v>
      </c>
    </row>
    <row r="159" spans="1:11" x14ac:dyDescent="0.2">
      <c r="A159" s="364">
        <v>1988</v>
      </c>
      <c r="B159" s="74" t="s">
        <v>29</v>
      </c>
      <c r="C159" s="74" t="s">
        <v>29</v>
      </c>
      <c r="D159" s="74">
        <v>1390</v>
      </c>
      <c r="E159" s="74">
        <v>9792</v>
      </c>
      <c r="F159" s="74">
        <v>33103</v>
      </c>
      <c r="G159" s="74">
        <v>21035</v>
      </c>
      <c r="H159" s="74">
        <v>3651</v>
      </c>
      <c r="I159" s="74" t="s">
        <v>116</v>
      </c>
      <c r="J159" s="74" t="s">
        <v>116</v>
      </c>
      <c r="K159" s="74">
        <f t="shared" si="6"/>
        <v>68971</v>
      </c>
    </row>
    <row r="160" spans="1:11" x14ac:dyDescent="0.2">
      <c r="A160" s="364">
        <v>1989</v>
      </c>
      <c r="B160" s="74" t="s">
        <v>29</v>
      </c>
      <c r="C160" s="74" t="s">
        <v>29</v>
      </c>
      <c r="D160" s="74">
        <v>807</v>
      </c>
      <c r="E160" s="74">
        <v>16238</v>
      </c>
      <c r="F160" s="74">
        <v>33882</v>
      </c>
      <c r="G160" s="74">
        <v>15605</v>
      </c>
      <c r="H160" s="74">
        <v>80</v>
      </c>
      <c r="I160" s="74" t="s">
        <v>116</v>
      </c>
      <c r="J160" s="74" t="s">
        <v>116</v>
      </c>
      <c r="K160" s="74">
        <f t="shared" si="6"/>
        <v>66612</v>
      </c>
    </row>
    <row r="161" spans="1:11" x14ac:dyDescent="0.2">
      <c r="A161" s="364">
        <v>1990</v>
      </c>
      <c r="B161" s="74" t="s">
        <v>29</v>
      </c>
      <c r="C161" s="74" t="s">
        <v>29</v>
      </c>
      <c r="D161" s="74">
        <v>585</v>
      </c>
      <c r="E161" s="74">
        <v>8823</v>
      </c>
      <c r="F161" s="74">
        <v>24288</v>
      </c>
      <c r="G161" s="74">
        <v>24886</v>
      </c>
      <c r="H161" s="74">
        <v>6447</v>
      </c>
      <c r="I161" s="74" t="s">
        <v>29</v>
      </c>
      <c r="J161" s="74" t="s">
        <v>29</v>
      </c>
      <c r="K161" s="74">
        <f t="shared" si="6"/>
        <v>65029</v>
      </c>
    </row>
    <row r="162" spans="1:11" x14ac:dyDescent="0.2">
      <c r="A162" s="364">
        <v>1991</v>
      </c>
      <c r="B162" s="74" t="s">
        <v>29</v>
      </c>
      <c r="C162" s="74" t="s">
        <v>29</v>
      </c>
      <c r="D162" s="74">
        <v>1014</v>
      </c>
      <c r="E162" s="74">
        <v>17280</v>
      </c>
      <c r="F162" s="74">
        <v>39388</v>
      </c>
      <c r="G162" s="74" t="s">
        <v>29</v>
      </c>
      <c r="H162" s="74" t="s">
        <v>29</v>
      </c>
      <c r="I162" s="74" t="s">
        <v>29</v>
      </c>
      <c r="J162" s="74" t="s">
        <v>29</v>
      </c>
      <c r="K162" s="74">
        <f t="shared" si="6"/>
        <v>57682</v>
      </c>
    </row>
    <row r="163" spans="1:11" x14ac:dyDescent="0.2">
      <c r="A163" s="364">
        <v>1992</v>
      </c>
      <c r="B163" s="74" t="s">
        <v>29</v>
      </c>
      <c r="C163" s="74" t="s">
        <v>29</v>
      </c>
      <c r="D163" s="74">
        <v>1396</v>
      </c>
      <c r="E163" s="74">
        <v>9431</v>
      </c>
      <c r="F163" s="74">
        <v>28632</v>
      </c>
      <c r="G163" s="74">
        <v>12782</v>
      </c>
      <c r="H163" s="74">
        <v>3317</v>
      </c>
      <c r="I163" s="74" t="s">
        <v>116</v>
      </c>
      <c r="J163" s="74" t="s">
        <v>29</v>
      </c>
      <c r="K163" s="74">
        <f t="shared" si="6"/>
        <v>55558</v>
      </c>
    </row>
    <row r="164" spans="1:11" x14ac:dyDescent="0.2">
      <c r="A164" s="364">
        <v>1993</v>
      </c>
      <c r="B164" s="74" t="s">
        <v>29</v>
      </c>
      <c r="C164" s="74" t="s">
        <v>29</v>
      </c>
      <c r="D164" s="74">
        <v>339</v>
      </c>
      <c r="E164" s="74">
        <v>867</v>
      </c>
      <c r="F164" s="74">
        <v>10066</v>
      </c>
      <c r="G164" s="74">
        <v>4050</v>
      </c>
      <c r="H164" s="74" t="s">
        <v>29</v>
      </c>
      <c r="I164" s="74" t="s">
        <v>116</v>
      </c>
      <c r="J164" s="74" t="s">
        <v>116</v>
      </c>
      <c r="K164" s="74">
        <f t="shared" si="6"/>
        <v>15322</v>
      </c>
    </row>
    <row r="165" spans="1:11" x14ac:dyDescent="0.2">
      <c r="A165" s="364">
        <v>1994</v>
      </c>
      <c r="B165" s="74" t="s">
        <v>29</v>
      </c>
      <c r="C165" s="74" t="s">
        <v>29</v>
      </c>
      <c r="D165" s="74">
        <v>211</v>
      </c>
      <c r="E165" s="74">
        <v>156</v>
      </c>
      <c r="F165" s="74" t="s">
        <v>29</v>
      </c>
      <c r="G165" s="74" t="s">
        <v>29</v>
      </c>
      <c r="H165" s="74" t="s">
        <v>29</v>
      </c>
      <c r="I165" s="74" t="s">
        <v>116</v>
      </c>
      <c r="J165" s="74" t="s">
        <v>116</v>
      </c>
      <c r="K165" s="74">
        <f t="shared" si="6"/>
        <v>367</v>
      </c>
    </row>
    <row r="166" spans="1:11" x14ac:dyDescent="0.2">
      <c r="A166" s="364">
        <v>1995</v>
      </c>
      <c r="B166" s="74" t="s">
        <v>29</v>
      </c>
      <c r="C166" s="74" t="s">
        <v>29</v>
      </c>
      <c r="D166" s="74">
        <v>64</v>
      </c>
      <c r="E166" s="74">
        <v>494</v>
      </c>
      <c r="F166" s="74" t="s">
        <v>29</v>
      </c>
      <c r="G166" s="74" t="s">
        <v>29</v>
      </c>
      <c r="H166" s="74">
        <v>138</v>
      </c>
      <c r="I166" s="74">
        <v>21</v>
      </c>
      <c r="J166" s="74" t="s">
        <v>116</v>
      </c>
      <c r="K166" s="74">
        <f t="shared" si="6"/>
        <v>717</v>
      </c>
    </row>
    <row r="167" spans="1:11" x14ac:dyDescent="0.2">
      <c r="A167" s="364">
        <v>1996</v>
      </c>
      <c r="B167" s="74" t="s">
        <v>29</v>
      </c>
      <c r="C167" s="74" t="s">
        <v>29</v>
      </c>
      <c r="D167" s="74">
        <v>197</v>
      </c>
      <c r="E167" s="74">
        <v>611</v>
      </c>
      <c r="F167" s="74">
        <v>577</v>
      </c>
      <c r="G167" s="74">
        <v>1881</v>
      </c>
      <c r="H167" s="74">
        <v>651</v>
      </c>
      <c r="I167" s="74" t="s">
        <v>116</v>
      </c>
      <c r="J167" s="74" t="s">
        <v>116</v>
      </c>
      <c r="K167" s="74">
        <f t="shared" si="6"/>
        <v>3917</v>
      </c>
    </row>
    <row r="168" spans="1:11" x14ac:dyDescent="0.2">
      <c r="A168" s="364">
        <v>1997</v>
      </c>
      <c r="B168" s="74" t="s">
        <v>29</v>
      </c>
      <c r="C168" s="74">
        <v>4</v>
      </c>
      <c r="D168" s="74">
        <v>273</v>
      </c>
      <c r="E168" s="74">
        <v>499</v>
      </c>
      <c r="F168" s="74">
        <v>753</v>
      </c>
      <c r="G168" s="74">
        <v>1992</v>
      </c>
      <c r="H168" s="74">
        <v>411</v>
      </c>
      <c r="I168" s="74" t="s">
        <v>116</v>
      </c>
      <c r="J168" s="74" t="s">
        <v>116</v>
      </c>
      <c r="K168" s="74">
        <f t="shared" si="6"/>
        <v>3932</v>
      </c>
    </row>
    <row r="169" spans="1:11" x14ac:dyDescent="0.2">
      <c r="A169" s="364">
        <v>1998</v>
      </c>
      <c r="B169" s="74" t="s">
        <v>29</v>
      </c>
      <c r="C169" s="268">
        <v>0</v>
      </c>
      <c r="D169" s="74">
        <v>36</v>
      </c>
      <c r="E169" s="74">
        <v>19</v>
      </c>
      <c r="F169" s="74">
        <v>255</v>
      </c>
      <c r="G169" s="74">
        <v>1902</v>
      </c>
      <c r="H169" s="74">
        <v>123</v>
      </c>
      <c r="I169" s="74" t="s">
        <v>116</v>
      </c>
      <c r="J169" s="74" t="s">
        <v>116</v>
      </c>
      <c r="K169" s="74">
        <f t="shared" si="6"/>
        <v>2335</v>
      </c>
    </row>
    <row r="170" spans="1:11" x14ac:dyDescent="0.2">
      <c r="A170" s="364">
        <v>1999</v>
      </c>
      <c r="B170" s="74" t="s">
        <v>29</v>
      </c>
      <c r="C170" s="268">
        <v>0</v>
      </c>
      <c r="D170" s="74">
        <v>4</v>
      </c>
      <c r="E170" s="74">
        <v>612</v>
      </c>
      <c r="F170" s="74">
        <v>5034</v>
      </c>
      <c r="G170" s="74">
        <v>1775</v>
      </c>
      <c r="H170" s="74">
        <v>208</v>
      </c>
      <c r="I170" s="74">
        <v>0</v>
      </c>
      <c r="J170" s="74" t="s">
        <v>116</v>
      </c>
      <c r="K170" s="74">
        <f t="shared" si="6"/>
        <v>7633</v>
      </c>
    </row>
    <row r="171" spans="1:11" x14ac:dyDescent="0.2">
      <c r="A171" s="364">
        <v>2000</v>
      </c>
      <c r="B171" s="74" t="s">
        <v>29</v>
      </c>
      <c r="C171" s="268">
        <v>8</v>
      </c>
      <c r="D171" s="74">
        <v>78</v>
      </c>
      <c r="E171" s="74">
        <v>164</v>
      </c>
      <c r="F171" s="74">
        <v>14885</v>
      </c>
      <c r="G171" s="74">
        <v>7213</v>
      </c>
      <c r="H171" s="74">
        <v>1140</v>
      </c>
      <c r="I171" s="74">
        <v>106</v>
      </c>
      <c r="J171" s="74" t="s">
        <v>116</v>
      </c>
      <c r="K171" s="74">
        <f t="shared" si="6"/>
        <v>23594</v>
      </c>
    </row>
    <row r="172" spans="1:11" x14ac:dyDescent="0.2">
      <c r="A172" s="364">
        <v>2001</v>
      </c>
      <c r="B172" s="74" t="s">
        <v>29</v>
      </c>
      <c r="C172" s="268">
        <v>0</v>
      </c>
      <c r="D172" s="74">
        <v>648</v>
      </c>
      <c r="E172" s="74">
        <v>8073</v>
      </c>
      <c r="F172" s="74">
        <v>15394</v>
      </c>
      <c r="G172" s="74">
        <v>6122</v>
      </c>
      <c r="H172" s="74">
        <v>765</v>
      </c>
      <c r="I172" s="74">
        <v>60</v>
      </c>
      <c r="J172" s="74" t="s">
        <v>116</v>
      </c>
      <c r="K172" s="74">
        <f t="shared" si="6"/>
        <v>31062</v>
      </c>
    </row>
    <row r="173" spans="1:11" x14ac:dyDescent="0.2">
      <c r="A173" s="364">
        <v>2002</v>
      </c>
      <c r="B173" s="74" t="s">
        <v>29</v>
      </c>
      <c r="C173" s="74">
        <v>230</v>
      </c>
      <c r="D173" s="74">
        <v>786</v>
      </c>
      <c r="E173" s="74">
        <v>5319</v>
      </c>
      <c r="F173" s="74">
        <v>17293</v>
      </c>
      <c r="G173" s="74">
        <v>6570</v>
      </c>
      <c r="H173" s="74">
        <v>2812</v>
      </c>
      <c r="I173" s="74">
        <v>388</v>
      </c>
      <c r="J173" s="74" t="s">
        <v>116</v>
      </c>
      <c r="K173" s="74">
        <f t="shared" si="6"/>
        <v>33398</v>
      </c>
    </row>
    <row r="174" spans="1:11" x14ac:dyDescent="0.2">
      <c r="A174" s="118">
        <v>2003</v>
      </c>
      <c r="B174" s="74">
        <v>36</v>
      </c>
      <c r="C174" s="74">
        <v>106</v>
      </c>
      <c r="D174" s="74">
        <v>950</v>
      </c>
      <c r="E174" s="74">
        <v>5263</v>
      </c>
      <c r="F174" s="74">
        <v>21326</v>
      </c>
      <c r="G174" s="74">
        <v>12880</v>
      </c>
      <c r="H174" s="74">
        <v>2247</v>
      </c>
      <c r="I174" s="74">
        <v>90</v>
      </c>
      <c r="J174" s="277" t="s">
        <v>116</v>
      </c>
      <c r="K174" s="74">
        <f t="shared" si="6"/>
        <v>42898</v>
      </c>
    </row>
    <row r="175" spans="1:11" x14ac:dyDescent="0.2">
      <c r="A175" s="118">
        <v>2004</v>
      </c>
      <c r="B175" s="74">
        <v>34</v>
      </c>
      <c r="C175" s="74">
        <v>87</v>
      </c>
      <c r="D175" s="74">
        <v>954</v>
      </c>
      <c r="E175" s="74">
        <v>7376</v>
      </c>
      <c r="F175" s="74">
        <v>19875</v>
      </c>
      <c r="G175" s="74">
        <v>9368</v>
      </c>
      <c r="H175" s="74">
        <v>2734</v>
      </c>
      <c r="I175" s="74">
        <v>34</v>
      </c>
      <c r="J175" s="277" t="s">
        <v>116</v>
      </c>
      <c r="K175" s="74">
        <f t="shared" si="6"/>
        <v>40462</v>
      </c>
    </row>
    <row r="176" spans="1:11" x14ac:dyDescent="0.2">
      <c r="A176" s="118">
        <v>2005</v>
      </c>
      <c r="B176" s="74">
        <v>2</v>
      </c>
      <c r="C176" s="74">
        <v>76</v>
      </c>
      <c r="D176" s="74">
        <v>578</v>
      </c>
      <c r="E176" s="74">
        <v>6353</v>
      </c>
      <c r="F176" s="74">
        <v>7042</v>
      </c>
      <c r="G176" s="74">
        <v>6312</v>
      </c>
      <c r="H176" s="74">
        <v>4262</v>
      </c>
      <c r="I176" s="74">
        <v>12</v>
      </c>
      <c r="J176" s="277" t="s">
        <v>116</v>
      </c>
      <c r="K176" s="74">
        <f t="shared" si="6"/>
        <v>24637</v>
      </c>
    </row>
    <row r="177" spans="1:11" x14ac:dyDescent="0.2">
      <c r="A177" s="118">
        <v>2006</v>
      </c>
      <c r="B177" s="74">
        <v>14</v>
      </c>
      <c r="C177" s="74">
        <v>33</v>
      </c>
      <c r="D177" s="74">
        <v>279</v>
      </c>
      <c r="E177" s="74">
        <v>1991</v>
      </c>
      <c r="F177" s="74">
        <v>9250</v>
      </c>
      <c r="G177" s="74">
        <v>2736</v>
      </c>
      <c r="H177" s="74">
        <v>2784</v>
      </c>
      <c r="I177" s="74">
        <v>81</v>
      </c>
      <c r="J177" s="277" t="s">
        <v>116</v>
      </c>
      <c r="K177" s="74">
        <f t="shared" si="6"/>
        <v>17168</v>
      </c>
    </row>
    <row r="178" spans="1:11" s="366" customFormat="1" x14ac:dyDescent="0.2">
      <c r="A178" s="118">
        <v>2007</v>
      </c>
      <c r="B178" s="73">
        <v>17</v>
      </c>
      <c r="C178" s="73">
        <v>33</v>
      </c>
      <c r="D178" s="73">
        <v>329</v>
      </c>
      <c r="E178" s="73">
        <v>2603</v>
      </c>
      <c r="F178" s="73">
        <v>9442</v>
      </c>
      <c r="G178" s="73">
        <v>9550</v>
      </c>
      <c r="H178" s="73">
        <v>990</v>
      </c>
      <c r="I178" s="73">
        <v>9</v>
      </c>
      <c r="J178" s="167" t="s">
        <v>116</v>
      </c>
      <c r="K178" s="73">
        <f t="shared" si="6"/>
        <v>22973</v>
      </c>
    </row>
    <row r="179" spans="1:11" s="366" customFormat="1" x14ac:dyDescent="0.2">
      <c r="A179" s="118">
        <v>2008</v>
      </c>
      <c r="B179" s="73" t="s">
        <v>29</v>
      </c>
      <c r="C179" s="73" t="s">
        <v>29</v>
      </c>
      <c r="D179" s="73" t="s">
        <v>29</v>
      </c>
      <c r="E179" s="73">
        <v>1482</v>
      </c>
      <c r="F179" s="73">
        <v>4111</v>
      </c>
      <c r="G179" s="73">
        <v>1806</v>
      </c>
      <c r="H179" s="73" t="s">
        <v>29</v>
      </c>
      <c r="I179" s="73" t="s">
        <v>29</v>
      </c>
      <c r="J179" s="167" t="s">
        <v>116</v>
      </c>
      <c r="K179" s="73">
        <f t="shared" si="6"/>
        <v>7399</v>
      </c>
    </row>
    <row r="180" spans="1:11" s="366" customFormat="1" x14ac:dyDescent="0.2">
      <c r="A180" s="118">
        <v>2009</v>
      </c>
      <c r="B180" s="73" t="s">
        <v>29</v>
      </c>
      <c r="C180" s="73" t="s">
        <v>29</v>
      </c>
      <c r="D180" s="73" t="s">
        <v>29</v>
      </c>
      <c r="E180" s="73">
        <v>1044</v>
      </c>
      <c r="F180" s="73">
        <v>8744</v>
      </c>
      <c r="G180" s="73">
        <v>3991</v>
      </c>
      <c r="H180" s="73">
        <v>583</v>
      </c>
      <c r="I180" s="167" t="s">
        <v>116</v>
      </c>
      <c r="J180" s="167" t="s">
        <v>116</v>
      </c>
      <c r="K180" s="73">
        <f t="shared" si="6"/>
        <v>14362</v>
      </c>
    </row>
    <row r="181" spans="1:11" s="366" customFormat="1" x14ac:dyDescent="0.2">
      <c r="A181" s="118">
        <v>2010</v>
      </c>
      <c r="B181" s="73" t="s">
        <v>29</v>
      </c>
      <c r="C181" s="73" t="s">
        <v>29</v>
      </c>
      <c r="D181" s="73">
        <v>388</v>
      </c>
      <c r="E181" s="73">
        <v>709</v>
      </c>
      <c r="F181" s="73">
        <v>2350</v>
      </c>
      <c r="G181" s="73">
        <v>4683</v>
      </c>
      <c r="H181" s="73">
        <v>489</v>
      </c>
      <c r="I181" s="167" t="s">
        <v>116</v>
      </c>
      <c r="J181" s="167" t="s">
        <v>116</v>
      </c>
      <c r="K181" s="73">
        <f t="shared" si="6"/>
        <v>8619</v>
      </c>
    </row>
    <row r="182" spans="1:11" s="366" customFormat="1" x14ac:dyDescent="0.2">
      <c r="A182" s="118">
        <v>2011</v>
      </c>
      <c r="B182" s="73">
        <v>2</v>
      </c>
      <c r="C182" s="73">
        <v>23</v>
      </c>
      <c r="D182" s="73">
        <v>187</v>
      </c>
      <c r="E182" s="73">
        <v>1182</v>
      </c>
      <c r="F182" s="73">
        <v>2514</v>
      </c>
      <c r="G182" s="73">
        <v>4687</v>
      </c>
      <c r="H182" s="73">
        <v>1711</v>
      </c>
      <c r="I182" s="73" t="s">
        <v>29</v>
      </c>
      <c r="J182" s="167">
        <v>16</v>
      </c>
      <c r="K182" s="73">
        <f t="shared" si="6"/>
        <v>10322</v>
      </c>
    </row>
    <row r="183" spans="1:11" s="366" customFormat="1" x14ac:dyDescent="0.2">
      <c r="A183" s="118">
        <v>2012</v>
      </c>
      <c r="B183" s="73">
        <v>0</v>
      </c>
      <c r="C183" s="73">
        <v>52</v>
      </c>
      <c r="D183" s="73">
        <v>730</v>
      </c>
      <c r="E183" s="73">
        <v>2290</v>
      </c>
      <c r="F183" s="73">
        <v>4075</v>
      </c>
      <c r="G183" s="73">
        <v>5568</v>
      </c>
      <c r="H183" s="73">
        <v>3647</v>
      </c>
      <c r="I183" s="73">
        <v>77</v>
      </c>
      <c r="J183" s="167">
        <v>18</v>
      </c>
      <c r="K183" s="73">
        <f t="shared" si="6"/>
        <v>16457</v>
      </c>
    </row>
    <row r="184" spans="1:11" s="366" customFormat="1" x14ac:dyDescent="0.2">
      <c r="A184" s="118">
        <v>2013</v>
      </c>
      <c r="B184" s="73">
        <v>123</v>
      </c>
      <c r="C184" s="73">
        <v>174</v>
      </c>
      <c r="D184" s="73">
        <v>338</v>
      </c>
      <c r="E184" s="73">
        <v>2898</v>
      </c>
      <c r="F184" s="73">
        <v>3011</v>
      </c>
      <c r="G184" s="73">
        <v>19299</v>
      </c>
      <c r="H184" s="73">
        <v>3901</v>
      </c>
      <c r="I184" s="73">
        <v>84</v>
      </c>
      <c r="J184" s="167" t="s">
        <v>116</v>
      </c>
      <c r="K184" s="73">
        <f t="shared" si="6"/>
        <v>29828</v>
      </c>
    </row>
    <row r="185" spans="1:11" s="366" customFormat="1" x14ac:dyDescent="0.2">
      <c r="A185" s="118">
        <v>2014</v>
      </c>
      <c r="B185" s="73">
        <v>0</v>
      </c>
      <c r="C185" s="73">
        <v>46</v>
      </c>
      <c r="D185" s="73">
        <v>691</v>
      </c>
      <c r="E185" s="73">
        <v>1906</v>
      </c>
      <c r="F185" s="73">
        <v>8659</v>
      </c>
      <c r="G185" s="73">
        <v>11899</v>
      </c>
      <c r="H185" s="73">
        <v>6518</v>
      </c>
      <c r="I185" s="73">
        <v>53</v>
      </c>
      <c r="J185" s="167" t="s">
        <v>116</v>
      </c>
      <c r="K185" s="73">
        <f t="shared" si="6"/>
        <v>29772</v>
      </c>
    </row>
    <row r="186" spans="1:11" s="366" customFormat="1" x14ac:dyDescent="0.2">
      <c r="A186" s="118">
        <v>2015</v>
      </c>
      <c r="B186" s="73">
        <v>12</v>
      </c>
      <c r="C186" s="73">
        <v>34</v>
      </c>
      <c r="D186" s="73">
        <v>327</v>
      </c>
      <c r="E186" s="73">
        <v>1149</v>
      </c>
      <c r="F186" s="73">
        <v>5664</v>
      </c>
      <c r="G186" s="73">
        <v>3060</v>
      </c>
      <c r="H186" s="73">
        <v>4443</v>
      </c>
      <c r="I186" s="73">
        <v>82</v>
      </c>
      <c r="J186" s="167" t="s">
        <v>116</v>
      </c>
      <c r="K186" s="73">
        <f t="shared" si="6"/>
        <v>14771</v>
      </c>
    </row>
    <row r="187" spans="1:11" s="366" customFormat="1" x14ac:dyDescent="0.2">
      <c r="A187" s="118">
        <v>2016</v>
      </c>
      <c r="B187" s="73">
        <v>18</v>
      </c>
      <c r="C187" s="73">
        <v>5</v>
      </c>
      <c r="D187" s="73">
        <v>158</v>
      </c>
      <c r="E187" s="73">
        <v>574</v>
      </c>
      <c r="F187" s="73">
        <v>2277</v>
      </c>
      <c r="G187" s="73">
        <v>2943</v>
      </c>
      <c r="H187" s="73">
        <v>5188</v>
      </c>
      <c r="I187" s="73">
        <v>7</v>
      </c>
      <c r="J187" s="167" t="s">
        <v>116</v>
      </c>
      <c r="K187" s="73">
        <f t="shared" si="6"/>
        <v>11170</v>
      </c>
    </row>
    <row r="188" spans="1:11" x14ac:dyDescent="0.2">
      <c r="A188" s="118">
        <v>2017</v>
      </c>
      <c r="B188" s="74">
        <v>17</v>
      </c>
      <c r="C188" s="74">
        <v>48</v>
      </c>
      <c r="D188" s="74">
        <v>153</v>
      </c>
      <c r="E188" s="74">
        <v>925</v>
      </c>
      <c r="F188" s="74">
        <v>3368</v>
      </c>
      <c r="G188" s="74">
        <v>4593</v>
      </c>
      <c r="H188" s="74">
        <v>3640</v>
      </c>
      <c r="I188" s="73">
        <v>72</v>
      </c>
      <c r="J188" s="167" t="s">
        <v>116</v>
      </c>
      <c r="K188" s="74">
        <f t="shared" si="6"/>
        <v>12816</v>
      </c>
    </row>
    <row r="189" spans="1:11" s="366" customFormat="1" x14ac:dyDescent="0.2">
      <c r="A189" s="118">
        <v>2018</v>
      </c>
      <c r="B189" s="73">
        <v>15</v>
      </c>
      <c r="C189" s="73">
        <v>19</v>
      </c>
      <c r="D189" s="73">
        <v>178</v>
      </c>
      <c r="E189" s="73">
        <v>252</v>
      </c>
      <c r="F189" s="73">
        <v>2410</v>
      </c>
      <c r="G189" s="73">
        <v>6012</v>
      </c>
      <c r="H189" s="73">
        <v>5424</v>
      </c>
      <c r="I189" s="73">
        <v>0</v>
      </c>
      <c r="J189" s="167" t="s">
        <v>116</v>
      </c>
      <c r="K189" s="73">
        <f>SUM(B189:J189)</f>
        <v>14310</v>
      </c>
    </row>
    <row r="190" spans="1:11" s="489" customFormat="1" x14ac:dyDescent="0.2">
      <c r="A190" s="118">
        <v>2019</v>
      </c>
      <c r="B190" s="73">
        <v>6</v>
      </c>
      <c r="C190" s="73">
        <v>8</v>
      </c>
      <c r="D190" s="73">
        <v>52</v>
      </c>
      <c r="E190" s="73">
        <v>1348</v>
      </c>
      <c r="F190" s="73">
        <v>7337</v>
      </c>
      <c r="G190" s="73">
        <v>6775</v>
      </c>
      <c r="H190" s="73">
        <v>3428</v>
      </c>
      <c r="I190" s="73">
        <v>15</v>
      </c>
      <c r="J190" s="73" t="s">
        <v>29</v>
      </c>
      <c r="K190" s="73">
        <f t="shared" ref="K190" si="7">SUM(B190:J190)</f>
        <v>18969</v>
      </c>
    </row>
    <row r="191" spans="1:11" x14ac:dyDescent="0.2">
      <c r="A191" s="118" t="s">
        <v>393</v>
      </c>
      <c r="B191" s="74">
        <v>3</v>
      </c>
      <c r="C191" s="74">
        <v>63</v>
      </c>
      <c r="D191" s="74">
        <v>87</v>
      </c>
      <c r="E191" s="74">
        <v>161</v>
      </c>
      <c r="F191" s="74">
        <v>7344</v>
      </c>
      <c r="G191" s="74">
        <v>3960</v>
      </c>
      <c r="H191" s="74">
        <v>3728</v>
      </c>
      <c r="I191" s="73">
        <v>133</v>
      </c>
      <c r="J191" s="74" t="s">
        <v>29</v>
      </c>
      <c r="K191" s="74">
        <f t="shared" si="6"/>
        <v>15479</v>
      </c>
    </row>
    <row r="193" spans="1:11" x14ac:dyDescent="0.2">
      <c r="A193" s="109" t="s">
        <v>56</v>
      </c>
    </row>
    <row r="194" spans="1:11" x14ac:dyDescent="0.2">
      <c r="A194" s="371">
        <v>1976</v>
      </c>
      <c r="B194" s="74" t="s">
        <v>29</v>
      </c>
      <c r="C194" s="74">
        <v>0</v>
      </c>
      <c r="D194" s="74">
        <v>2087</v>
      </c>
      <c r="E194" s="74">
        <v>12478</v>
      </c>
      <c r="F194" s="74">
        <v>35298</v>
      </c>
      <c r="G194" s="74">
        <v>31980</v>
      </c>
      <c r="H194" s="74">
        <v>7810</v>
      </c>
      <c r="I194" s="74">
        <v>3519</v>
      </c>
      <c r="J194" s="74">
        <v>694</v>
      </c>
      <c r="K194" s="74">
        <f t="shared" ref="K194:K238" si="8">SUM(B194:J194)</f>
        <v>93866</v>
      </c>
    </row>
    <row r="195" spans="1:11" x14ac:dyDescent="0.2">
      <c r="A195" s="371">
        <v>1977</v>
      </c>
      <c r="B195" s="74" t="s">
        <v>29</v>
      </c>
      <c r="C195" s="74">
        <v>0</v>
      </c>
      <c r="D195" s="74">
        <v>1680</v>
      </c>
      <c r="E195" s="74">
        <v>9542</v>
      </c>
      <c r="F195" s="74">
        <v>24046</v>
      </c>
      <c r="G195" s="74">
        <v>20356</v>
      </c>
      <c r="H195" s="74">
        <v>9108</v>
      </c>
      <c r="I195" s="74">
        <v>7965</v>
      </c>
      <c r="J195" s="74">
        <v>997</v>
      </c>
      <c r="K195" s="74">
        <f t="shared" si="8"/>
        <v>73694</v>
      </c>
    </row>
    <row r="196" spans="1:11" x14ac:dyDescent="0.2">
      <c r="A196" s="371">
        <v>1978</v>
      </c>
      <c r="B196" s="74" t="s">
        <v>29</v>
      </c>
      <c r="C196" s="74">
        <v>0</v>
      </c>
      <c r="D196" s="74">
        <v>1947</v>
      </c>
      <c r="E196" s="74">
        <v>19010</v>
      </c>
      <c r="F196" s="74">
        <v>28908</v>
      </c>
      <c r="G196" s="74">
        <v>19937</v>
      </c>
      <c r="H196" s="74">
        <v>8369</v>
      </c>
      <c r="I196" s="74">
        <v>8613</v>
      </c>
      <c r="J196" s="74">
        <v>1528</v>
      </c>
      <c r="K196" s="74">
        <f t="shared" si="8"/>
        <v>88312</v>
      </c>
    </row>
    <row r="197" spans="1:11" x14ac:dyDescent="0.2">
      <c r="A197" s="371">
        <v>1979</v>
      </c>
      <c r="B197" s="74" t="s">
        <v>29</v>
      </c>
      <c r="C197" s="74" t="s">
        <v>29</v>
      </c>
      <c r="D197" s="74">
        <v>301</v>
      </c>
      <c r="E197" s="74">
        <v>4877</v>
      </c>
      <c r="F197" s="74">
        <v>26977</v>
      </c>
      <c r="G197" s="74">
        <v>18542</v>
      </c>
      <c r="H197" s="74">
        <v>3290</v>
      </c>
      <c r="I197" s="74">
        <v>5025</v>
      </c>
      <c r="J197" s="74">
        <v>935</v>
      </c>
      <c r="K197" s="74">
        <f t="shared" si="8"/>
        <v>59947</v>
      </c>
    </row>
    <row r="198" spans="1:11" x14ac:dyDescent="0.2">
      <c r="A198" s="371">
        <v>1980</v>
      </c>
      <c r="B198" s="74" t="s">
        <v>29</v>
      </c>
      <c r="C198" s="74" t="s">
        <v>29</v>
      </c>
      <c r="D198" s="74">
        <v>237</v>
      </c>
      <c r="E198" s="74">
        <v>13299</v>
      </c>
      <c r="F198" s="74">
        <v>23913</v>
      </c>
      <c r="G198" s="74">
        <v>9996</v>
      </c>
      <c r="H198" s="74">
        <v>5264</v>
      </c>
      <c r="I198" s="74">
        <v>2900</v>
      </c>
      <c r="J198" s="74">
        <v>412</v>
      </c>
      <c r="K198" s="74">
        <f t="shared" si="8"/>
        <v>56021</v>
      </c>
    </row>
    <row r="199" spans="1:11" x14ac:dyDescent="0.2">
      <c r="A199" s="371">
        <v>1981</v>
      </c>
      <c r="B199" s="74" t="s">
        <v>29</v>
      </c>
      <c r="C199" s="74" t="s">
        <v>29</v>
      </c>
      <c r="D199" s="74">
        <v>2675</v>
      </c>
      <c r="E199" s="74">
        <v>16457</v>
      </c>
      <c r="F199" s="74">
        <v>23727</v>
      </c>
      <c r="G199" s="74">
        <v>19330</v>
      </c>
      <c r="H199" s="74">
        <v>2253</v>
      </c>
      <c r="I199" s="74">
        <v>2324</v>
      </c>
      <c r="J199" s="74">
        <v>313</v>
      </c>
      <c r="K199" s="74">
        <f t="shared" si="8"/>
        <v>67079</v>
      </c>
    </row>
    <row r="200" spans="1:11" x14ac:dyDescent="0.2">
      <c r="A200" s="371">
        <v>1982</v>
      </c>
      <c r="B200" s="74" t="s">
        <v>29</v>
      </c>
      <c r="C200" s="74" t="s">
        <v>29</v>
      </c>
      <c r="D200" s="74">
        <v>370</v>
      </c>
      <c r="E200" s="74">
        <v>5175</v>
      </c>
      <c r="F200" s="74">
        <v>39710</v>
      </c>
      <c r="G200" s="74">
        <v>10239</v>
      </c>
      <c r="H200" s="74">
        <v>2976</v>
      </c>
      <c r="I200" s="74">
        <v>2606</v>
      </c>
      <c r="J200" s="74">
        <v>278</v>
      </c>
      <c r="K200" s="74">
        <f t="shared" si="8"/>
        <v>61354</v>
      </c>
    </row>
    <row r="201" spans="1:11" x14ac:dyDescent="0.2">
      <c r="A201" s="371">
        <v>1983</v>
      </c>
      <c r="B201" s="74" t="s">
        <v>29</v>
      </c>
      <c r="C201" s="74" t="s">
        <v>29</v>
      </c>
      <c r="D201" s="74">
        <v>835</v>
      </c>
      <c r="E201" s="74">
        <v>9801</v>
      </c>
      <c r="F201" s="74">
        <v>22670</v>
      </c>
      <c r="G201" s="74">
        <v>11198</v>
      </c>
      <c r="H201" s="74">
        <v>6051</v>
      </c>
      <c r="I201" s="74">
        <v>5024</v>
      </c>
      <c r="J201" s="74">
        <v>98</v>
      </c>
      <c r="K201" s="74">
        <f t="shared" si="8"/>
        <v>55677</v>
      </c>
    </row>
    <row r="202" spans="1:11" x14ac:dyDescent="0.2">
      <c r="A202" s="371">
        <v>1984</v>
      </c>
      <c r="B202" s="74" t="s">
        <v>29</v>
      </c>
      <c r="C202" s="74" t="s">
        <v>29</v>
      </c>
      <c r="D202" s="74" t="s">
        <v>29</v>
      </c>
      <c r="E202" s="74" t="s">
        <v>29</v>
      </c>
      <c r="F202" s="74">
        <v>15101</v>
      </c>
      <c r="G202" s="74">
        <v>16834</v>
      </c>
      <c r="H202" s="74">
        <v>2948</v>
      </c>
      <c r="I202" s="74">
        <v>3089</v>
      </c>
      <c r="J202" s="74" t="s">
        <v>29</v>
      </c>
      <c r="K202" s="74">
        <f t="shared" si="8"/>
        <v>37972</v>
      </c>
    </row>
    <row r="203" spans="1:11" x14ac:dyDescent="0.2">
      <c r="A203" s="371">
        <v>1985</v>
      </c>
      <c r="B203" s="74" t="s">
        <v>29</v>
      </c>
      <c r="C203" s="74" t="s">
        <v>29</v>
      </c>
      <c r="D203" s="74">
        <v>4556</v>
      </c>
      <c r="E203" s="74" t="s">
        <v>29</v>
      </c>
      <c r="F203" s="74">
        <v>28538</v>
      </c>
      <c r="G203" s="74">
        <v>19333</v>
      </c>
      <c r="H203" s="74">
        <v>2557</v>
      </c>
      <c r="I203" s="74">
        <v>3967</v>
      </c>
      <c r="J203" s="74" t="s">
        <v>29</v>
      </c>
      <c r="K203" s="74">
        <f t="shared" si="8"/>
        <v>58951</v>
      </c>
    </row>
    <row r="204" spans="1:11" x14ac:dyDescent="0.2">
      <c r="A204" s="364">
        <v>1986</v>
      </c>
      <c r="B204" s="74" t="s">
        <v>29</v>
      </c>
      <c r="C204" s="74" t="s">
        <v>29</v>
      </c>
      <c r="D204" s="74">
        <v>3556</v>
      </c>
      <c r="E204" s="74">
        <v>10440</v>
      </c>
      <c r="F204" s="74">
        <v>20138</v>
      </c>
      <c r="G204" s="74">
        <v>12991</v>
      </c>
      <c r="H204" s="74">
        <v>597</v>
      </c>
      <c r="I204" s="74">
        <v>5020</v>
      </c>
      <c r="J204" s="74" t="s">
        <v>29</v>
      </c>
      <c r="K204" s="74">
        <f t="shared" si="8"/>
        <v>52742</v>
      </c>
    </row>
    <row r="205" spans="1:11" x14ac:dyDescent="0.2">
      <c r="A205" s="364">
        <v>1987</v>
      </c>
      <c r="B205" s="74" t="s">
        <v>29</v>
      </c>
      <c r="C205" s="74" t="s">
        <v>29</v>
      </c>
      <c r="D205" s="74">
        <v>2318</v>
      </c>
      <c r="E205" s="74">
        <v>9967</v>
      </c>
      <c r="F205" s="74">
        <v>28967</v>
      </c>
      <c r="G205" s="74">
        <v>15162</v>
      </c>
      <c r="H205" s="74">
        <v>7963</v>
      </c>
      <c r="I205" s="74">
        <v>5040</v>
      </c>
      <c r="J205" s="74" t="s">
        <v>29</v>
      </c>
      <c r="K205" s="74">
        <f t="shared" si="8"/>
        <v>69417</v>
      </c>
    </row>
    <row r="206" spans="1:11" x14ac:dyDescent="0.2">
      <c r="A206" s="364">
        <v>1988</v>
      </c>
      <c r="B206" s="74" t="s">
        <v>29</v>
      </c>
      <c r="C206" s="74" t="s">
        <v>29</v>
      </c>
      <c r="D206" s="74">
        <v>799</v>
      </c>
      <c r="E206" s="74">
        <v>14154</v>
      </c>
      <c r="F206" s="74">
        <v>25162</v>
      </c>
      <c r="G206" s="74">
        <v>11334</v>
      </c>
      <c r="H206" s="74">
        <v>1626</v>
      </c>
      <c r="I206" s="74" t="s">
        <v>29</v>
      </c>
      <c r="J206" s="74" t="s">
        <v>29</v>
      </c>
      <c r="K206" s="74">
        <f t="shared" si="8"/>
        <v>53075</v>
      </c>
    </row>
    <row r="207" spans="1:11" x14ac:dyDescent="0.2">
      <c r="A207" s="364">
        <v>1989</v>
      </c>
      <c r="B207" s="74" t="s">
        <v>29</v>
      </c>
      <c r="C207" s="74" t="s">
        <v>29</v>
      </c>
      <c r="D207" s="74">
        <v>3065</v>
      </c>
      <c r="E207" s="74">
        <v>15733</v>
      </c>
      <c r="F207" s="74">
        <v>26568</v>
      </c>
      <c r="G207" s="74">
        <v>16285</v>
      </c>
      <c r="H207" s="74">
        <v>4461</v>
      </c>
      <c r="I207" s="74" t="s">
        <v>29</v>
      </c>
      <c r="J207" s="74" t="s">
        <v>29</v>
      </c>
      <c r="K207" s="74">
        <f t="shared" si="8"/>
        <v>66112</v>
      </c>
    </row>
    <row r="208" spans="1:11" x14ac:dyDescent="0.2">
      <c r="A208" s="364">
        <v>1990</v>
      </c>
      <c r="B208" s="74" t="s">
        <v>29</v>
      </c>
      <c r="C208" s="74" t="s">
        <v>29</v>
      </c>
      <c r="D208" s="74">
        <v>1391</v>
      </c>
      <c r="E208" s="74">
        <v>14533</v>
      </c>
      <c r="F208" s="74">
        <v>22802</v>
      </c>
      <c r="G208" s="74">
        <v>11541</v>
      </c>
      <c r="H208" s="74">
        <v>845</v>
      </c>
      <c r="I208" s="74" t="s">
        <v>29</v>
      </c>
      <c r="J208" s="74" t="s">
        <v>29</v>
      </c>
      <c r="K208" s="74">
        <f t="shared" si="8"/>
        <v>51112</v>
      </c>
    </row>
    <row r="209" spans="1:11" x14ac:dyDescent="0.2">
      <c r="A209" s="364">
        <v>1991</v>
      </c>
      <c r="B209" s="74" t="s">
        <v>29</v>
      </c>
      <c r="C209" s="74" t="s">
        <v>29</v>
      </c>
      <c r="D209" s="74">
        <v>1110</v>
      </c>
      <c r="E209" s="74">
        <v>11581</v>
      </c>
      <c r="F209" s="74">
        <v>17848</v>
      </c>
      <c r="G209" s="74">
        <v>1911</v>
      </c>
      <c r="H209" s="74">
        <v>3997</v>
      </c>
      <c r="I209" s="74" t="s">
        <v>29</v>
      </c>
      <c r="J209" s="74" t="s">
        <v>29</v>
      </c>
      <c r="K209" s="74">
        <f t="shared" si="8"/>
        <v>36447</v>
      </c>
    </row>
    <row r="210" spans="1:11" x14ac:dyDescent="0.2">
      <c r="A210" s="364">
        <v>1992</v>
      </c>
      <c r="B210" s="74" t="s">
        <v>29</v>
      </c>
      <c r="C210" s="74" t="s">
        <v>29</v>
      </c>
      <c r="D210" s="74" t="s">
        <v>29</v>
      </c>
      <c r="E210" s="74" t="s">
        <v>29</v>
      </c>
      <c r="F210" s="74">
        <v>8888</v>
      </c>
      <c r="G210" s="74" t="s">
        <v>29</v>
      </c>
      <c r="H210" s="74">
        <v>4900</v>
      </c>
      <c r="I210" s="74">
        <v>3862</v>
      </c>
      <c r="J210" s="74" t="s">
        <v>29</v>
      </c>
      <c r="K210" s="74">
        <f t="shared" si="8"/>
        <v>17650</v>
      </c>
    </row>
    <row r="211" spans="1:11" x14ac:dyDescent="0.2">
      <c r="A211" s="364">
        <v>1993</v>
      </c>
      <c r="B211" s="74" t="s">
        <v>29</v>
      </c>
      <c r="C211" s="74" t="s">
        <v>29</v>
      </c>
      <c r="D211" s="74">
        <v>1670</v>
      </c>
      <c r="E211" s="74">
        <v>4730</v>
      </c>
      <c r="F211" s="74">
        <v>6544</v>
      </c>
      <c r="G211" s="74">
        <v>8061</v>
      </c>
      <c r="H211" s="74">
        <v>2786</v>
      </c>
      <c r="I211" s="74" t="s">
        <v>29</v>
      </c>
      <c r="J211" s="74" t="s">
        <v>29</v>
      </c>
      <c r="K211" s="74">
        <f t="shared" si="8"/>
        <v>23791</v>
      </c>
    </row>
    <row r="212" spans="1:11" x14ac:dyDescent="0.2">
      <c r="A212" s="364">
        <v>1994</v>
      </c>
      <c r="B212" s="74" t="s">
        <v>29</v>
      </c>
      <c r="C212" s="74" t="s">
        <v>29</v>
      </c>
      <c r="D212" s="74">
        <v>6347</v>
      </c>
      <c r="E212" s="74">
        <v>1296</v>
      </c>
      <c r="F212" s="74" t="s">
        <v>29</v>
      </c>
      <c r="G212" s="74">
        <v>1383</v>
      </c>
      <c r="H212" s="74">
        <v>2910</v>
      </c>
      <c r="I212" s="74">
        <v>4222</v>
      </c>
      <c r="J212" s="74" t="s">
        <v>29</v>
      </c>
      <c r="K212" s="74">
        <f t="shared" si="8"/>
        <v>16158</v>
      </c>
    </row>
    <row r="213" spans="1:11" x14ac:dyDescent="0.2">
      <c r="A213" s="364">
        <v>1995</v>
      </c>
      <c r="B213" s="74" t="s">
        <v>29</v>
      </c>
      <c r="C213" s="74" t="s">
        <v>29</v>
      </c>
      <c r="D213" s="74">
        <v>2336</v>
      </c>
      <c r="E213" s="74">
        <v>6221</v>
      </c>
      <c r="F213" s="74" t="s">
        <v>29</v>
      </c>
      <c r="G213" s="74">
        <v>1977</v>
      </c>
      <c r="H213" s="74">
        <v>5478</v>
      </c>
      <c r="I213" s="74">
        <v>3410</v>
      </c>
      <c r="J213" s="74" t="s">
        <v>29</v>
      </c>
      <c r="K213" s="74">
        <f t="shared" si="8"/>
        <v>19422</v>
      </c>
    </row>
    <row r="214" spans="1:11" x14ac:dyDescent="0.2">
      <c r="A214" s="364">
        <v>1996</v>
      </c>
      <c r="B214" s="74" t="s">
        <v>29</v>
      </c>
      <c r="C214" s="74" t="s">
        <v>29</v>
      </c>
      <c r="D214" s="74">
        <v>1687</v>
      </c>
      <c r="E214" s="74">
        <v>5922</v>
      </c>
      <c r="F214" s="74">
        <v>2205</v>
      </c>
      <c r="G214" s="74">
        <v>6020</v>
      </c>
      <c r="H214" s="74">
        <v>3226</v>
      </c>
      <c r="I214" s="74">
        <v>4282</v>
      </c>
      <c r="J214" s="74" t="s">
        <v>29</v>
      </c>
      <c r="K214" s="74">
        <f t="shared" si="8"/>
        <v>23342</v>
      </c>
    </row>
    <row r="215" spans="1:11" x14ac:dyDescent="0.2">
      <c r="A215" s="364">
        <v>1997</v>
      </c>
      <c r="B215" s="74" t="s">
        <v>29</v>
      </c>
      <c r="C215" s="74" t="s">
        <v>29</v>
      </c>
      <c r="D215" s="74">
        <v>2477</v>
      </c>
      <c r="E215" s="74">
        <v>3466</v>
      </c>
      <c r="F215" s="74">
        <v>2892</v>
      </c>
      <c r="G215" s="74">
        <v>5461</v>
      </c>
      <c r="H215" s="74">
        <v>1019</v>
      </c>
      <c r="I215" s="74">
        <v>1269</v>
      </c>
      <c r="J215" s="74" t="s">
        <v>29</v>
      </c>
      <c r="K215" s="74">
        <f t="shared" si="8"/>
        <v>16584</v>
      </c>
    </row>
    <row r="216" spans="1:11" x14ac:dyDescent="0.2">
      <c r="A216" s="364">
        <v>1998</v>
      </c>
      <c r="B216" s="74" t="s">
        <v>29</v>
      </c>
      <c r="C216" s="74" t="s">
        <v>29</v>
      </c>
      <c r="D216" s="74">
        <v>1384</v>
      </c>
      <c r="E216" s="74">
        <v>2221</v>
      </c>
      <c r="F216" s="74">
        <v>1546</v>
      </c>
      <c r="G216" s="74">
        <v>4178</v>
      </c>
      <c r="H216" s="74">
        <v>2013</v>
      </c>
      <c r="I216" s="74">
        <v>2755</v>
      </c>
      <c r="J216" s="74" t="s">
        <v>29</v>
      </c>
      <c r="K216" s="74">
        <f t="shared" si="8"/>
        <v>14097</v>
      </c>
    </row>
    <row r="217" spans="1:11" x14ac:dyDescent="0.2">
      <c r="A217" s="364">
        <v>1999</v>
      </c>
      <c r="B217" s="74" t="s">
        <v>29</v>
      </c>
      <c r="C217" s="74" t="s">
        <v>29</v>
      </c>
      <c r="D217" s="74">
        <v>151</v>
      </c>
      <c r="E217" s="74">
        <v>911</v>
      </c>
      <c r="F217" s="74">
        <v>2485</v>
      </c>
      <c r="G217" s="74">
        <v>6595</v>
      </c>
      <c r="H217" s="74">
        <v>3325</v>
      </c>
      <c r="I217" s="74">
        <v>2318</v>
      </c>
      <c r="J217" s="74" t="s">
        <v>29</v>
      </c>
      <c r="K217" s="74">
        <f t="shared" si="8"/>
        <v>15785</v>
      </c>
    </row>
    <row r="218" spans="1:11" x14ac:dyDescent="0.2">
      <c r="A218" s="364">
        <v>2000</v>
      </c>
      <c r="B218" s="74" t="s">
        <v>29</v>
      </c>
      <c r="C218" s="74" t="s">
        <v>29</v>
      </c>
      <c r="D218" s="74">
        <v>186</v>
      </c>
      <c r="E218" s="74">
        <v>2589</v>
      </c>
      <c r="F218" s="74">
        <v>2637</v>
      </c>
      <c r="G218" s="74">
        <v>11912</v>
      </c>
      <c r="H218" s="74">
        <v>1478</v>
      </c>
      <c r="I218" s="74">
        <v>3205</v>
      </c>
      <c r="J218" s="74" t="s">
        <v>29</v>
      </c>
      <c r="K218" s="74">
        <f t="shared" si="8"/>
        <v>22007</v>
      </c>
    </row>
    <row r="219" spans="1:11" x14ac:dyDescent="0.2">
      <c r="A219" s="364">
        <v>2001</v>
      </c>
      <c r="B219" s="74" t="s">
        <v>29</v>
      </c>
      <c r="C219" s="74" t="s">
        <v>29</v>
      </c>
      <c r="D219" s="74">
        <v>3667</v>
      </c>
      <c r="E219" s="74">
        <v>4123</v>
      </c>
      <c r="F219" s="74">
        <v>4409</v>
      </c>
      <c r="G219" s="74">
        <v>9200</v>
      </c>
      <c r="H219" s="74">
        <v>362</v>
      </c>
      <c r="I219" s="74">
        <v>4340</v>
      </c>
      <c r="J219" s="74" t="s">
        <v>29</v>
      </c>
      <c r="K219" s="74">
        <f t="shared" si="8"/>
        <v>26101</v>
      </c>
    </row>
    <row r="220" spans="1:11" x14ac:dyDescent="0.2">
      <c r="A220" s="364">
        <v>2002</v>
      </c>
      <c r="B220" s="74" t="s">
        <v>29</v>
      </c>
      <c r="C220" s="74" t="s">
        <v>29</v>
      </c>
      <c r="D220" s="74">
        <v>1767</v>
      </c>
      <c r="E220" s="74">
        <v>4048</v>
      </c>
      <c r="F220" s="74">
        <v>528</v>
      </c>
      <c r="G220" s="74">
        <v>5651</v>
      </c>
      <c r="H220" s="74">
        <v>3755</v>
      </c>
      <c r="I220" s="74">
        <v>3973</v>
      </c>
      <c r="J220" s="74" t="s">
        <v>29</v>
      </c>
      <c r="K220" s="74">
        <f t="shared" si="8"/>
        <v>19722</v>
      </c>
    </row>
    <row r="221" spans="1:11" x14ac:dyDescent="0.2">
      <c r="A221" s="118">
        <v>2003</v>
      </c>
      <c r="B221" s="74" t="s">
        <v>29</v>
      </c>
      <c r="C221" s="74" t="s">
        <v>29</v>
      </c>
      <c r="D221" s="74">
        <v>1124</v>
      </c>
      <c r="E221" s="74">
        <v>1480</v>
      </c>
      <c r="F221" s="74">
        <v>3910</v>
      </c>
      <c r="G221" s="74">
        <v>4081</v>
      </c>
      <c r="H221" s="74">
        <v>1522</v>
      </c>
      <c r="I221" s="74">
        <v>2630</v>
      </c>
      <c r="J221" s="74" t="s">
        <v>29</v>
      </c>
      <c r="K221" s="74">
        <f t="shared" si="8"/>
        <v>14747</v>
      </c>
    </row>
    <row r="222" spans="1:11" x14ac:dyDescent="0.2">
      <c r="A222" s="118">
        <v>2004</v>
      </c>
      <c r="B222" s="74" t="s">
        <v>29</v>
      </c>
      <c r="C222" s="74" t="s">
        <v>29</v>
      </c>
      <c r="D222" s="74">
        <v>1232</v>
      </c>
      <c r="E222" s="74">
        <v>3448</v>
      </c>
      <c r="F222" s="74">
        <v>3813</v>
      </c>
      <c r="G222" s="74">
        <v>4396</v>
      </c>
      <c r="H222" s="74">
        <v>3845</v>
      </c>
      <c r="I222" s="74">
        <v>1575</v>
      </c>
      <c r="J222" s="74" t="s">
        <v>29</v>
      </c>
      <c r="K222" s="74">
        <f t="shared" si="8"/>
        <v>18309</v>
      </c>
    </row>
    <row r="223" spans="1:11" x14ac:dyDescent="0.2">
      <c r="A223" s="118">
        <v>2005</v>
      </c>
      <c r="B223" s="74" t="s">
        <v>29</v>
      </c>
      <c r="C223" s="74" t="s">
        <v>29</v>
      </c>
      <c r="D223" s="74">
        <v>525</v>
      </c>
      <c r="E223" s="74">
        <v>3510</v>
      </c>
      <c r="F223" s="74">
        <v>280</v>
      </c>
      <c r="G223" s="74">
        <v>2802</v>
      </c>
      <c r="H223" s="74">
        <v>3063</v>
      </c>
      <c r="I223" s="74">
        <v>2398</v>
      </c>
      <c r="J223" s="74" t="s">
        <v>29</v>
      </c>
      <c r="K223" s="74">
        <f t="shared" si="8"/>
        <v>12578</v>
      </c>
    </row>
    <row r="224" spans="1:11" x14ac:dyDescent="0.2">
      <c r="A224" s="118">
        <v>2006</v>
      </c>
      <c r="B224" s="74" t="s">
        <v>29</v>
      </c>
      <c r="C224" s="74" t="s">
        <v>29</v>
      </c>
      <c r="D224" s="74">
        <v>611</v>
      </c>
      <c r="E224" s="74">
        <v>2657</v>
      </c>
      <c r="F224" s="74">
        <v>716</v>
      </c>
      <c r="G224" s="74" t="s">
        <v>29</v>
      </c>
      <c r="H224" s="74">
        <v>3565</v>
      </c>
      <c r="I224" s="74">
        <v>3081</v>
      </c>
      <c r="J224" s="74" t="s">
        <v>29</v>
      </c>
      <c r="K224" s="74">
        <f t="shared" si="8"/>
        <v>10630</v>
      </c>
    </row>
    <row r="225" spans="1:11" s="366" customFormat="1" x14ac:dyDescent="0.2">
      <c r="A225" s="118">
        <v>2007</v>
      </c>
      <c r="B225" s="73" t="s">
        <v>29</v>
      </c>
      <c r="C225" s="73" t="s">
        <v>29</v>
      </c>
      <c r="D225" s="73">
        <v>332</v>
      </c>
      <c r="E225" s="73">
        <v>752</v>
      </c>
      <c r="F225" s="73">
        <v>1600</v>
      </c>
      <c r="G225" s="73">
        <v>4741</v>
      </c>
      <c r="H225" s="73">
        <v>424</v>
      </c>
      <c r="I225" s="73">
        <v>3263</v>
      </c>
      <c r="J225" s="73" t="s">
        <v>29</v>
      </c>
      <c r="K225" s="73">
        <f t="shared" si="8"/>
        <v>11112</v>
      </c>
    </row>
    <row r="226" spans="1:11" s="366" customFormat="1" x14ac:dyDescent="0.2">
      <c r="A226" s="118">
        <v>2008</v>
      </c>
      <c r="B226" s="73" t="s">
        <v>29</v>
      </c>
      <c r="C226" s="73" t="s">
        <v>29</v>
      </c>
      <c r="D226" s="73" t="s">
        <v>29</v>
      </c>
      <c r="E226" s="73">
        <v>712</v>
      </c>
      <c r="F226" s="73">
        <v>2317</v>
      </c>
      <c r="G226" s="73">
        <v>701</v>
      </c>
      <c r="H226" s="73" t="s">
        <v>29</v>
      </c>
      <c r="I226" s="73">
        <v>1065</v>
      </c>
      <c r="J226" s="73" t="s">
        <v>29</v>
      </c>
      <c r="K226" s="73">
        <f t="shared" si="8"/>
        <v>4795</v>
      </c>
    </row>
    <row r="227" spans="1:11" s="366" customFormat="1" x14ac:dyDescent="0.2">
      <c r="A227" s="118">
        <v>2009</v>
      </c>
      <c r="B227" s="73" t="s">
        <v>29</v>
      </c>
      <c r="C227" s="73" t="s">
        <v>29</v>
      </c>
      <c r="D227" s="73" t="s">
        <v>29</v>
      </c>
      <c r="E227" s="73">
        <v>268</v>
      </c>
      <c r="F227" s="73">
        <v>2329</v>
      </c>
      <c r="G227" s="73">
        <v>754</v>
      </c>
      <c r="H227" s="73">
        <v>2580</v>
      </c>
      <c r="I227" s="73" t="s">
        <v>29</v>
      </c>
      <c r="J227" s="73" t="s">
        <v>29</v>
      </c>
      <c r="K227" s="73">
        <f t="shared" si="8"/>
        <v>5931</v>
      </c>
    </row>
    <row r="228" spans="1:11" s="366" customFormat="1" x14ac:dyDescent="0.2">
      <c r="A228" s="118">
        <v>2010</v>
      </c>
      <c r="B228" s="73" t="s">
        <v>29</v>
      </c>
      <c r="C228" s="73" t="s">
        <v>29</v>
      </c>
      <c r="D228" s="73">
        <v>129</v>
      </c>
      <c r="E228" s="73">
        <v>95</v>
      </c>
      <c r="F228" s="73">
        <v>335</v>
      </c>
      <c r="G228" s="73">
        <v>619</v>
      </c>
      <c r="H228" s="73">
        <v>2502</v>
      </c>
      <c r="I228" s="73">
        <v>2270</v>
      </c>
      <c r="J228" s="73" t="s">
        <v>29</v>
      </c>
      <c r="K228" s="73">
        <f t="shared" si="8"/>
        <v>5950</v>
      </c>
    </row>
    <row r="229" spans="1:11" s="366" customFormat="1" x14ac:dyDescent="0.2">
      <c r="A229" s="118">
        <v>2011</v>
      </c>
      <c r="B229" s="73" t="s">
        <v>29</v>
      </c>
      <c r="C229" s="73" t="s">
        <v>29</v>
      </c>
      <c r="D229" s="73">
        <v>393</v>
      </c>
      <c r="E229" s="73">
        <v>296</v>
      </c>
      <c r="F229" s="73">
        <v>189</v>
      </c>
      <c r="G229" s="73">
        <v>1772</v>
      </c>
      <c r="H229" s="73">
        <v>1853</v>
      </c>
      <c r="I229" s="73">
        <v>1757</v>
      </c>
      <c r="J229" s="73" t="s">
        <v>29</v>
      </c>
      <c r="K229" s="73">
        <f t="shared" si="8"/>
        <v>6260</v>
      </c>
    </row>
    <row r="230" spans="1:11" s="366" customFormat="1" x14ac:dyDescent="0.2">
      <c r="A230" s="118">
        <v>2012</v>
      </c>
      <c r="B230" s="73" t="s">
        <v>29</v>
      </c>
      <c r="C230" s="73" t="s">
        <v>29</v>
      </c>
      <c r="D230" s="73">
        <v>484</v>
      </c>
      <c r="E230" s="73">
        <v>1982</v>
      </c>
      <c r="F230" s="73">
        <v>4678</v>
      </c>
      <c r="G230" s="73">
        <v>6810</v>
      </c>
      <c r="H230" s="73">
        <v>1201</v>
      </c>
      <c r="I230" s="73">
        <v>3666</v>
      </c>
      <c r="J230" s="73" t="s">
        <v>29</v>
      </c>
      <c r="K230" s="73">
        <f t="shared" si="8"/>
        <v>18821</v>
      </c>
    </row>
    <row r="231" spans="1:11" s="366" customFormat="1" x14ac:dyDescent="0.2">
      <c r="A231" s="118">
        <v>2013</v>
      </c>
      <c r="B231" s="73" t="s">
        <v>29</v>
      </c>
      <c r="C231" s="73" t="s">
        <v>29</v>
      </c>
      <c r="D231" s="73">
        <v>289</v>
      </c>
      <c r="E231" s="73">
        <v>2259</v>
      </c>
      <c r="F231" s="73">
        <v>6658</v>
      </c>
      <c r="G231" s="73">
        <v>7147</v>
      </c>
      <c r="H231" s="73">
        <v>208</v>
      </c>
      <c r="I231" s="73">
        <v>3547</v>
      </c>
      <c r="J231" s="73" t="s">
        <v>29</v>
      </c>
      <c r="K231" s="73">
        <f t="shared" si="8"/>
        <v>20108</v>
      </c>
    </row>
    <row r="232" spans="1:11" s="366" customFormat="1" x14ac:dyDescent="0.2">
      <c r="A232" s="118">
        <v>2014</v>
      </c>
      <c r="B232" s="73" t="s">
        <v>29</v>
      </c>
      <c r="C232" s="73" t="s">
        <v>29</v>
      </c>
      <c r="D232" s="73">
        <v>1437</v>
      </c>
      <c r="E232" s="73">
        <v>1466</v>
      </c>
      <c r="F232" s="73">
        <v>5557</v>
      </c>
      <c r="G232" s="73">
        <v>3723</v>
      </c>
      <c r="H232" s="73">
        <v>246</v>
      </c>
      <c r="I232" s="73">
        <v>4639</v>
      </c>
      <c r="J232" s="73" t="s">
        <v>29</v>
      </c>
      <c r="K232" s="73">
        <f t="shared" si="8"/>
        <v>17068</v>
      </c>
    </row>
    <row r="233" spans="1:11" s="366" customFormat="1" x14ac:dyDescent="0.2">
      <c r="A233" s="118">
        <v>2015</v>
      </c>
      <c r="B233" s="73" t="s">
        <v>29</v>
      </c>
      <c r="C233" s="73" t="s">
        <v>29</v>
      </c>
      <c r="D233" s="73">
        <v>305</v>
      </c>
      <c r="E233" s="73">
        <v>424</v>
      </c>
      <c r="F233" s="73">
        <v>1492</v>
      </c>
      <c r="G233" s="73">
        <v>574</v>
      </c>
      <c r="H233" s="73">
        <v>1120</v>
      </c>
      <c r="I233" s="73">
        <v>5040</v>
      </c>
      <c r="J233" s="73" t="s">
        <v>29</v>
      </c>
      <c r="K233" s="73">
        <f t="shared" si="8"/>
        <v>8955</v>
      </c>
    </row>
    <row r="234" spans="1:11" s="366" customFormat="1" x14ac:dyDescent="0.2">
      <c r="A234" s="118">
        <v>2016</v>
      </c>
      <c r="B234" s="73" t="s">
        <v>29</v>
      </c>
      <c r="C234" s="73" t="s">
        <v>29</v>
      </c>
      <c r="D234" s="73">
        <v>44</v>
      </c>
      <c r="E234" s="73">
        <v>467</v>
      </c>
      <c r="F234" s="73">
        <v>717</v>
      </c>
      <c r="G234" s="73">
        <v>190</v>
      </c>
      <c r="H234" s="73">
        <v>898</v>
      </c>
      <c r="I234" s="73">
        <v>1872</v>
      </c>
      <c r="J234" s="73" t="s">
        <v>29</v>
      </c>
      <c r="K234" s="73">
        <f t="shared" si="8"/>
        <v>4188</v>
      </c>
    </row>
    <row r="235" spans="1:11" x14ac:dyDescent="0.2">
      <c r="A235" s="118">
        <v>2017</v>
      </c>
      <c r="B235" s="74" t="s">
        <v>29</v>
      </c>
      <c r="C235" s="74" t="s">
        <v>29</v>
      </c>
      <c r="D235" s="74" t="s">
        <v>29</v>
      </c>
      <c r="E235" s="74" t="s">
        <v>29</v>
      </c>
      <c r="F235" s="74" t="s">
        <v>29</v>
      </c>
      <c r="G235" s="74" t="s">
        <v>29</v>
      </c>
      <c r="H235" s="74" t="s">
        <v>29</v>
      </c>
      <c r="I235" s="74">
        <v>2012</v>
      </c>
      <c r="J235" s="74" t="s">
        <v>29</v>
      </c>
      <c r="K235" s="74">
        <f t="shared" si="8"/>
        <v>2012</v>
      </c>
    </row>
    <row r="236" spans="1:11" s="366" customFormat="1" x14ac:dyDescent="0.2">
      <c r="A236" s="118">
        <v>2018</v>
      </c>
      <c r="B236" s="73" t="s">
        <v>29</v>
      </c>
      <c r="C236" s="73" t="s">
        <v>29</v>
      </c>
      <c r="D236" s="73">
        <v>508</v>
      </c>
      <c r="E236" s="73">
        <v>1058</v>
      </c>
      <c r="F236" s="73">
        <v>1398</v>
      </c>
      <c r="G236" s="73">
        <v>1934</v>
      </c>
      <c r="H236" s="73" t="s">
        <v>29</v>
      </c>
      <c r="I236" s="73">
        <v>2102</v>
      </c>
      <c r="J236" s="73" t="s">
        <v>29</v>
      </c>
      <c r="K236" s="73">
        <f>SUM(B236:J236)</f>
        <v>7000</v>
      </c>
    </row>
    <row r="237" spans="1:11" s="489" customFormat="1" x14ac:dyDescent="0.2">
      <c r="A237" s="118">
        <v>2019</v>
      </c>
      <c r="B237" s="73" t="s">
        <v>29</v>
      </c>
      <c r="C237" s="73" t="s">
        <v>29</v>
      </c>
      <c r="D237" s="73">
        <v>132</v>
      </c>
      <c r="E237" s="73">
        <v>769</v>
      </c>
      <c r="F237" s="73">
        <v>1797</v>
      </c>
      <c r="G237" s="73">
        <v>1635</v>
      </c>
      <c r="H237" s="73">
        <v>24</v>
      </c>
      <c r="I237" s="73" t="s">
        <v>29</v>
      </c>
      <c r="J237" s="73" t="s">
        <v>29</v>
      </c>
      <c r="K237" s="73">
        <f t="shared" ref="K237" si="9">SUM(B237:J237)</f>
        <v>4357</v>
      </c>
    </row>
    <row r="238" spans="1:11" x14ac:dyDescent="0.2">
      <c r="A238" s="118" t="s">
        <v>393</v>
      </c>
      <c r="B238" s="74" t="s">
        <v>29</v>
      </c>
      <c r="C238" s="74" t="s">
        <v>29</v>
      </c>
      <c r="D238" s="74" t="s">
        <v>29</v>
      </c>
      <c r="E238" s="74">
        <v>1624</v>
      </c>
      <c r="F238" s="74">
        <v>4050</v>
      </c>
      <c r="G238" s="74">
        <v>587</v>
      </c>
      <c r="H238" s="74" t="s">
        <v>29</v>
      </c>
      <c r="I238" s="74" t="s">
        <v>29</v>
      </c>
      <c r="J238" s="74" t="s">
        <v>29</v>
      </c>
      <c r="K238" s="74">
        <f t="shared" si="8"/>
        <v>6261</v>
      </c>
    </row>
    <row r="240" spans="1:11" x14ac:dyDescent="0.2">
      <c r="A240" s="113" t="s">
        <v>50</v>
      </c>
    </row>
    <row r="241" spans="1:11" x14ac:dyDescent="0.2">
      <c r="A241" s="371">
        <v>1976</v>
      </c>
      <c r="B241" s="74" t="str">
        <f t="shared" ref="B241:K241" si="10">IF(AND(B194="-",B147="-",B100="-",B53="-"),"-",SUM(B194,B147,B100,B53))</f>
        <v>-</v>
      </c>
      <c r="C241" s="74">
        <f t="shared" si="10"/>
        <v>0</v>
      </c>
      <c r="D241" s="74">
        <f t="shared" si="10"/>
        <v>12287</v>
      </c>
      <c r="E241" s="74">
        <f t="shared" si="10"/>
        <v>65606</v>
      </c>
      <c r="F241" s="74">
        <f t="shared" si="10"/>
        <v>139685</v>
      </c>
      <c r="G241" s="74">
        <f t="shared" si="10"/>
        <v>168947</v>
      </c>
      <c r="H241" s="74">
        <f t="shared" si="10"/>
        <v>43405</v>
      </c>
      <c r="I241" s="74">
        <f t="shared" si="10"/>
        <v>5206</v>
      </c>
      <c r="J241" s="74">
        <f t="shared" si="10"/>
        <v>864</v>
      </c>
      <c r="K241" s="74">
        <f t="shared" si="10"/>
        <v>436000</v>
      </c>
    </row>
    <row r="242" spans="1:11" x14ac:dyDescent="0.2">
      <c r="A242" s="371">
        <v>1977</v>
      </c>
      <c r="B242" s="74" t="str">
        <f t="shared" ref="B242:K242" si="11">IF(AND(B195="-",B148="-",B101="-",B54="-"),"-",SUM(B195,B148,B101,B54))</f>
        <v>-</v>
      </c>
      <c r="C242" s="74">
        <f t="shared" si="11"/>
        <v>0</v>
      </c>
      <c r="D242" s="74">
        <f t="shared" si="11"/>
        <v>15054</v>
      </c>
      <c r="E242" s="74">
        <f t="shared" si="11"/>
        <v>41479</v>
      </c>
      <c r="F242" s="74">
        <f t="shared" si="11"/>
        <v>118074</v>
      </c>
      <c r="G242" s="74">
        <f t="shared" si="11"/>
        <v>99714</v>
      </c>
      <c r="H242" s="74">
        <f t="shared" si="11"/>
        <v>31272</v>
      </c>
      <c r="I242" s="74">
        <f t="shared" si="11"/>
        <v>8737</v>
      </c>
      <c r="J242" s="74">
        <f t="shared" si="11"/>
        <v>1129</v>
      </c>
      <c r="K242" s="74">
        <f t="shared" si="11"/>
        <v>315459</v>
      </c>
    </row>
    <row r="243" spans="1:11" x14ac:dyDescent="0.2">
      <c r="A243" s="371">
        <v>1978</v>
      </c>
      <c r="B243" s="74" t="str">
        <f t="shared" ref="B243:K243" si="12">IF(AND(B196="-",B149="-",B102="-",B55="-"),"-",SUM(B196,B149,B102,B55))</f>
        <v>-</v>
      </c>
      <c r="C243" s="74">
        <f t="shared" si="12"/>
        <v>0</v>
      </c>
      <c r="D243" s="74">
        <f t="shared" si="12"/>
        <v>11384</v>
      </c>
      <c r="E243" s="74">
        <f t="shared" si="12"/>
        <v>65519</v>
      </c>
      <c r="F243" s="74">
        <f t="shared" si="12"/>
        <v>126268</v>
      </c>
      <c r="G243" s="74">
        <f t="shared" si="12"/>
        <v>95263</v>
      </c>
      <c r="H243" s="74">
        <f t="shared" si="12"/>
        <v>27465</v>
      </c>
      <c r="I243" s="74">
        <f t="shared" si="12"/>
        <v>12904</v>
      </c>
      <c r="J243" s="74">
        <f t="shared" si="12"/>
        <v>1528</v>
      </c>
      <c r="K243" s="74">
        <f t="shared" si="12"/>
        <v>340331</v>
      </c>
    </row>
    <row r="244" spans="1:11" x14ac:dyDescent="0.2">
      <c r="A244" s="371">
        <v>1979</v>
      </c>
      <c r="B244" s="74" t="str">
        <f t="shared" ref="B244:K244" si="13">IF(AND(B197="-",B150="-",B103="-",B56="-"),"-",SUM(B197,B150,B103,B56))</f>
        <v>-</v>
      </c>
      <c r="C244" s="74" t="str">
        <f t="shared" si="13"/>
        <v>-</v>
      </c>
      <c r="D244" s="74">
        <f t="shared" si="13"/>
        <v>8056</v>
      </c>
      <c r="E244" s="74">
        <f t="shared" si="13"/>
        <v>37758</v>
      </c>
      <c r="F244" s="74">
        <f t="shared" si="13"/>
        <v>114917</v>
      </c>
      <c r="G244" s="74">
        <f t="shared" si="13"/>
        <v>86989</v>
      </c>
      <c r="H244" s="74">
        <f t="shared" si="13"/>
        <v>4386</v>
      </c>
      <c r="I244" s="74">
        <f t="shared" si="13"/>
        <v>5025</v>
      </c>
      <c r="J244" s="74">
        <f t="shared" si="13"/>
        <v>935</v>
      </c>
      <c r="K244" s="74">
        <f t="shared" si="13"/>
        <v>258066</v>
      </c>
    </row>
    <row r="245" spans="1:11" x14ac:dyDescent="0.2">
      <c r="A245" s="371">
        <v>1980</v>
      </c>
      <c r="B245" s="74" t="str">
        <f t="shared" ref="B245:K245" si="14">IF(AND(B198="-",B151="-",B104="-",B57="-"),"-",SUM(B198,B151,B104,B57))</f>
        <v>-</v>
      </c>
      <c r="C245" s="74" t="str">
        <f t="shared" si="14"/>
        <v>-</v>
      </c>
      <c r="D245" s="74">
        <f t="shared" si="14"/>
        <v>4595</v>
      </c>
      <c r="E245" s="74">
        <f t="shared" si="14"/>
        <v>70634</v>
      </c>
      <c r="F245" s="74">
        <f t="shared" si="14"/>
        <v>126336</v>
      </c>
      <c r="G245" s="74">
        <f t="shared" si="14"/>
        <v>65040</v>
      </c>
      <c r="H245" s="74">
        <f t="shared" si="14"/>
        <v>15211</v>
      </c>
      <c r="I245" s="74">
        <f t="shared" si="14"/>
        <v>2900</v>
      </c>
      <c r="J245" s="74">
        <f t="shared" si="14"/>
        <v>412</v>
      </c>
      <c r="K245" s="74">
        <f t="shared" si="14"/>
        <v>285128</v>
      </c>
    </row>
    <row r="246" spans="1:11" x14ac:dyDescent="0.2">
      <c r="A246" s="371">
        <v>1981</v>
      </c>
      <c r="B246" s="74" t="str">
        <f t="shared" ref="B246:K246" si="15">IF(AND(B199="-",B152="-",B105="-",B58="-"),"-",SUM(B199,B152,B105,B58))</f>
        <v>-</v>
      </c>
      <c r="C246" s="74" t="str">
        <f t="shared" si="15"/>
        <v>-</v>
      </c>
      <c r="D246" s="74">
        <f t="shared" si="15"/>
        <v>12870</v>
      </c>
      <c r="E246" s="74">
        <f t="shared" si="15"/>
        <v>40784</v>
      </c>
      <c r="F246" s="74">
        <f t="shared" si="15"/>
        <v>98071</v>
      </c>
      <c r="G246" s="74">
        <f t="shared" si="15"/>
        <v>90230</v>
      </c>
      <c r="H246" s="74">
        <f t="shared" si="15"/>
        <v>21740</v>
      </c>
      <c r="I246" s="74">
        <f t="shared" si="15"/>
        <v>2324</v>
      </c>
      <c r="J246" s="74">
        <f t="shared" si="15"/>
        <v>313</v>
      </c>
      <c r="K246" s="74">
        <f t="shared" si="15"/>
        <v>266332</v>
      </c>
    </row>
    <row r="247" spans="1:11" x14ac:dyDescent="0.2">
      <c r="A247" s="371">
        <v>1982</v>
      </c>
      <c r="B247" s="74" t="str">
        <f t="shared" ref="B247:K247" si="16">IF(AND(B200="-",B153="-",B106="-",B59="-"),"-",SUM(B200,B153,B106,B59))</f>
        <v>-</v>
      </c>
      <c r="C247" s="74" t="str">
        <f t="shared" si="16"/>
        <v>-</v>
      </c>
      <c r="D247" s="74">
        <f t="shared" si="16"/>
        <v>733</v>
      </c>
      <c r="E247" s="74">
        <f t="shared" si="16"/>
        <v>27212</v>
      </c>
      <c r="F247" s="74">
        <f t="shared" si="16"/>
        <v>154749</v>
      </c>
      <c r="G247" s="74">
        <f t="shared" si="16"/>
        <v>10239</v>
      </c>
      <c r="H247" s="74">
        <f t="shared" si="16"/>
        <v>2976</v>
      </c>
      <c r="I247" s="74">
        <f t="shared" si="16"/>
        <v>2606</v>
      </c>
      <c r="J247" s="74">
        <f t="shared" si="16"/>
        <v>278</v>
      </c>
      <c r="K247" s="74">
        <f t="shared" si="16"/>
        <v>198793</v>
      </c>
    </row>
    <row r="248" spans="1:11" x14ac:dyDescent="0.2">
      <c r="A248" s="371">
        <v>1983</v>
      </c>
      <c r="B248" s="74" t="str">
        <f t="shared" ref="B248:K248" si="17">IF(AND(B201="-",B154="-",B107="-",B60="-"),"-",SUM(B201,B154,B107,B60))</f>
        <v>-</v>
      </c>
      <c r="C248" s="74" t="str">
        <f t="shared" si="17"/>
        <v>-</v>
      </c>
      <c r="D248" s="74">
        <f t="shared" si="17"/>
        <v>835</v>
      </c>
      <c r="E248" s="74">
        <f t="shared" si="17"/>
        <v>28806</v>
      </c>
      <c r="F248" s="74">
        <f t="shared" si="17"/>
        <v>95084</v>
      </c>
      <c r="G248" s="74">
        <f t="shared" si="17"/>
        <v>43576</v>
      </c>
      <c r="H248" s="74">
        <f t="shared" si="17"/>
        <v>21748</v>
      </c>
      <c r="I248" s="74">
        <f t="shared" si="17"/>
        <v>5024</v>
      </c>
      <c r="J248" s="74">
        <f t="shared" si="17"/>
        <v>98</v>
      </c>
      <c r="K248" s="74">
        <f t="shared" si="17"/>
        <v>195171</v>
      </c>
    </row>
    <row r="249" spans="1:11" x14ac:dyDescent="0.2">
      <c r="A249" s="371">
        <v>1984</v>
      </c>
      <c r="B249" s="74" t="str">
        <f t="shared" ref="B249:I252" si="18">IF(AND(B202="-",B155="-",B108="-",B61="-"),"-",SUM(B202,B155,B108,B61))</f>
        <v>-</v>
      </c>
      <c r="C249" s="74" t="str">
        <f t="shared" si="18"/>
        <v>-</v>
      </c>
      <c r="D249" s="74" t="str">
        <f t="shared" si="18"/>
        <v>-</v>
      </c>
      <c r="E249" s="74" t="str">
        <f t="shared" si="18"/>
        <v>-</v>
      </c>
      <c r="F249" s="74">
        <f t="shared" si="18"/>
        <v>72925</v>
      </c>
      <c r="G249" s="74">
        <f t="shared" si="18"/>
        <v>63474</v>
      </c>
      <c r="H249" s="74">
        <f t="shared" si="18"/>
        <v>5266</v>
      </c>
      <c r="I249" s="74">
        <f t="shared" si="18"/>
        <v>3089</v>
      </c>
      <c r="J249" s="74" t="s">
        <v>116</v>
      </c>
      <c r="K249" s="74">
        <f t="shared" ref="K249:K285" si="19">IF(AND(K202="-",K155="-",K108="-",K61="-"),"-",SUM(K202,K155,K108,K61))</f>
        <v>144754</v>
      </c>
    </row>
    <row r="250" spans="1:11" x14ac:dyDescent="0.2">
      <c r="A250" s="371">
        <v>1985</v>
      </c>
      <c r="B250" s="74" t="str">
        <f t="shared" si="18"/>
        <v>-</v>
      </c>
      <c r="C250" s="74" t="str">
        <f t="shared" si="18"/>
        <v>-</v>
      </c>
      <c r="D250" s="74">
        <f t="shared" si="18"/>
        <v>4556</v>
      </c>
      <c r="E250" s="74" t="str">
        <f t="shared" si="18"/>
        <v>-</v>
      </c>
      <c r="F250" s="74">
        <f t="shared" si="18"/>
        <v>99011</v>
      </c>
      <c r="G250" s="74">
        <f t="shared" si="18"/>
        <v>114662</v>
      </c>
      <c r="H250" s="74">
        <f t="shared" si="18"/>
        <v>7763</v>
      </c>
      <c r="I250" s="74">
        <f t="shared" si="18"/>
        <v>5570</v>
      </c>
      <c r="J250" s="74" t="s">
        <v>116</v>
      </c>
      <c r="K250" s="74">
        <f t="shared" si="19"/>
        <v>231562</v>
      </c>
    </row>
    <row r="251" spans="1:11" x14ac:dyDescent="0.2">
      <c r="A251" s="364">
        <v>1986</v>
      </c>
      <c r="B251" s="74" t="str">
        <f t="shared" si="18"/>
        <v>-</v>
      </c>
      <c r="C251" s="74" t="str">
        <f t="shared" si="18"/>
        <v>-</v>
      </c>
      <c r="D251" s="74">
        <f t="shared" si="18"/>
        <v>5724</v>
      </c>
      <c r="E251" s="74">
        <f t="shared" si="18"/>
        <v>21181</v>
      </c>
      <c r="F251" s="74">
        <f t="shared" si="18"/>
        <v>105582</v>
      </c>
      <c r="G251" s="74">
        <f t="shared" si="18"/>
        <v>28324</v>
      </c>
      <c r="H251" s="74">
        <f t="shared" si="18"/>
        <v>597</v>
      </c>
      <c r="I251" s="74">
        <f t="shared" si="18"/>
        <v>5020</v>
      </c>
      <c r="J251" s="74" t="s">
        <v>116</v>
      </c>
      <c r="K251" s="74">
        <f t="shared" si="19"/>
        <v>166428</v>
      </c>
    </row>
    <row r="252" spans="1:11" x14ac:dyDescent="0.2">
      <c r="A252" s="364">
        <v>1987</v>
      </c>
      <c r="B252" s="74" t="str">
        <f t="shared" si="18"/>
        <v>-</v>
      </c>
      <c r="C252" s="74" t="str">
        <f t="shared" si="18"/>
        <v>-</v>
      </c>
      <c r="D252" s="74">
        <f t="shared" si="18"/>
        <v>2318</v>
      </c>
      <c r="E252" s="74">
        <f t="shared" si="18"/>
        <v>20892</v>
      </c>
      <c r="F252" s="74">
        <f t="shared" si="18"/>
        <v>121974</v>
      </c>
      <c r="G252" s="74">
        <f t="shared" si="18"/>
        <v>62139</v>
      </c>
      <c r="H252" s="74">
        <f t="shared" si="18"/>
        <v>25584</v>
      </c>
      <c r="I252" s="74">
        <f t="shared" si="18"/>
        <v>5040</v>
      </c>
      <c r="J252" s="74" t="s">
        <v>116</v>
      </c>
      <c r="K252" s="74">
        <f t="shared" si="19"/>
        <v>237947</v>
      </c>
    </row>
    <row r="253" spans="1:11" x14ac:dyDescent="0.2">
      <c r="A253" s="364">
        <v>1988</v>
      </c>
      <c r="B253" s="74" t="str">
        <f t="shared" ref="B253:H262" si="20">IF(AND(B206="-",B159="-",B112="-",B65="-"),"-",SUM(B206,B159,B112,B65))</f>
        <v>-</v>
      </c>
      <c r="C253" s="74" t="str">
        <f t="shared" si="20"/>
        <v>-</v>
      </c>
      <c r="D253" s="74">
        <f t="shared" si="20"/>
        <v>3439</v>
      </c>
      <c r="E253" s="74">
        <f t="shared" si="20"/>
        <v>33187</v>
      </c>
      <c r="F253" s="74">
        <f t="shared" si="20"/>
        <v>105789</v>
      </c>
      <c r="G253" s="74">
        <f t="shared" si="20"/>
        <v>80374</v>
      </c>
      <c r="H253" s="74">
        <f t="shared" si="20"/>
        <v>22118</v>
      </c>
      <c r="I253" s="74" t="s">
        <v>116</v>
      </c>
      <c r="J253" s="74" t="s">
        <v>116</v>
      </c>
      <c r="K253" s="74">
        <f t="shared" si="19"/>
        <v>244907</v>
      </c>
    </row>
    <row r="254" spans="1:11" x14ac:dyDescent="0.2">
      <c r="A254" s="364">
        <v>1989</v>
      </c>
      <c r="B254" s="74" t="str">
        <f t="shared" si="20"/>
        <v>-</v>
      </c>
      <c r="C254" s="74" t="str">
        <f t="shared" si="20"/>
        <v>-</v>
      </c>
      <c r="D254" s="74">
        <f t="shared" si="20"/>
        <v>5112</v>
      </c>
      <c r="E254" s="74">
        <f t="shared" si="20"/>
        <v>52232</v>
      </c>
      <c r="F254" s="74">
        <f t="shared" si="20"/>
        <v>113325</v>
      </c>
      <c r="G254" s="74">
        <f t="shared" si="20"/>
        <v>70449</v>
      </c>
      <c r="H254" s="74">
        <f t="shared" si="20"/>
        <v>5672</v>
      </c>
      <c r="I254" s="74" t="s">
        <v>116</v>
      </c>
      <c r="J254" s="74" t="s">
        <v>116</v>
      </c>
      <c r="K254" s="74">
        <f t="shared" si="19"/>
        <v>246790</v>
      </c>
    </row>
    <row r="255" spans="1:11" x14ac:dyDescent="0.2">
      <c r="A255" s="364">
        <v>1990</v>
      </c>
      <c r="B255" s="74" t="str">
        <f t="shared" si="20"/>
        <v>-</v>
      </c>
      <c r="C255" s="74" t="str">
        <f t="shared" si="20"/>
        <v>-</v>
      </c>
      <c r="D255" s="74">
        <f t="shared" si="20"/>
        <v>2753</v>
      </c>
      <c r="E255" s="74">
        <f t="shared" si="20"/>
        <v>30026</v>
      </c>
      <c r="F255" s="74">
        <f t="shared" si="20"/>
        <v>89788</v>
      </c>
      <c r="G255" s="74">
        <f t="shared" si="20"/>
        <v>81089</v>
      </c>
      <c r="H255" s="74">
        <f t="shared" si="20"/>
        <v>17378</v>
      </c>
      <c r="I255" s="74" t="s">
        <v>116</v>
      </c>
      <c r="J255" s="74" t="str">
        <f>IF(AND(J208="-",J161="-",J114="-",J67="-"),"-",SUM(J208,J161,J114,J67))</f>
        <v>-</v>
      </c>
      <c r="K255" s="74">
        <f t="shared" si="19"/>
        <v>221034</v>
      </c>
    </row>
    <row r="256" spans="1:11" x14ac:dyDescent="0.2">
      <c r="A256" s="364">
        <v>1991</v>
      </c>
      <c r="B256" s="74" t="str">
        <f t="shared" si="20"/>
        <v>-</v>
      </c>
      <c r="C256" s="74" t="str">
        <f t="shared" si="20"/>
        <v>-</v>
      </c>
      <c r="D256" s="74">
        <f t="shared" si="20"/>
        <v>3398</v>
      </c>
      <c r="E256" s="74">
        <f t="shared" si="20"/>
        <v>44688</v>
      </c>
      <c r="F256" s="74">
        <f t="shared" si="20"/>
        <v>114410</v>
      </c>
      <c r="G256" s="74">
        <f t="shared" si="20"/>
        <v>1911</v>
      </c>
      <c r="H256" s="74">
        <f t="shared" si="20"/>
        <v>3997</v>
      </c>
      <c r="I256" s="74" t="s">
        <v>116</v>
      </c>
      <c r="J256" s="74" t="str">
        <f>IF(AND(J209="-",J162="-",J115="-",J68="-"),"-",SUM(J209,J162,J115,J68))</f>
        <v>-</v>
      </c>
      <c r="K256" s="74">
        <f t="shared" si="19"/>
        <v>168404</v>
      </c>
    </row>
    <row r="257" spans="1:11" x14ac:dyDescent="0.2">
      <c r="A257" s="364">
        <v>1992</v>
      </c>
      <c r="B257" s="74" t="str">
        <f t="shared" si="20"/>
        <v>-</v>
      </c>
      <c r="C257" s="74" t="str">
        <f t="shared" si="20"/>
        <v>-</v>
      </c>
      <c r="D257" s="74">
        <f t="shared" si="20"/>
        <v>3692</v>
      </c>
      <c r="E257" s="74">
        <f t="shared" si="20"/>
        <v>19921</v>
      </c>
      <c r="F257" s="74">
        <f t="shared" si="20"/>
        <v>77068</v>
      </c>
      <c r="G257" s="74">
        <f t="shared" si="20"/>
        <v>34446</v>
      </c>
      <c r="H257" s="74">
        <f t="shared" si="20"/>
        <v>13403</v>
      </c>
      <c r="I257" s="74">
        <f>IF(AND(I210="-",I163="-",I116="-",I69="-"),"-",SUM(I210,I163,I116,I69))</f>
        <v>3862</v>
      </c>
      <c r="J257" s="74" t="str">
        <f>IF(AND(J210="-",J163="-",J116="-",J69="-"),"-",SUM(J210,J163,J116,J69))</f>
        <v>-</v>
      </c>
      <c r="K257" s="74">
        <f t="shared" si="19"/>
        <v>152392</v>
      </c>
    </row>
    <row r="258" spans="1:11" x14ac:dyDescent="0.2">
      <c r="A258" s="364">
        <v>1993</v>
      </c>
      <c r="B258" s="74" t="str">
        <f t="shared" si="20"/>
        <v>-</v>
      </c>
      <c r="C258" s="74" t="str">
        <f t="shared" si="20"/>
        <v>-</v>
      </c>
      <c r="D258" s="74">
        <f t="shared" si="20"/>
        <v>3039</v>
      </c>
      <c r="E258" s="74">
        <f t="shared" si="20"/>
        <v>6021</v>
      </c>
      <c r="F258" s="74">
        <f t="shared" si="20"/>
        <v>31289</v>
      </c>
      <c r="G258" s="74">
        <f t="shared" si="20"/>
        <v>18661</v>
      </c>
      <c r="H258" s="74">
        <f t="shared" si="20"/>
        <v>2786</v>
      </c>
      <c r="I258" s="74" t="s">
        <v>116</v>
      </c>
      <c r="J258" s="74" t="s">
        <v>116</v>
      </c>
      <c r="K258" s="74">
        <f t="shared" si="19"/>
        <v>61796</v>
      </c>
    </row>
    <row r="259" spans="1:11" x14ac:dyDescent="0.2">
      <c r="A259" s="364">
        <v>1994</v>
      </c>
      <c r="B259" s="74" t="str">
        <f t="shared" si="20"/>
        <v>-</v>
      </c>
      <c r="C259" s="74" t="str">
        <f t="shared" si="20"/>
        <v>-</v>
      </c>
      <c r="D259" s="74">
        <f t="shared" si="20"/>
        <v>7238</v>
      </c>
      <c r="E259" s="74">
        <f t="shared" si="20"/>
        <v>2392</v>
      </c>
      <c r="F259" s="74" t="str">
        <f t="shared" si="20"/>
        <v>-</v>
      </c>
      <c r="G259" s="74">
        <f t="shared" si="20"/>
        <v>1383</v>
      </c>
      <c r="H259" s="74">
        <f t="shared" si="20"/>
        <v>2910</v>
      </c>
      <c r="I259" s="74">
        <f>IF(AND(I212="-",I165="-",I118="-",I71="-"),"-",SUM(I212,I165,I118,I71))</f>
        <v>12971</v>
      </c>
      <c r="J259" s="74">
        <f>IF(AND(J212="-",J165="-",J118="-",J71="-"),"-",SUM(J212,J165,J118,J71))</f>
        <v>3</v>
      </c>
      <c r="K259" s="74">
        <f t="shared" si="19"/>
        <v>26897</v>
      </c>
    </row>
    <row r="260" spans="1:11" x14ac:dyDescent="0.2">
      <c r="A260" s="364">
        <v>1995</v>
      </c>
      <c r="B260" s="74" t="str">
        <f t="shared" si="20"/>
        <v>-</v>
      </c>
      <c r="C260" s="74" t="str">
        <f t="shared" si="20"/>
        <v>-</v>
      </c>
      <c r="D260" s="74">
        <f t="shared" si="20"/>
        <v>3183</v>
      </c>
      <c r="E260" s="74">
        <f t="shared" si="20"/>
        <v>7051</v>
      </c>
      <c r="F260" s="74" t="str">
        <f t="shared" si="20"/>
        <v>-</v>
      </c>
      <c r="G260" s="74">
        <f t="shared" si="20"/>
        <v>1977</v>
      </c>
      <c r="H260" s="74">
        <f t="shared" si="20"/>
        <v>7357</v>
      </c>
      <c r="I260" s="74">
        <f>IF(AND(I213="-",I166="-",I119="-",I72="-"),"-",SUM(I213,I166,I119,I72))</f>
        <v>4556</v>
      </c>
      <c r="J260" s="74">
        <f>IF(AND(J213="-",J166="-",J119="-",J72="-"),"-",SUM(J213,J166,J119,J72))</f>
        <v>788</v>
      </c>
      <c r="K260" s="74">
        <f t="shared" si="19"/>
        <v>24912</v>
      </c>
    </row>
    <row r="261" spans="1:11" x14ac:dyDescent="0.2">
      <c r="A261" s="364">
        <v>1996</v>
      </c>
      <c r="B261" s="74" t="str">
        <f t="shared" si="20"/>
        <v>-</v>
      </c>
      <c r="C261" s="74" t="str">
        <f t="shared" si="20"/>
        <v>-</v>
      </c>
      <c r="D261" s="74">
        <f t="shared" si="20"/>
        <v>2958</v>
      </c>
      <c r="E261" s="74">
        <f t="shared" si="20"/>
        <v>6839</v>
      </c>
      <c r="F261" s="74">
        <f t="shared" si="20"/>
        <v>2848</v>
      </c>
      <c r="G261" s="74">
        <f t="shared" si="20"/>
        <v>10154</v>
      </c>
      <c r="H261" s="74">
        <f t="shared" si="20"/>
        <v>7992</v>
      </c>
      <c r="I261" s="74">
        <f t="shared" ref="I261:I283" si="21">IF(AND(I214="-",I167="-",I120="-",I73="-"),"-",SUM(I214,I167,I120,I73))</f>
        <v>7537</v>
      </c>
      <c r="J261" s="74" t="s">
        <v>116</v>
      </c>
      <c r="K261" s="74">
        <f t="shared" si="19"/>
        <v>38328</v>
      </c>
    </row>
    <row r="262" spans="1:11" x14ac:dyDescent="0.2">
      <c r="A262" s="364">
        <v>1997</v>
      </c>
      <c r="B262" s="74" t="str">
        <f t="shared" si="20"/>
        <v>-</v>
      </c>
      <c r="C262" s="74">
        <f t="shared" si="20"/>
        <v>29</v>
      </c>
      <c r="D262" s="74">
        <f t="shared" si="20"/>
        <v>2916</v>
      </c>
      <c r="E262" s="74">
        <f t="shared" si="20"/>
        <v>4228</v>
      </c>
      <c r="F262" s="74">
        <f t="shared" si="20"/>
        <v>3765</v>
      </c>
      <c r="G262" s="74">
        <f t="shared" si="20"/>
        <v>9505</v>
      </c>
      <c r="H262" s="74">
        <f t="shared" si="20"/>
        <v>3161</v>
      </c>
      <c r="I262" s="74">
        <f t="shared" si="21"/>
        <v>2942</v>
      </c>
      <c r="J262" s="74" t="s">
        <v>116</v>
      </c>
      <c r="K262" s="74">
        <f t="shared" si="19"/>
        <v>26546</v>
      </c>
    </row>
    <row r="263" spans="1:11" x14ac:dyDescent="0.2">
      <c r="A263" s="364">
        <v>1998</v>
      </c>
      <c r="B263" s="74" t="str">
        <f t="shared" ref="B263:H272" si="22">IF(AND(B216="-",B169="-",B122="-",B75="-"),"-",SUM(B216,B169,B122,B75))</f>
        <v>-</v>
      </c>
      <c r="C263" s="74">
        <f t="shared" si="22"/>
        <v>0</v>
      </c>
      <c r="D263" s="74">
        <f t="shared" si="22"/>
        <v>2061</v>
      </c>
      <c r="E263" s="74">
        <f t="shared" si="22"/>
        <v>2387</v>
      </c>
      <c r="F263" s="74">
        <f t="shared" si="22"/>
        <v>1921</v>
      </c>
      <c r="G263" s="74">
        <f t="shared" si="22"/>
        <v>7260</v>
      </c>
      <c r="H263" s="74">
        <f t="shared" si="22"/>
        <v>4544</v>
      </c>
      <c r="I263" s="74">
        <f t="shared" si="21"/>
        <v>5667</v>
      </c>
      <c r="J263" s="74" t="s">
        <v>116</v>
      </c>
      <c r="K263" s="74">
        <f t="shared" si="19"/>
        <v>23840</v>
      </c>
    </row>
    <row r="264" spans="1:11" x14ac:dyDescent="0.2">
      <c r="A264" s="364">
        <v>1999</v>
      </c>
      <c r="B264" s="74" t="str">
        <f t="shared" si="22"/>
        <v>-</v>
      </c>
      <c r="C264" s="74">
        <f t="shared" si="22"/>
        <v>12</v>
      </c>
      <c r="D264" s="74">
        <f t="shared" si="22"/>
        <v>814</v>
      </c>
      <c r="E264" s="74">
        <f t="shared" si="22"/>
        <v>1719</v>
      </c>
      <c r="F264" s="74">
        <f t="shared" si="22"/>
        <v>18073</v>
      </c>
      <c r="G264" s="74">
        <f t="shared" si="22"/>
        <v>8762</v>
      </c>
      <c r="H264" s="74">
        <f t="shared" si="22"/>
        <v>6705</v>
      </c>
      <c r="I264" s="74">
        <f t="shared" si="21"/>
        <v>5813</v>
      </c>
      <c r="J264" s="74">
        <f t="shared" ref="J264:J272" si="23">IF(AND(J217="-",J170="-",J123="-",J76="-"),"-",SUM(J217,J170,J123,J76))</f>
        <v>104</v>
      </c>
      <c r="K264" s="74">
        <f t="shared" si="19"/>
        <v>42002</v>
      </c>
    </row>
    <row r="265" spans="1:11" x14ac:dyDescent="0.2">
      <c r="A265" s="364">
        <v>2000</v>
      </c>
      <c r="B265" s="74" t="str">
        <f t="shared" si="22"/>
        <v>-</v>
      </c>
      <c r="C265" s="74">
        <f t="shared" si="22"/>
        <v>26</v>
      </c>
      <c r="D265" s="74">
        <f t="shared" si="22"/>
        <v>676</v>
      </c>
      <c r="E265" s="74">
        <f t="shared" si="22"/>
        <v>2917</v>
      </c>
      <c r="F265" s="74">
        <f t="shared" si="22"/>
        <v>33008</v>
      </c>
      <c r="G265" s="74">
        <f t="shared" si="22"/>
        <v>20426</v>
      </c>
      <c r="H265" s="74">
        <f t="shared" si="22"/>
        <v>6295</v>
      </c>
      <c r="I265" s="74">
        <f t="shared" si="21"/>
        <v>6537</v>
      </c>
      <c r="J265" s="74">
        <f t="shared" si="23"/>
        <v>235</v>
      </c>
      <c r="K265" s="74">
        <f t="shared" si="19"/>
        <v>70120</v>
      </c>
    </row>
    <row r="266" spans="1:11" x14ac:dyDescent="0.2">
      <c r="A266" s="364">
        <v>2001</v>
      </c>
      <c r="B266" s="74" t="str">
        <f t="shared" si="22"/>
        <v>-</v>
      </c>
      <c r="C266" s="74">
        <f t="shared" si="22"/>
        <v>0</v>
      </c>
      <c r="D266" s="74">
        <f t="shared" si="22"/>
        <v>5016</v>
      </c>
      <c r="E266" s="74">
        <f t="shared" si="22"/>
        <v>21671</v>
      </c>
      <c r="F266" s="74">
        <f t="shared" si="22"/>
        <v>40382</v>
      </c>
      <c r="G266" s="74">
        <f t="shared" si="22"/>
        <v>18649</v>
      </c>
      <c r="H266" s="74">
        <f t="shared" si="22"/>
        <v>4746</v>
      </c>
      <c r="I266" s="74">
        <f t="shared" si="21"/>
        <v>6594</v>
      </c>
      <c r="J266" s="74">
        <f t="shared" si="23"/>
        <v>162</v>
      </c>
      <c r="K266" s="74">
        <f t="shared" si="19"/>
        <v>97220</v>
      </c>
    </row>
    <row r="267" spans="1:11" x14ac:dyDescent="0.2">
      <c r="A267" s="364">
        <v>2002</v>
      </c>
      <c r="B267" s="74" t="str">
        <f t="shared" si="22"/>
        <v>-</v>
      </c>
      <c r="C267" s="74">
        <f t="shared" si="22"/>
        <v>275</v>
      </c>
      <c r="D267" s="74">
        <f t="shared" si="22"/>
        <v>3062</v>
      </c>
      <c r="E267" s="74">
        <f t="shared" si="22"/>
        <v>10229</v>
      </c>
      <c r="F267" s="74">
        <f t="shared" si="22"/>
        <v>37186</v>
      </c>
      <c r="G267" s="74">
        <f t="shared" si="22"/>
        <v>19845</v>
      </c>
      <c r="H267" s="74">
        <f t="shared" si="22"/>
        <v>13077</v>
      </c>
      <c r="I267" s="74">
        <f t="shared" si="21"/>
        <v>11866</v>
      </c>
      <c r="J267" s="74">
        <f t="shared" si="23"/>
        <v>50</v>
      </c>
      <c r="K267" s="74">
        <f t="shared" si="19"/>
        <v>95590</v>
      </c>
    </row>
    <row r="268" spans="1:11" x14ac:dyDescent="0.2">
      <c r="A268" s="118">
        <v>2003</v>
      </c>
      <c r="B268" s="74">
        <f t="shared" si="22"/>
        <v>81</v>
      </c>
      <c r="C268" s="74">
        <f t="shared" si="22"/>
        <v>139</v>
      </c>
      <c r="D268" s="74">
        <f t="shared" si="22"/>
        <v>2819</v>
      </c>
      <c r="E268" s="74">
        <f t="shared" si="22"/>
        <v>12364</v>
      </c>
      <c r="F268" s="74">
        <f t="shared" si="22"/>
        <v>58025</v>
      </c>
      <c r="G268" s="74">
        <f t="shared" si="22"/>
        <v>35150</v>
      </c>
      <c r="H268" s="74">
        <f t="shared" si="22"/>
        <v>9959</v>
      </c>
      <c r="I268" s="74">
        <f t="shared" si="21"/>
        <v>6265</v>
      </c>
      <c r="J268" s="74">
        <f t="shared" si="23"/>
        <v>395</v>
      </c>
      <c r="K268" s="74">
        <f t="shared" si="19"/>
        <v>125197</v>
      </c>
    </row>
    <row r="269" spans="1:11" x14ac:dyDescent="0.2">
      <c r="A269" s="118">
        <v>2004</v>
      </c>
      <c r="B269" s="74">
        <f t="shared" si="22"/>
        <v>78</v>
      </c>
      <c r="C269" s="74">
        <f t="shared" si="22"/>
        <v>238</v>
      </c>
      <c r="D269" s="74">
        <f t="shared" si="22"/>
        <v>2722</v>
      </c>
      <c r="E269" s="74">
        <f t="shared" si="22"/>
        <v>18315</v>
      </c>
      <c r="F269" s="74">
        <f t="shared" si="22"/>
        <v>53183</v>
      </c>
      <c r="G269" s="74">
        <f t="shared" si="22"/>
        <v>33169</v>
      </c>
      <c r="H269" s="74">
        <f t="shared" si="22"/>
        <v>14444</v>
      </c>
      <c r="I269" s="74">
        <f t="shared" si="21"/>
        <v>4669</v>
      </c>
      <c r="J269" s="74">
        <f t="shared" si="23"/>
        <v>291</v>
      </c>
      <c r="K269" s="74">
        <f t="shared" si="19"/>
        <v>127109</v>
      </c>
    </row>
    <row r="270" spans="1:11" x14ac:dyDescent="0.2">
      <c r="A270" s="118">
        <v>2005</v>
      </c>
      <c r="B270" s="74">
        <f t="shared" si="22"/>
        <v>30</v>
      </c>
      <c r="C270" s="74">
        <f t="shared" si="22"/>
        <v>406</v>
      </c>
      <c r="D270" s="74">
        <f t="shared" si="22"/>
        <v>1995</v>
      </c>
      <c r="E270" s="74">
        <f t="shared" si="22"/>
        <v>16108</v>
      </c>
      <c r="F270" s="74">
        <f t="shared" si="22"/>
        <v>14100</v>
      </c>
      <c r="G270" s="74">
        <f t="shared" si="22"/>
        <v>12599</v>
      </c>
      <c r="H270" s="74">
        <f t="shared" si="22"/>
        <v>14311</v>
      </c>
      <c r="I270" s="74">
        <f t="shared" si="21"/>
        <v>3176</v>
      </c>
      <c r="J270" s="74">
        <f t="shared" si="23"/>
        <v>12</v>
      </c>
      <c r="K270" s="74">
        <f t="shared" si="19"/>
        <v>62737</v>
      </c>
    </row>
    <row r="271" spans="1:11" x14ac:dyDescent="0.2">
      <c r="A271" s="118">
        <v>2006</v>
      </c>
      <c r="B271" s="74">
        <f t="shared" si="22"/>
        <v>24</v>
      </c>
      <c r="C271" s="74">
        <f t="shared" si="22"/>
        <v>92</v>
      </c>
      <c r="D271" s="74">
        <f t="shared" si="22"/>
        <v>1414</v>
      </c>
      <c r="E271" s="74">
        <f t="shared" si="22"/>
        <v>7575</v>
      </c>
      <c r="F271" s="74">
        <f t="shared" si="22"/>
        <v>19050</v>
      </c>
      <c r="G271" s="74">
        <f t="shared" si="22"/>
        <v>3817</v>
      </c>
      <c r="H271" s="74">
        <f t="shared" si="22"/>
        <v>13560</v>
      </c>
      <c r="I271" s="74">
        <f t="shared" si="21"/>
        <v>8449</v>
      </c>
      <c r="J271" s="74">
        <f t="shared" si="23"/>
        <v>98</v>
      </c>
      <c r="K271" s="74">
        <f t="shared" si="19"/>
        <v>54079</v>
      </c>
    </row>
    <row r="272" spans="1:11" s="366" customFormat="1" x14ac:dyDescent="0.2">
      <c r="A272" s="118">
        <v>2007</v>
      </c>
      <c r="B272" s="73">
        <f t="shared" si="22"/>
        <v>36</v>
      </c>
      <c r="C272" s="73">
        <f t="shared" si="22"/>
        <v>75</v>
      </c>
      <c r="D272" s="73">
        <f t="shared" si="22"/>
        <v>1576</v>
      </c>
      <c r="E272" s="73">
        <f t="shared" si="22"/>
        <v>8580</v>
      </c>
      <c r="F272" s="73">
        <f t="shared" si="22"/>
        <v>23667</v>
      </c>
      <c r="G272" s="73">
        <f t="shared" si="22"/>
        <v>30649</v>
      </c>
      <c r="H272" s="73">
        <f t="shared" si="22"/>
        <v>5651</v>
      </c>
      <c r="I272" s="73">
        <f t="shared" si="21"/>
        <v>5604</v>
      </c>
      <c r="J272" s="74">
        <f t="shared" si="23"/>
        <v>40</v>
      </c>
      <c r="K272" s="73">
        <f t="shared" si="19"/>
        <v>75878</v>
      </c>
    </row>
    <row r="273" spans="1:11" s="366" customFormat="1" x14ac:dyDescent="0.2">
      <c r="A273" s="118">
        <v>2008</v>
      </c>
      <c r="B273" s="73" t="str">
        <f t="shared" ref="B273:H282" si="24">IF(AND(B226="-",B179="-",B132="-",B85="-"),"-",SUM(B226,B179,B132,B85))</f>
        <v>-</v>
      </c>
      <c r="C273" s="73" t="str">
        <f t="shared" si="24"/>
        <v>-</v>
      </c>
      <c r="D273" s="73" t="str">
        <f t="shared" si="24"/>
        <v>-</v>
      </c>
      <c r="E273" s="73">
        <f t="shared" si="24"/>
        <v>3965</v>
      </c>
      <c r="F273" s="73">
        <f t="shared" si="24"/>
        <v>9998</v>
      </c>
      <c r="G273" s="73">
        <f t="shared" si="24"/>
        <v>5753</v>
      </c>
      <c r="H273" s="73">
        <f t="shared" si="24"/>
        <v>3635</v>
      </c>
      <c r="I273" s="73">
        <f t="shared" si="21"/>
        <v>3413</v>
      </c>
      <c r="J273" s="167" t="s">
        <v>116</v>
      </c>
      <c r="K273" s="73">
        <f t="shared" si="19"/>
        <v>26764</v>
      </c>
    </row>
    <row r="274" spans="1:11" s="366" customFormat="1" x14ac:dyDescent="0.2">
      <c r="A274" s="118">
        <v>2009</v>
      </c>
      <c r="B274" s="73" t="str">
        <f t="shared" si="24"/>
        <v>-</v>
      </c>
      <c r="C274" s="73" t="str">
        <f t="shared" si="24"/>
        <v>-</v>
      </c>
      <c r="D274" s="73" t="str">
        <f t="shared" si="24"/>
        <v>-</v>
      </c>
      <c r="E274" s="73">
        <f t="shared" si="24"/>
        <v>4412</v>
      </c>
      <c r="F274" s="73">
        <f t="shared" si="24"/>
        <v>35341</v>
      </c>
      <c r="G274" s="73">
        <f t="shared" si="24"/>
        <v>24183</v>
      </c>
      <c r="H274" s="73">
        <f t="shared" si="24"/>
        <v>6323</v>
      </c>
      <c r="I274" s="73">
        <f t="shared" si="21"/>
        <v>2009</v>
      </c>
      <c r="J274" s="167" t="s">
        <v>116</v>
      </c>
      <c r="K274" s="73">
        <f t="shared" si="19"/>
        <v>72268</v>
      </c>
    </row>
    <row r="275" spans="1:11" s="366" customFormat="1" x14ac:dyDescent="0.2">
      <c r="A275" s="118">
        <v>2010</v>
      </c>
      <c r="B275" s="73" t="str">
        <f t="shared" si="24"/>
        <v>-</v>
      </c>
      <c r="C275" s="73" t="str">
        <f t="shared" si="24"/>
        <v>-</v>
      </c>
      <c r="D275" s="73">
        <f t="shared" si="24"/>
        <v>992</v>
      </c>
      <c r="E275" s="73">
        <f t="shared" si="24"/>
        <v>3055</v>
      </c>
      <c r="F275" s="73">
        <f t="shared" si="24"/>
        <v>9451</v>
      </c>
      <c r="G275" s="73">
        <f t="shared" si="24"/>
        <v>17413</v>
      </c>
      <c r="H275" s="73">
        <f t="shared" si="24"/>
        <v>8836</v>
      </c>
      <c r="I275" s="73">
        <f t="shared" si="21"/>
        <v>3318</v>
      </c>
      <c r="J275" s="167" t="s">
        <v>116</v>
      </c>
      <c r="K275" s="73">
        <f t="shared" si="19"/>
        <v>43065</v>
      </c>
    </row>
    <row r="276" spans="1:11" s="366" customFormat="1" x14ac:dyDescent="0.2">
      <c r="A276" s="118">
        <v>2011</v>
      </c>
      <c r="B276" s="73">
        <f t="shared" si="24"/>
        <v>22</v>
      </c>
      <c r="C276" s="73">
        <f t="shared" si="24"/>
        <v>75</v>
      </c>
      <c r="D276" s="73">
        <f t="shared" si="24"/>
        <v>826</v>
      </c>
      <c r="E276" s="73">
        <f t="shared" si="24"/>
        <v>3261</v>
      </c>
      <c r="F276" s="73">
        <f t="shared" si="24"/>
        <v>11024</v>
      </c>
      <c r="G276" s="73">
        <f t="shared" si="24"/>
        <v>11945</v>
      </c>
      <c r="H276" s="73">
        <f t="shared" si="24"/>
        <v>11207</v>
      </c>
      <c r="I276" s="73">
        <f t="shared" si="21"/>
        <v>2997</v>
      </c>
      <c r="J276" s="73">
        <f>IF(AND(J229="-",J182="-",J135="-",J88="-"),"-",SUM(J229,J182,J135,J88))</f>
        <v>16</v>
      </c>
      <c r="K276" s="73">
        <f t="shared" si="19"/>
        <v>41373</v>
      </c>
    </row>
    <row r="277" spans="1:11" s="366" customFormat="1" x14ac:dyDescent="0.2">
      <c r="A277" s="118">
        <v>2012</v>
      </c>
      <c r="B277" s="73">
        <f t="shared" si="24"/>
        <v>23</v>
      </c>
      <c r="C277" s="73">
        <f t="shared" si="24"/>
        <v>380</v>
      </c>
      <c r="D277" s="73">
        <f t="shared" si="24"/>
        <v>2106</v>
      </c>
      <c r="E277" s="73">
        <f t="shared" si="24"/>
        <v>5760</v>
      </c>
      <c r="F277" s="73">
        <f t="shared" si="24"/>
        <v>14550</v>
      </c>
      <c r="G277" s="73">
        <f t="shared" si="24"/>
        <v>19341</v>
      </c>
      <c r="H277" s="73">
        <f t="shared" si="24"/>
        <v>14921</v>
      </c>
      <c r="I277" s="73">
        <f t="shared" si="21"/>
        <v>5371</v>
      </c>
      <c r="J277" s="73">
        <f>IF(AND(J230="-",J183="-",J136="-",J89="-"),"-",SUM(J230,J183,J136,J89))</f>
        <v>18</v>
      </c>
      <c r="K277" s="73">
        <f t="shared" si="19"/>
        <v>62470</v>
      </c>
    </row>
    <row r="278" spans="1:11" s="366" customFormat="1" x14ac:dyDescent="0.2">
      <c r="A278" s="118">
        <v>2013</v>
      </c>
      <c r="B278" s="73">
        <f t="shared" si="24"/>
        <v>479</v>
      </c>
      <c r="C278" s="73">
        <f t="shared" si="24"/>
        <v>693</v>
      </c>
      <c r="D278" s="73">
        <f t="shared" si="24"/>
        <v>1200</v>
      </c>
      <c r="E278" s="73">
        <f t="shared" si="24"/>
        <v>6229</v>
      </c>
      <c r="F278" s="73">
        <f t="shared" si="24"/>
        <v>17872</v>
      </c>
      <c r="G278" s="73">
        <f t="shared" si="24"/>
        <v>33124</v>
      </c>
      <c r="H278" s="73">
        <f t="shared" si="24"/>
        <v>12041</v>
      </c>
      <c r="I278" s="73">
        <f t="shared" si="21"/>
        <v>7761</v>
      </c>
      <c r="J278" s="167" t="s">
        <v>116</v>
      </c>
      <c r="K278" s="73">
        <f t="shared" si="19"/>
        <v>79399</v>
      </c>
    </row>
    <row r="279" spans="1:11" s="366" customFormat="1" x14ac:dyDescent="0.2">
      <c r="A279" s="118">
        <v>2014</v>
      </c>
      <c r="B279" s="73">
        <f t="shared" si="24"/>
        <v>87</v>
      </c>
      <c r="C279" s="73">
        <f t="shared" si="24"/>
        <v>136</v>
      </c>
      <c r="D279" s="73">
        <f t="shared" si="24"/>
        <v>3672</v>
      </c>
      <c r="E279" s="73">
        <f t="shared" si="24"/>
        <v>6717</v>
      </c>
      <c r="F279" s="73">
        <f t="shared" si="24"/>
        <v>38359</v>
      </c>
      <c r="G279" s="73">
        <f t="shared" si="24"/>
        <v>29586</v>
      </c>
      <c r="H279" s="73">
        <f t="shared" si="24"/>
        <v>24634</v>
      </c>
      <c r="I279" s="73">
        <f t="shared" si="21"/>
        <v>6060</v>
      </c>
      <c r="J279" s="167" t="s">
        <v>116</v>
      </c>
      <c r="K279" s="73">
        <f t="shared" si="19"/>
        <v>109251</v>
      </c>
    </row>
    <row r="280" spans="1:11" s="366" customFormat="1" x14ac:dyDescent="0.2">
      <c r="A280" s="118">
        <v>2015</v>
      </c>
      <c r="B280" s="73">
        <f t="shared" si="24"/>
        <v>60</v>
      </c>
      <c r="C280" s="73">
        <f t="shared" si="24"/>
        <v>152</v>
      </c>
      <c r="D280" s="73">
        <f t="shared" si="24"/>
        <v>1687</v>
      </c>
      <c r="E280" s="73">
        <f t="shared" si="24"/>
        <v>2774</v>
      </c>
      <c r="F280" s="73">
        <f t="shared" si="24"/>
        <v>19517</v>
      </c>
      <c r="G280" s="73">
        <f t="shared" si="24"/>
        <v>8100</v>
      </c>
      <c r="H280" s="73">
        <f t="shared" si="24"/>
        <v>17706</v>
      </c>
      <c r="I280" s="73">
        <f t="shared" si="21"/>
        <v>7414</v>
      </c>
      <c r="J280" s="167" t="s">
        <v>116</v>
      </c>
      <c r="K280" s="73">
        <f t="shared" si="19"/>
        <v>57410</v>
      </c>
    </row>
    <row r="281" spans="1:11" s="366" customFormat="1" x14ac:dyDescent="0.2">
      <c r="A281" s="118">
        <v>2016</v>
      </c>
      <c r="B281" s="73">
        <f t="shared" si="24"/>
        <v>82</v>
      </c>
      <c r="C281" s="73">
        <f t="shared" si="24"/>
        <v>18</v>
      </c>
      <c r="D281" s="73">
        <f t="shared" si="24"/>
        <v>1081</v>
      </c>
      <c r="E281" s="73">
        <f t="shared" si="24"/>
        <v>3266</v>
      </c>
      <c r="F281" s="73">
        <f t="shared" si="24"/>
        <v>7099</v>
      </c>
      <c r="G281" s="73">
        <f t="shared" si="24"/>
        <v>5025</v>
      </c>
      <c r="H281" s="73">
        <f t="shared" si="24"/>
        <v>15477</v>
      </c>
      <c r="I281" s="73">
        <f t="shared" si="21"/>
        <v>2484</v>
      </c>
      <c r="J281" s="167" t="s">
        <v>116</v>
      </c>
      <c r="K281" s="73">
        <f t="shared" si="19"/>
        <v>34532</v>
      </c>
    </row>
    <row r="282" spans="1:11" x14ac:dyDescent="0.2">
      <c r="A282" s="118">
        <v>2017</v>
      </c>
      <c r="B282" s="74">
        <f t="shared" si="24"/>
        <v>17</v>
      </c>
      <c r="C282" s="74">
        <f t="shared" si="24"/>
        <v>60</v>
      </c>
      <c r="D282" s="74">
        <f t="shared" si="24"/>
        <v>500</v>
      </c>
      <c r="E282" s="74">
        <f t="shared" si="24"/>
        <v>1916</v>
      </c>
      <c r="F282" s="74">
        <f t="shared" si="24"/>
        <v>10057</v>
      </c>
      <c r="G282" s="74">
        <f t="shared" si="24"/>
        <v>9383</v>
      </c>
      <c r="H282" s="74">
        <f t="shared" si="24"/>
        <v>9343</v>
      </c>
      <c r="I282" s="74">
        <f t="shared" si="21"/>
        <v>2465</v>
      </c>
      <c r="J282" s="167" t="s">
        <v>116</v>
      </c>
      <c r="K282" s="74">
        <f t="shared" si="19"/>
        <v>33741</v>
      </c>
    </row>
    <row r="283" spans="1:11" s="366" customFormat="1" x14ac:dyDescent="0.2">
      <c r="A283" s="118">
        <v>2018</v>
      </c>
      <c r="B283" s="73">
        <f t="shared" ref="B283:H283" si="25">IF(AND(B236="-",B189="-",B142="-",B95="-"),"-",SUM(B236,B189,B142,B95))</f>
        <v>54</v>
      </c>
      <c r="C283" s="73">
        <f t="shared" si="25"/>
        <v>19</v>
      </c>
      <c r="D283" s="73">
        <f t="shared" si="25"/>
        <v>1165</v>
      </c>
      <c r="E283" s="73">
        <f t="shared" si="25"/>
        <v>2180</v>
      </c>
      <c r="F283" s="73">
        <f t="shared" si="25"/>
        <v>10964</v>
      </c>
      <c r="G283" s="73">
        <f t="shared" si="25"/>
        <v>24153</v>
      </c>
      <c r="H283" s="73">
        <f t="shared" si="25"/>
        <v>14596</v>
      </c>
      <c r="I283" s="73">
        <f t="shared" si="21"/>
        <v>3001</v>
      </c>
      <c r="J283" s="167" t="s">
        <v>116</v>
      </c>
      <c r="K283" s="73">
        <f t="shared" si="19"/>
        <v>56132</v>
      </c>
    </row>
    <row r="284" spans="1:11" s="489" customFormat="1" x14ac:dyDescent="0.2">
      <c r="A284" s="118">
        <v>2019</v>
      </c>
      <c r="B284" s="73">
        <f t="shared" ref="B284:I285" si="26">IF(AND(B237="-",B190="-",B143="-",B96="-"),"-",SUM(B237,B190,B143,B96))</f>
        <v>43</v>
      </c>
      <c r="C284" s="73">
        <f t="shared" si="26"/>
        <v>8</v>
      </c>
      <c r="D284" s="73">
        <f t="shared" si="26"/>
        <v>542</v>
      </c>
      <c r="E284" s="73">
        <f t="shared" si="26"/>
        <v>7042</v>
      </c>
      <c r="F284" s="73">
        <f t="shared" si="26"/>
        <v>34182</v>
      </c>
      <c r="G284" s="73">
        <f t="shared" si="26"/>
        <v>26459</v>
      </c>
      <c r="H284" s="73">
        <f t="shared" si="26"/>
        <v>9684</v>
      </c>
      <c r="I284" s="73">
        <f t="shared" si="26"/>
        <v>1581</v>
      </c>
      <c r="J284" s="73" t="s">
        <v>29</v>
      </c>
      <c r="K284" s="73">
        <f t="shared" si="19"/>
        <v>79541</v>
      </c>
    </row>
    <row r="285" spans="1:11" x14ac:dyDescent="0.2">
      <c r="A285" s="118" t="s">
        <v>393</v>
      </c>
      <c r="B285" s="74">
        <f t="shared" si="26"/>
        <v>11</v>
      </c>
      <c r="C285" s="74">
        <f t="shared" si="26"/>
        <v>107</v>
      </c>
      <c r="D285" s="74">
        <f t="shared" si="26"/>
        <v>293</v>
      </c>
      <c r="E285" s="74">
        <f t="shared" si="26"/>
        <v>2266</v>
      </c>
      <c r="F285" s="74">
        <f t="shared" si="26"/>
        <v>25259</v>
      </c>
      <c r="G285" s="74">
        <f t="shared" si="26"/>
        <v>12565</v>
      </c>
      <c r="H285" s="74">
        <f t="shared" si="26"/>
        <v>11338</v>
      </c>
      <c r="I285" s="74">
        <f t="shared" si="26"/>
        <v>1712</v>
      </c>
      <c r="J285" s="74" t="s">
        <v>29</v>
      </c>
      <c r="K285" s="74">
        <f t="shared" si="19"/>
        <v>53551</v>
      </c>
    </row>
    <row r="287" spans="1:11" x14ac:dyDescent="0.2">
      <c r="A287" s="114" t="s">
        <v>51</v>
      </c>
    </row>
    <row r="288" spans="1:11" x14ac:dyDescent="0.2">
      <c r="A288" s="371">
        <v>1976</v>
      </c>
      <c r="B288" s="74" t="str">
        <f t="shared" ref="B288:K288" si="27">IF(AND(B6="-",B241="-"),"-",SUM(B6,B241))</f>
        <v>-</v>
      </c>
      <c r="C288" s="74">
        <f t="shared" si="27"/>
        <v>0</v>
      </c>
      <c r="D288" s="74">
        <f t="shared" si="27"/>
        <v>13072</v>
      </c>
      <c r="E288" s="74">
        <f t="shared" si="27"/>
        <v>75522</v>
      </c>
      <c r="F288" s="74">
        <f t="shared" si="27"/>
        <v>161702</v>
      </c>
      <c r="G288" s="74">
        <f t="shared" si="27"/>
        <v>213944</v>
      </c>
      <c r="H288" s="74">
        <f t="shared" si="27"/>
        <v>65687</v>
      </c>
      <c r="I288" s="74">
        <f t="shared" si="27"/>
        <v>5734</v>
      </c>
      <c r="J288" s="74">
        <f t="shared" si="27"/>
        <v>886</v>
      </c>
      <c r="K288" s="74">
        <f t="shared" si="27"/>
        <v>536547</v>
      </c>
    </row>
    <row r="289" spans="1:11" x14ac:dyDescent="0.2">
      <c r="A289" s="371">
        <v>1977</v>
      </c>
      <c r="B289" s="74" t="str">
        <f t="shared" ref="B289:K289" si="28">IF(AND(B7="-",B242="-"),"-",SUM(B7,B242))</f>
        <v>-</v>
      </c>
      <c r="C289" s="74">
        <f t="shared" si="28"/>
        <v>0</v>
      </c>
      <c r="D289" s="74">
        <f t="shared" si="28"/>
        <v>15756</v>
      </c>
      <c r="E289" s="74">
        <f t="shared" si="28"/>
        <v>48543</v>
      </c>
      <c r="F289" s="74">
        <f t="shared" si="28"/>
        <v>136558</v>
      </c>
      <c r="G289" s="74">
        <f t="shared" si="28"/>
        <v>121284</v>
      </c>
      <c r="H289" s="74">
        <f t="shared" si="28"/>
        <v>33765</v>
      </c>
      <c r="I289" s="74">
        <f t="shared" si="28"/>
        <v>8940</v>
      </c>
      <c r="J289" s="74">
        <f t="shared" si="28"/>
        <v>1129</v>
      </c>
      <c r="K289" s="74">
        <f t="shared" si="28"/>
        <v>365975</v>
      </c>
    </row>
    <row r="290" spans="1:11" x14ac:dyDescent="0.2">
      <c r="A290" s="371">
        <v>1978</v>
      </c>
      <c r="B290" s="74" t="str">
        <f t="shared" ref="B290:K290" si="29">IF(AND(B8="-",B243="-"),"-",SUM(B8,B243))</f>
        <v>-</v>
      </c>
      <c r="C290" s="74">
        <f t="shared" si="29"/>
        <v>0</v>
      </c>
      <c r="D290" s="74">
        <f t="shared" si="29"/>
        <v>12251</v>
      </c>
      <c r="E290" s="74">
        <f t="shared" si="29"/>
        <v>78618</v>
      </c>
      <c r="F290" s="74">
        <f t="shared" si="29"/>
        <v>144430</v>
      </c>
      <c r="G290" s="74">
        <f t="shared" si="29"/>
        <v>115713</v>
      </c>
      <c r="H290" s="74">
        <f t="shared" si="29"/>
        <v>37572</v>
      </c>
      <c r="I290" s="74">
        <f t="shared" si="29"/>
        <v>13294</v>
      </c>
      <c r="J290" s="74">
        <f t="shared" si="29"/>
        <v>1528</v>
      </c>
      <c r="K290" s="74">
        <f t="shared" si="29"/>
        <v>403406</v>
      </c>
    </row>
    <row r="291" spans="1:11" x14ac:dyDescent="0.2">
      <c r="A291" s="371">
        <v>1979</v>
      </c>
      <c r="B291" s="74" t="str">
        <f t="shared" ref="B291:K291" si="30">IF(AND(B9="-",B244="-"),"-",SUM(B9,B244))</f>
        <v>-</v>
      </c>
      <c r="C291" s="74" t="str">
        <f t="shared" si="30"/>
        <v>-</v>
      </c>
      <c r="D291" s="74">
        <f t="shared" si="30"/>
        <v>8891</v>
      </c>
      <c r="E291" s="74">
        <f t="shared" si="30"/>
        <v>42790</v>
      </c>
      <c r="F291" s="74">
        <f t="shared" si="30"/>
        <v>129730</v>
      </c>
      <c r="G291" s="74">
        <f t="shared" si="30"/>
        <v>106688</v>
      </c>
      <c r="H291" s="74">
        <f t="shared" si="30"/>
        <v>7284</v>
      </c>
      <c r="I291" s="74">
        <f t="shared" si="30"/>
        <v>5025</v>
      </c>
      <c r="J291" s="74">
        <f t="shared" si="30"/>
        <v>935</v>
      </c>
      <c r="K291" s="74">
        <f t="shared" si="30"/>
        <v>301343</v>
      </c>
    </row>
    <row r="292" spans="1:11" x14ac:dyDescent="0.2">
      <c r="A292" s="371">
        <v>1980</v>
      </c>
      <c r="B292" s="74" t="str">
        <f t="shared" ref="B292:K292" si="31">IF(AND(B10="-",B245="-"),"-",SUM(B10,B245))</f>
        <v>-</v>
      </c>
      <c r="C292" s="74" t="str">
        <f t="shared" si="31"/>
        <v>-</v>
      </c>
      <c r="D292" s="74">
        <f t="shared" si="31"/>
        <v>5857</v>
      </c>
      <c r="E292" s="74">
        <f t="shared" si="31"/>
        <v>78432</v>
      </c>
      <c r="F292" s="74">
        <f t="shared" si="31"/>
        <v>140040</v>
      </c>
      <c r="G292" s="74">
        <f t="shared" si="31"/>
        <v>84746</v>
      </c>
      <c r="H292" s="74">
        <f t="shared" si="31"/>
        <v>19056</v>
      </c>
      <c r="I292" s="74">
        <f t="shared" si="31"/>
        <v>2900</v>
      </c>
      <c r="J292" s="74">
        <f t="shared" si="31"/>
        <v>412</v>
      </c>
      <c r="K292" s="74">
        <f t="shared" si="31"/>
        <v>331443</v>
      </c>
    </row>
    <row r="293" spans="1:11" x14ac:dyDescent="0.2">
      <c r="A293" s="371">
        <v>1981</v>
      </c>
      <c r="B293" s="74" t="str">
        <f t="shared" ref="B293:K293" si="32">IF(AND(B11="-",B246="-"),"-",SUM(B11,B246))</f>
        <v>-</v>
      </c>
      <c r="C293" s="74" t="str">
        <f t="shared" si="32"/>
        <v>-</v>
      </c>
      <c r="D293" s="74">
        <f t="shared" si="32"/>
        <v>13847</v>
      </c>
      <c r="E293" s="74">
        <f t="shared" si="32"/>
        <v>45670</v>
      </c>
      <c r="F293" s="74">
        <f t="shared" si="32"/>
        <v>112190</v>
      </c>
      <c r="G293" s="74">
        <f t="shared" si="32"/>
        <v>110318</v>
      </c>
      <c r="H293" s="74">
        <f t="shared" si="32"/>
        <v>26365</v>
      </c>
      <c r="I293" s="74">
        <f t="shared" si="32"/>
        <v>2324</v>
      </c>
      <c r="J293" s="74">
        <f t="shared" si="32"/>
        <v>313</v>
      </c>
      <c r="K293" s="74">
        <f t="shared" si="32"/>
        <v>311027</v>
      </c>
    </row>
    <row r="294" spans="1:11" x14ac:dyDescent="0.2">
      <c r="A294" s="371">
        <v>1982</v>
      </c>
      <c r="B294" s="74" t="str">
        <f t="shared" ref="B294:K294" si="33">IF(AND(B12="-",B247="-"),"-",SUM(B12,B247))</f>
        <v>-</v>
      </c>
      <c r="C294" s="74" t="str">
        <f t="shared" si="33"/>
        <v>-</v>
      </c>
      <c r="D294" s="74">
        <f t="shared" si="33"/>
        <v>733</v>
      </c>
      <c r="E294" s="74">
        <f t="shared" si="33"/>
        <v>32118</v>
      </c>
      <c r="F294" s="74">
        <f t="shared" si="33"/>
        <v>177079</v>
      </c>
      <c r="G294" s="74">
        <f t="shared" si="33"/>
        <v>10239</v>
      </c>
      <c r="H294" s="74">
        <f t="shared" si="33"/>
        <v>2976</v>
      </c>
      <c r="I294" s="74">
        <f t="shared" si="33"/>
        <v>2606</v>
      </c>
      <c r="J294" s="74">
        <f t="shared" si="33"/>
        <v>278</v>
      </c>
      <c r="K294" s="74">
        <f t="shared" si="33"/>
        <v>226029</v>
      </c>
    </row>
    <row r="295" spans="1:11" x14ac:dyDescent="0.2">
      <c r="A295" s="371">
        <v>1983</v>
      </c>
      <c r="B295" s="74" t="str">
        <f t="shared" ref="B295:K295" si="34">IF(AND(B13="-",B248="-"),"-",SUM(B13,B248))</f>
        <v>-</v>
      </c>
      <c r="C295" s="74" t="str">
        <f t="shared" si="34"/>
        <v>-</v>
      </c>
      <c r="D295" s="74">
        <f t="shared" si="34"/>
        <v>835</v>
      </c>
      <c r="E295" s="74">
        <f t="shared" si="34"/>
        <v>31484</v>
      </c>
      <c r="F295" s="74">
        <f t="shared" si="34"/>
        <v>107962</v>
      </c>
      <c r="G295" s="74">
        <f t="shared" si="34"/>
        <v>55112</v>
      </c>
      <c r="H295" s="74">
        <f t="shared" si="34"/>
        <v>25507</v>
      </c>
      <c r="I295" s="74">
        <f t="shared" si="34"/>
        <v>5024</v>
      </c>
      <c r="J295" s="74">
        <f t="shared" si="34"/>
        <v>98</v>
      </c>
      <c r="K295" s="74">
        <f t="shared" si="34"/>
        <v>226022</v>
      </c>
    </row>
    <row r="296" spans="1:11" x14ac:dyDescent="0.2">
      <c r="A296" s="371">
        <v>1984</v>
      </c>
      <c r="B296" s="74" t="str">
        <f t="shared" ref="B296:I299" si="35">IF(AND(B14="-",B249="-"),"-",SUM(B14,B249))</f>
        <v>-</v>
      </c>
      <c r="C296" s="74" t="str">
        <f t="shared" si="35"/>
        <v>-</v>
      </c>
      <c r="D296" s="74" t="str">
        <f t="shared" si="35"/>
        <v>-</v>
      </c>
      <c r="E296" s="74" t="str">
        <f t="shared" si="35"/>
        <v>-</v>
      </c>
      <c r="F296" s="74">
        <f t="shared" si="35"/>
        <v>74943</v>
      </c>
      <c r="G296" s="74">
        <f t="shared" si="35"/>
        <v>69759</v>
      </c>
      <c r="H296" s="74">
        <f t="shared" si="35"/>
        <v>5266</v>
      </c>
      <c r="I296" s="74">
        <f t="shared" si="35"/>
        <v>3089</v>
      </c>
      <c r="J296" s="74" t="s">
        <v>116</v>
      </c>
      <c r="K296" s="74">
        <f t="shared" ref="K296:K332" si="36">IF(AND(K14="-",K249="-"),"-",SUM(K14,K249))</f>
        <v>153057</v>
      </c>
    </row>
    <row r="297" spans="1:11" x14ac:dyDescent="0.2">
      <c r="A297" s="371">
        <v>1985</v>
      </c>
      <c r="B297" s="74" t="str">
        <f t="shared" si="35"/>
        <v>-</v>
      </c>
      <c r="C297" s="74" t="str">
        <f t="shared" si="35"/>
        <v>-</v>
      </c>
      <c r="D297" s="74">
        <f t="shared" si="35"/>
        <v>4556</v>
      </c>
      <c r="E297" s="74">
        <f t="shared" si="35"/>
        <v>605</v>
      </c>
      <c r="F297" s="74">
        <f t="shared" si="35"/>
        <v>106849</v>
      </c>
      <c r="G297" s="74">
        <f t="shared" si="35"/>
        <v>126240</v>
      </c>
      <c r="H297" s="74">
        <f t="shared" si="35"/>
        <v>7763</v>
      </c>
      <c r="I297" s="74">
        <f t="shared" si="35"/>
        <v>5570</v>
      </c>
      <c r="J297" s="74" t="s">
        <v>116</v>
      </c>
      <c r="K297" s="74">
        <f t="shared" si="36"/>
        <v>251583</v>
      </c>
    </row>
    <row r="298" spans="1:11" x14ac:dyDescent="0.2">
      <c r="A298" s="364">
        <v>1986</v>
      </c>
      <c r="B298" s="74" t="str">
        <f t="shared" si="35"/>
        <v>-</v>
      </c>
      <c r="C298" s="74" t="str">
        <f t="shared" si="35"/>
        <v>-</v>
      </c>
      <c r="D298" s="74">
        <f t="shared" si="35"/>
        <v>5724</v>
      </c>
      <c r="E298" s="74">
        <f t="shared" si="35"/>
        <v>21888</v>
      </c>
      <c r="F298" s="74">
        <f t="shared" si="35"/>
        <v>117697</v>
      </c>
      <c r="G298" s="74">
        <f t="shared" si="35"/>
        <v>36045</v>
      </c>
      <c r="H298" s="74">
        <f t="shared" si="35"/>
        <v>597</v>
      </c>
      <c r="I298" s="74">
        <f t="shared" si="35"/>
        <v>5020</v>
      </c>
      <c r="J298" s="74" t="s">
        <v>116</v>
      </c>
      <c r="K298" s="74">
        <f t="shared" si="36"/>
        <v>186971</v>
      </c>
    </row>
    <row r="299" spans="1:11" x14ac:dyDescent="0.2">
      <c r="A299" s="364">
        <v>1987</v>
      </c>
      <c r="B299" s="74" t="str">
        <f t="shared" si="35"/>
        <v>-</v>
      </c>
      <c r="C299" s="74" t="str">
        <f t="shared" si="35"/>
        <v>-</v>
      </c>
      <c r="D299" s="74">
        <f t="shared" si="35"/>
        <v>2318</v>
      </c>
      <c r="E299" s="74">
        <f t="shared" si="35"/>
        <v>21470</v>
      </c>
      <c r="F299" s="74">
        <f t="shared" si="35"/>
        <v>130482</v>
      </c>
      <c r="G299" s="74">
        <f t="shared" si="35"/>
        <v>70183</v>
      </c>
      <c r="H299" s="74">
        <f t="shared" si="35"/>
        <v>25584</v>
      </c>
      <c r="I299" s="74">
        <f t="shared" si="35"/>
        <v>5040</v>
      </c>
      <c r="J299" s="74" t="s">
        <v>116</v>
      </c>
      <c r="K299" s="74">
        <f t="shared" si="36"/>
        <v>255077</v>
      </c>
    </row>
    <row r="300" spans="1:11" x14ac:dyDescent="0.2">
      <c r="A300" s="364">
        <v>1988</v>
      </c>
      <c r="B300" s="74" t="str">
        <f t="shared" ref="B300:H309" si="37">IF(AND(B18="-",B253="-"),"-",SUM(B18,B253))</f>
        <v>-</v>
      </c>
      <c r="C300" s="74" t="str">
        <f t="shared" si="37"/>
        <v>-</v>
      </c>
      <c r="D300" s="74">
        <f t="shared" si="37"/>
        <v>3439</v>
      </c>
      <c r="E300" s="74">
        <f t="shared" si="37"/>
        <v>33187</v>
      </c>
      <c r="F300" s="74">
        <f t="shared" si="37"/>
        <v>111457</v>
      </c>
      <c r="G300" s="74">
        <f t="shared" si="37"/>
        <v>80374</v>
      </c>
      <c r="H300" s="74">
        <f t="shared" si="37"/>
        <v>22118</v>
      </c>
      <c r="I300" s="74" t="s">
        <v>116</v>
      </c>
      <c r="J300" s="74" t="s">
        <v>116</v>
      </c>
      <c r="K300" s="74">
        <f t="shared" si="36"/>
        <v>250575</v>
      </c>
    </row>
    <row r="301" spans="1:11" x14ac:dyDescent="0.2">
      <c r="A301" s="364">
        <v>1989</v>
      </c>
      <c r="B301" s="74" t="str">
        <f t="shared" si="37"/>
        <v>-</v>
      </c>
      <c r="C301" s="74" t="str">
        <f t="shared" si="37"/>
        <v>-</v>
      </c>
      <c r="D301" s="74">
        <f t="shared" si="37"/>
        <v>5258</v>
      </c>
      <c r="E301" s="74">
        <f t="shared" si="37"/>
        <v>53455</v>
      </c>
      <c r="F301" s="74">
        <f t="shared" si="37"/>
        <v>122550</v>
      </c>
      <c r="G301" s="74">
        <f t="shared" si="37"/>
        <v>79692</v>
      </c>
      <c r="H301" s="74">
        <f t="shared" si="37"/>
        <v>5672</v>
      </c>
      <c r="I301" s="74" t="s">
        <v>116</v>
      </c>
      <c r="J301" s="74" t="s">
        <v>116</v>
      </c>
      <c r="K301" s="74">
        <f t="shared" si="36"/>
        <v>266627</v>
      </c>
    </row>
    <row r="302" spans="1:11" x14ac:dyDescent="0.2">
      <c r="A302" s="364">
        <v>1990</v>
      </c>
      <c r="B302" s="74" t="str">
        <f t="shared" si="37"/>
        <v>-</v>
      </c>
      <c r="C302" s="74" t="str">
        <f t="shared" si="37"/>
        <v>-</v>
      </c>
      <c r="D302" s="74">
        <f t="shared" si="37"/>
        <v>2753</v>
      </c>
      <c r="E302" s="74">
        <f t="shared" si="37"/>
        <v>31959</v>
      </c>
      <c r="F302" s="74">
        <f t="shared" si="37"/>
        <v>98724</v>
      </c>
      <c r="G302" s="74">
        <f t="shared" si="37"/>
        <v>94318</v>
      </c>
      <c r="H302" s="74">
        <f t="shared" si="37"/>
        <v>18801</v>
      </c>
      <c r="I302" s="74" t="s">
        <v>116</v>
      </c>
      <c r="J302" s="74" t="str">
        <f>IF(AND(J20="-",J255="-"),"-",SUM(J20,J255))</f>
        <v>-</v>
      </c>
      <c r="K302" s="74">
        <f t="shared" si="36"/>
        <v>246555</v>
      </c>
    </row>
    <row r="303" spans="1:11" x14ac:dyDescent="0.2">
      <c r="A303" s="364">
        <v>1991</v>
      </c>
      <c r="B303" s="74" t="str">
        <f t="shared" si="37"/>
        <v>-</v>
      </c>
      <c r="C303" s="74" t="str">
        <f t="shared" si="37"/>
        <v>-</v>
      </c>
      <c r="D303" s="74">
        <f t="shared" si="37"/>
        <v>3398</v>
      </c>
      <c r="E303" s="74">
        <f t="shared" si="37"/>
        <v>46184</v>
      </c>
      <c r="F303" s="74">
        <f t="shared" si="37"/>
        <v>123369</v>
      </c>
      <c r="G303" s="74">
        <f t="shared" si="37"/>
        <v>11333</v>
      </c>
      <c r="H303" s="74">
        <f t="shared" si="37"/>
        <v>5774</v>
      </c>
      <c r="I303" s="74" t="s">
        <v>116</v>
      </c>
      <c r="J303" s="74" t="str">
        <f>IF(AND(J21="-",J256="-"),"-",SUM(J21,J256))</f>
        <v>-</v>
      </c>
      <c r="K303" s="74">
        <f t="shared" si="36"/>
        <v>190058</v>
      </c>
    </row>
    <row r="304" spans="1:11" x14ac:dyDescent="0.2">
      <c r="A304" s="364">
        <v>1992</v>
      </c>
      <c r="B304" s="74" t="str">
        <f t="shared" si="37"/>
        <v>-</v>
      </c>
      <c r="C304" s="74" t="str">
        <f t="shared" si="37"/>
        <v>-</v>
      </c>
      <c r="D304" s="74">
        <f t="shared" si="37"/>
        <v>3692</v>
      </c>
      <c r="E304" s="74">
        <f t="shared" si="37"/>
        <v>19921</v>
      </c>
      <c r="F304" s="74">
        <f t="shared" si="37"/>
        <v>86880</v>
      </c>
      <c r="G304" s="74">
        <f t="shared" si="37"/>
        <v>36288</v>
      </c>
      <c r="H304" s="74">
        <f t="shared" si="37"/>
        <v>14674</v>
      </c>
      <c r="I304" s="74">
        <f>IF(AND(I22="-",I257="-"),"-",SUM(I22,I257))</f>
        <v>3862</v>
      </c>
      <c r="J304" s="74" t="str">
        <f>IF(AND(J22="-",J257="-"),"-",SUM(J22,J257))</f>
        <v>-</v>
      </c>
      <c r="K304" s="74">
        <f t="shared" si="36"/>
        <v>165317</v>
      </c>
    </row>
    <row r="305" spans="1:11" x14ac:dyDescent="0.2">
      <c r="A305" s="364">
        <v>1993</v>
      </c>
      <c r="B305" s="74" t="str">
        <f t="shared" si="37"/>
        <v>-</v>
      </c>
      <c r="C305" s="74" t="str">
        <f t="shared" si="37"/>
        <v>-</v>
      </c>
      <c r="D305" s="74">
        <f t="shared" si="37"/>
        <v>3039</v>
      </c>
      <c r="E305" s="74">
        <f t="shared" si="37"/>
        <v>6021</v>
      </c>
      <c r="F305" s="74">
        <f t="shared" si="37"/>
        <v>36965</v>
      </c>
      <c r="G305" s="74">
        <f t="shared" si="37"/>
        <v>26522</v>
      </c>
      <c r="H305" s="74">
        <f t="shared" si="37"/>
        <v>7065</v>
      </c>
      <c r="I305" s="74" t="s">
        <v>116</v>
      </c>
      <c r="J305" s="74" t="s">
        <v>116</v>
      </c>
      <c r="K305" s="74">
        <f t="shared" si="36"/>
        <v>79612</v>
      </c>
    </row>
    <row r="306" spans="1:11" x14ac:dyDescent="0.2">
      <c r="A306" s="364">
        <v>1994</v>
      </c>
      <c r="B306" s="74" t="str">
        <f t="shared" si="37"/>
        <v>-</v>
      </c>
      <c r="C306" s="74" t="str">
        <f t="shared" si="37"/>
        <v>-</v>
      </c>
      <c r="D306" s="74">
        <f t="shared" si="37"/>
        <v>7238</v>
      </c>
      <c r="E306" s="74">
        <f t="shared" si="37"/>
        <v>2392</v>
      </c>
      <c r="F306" s="74" t="str">
        <f t="shared" si="37"/>
        <v>-</v>
      </c>
      <c r="G306" s="74">
        <f t="shared" si="37"/>
        <v>1383</v>
      </c>
      <c r="H306" s="74">
        <f t="shared" si="37"/>
        <v>2910</v>
      </c>
      <c r="I306" s="74">
        <f>IF(AND(I24="-",I259="-"),"-",SUM(I24,I259))</f>
        <v>12971</v>
      </c>
      <c r="J306" s="74">
        <f>IF(AND(J24="-",J259="-"),"-",SUM(J24,J259))</f>
        <v>3</v>
      </c>
      <c r="K306" s="74">
        <f t="shared" si="36"/>
        <v>26897</v>
      </c>
    </row>
    <row r="307" spans="1:11" x14ac:dyDescent="0.2">
      <c r="A307" s="364">
        <v>1995</v>
      </c>
      <c r="B307" s="74" t="str">
        <f t="shared" si="37"/>
        <v>-</v>
      </c>
      <c r="C307" s="74" t="str">
        <f t="shared" si="37"/>
        <v>-</v>
      </c>
      <c r="D307" s="74">
        <f t="shared" si="37"/>
        <v>3183</v>
      </c>
      <c r="E307" s="74">
        <f t="shared" si="37"/>
        <v>7051</v>
      </c>
      <c r="F307" s="74">
        <f t="shared" si="37"/>
        <v>2275</v>
      </c>
      <c r="G307" s="74">
        <f t="shared" si="37"/>
        <v>9633</v>
      </c>
      <c r="H307" s="74">
        <f t="shared" si="37"/>
        <v>8364</v>
      </c>
      <c r="I307" s="74">
        <f>IF(AND(I25="-",I260="-"),"-",SUM(I25,I260))</f>
        <v>4556</v>
      </c>
      <c r="J307" s="74">
        <f>IF(AND(J25="-",J260="-"),"-",SUM(J25,J260))</f>
        <v>788</v>
      </c>
      <c r="K307" s="74">
        <f t="shared" si="36"/>
        <v>35850</v>
      </c>
    </row>
    <row r="308" spans="1:11" x14ac:dyDescent="0.2">
      <c r="A308" s="364">
        <v>1996</v>
      </c>
      <c r="B308" s="74" t="str">
        <f t="shared" si="37"/>
        <v>-</v>
      </c>
      <c r="C308" s="74" t="str">
        <f t="shared" si="37"/>
        <v>-</v>
      </c>
      <c r="D308" s="74">
        <f t="shared" si="37"/>
        <v>2958</v>
      </c>
      <c r="E308" s="74">
        <f t="shared" si="37"/>
        <v>6839</v>
      </c>
      <c r="F308" s="74">
        <f t="shared" si="37"/>
        <v>3811</v>
      </c>
      <c r="G308" s="74">
        <f t="shared" si="37"/>
        <v>13936</v>
      </c>
      <c r="H308" s="74">
        <f t="shared" si="37"/>
        <v>8881</v>
      </c>
      <c r="I308" s="74">
        <f t="shared" ref="I308:I330" si="38">IF(AND(I26="-",I261="-"),"-",SUM(I26,I261))</f>
        <v>7537</v>
      </c>
      <c r="J308" s="74" t="s">
        <v>116</v>
      </c>
      <c r="K308" s="74">
        <f t="shared" si="36"/>
        <v>43962</v>
      </c>
    </row>
    <row r="309" spans="1:11" x14ac:dyDescent="0.2">
      <c r="A309" s="364">
        <v>1997</v>
      </c>
      <c r="B309" s="74" t="str">
        <f t="shared" si="37"/>
        <v>-</v>
      </c>
      <c r="C309" s="74">
        <f t="shared" si="37"/>
        <v>29</v>
      </c>
      <c r="D309" s="74">
        <f t="shared" si="37"/>
        <v>2916</v>
      </c>
      <c r="E309" s="74">
        <f t="shared" si="37"/>
        <v>4228</v>
      </c>
      <c r="F309" s="74">
        <f t="shared" si="37"/>
        <v>6537</v>
      </c>
      <c r="G309" s="74">
        <f t="shared" si="37"/>
        <v>10335</v>
      </c>
      <c r="H309" s="74">
        <f t="shared" si="37"/>
        <v>3161</v>
      </c>
      <c r="I309" s="74">
        <f t="shared" si="38"/>
        <v>2942</v>
      </c>
      <c r="J309" s="74" t="s">
        <v>116</v>
      </c>
      <c r="K309" s="74">
        <f t="shared" si="36"/>
        <v>30148</v>
      </c>
    </row>
    <row r="310" spans="1:11" x14ac:dyDescent="0.2">
      <c r="A310" s="364">
        <v>1998</v>
      </c>
      <c r="B310" s="74" t="str">
        <f t="shared" ref="B310:H319" si="39">IF(AND(B28="-",B263="-"),"-",SUM(B28,B263))</f>
        <v>-</v>
      </c>
      <c r="C310" s="74">
        <f t="shared" si="39"/>
        <v>0</v>
      </c>
      <c r="D310" s="74">
        <f t="shared" si="39"/>
        <v>2061</v>
      </c>
      <c r="E310" s="74">
        <f t="shared" si="39"/>
        <v>2387</v>
      </c>
      <c r="F310" s="74">
        <f t="shared" si="39"/>
        <v>1921</v>
      </c>
      <c r="G310" s="74">
        <f t="shared" si="39"/>
        <v>9090</v>
      </c>
      <c r="H310" s="74">
        <f t="shared" si="39"/>
        <v>4828</v>
      </c>
      <c r="I310" s="74">
        <f t="shared" si="38"/>
        <v>5667</v>
      </c>
      <c r="J310" s="74" t="s">
        <v>116</v>
      </c>
      <c r="K310" s="74">
        <f t="shared" si="36"/>
        <v>25954</v>
      </c>
    </row>
    <row r="311" spans="1:11" x14ac:dyDescent="0.2">
      <c r="A311" s="364">
        <v>1999</v>
      </c>
      <c r="B311" s="74" t="str">
        <f t="shared" si="39"/>
        <v>-</v>
      </c>
      <c r="C311" s="74">
        <f t="shared" si="39"/>
        <v>12</v>
      </c>
      <c r="D311" s="74">
        <f t="shared" si="39"/>
        <v>814</v>
      </c>
      <c r="E311" s="74">
        <f t="shared" si="39"/>
        <v>1719</v>
      </c>
      <c r="F311" s="74">
        <f t="shared" si="39"/>
        <v>20171</v>
      </c>
      <c r="G311" s="74">
        <f t="shared" si="39"/>
        <v>12415</v>
      </c>
      <c r="H311" s="74">
        <f t="shared" si="39"/>
        <v>8371</v>
      </c>
      <c r="I311" s="74">
        <f t="shared" si="38"/>
        <v>5813</v>
      </c>
      <c r="J311" s="74">
        <f t="shared" ref="J311:J319" si="40">IF(AND(J29="-",J264="-"),"-",SUM(J29,J264))</f>
        <v>104</v>
      </c>
      <c r="K311" s="74">
        <f t="shared" si="36"/>
        <v>49419</v>
      </c>
    </row>
    <row r="312" spans="1:11" x14ac:dyDescent="0.2">
      <c r="A312" s="364">
        <v>2000</v>
      </c>
      <c r="B312" s="74" t="str">
        <f t="shared" si="39"/>
        <v>-</v>
      </c>
      <c r="C312" s="74">
        <f t="shared" si="39"/>
        <v>26</v>
      </c>
      <c r="D312" s="74">
        <f t="shared" si="39"/>
        <v>676</v>
      </c>
      <c r="E312" s="74">
        <f t="shared" si="39"/>
        <v>2917</v>
      </c>
      <c r="F312" s="74">
        <f t="shared" si="39"/>
        <v>37002</v>
      </c>
      <c r="G312" s="74">
        <f t="shared" si="39"/>
        <v>24875</v>
      </c>
      <c r="H312" s="74">
        <f t="shared" si="39"/>
        <v>6295</v>
      </c>
      <c r="I312" s="74">
        <f t="shared" si="38"/>
        <v>6537</v>
      </c>
      <c r="J312" s="74">
        <f t="shared" si="40"/>
        <v>235</v>
      </c>
      <c r="K312" s="74">
        <f t="shared" si="36"/>
        <v>78563</v>
      </c>
    </row>
    <row r="313" spans="1:11" x14ac:dyDescent="0.2">
      <c r="A313" s="364">
        <v>2001</v>
      </c>
      <c r="B313" s="74" t="str">
        <f t="shared" si="39"/>
        <v>-</v>
      </c>
      <c r="C313" s="74">
        <f t="shared" si="39"/>
        <v>0</v>
      </c>
      <c r="D313" s="74">
        <f t="shared" si="39"/>
        <v>5016</v>
      </c>
      <c r="E313" s="74">
        <f t="shared" si="39"/>
        <v>21671</v>
      </c>
      <c r="F313" s="74">
        <f t="shared" si="39"/>
        <v>48372</v>
      </c>
      <c r="G313" s="74">
        <f t="shared" si="39"/>
        <v>31609</v>
      </c>
      <c r="H313" s="74">
        <f t="shared" si="39"/>
        <v>7037</v>
      </c>
      <c r="I313" s="74">
        <f t="shared" si="38"/>
        <v>6594</v>
      </c>
      <c r="J313" s="74">
        <f t="shared" si="40"/>
        <v>162</v>
      </c>
      <c r="K313" s="74">
        <f t="shared" si="36"/>
        <v>120461</v>
      </c>
    </row>
    <row r="314" spans="1:11" x14ac:dyDescent="0.2">
      <c r="A314" s="364">
        <v>2002</v>
      </c>
      <c r="B314" s="74" t="str">
        <f t="shared" si="39"/>
        <v>-</v>
      </c>
      <c r="C314" s="74">
        <f t="shared" si="39"/>
        <v>275</v>
      </c>
      <c r="D314" s="74">
        <f t="shared" si="39"/>
        <v>3217</v>
      </c>
      <c r="E314" s="74">
        <f t="shared" si="39"/>
        <v>10601</v>
      </c>
      <c r="F314" s="74">
        <f t="shared" si="39"/>
        <v>41175</v>
      </c>
      <c r="G314" s="74">
        <f t="shared" si="39"/>
        <v>26218</v>
      </c>
      <c r="H314" s="74">
        <f t="shared" si="39"/>
        <v>14233</v>
      </c>
      <c r="I314" s="74">
        <f t="shared" si="38"/>
        <v>11872</v>
      </c>
      <c r="J314" s="74">
        <f t="shared" si="40"/>
        <v>50</v>
      </c>
      <c r="K314" s="74">
        <f t="shared" si="36"/>
        <v>107641</v>
      </c>
    </row>
    <row r="315" spans="1:11" x14ac:dyDescent="0.2">
      <c r="A315" s="118">
        <v>2003</v>
      </c>
      <c r="B315" s="74">
        <f t="shared" si="39"/>
        <v>81</v>
      </c>
      <c r="C315" s="74">
        <f t="shared" si="39"/>
        <v>139</v>
      </c>
      <c r="D315" s="74">
        <f t="shared" si="39"/>
        <v>2819</v>
      </c>
      <c r="E315" s="74">
        <f t="shared" si="39"/>
        <v>12515</v>
      </c>
      <c r="F315" s="74">
        <f t="shared" si="39"/>
        <v>63300</v>
      </c>
      <c r="G315" s="74">
        <f t="shared" si="39"/>
        <v>47700</v>
      </c>
      <c r="H315" s="74">
        <f t="shared" si="39"/>
        <v>11209</v>
      </c>
      <c r="I315" s="74">
        <f t="shared" si="38"/>
        <v>6265</v>
      </c>
      <c r="J315" s="74">
        <f t="shared" si="40"/>
        <v>395</v>
      </c>
      <c r="K315" s="74">
        <f t="shared" si="36"/>
        <v>144423</v>
      </c>
    </row>
    <row r="316" spans="1:11" x14ac:dyDescent="0.2">
      <c r="A316" s="118">
        <v>2004</v>
      </c>
      <c r="B316" s="74">
        <f t="shared" si="39"/>
        <v>78</v>
      </c>
      <c r="C316" s="74">
        <f t="shared" si="39"/>
        <v>238</v>
      </c>
      <c r="D316" s="74">
        <f t="shared" si="39"/>
        <v>2722</v>
      </c>
      <c r="E316" s="74">
        <f t="shared" si="39"/>
        <v>18571</v>
      </c>
      <c r="F316" s="74">
        <f t="shared" si="39"/>
        <v>57622</v>
      </c>
      <c r="G316" s="74">
        <f t="shared" si="39"/>
        <v>44459</v>
      </c>
      <c r="H316" s="74">
        <f t="shared" si="39"/>
        <v>17052</v>
      </c>
      <c r="I316" s="74">
        <f t="shared" si="38"/>
        <v>4669</v>
      </c>
      <c r="J316" s="74">
        <f t="shared" si="40"/>
        <v>291</v>
      </c>
      <c r="K316" s="74">
        <f t="shared" si="36"/>
        <v>145702</v>
      </c>
    </row>
    <row r="317" spans="1:11" x14ac:dyDescent="0.2">
      <c r="A317" s="118">
        <v>2005</v>
      </c>
      <c r="B317" s="74">
        <f t="shared" si="39"/>
        <v>30</v>
      </c>
      <c r="C317" s="74">
        <f t="shared" si="39"/>
        <v>406</v>
      </c>
      <c r="D317" s="74">
        <f t="shared" si="39"/>
        <v>1995</v>
      </c>
      <c r="E317" s="74">
        <f t="shared" si="39"/>
        <v>16108</v>
      </c>
      <c r="F317" s="74">
        <f t="shared" si="39"/>
        <v>16346</v>
      </c>
      <c r="G317" s="74">
        <f t="shared" si="39"/>
        <v>20715</v>
      </c>
      <c r="H317" s="74">
        <f t="shared" si="39"/>
        <v>17211</v>
      </c>
      <c r="I317" s="74">
        <f t="shared" si="38"/>
        <v>3176</v>
      </c>
      <c r="J317" s="74">
        <f t="shared" si="40"/>
        <v>12</v>
      </c>
      <c r="K317" s="74">
        <f t="shared" si="36"/>
        <v>75999</v>
      </c>
    </row>
    <row r="318" spans="1:11" x14ac:dyDescent="0.2">
      <c r="A318" s="118">
        <v>2006</v>
      </c>
      <c r="B318" s="74">
        <f t="shared" si="39"/>
        <v>24</v>
      </c>
      <c r="C318" s="74">
        <f t="shared" si="39"/>
        <v>92</v>
      </c>
      <c r="D318" s="74">
        <f t="shared" si="39"/>
        <v>1414</v>
      </c>
      <c r="E318" s="74">
        <f t="shared" si="39"/>
        <v>7575</v>
      </c>
      <c r="F318" s="74">
        <f t="shared" si="39"/>
        <v>20761</v>
      </c>
      <c r="G318" s="74">
        <f t="shared" si="39"/>
        <v>9586</v>
      </c>
      <c r="H318" s="74">
        <f t="shared" si="39"/>
        <v>14322</v>
      </c>
      <c r="I318" s="74">
        <f t="shared" si="38"/>
        <v>8449</v>
      </c>
      <c r="J318" s="74">
        <f t="shared" si="40"/>
        <v>98</v>
      </c>
      <c r="K318" s="74">
        <f t="shared" si="36"/>
        <v>62321</v>
      </c>
    </row>
    <row r="319" spans="1:11" s="366" customFormat="1" x14ac:dyDescent="0.2">
      <c r="A319" s="118">
        <v>2007</v>
      </c>
      <c r="B319" s="73">
        <f t="shared" si="39"/>
        <v>36</v>
      </c>
      <c r="C319" s="73">
        <f t="shared" si="39"/>
        <v>75</v>
      </c>
      <c r="D319" s="73">
        <f t="shared" si="39"/>
        <v>1576</v>
      </c>
      <c r="E319" s="73">
        <f t="shared" si="39"/>
        <v>8580</v>
      </c>
      <c r="F319" s="73">
        <f t="shared" si="39"/>
        <v>26215</v>
      </c>
      <c r="G319" s="73">
        <f t="shared" si="39"/>
        <v>39498</v>
      </c>
      <c r="H319" s="73">
        <f t="shared" si="39"/>
        <v>6640</v>
      </c>
      <c r="I319" s="73">
        <f t="shared" si="38"/>
        <v>5604</v>
      </c>
      <c r="J319" s="74">
        <f t="shared" si="40"/>
        <v>40</v>
      </c>
      <c r="K319" s="73">
        <f t="shared" si="36"/>
        <v>88264</v>
      </c>
    </row>
    <row r="320" spans="1:11" s="366" customFormat="1" x14ac:dyDescent="0.2">
      <c r="A320" s="118">
        <v>2008</v>
      </c>
      <c r="B320" s="73" t="str">
        <f t="shared" ref="B320:H329" si="41">IF(AND(B38="-",B273="-"),"-",SUM(B38,B273))</f>
        <v>-</v>
      </c>
      <c r="C320" s="73" t="str">
        <f t="shared" si="41"/>
        <v>-</v>
      </c>
      <c r="D320" s="73">
        <f t="shared" si="41"/>
        <v>66</v>
      </c>
      <c r="E320" s="73">
        <f t="shared" si="41"/>
        <v>4463</v>
      </c>
      <c r="F320" s="73">
        <f t="shared" si="41"/>
        <v>11873</v>
      </c>
      <c r="G320" s="73">
        <f t="shared" si="41"/>
        <v>6968</v>
      </c>
      <c r="H320" s="73">
        <f t="shared" si="41"/>
        <v>3635</v>
      </c>
      <c r="I320" s="73">
        <f t="shared" si="38"/>
        <v>3413</v>
      </c>
      <c r="J320" s="167" t="s">
        <v>116</v>
      </c>
      <c r="K320" s="73">
        <f t="shared" si="36"/>
        <v>30418</v>
      </c>
    </row>
    <row r="321" spans="1:11" s="366" customFormat="1" x14ac:dyDescent="0.2">
      <c r="A321" s="118">
        <v>2009</v>
      </c>
      <c r="B321" s="73" t="str">
        <f t="shared" si="41"/>
        <v>-</v>
      </c>
      <c r="C321" s="73" t="str">
        <f t="shared" si="41"/>
        <v>-</v>
      </c>
      <c r="D321" s="73" t="str">
        <f t="shared" si="41"/>
        <v>-</v>
      </c>
      <c r="E321" s="73">
        <f t="shared" si="41"/>
        <v>4497</v>
      </c>
      <c r="F321" s="73">
        <f t="shared" si="41"/>
        <v>41039</v>
      </c>
      <c r="G321" s="73">
        <f t="shared" si="41"/>
        <v>30280</v>
      </c>
      <c r="H321" s="73">
        <f t="shared" si="41"/>
        <v>6693</v>
      </c>
      <c r="I321" s="73">
        <f t="shared" si="38"/>
        <v>2009</v>
      </c>
      <c r="J321" s="167" t="s">
        <v>116</v>
      </c>
      <c r="K321" s="73">
        <f t="shared" si="36"/>
        <v>84518</v>
      </c>
    </row>
    <row r="322" spans="1:11" s="366" customFormat="1" x14ac:dyDescent="0.2">
      <c r="A322" s="118">
        <v>2010</v>
      </c>
      <c r="B322" s="73" t="str">
        <f t="shared" si="41"/>
        <v>-</v>
      </c>
      <c r="C322" s="73" t="str">
        <f t="shared" si="41"/>
        <v>-</v>
      </c>
      <c r="D322" s="73">
        <f t="shared" si="41"/>
        <v>992</v>
      </c>
      <c r="E322" s="73">
        <f t="shared" si="41"/>
        <v>3361</v>
      </c>
      <c r="F322" s="73">
        <f t="shared" si="41"/>
        <v>11662</v>
      </c>
      <c r="G322" s="73">
        <f t="shared" si="41"/>
        <v>24409</v>
      </c>
      <c r="H322" s="73">
        <f t="shared" si="41"/>
        <v>9577</v>
      </c>
      <c r="I322" s="73">
        <f t="shared" si="38"/>
        <v>3318</v>
      </c>
      <c r="J322" s="167" t="s">
        <v>116</v>
      </c>
      <c r="K322" s="73">
        <f t="shared" si="36"/>
        <v>53319</v>
      </c>
    </row>
    <row r="323" spans="1:11" s="366" customFormat="1" x14ac:dyDescent="0.2">
      <c r="A323" s="118">
        <v>2011</v>
      </c>
      <c r="B323" s="73">
        <f t="shared" si="41"/>
        <v>22</v>
      </c>
      <c r="C323" s="73">
        <f t="shared" si="41"/>
        <v>75</v>
      </c>
      <c r="D323" s="73">
        <f t="shared" si="41"/>
        <v>826</v>
      </c>
      <c r="E323" s="73">
        <f t="shared" si="41"/>
        <v>3720</v>
      </c>
      <c r="F323" s="73">
        <f t="shared" si="41"/>
        <v>12426</v>
      </c>
      <c r="G323" s="73">
        <f t="shared" si="41"/>
        <v>16590</v>
      </c>
      <c r="H323" s="73">
        <f t="shared" si="41"/>
        <v>12084</v>
      </c>
      <c r="I323" s="73">
        <f t="shared" si="38"/>
        <v>2997</v>
      </c>
      <c r="J323" s="73">
        <f>IF(AND(J41="-",J276="-"),"-",SUM(J41,J276))</f>
        <v>16</v>
      </c>
      <c r="K323" s="73">
        <f t="shared" si="36"/>
        <v>48756</v>
      </c>
    </row>
    <row r="324" spans="1:11" s="366" customFormat="1" x14ac:dyDescent="0.2">
      <c r="A324" s="118">
        <v>2012</v>
      </c>
      <c r="B324" s="73">
        <f t="shared" si="41"/>
        <v>23</v>
      </c>
      <c r="C324" s="73">
        <f t="shared" si="41"/>
        <v>380</v>
      </c>
      <c r="D324" s="73">
        <f t="shared" si="41"/>
        <v>2106</v>
      </c>
      <c r="E324" s="73">
        <f t="shared" si="41"/>
        <v>6441</v>
      </c>
      <c r="F324" s="73">
        <f t="shared" si="41"/>
        <v>16342</v>
      </c>
      <c r="G324" s="73">
        <f t="shared" si="41"/>
        <v>21295</v>
      </c>
      <c r="H324" s="73">
        <f t="shared" si="41"/>
        <v>15332</v>
      </c>
      <c r="I324" s="73">
        <f t="shared" si="38"/>
        <v>5371</v>
      </c>
      <c r="J324" s="73">
        <f>IF(AND(J42="-",J277="-"),"-",SUM(J42,J277))</f>
        <v>18</v>
      </c>
      <c r="K324" s="73">
        <f t="shared" si="36"/>
        <v>67308</v>
      </c>
    </row>
    <row r="325" spans="1:11" s="366" customFormat="1" x14ac:dyDescent="0.2">
      <c r="A325" s="118">
        <v>2013</v>
      </c>
      <c r="B325" s="73">
        <f t="shared" si="41"/>
        <v>479</v>
      </c>
      <c r="C325" s="73">
        <f t="shared" si="41"/>
        <v>693</v>
      </c>
      <c r="D325" s="73">
        <f t="shared" si="41"/>
        <v>1200</v>
      </c>
      <c r="E325" s="73">
        <f t="shared" si="41"/>
        <v>7822</v>
      </c>
      <c r="F325" s="73">
        <f t="shared" si="41"/>
        <v>19201</v>
      </c>
      <c r="G325" s="73">
        <f t="shared" si="41"/>
        <v>36036</v>
      </c>
      <c r="H325" s="73">
        <f t="shared" si="41"/>
        <v>12343</v>
      </c>
      <c r="I325" s="73">
        <f t="shared" si="38"/>
        <v>7761</v>
      </c>
      <c r="J325" s="167" t="s">
        <v>116</v>
      </c>
      <c r="K325" s="73">
        <f t="shared" si="36"/>
        <v>85535</v>
      </c>
    </row>
    <row r="326" spans="1:11" s="366" customFormat="1" x14ac:dyDescent="0.2">
      <c r="A326" s="118">
        <v>2014</v>
      </c>
      <c r="B326" s="73">
        <f t="shared" si="41"/>
        <v>87</v>
      </c>
      <c r="C326" s="73">
        <f t="shared" si="41"/>
        <v>136</v>
      </c>
      <c r="D326" s="73">
        <f t="shared" si="41"/>
        <v>3714</v>
      </c>
      <c r="E326" s="73">
        <f t="shared" si="41"/>
        <v>7425</v>
      </c>
      <c r="F326" s="73">
        <f t="shared" si="41"/>
        <v>41938</v>
      </c>
      <c r="G326" s="73">
        <f t="shared" si="41"/>
        <v>35865</v>
      </c>
      <c r="H326" s="73">
        <f t="shared" si="41"/>
        <v>26281</v>
      </c>
      <c r="I326" s="73">
        <f t="shared" si="38"/>
        <v>6060</v>
      </c>
      <c r="J326" s="167" t="s">
        <v>116</v>
      </c>
      <c r="K326" s="73">
        <f t="shared" si="36"/>
        <v>121506</v>
      </c>
    </row>
    <row r="327" spans="1:11" s="366" customFormat="1" x14ac:dyDescent="0.2">
      <c r="A327" s="118">
        <v>2015</v>
      </c>
      <c r="B327" s="73">
        <f t="shared" si="41"/>
        <v>60</v>
      </c>
      <c r="C327" s="73">
        <f t="shared" si="41"/>
        <v>152</v>
      </c>
      <c r="D327" s="73">
        <f t="shared" si="41"/>
        <v>1749</v>
      </c>
      <c r="E327" s="73">
        <f t="shared" si="41"/>
        <v>3473</v>
      </c>
      <c r="F327" s="73">
        <f t="shared" si="41"/>
        <v>22240</v>
      </c>
      <c r="G327" s="73">
        <f t="shared" si="41"/>
        <v>11192</v>
      </c>
      <c r="H327" s="73">
        <f t="shared" si="41"/>
        <v>19759</v>
      </c>
      <c r="I327" s="73">
        <f t="shared" si="38"/>
        <v>7414</v>
      </c>
      <c r="J327" s="167" t="s">
        <v>116</v>
      </c>
      <c r="K327" s="73">
        <f t="shared" si="36"/>
        <v>66039</v>
      </c>
    </row>
    <row r="328" spans="1:11" s="366" customFormat="1" x14ac:dyDescent="0.2">
      <c r="A328" s="118">
        <v>2016</v>
      </c>
      <c r="B328" s="73">
        <f t="shared" si="41"/>
        <v>82</v>
      </c>
      <c r="C328" s="73">
        <f t="shared" si="41"/>
        <v>18</v>
      </c>
      <c r="D328" s="73">
        <f t="shared" si="41"/>
        <v>1081</v>
      </c>
      <c r="E328" s="73">
        <f t="shared" si="41"/>
        <v>3266</v>
      </c>
      <c r="F328" s="73">
        <f t="shared" si="41"/>
        <v>9019</v>
      </c>
      <c r="G328" s="73">
        <f t="shared" si="41"/>
        <v>7437</v>
      </c>
      <c r="H328" s="73">
        <f t="shared" si="41"/>
        <v>15477</v>
      </c>
      <c r="I328" s="73">
        <f t="shared" si="38"/>
        <v>2484</v>
      </c>
      <c r="J328" s="167" t="s">
        <v>116</v>
      </c>
      <c r="K328" s="73">
        <f t="shared" si="36"/>
        <v>38864</v>
      </c>
    </row>
    <row r="329" spans="1:11" x14ac:dyDescent="0.2">
      <c r="A329" s="118">
        <v>2017</v>
      </c>
      <c r="B329" s="74">
        <f t="shared" si="41"/>
        <v>17</v>
      </c>
      <c r="C329" s="74">
        <f t="shared" si="41"/>
        <v>60</v>
      </c>
      <c r="D329" s="74">
        <f t="shared" si="41"/>
        <v>500</v>
      </c>
      <c r="E329" s="74">
        <f t="shared" si="41"/>
        <v>2503</v>
      </c>
      <c r="F329" s="74">
        <f t="shared" si="41"/>
        <v>12754</v>
      </c>
      <c r="G329" s="74">
        <f t="shared" si="41"/>
        <v>14667</v>
      </c>
      <c r="H329" s="74">
        <f t="shared" si="41"/>
        <v>9343</v>
      </c>
      <c r="I329" s="74">
        <f t="shared" si="38"/>
        <v>2465</v>
      </c>
      <c r="J329" s="167" t="s">
        <v>116</v>
      </c>
      <c r="K329" s="74">
        <f t="shared" si="36"/>
        <v>42309</v>
      </c>
    </row>
    <row r="330" spans="1:11" s="366" customFormat="1" x14ac:dyDescent="0.2">
      <c r="A330" s="118">
        <v>2018</v>
      </c>
      <c r="B330" s="73">
        <f t="shared" ref="B330:H330" si="42">IF(AND(B48="-",B283="-"),"-",SUM(B48,B283))</f>
        <v>54</v>
      </c>
      <c r="C330" s="73">
        <f t="shared" si="42"/>
        <v>19</v>
      </c>
      <c r="D330" s="73">
        <f t="shared" si="42"/>
        <v>1165</v>
      </c>
      <c r="E330" s="73">
        <f t="shared" si="42"/>
        <v>2560</v>
      </c>
      <c r="F330" s="73">
        <f t="shared" si="42"/>
        <v>12803</v>
      </c>
      <c r="G330" s="355">
        <f t="shared" si="42"/>
        <v>29485</v>
      </c>
      <c r="H330" s="355">
        <f t="shared" si="42"/>
        <v>14744</v>
      </c>
      <c r="I330" s="73">
        <f t="shared" si="38"/>
        <v>3001</v>
      </c>
      <c r="J330" s="167" t="s">
        <v>116</v>
      </c>
      <c r="K330" s="73">
        <f t="shared" si="36"/>
        <v>63831</v>
      </c>
    </row>
    <row r="331" spans="1:11" s="489" customFormat="1" x14ac:dyDescent="0.2">
      <c r="A331" s="118">
        <v>2019</v>
      </c>
      <c r="B331" s="73">
        <f t="shared" ref="B331:I332" si="43">IF(AND(B49="-",B284="-"),"-",SUM(B49,B284))</f>
        <v>43</v>
      </c>
      <c r="C331" s="73">
        <f t="shared" si="43"/>
        <v>8</v>
      </c>
      <c r="D331" s="73">
        <f t="shared" si="43"/>
        <v>542</v>
      </c>
      <c r="E331" s="73">
        <f t="shared" si="43"/>
        <v>8376</v>
      </c>
      <c r="F331" s="73">
        <f t="shared" si="43"/>
        <v>39248</v>
      </c>
      <c r="G331" s="355">
        <f t="shared" si="43"/>
        <v>34389</v>
      </c>
      <c r="H331" s="355">
        <f t="shared" si="43"/>
        <v>10049</v>
      </c>
      <c r="I331" s="73">
        <f t="shared" si="43"/>
        <v>1581</v>
      </c>
      <c r="J331" s="73" t="s">
        <v>29</v>
      </c>
      <c r="K331" s="73">
        <f t="shared" si="36"/>
        <v>94236</v>
      </c>
    </row>
    <row r="332" spans="1:11" x14ac:dyDescent="0.2">
      <c r="A332" s="118" t="s">
        <v>393</v>
      </c>
      <c r="B332" s="74">
        <f t="shared" si="43"/>
        <v>11</v>
      </c>
      <c r="C332" s="74">
        <f t="shared" si="43"/>
        <v>107</v>
      </c>
      <c r="D332" s="74">
        <f t="shared" si="43"/>
        <v>293</v>
      </c>
      <c r="E332" s="74">
        <f t="shared" si="43"/>
        <v>2349</v>
      </c>
      <c r="F332" s="74">
        <f t="shared" si="43"/>
        <v>28626</v>
      </c>
      <c r="G332" s="268">
        <f t="shared" si="43"/>
        <v>12565</v>
      </c>
      <c r="H332" s="268">
        <f t="shared" si="43"/>
        <v>11338</v>
      </c>
      <c r="I332" s="74">
        <f t="shared" si="43"/>
        <v>1712</v>
      </c>
      <c r="J332" s="74" t="s">
        <v>29</v>
      </c>
      <c r="K332" s="74">
        <f t="shared" si="36"/>
        <v>57001</v>
      </c>
    </row>
    <row r="333" spans="1:11" ht="37.5" customHeight="1" x14ac:dyDescent="0.2">
      <c r="A333" s="562" t="s">
        <v>249</v>
      </c>
      <c r="B333" s="562"/>
      <c r="C333" s="562"/>
      <c r="D333" s="562"/>
      <c r="E333" s="562"/>
      <c r="F333" s="562"/>
      <c r="G333" s="562"/>
      <c r="H333" s="562"/>
      <c r="I333" s="562"/>
      <c r="J333" s="562"/>
      <c r="K333" s="562"/>
    </row>
    <row r="334" spans="1:11" x14ac:dyDescent="0.2">
      <c r="A334" s="563" t="s">
        <v>48</v>
      </c>
      <c r="B334" s="563"/>
      <c r="C334" s="563"/>
      <c r="D334" s="563"/>
      <c r="E334" s="563"/>
      <c r="F334" s="563"/>
      <c r="G334" s="563"/>
      <c r="H334" s="563"/>
      <c r="I334" s="563"/>
      <c r="J334" s="563"/>
      <c r="K334" s="563"/>
    </row>
    <row r="335" spans="1:11" x14ac:dyDescent="0.2">
      <c r="A335" s="269"/>
      <c r="B335" s="269"/>
      <c r="C335" s="269"/>
      <c r="D335" s="269"/>
      <c r="E335" s="269"/>
      <c r="F335" s="269"/>
      <c r="G335" s="269"/>
      <c r="H335" s="269"/>
      <c r="I335" s="269"/>
      <c r="J335" s="269"/>
      <c r="K335" s="269"/>
    </row>
    <row r="336" spans="1:11" x14ac:dyDescent="0.2">
      <c r="A336" s="365"/>
      <c r="B336" s="365"/>
      <c r="C336" s="365"/>
      <c r="D336" s="365"/>
      <c r="E336" s="365"/>
      <c r="F336" s="365"/>
      <c r="G336" s="365"/>
      <c r="H336" s="365"/>
      <c r="I336" s="365"/>
      <c r="J336" s="365"/>
      <c r="K336" s="365"/>
    </row>
    <row r="337" spans="1:11" x14ac:dyDescent="0.2">
      <c r="A337" s="365"/>
      <c r="B337" s="365"/>
      <c r="C337" s="365"/>
      <c r="D337" s="365"/>
      <c r="E337" s="365"/>
      <c r="F337" s="365"/>
      <c r="G337" s="365"/>
      <c r="H337" s="365"/>
      <c r="I337" s="365"/>
      <c r="J337" s="365"/>
      <c r="K337" s="365"/>
    </row>
    <row r="338" spans="1:11" x14ac:dyDescent="0.2">
      <c r="A338" s="365"/>
      <c r="B338" s="365"/>
      <c r="C338" s="365"/>
      <c r="D338" s="365"/>
      <c r="E338" s="365"/>
      <c r="F338" s="365"/>
      <c r="G338" s="365"/>
      <c r="H338" s="365"/>
      <c r="I338" s="365"/>
      <c r="J338" s="365"/>
      <c r="K338" s="365"/>
    </row>
    <row r="339" spans="1:11" x14ac:dyDescent="0.2">
      <c r="A339" s="365"/>
      <c r="B339" s="365"/>
      <c r="C339" s="365"/>
      <c r="D339" s="365"/>
      <c r="E339" s="365"/>
      <c r="F339" s="365"/>
      <c r="G339" s="365"/>
      <c r="H339" s="365"/>
      <c r="I339" s="365"/>
      <c r="J339" s="365"/>
      <c r="K339" s="365"/>
    </row>
    <row r="340" spans="1:11" x14ac:dyDescent="0.2">
      <c r="A340" s="269"/>
      <c r="B340" s="269"/>
      <c r="C340" s="269"/>
      <c r="D340" s="269"/>
      <c r="E340" s="269"/>
      <c r="F340" s="269"/>
      <c r="G340" s="269"/>
      <c r="H340" s="269"/>
      <c r="I340" s="269"/>
      <c r="J340" s="269"/>
      <c r="K340" s="269"/>
    </row>
    <row r="347" spans="1:11" ht="12.75" customHeight="1" x14ac:dyDescent="0.2"/>
    <row r="348" spans="1:11" ht="12.75" customHeight="1" x14ac:dyDescent="0.2"/>
    <row r="349" spans="1:11" ht="12.75" customHeight="1" x14ac:dyDescent="0.2"/>
    <row r="359" spans="1:11" s="324" customFormat="1" x14ac:dyDescent="0.2">
      <c r="A359" s="243"/>
      <c r="B359" s="245"/>
      <c r="C359" s="245"/>
      <c r="D359" s="245"/>
      <c r="E359" s="245"/>
      <c r="F359" s="245"/>
      <c r="G359" s="245"/>
      <c r="H359" s="245"/>
      <c r="I359" s="245"/>
      <c r="J359" s="245"/>
      <c r="K359" s="245"/>
    </row>
    <row r="362" spans="1:11" s="326" customFormat="1" x14ac:dyDescent="0.2">
      <c r="A362" s="267"/>
      <c r="B362" s="268"/>
      <c r="C362" s="268"/>
      <c r="D362" s="268"/>
      <c r="E362" s="268"/>
      <c r="F362" s="268"/>
      <c r="G362" s="268"/>
      <c r="H362" s="268"/>
      <c r="I362" s="268"/>
      <c r="J362" s="268"/>
      <c r="K362" s="268"/>
    </row>
    <row r="363" spans="1:11" s="326" customFormat="1" x14ac:dyDescent="0.2">
      <c r="A363" s="267"/>
      <c r="B363" s="268"/>
      <c r="C363" s="268"/>
      <c r="D363" s="268"/>
      <c r="E363" s="268"/>
      <c r="F363" s="268"/>
      <c r="G363" s="268"/>
      <c r="H363" s="268"/>
      <c r="I363" s="268"/>
      <c r="J363" s="268"/>
      <c r="K363" s="268"/>
    </row>
    <row r="364" spans="1:11" s="326" customFormat="1" x14ac:dyDescent="0.2">
      <c r="A364" s="267"/>
      <c r="B364" s="268"/>
      <c r="C364" s="268"/>
      <c r="D364" s="268"/>
      <c r="E364" s="268"/>
      <c r="F364" s="268"/>
      <c r="G364" s="268"/>
      <c r="H364" s="268"/>
      <c r="I364" s="268"/>
      <c r="J364" s="268"/>
      <c r="K364" s="268"/>
    </row>
    <row r="371" spans="1:18" ht="11.25" customHeight="1" x14ac:dyDescent="0.2"/>
    <row r="372" spans="1:18" ht="11.25" customHeight="1" x14ac:dyDescent="0.2">
      <c r="L372" s="17"/>
      <c r="M372" s="17"/>
      <c r="N372" s="17"/>
      <c r="O372" s="17"/>
      <c r="P372" s="17"/>
      <c r="Q372" s="17"/>
      <c r="R372" s="17"/>
    </row>
    <row r="373" spans="1:18" ht="11.25" customHeight="1" x14ac:dyDescent="0.2">
      <c r="L373" s="17"/>
      <c r="M373" s="17"/>
      <c r="N373" s="17"/>
      <c r="O373" s="17"/>
      <c r="P373" s="17"/>
      <c r="Q373" s="17"/>
      <c r="R373" s="17"/>
    </row>
    <row r="374" spans="1:18" ht="11.25" customHeight="1" x14ac:dyDescent="0.2">
      <c r="L374" s="17"/>
      <c r="M374" s="17"/>
      <c r="N374" s="17"/>
      <c r="O374" s="17"/>
      <c r="P374" s="17"/>
      <c r="Q374" s="17"/>
      <c r="R374" s="17"/>
    </row>
    <row r="375" spans="1:18" ht="11.25" customHeight="1" x14ac:dyDescent="0.2">
      <c r="A375" s="561" t="s">
        <v>360</v>
      </c>
      <c r="B375" s="561"/>
      <c r="C375" s="561"/>
      <c r="D375" s="561"/>
      <c r="E375" s="561"/>
      <c r="F375" s="561"/>
      <c r="G375" s="561"/>
      <c r="H375" s="561"/>
      <c r="I375" s="561"/>
      <c r="J375" s="561"/>
      <c r="K375" s="561"/>
      <c r="L375" s="17"/>
      <c r="M375" s="17"/>
      <c r="N375" s="17"/>
      <c r="O375" s="17"/>
      <c r="P375" s="17"/>
      <c r="Q375" s="17"/>
      <c r="R375" s="17"/>
    </row>
    <row r="376" spans="1:18" ht="11.25" customHeight="1" x14ac:dyDescent="0.2">
      <c r="A376" s="135" t="s">
        <v>49</v>
      </c>
      <c r="B376" s="137" t="s">
        <v>43</v>
      </c>
      <c r="C376" s="137" t="s">
        <v>34</v>
      </c>
      <c r="D376" s="137" t="s">
        <v>35</v>
      </c>
      <c r="E376" s="137" t="s">
        <v>36</v>
      </c>
      <c r="F376" s="137" t="s">
        <v>37</v>
      </c>
      <c r="G376" s="137" t="s">
        <v>38</v>
      </c>
      <c r="H376" s="137" t="s">
        <v>39</v>
      </c>
      <c r="I376" s="137" t="s">
        <v>40</v>
      </c>
      <c r="J376" s="137" t="s">
        <v>44</v>
      </c>
      <c r="K376" s="137" t="s">
        <v>28</v>
      </c>
      <c r="L376" s="17"/>
      <c r="M376" s="17"/>
      <c r="N376" s="17"/>
      <c r="O376" s="17"/>
      <c r="P376" s="17"/>
      <c r="Q376" s="17"/>
      <c r="R376" s="17"/>
    </row>
    <row r="377" spans="1:18" ht="11.25" customHeight="1" x14ac:dyDescent="0.2">
      <c r="A377" s="405" t="s">
        <v>112</v>
      </c>
      <c r="B377" s="37"/>
      <c r="C377" s="73"/>
      <c r="D377" s="73"/>
      <c r="E377" s="73"/>
      <c r="F377" s="73"/>
      <c r="G377" s="73"/>
      <c r="H377" s="73"/>
      <c r="I377" s="73"/>
      <c r="J377" s="73"/>
      <c r="K377" s="73"/>
      <c r="L377" s="17"/>
      <c r="M377" s="17"/>
      <c r="N377" s="17"/>
      <c r="O377" s="17"/>
      <c r="P377" s="17"/>
      <c r="Q377" s="17"/>
      <c r="R377" s="17"/>
    </row>
    <row r="378" spans="1:18" ht="11.25" customHeight="1" x14ac:dyDescent="0.2">
      <c r="A378" s="348" t="s">
        <v>30</v>
      </c>
      <c r="B378" s="37" t="s">
        <v>29</v>
      </c>
      <c r="C378" s="37" t="s">
        <v>29</v>
      </c>
      <c r="D378" s="37">
        <f t="shared" ref="D378:K378" si="44">AVERAGE(D11:D15)</f>
        <v>977</v>
      </c>
      <c r="E378" s="37">
        <f t="shared" si="44"/>
        <v>3268.75</v>
      </c>
      <c r="F378" s="37">
        <f t="shared" si="44"/>
        <v>11836.6</v>
      </c>
      <c r="G378" s="37">
        <f t="shared" si="44"/>
        <v>9897.4</v>
      </c>
      <c r="H378" s="37">
        <f t="shared" si="44"/>
        <v>4192</v>
      </c>
      <c r="I378" s="37" t="s">
        <v>29</v>
      </c>
      <c r="J378" s="37" t="s">
        <v>29</v>
      </c>
      <c r="K378" s="37">
        <f t="shared" si="44"/>
        <v>26221.200000000001</v>
      </c>
      <c r="L378" s="17"/>
      <c r="M378" s="3"/>
      <c r="N378" s="3"/>
      <c r="O378" s="3"/>
      <c r="P378" s="3"/>
      <c r="Q378" s="3"/>
      <c r="R378" s="3"/>
    </row>
    <row r="379" spans="1:18" ht="11.25" customHeight="1" x14ac:dyDescent="0.2">
      <c r="A379" s="348" t="s">
        <v>87</v>
      </c>
      <c r="B379" s="37" t="s">
        <v>29</v>
      </c>
      <c r="C379" s="37" t="s">
        <v>29</v>
      </c>
      <c r="D379" s="37">
        <f t="shared" ref="D379:K379" si="45">AVERAGE(D16:D20)</f>
        <v>146</v>
      </c>
      <c r="E379" s="37">
        <f t="shared" si="45"/>
        <v>1110.25</v>
      </c>
      <c r="F379" s="37">
        <f t="shared" si="45"/>
        <v>8890.4</v>
      </c>
      <c r="G379" s="37">
        <f t="shared" si="45"/>
        <v>9559.25</v>
      </c>
      <c r="H379" s="37">
        <f t="shared" si="45"/>
        <v>1423</v>
      </c>
      <c r="I379" s="37" t="s">
        <v>29</v>
      </c>
      <c r="J379" s="37" t="s">
        <v>29</v>
      </c>
      <c r="K379" s="37">
        <f t="shared" si="45"/>
        <v>17739.8</v>
      </c>
      <c r="L379" s="17"/>
      <c r="M379" s="3"/>
      <c r="N379" s="3"/>
      <c r="O379" s="3"/>
      <c r="P379" s="3"/>
      <c r="Q379" s="3"/>
      <c r="R379" s="3"/>
    </row>
    <row r="380" spans="1:18" ht="11.25" customHeight="1" x14ac:dyDescent="0.2">
      <c r="A380" s="348" t="s">
        <v>14</v>
      </c>
      <c r="B380" s="37" t="s">
        <v>29</v>
      </c>
      <c r="C380" s="37" t="s">
        <v>29</v>
      </c>
      <c r="D380" s="37" t="s">
        <v>29</v>
      </c>
      <c r="E380" s="37">
        <f>AVERAGE(E21:E25)</f>
        <v>1496</v>
      </c>
      <c r="F380" s="37">
        <f>AVERAGE(F21:F25)</f>
        <v>6680.5</v>
      </c>
      <c r="G380" s="37">
        <f>AVERAGE(G21:G25)</f>
        <v>6695.25</v>
      </c>
      <c r="H380" s="37">
        <f>AVERAGE(H21:H25)</f>
        <v>2083.5</v>
      </c>
      <c r="I380" s="37" t="s">
        <v>29</v>
      </c>
      <c r="J380" s="37" t="s">
        <v>29</v>
      </c>
      <c r="K380" s="37">
        <f>AVERAGE(K21:K25)</f>
        <v>15833.25</v>
      </c>
      <c r="L380" s="17"/>
      <c r="M380" s="3"/>
      <c r="N380" s="3"/>
      <c r="O380" s="3"/>
      <c r="P380" s="3"/>
      <c r="Q380" s="3"/>
      <c r="R380" s="3"/>
    </row>
    <row r="381" spans="1:18" ht="11.25" customHeight="1" x14ac:dyDescent="0.2">
      <c r="A381" s="348" t="s">
        <v>207</v>
      </c>
      <c r="B381" s="37" t="s">
        <v>29</v>
      </c>
      <c r="C381" s="37" t="s">
        <v>29</v>
      </c>
      <c r="D381" s="37" t="s">
        <v>29</v>
      </c>
      <c r="E381" s="37" t="s">
        <v>29</v>
      </c>
      <c r="F381" s="37">
        <f>AVERAGE(F26:F30)</f>
        <v>2456.75</v>
      </c>
      <c r="G381" s="37">
        <f>AVERAGE(G26:G30)</f>
        <v>2908.8</v>
      </c>
      <c r="H381" s="37">
        <f>AVERAGE(H26:H30)</f>
        <v>946.33333333333337</v>
      </c>
      <c r="I381" s="37" t="s">
        <v>29</v>
      </c>
      <c r="J381" s="37" t="s">
        <v>29</v>
      </c>
      <c r="K381" s="37">
        <f>AVERAGE(K26:K30)</f>
        <v>5442</v>
      </c>
      <c r="L381" s="17"/>
      <c r="M381" s="3"/>
      <c r="N381" s="3"/>
      <c r="O381" s="3"/>
      <c r="P381" s="3"/>
      <c r="Q381" s="3"/>
      <c r="R381" s="3"/>
    </row>
    <row r="382" spans="1:18" ht="11.25" customHeight="1" x14ac:dyDescent="0.2">
      <c r="A382" s="118" t="s">
        <v>238</v>
      </c>
      <c r="B382" s="37" t="str">
        <f t="shared" ref="B382:J382" si="46">B31</f>
        <v>-</v>
      </c>
      <c r="C382" s="37" t="str">
        <f t="shared" si="46"/>
        <v>-</v>
      </c>
      <c r="D382" s="37">
        <f>AVERAGE(D31:D35)</f>
        <v>155</v>
      </c>
      <c r="E382" s="37">
        <f>AVERAGE(E31:E35)</f>
        <v>259.66666666666669</v>
      </c>
      <c r="F382" s="37">
        <f>AVERAGE(F31:F35)</f>
        <v>4787.8</v>
      </c>
      <c r="G382" s="37">
        <f>AVERAGE(G31:G35)</f>
        <v>10257.799999999999</v>
      </c>
      <c r="H382" s="37">
        <f>AVERAGE(H31:H35)</f>
        <v>2041</v>
      </c>
      <c r="I382" s="37" t="str">
        <f t="shared" si="46"/>
        <v>-</v>
      </c>
      <c r="J382" s="37" t="str">
        <f t="shared" si="46"/>
        <v>-</v>
      </c>
      <c r="K382" s="37">
        <f>AVERAGE(K31:K35)</f>
        <v>17274.599999999999</v>
      </c>
      <c r="L382" s="17"/>
      <c r="M382" s="3"/>
      <c r="N382" s="3"/>
      <c r="O382" s="3"/>
      <c r="P382" s="3"/>
      <c r="Q382" s="3"/>
      <c r="R382" s="3"/>
    </row>
    <row r="383" spans="1:18" ht="11.25" customHeight="1" x14ac:dyDescent="0.2">
      <c r="A383" s="118">
        <v>2006</v>
      </c>
      <c r="B383" s="37" t="str">
        <f t="shared" ref="B383:K383" si="47">B36</f>
        <v>-</v>
      </c>
      <c r="C383" s="37" t="str">
        <f t="shared" si="47"/>
        <v>-</v>
      </c>
      <c r="D383" s="37" t="str">
        <f t="shared" si="47"/>
        <v>-</v>
      </c>
      <c r="E383" s="37" t="str">
        <f t="shared" si="47"/>
        <v>-</v>
      </c>
      <c r="F383" s="37">
        <f t="shared" si="47"/>
        <v>1711</v>
      </c>
      <c r="G383" s="37">
        <f t="shared" si="47"/>
        <v>5769</v>
      </c>
      <c r="H383" s="37">
        <f t="shared" si="47"/>
        <v>762</v>
      </c>
      <c r="I383" s="37" t="str">
        <f t="shared" si="47"/>
        <v>-</v>
      </c>
      <c r="J383" s="37" t="str">
        <f t="shared" si="47"/>
        <v>-</v>
      </c>
      <c r="K383" s="37">
        <f t="shared" si="47"/>
        <v>8242</v>
      </c>
      <c r="L383" s="17"/>
      <c r="M383" s="3"/>
      <c r="N383" s="3"/>
      <c r="O383" s="3"/>
      <c r="P383" s="3"/>
      <c r="Q383" s="3"/>
      <c r="R383" s="3"/>
    </row>
    <row r="384" spans="1:18" s="366" customFormat="1" ht="11.25" customHeight="1" x14ac:dyDescent="0.2">
      <c r="A384" s="118">
        <v>2007</v>
      </c>
      <c r="B384" s="37" t="str">
        <f t="shared" ref="B384:K384" si="48">B37</f>
        <v>-</v>
      </c>
      <c r="C384" s="37" t="str">
        <f t="shared" si="48"/>
        <v>-</v>
      </c>
      <c r="D384" s="37" t="str">
        <f t="shared" si="48"/>
        <v>-</v>
      </c>
      <c r="E384" s="37" t="str">
        <f t="shared" si="48"/>
        <v>-</v>
      </c>
      <c r="F384" s="37">
        <f t="shared" si="48"/>
        <v>2548</v>
      </c>
      <c r="G384" s="37">
        <f t="shared" si="48"/>
        <v>8849</v>
      </c>
      <c r="H384" s="37">
        <f t="shared" si="48"/>
        <v>989</v>
      </c>
      <c r="I384" s="37" t="str">
        <f t="shared" si="48"/>
        <v>-</v>
      </c>
      <c r="J384" s="37" t="str">
        <f t="shared" si="48"/>
        <v>-</v>
      </c>
      <c r="K384" s="37">
        <f t="shared" si="48"/>
        <v>12386</v>
      </c>
      <c r="L384" s="18"/>
      <c r="M384" s="6"/>
      <c r="N384" s="6"/>
      <c r="O384" s="6"/>
      <c r="P384" s="6"/>
      <c r="Q384" s="6"/>
      <c r="R384" s="6"/>
    </row>
    <row r="385" spans="1:18" s="366" customFormat="1" ht="11.25" customHeight="1" x14ac:dyDescent="0.2">
      <c r="A385" s="118">
        <v>2008</v>
      </c>
      <c r="B385" s="37" t="str">
        <f t="shared" ref="B385:K385" si="49">B38</f>
        <v>-</v>
      </c>
      <c r="C385" s="37" t="str">
        <f t="shared" si="49"/>
        <v>-</v>
      </c>
      <c r="D385" s="37">
        <f t="shared" si="49"/>
        <v>66</v>
      </c>
      <c r="E385" s="37">
        <f t="shared" si="49"/>
        <v>498</v>
      </c>
      <c r="F385" s="37">
        <f t="shared" si="49"/>
        <v>1875</v>
      </c>
      <c r="G385" s="37">
        <f t="shared" si="49"/>
        <v>1215</v>
      </c>
      <c r="H385" s="37" t="str">
        <f t="shared" si="49"/>
        <v>-</v>
      </c>
      <c r="I385" s="37" t="str">
        <f t="shared" si="49"/>
        <v>-</v>
      </c>
      <c r="J385" s="37" t="str">
        <f t="shared" si="49"/>
        <v>-</v>
      </c>
      <c r="K385" s="37">
        <f t="shared" si="49"/>
        <v>3654</v>
      </c>
      <c r="L385" s="18"/>
      <c r="M385" s="6"/>
      <c r="N385" s="6"/>
      <c r="O385" s="6"/>
      <c r="P385" s="6"/>
      <c r="Q385" s="6"/>
      <c r="R385" s="6"/>
    </row>
    <row r="386" spans="1:18" s="366" customFormat="1" ht="11.25" customHeight="1" x14ac:dyDescent="0.2">
      <c r="A386" s="118">
        <v>2009</v>
      </c>
      <c r="B386" s="37" t="str">
        <f t="shared" ref="B386:K386" si="50">B39</f>
        <v>-</v>
      </c>
      <c r="C386" s="37" t="str">
        <f t="shared" si="50"/>
        <v>-</v>
      </c>
      <c r="D386" s="37" t="str">
        <f t="shared" si="50"/>
        <v>-</v>
      </c>
      <c r="E386" s="37">
        <f t="shared" si="50"/>
        <v>85</v>
      </c>
      <c r="F386" s="37">
        <f t="shared" si="50"/>
        <v>5698</v>
      </c>
      <c r="G386" s="37">
        <f t="shared" si="50"/>
        <v>6097</v>
      </c>
      <c r="H386" s="37">
        <f t="shared" si="50"/>
        <v>370</v>
      </c>
      <c r="I386" s="37" t="str">
        <f t="shared" si="50"/>
        <v>-</v>
      </c>
      <c r="J386" s="37" t="str">
        <f t="shared" si="50"/>
        <v>-</v>
      </c>
      <c r="K386" s="37">
        <f t="shared" si="50"/>
        <v>12250</v>
      </c>
      <c r="L386" s="18"/>
      <c r="M386" s="6"/>
      <c r="N386" s="6"/>
      <c r="O386" s="6"/>
      <c r="P386" s="6"/>
      <c r="Q386" s="6"/>
      <c r="R386" s="6"/>
    </row>
    <row r="387" spans="1:18" s="366" customFormat="1" ht="11.25" customHeight="1" x14ac:dyDescent="0.2">
      <c r="A387" s="118">
        <v>2010</v>
      </c>
      <c r="B387" s="37" t="str">
        <f t="shared" ref="B387:K387" si="51">B40</f>
        <v>-</v>
      </c>
      <c r="C387" s="37" t="str">
        <f t="shared" si="51"/>
        <v>-</v>
      </c>
      <c r="D387" s="37" t="str">
        <f t="shared" si="51"/>
        <v>-</v>
      </c>
      <c r="E387" s="37">
        <f t="shared" si="51"/>
        <v>306</v>
      </c>
      <c r="F387" s="37">
        <f t="shared" si="51"/>
        <v>2211</v>
      </c>
      <c r="G387" s="37">
        <f t="shared" si="51"/>
        <v>6996</v>
      </c>
      <c r="H387" s="37">
        <f t="shared" si="51"/>
        <v>741</v>
      </c>
      <c r="I387" s="37" t="str">
        <f t="shared" si="51"/>
        <v>-</v>
      </c>
      <c r="J387" s="37" t="str">
        <f t="shared" si="51"/>
        <v>-</v>
      </c>
      <c r="K387" s="37">
        <f t="shared" si="51"/>
        <v>10254</v>
      </c>
      <c r="L387" s="18"/>
      <c r="M387" s="6"/>
      <c r="N387" s="6"/>
      <c r="O387" s="6"/>
      <c r="P387" s="6"/>
      <c r="Q387" s="6"/>
      <c r="R387" s="6"/>
    </row>
    <row r="388" spans="1:18" s="366" customFormat="1" ht="11.25" customHeight="1" x14ac:dyDescent="0.2">
      <c r="A388" s="118">
        <v>2011</v>
      </c>
      <c r="B388" s="37" t="str">
        <f t="shared" ref="B388:K388" si="52">B41</f>
        <v>-</v>
      </c>
      <c r="C388" s="37" t="str">
        <f t="shared" si="52"/>
        <v>-</v>
      </c>
      <c r="D388" s="37" t="str">
        <f t="shared" si="52"/>
        <v>-</v>
      </c>
      <c r="E388" s="37">
        <f t="shared" si="52"/>
        <v>459</v>
      </c>
      <c r="F388" s="37">
        <f t="shared" si="52"/>
        <v>1402</v>
      </c>
      <c r="G388" s="37">
        <f t="shared" si="52"/>
        <v>4645</v>
      </c>
      <c r="H388" s="37">
        <f t="shared" si="52"/>
        <v>877</v>
      </c>
      <c r="I388" s="37" t="str">
        <f t="shared" si="52"/>
        <v>-</v>
      </c>
      <c r="J388" s="37" t="str">
        <f t="shared" si="52"/>
        <v>-</v>
      </c>
      <c r="K388" s="37">
        <f t="shared" si="52"/>
        <v>7383</v>
      </c>
      <c r="L388" s="18"/>
      <c r="M388" s="6"/>
      <c r="N388" s="6"/>
      <c r="O388" s="6"/>
      <c r="P388" s="6"/>
      <c r="Q388" s="6"/>
      <c r="R388" s="6"/>
    </row>
    <row r="389" spans="1:18" s="366" customFormat="1" ht="11.25" customHeight="1" x14ac:dyDescent="0.2">
      <c r="A389" s="118">
        <v>2012</v>
      </c>
      <c r="B389" s="37" t="str">
        <f t="shared" ref="B389:K389" si="53">B42</f>
        <v>-</v>
      </c>
      <c r="C389" s="37" t="str">
        <f t="shared" si="53"/>
        <v>-</v>
      </c>
      <c r="D389" s="37" t="str">
        <f t="shared" si="53"/>
        <v>-</v>
      </c>
      <c r="E389" s="37">
        <f t="shared" si="53"/>
        <v>681</v>
      </c>
      <c r="F389" s="37">
        <f t="shared" si="53"/>
        <v>1792</v>
      </c>
      <c r="G389" s="37">
        <f t="shared" si="53"/>
        <v>1954</v>
      </c>
      <c r="H389" s="37">
        <f t="shared" si="53"/>
        <v>411</v>
      </c>
      <c r="I389" s="37" t="str">
        <f t="shared" si="53"/>
        <v>-</v>
      </c>
      <c r="J389" s="37" t="str">
        <f t="shared" si="53"/>
        <v>-</v>
      </c>
      <c r="K389" s="37">
        <f t="shared" si="53"/>
        <v>4838</v>
      </c>
      <c r="L389" s="18"/>
      <c r="M389" s="6"/>
      <c r="N389" s="6"/>
      <c r="O389" s="6"/>
      <c r="P389" s="6"/>
      <c r="Q389" s="6"/>
      <c r="R389" s="6"/>
    </row>
    <row r="390" spans="1:18" s="366" customFormat="1" ht="11.25" customHeight="1" x14ac:dyDescent="0.2">
      <c r="A390" s="118">
        <v>2013</v>
      </c>
      <c r="B390" s="37" t="str">
        <f t="shared" ref="B390:K390" si="54">B43</f>
        <v>-</v>
      </c>
      <c r="C390" s="37" t="str">
        <f t="shared" si="54"/>
        <v>-</v>
      </c>
      <c r="D390" s="37" t="str">
        <f t="shared" si="54"/>
        <v>-</v>
      </c>
      <c r="E390" s="37">
        <f t="shared" si="54"/>
        <v>1593</v>
      </c>
      <c r="F390" s="37">
        <f t="shared" si="54"/>
        <v>1329</v>
      </c>
      <c r="G390" s="37">
        <f t="shared" si="54"/>
        <v>2912</v>
      </c>
      <c r="H390" s="37">
        <f t="shared" si="54"/>
        <v>302</v>
      </c>
      <c r="I390" s="37" t="str">
        <f t="shared" si="54"/>
        <v>-</v>
      </c>
      <c r="J390" s="37" t="str">
        <f t="shared" si="54"/>
        <v>-</v>
      </c>
      <c r="K390" s="37">
        <f t="shared" si="54"/>
        <v>6136</v>
      </c>
      <c r="L390" s="18"/>
      <c r="M390" s="6"/>
      <c r="N390" s="6"/>
      <c r="O390" s="6"/>
      <c r="P390" s="6"/>
      <c r="Q390" s="6"/>
      <c r="R390" s="6"/>
    </row>
    <row r="391" spans="1:18" ht="11.25" customHeight="1" x14ac:dyDescent="0.2">
      <c r="A391" s="118">
        <v>2014</v>
      </c>
      <c r="B391" s="37" t="str">
        <f t="shared" ref="B391:K391" si="55">B44</f>
        <v>-</v>
      </c>
      <c r="C391" s="37" t="str">
        <f t="shared" si="55"/>
        <v>-</v>
      </c>
      <c r="D391" s="37">
        <f t="shared" si="55"/>
        <v>42</v>
      </c>
      <c r="E391" s="37">
        <f t="shared" si="55"/>
        <v>708</v>
      </c>
      <c r="F391" s="37">
        <f t="shared" si="55"/>
        <v>3579</v>
      </c>
      <c r="G391" s="37">
        <f t="shared" si="55"/>
        <v>6279</v>
      </c>
      <c r="H391" s="37">
        <f t="shared" si="55"/>
        <v>1647</v>
      </c>
      <c r="I391" s="37" t="str">
        <f t="shared" si="55"/>
        <v>-</v>
      </c>
      <c r="J391" s="37" t="str">
        <f t="shared" si="55"/>
        <v>-</v>
      </c>
      <c r="K391" s="37">
        <f t="shared" si="55"/>
        <v>12255</v>
      </c>
      <c r="L391" s="18"/>
      <c r="M391" s="3"/>
      <c r="N391" s="3"/>
      <c r="O391" s="3"/>
      <c r="P391" s="3"/>
      <c r="Q391" s="3"/>
      <c r="R391" s="3"/>
    </row>
    <row r="392" spans="1:18" s="366" customFormat="1" ht="11.25" customHeight="1" x14ac:dyDescent="0.2">
      <c r="A392" s="118">
        <v>2015</v>
      </c>
      <c r="B392" s="37" t="str">
        <f t="shared" ref="B392:K392" si="56">B45</f>
        <v>-</v>
      </c>
      <c r="C392" s="37" t="str">
        <f t="shared" si="56"/>
        <v>-</v>
      </c>
      <c r="D392" s="37">
        <f t="shared" si="56"/>
        <v>62</v>
      </c>
      <c r="E392" s="37">
        <f t="shared" si="56"/>
        <v>699</v>
      </c>
      <c r="F392" s="37">
        <f t="shared" si="56"/>
        <v>2723</v>
      </c>
      <c r="G392" s="37">
        <f t="shared" si="56"/>
        <v>3092</v>
      </c>
      <c r="H392" s="37">
        <f t="shared" si="56"/>
        <v>2053</v>
      </c>
      <c r="I392" s="37" t="str">
        <f t="shared" si="56"/>
        <v>-</v>
      </c>
      <c r="J392" s="37" t="str">
        <f t="shared" si="56"/>
        <v>-</v>
      </c>
      <c r="K392" s="37">
        <f t="shared" si="56"/>
        <v>8629</v>
      </c>
      <c r="L392" s="18"/>
      <c r="M392" s="6"/>
      <c r="N392" s="6"/>
      <c r="O392" s="6"/>
      <c r="P392" s="6"/>
      <c r="Q392" s="6"/>
      <c r="R392" s="6"/>
    </row>
    <row r="393" spans="1:18" s="366" customFormat="1" ht="11.25" customHeight="1" x14ac:dyDescent="0.2">
      <c r="A393" s="118">
        <v>2016</v>
      </c>
      <c r="B393" s="37" t="str">
        <f t="shared" ref="B393:K393" si="57">B46</f>
        <v>-</v>
      </c>
      <c r="C393" s="37" t="str">
        <f t="shared" si="57"/>
        <v>-</v>
      </c>
      <c r="D393" s="37" t="str">
        <f t="shared" si="57"/>
        <v>-</v>
      </c>
      <c r="E393" s="37" t="str">
        <f t="shared" si="57"/>
        <v>-</v>
      </c>
      <c r="F393" s="37">
        <f t="shared" si="57"/>
        <v>1920</v>
      </c>
      <c r="G393" s="37">
        <f t="shared" si="57"/>
        <v>2412</v>
      </c>
      <c r="H393" s="37" t="str">
        <f t="shared" si="57"/>
        <v>-</v>
      </c>
      <c r="I393" s="37" t="str">
        <f t="shared" si="57"/>
        <v>-</v>
      </c>
      <c r="J393" s="37" t="str">
        <f t="shared" si="57"/>
        <v>-</v>
      </c>
      <c r="K393" s="37">
        <f t="shared" si="57"/>
        <v>4332</v>
      </c>
      <c r="L393" s="18"/>
      <c r="M393" s="6"/>
      <c r="N393" s="6"/>
      <c r="O393" s="6"/>
      <c r="P393" s="6"/>
      <c r="Q393" s="6"/>
      <c r="R393" s="6"/>
    </row>
    <row r="394" spans="1:18" ht="11.25" customHeight="1" x14ac:dyDescent="0.2">
      <c r="A394" s="118">
        <v>2017</v>
      </c>
      <c r="B394" s="37" t="str">
        <f t="shared" ref="B394:K394" si="58">B47</f>
        <v>-</v>
      </c>
      <c r="C394" s="37" t="str">
        <f t="shared" si="58"/>
        <v>-</v>
      </c>
      <c r="D394" s="37" t="str">
        <f t="shared" si="58"/>
        <v>-</v>
      </c>
      <c r="E394" s="37">
        <f t="shared" si="58"/>
        <v>587</v>
      </c>
      <c r="F394" s="37">
        <f t="shared" si="58"/>
        <v>2697</v>
      </c>
      <c r="G394" s="37">
        <f t="shared" si="58"/>
        <v>5284</v>
      </c>
      <c r="H394" s="37" t="str">
        <f t="shared" si="58"/>
        <v>-</v>
      </c>
      <c r="I394" s="37" t="str">
        <f t="shared" si="58"/>
        <v>-</v>
      </c>
      <c r="J394" s="37" t="str">
        <f t="shared" si="58"/>
        <v>-</v>
      </c>
      <c r="K394" s="37">
        <f t="shared" si="58"/>
        <v>8568</v>
      </c>
      <c r="L394" s="18"/>
      <c r="M394" s="3"/>
      <c r="N394" s="3"/>
      <c r="O394" s="3"/>
      <c r="P394" s="3"/>
      <c r="Q394" s="3"/>
      <c r="R394" s="3"/>
    </row>
    <row r="395" spans="1:18" s="366" customFormat="1" ht="11.25" customHeight="1" x14ac:dyDescent="0.2">
      <c r="A395" s="118">
        <v>2018</v>
      </c>
      <c r="B395" s="37" t="str">
        <f t="shared" ref="B395:K395" si="59">B48</f>
        <v>-</v>
      </c>
      <c r="C395" s="37" t="str">
        <f t="shared" si="59"/>
        <v>-</v>
      </c>
      <c r="D395" s="37" t="str">
        <f t="shared" si="59"/>
        <v>-</v>
      </c>
      <c r="E395" s="37">
        <f t="shared" si="59"/>
        <v>380</v>
      </c>
      <c r="F395" s="37">
        <f t="shared" si="59"/>
        <v>1839</v>
      </c>
      <c r="G395" s="37">
        <f t="shared" si="59"/>
        <v>5332</v>
      </c>
      <c r="H395" s="37">
        <f t="shared" si="59"/>
        <v>148</v>
      </c>
      <c r="I395" s="37" t="str">
        <f t="shared" si="59"/>
        <v>-</v>
      </c>
      <c r="J395" s="37" t="str">
        <f t="shared" si="59"/>
        <v>-</v>
      </c>
      <c r="K395" s="37">
        <f t="shared" si="59"/>
        <v>7699</v>
      </c>
      <c r="L395" s="18"/>
      <c r="M395" s="6"/>
      <c r="N395" s="6"/>
      <c r="O395" s="6"/>
      <c r="P395" s="6"/>
      <c r="Q395" s="6"/>
      <c r="R395" s="6"/>
    </row>
    <row r="396" spans="1:18" s="489" customFormat="1" ht="11.25" customHeight="1" x14ac:dyDescent="0.2">
      <c r="A396" s="118">
        <v>2019</v>
      </c>
      <c r="B396" s="37" t="str">
        <f>B49</f>
        <v>-</v>
      </c>
      <c r="C396" s="37" t="str">
        <f t="shared" ref="C396:K397" si="60">C49</f>
        <v>-</v>
      </c>
      <c r="D396" s="37" t="str">
        <f t="shared" si="60"/>
        <v>-</v>
      </c>
      <c r="E396" s="37">
        <f t="shared" si="60"/>
        <v>1334</v>
      </c>
      <c r="F396" s="37">
        <f t="shared" si="60"/>
        <v>5066</v>
      </c>
      <c r="G396" s="37">
        <f t="shared" si="60"/>
        <v>7930</v>
      </c>
      <c r="H396" s="37">
        <f t="shared" si="60"/>
        <v>365</v>
      </c>
      <c r="I396" s="37" t="str">
        <f t="shared" si="60"/>
        <v>-</v>
      </c>
      <c r="J396" s="37" t="str">
        <f t="shared" si="60"/>
        <v>-</v>
      </c>
      <c r="K396" s="37">
        <f t="shared" si="60"/>
        <v>14695</v>
      </c>
      <c r="L396" s="18"/>
      <c r="M396" s="6"/>
      <c r="N396" s="6"/>
      <c r="O396" s="6"/>
      <c r="P396" s="6"/>
      <c r="Q396" s="6"/>
      <c r="R396" s="6"/>
    </row>
    <row r="397" spans="1:18" ht="11.25" customHeight="1" x14ac:dyDescent="0.2">
      <c r="A397" s="118" t="s">
        <v>393</v>
      </c>
      <c r="B397" s="37" t="str">
        <f>B50</f>
        <v>-</v>
      </c>
      <c r="C397" s="37" t="str">
        <f t="shared" si="60"/>
        <v>-</v>
      </c>
      <c r="D397" s="37" t="str">
        <f t="shared" si="60"/>
        <v>-</v>
      </c>
      <c r="E397" s="37">
        <f t="shared" si="60"/>
        <v>83</v>
      </c>
      <c r="F397" s="37">
        <f t="shared" si="60"/>
        <v>3367</v>
      </c>
      <c r="G397" s="37" t="str">
        <f t="shared" si="60"/>
        <v>-</v>
      </c>
      <c r="H397" s="37" t="str">
        <f t="shared" si="60"/>
        <v>-</v>
      </c>
      <c r="I397" s="37" t="str">
        <f t="shared" si="60"/>
        <v>-</v>
      </c>
      <c r="J397" s="37" t="str">
        <f t="shared" si="60"/>
        <v>-</v>
      </c>
      <c r="K397" s="37">
        <f t="shared" si="60"/>
        <v>3450</v>
      </c>
      <c r="L397" s="18"/>
      <c r="M397" s="3"/>
      <c r="N397" s="3"/>
      <c r="O397" s="3"/>
      <c r="P397" s="3"/>
      <c r="Q397" s="3"/>
      <c r="R397" s="3"/>
    </row>
    <row r="398" spans="1:18" ht="11.25" customHeight="1" x14ac:dyDescent="0.2">
      <c r="A398" s="348"/>
      <c r="B398" s="37"/>
      <c r="C398" s="37"/>
      <c r="D398" s="37"/>
      <c r="E398" s="37"/>
      <c r="F398" s="37"/>
      <c r="G398" s="37"/>
      <c r="H398" s="37"/>
      <c r="I398" s="37"/>
      <c r="J398" s="37"/>
      <c r="K398" s="37"/>
      <c r="L398" s="17"/>
      <c r="M398" s="3"/>
      <c r="N398" s="3"/>
      <c r="O398" s="3"/>
      <c r="P398" s="3"/>
      <c r="Q398" s="3"/>
      <c r="R398" s="3"/>
    </row>
    <row r="399" spans="1:18" ht="11.25" customHeight="1" x14ac:dyDescent="0.2">
      <c r="A399" s="159" t="str">
        <f>A52</f>
        <v>Tillamook</v>
      </c>
      <c r="B399" s="37"/>
      <c r="C399" s="37"/>
      <c r="D399" s="37"/>
      <c r="E399" s="37"/>
      <c r="F399" s="37"/>
      <c r="G399" s="37"/>
      <c r="H399" s="37"/>
      <c r="I399" s="37"/>
      <c r="J399" s="37"/>
      <c r="K399" s="37"/>
      <c r="L399" s="17"/>
      <c r="M399" s="3"/>
      <c r="N399" s="3"/>
      <c r="O399" s="3"/>
      <c r="P399" s="3"/>
      <c r="Q399" s="3"/>
      <c r="R399" s="3"/>
    </row>
    <row r="400" spans="1:18" ht="11.25" customHeight="1" x14ac:dyDescent="0.2">
      <c r="A400" s="348" t="s">
        <v>30</v>
      </c>
      <c r="B400" s="37" t="s">
        <v>29</v>
      </c>
      <c r="C400" s="37" t="s">
        <v>29</v>
      </c>
      <c r="D400" s="37">
        <f t="shared" ref="D400:K400" si="61">AVERAGE(D58:D62)</f>
        <v>677.5</v>
      </c>
      <c r="E400" s="37">
        <f t="shared" si="61"/>
        <v>2040.3333333333333</v>
      </c>
      <c r="F400" s="37">
        <f t="shared" si="61"/>
        <v>14150.2</v>
      </c>
      <c r="G400" s="37">
        <f t="shared" si="61"/>
        <v>14501.75</v>
      </c>
      <c r="H400" s="37">
        <f t="shared" si="61"/>
        <v>3412.75</v>
      </c>
      <c r="I400" s="37">
        <f t="shared" si="61"/>
        <v>1603</v>
      </c>
      <c r="J400" s="37" t="s">
        <v>29</v>
      </c>
      <c r="K400" s="37">
        <f t="shared" si="61"/>
        <v>30297.599999999999</v>
      </c>
      <c r="L400" s="17"/>
      <c r="M400" s="3"/>
      <c r="N400" s="3"/>
      <c r="O400" s="3"/>
      <c r="P400" s="3"/>
      <c r="Q400" s="3"/>
      <c r="R400" s="3"/>
    </row>
    <row r="401" spans="1:18" ht="11.25" customHeight="1" x14ac:dyDescent="0.2">
      <c r="A401" s="348" t="s">
        <v>87</v>
      </c>
      <c r="B401" s="37" t="s">
        <v>29</v>
      </c>
      <c r="C401" s="37" t="s">
        <v>29</v>
      </c>
      <c r="D401" s="37">
        <f t="shared" ref="D401:K401" si="62">AVERAGE(D63:D67)</f>
        <v>222.33333333333334</v>
      </c>
      <c r="E401" s="37">
        <f t="shared" si="62"/>
        <v>2005.4</v>
      </c>
      <c r="F401" s="37">
        <f t="shared" si="62"/>
        <v>12062.8</v>
      </c>
      <c r="G401" s="37">
        <f t="shared" si="62"/>
        <v>11291.4</v>
      </c>
      <c r="H401" s="37">
        <f t="shared" si="62"/>
        <v>4392</v>
      </c>
      <c r="I401" s="37" t="s">
        <v>116</v>
      </c>
      <c r="J401" s="420" t="s">
        <v>116</v>
      </c>
      <c r="K401" s="37">
        <f t="shared" si="62"/>
        <v>29006.6</v>
      </c>
      <c r="L401" s="17"/>
      <c r="M401" s="3"/>
      <c r="N401" s="3"/>
      <c r="O401" s="3"/>
      <c r="P401" s="3"/>
      <c r="Q401" s="3"/>
      <c r="R401" s="3"/>
    </row>
    <row r="402" spans="1:18" ht="11.25" customHeight="1" x14ac:dyDescent="0.2">
      <c r="A402" s="348" t="s">
        <v>14</v>
      </c>
      <c r="B402" s="37" t="s">
        <v>29</v>
      </c>
      <c r="C402" s="37" t="s">
        <v>29</v>
      </c>
      <c r="D402" s="37">
        <f>AVERAGE(D68:D72)</f>
        <v>728.4</v>
      </c>
      <c r="E402" s="37">
        <f t="shared" ref="E402:J402" si="63">AVERAGE(E68:E72)</f>
        <v>1722</v>
      </c>
      <c r="F402" s="37">
        <f t="shared" si="63"/>
        <v>10452</v>
      </c>
      <c r="G402" s="37">
        <f t="shared" si="63"/>
        <v>4270.5</v>
      </c>
      <c r="H402" s="37">
        <f t="shared" si="63"/>
        <v>2074.5</v>
      </c>
      <c r="I402" s="37">
        <f t="shared" si="63"/>
        <v>4878.5</v>
      </c>
      <c r="J402" s="37">
        <f t="shared" si="63"/>
        <v>395.5</v>
      </c>
      <c r="K402" s="37">
        <f>AVERAGE(K68:K72)</f>
        <v>13369.2</v>
      </c>
      <c r="L402" s="17"/>
      <c r="M402" s="3"/>
      <c r="N402" s="3"/>
      <c r="O402" s="3"/>
      <c r="P402" s="3"/>
      <c r="Q402" s="3"/>
      <c r="R402" s="3"/>
    </row>
    <row r="403" spans="1:18" ht="11.25" customHeight="1" x14ac:dyDescent="0.2">
      <c r="A403" s="348" t="s">
        <v>207</v>
      </c>
      <c r="B403" s="37" t="s">
        <v>29</v>
      </c>
      <c r="C403" s="37" t="s">
        <v>29</v>
      </c>
      <c r="D403" s="37">
        <f>AVERAGE(D73:D77)</f>
        <v>489.4</v>
      </c>
      <c r="E403" s="37">
        <f t="shared" ref="E403:J403" si="64">AVERAGE(E73:E77)</f>
        <v>101.6</v>
      </c>
      <c r="F403" s="37">
        <f t="shared" si="64"/>
        <v>1450.6</v>
      </c>
      <c r="G403" s="37">
        <f t="shared" si="64"/>
        <v>345.8</v>
      </c>
      <c r="H403" s="37">
        <f t="shared" si="64"/>
        <v>2772</v>
      </c>
      <c r="I403" s="37">
        <f t="shared" si="64"/>
        <v>2894.6</v>
      </c>
      <c r="J403" s="37">
        <f t="shared" si="64"/>
        <v>169.5</v>
      </c>
      <c r="K403" s="37">
        <f>AVERAGE(K73:K77)</f>
        <v>8125.8</v>
      </c>
      <c r="L403" s="17"/>
      <c r="M403" s="3"/>
      <c r="N403" s="3"/>
      <c r="O403" s="3"/>
      <c r="P403" s="3"/>
      <c r="Q403" s="3"/>
      <c r="R403" s="3"/>
    </row>
    <row r="404" spans="1:18" ht="11.25" customHeight="1" x14ac:dyDescent="0.2">
      <c r="A404" s="118" t="s">
        <v>238</v>
      </c>
      <c r="B404" s="37">
        <f>AVERAGE(B78:B82)</f>
        <v>19</v>
      </c>
      <c r="C404" s="37">
        <f>AVERAGE(C78:C82)</f>
        <v>35.200000000000003</v>
      </c>
      <c r="D404" s="37">
        <f>AVERAGE(D78:D82)</f>
        <v>441.4</v>
      </c>
      <c r="E404" s="37">
        <f>AVERAGE(E78:E82)</f>
        <v>2042.8</v>
      </c>
      <c r="F404" s="37">
        <f t="shared" ref="F404:K404" si="65">AVERAGE(F78:F82)</f>
        <v>8268.7999999999993</v>
      </c>
      <c r="G404" s="37">
        <f t="shared" si="65"/>
        <v>3896.6</v>
      </c>
      <c r="H404" s="37">
        <f t="shared" si="65"/>
        <v>4169.6000000000004</v>
      </c>
      <c r="I404" s="37">
        <f t="shared" si="65"/>
        <v>3016.6</v>
      </c>
      <c r="J404" s="37">
        <f t="shared" si="65"/>
        <v>182</v>
      </c>
      <c r="K404" s="37">
        <f t="shared" si="65"/>
        <v>22064.400000000001</v>
      </c>
      <c r="L404" s="17"/>
      <c r="M404" s="3"/>
      <c r="N404" s="3"/>
      <c r="O404" s="3"/>
      <c r="P404" s="3"/>
      <c r="Q404" s="3"/>
      <c r="R404" s="3"/>
    </row>
    <row r="405" spans="1:18" ht="11.25" customHeight="1" x14ac:dyDescent="0.2">
      <c r="A405" s="118">
        <v>2006</v>
      </c>
      <c r="B405" s="37">
        <f t="shared" ref="B405:K405" si="66">B83</f>
        <v>2</v>
      </c>
      <c r="C405" s="37">
        <f t="shared" si="66"/>
        <v>16</v>
      </c>
      <c r="D405" s="37">
        <f t="shared" si="66"/>
        <v>385</v>
      </c>
      <c r="E405" s="37">
        <f t="shared" si="66"/>
        <v>1334</v>
      </c>
      <c r="F405" s="37">
        <f t="shared" si="66"/>
        <v>3299</v>
      </c>
      <c r="G405" s="37">
        <f t="shared" si="66"/>
        <v>497</v>
      </c>
      <c r="H405" s="37">
        <f t="shared" si="66"/>
        <v>5292</v>
      </c>
      <c r="I405" s="37">
        <f t="shared" si="66"/>
        <v>4988</v>
      </c>
      <c r="J405" s="37">
        <f t="shared" si="66"/>
        <v>98</v>
      </c>
      <c r="K405" s="37">
        <f t="shared" si="66"/>
        <v>15911</v>
      </c>
      <c r="L405" s="17"/>
      <c r="M405" s="3"/>
      <c r="N405" s="3"/>
      <c r="O405" s="3"/>
      <c r="P405" s="3"/>
      <c r="Q405" s="3"/>
      <c r="R405" s="3"/>
    </row>
    <row r="406" spans="1:18" s="366" customFormat="1" ht="11.25" customHeight="1" x14ac:dyDescent="0.2">
      <c r="A406" s="118">
        <v>2007</v>
      </c>
      <c r="B406" s="37" t="str">
        <f t="shared" ref="B406:K406" si="67">B84</f>
        <v>-</v>
      </c>
      <c r="C406" s="37">
        <f t="shared" si="67"/>
        <v>16</v>
      </c>
      <c r="D406" s="37">
        <f t="shared" si="67"/>
        <v>828</v>
      </c>
      <c r="E406" s="37">
        <f t="shared" si="67"/>
        <v>1753</v>
      </c>
      <c r="F406" s="37">
        <f t="shared" si="67"/>
        <v>4612</v>
      </c>
      <c r="G406" s="37">
        <f t="shared" si="67"/>
        <v>8074</v>
      </c>
      <c r="H406" s="37">
        <f t="shared" si="67"/>
        <v>3459</v>
      </c>
      <c r="I406" s="37">
        <f t="shared" si="67"/>
        <v>2286</v>
      </c>
      <c r="J406" s="37" t="str">
        <f t="shared" si="67"/>
        <v>--</v>
      </c>
      <c r="K406" s="37">
        <f t="shared" si="67"/>
        <v>21028</v>
      </c>
      <c r="L406" s="18"/>
      <c r="M406" s="6"/>
      <c r="N406" s="6"/>
      <c r="O406" s="6"/>
      <c r="P406" s="6"/>
      <c r="Q406" s="6"/>
      <c r="R406" s="6"/>
    </row>
    <row r="407" spans="1:18" s="366" customFormat="1" ht="11.25" customHeight="1" x14ac:dyDescent="0.2">
      <c r="A407" s="118">
        <v>2008</v>
      </c>
      <c r="B407" s="37" t="str">
        <f t="shared" ref="B407:K407" si="68">B85</f>
        <v>-</v>
      </c>
      <c r="C407" s="37" t="str">
        <f t="shared" si="68"/>
        <v>-</v>
      </c>
      <c r="D407" s="37" t="str">
        <f t="shared" si="68"/>
        <v>-</v>
      </c>
      <c r="E407" s="37">
        <f t="shared" si="68"/>
        <v>643</v>
      </c>
      <c r="F407" s="37">
        <f t="shared" si="68"/>
        <v>1269</v>
      </c>
      <c r="G407" s="37">
        <f t="shared" si="68"/>
        <v>1226</v>
      </c>
      <c r="H407" s="37">
        <f t="shared" si="68"/>
        <v>3635</v>
      </c>
      <c r="I407" s="37">
        <f t="shared" si="68"/>
        <v>2348</v>
      </c>
      <c r="J407" s="37" t="str">
        <f t="shared" si="68"/>
        <v>--</v>
      </c>
      <c r="K407" s="37">
        <f t="shared" si="68"/>
        <v>9121</v>
      </c>
      <c r="L407" s="18"/>
      <c r="M407" s="6"/>
      <c r="N407" s="6"/>
      <c r="O407" s="6"/>
      <c r="P407" s="6"/>
      <c r="Q407" s="6"/>
      <c r="R407" s="6"/>
    </row>
    <row r="408" spans="1:18" s="366" customFormat="1" ht="11.25" customHeight="1" x14ac:dyDescent="0.2">
      <c r="A408" s="118">
        <v>2009</v>
      </c>
      <c r="B408" s="37" t="str">
        <f t="shared" ref="B408:K408" si="69">B86</f>
        <v>-</v>
      </c>
      <c r="C408" s="37" t="str">
        <f t="shared" si="69"/>
        <v>-</v>
      </c>
      <c r="D408" s="37" t="str">
        <f t="shared" si="69"/>
        <v>-</v>
      </c>
      <c r="E408" s="37">
        <f t="shared" si="69"/>
        <v>974</v>
      </c>
      <c r="F408" s="37">
        <f t="shared" si="69"/>
        <v>10482</v>
      </c>
      <c r="G408" s="37">
        <f t="shared" si="69"/>
        <v>7131</v>
      </c>
      <c r="H408" s="37">
        <f t="shared" si="69"/>
        <v>1772</v>
      </c>
      <c r="I408" s="37">
        <f t="shared" si="69"/>
        <v>2009</v>
      </c>
      <c r="J408" s="37" t="str">
        <f t="shared" si="69"/>
        <v>-</v>
      </c>
      <c r="K408" s="37">
        <f t="shared" si="69"/>
        <v>22368</v>
      </c>
      <c r="L408" s="18"/>
      <c r="M408" s="6"/>
      <c r="N408" s="6"/>
      <c r="O408" s="6"/>
      <c r="P408" s="6"/>
      <c r="Q408" s="6"/>
      <c r="R408" s="6"/>
    </row>
    <row r="409" spans="1:18" s="366" customFormat="1" ht="11.25" customHeight="1" x14ac:dyDescent="0.2">
      <c r="A409" s="118">
        <v>2010</v>
      </c>
      <c r="B409" s="37" t="str">
        <f t="shared" ref="B409:K409" si="70">B87</f>
        <v>-</v>
      </c>
      <c r="C409" s="37" t="str">
        <f t="shared" si="70"/>
        <v>-</v>
      </c>
      <c r="D409" s="37">
        <f t="shared" si="70"/>
        <v>126</v>
      </c>
      <c r="E409" s="37">
        <f t="shared" si="70"/>
        <v>1158</v>
      </c>
      <c r="F409" s="37">
        <f t="shared" si="70"/>
        <v>3833</v>
      </c>
      <c r="G409" s="37">
        <f t="shared" si="70"/>
        <v>3620</v>
      </c>
      <c r="H409" s="37">
        <f t="shared" si="70"/>
        <v>3718</v>
      </c>
      <c r="I409" s="37">
        <f t="shared" si="70"/>
        <v>1048</v>
      </c>
      <c r="J409" s="37" t="str">
        <f t="shared" si="70"/>
        <v>-</v>
      </c>
      <c r="K409" s="37">
        <f t="shared" si="70"/>
        <v>13503</v>
      </c>
      <c r="L409" s="18"/>
      <c r="M409" s="6"/>
      <c r="N409" s="6"/>
      <c r="O409" s="6"/>
      <c r="P409" s="6"/>
      <c r="Q409" s="6"/>
      <c r="R409" s="6"/>
    </row>
    <row r="410" spans="1:18" s="366" customFormat="1" ht="11.25" customHeight="1" x14ac:dyDescent="0.2">
      <c r="A410" s="118">
        <v>2011</v>
      </c>
      <c r="B410" s="37">
        <f t="shared" ref="B410:K410" si="71">B88</f>
        <v>0</v>
      </c>
      <c r="C410" s="37">
        <f t="shared" si="71"/>
        <v>50</v>
      </c>
      <c r="D410" s="37">
        <f t="shared" si="71"/>
        <v>143</v>
      </c>
      <c r="E410" s="37">
        <f t="shared" si="71"/>
        <v>936</v>
      </c>
      <c r="F410" s="37">
        <f t="shared" si="71"/>
        <v>3771</v>
      </c>
      <c r="G410" s="37">
        <f t="shared" si="71"/>
        <v>2968</v>
      </c>
      <c r="H410" s="37">
        <f t="shared" si="71"/>
        <v>3730</v>
      </c>
      <c r="I410" s="37">
        <f t="shared" si="71"/>
        <v>1240</v>
      </c>
      <c r="J410" s="37" t="str">
        <f t="shared" si="71"/>
        <v>-</v>
      </c>
      <c r="K410" s="37">
        <f t="shared" si="71"/>
        <v>12838</v>
      </c>
      <c r="L410" s="18"/>
      <c r="M410" s="6"/>
      <c r="N410" s="6"/>
      <c r="O410" s="6"/>
      <c r="P410" s="6"/>
      <c r="Q410" s="6"/>
      <c r="R410" s="6"/>
    </row>
    <row r="411" spans="1:18" s="366" customFormat="1" ht="11.25" customHeight="1" x14ac:dyDescent="0.2">
      <c r="A411" s="118">
        <v>2012</v>
      </c>
      <c r="B411" s="37">
        <f t="shared" ref="B411:K411" si="72">B89</f>
        <v>0</v>
      </c>
      <c r="C411" s="37">
        <f t="shared" si="72"/>
        <v>38</v>
      </c>
      <c r="D411" s="37">
        <f t="shared" si="72"/>
        <v>567</v>
      </c>
      <c r="E411" s="37">
        <f t="shared" si="72"/>
        <v>830</v>
      </c>
      <c r="F411" s="37">
        <f t="shared" si="72"/>
        <v>2372</v>
      </c>
      <c r="G411" s="37">
        <f t="shared" si="72"/>
        <v>2933</v>
      </c>
      <c r="H411" s="37">
        <f t="shared" si="72"/>
        <v>4126</v>
      </c>
      <c r="I411" s="37">
        <f t="shared" si="72"/>
        <v>1521</v>
      </c>
      <c r="J411" s="37" t="str">
        <f t="shared" si="72"/>
        <v>-</v>
      </c>
      <c r="K411" s="37">
        <f t="shared" si="72"/>
        <v>12387</v>
      </c>
      <c r="L411" s="18"/>
      <c r="M411" s="6"/>
      <c r="N411" s="6"/>
      <c r="O411" s="6"/>
      <c r="P411" s="6"/>
      <c r="Q411" s="6"/>
      <c r="R411" s="6"/>
    </row>
    <row r="412" spans="1:18" s="366" customFormat="1" ht="11.25" customHeight="1" x14ac:dyDescent="0.2">
      <c r="A412" s="118">
        <v>2013</v>
      </c>
      <c r="B412" s="37">
        <f t="shared" ref="B412:K412" si="73">B90</f>
        <v>2</v>
      </c>
      <c r="C412" s="37">
        <f t="shared" si="73"/>
        <v>78</v>
      </c>
      <c r="D412" s="37">
        <f t="shared" si="73"/>
        <v>369</v>
      </c>
      <c r="E412" s="37">
        <f t="shared" si="73"/>
        <v>647</v>
      </c>
      <c r="F412" s="37">
        <f t="shared" si="73"/>
        <v>3166</v>
      </c>
      <c r="G412" s="37">
        <f t="shared" si="73"/>
        <v>2605</v>
      </c>
      <c r="H412" s="37">
        <f t="shared" si="73"/>
        <v>3326</v>
      </c>
      <c r="I412" s="37">
        <f t="shared" si="73"/>
        <v>3942</v>
      </c>
      <c r="J412" s="37" t="str">
        <f t="shared" si="73"/>
        <v>-</v>
      </c>
      <c r="K412" s="37">
        <f t="shared" si="73"/>
        <v>14135</v>
      </c>
      <c r="L412" s="18"/>
      <c r="M412" s="6"/>
      <c r="N412" s="6"/>
      <c r="O412" s="6"/>
      <c r="P412" s="6"/>
      <c r="Q412" s="6"/>
      <c r="R412" s="6"/>
    </row>
    <row r="413" spans="1:18" ht="11.25" customHeight="1" x14ac:dyDescent="0.2">
      <c r="A413" s="118">
        <v>2014</v>
      </c>
      <c r="B413" s="37">
        <f t="shared" ref="B413:K413" si="74">B91</f>
        <v>0</v>
      </c>
      <c r="C413" s="37">
        <f t="shared" si="74"/>
        <v>7</v>
      </c>
      <c r="D413" s="37">
        <f t="shared" si="74"/>
        <v>1052</v>
      </c>
      <c r="E413" s="37">
        <f t="shared" si="74"/>
        <v>1110</v>
      </c>
      <c r="F413" s="37">
        <f t="shared" si="74"/>
        <v>9027</v>
      </c>
      <c r="G413" s="37">
        <f t="shared" si="74"/>
        <v>4657</v>
      </c>
      <c r="H413" s="37">
        <f t="shared" si="74"/>
        <v>8066</v>
      </c>
      <c r="I413" s="37">
        <f t="shared" si="74"/>
        <v>1305</v>
      </c>
      <c r="J413" s="37" t="str">
        <f t="shared" si="74"/>
        <v>-</v>
      </c>
      <c r="K413" s="37">
        <f t="shared" si="74"/>
        <v>25224</v>
      </c>
      <c r="L413" s="17"/>
      <c r="M413" s="3"/>
      <c r="N413" s="3"/>
      <c r="O413" s="3"/>
      <c r="P413" s="3"/>
      <c r="Q413" s="3"/>
      <c r="R413" s="3"/>
    </row>
    <row r="414" spans="1:18" s="366" customFormat="1" ht="11.25" customHeight="1" x14ac:dyDescent="0.2">
      <c r="A414" s="118">
        <v>2015</v>
      </c>
      <c r="B414" s="37">
        <f t="shared" ref="B414:K414" si="75">B92</f>
        <v>0</v>
      </c>
      <c r="C414" s="37">
        <f t="shared" si="75"/>
        <v>42</v>
      </c>
      <c r="D414" s="37">
        <f t="shared" si="75"/>
        <v>919</v>
      </c>
      <c r="E414" s="37">
        <f t="shared" si="75"/>
        <v>485</v>
      </c>
      <c r="F414" s="37">
        <f t="shared" si="75"/>
        <v>3259</v>
      </c>
      <c r="G414" s="37">
        <f t="shared" si="75"/>
        <v>2097</v>
      </c>
      <c r="H414" s="37">
        <f t="shared" si="75"/>
        <v>6463</v>
      </c>
      <c r="I414" s="37">
        <f t="shared" si="75"/>
        <v>2217</v>
      </c>
      <c r="J414" s="37" t="str">
        <f t="shared" si="75"/>
        <v>-</v>
      </c>
      <c r="K414" s="37">
        <f t="shared" si="75"/>
        <v>15482</v>
      </c>
      <c r="L414" s="18"/>
      <c r="M414" s="6"/>
      <c r="N414" s="6"/>
      <c r="O414" s="6"/>
      <c r="P414" s="6"/>
      <c r="Q414" s="6"/>
      <c r="R414" s="6"/>
    </row>
    <row r="415" spans="1:18" s="366" customFormat="1" ht="11.25" customHeight="1" x14ac:dyDescent="0.2">
      <c r="A415" s="118">
        <v>2016</v>
      </c>
      <c r="B415" s="37">
        <f t="shared" ref="B415:K415" si="76">B93</f>
        <v>14</v>
      </c>
      <c r="C415" s="37">
        <f t="shared" si="76"/>
        <v>4</v>
      </c>
      <c r="D415" s="37">
        <f t="shared" si="76"/>
        <v>838</v>
      </c>
      <c r="E415" s="37">
        <f t="shared" si="76"/>
        <v>1578</v>
      </c>
      <c r="F415" s="37">
        <f t="shared" si="76"/>
        <v>1657</v>
      </c>
      <c r="G415" s="37">
        <f t="shared" si="76"/>
        <v>855</v>
      </c>
      <c r="H415" s="37">
        <f t="shared" si="76"/>
        <v>5505</v>
      </c>
      <c r="I415" s="37">
        <f t="shared" si="76"/>
        <v>530</v>
      </c>
      <c r="J415" s="37" t="str">
        <f t="shared" si="76"/>
        <v>-</v>
      </c>
      <c r="K415" s="37">
        <f t="shared" si="76"/>
        <v>10981</v>
      </c>
      <c r="L415" s="18"/>
      <c r="M415" s="6"/>
      <c r="N415" s="6"/>
      <c r="O415" s="6"/>
      <c r="P415" s="6"/>
      <c r="Q415" s="6"/>
      <c r="R415" s="6"/>
    </row>
    <row r="416" spans="1:18" ht="11.25" customHeight="1" x14ac:dyDescent="0.2">
      <c r="A416" s="118">
        <v>2017</v>
      </c>
      <c r="B416" s="37">
        <f t="shared" ref="B416:K416" si="77">B94</f>
        <v>0</v>
      </c>
      <c r="C416" s="37">
        <f t="shared" si="77"/>
        <v>12</v>
      </c>
      <c r="D416" s="37">
        <f t="shared" si="77"/>
        <v>335</v>
      </c>
      <c r="E416" s="37">
        <f t="shared" si="77"/>
        <v>692</v>
      </c>
      <c r="F416" s="37">
        <f t="shared" si="77"/>
        <v>2161</v>
      </c>
      <c r="G416" s="37">
        <f t="shared" si="77"/>
        <v>2039</v>
      </c>
      <c r="H416" s="37">
        <f t="shared" si="77"/>
        <v>3100</v>
      </c>
      <c r="I416" s="37">
        <f t="shared" si="77"/>
        <v>292</v>
      </c>
      <c r="J416" s="37" t="str">
        <f t="shared" si="77"/>
        <v>-</v>
      </c>
      <c r="K416" s="37">
        <f t="shared" si="77"/>
        <v>8631</v>
      </c>
      <c r="L416" s="17"/>
      <c r="M416" s="3"/>
      <c r="N416" s="3"/>
      <c r="O416" s="3"/>
      <c r="P416" s="3"/>
      <c r="Q416" s="3"/>
      <c r="R416" s="3"/>
    </row>
    <row r="417" spans="1:18" s="366" customFormat="1" ht="11.25" customHeight="1" x14ac:dyDescent="0.2">
      <c r="A417" s="118">
        <v>2018</v>
      </c>
      <c r="B417" s="37">
        <f t="shared" ref="B417:K417" si="78">B95</f>
        <v>0</v>
      </c>
      <c r="C417" s="37">
        <f t="shared" si="78"/>
        <v>0</v>
      </c>
      <c r="D417" s="37">
        <f t="shared" si="78"/>
        <v>354</v>
      </c>
      <c r="E417" s="37">
        <f t="shared" si="78"/>
        <v>332</v>
      </c>
      <c r="F417" s="37">
        <f t="shared" si="78"/>
        <v>1533</v>
      </c>
      <c r="G417" s="37">
        <f t="shared" si="78"/>
        <v>4541</v>
      </c>
      <c r="H417" s="37">
        <f t="shared" si="78"/>
        <v>3670</v>
      </c>
      <c r="I417" s="37">
        <f t="shared" si="78"/>
        <v>829</v>
      </c>
      <c r="J417" s="37" t="str">
        <f t="shared" si="78"/>
        <v>-</v>
      </c>
      <c r="K417" s="37">
        <f t="shared" si="78"/>
        <v>11259</v>
      </c>
      <c r="L417" s="18"/>
      <c r="M417" s="6"/>
      <c r="N417" s="6"/>
      <c r="O417" s="6"/>
      <c r="P417" s="6"/>
      <c r="Q417" s="6"/>
      <c r="R417" s="6"/>
    </row>
    <row r="418" spans="1:18" s="489" customFormat="1" ht="11.25" customHeight="1" x14ac:dyDescent="0.2">
      <c r="A418" s="118">
        <v>2019</v>
      </c>
      <c r="B418" s="37">
        <f t="shared" ref="B418:K419" si="79">B96</f>
        <v>0</v>
      </c>
      <c r="C418" s="37">
        <f t="shared" si="79"/>
        <v>0</v>
      </c>
      <c r="D418" s="37">
        <f t="shared" si="79"/>
        <v>293</v>
      </c>
      <c r="E418" s="37">
        <f t="shared" si="79"/>
        <v>2061</v>
      </c>
      <c r="F418" s="37">
        <f t="shared" si="79"/>
        <v>8113</v>
      </c>
      <c r="G418" s="37">
        <f t="shared" si="79"/>
        <v>6440</v>
      </c>
      <c r="H418" s="37">
        <f t="shared" si="79"/>
        <v>2725</v>
      </c>
      <c r="I418" s="37">
        <f t="shared" si="79"/>
        <v>1470</v>
      </c>
      <c r="J418" s="37" t="str">
        <f t="shared" si="79"/>
        <v>-</v>
      </c>
      <c r="K418" s="37">
        <f t="shared" si="79"/>
        <v>21102</v>
      </c>
      <c r="L418" s="18"/>
      <c r="M418" s="6"/>
      <c r="N418" s="6"/>
      <c r="O418" s="6"/>
      <c r="P418" s="6"/>
      <c r="Q418" s="6"/>
      <c r="R418" s="6"/>
    </row>
    <row r="419" spans="1:18" ht="11.25" customHeight="1" x14ac:dyDescent="0.2">
      <c r="A419" s="118" t="s">
        <v>393</v>
      </c>
      <c r="B419" s="37">
        <f t="shared" si="79"/>
        <v>8</v>
      </c>
      <c r="C419" s="37">
        <f t="shared" si="79"/>
        <v>0</v>
      </c>
      <c r="D419" s="37">
        <f t="shared" si="79"/>
        <v>114</v>
      </c>
      <c r="E419" s="37">
        <f t="shared" si="79"/>
        <v>230</v>
      </c>
      <c r="F419" s="37">
        <f t="shared" si="79"/>
        <v>4125</v>
      </c>
      <c r="G419" s="37">
        <f t="shared" si="79"/>
        <v>3076</v>
      </c>
      <c r="H419" s="37">
        <f t="shared" si="79"/>
        <v>4240</v>
      </c>
      <c r="I419" s="37">
        <f t="shared" si="79"/>
        <v>1401</v>
      </c>
      <c r="J419" s="37" t="str">
        <f t="shared" si="79"/>
        <v>-</v>
      </c>
      <c r="K419" s="37">
        <f t="shared" si="79"/>
        <v>13194</v>
      </c>
      <c r="L419" s="17"/>
      <c r="M419" s="3"/>
      <c r="N419" s="3"/>
      <c r="O419" s="3"/>
      <c r="P419" s="3"/>
      <c r="Q419" s="3"/>
      <c r="R419" s="3"/>
    </row>
    <row r="420" spans="1:18" ht="11.25" customHeight="1" x14ac:dyDescent="0.2">
      <c r="A420" s="371"/>
      <c r="B420" s="24"/>
      <c r="C420" s="24"/>
      <c r="D420" s="24"/>
      <c r="E420" s="24"/>
      <c r="F420" s="24"/>
      <c r="G420" s="24"/>
      <c r="H420" s="24"/>
      <c r="I420" s="24"/>
      <c r="J420" s="24"/>
      <c r="K420" s="24"/>
      <c r="L420" s="7"/>
      <c r="M420" s="7"/>
      <c r="N420" s="7"/>
      <c r="O420" s="7"/>
      <c r="P420" s="7"/>
      <c r="Q420" s="7"/>
      <c r="R420" s="7"/>
    </row>
    <row r="421" spans="1:18" ht="11.25" customHeight="1" x14ac:dyDescent="0.2">
      <c r="A421" s="560" t="s">
        <v>361</v>
      </c>
      <c r="B421" s="560"/>
      <c r="C421" s="560"/>
      <c r="D421" s="560"/>
      <c r="E421" s="560"/>
      <c r="F421" s="560"/>
      <c r="G421" s="560"/>
      <c r="H421" s="560"/>
      <c r="I421" s="560"/>
      <c r="J421" s="560"/>
      <c r="K421" s="560"/>
      <c r="L421" s="7"/>
      <c r="M421" s="7"/>
      <c r="N421" s="7"/>
      <c r="O421" s="7"/>
      <c r="P421" s="7"/>
      <c r="Q421" s="7"/>
      <c r="R421" s="7"/>
    </row>
    <row r="422" spans="1:18" ht="11.25" customHeight="1" x14ac:dyDescent="0.2">
      <c r="A422" s="124" t="s">
        <v>49</v>
      </c>
      <c r="B422" s="421" t="s">
        <v>43</v>
      </c>
      <c r="C422" s="421" t="s">
        <v>34</v>
      </c>
      <c r="D422" s="421" t="s">
        <v>35</v>
      </c>
      <c r="E422" s="421" t="s">
        <v>36</v>
      </c>
      <c r="F422" s="421" t="s">
        <v>37</v>
      </c>
      <c r="G422" s="421" t="s">
        <v>38</v>
      </c>
      <c r="H422" s="421" t="s">
        <v>39</v>
      </c>
      <c r="I422" s="421" t="s">
        <v>40</v>
      </c>
      <c r="J422" s="421" t="s">
        <v>44</v>
      </c>
      <c r="K422" s="421" t="s">
        <v>28</v>
      </c>
      <c r="L422" s="7"/>
      <c r="M422" s="7"/>
      <c r="N422" s="7"/>
      <c r="O422" s="7"/>
      <c r="P422" s="7"/>
      <c r="Q422" s="7"/>
      <c r="R422" s="7"/>
    </row>
    <row r="423" spans="1:18" ht="11.25" customHeight="1" x14ac:dyDescent="0.2">
      <c r="A423" s="418" t="str">
        <f>A99</f>
        <v>Newport</v>
      </c>
      <c r="B423" s="24"/>
      <c r="C423" s="24"/>
      <c r="D423" s="24"/>
      <c r="E423" s="24"/>
      <c r="F423" s="24"/>
      <c r="G423" s="24"/>
      <c r="H423" s="24"/>
      <c r="I423" s="24"/>
      <c r="J423" s="24"/>
      <c r="K423" s="24"/>
      <c r="L423" s="17"/>
      <c r="M423" s="3"/>
      <c r="N423" s="3"/>
      <c r="O423" s="3"/>
      <c r="P423" s="3"/>
      <c r="Q423" s="3"/>
      <c r="R423" s="3"/>
    </row>
    <row r="424" spans="1:18" ht="11.25" customHeight="1" x14ac:dyDescent="0.2">
      <c r="A424" s="371" t="s">
        <v>30</v>
      </c>
      <c r="B424" s="24" t="s">
        <v>29</v>
      </c>
      <c r="C424" s="24" t="s">
        <v>29</v>
      </c>
      <c r="D424" s="24">
        <f t="shared" ref="D424:K424" si="80">AVERAGE(D105:D109)</f>
        <v>1236.5</v>
      </c>
      <c r="E424" s="24">
        <f t="shared" si="80"/>
        <v>6382.666666666667</v>
      </c>
      <c r="F424" s="24">
        <f t="shared" si="80"/>
        <v>28951.4</v>
      </c>
      <c r="G424" s="24">
        <f t="shared" si="80"/>
        <v>25961</v>
      </c>
      <c r="H424" s="24">
        <f t="shared" si="80"/>
        <v>3812.25</v>
      </c>
      <c r="I424" s="24" t="s">
        <v>116</v>
      </c>
      <c r="J424" s="24" t="s">
        <v>29</v>
      </c>
      <c r="K424" s="24">
        <f t="shared" si="80"/>
        <v>57094.2</v>
      </c>
      <c r="L424" s="17"/>
      <c r="M424" s="3"/>
      <c r="N424" s="3"/>
      <c r="O424" s="3"/>
      <c r="P424" s="3"/>
      <c r="Q424" s="3"/>
      <c r="R424" s="3"/>
    </row>
    <row r="425" spans="1:18" ht="11.25" customHeight="1" x14ac:dyDescent="0.2">
      <c r="A425" s="371" t="s">
        <v>87</v>
      </c>
      <c r="B425" s="24" t="s">
        <v>29</v>
      </c>
      <c r="C425" s="24" t="s">
        <v>29</v>
      </c>
      <c r="D425" s="24">
        <f t="shared" ref="D425:K425" si="81">AVERAGE(D110:D114)</f>
        <v>997</v>
      </c>
      <c r="E425" s="24">
        <f t="shared" si="81"/>
        <v>7788.8</v>
      </c>
      <c r="F425" s="24">
        <f t="shared" si="81"/>
        <v>37404</v>
      </c>
      <c r="G425" s="24">
        <f t="shared" si="81"/>
        <v>23999.599999999999</v>
      </c>
      <c r="H425" s="24">
        <f t="shared" si="81"/>
        <v>5730.25</v>
      </c>
      <c r="I425" s="24" t="s">
        <v>29</v>
      </c>
      <c r="J425" s="24" t="s">
        <v>29</v>
      </c>
      <c r="K425" s="24">
        <f t="shared" si="81"/>
        <v>74574.2</v>
      </c>
      <c r="L425" s="17"/>
      <c r="M425" s="3"/>
      <c r="N425" s="3"/>
      <c r="O425" s="3"/>
      <c r="P425" s="3"/>
      <c r="Q425" s="3"/>
      <c r="R425" s="3"/>
    </row>
    <row r="426" spans="1:18" ht="11.25" customHeight="1" x14ac:dyDescent="0.2">
      <c r="A426" s="371" t="s">
        <v>14</v>
      </c>
      <c r="B426" s="24" t="s">
        <v>29</v>
      </c>
      <c r="C426" s="24" t="s">
        <v>29</v>
      </c>
      <c r="D426" s="24">
        <f t="shared" ref="D426:I426" si="82">AVERAGE(D115:D119)</f>
        <v>484.2</v>
      </c>
      <c r="E426" s="24">
        <f t="shared" si="82"/>
        <v>3881.4</v>
      </c>
      <c r="F426" s="24">
        <f t="shared" si="82"/>
        <v>26681.666666666668</v>
      </c>
      <c r="G426" s="24">
        <f t="shared" si="82"/>
        <v>9836.5</v>
      </c>
      <c r="H426" s="24">
        <f t="shared" si="82"/>
        <v>1389</v>
      </c>
      <c r="I426" s="24">
        <f t="shared" si="82"/>
        <v>117</v>
      </c>
      <c r="J426" s="24" t="s">
        <v>29</v>
      </c>
      <c r="K426" s="24">
        <f>AVERAGE(K115:K119)</f>
        <v>24888.2</v>
      </c>
      <c r="L426" s="17"/>
      <c r="M426" s="3"/>
      <c r="N426" s="3"/>
      <c r="O426" s="3"/>
      <c r="P426" s="3"/>
      <c r="Q426" s="3"/>
      <c r="R426" s="3"/>
    </row>
    <row r="427" spans="1:18" ht="11.25" customHeight="1" x14ac:dyDescent="0.2">
      <c r="A427" s="371" t="s">
        <v>207</v>
      </c>
      <c r="B427" s="24" t="s">
        <v>29</v>
      </c>
      <c r="C427" s="24" t="s">
        <v>29</v>
      </c>
      <c r="D427" s="24">
        <f t="shared" ref="D427:I427" si="83">AVERAGE(D120:D124)</f>
        <v>101</v>
      </c>
      <c r="E427" s="24">
        <f t="shared" si="83"/>
        <v>113.6</v>
      </c>
      <c r="F427" s="24">
        <f t="shared" si="83"/>
        <v>3818.6</v>
      </c>
      <c r="G427" s="24">
        <f t="shared" si="83"/>
        <v>1089.8</v>
      </c>
      <c r="H427" s="24">
        <f t="shared" si="83"/>
        <v>248.6</v>
      </c>
      <c r="I427" s="24">
        <f t="shared" si="83"/>
        <v>29.333333333333332</v>
      </c>
      <c r="J427" s="24" t="s">
        <v>29</v>
      </c>
      <c r="K427" s="24">
        <f>AVERAGE(K120:K124)</f>
        <v>5396.2</v>
      </c>
      <c r="L427" s="17"/>
      <c r="M427" s="3"/>
      <c r="N427" s="3"/>
      <c r="O427" s="3"/>
      <c r="P427" s="3"/>
      <c r="Q427" s="3"/>
      <c r="R427" s="3"/>
    </row>
    <row r="428" spans="1:18" ht="11.25" customHeight="1" x14ac:dyDescent="0.2">
      <c r="A428" s="118" t="s">
        <v>238</v>
      </c>
      <c r="B428" s="24">
        <f t="shared" ref="B428:I428" si="84">AVERAGE(B125:B129)</f>
        <v>20</v>
      </c>
      <c r="C428" s="24">
        <f t="shared" si="84"/>
        <v>76.599999999999994</v>
      </c>
      <c r="D428" s="24">
        <f t="shared" si="84"/>
        <v>235.2</v>
      </c>
      <c r="E428" s="24">
        <f t="shared" si="84"/>
        <v>3896</v>
      </c>
      <c r="F428" s="24">
        <f t="shared" si="84"/>
        <v>13532.4</v>
      </c>
      <c r="G428" s="24">
        <f t="shared" si="84"/>
        <v>6509.4</v>
      </c>
      <c r="H428" s="24">
        <f t="shared" si="84"/>
        <v>2064.4</v>
      </c>
      <c r="I428" s="24">
        <f t="shared" si="84"/>
        <v>397.4</v>
      </c>
      <c r="J428" s="24" t="str">
        <f>J125</f>
        <v>-</v>
      </c>
      <c r="K428" s="24">
        <f>AVERAGE(K125:K129)</f>
        <v>26723.4</v>
      </c>
      <c r="L428" s="17"/>
      <c r="M428" s="3"/>
      <c r="N428" s="3"/>
      <c r="O428" s="3"/>
      <c r="P428" s="3"/>
      <c r="Q428" s="3"/>
      <c r="R428" s="3"/>
    </row>
    <row r="429" spans="1:18" ht="11.25" customHeight="1" x14ac:dyDescent="0.2">
      <c r="A429" s="118">
        <v>2006</v>
      </c>
      <c r="B429" s="24">
        <f t="shared" ref="B429:K429" si="85">B130</f>
        <v>8</v>
      </c>
      <c r="C429" s="24">
        <f t="shared" si="85"/>
        <v>43</v>
      </c>
      <c r="D429" s="24">
        <f t="shared" si="85"/>
        <v>139</v>
      </c>
      <c r="E429" s="24">
        <f t="shared" si="85"/>
        <v>1593</v>
      </c>
      <c r="F429" s="24">
        <f t="shared" si="85"/>
        <v>5785</v>
      </c>
      <c r="G429" s="24">
        <f t="shared" si="85"/>
        <v>584</v>
      </c>
      <c r="H429" s="24">
        <f t="shared" si="85"/>
        <v>1919</v>
      </c>
      <c r="I429" s="24">
        <f t="shared" si="85"/>
        <v>299</v>
      </c>
      <c r="J429" s="24" t="str">
        <f t="shared" si="85"/>
        <v>-</v>
      </c>
      <c r="K429" s="24">
        <f t="shared" si="85"/>
        <v>10370</v>
      </c>
      <c r="L429" s="17"/>
      <c r="M429" s="3"/>
      <c r="N429" s="3"/>
      <c r="O429" s="3"/>
      <c r="P429" s="3"/>
      <c r="Q429" s="3"/>
      <c r="R429" s="3"/>
    </row>
    <row r="430" spans="1:18" s="366" customFormat="1" ht="11.25" customHeight="1" x14ac:dyDescent="0.2">
      <c r="A430" s="118">
        <v>2007</v>
      </c>
      <c r="B430" s="37">
        <f t="shared" ref="B430:K430" si="86">B131</f>
        <v>19</v>
      </c>
      <c r="C430" s="37">
        <f t="shared" si="86"/>
        <v>26</v>
      </c>
      <c r="D430" s="37">
        <f t="shared" si="86"/>
        <v>87</v>
      </c>
      <c r="E430" s="37">
        <f t="shared" si="86"/>
        <v>3472</v>
      </c>
      <c r="F430" s="37">
        <f t="shared" si="86"/>
        <v>8013</v>
      </c>
      <c r="G430" s="37">
        <f t="shared" si="86"/>
        <v>8284</v>
      </c>
      <c r="H430" s="37">
        <f t="shared" si="86"/>
        <v>778</v>
      </c>
      <c r="I430" s="37">
        <f t="shared" si="86"/>
        <v>46</v>
      </c>
      <c r="J430" s="37">
        <f t="shared" si="86"/>
        <v>40</v>
      </c>
      <c r="K430" s="37">
        <f t="shared" si="86"/>
        <v>20765</v>
      </c>
      <c r="L430" s="18"/>
      <c r="M430" s="6"/>
      <c r="N430" s="6"/>
      <c r="O430" s="6"/>
      <c r="P430" s="6"/>
      <c r="Q430" s="6"/>
      <c r="R430" s="6"/>
    </row>
    <row r="431" spans="1:18" s="366" customFormat="1" ht="11.25" customHeight="1" x14ac:dyDescent="0.2">
      <c r="A431" s="118">
        <v>2008</v>
      </c>
      <c r="B431" s="37" t="str">
        <f t="shared" ref="B431:K431" si="87">B132</f>
        <v>-</v>
      </c>
      <c r="C431" s="37" t="str">
        <f t="shared" si="87"/>
        <v>-</v>
      </c>
      <c r="D431" s="37" t="str">
        <f t="shared" si="87"/>
        <v>-</v>
      </c>
      <c r="E431" s="37">
        <f t="shared" si="87"/>
        <v>1128</v>
      </c>
      <c r="F431" s="37">
        <f t="shared" si="87"/>
        <v>2301</v>
      </c>
      <c r="G431" s="37">
        <f t="shared" si="87"/>
        <v>2020</v>
      </c>
      <c r="H431" s="37" t="str">
        <f t="shared" si="87"/>
        <v>-</v>
      </c>
      <c r="I431" s="37" t="str">
        <f t="shared" si="87"/>
        <v>-</v>
      </c>
      <c r="J431" s="37" t="str">
        <f t="shared" si="87"/>
        <v>-</v>
      </c>
      <c r="K431" s="37">
        <f t="shared" si="87"/>
        <v>5449</v>
      </c>
      <c r="L431" s="18"/>
      <c r="M431" s="6"/>
      <c r="N431" s="6"/>
      <c r="O431" s="6"/>
      <c r="P431" s="6"/>
      <c r="Q431" s="6"/>
      <c r="R431" s="6"/>
    </row>
    <row r="432" spans="1:18" s="366" customFormat="1" ht="11.25" customHeight="1" x14ac:dyDescent="0.2">
      <c r="A432" s="118">
        <v>2009</v>
      </c>
      <c r="B432" s="37" t="str">
        <f t="shared" ref="B432:K432" si="88">B133</f>
        <v>-</v>
      </c>
      <c r="C432" s="37" t="str">
        <f t="shared" si="88"/>
        <v>-</v>
      </c>
      <c r="D432" s="37" t="str">
        <f t="shared" si="88"/>
        <v>-</v>
      </c>
      <c r="E432" s="37">
        <f t="shared" si="88"/>
        <v>2126</v>
      </c>
      <c r="F432" s="37">
        <f t="shared" si="88"/>
        <v>13786</v>
      </c>
      <c r="G432" s="37">
        <f t="shared" si="88"/>
        <v>12307</v>
      </c>
      <c r="H432" s="37">
        <f t="shared" si="88"/>
        <v>1388</v>
      </c>
      <c r="I432" s="37" t="str">
        <f t="shared" si="88"/>
        <v>-</v>
      </c>
      <c r="J432" s="37" t="str">
        <f t="shared" si="88"/>
        <v>-</v>
      </c>
      <c r="K432" s="37">
        <f t="shared" si="88"/>
        <v>29607</v>
      </c>
      <c r="L432" s="18"/>
      <c r="M432" s="6"/>
      <c r="N432" s="6"/>
      <c r="O432" s="6"/>
      <c r="P432" s="6"/>
      <c r="Q432" s="6"/>
      <c r="R432" s="6"/>
    </row>
    <row r="433" spans="1:18" s="366" customFormat="1" ht="11.25" customHeight="1" x14ac:dyDescent="0.2">
      <c r="A433" s="118">
        <v>2010</v>
      </c>
      <c r="B433" s="37" t="str">
        <f t="shared" ref="B433:K433" si="89">B134</f>
        <v>-</v>
      </c>
      <c r="C433" s="37" t="str">
        <f t="shared" si="89"/>
        <v>-</v>
      </c>
      <c r="D433" s="37">
        <f t="shared" si="89"/>
        <v>349</v>
      </c>
      <c r="E433" s="37">
        <f t="shared" si="89"/>
        <v>1093</v>
      </c>
      <c r="F433" s="37">
        <f t="shared" si="89"/>
        <v>2933</v>
      </c>
      <c r="G433" s="37">
        <f t="shared" si="89"/>
        <v>8491</v>
      </c>
      <c r="H433" s="37">
        <f t="shared" si="89"/>
        <v>2127</v>
      </c>
      <c r="I433" s="37" t="str">
        <f t="shared" si="89"/>
        <v>-</v>
      </c>
      <c r="J433" s="37" t="str">
        <f t="shared" si="89"/>
        <v>-</v>
      </c>
      <c r="K433" s="37">
        <f t="shared" si="89"/>
        <v>14993</v>
      </c>
      <c r="L433" s="18"/>
      <c r="M433" s="6"/>
      <c r="N433" s="6"/>
      <c r="O433" s="6"/>
      <c r="P433" s="6"/>
      <c r="Q433" s="6"/>
      <c r="R433" s="6"/>
    </row>
    <row r="434" spans="1:18" s="366" customFormat="1" ht="11.25" customHeight="1" x14ac:dyDescent="0.2">
      <c r="A434" s="118">
        <v>2011</v>
      </c>
      <c r="B434" s="37">
        <f t="shared" ref="B434:K434" si="90">B135</f>
        <v>20</v>
      </c>
      <c r="C434" s="37">
        <f t="shared" si="90"/>
        <v>2</v>
      </c>
      <c r="D434" s="37">
        <f t="shared" si="90"/>
        <v>103</v>
      </c>
      <c r="E434" s="37">
        <f t="shared" si="90"/>
        <v>847</v>
      </c>
      <c r="F434" s="37">
        <f t="shared" si="90"/>
        <v>4550</v>
      </c>
      <c r="G434" s="37">
        <f t="shared" si="90"/>
        <v>2518</v>
      </c>
      <c r="H434" s="37">
        <f t="shared" si="90"/>
        <v>3913</v>
      </c>
      <c r="I434" s="37" t="str">
        <f t="shared" si="90"/>
        <v>-</v>
      </c>
      <c r="J434" s="37" t="str">
        <f t="shared" si="90"/>
        <v>-</v>
      </c>
      <c r="K434" s="37">
        <f t="shared" si="90"/>
        <v>11953</v>
      </c>
      <c r="L434" s="18"/>
      <c r="M434" s="6"/>
      <c r="N434" s="6"/>
      <c r="O434" s="6"/>
      <c r="P434" s="6"/>
      <c r="Q434" s="6"/>
      <c r="R434" s="6"/>
    </row>
    <row r="435" spans="1:18" s="366" customFormat="1" ht="11.25" customHeight="1" x14ac:dyDescent="0.2">
      <c r="A435" s="118">
        <v>2012</v>
      </c>
      <c r="B435" s="37">
        <f t="shared" ref="B435:K435" si="91">B136</f>
        <v>23</v>
      </c>
      <c r="C435" s="37">
        <f t="shared" si="91"/>
        <v>290</v>
      </c>
      <c r="D435" s="37">
        <f t="shared" si="91"/>
        <v>325</v>
      </c>
      <c r="E435" s="37">
        <f t="shared" si="91"/>
        <v>658</v>
      </c>
      <c r="F435" s="37">
        <f t="shared" si="91"/>
        <v>3425</v>
      </c>
      <c r="G435" s="37">
        <f t="shared" si="91"/>
        <v>4030</v>
      </c>
      <c r="H435" s="37">
        <f t="shared" si="91"/>
        <v>5947</v>
      </c>
      <c r="I435" s="37">
        <f t="shared" si="91"/>
        <v>107</v>
      </c>
      <c r="J435" s="37" t="str">
        <f t="shared" si="91"/>
        <v>-</v>
      </c>
      <c r="K435" s="37">
        <f t="shared" si="91"/>
        <v>14805</v>
      </c>
      <c r="L435" s="18"/>
      <c r="M435" s="6"/>
      <c r="N435" s="6"/>
      <c r="O435" s="6"/>
      <c r="P435" s="6"/>
      <c r="Q435" s="6"/>
      <c r="R435" s="6"/>
    </row>
    <row r="436" spans="1:18" s="366" customFormat="1" ht="11.25" customHeight="1" x14ac:dyDescent="0.2">
      <c r="A436" s="118">
        <v>2013</v>
      </c>
      <c r="B436" s="37">
        <f t="shared" ref="B436:K436" si="92">B137</f>
        <v>354</v>
      </c>
      <c r="C436" s="37">
        <f t="shared" si="92"/>
        <v>441</v>
      </c>
      <c r="D436" s="37">
        <f t="shared" si="92"/>
        <v>204</v>
      </c>
      <c r="E436" s="37">
        <f t="shared" si="92"/>
        <v>425</v>
      </c>
      <c r="F436" s="37">
        <f t="shared" si="92"/>
        <v>5037</v>
      </c>
      <c r="G436" s="37">
        <f t="shared" si="92"/>
        <v>4073</v>
      </c>
      <c r="H436" s="37">
        <f t="shared" si="92"/>
        <v>4606</v>
      </c>
      <c r="I436" s="37">
        <f t="shared" si="92"/>
        <v>188</v>
      </c>
      <c r="J436" s="37" t="str">
        <f t="shared" si="92"/>
        <v>-</v>
      </c>
      <c r="K436" s="37">
        <f t="shared" si="92"/>
        <v>15328</v>
      </c>
      <c r="L436" s="18"/>
      <c r="M436" s="6"/>
      <c r="N436" s="6"/>
      <c r="O436" s="6"/>
      <c r="P436" s="6"/>
      <c r="Q436" s="6"/>
      <c r="R436" s="6"/>
    </row>
    <row r="437" spans="1:18" ht="11.25" customHeight="1" x14ac:dyDescent="0.2">
      <c r="A437" s="118">
        <v>2014</v>
      </c>
      <c r="B437" s="37">
        <f t="shared" ref="B437:K437" si="93">B138</f>
        <v>87</v>
      </c>
      <c r="C437" s="37">
        <f t="shared" si="93"/>
        <v>83</v>
      </c>
      <c r="D437" s="37">
        <f t="shared" si="93"/>
        <v>492</v>
      </c>
      <c r="E437" s="37">
        <f t="shared" si="93"/>
        <v>2235</v>
      </c>
      <c r="F437" s="37">
        <f t="shared" si="93"/>
        <v>15116</v>
      </c>
      <c r="G437" s="37">
        <f t="shared" si="93"/>
        <v>9307</v>
      </c>
      <c r="H437" s="37">
        <f t="shared" si="93"/>
        <v>9804</v>
      </c>
      <c r="I437" s="37">
        <f t="shared" si="93"/>
        <v>63</v>
      </c>
      <c r="J437" s="37" t="str">
        <f t="shared" si="93"/>
        <v>-</v>
      </c>
      <c r="K437" s="37">
        <f t="shared" si="93"/>
        <v>37187</v>
      </c>
      <c r="L437" s="17"/>
      <c r="M437" s="3"/>
      <c r="N437" s="3"/>
      <c r="O437" s="3"/>
      <c r="P437" s="3"/>
      <c r="Q437" s="3"/>
      <c r="R437" s="3"/>
    </row>
    <row r="438" spans="1:18" s="366" customFormat="1" ht="11.25" customHeight="1" x14ac:dyDescent="0.2">
      <c r="A438" s="118">
        <v>2015</v>
      </c>
      <c r="B438" s="37">
        <f t="shared" ref="B438:K438" si="94">B139</f>
        <v>48</v>
      </c>
      <c r="C438" s="37">
        <f t="shared" si="94"/>
        <v>76</v>
      </c>
      <c r="D438" s="37">
        <f t="shared" si="94"/>
        <v>136</v>
      </c>
      <c r="E438" s="37">
        <f t="shared" si="94"/>
        <v>716</v>
      </c>
      <c r="F438" s="37">
        <f t="shared" si="94"/>
        <v>9102</v>
      </c>
      <c r="G438" s="37">
        <f t="shared" si="94"/>
        <v>2369</v>
      </c>
      <c r="H438" s="37">
        <f t="shared" si="94"/>
        <v>5680</v>
      </c>
      <c r="I438" s="37">
        <f t="shared" si="94"/>
        <v>75</v>
      </c>
      <c r="J438" s="37" t="str">
        <f t="shared" si="94"/>
        <v>-</v>
      </c>
      <c r="K438" s="37">
        <f t="shared" si="94"/>
        <v>18202</v>
      </c>
      <c r="L438" s="18"/>
      <c r="M438" s="6"/>
      <c r="N438" s="6"/>
      <c r="O438" s="6"/>
      <c r="P438" s="6"/>
      <c r="Q438" s="6"/>
      <c r="R438" s="6"/>
    </row>
    <row r="439" spans="1:18" s="366" customFormat="1" ht="11.25" customHeight="1" x14ac:dyDescent="0.2">
      <c r="A439" s="118">
        <v>2016</v>
      </c>
      <c r="B439" s="37">
        <f t="shared" ref="B439:K439" si="95">B140</f>
        <v>50</v>
      </c>
      <c r="C439" s="37">
        <f t="shared" si="95"/>
        <v>9</v>
      </c>
      <c r="D439" s="37">
        <f t="shared" si="95"/>
        <v>41</v>
      </c>
      <c r="E439" s="37">
        <f t="shared" si="95"/>
        <v>647</v>
      </c>
      <c r="F439" s="37">
        <f t="shared" si="95"/>
        <v>2448</v>
      </c>
      <c r="G439" s="37">
        <f t="shared" si="95"/>
        <v>1037</v>
      </c>
      <c r="H439" s="37">
        <f t="shared" si="95"/>
        <v>3886</v>
      </c>
      <c r="I439" s="37">
        <f t="shared" si="95"/>
        <v>75</v>
      </c>
      <c r="J439" s="37" t="str">
        <f t="shared" si="95"/>
        <v>-</v>
      </c>
      <c r="K439" s="37">
        <f t="shared" si="95"/>
        <v>8193</v>
      </c>
      <c r="L439" s="18"/>
      <c r="M439" s="6"/>
      <c r="N439" s="6"/>
      <c r="O439" s="6"/>
      <c r="P439" s="6"/>
      <c r="Q439" s="6"/>
      <c r="R439" s="6"/>
    </row>
    <row r="440" spans="1:18" ht="11.25" customHeight="1" x14ac:dyDescent="0.2">
      <c r="A440" s="118">
        <v>2017</v>
      </c>
      <c r="B440" s="37">
        <f t="shared" ref="B440:K440" si="96">B141</f>
        <v>0</v>
      </c>
      <c r="C440" s="37">
        <f t="shared" si="96"/>
        <v>0</v>
      </c>
      <c r="D440" s="37">
        <f t="shared" si="96"/>
        <v>12</v>
      </c>
      <c r="E440" s="37">
        <f t="shared" si="96"/>
        <v>299</v>
      </c>
      <c r="F440" s="37">
        <f t="shared" si="96"/>
        <v>4528</v>
      </c>
      <c r="G440" s="37">
        <f t="shared" si="96"/>
        <v>2751</v>
      </c>
      <c r="H440" s="37">
        <f t="shared" si="96"/>
        <v>2603</v>
      </c>
      <c r="I440" s="37">
        <f t="shared" si="96"/>
        <v>89</v>
      </c>
      <c r="J440" s="37" t="str">
        <f t="shared" si="96"/>
        <v>-</v>
      </c>
      <c r="K440" s="37">
        <f t="shared" si="96"/>
        <v>10282</v>
      </c>
      <c r="L440" s="17"/>
      <c r="M440" s="3"/>
      <c r="N440" s="3"/>
      <c r="O440" s="3"/>
      <c r="P440" s="3"/>
      <c r="Q440" s="3"/>
      <c r="R440" s="3"/>
    </row>
    <row r="441" spans="1:18" s="366" customFormat="1" ht="11.25" customHeight="1" x14ac:dyDescent="0.2">
      <c r="A441" s="118">
        <v>2018</v>
      </c>
      <c r="B441" s="37">
        <f t="shared" ref="B441:K441" si="97">B142</f>
        <v>39</v>
      </c>
      <c r="C441" s="37">
        <f t="shared" si="97"/>
        <v>0</v>
      </c>
      <c r="D441" s="37">
        <f t="shared" si="97"/>
        <v>125</v>
      </c>
      <c r="E441" s="37">
        <f t="shared" si="97"/>
        <v>538</v>
      </c>
      <c r="F441" s="37">
        <f t="shared" si="97"/>
        <v>5623</v>
      </c>
      <c r="G441" s="37">
        <f t="shared" si="97"/>
        <v>11666</v>
      </c>
      <c r="H441" s="37">
        <f t="shared" si="97"/>
        <v>5502</v>
      </c>
      <c r="I441" s="37">
        <f t="shared" si="97"/>
        <v>70</v>
      </c>
      <c r="J441" s="37" t="str">
        <f t="shared" si="97"/>
        <v>-</v>
      </c>
      <c r="K441" s="37">
        <f t="shared" si="97"/>
        <v>23563</v>
      </c>
      <c r="L441" s="18"/>
      <c r="M441" s="6"/>
      <c r="N441" s="6"/>
      <c r="O441" s="6"/>
      <c r="P441" s="6"/>
      <c r="Q441" s="6"/>
      <c r="R441" s="6"/>
    </row>
    <row r="442" spans="1:18" s="489" customFormat="1" ht="11.25" customHeight="1" x14ac:dyDescent="0.2">
      <c r="A442" s="118">
        <v>2019</v>
      </c>
      <c r="B442" s="37">
        <f t="shared" ref="B442:K443" si="98">B143</f>
        <v>37</v>
      </c>
      <c r="C442" s="37">
        <f t="shared" si="98"/>
        <v>0</v>
      </c>
      <c r="D442" s="37">
        <f t="shared" si="98"/>
        <v>65</v>
      </c>
      <c r="E442" s="37">
        <f t="shared" si="98"/>
        <v>2864</v>
      </c>
      <c r="F442" s="37">
        <f t="shared" si="98"/>
        <v>16935</v>
      </c>
      <c r="G442" s="37">
        <f t="shared" si="98"/>
        <v>11609</v>
      </c>
      <c r="H442" s="37">
        <f t="shared" si="98"/>
        <v>3507</v>
      </c>
      <c r="I442" s="37">
        <f t="shared" si="98"/>
        <v>96</v>
      </c>
      <c r="J442" s="37" t="str">
        <f t="shared" si="98"/>
        <v>-</v>
      </c>
      <c r="K442" s="37">
        <f t="shared" si="98"/>
        <v>35113</v>
      </c>
      <c r="L442" s="18"/>
      <c r="M442" s="6"/>
      <c r="N442" s="6"/>
      <c r="O442" s="6"/>
      <c r="P442" s="6"/>
      <c r="Q442" s="6"/>
      <c r="R442" s="6"/>
    </row>
    <row r="443" spans="1:18" ht="11.25" customHeight="1" x14ac:dyDescent="0.2">
      <c r="A443" s="118" t="s">
        <v>393</v>
      </c>
      <c r="B443" s="37">
        <f t="shared" si="98"/>
        <v>0</v>
      </c>
      <c r="C443" s="37">
        <f t="shared" si="98"/>
        <v>44</v>
      </c>
      <c r="D443" s="37">
        <f t="shared" si="98"/>
        <v>92</v>
      </c>
      <c r="E443" s="37">
        <f t="shared" si="98"/>
        <v>251</v>
      </c>
      <c r="F443" s="37">
        <f t="shared" si="98"/>
        <v>9740</v>
      </c>
      <c r="G443" s="37">
        <f t="shared" si="98"/>
        <v>4942</v>
      </c>
      <c r="H443" s="37">
        <f t="shared" si="98"/>
        <v>3370</v>
      </c>
      <c r="I443" s="37">
        <f t="shared" si="98"/>
        <v>178</v>
      </c>
      <c r="J443" s="37" t="str">
        <f t="shared" si="98"/>
        <v>-</v>
      </c>
      <c r="K443" s="37">
        <f t="shared" si="98"/>
        <v>18617</v>
      </c>
      <c r="L443" s="17"/>
      <c r="M443" s="3"/>
      <c r="N443" s="3"/>
      <c r="O443" s="3"/>
      <c r="P443" s="3"/>
      <c r="Q443" s="3"/>
      <c r="R443" s="3"/>
    </row>
    <row r="444" spans="1:18" ht="6.75" customHeight="1" x14ac:dyDescent="0.2">
      <c r="A444" s="118"/>
      <c r="B444" s="24"/>
      <c r="C444" s="24"/>
      <c r="D444" s="24"/>
      <c r="E444" s="24"/>
      <c r="F444" s="24"/>
      <c r="G444" s="24"/>
      <c r="H444" s="24"/>
      <c r="I444" s="24"/>
      <c r="J444" s="24"/>
      <c r="K444" s="24"/>
      <c r="L444" s="17"/>
      <c r="M444" s="3"/>
      <c r="N444" s="3"/>
      <c r="O444" s="3"/>
      <c r="P444" s="3"/>
      <c r="Q444" s="3"/>
      <c r="R444" s="3"/>
    </row>
    <row r="445" spans="1:18" ht="11.25" customHeight="1" x14ac:dyDescent="0.2">
      <c r="A445" s="418" t="str">
        <f>A146</f>
        <v>Coos Bay</v>
      </c>
      <c r="B445" s="24"/>
      <c r="C445" s="24"/>
      <c r="D445" s="24"/>
      <c r="E445" s="24"/>
      <c r="F445" s="24"/>
      <c r="G445" s="24"/>
      <c r="H445" s="24"/>
      <c r="I445" s="24"/>
      <c r="J445" s="24"/>
      <c r="K445" s="24"/>
      <c r="L445" s="17"/>
      <c r="M445" s="3"/>
      <c r="N445" s="3"/>
      <c r="O445" s="3"/>
      <c r="P445" s="3"/>
      <c r="Q445" s="3"/>
      <c r="R445" s="3"/>
    </row>
    <row r="446" spans="1:18" ht="11.25" customHeight="1" x14ac:dyDescent="0.2">
      <c r="A446" s="371" t="s">
        <v>30</v>
      </c>
      <c r="B446" s="24" t="s">
        <v>29</v>
      </c>
      <c r="C446" s="24" t="s">
        <v>29</v>
      </c>
      <c r="D446" s="24">
        <f t="shared" ref="D446:K446" si="99">AVERAGE(D152:D156)</f>
        <v>3365</v>
      </c>
      <c r="E446" s="24">
        <f t="shared" si="99"/>
        <v>13366.666666666666</v>
      </c>
      <c r="F446" s="24">
        <f t="shared" si="99"/>
        <v>34917.199999999997</v>
      </c>
      <c r="G446" s="24">
        <f t="shared" si="99"/>
        <v>20849</v>
      </c>
      <c r="H446" s="24">
        <f t="shared" si="99"/>
        <v>3452</v>
      </c>
      <c r="I446" s="24" t="s">
        <v>116</v>
      </c>
      <c r="J446" s="24" t="s">
        <v>116</v>
      </c>
      <c r="K446" s="24">
        <f t="shared" si="99"/>
        <v>63724</v>
      </c>
      <c r="L446" s="17"/>
      <c r="M446" s="3"/>
      <c r="N446" s="3"/>
      <c r="O446" s="3"/>
      <c r="P446" s="3"/>
      <c r="Q446" s="3"/>
      <c r="R446" s="3"/>
    </row>
    <row r="447" spans="1:18" ht="11.25" customHeight="1" x14ac:dyDescent="0.2">
      <c r="A447" s="371" t="s">
        <v>87</v>
      </c>
      <c r="B447" s="24" t="s">
        <v>29</v>
      </c>
      <c r="C447" s="24" t="s">
        <v>29</v>
      </c>
      <c r="D447" s="24">
        <f t="shared" ref="D447:K447" si="100">AVERAGE(D157:D161)</f>
        <v>890.5</v>
      </c>
      <c r="E447" s="24">
        <f t="shared" si="100"/>
        <v>8744</v>
      </c>
      <c r="F447" s="24">
        <f t="shared" si="100"/>
        <v>33097.4</v>
      </c>
      <c r="G447" s="24">
        <f t="shared" si="100"/>
        <v>15721.4</v>
      </c>
      <c r="H447" s="24">
        <f t="shared" si="100"/>
        <v>3842</v>
      </c>
      <c r="I447" s="24" t="s">
        <v>116</v>
      </c>
      <c r="J447" s="24" t="s">
        <v>116</v>
      </c>
      <c r="K447" s="24">
        <f t="shared" si="100"/>
        <v>61348.800000000003</v>
      </c>
      <c r="L447" s="17"/>
      <c r="M447" s="3"/>
      <c r="N447" s="3"/>
      <c r="O447" s="3"/>
      <c r="P447" s="3"/>
      <c r="Q447" s="3"/>
      <c r="R447" s="3"/>
    </row>
    <row r="448" spans="1:18" ht="11.25" customHeight="1" x14ac:dyDescent="0.2">
      <c r="A448" s="371" t="s">
        <v>14</v>
      </c>
      <c r="B448" s="24" t="s">
        <v>29</v>
      </c>
      <c r="C448" s="24" t="s">
        <v>29</v>
      </c>
      <c r="D448" s="24">
        <f t="shared" ref="D448:I448" si="101">AVERAGE(D162:D166)</f>
        <v>604.79999999999995</v>
      </c>
      <c r="E448" s="24">
        <f t="shared" si="101"/>
        <v>5645.6</v>
      </c>
      <c r="F448" s="24">
        <f t="shared" si="101"/>
        <v>26028.666666666668</v>
      </c>
      <c r="G448" s="24">
        <f t="shared" si="101"/>
        <v>8416</v>
      </c>
      <c r="H448" s="24">
        <f t="shared" si="101"/>
        <v>1727.5</v>
      </c>
      <c r="I448" s="24">
        <f t="shared" si="101"/>
        <v>21</v>
      </c>
      <c r="J448" s="24" t="s">
        <v>116</v>
      </c>
      <c r="K448" s="24">
        <f>AVERAGE(K162:K166)</f>
        <v>25929.200000000001</v>
      </c>
      <c r="L448" s="17"/>
      <c r="M448" s="3"/>
      <c r="N448" s="3"/>
      <c r="O448" s="3"/>
      <c r="P448" s="3"/>
      <c r="Q448" s="3"/>
      <c r="R448" s="3"/>
    </row>
    <row r="449" spans="1:18" ht="11.25" customHeight="1" x14ac:dyDescent="0.2">
      <c r="A449" s="371" t="s">
        <v>207</v>
      </c>
      <c r="B449" s="24" t="s">
        <v>29</v>
      </c>
      <c r="C449" s="24" t="s">
        <v>29</v>
      </c>
      <c r="D449" s="24">
        <f t="shared" ref="D449:I449" si="102">AVERAGE(D167:D171)</f>
        <v>117.6</v>
      </c>
      <c r="E449" s="24">
        <f t="shared" si="102"/>
        <v>381</v>
      </c>
      <c r="F449" s="24">
        <f t="shared" si="102"/>
        <v>4300.8</v>
      </c>
      <c r="G449" s="24">
        <f t="shared" si="102"/>
        <v>2952.6</v>
      </c>
      <c r="H449" s="24">
        <f t="shared" si="102"/>
        <v>506.6</v>
      </c>
      <c r="I449" s="24">
        <f t="shared" si="102"/>
        <v>53</v>
      </c>
      <c r="J449" s="24" t="s">
        <v>116</v>
      </c>
      <c r="K449" s="24">
        <f>AVERAGE(K167:K171)</f>
        <v>8282.2000000000007</v>
      </c>
      <c r="L449" s="17"/>
      <c r="M449" s="3"/>
      <c r="N449" s="3"/>
      <c r="O449" s="3"/>
      <c r="P449" s="3"/>
      <c r="Q449" s="3"/>
      <c r="R449" s="3"/>
    </row>
    <row r="450" spans="1:18" ht="11.25" customHeight="1" x14ac:dyDescent="0.2">
      <c r="A450" s="118" t="s">
        <v>238</v>
      </c>
      <c r="B450" s="24">
        <f t="shared" ref="B450:I450" si="103">AVERAGE(B172:B176)</f>
        <v>24</v>
      </c>
      <c r="C450" s="24">
        <f t="shared" si="103"/>
        <v>99.8</v>
      </c>
      <c r="D450" s="24">
        <f t="shared" si="103"/>
        <v>783.2</v>
      </c>
      <c r="E450" s="24">
        <f t="shared" si="103"/>
        <v>6476.8</v>
      </c>
      <c r="F450" s="24">
        <f t="shared" si="103"/>
        <v>16186</v>
      </c>
      <c r="G450" s="24">
        <f t="shared" si="103"/>
        <v>8250.4</v>
      </c>
      <c r="H450" s="24">
        <f t="shared" si="103"/>
        <v>2564</v>
      </c>
      <c r="I450" s="24">
        <f t="shared" si="103"/>
        <v>116.8</v>
      </c>
      <c r="J450" s="24" t="str">
        <f>J172</f>
        <v>--</v>
      </c>
      <c r="K450" s="24">
        <f>AVERAGE(K172:K176)</f>
        <v>34491.4</v>
      </c>
      <c r="L450" s="17"/>
      <c r="M450" s="3"/>
      <c r="N450" s="3"/>
      <c r="O450" s="3"/>
      <c r="P450" s="3"/>
      <c r="Q450" s="3"/>
      <c r="R450" s="3"/>
    </row>
    <row r="451" spans="1:18" ht="11.25" customHeight="1" x14ac:dyDescent="0.2">
      <c r="A451" s="118">
        <v>2006</v>
      </c>
      <c r="B451" s="24">
        <f t="shared" ref="B451:K451" si="104">B177</f>
        <v>14</v>
      </c>
      <c r="C451" s="24">
        <f t="shared" si="104"/>
        <v>33</v>
      </c>
      <c r="D451" s="24">
        <f t="shared" si="104"/>
        <v>279</v>
      </c>
      <c r="E451" s="24">
        <f t="shared" si="104"/>
        <v>1991</v>
      </c>
      <c r="F451" s="24">
        <f t="shared" si="104"/>
        <v>9250</v>
      </c>
      <c r="G451" s="24">
        <f t="shared" si="104"/>
        <v>2736</v>
      </c>
      <c r="H451" s="24">
        <f t="shared" si="104"/>
        <v>2784</v>
      </c>
      <c r="I451" s="24">
        <f t="shared" si="104"/>
        <v>81</v>
      </c>
      <c r="J451" s="24" t="str">
        <f t="shared" si="104"/>
        <v>--</v>
      </c>
      <c r="K451" s="24">
        <f t="shared" si="104"/>
        <v>17168</v>
      </c>
      <c r="L451" s="17"/>
      <c r="M451" s="3"/>
      <c r="N451" s="3"/>
      <c r="O451" s="3"/>
      <c r="P451" s="3"/>
      <c r="Q451" s="3"/>
      <c r="R451" s="3"/>
    </row>
    <row r="452" spans="1:18" s="366" customFormat="1" ht="11.25" customHeight="1" x14ac:dyDescent="0.2">
      <c r="A452" s="118">
        <v>2007</v>
      </c>
      <c r="B452" s="37">
        <f t="shared" ref="B452:K452" si="105">B178</f>
        <v>17</v>
      </c>
      <c r="C452" s="37">
        <f t="shared" si="105"/>
        <v>33</v>
      </c>
      <c r="D452" s="37">
        <f t="shared" si="105"/>
        <v>329</v>
      </c>
      <c r="E452" s="37">
        <f t="shared" si="105"/>
        <v>2603</v>
      </c>
      <c r="F452" s="37">
        <f t="shared" si="105"/>
        <v>9442</v>
      </c>
      <c r="G452" s="37">
        <f t="shared" si="105"/>
        <v>9550</v>
      </c>
      <c r="H452" s="37">
        <f t="shared" si="105"/>
        <v>990</v>
      </c>
      <c r="I452" s="37">
        <f t="shared" si="105"/>
        <v>9</v>
      </c>
      <c r="J452" s="37" t="str">
        <f t="shared" si="105"/>
        <v>--</v>
      </c>
      <c r="K452" s="37">
        <f t="shared" si="105"/>
        <v>22973</v>
      </c>
      <c r="L452" s="18"/>
      <c r="M452" s="6"/>
      <c r="N452" s="6"/>
      <c r="O452" s="6"/>
      <c r="P452" s="6"/>
      <c r="Q452" s="6"/>
      <c r="R452" s="6"/>
    </row>
    <row r="453" spans="1:18" s="366" customFormat="1" ht="11.25" customHeight="1" x14ac:dyDescent="0.2">
      <c r="A453" s="118">
        <v>2008</v>
      </c>
      <c r="B453" s="37" t="str">
        <f t="shared" ref="B453:K453" si="106">B179</f>
        <v>-</v>
      </c>
      <c r="C453" s="37" t="str">
        <f t="shared" si="106"/>
        <v>-</v>
      </c>
      <c r="D453" s="37" t="str">
        <f t="shared" si="106"/>
        <v>-</v>
      </c>
      <c r="E453" s="37">
        <f t="shared" si="106"/>
        <v>1482</v>
      </c>
      <c r="F453" s="37">
        <f t="shared" si="106"/>
        <v>4111</v>
      </c>
      <c r="G453" s="37">
        <f t="shared" si="106"/>
        <v>1806</v>
      </c>
      <c r="H453" s="37" t="str">
        <f t="shared" si="106"/>
        <v>-</v>
      </c>
      <c r="I453" s="37" t="str">
        <f t="shared" si="106"/>
        <v>-</v>
      </c>
      <c r="J453" s="37" t="str">
        <f t="shared" si="106"/>
        <v>--</v>
      </c>
      <c r="K453" s="37">
        <f t="shared" si="106"/>
        <v>7399</v>
      </c>
      <c r="L453" s="18"/>
      <c r="M453" s="6"/>
      <c r="N453" s="6"/>
      <c r="O453" s="6"/>
      <c r="P453" s="6"/>
      <c r="Q453" s="6"/>
      <c r="R453" s="6"/>
    </row>
    <row r="454" spans="1:18" s="366" customFormat="1" ht="11.25" customHeight="1" x14ac:dyDescent="0.2">
      <c r="A454" s="118">
        <v>2009</v>
      </c>
      <c r="B454" s="37" t="str">
        <f t="shared" ref="B454:K454" si="107">B180</f>
        <v>-</v>
      </c>
      <c r="C454" s="37" t="str">
        <f t="shared" si="107"/>
        <v>-</v>
      </c>
      <c r="D454" s="37" t="str">
        <f t="shared" si="107"/>
        <v>-</v>
      </c>
      <c r="E454" s="37">
        <f t="shared" si="107"/>
        <v>1044</v>
      </c>
      <c r="F454" s="37">
        <f t="shared" si="107"/>
        <v>8744</v>
      </c>
      <c r="G454" s="37">
        <f t="shared" si="107"/>
        <v>3991</v>
      </c>
      <c r="H454" s="37">
        <f t="shared" si="107"/>
        <v>583</v>
      </c>
      <c r="I454" s="37" t="str">
        <f t="shared" si="107"/>
        <v>--</v>
      </c>
      <c r="J454" s="37" t="str">
        <f t="shared" si="107"/>
        <v>--</v>
      </c>
      <c r="K454" s="37">
        <f t="shared" si="107"/>
        <v>14362</v>
      </c>
      <c r="L454" s="18"/>
      <c r="M454" s="6"/>
      <c r="N454" s="6"/>
      <c r="O454" s="6"/>
      <c r="P454" s="6"/>
      <c r="Q454" s="6"/>
      <c r="R454" s="6"/>
    </row>
    <row r="455" spans="1:18" s="366" customFormat="1" ht="11.25" customHeight="1" x14ac:dyDescent="0.2">
      <c r="A455" s="118">
        <v>2010</v>
      </c>
      <c r="B455" s="37" t="str">
        <f t="shared" ref="B455:K455" si="108">B181</f>
        <v>-</v>
      </c>
      <c r="C455" s="37" t="str">
        <f t="shared" si="108"/>
        <v>-</v>
      </c>
      <c r="D455" s="37">
        <f t="shared" si="108"/>
        <v>388</v>
      </c>
      <c r="E455" s="37">
        <f t="shared" si="108"/>
        <v>709</v>
      </c>
      <c r="F455" s="37">
        <f t="shared" si="108"/>
        <v>2350</v>
      </c>
      <c r="G455" s="37">
        <f t="shared" si="108"/>
        <v>4683</v>
      </c>
      <c r="H455" s="37">
        <f t="shared" si="108"/>
        <v>489</v>
      </c>
      <c r="I455" s="37" t="str">
        <f t="shared" si="108"/>
        <v>--</v>
      </c>
      <c r="J455" s="37" t="str">
        <f t="shared" si="108"/>
        <v>--</v>
      </c>
      <c r="K455" s="37">
        <f t="shared" si="108"/>
        <v>8619</v>
      </c>
      <c r="L455" s="18"/>
      <c r="M455" s="6"/>
      <c r="N455" s="6"/>
      <c r="O455" s="6"/>
      <c r="P455" s="6"/>
      <c r="Q455" s="6"/>
      <c r="R455" s="6"/>
    </row>
    <row r="456" spans="1:18" s="366" customFormat="1" ht="11.25" customHeight="1" x14ac:dyDescent="0.2">
      <c r="A456" s="118">
        <v>2011</v>
      </c>
      <c r="B456" s="37">
        <f t="shared" ref="B456:K456" si="109">B182</f>
        <v>2</v>
      </c>
      <c r="C456" s="37">
        <f t="shared" si="109"/>
        <v>23</v>
      </c>
      <c r="D456" s="37">
        <f t="shared" si="109"/>
        <v>187</v>
      </c>
      <c r="E456" s="37">
        <f t="shared" si="109"/>
        <v>1182</v>
      </c>
      <c r="F456" s="37">
        <f t="shared" si="109"/>
        <v>2514</v>
      </c>
      <c r="G456" s="37">
        <f t="shared" si="109"/>
        <v>4687</v>
      </c>
      <c r="H456" s="37">
        <f t="shared" si="109"/>
        <v>1711</v>
      </c>
      <c r="I456" s="37" t="str">
        <f t="shared" si="109"/>
        <v>-</v>
      </c>
      <c r="J456" s="37">
        <f t="shared" si="109"/>
        <v>16</v>
      </c>
      <c r="K456" s="37">
        <f t="shared" si="109"/>
        <v>10322</v>
      </c>
      <c r="L456" s="18"/>
      <c r="M456" s="6"/>
      <c r="N456" s="6"/>
      <c r="O456" s="6"/>
      <c r="P456" s="6"/>
      <c r="Q456" s="6"/>
      <c r="R456" s="6"/>
    </row>
    <row r="457" spans="1:18" s="366" customFormat="1" ht="11.25" customHeight="1" x14ac:dyDescent="0.2">
      <c r="A457" s="118">
        <v>2012</v>
      </c>
      <c r="B457" s="37">
        <f t="shared" ref="B457:K457" si="110">B183</f>
        <v>0</v>
      </c>
      <c r="C457" s="37">
        <f t="shared" si="110"/>
        <v>52</v>
      </c>
      <c r="D457" s="37">
        <f t="shared" si="110"/>
        <v>730</v>
      </c>
      <c r="E457" s="37">
        <f t="shared" si="110"/>
        <v>2290</v>
      </c>
      <c r="F457" s="37">
        <f t="shared" si="110"/>
        <v>4075</v>
      </c>
      <c r="G457" s="37">
        <f t="shared" si="110"/>
        <v>5568</v>
      </c>
      <c r="H457" s="37">
        <f t="shared" si="110"/>
        <v>3647</v>
      </c>
      <c r="I457" s="37">
        <f t="shared" si="110"/>
        <v>77</v>
      </c>
      <c r="J457" s="37">
        <f t="shared" si="110"/>
        <v>18</v>
      </c>
      <c r="K457" s="37">
        <f t="shared" si="110"/>
        <v>16457</v>
      </c>
      <c r="L457" s="18"/>
      <c r="M457" s="6"/>
      <c r="N457" s="6"/>
      <c r="O457" s="6"/>
      <c r="P457" s="6"/>
      <c r="Q457" s="6"/>
      <c r="R457" s="6"/>
    </row>
    <row r="458" spans="1:18" s="366" customFormat="1" ht="11.25" customHeight="1" x14ac:dyDescent="0.2">
      <c r="A458" s="118">
        <v>2013</v>
      </c>
      <c r="B458" s="37">
        <f t="shared" ref="B458:K458" si="111">B184</f>
        <v>123</v>
      </c>
      <c r="C458" s="37">
        <f t="shared" si="111"/>
        <v>174</v>
      </c>
      <c r="D458" s="37">
        <f t="shared" si="111"/>
        <v>338</v>
      </c>
      <c r="E458" s="37">
        <f t="shared" si="111"/>
        <v>2898</v>
      </c>
      <c r="F458" s="37">
        <f t="shared" si="111"/>
        <v>3011</v>
      </c>
      <c r="G458" s="37">
        <f t="shared" si="111"/>
        <v>19299</v>
      </c>
      <c r="H458" s="37">
        <f t="shared" si="111"/>
        <v>3901</v>
      </c>
      <c r="I458" s="37">
        <f t="shared" si="111"/>
        <v>84</v>
      </c>
      <c r="J458" s="37" t="str">
        <f t="shared" si="111"/>
        <v>--</v>
      </c>
      <c r="K458" s="37">
        <f t="shared" si="111"/>
        <v>29828</v>
      </c>
      <c r="L458" s="18"/>
      <c r="M458" s="6"/>
      <c r="N458" s="6"/>
      <c r="O458" s="6"/>
      <c r="P458" s="6"/>
      <c r="Q458" s="6"/>
      <c r="R458" s="6"/>
    </row>
    <row r="459" spans="1:18" ht="11.25" customHeight="1" x14ac:dyDescent="0.2">
      <c r="A459" s="118">
        <v>2014</v>
      </c>
      <c r="B459" s="37">
        <f t="shared" ref="B459:K459" si="112">B185</f>
        <v>0</v>
      </c>
      <c r="C459" s="37">
        <f t="shared" si="112"/>
        <v>46</v>
      </c>
      <c r="D459" s="37">
        <f t="shared" si="112"/>
        <v>691</v>
      </c>
      <c r="E459" s="37">
        <f t="shared" si="112"/>
        <v>1906</v>
      </c>
      <c r="F459" s="37">
        <f t="shared" si="112"/>
        <v>8659</v>
      </c>
      <c r="G459" s="37">
        <f t="shared" si="112"/>
        <v>11899</v>
      </c>
      <c r="H459" s="37">
        <f t="shared" si="112"/>
        <v>6518</v>
      </c>
      <c r="I459" s="37">
        <f t="shared" si="112"/>
        <v>53</v>
      </c>
      <c r="J459" s="37" t="str">
        <f t="shared" si="112"/>
        <v>--</v>
      </c>
      <c r="K459" s="37">
        <f t="shared" si="112"/>
        <v>29772</v>
      </c>
      <c r="L459" s="17"/>
      <c r="M459" s="3"/>
      <c r="N459" s="3"/>
      <c r="O459" s="3"/>
      <c r="P459" s="3"/>
      <c r="Q459" s="3"/>
      <c r="R459" s="3"/>
    </row>
    <row r="460" spans="1:18" s="366" customFormat="1" ht="11.25" customHeight="1" x14ac:dyDescent="0.2">
      <c r="A460" s="118">
        <v>2015</v>
      </c>
      <c r="B460" s="37">
        <f t="shared" ref="B460:K460" si="113">B186</f>
        <v>12</v>
      </c>
      <c r="C460" s="37">
        <f t="shared" si="113"/>
        <v>34</v>
      </c>
      <c r="D460" s="37">
        <f t="shared" si="113"/>
        <v>327</v>
      </c>
      <c r="E460" s="37">
        <f t="shared" si="113"/>
        <v>1149</v>
      </c>
      <c r="F460" s="37">
        <f t="shared" si="113"/>
        <v>5664</v>
      </c>
      <c r="G460" s="37">
        <f t="shared" si="113"/>
        <v>3060</v>
      </c>
      <c r="H460" s="37">
        <f t="shared" si="113"/>
        <v>4443</v>
      </c>
      <c r="I460" s="37">
        <f t="shared" si="113"/>
        <v>82</v>
      </c>
      <c r="J460" s="37" t="str">
        <f t="shared" si="113"/>
        <v>--</v>
      </c>
      <c r="K460" s="37">
        <f t="shared" si="113"/>
        <v>14771</v>
      </c>
      <c r="L460" s="18"/>
      <c r="M460" s="6"/>
      <c r="N460" s="6"/>
      <c r="O460" s="6"/>
      <c r="P460" s="6"/>
      <c r="Q460" s="6"/>
      <c r="R460" s="6"/>
    </row>
    <row r="461" spans="1:18" s="366" customFormat="1" ht="11.25" customHeight="1" x14ac:dyDescent="0.2">
      <c r="A461" s="118">
        <v>2016</v>
      </c>
      <c r="B461" s="37">
        <f t="shared" ref="B461:K461" si="114">B187</f>
        <v>18</v>
      </c>
      <c r="C461" s="37">
        <f t="shared" si="114"/>
        <v>5</v>
      </c>
      <c r="D461" s="37">
        <f t="shared" si="114"/>
        <v>158</v>
      </c>
      <c r="E461" s="37">
        <f t="shared" si="114"/>
        <v>574</v>
      </c>
      <c r="F461" s="37">
        <f t="shared" si="114"/>
        <v>2277</v>
      </c>
      <c r="G461" s="37">
        <f t="shared" si="114"/>
        <v>2943</v>
      </c>
      <c r="H461" s="37">
        <f t="shared" si="114"/>
        <v>5188</v>
      </c>
      <c r="I461" s="37">
        <f t="shared" si="114"/>
        <v>7</v>
      </c>
      <c r="J461" s="37" t="str">
        <f t="shared" si="114"/>
        <v>--</v>
      </c>
      <c r="K461" s="37">
        <f t="shared" si="114"/>
        <v>11170</v>
      </c>
      <c r="L461" s="18"/>
      <c r="M461" s="6"/>
      <c r="N461" s="6"/>
      <c r="O461" s="6"/>
      <c r="P461" s="6"/>
      <c r="Q461" s="6"/>
      <c r="R461" s="6"/>
    </row>
    <row r="462" spans="1:18" x14ac:dyDescent="0.2">
      <c r="A462" s="118">
        <v>2017</v>
      </c>
      <c r="B462" s="37">
        <f t="shared" ref="B462:K462" si="115">B188</f>
        <v>17</v>
      </c>
      <c r="C462" s="37">
        <f t="shared" si="115"/>
        <v>48</v>
      </c>
      <c r="D462" s="37">
        <f t="shared" si="115"/>
        <v>153</v>
      </c>
      <c r="E462" s="37">
        <f t="shared" si="115"/>
        <v>925</v>
      </c>
      <c r="F462" s="37">
        <f t="shared" si="115"/>
        <v>3368</v>
      </c>
      <c r="G462" s="37">
        <f t="shared" si="115"/>
        <v>4593</v>
      </c>
      <c r="H462" s="37">
        <f t="shared" si="115"/>
        <v>3640</v>
      </c>
      <c r="I462" s="37">
        <f t="shared" si="115"/>
        <v>72</v>
      </c>
      <c r="J462" s="37" t="str">
        <f t="shared" si="115"/>
        <v>--</v>
      </c>
      <c r="K462" s="37">
        <f t="shared" si="115"/>
        <v>12816</v>
      </c>
      <c r="L462" s="17"/>
      <c r="M462" s="3"/>
      <c r="N462" s="3"/>
      <c r="O462" s="3"/>
      <c r="P462" s="3"/>
      <c r="Q462" s="3"/>
      <c r="R462" s="3"/>
    </row>
    <row r="463" spans="1:18" s="366" customFormat="1" x14ac:dyDescent="0.2">
      <c r="A463" s="118">
        <v>2018</v>
      </c>
      <c r="B463" s="37">
        <f t="shared" ref="B463:K463" si="116">B189</f>
        <v>15</v>
      </c>
      <c r="C463" s="37">
        <f t="shared" si="116"/>
        <v>19</v>
      </c>
      <c r="D463" s="37">
        <f t="shared" si="116"/>
        <v>178</v>
      </c>
      <c r="E463" s="37">
        <f t="shared" si="116"/>
        <v>252</v>
      </c>
      <c r="F463" s="37">
        <f t="shared" si="116"/>
        <v>2410</v>
      </c>
      <c r="G463" s="37">
        <f t="shared" si="116"/>
        <v>6012</v>
      </c>
      <c r="H463" s="37">
        <f t="shared" si="116"/>
        <v>5424</v>
      </c>
      <c r="I463" s="37">
        <f t="shared" si="116"/>
        <v>0</v>
      </c>
      <c r="J463" s="37" t="str">
        <f t="shared" si="116"/>
        <v>--</v>
      </c>
      <c r="K463" s="37">
        <f t="shared" si="116"/>
        <v>14310</v>
      </c>
      <c r="L463" s="18"/>
      <c r="M463" s="6"/>
      <c r="N463" s="6"/>
      <c r="O463" s="6"/>
      <c r="P463" s="6"/>
      <c r="Q463" s="6"/>
      <c r="R463" s="6"/>
    </row>
    <row r="464" spans="1:18" s="489" customFormat="1" x14ac:dyDescent="0.2">
      <c r="A464" s="118">
        <v>2019</v>
      </c>
      <c r="B464" s="37">
        <f t="shared" ref="B464:K465" si="117">B190</f>
        <v>6</v>
      </c>
      <c r="C464" s="37">
        <f t="shared" si="117"/>
        <v>8</v>
      </c>
      <c r="D464" s="37">
        <f t="shared" si="117"/>
        <v>52</v>
      </c>
      <c r="E464" s="37">
        <f t="shared" si="117"/>
        <v>1348</v>
      </c>
      <c r="F464" s="37">
        <f t="shared" si="117"/>
        <v>7337</v>
      </c>
      <c r="G464" s="37">
        <f t="shared" si="117"/>
        <v>6775</v>
      </c>
      <c r="H464" s="37">
        <f t="shared" si="117"/>
        <v>3428</v>
      </c>
      <c r="I464" s="37">
        <f t="shared" si="117"/>
        <v>15</v>
      </c>
      <c r="J464" s="37" t="str">
        <f t="shared" si="117"/>
        <v>-</v>
      </c>
      <c r="K464" s="37">
        <f t="shared" si="117"/>
        <v>18969</v>
      </c>
      <c r="L464" s="18"/>
      <c r="M464" s="6"/>
      <c r="N464" s="6"/>
      <c r="O464" s="6"/>
      <c r="P464" s="6"/>
      <c r="Q464" s="6"/>
      <c r="R464" s="6"/>
    </row>
    <row r="465" spans="1:18" x14ac:dyDescent="0.2">
      <c r="A465" s="118" t="s">
        <v>393</v>
      </c>
      <c r="B465" s="37">
        <f t="shared" si="117"/>
        <v>3</v>
      </c>
      <c r="C465" s="37">
        <f t="shared" si="117"/>
        <v>63</v>
      </c>
      <c r="D465" s="37">
        <f t="shared" si="117"/>
        <v>87</v>
      </c>
      <c r="E465" s="37">
        <f t="shared" si="117"/>
        <v>161</v>
      </c>
      <c r="F465" s="37">
        <f t="shared" si="117"/>
        <v>7344</v>
      </c>
      <c r="G465" s="37">
        <f t="shared" si="117"/>
        <v>3960</v>
      </c>
      <c r="H465" s="37">
        <f t="shared" si="117"/>
        <v>3728</v>
      </c>
      <c r="I465" s="37">
        <f t="shared" si="117"/>
        <v>133</v>
      </c>
      <c r="J465" s="37" t="str">
        <f t="shared" si="117"/>
        <v>-</v>
      </c>
      <c r="K465" s="37">
        <f t="shared" si="117"/>
        <v>15479</v>
      </c>
      <c r="L465" s="17"/>
      <c r="M465" s="3"/>
      <c r="N465" s="3"/>
      <c r="O465" s="3"/>
      <c r="P465" s="3"/>
      <c r="Q465" s="3"/>
      <c r="R465" s="3"/>
    </row>
    <row r="466" spans="1:18" ht="11.25" customHeight="1" x14ac:dyDescent="0.2">
      <c r="A466" s="118"/>
      <c r="B466" s="24"/>
      <c r="C466" s="24"/>
      <c r="D466" s="24"/>
      <c r="E466" s="24"/>
      <c r="F466" s="24"/>
      <c r="G466" s="24"/>
      <c r="H466" s="24"/>
      <c r="I466" s="24"/>
      <c r="J466" s="24"/>
      <c r="K466" s="24"/>
      <c r="L466" s="17"/>
      <c r="M466" s="3"/>
      <c r="N466" s="3"/>
      <c r="O466" s="3"/>
      <c r="P466" s="3"/>
      <c r="Q466" s="3"/>
      <c r="R466" s="3"/>
    </row>
    <row r="467" spans="1:18" ht="11.25" customHeight="1" x14ac:dyDescent="0.2">
      <c r="A467" s="560" t="s">
        <v>362</v>
      </c>
      <c r="B467" s="560"/>
      <c r="C467" s="560"/>
      <c r="D467" s="560"/>
      <c r="E467" s="560"/>
      <c r="F467" s="560"/>
      <c r="G467" s="560"/>
      <c r="H467" s="560"/>
      <c r="I467" s="560"/>
      <c r="J467" s="560"/>
      <c r="K467" s="560"/>
      <c r="L467" s="7"/>
      <c r="M467" s="7"/>
      <c r="N467" s="7"/>
      <c r="O467" s="7"/>
      <c r="P467" s="7"/>
      <c r="Q467" s="7"/>
      <c r="R467" s="7"/>
    </row>
    <row r="468" spans="1:18" ht="11.25" customHeight="1" x14ac:dyDescent="0.2">
      <c r="A468" s="124" t="s">
        <v>49</v>
      </c>
      <c r="B468" s="421" t="s">
        <v>43</v>
      </c>
      <c r="C468" s="421" t="s">
        <v>34</v>
      </c>
      <c r="D468" s="421" t="s">
        <v>35</v>
      </c>
      <c r="E468" s="421" t="s">
        <v>36</v>
      </c>
      <c r="F468" s="421" t="s">
        <v>37</v>
      </c>
      <c r="G468" s="421" t="s">
        <v>38</v>
      </c>
      <c r="H468" s="421" t="s">
        <v>39</v>
      </c>
      <c r="I468" s="421" t="s">
        <v>40</v>
      </c>
      <c r="J468" s="421" t="s">
        <v>44</v>
      </c>
      <c r="K468" s="421" t="s">
        <v>28</v>
      </c>
      <c r="L468" s="7"/>
      <c r="M468" s="7"/>
      <c r="N468" s="7"/>
      <c r="O468" s="7"/>
      <c r="P468" s="7"/>
      <c r="Q468" s="7"/>
      <c r="R468" s="7"/>
    </row>
    <row r="469" spans="1:18" ht="11.25" customHeight="1" x14ac:dyDescent="0.2">
      <c r="A469" s="418" t="str">
        <f>A193</f>
        <v>Brookings</v>
      </c>
      <c r="B469" s="24"/>
      <c r="C469" s="24"/>
      <c r="D469" s="24"/>
      <c r="E469" s="24"/>
      <c r="F469" s="24"/>
      <c r="G469" s="24"/>
      <c r="H469" s="24"/>
      <c r="I469" s="24"/>
      <c r="J469" s="24"/>
      <c r="K469" s="24"/>
      <c r="L469" s="17"/>
      <c r="M469" s="3"/>
      <c r="N469" s="3"/>
      <c r="O469" s="3"/>
      <c r="P469" s="3"/>
      <c r="Q469" s="3"/>
      <c r="R469" s="3"/>
    </row>
    <row r="470" spans="1:18" ht="11.25" customHeight="1" x14ac:dyDescent="0.2">
      <c r="A470" s="371" t="s">
        <v>30</v>
      </c>
      <c r="B470" s="24" t="s">
        <v>29</v>
      </c>
      <c r="C470" s="24" t="s">
        <v>29</v>
      </c>
      <c r="D470" s="24">
        <f t="shared" ref="D470:K470" si="118">AVERAGE(D199:D203)</f>
        <v>2109</v>
      </c>
      <c r="E470" s="24">
        <f t="shared" si="118"/>
        <v>10477.666666666666</v>
      </c>
      <c r="F470" s="24">
        <f t="shared" si="118"/>
        <v>25949.200000000001</v>
      </c>
      <c r="G470" s="24">
        <f t="shared" si="118"/>
        <v>15386.8</v>
      </c>
      <c r="H470" s="24">
        <f t="shared" si="118"/>
        <v>3357</v>
      </c>
      <c r="I470" s="24">
        <f t="shared" si="118"/>
        <v>3402</v>
      </c>
      <c r="J470" s="24">
        <f t="shared" si="118"/>
        <v>229.66666666666666</v>
      </c>
      <c r="K470" s="24">
        <f t="shared" si="118"/>
        <v>56206.6</v>
      </c>
      <c r="L470" s="17"/>
      <c r="M470" s="3"/>
      <c r="N470" s="3"/>
      <c r="O470" s="3"/>
      <c r="P470" s="3"/>
      <c r="Q470" s="3"/>
      <c r="R470" s="3"/>
    </row>
    <row r="471" spans="1:18" ht="11.25" customHeight="1" x14ac:dyDescent="0.2">
      <c r="A471" s="371" t="s">
        <v>87</v>
      </c>
      <c r="B471" s="24" t="s">
        <v>29</v>
      </c>
      <c r="C471" s="24" t="s">
        <v>29</v>
      </c>
      <c r="D471" s="24">
        <f t="shared" ref="D471:K471" si="119">AVERAGE(D204:D208)</f>
        <v>2225.8000000000002</v>
      </c>
      <c r="E471" s="24">
        <f t="shared" si="119"/>
        <v>12965.4</v>
      </c>
      <c r="F471" s="24">
        <f t="shared" si="119"/>
        <v>24727.4</v>
      </c>
      <c r="G471" s="24">
        <f t="shared" si="119"/>
        <v>13462.6</v>
      </c>
      <c r="H471" s="24">
        <f t="shared" si="119"/>
        <v>3098.4</v>
      </c>
      <c r="I471" s="24">
        <f t="shared" si="119"/>
        <v>5030</v>
      </c>
      <c r="J471" s="24" t="s">
        <v>116</v>
      </c>
      <c r="K471" s="24">
        <f t="shared" si="119"/>
        <v>58491.6</v>
      </c>
      <c r="L471" s="17"/>
      <c r="M471" s="3"/>
      <c r="N471" s="3"/>
      <c r="O471" s="3"/>
      <c r="P471" s="3"/>
      <c r="Q471" s="3"/>
      <c r="R471" s="3"/>
    </row>
    <row r="472" spans="1:18" ht="11.25" customHeight="1" x14ac:dyDescent="0.2">
      <c r="A472" s="371" t="s">
        <v>14</v>
      </c>
      <c r="B472" s="24" t="s">
        <v>29</v>
      </c>
      <c r="C472" s="24" t="s">
        <v>29</v>
      </c>
      <c r="D472" s="24">
        <f t="shared" ref="D472:I472" si="120">AVERAGE(D209:D213)</f>
        <v>2865.75</v>
      </c>
      <c r="E472" s="24">
        <f t="shared" si="120"/>
        <v>5957</v>
      </c>
      <c r="F472" s="24">
        <f t="shared" si="120"/>
        <v>11093.333333333334</v>
      </c>
      <c r="G472" s="24">
        <f t="shared" si="120"/>
        <v>3333</v>
      </c>
      <c r="H472" s="24">
        <f t="shared" si="120"/>
        <v>4014.2</v>
      </c>
      <c r="I472" s="24">
        <f t="shared" si="120"/>
        <v>3831.3333333333335</v>
      </c>
      <c r="J472" s="24" t="s">
        <v>29</v>
      </c>
      <c r="K472" s="24">
        <f>AVERAGE(K209:K213)</f>
        <v>22693.599999999999</v>
      </c>
      <c r="L472" s="17"/>
      <c r="M472" s="3"/>
      <c r="N472" s="3"/>
      <c r="O472" s="3"/>
      <c r="P472" s="3"/>
      <c r="Q472" s="3"/>
      <c r="R472" s="3"/>
    </row>
    <row r="473" spans="1:18" ht="11.25" customHeight="1" x14ac:dyDescent="0.2">
      <c r="A473" s="371" t="s">
        <v>207</v>
      </c>
      <c r="B473" s="24" t="s">
        <v>29</v>
      </c>
      <c r="C473" s="24" t="s">
        <v>29</v>
      </c>
      <c r="D473" s="24">
        <f t="shared" ref="D473:I473" si="121">AVERAGE(D214:D218)</f>
        <v>1177</v>
      </c>
      <c r="E473" s="24">
        <f t="shared" si="121"/>
        <v>3021.8</v>
      </c>
      <c r="F473" s="24">
        <f t="shared" si="121"/>
        <v>2353</v>
      </c>
      <c r="G473" s="24">
        <f t="shared" si="121"/>
        <v>6833.2</v>
      </c>
      <c r="H473" s="24">
        <f t="shared" si="121"/>
        <v>2212.1999999999998</v>
      </c>
      <c r="I473" s="24">
        <f t="shared" si="121"/>
        <v>2765.8</v>
      </c>
      <c r="J473" s="24" t="s">
        <v>29</v>
      </c>
      <c r="K473" s="24">
        <f>AVERAGE(K214:K218)</f>
        <v>18363</v>
      </c>
      <c r="L473" s="17"/>
      <c r="M473" s="3"/>
      <c r="N473" s="3"/>
      <c r="O473" s="3"/>
      <c r="P473" s="3"/>
      <c r="Q473" s="3"/>
      <c r="R473" s="3"/>
    </row>
    <row r="474" spans="1:18" ht="11.25" customHeight="1" x14ac:dyDescent="0.2">
      <c r="A474" s="118" t="s">
        <v>238</v>
      </c>
      <c r="B474" s="24" t="str">
        <f>B219</f>
        <v>-</v>
      </c>
      <c r="C474" s="24" t="str">
        <f>C219</f>
        <v>-</v>
      </c>
      <c r="D474" s="24">
        <f t="shared" ref="D474:I474" si="122">AVERAGE(D218:D222)</f>
        <v>1595.2</v>
      </c>
      <c r="E474" s="24">
        <f t="shared" si="122"/>
        <v>3137.6</v>
      </c>
      <c r="F474" s="24">
        <f t="shared" si="122"/>
        <v>3059.4</v>
      </c>
      <c r="G474" s="24">
        <f t="shared" si="122"/>
        <v>7048</v>
      </c>
      <c r="H474" s="24">
        <f t="shared" si="122"/>
        <v>2192.4</v>
      </c>
      <c r="I474" s="24">
        <f t="shared" si="122"/>
        <v>3144.6</v>
      </c>
      <c r="J474" s="24" t="str">
        <f>J219</f>
        <v>-</v>
      </c>
      <c r="K474" s="24">
        <f>AVERAGE(K218:K222)</f>
        <v>20177.2</v>
      </c>
      <c r="L474" s="17"/>
      <c r="M474" s="3"/>
      <c r="N474" s="3"/>
      <c r="O474" s="3"/>
      <c r="P474" s="3"/>
      <c r="Q474" s="3"/>
      <c r="R474" s="3"/>
    </row>
    <row r="475" spans="1:18" ht="11.25" customHeight="1" x14ac:dyDescent="0.2">
      <c r="A475" s="118">
        <v>2006</v>
      </c>
      <c r="B475" s="24" t="str">
        <f t="shared" ref="B475:K475" si="123">B224</f>
        <v>-</v>
      </c>
      <c r="C475" s="24" t="str">
        <f t="shared" si="123"/>
        <v>-</v>
      </c>
      <c r="D475" s="24">
        <f t="shared" si="123"/>
        <v>611</v>
      </c>
      <c r="E475" s="24">
        <f t="shared" si="123"/>
        <v>2657</v>
      </c>
      <c r="F475" s="24">
        <f t="shared" si="123"/>
        <v>716</v>
      </c>
      <c r="G475" s="24" t="str">
        <f t="shared" si="123"/>
        <v>-</v>
      </c>
      <c r="H475" s="24">
        <f t="shared" si="123"/>
        <v>3565</v>
      </c>
      <c r="I475" s="24">
        <f t="shared" si="123"/>
        <v>3081</v>
      </c>
      <c r="J475" s="24" t="str">
        <f t="shared" si="123"/>
        <v>-</v>
      </c>
      <c r="K475" s="24">
        <f t="shared" si="123"/>
        <v>10630</v>
      </c>
      <c r="L475" s="17"/>
      <c r="M475" s="3"/>
      <c r="N475" s="3"/>
      <c r="O475" s="3"/>
      <c r="P475" s="3"/>
      <c r="Q475" s="3"/>
      <c r="R475" s="3"/>
    </row>
    <row r="476" spans="1:18" s="366" customFormat="1" ht="11.25" customHeight="1" x14ac:dyDescent="0.2">
      <c r="A476" s="118">
        <v>2007</v>
      </c>
      <c r="B476" s="37" t="str">
        <f t="shared" ref="B476:K476" si="124">B225</f>
        <v>-</v>
      </c>
      <c r="C476" s="37" t="str">
        <f t="shared" si="124"/>
        <v>-</v>
      </c>
      <c r="D476" s="37">
        <f t="shared" si="124"/>
        <v>332</v>
      </c>
      <c r="E476" s="37">
        <f t="shared" si="124"/>
        <v>752</v>
      </c>
      <c r="F476" s="37">
        <f t="shared" si="124"/>
        <v>1600</v>
      </c>
      <c r="G476" s="37">
        <f t="shared" si="124"/>
        <v>4741</v>
      </c>
      <c r="H476" s="37">
        <f t="shared" si="124"/>
        <v>424</v>
      </c>
      <c r="I476" s="37">
        <f t="shared" si="124"/>
        <v>3263</v>
      </c>
      <c r="J476" s="37" t="str">
        <f t="shared" si="124"/>
        <v>-</v>
      </c>
      <c r="K476" s="37">
        <f t="shared" si="124"/>
        <v>11112</v>
      </c>
      <c r="L476" s="18"/>
      <c r="M476" s="6"/>
      <c r="N476" s="6"/>
      <c r="O476" s="6"/>
      <c r="P476" s="6"/>
      <c r="Q476" s="6"/>
      <c r="R476" s="6"/>
    </row>
    <row r="477" spans="1:18" s="366" customFormat="1" ht="11.25" customHeight="1" x14ac:dyDescent="0.2">
      <c r="A477" s="118">
        <v>2008</v>
      </c>
      <c r="B477" s="37" t="str">
        <f t="shared" ref="B477:K477" si="125">B226</f>
        <v>-</v>
      </c>
      <c r="C477" s="37" t="str">
        <f t="shared" si="125"/>
        <v>-</v>
      </c>
      <c r="D477" s="37" t="str">
        <f t="shared" si="125"/>
        <v>-</v>
      </c>
      <c r="E477" s="37">
        <f t="shared" si="125"/>
        <v>712</v>
      </c>
      <c r="F477" s="37">
        <f t="shared" si="125"/>
        <v>2317</v>
      </c>
      <c r="G477" s="37">
        <f t="shared" si="125"/>
        <v>701</v>
      </c>
      <c r="H477" s="37" t="str">
        <f t="shared" si="125"/>
        <v>-</v>
      </c>
      <c r="I477" s="37">
        <f t="shared" si="125"/>
        <v>1065</v>
      </c>
      <c r="J477" s="37" t="str">
        <f t="shared" si="125"/>
        <v>-</v>
      </c>
      <c r="K477" s="37">
        <f t="shared" si="125"/>
        <v>4795</v>
      </c>
      <c r="L477" s="18"/>
      <c r="M477" s="6"/>
      <c r="N477" s="6"/>
      <c r="O477" s="6"/>
      <c r="P477" s="6"/>
      <c r="Q477" s="6"/>
      <c r="R477" s="6"/>
    </row>
    <row r="478" spans="1:18" s="366" customFormat="1" ht="11.25" customHeight="1" x14ac:dyDescent="0.2">
      <c r="A478" s="118">
        <v>2009</v>
      </c>
      <c r="B478" s="37" t="str">
        <f t="shared" ref="B478:K478" si="126">B227</f>
        <v>-</v>
      </c>
      <c r="C478" s="37" t="str">
        <f t="shared" si="126"/>
        <v>-</v>
      </c>
      <c r="D478" s="37" t="str">
        <f t="shared" si="126"/>
        <v>-</v>
      </c>
      <c r="E478" s="37">
        <f t="shared" si="126"/>
        <v>268</v>
      </c>
      <c r="F478" s="37">
        <f t="shared" si="126"/>
        <v>2329</v>
      </c>
      <c r="G478" s="37">
        <f t="shared" si="126"/>
        <v>754</v>
      </c>
      <c r="H478" s="37">
        <f t="shared" si="126"/>
        <v>2580</v>
      </c>
      <c r="I478" s="37" t="str">
        <f t="shared" si="126"/>
        <v>-</v>
      </c>
      <c r="J478" s="37" t="str">
        <f t="shared" si="126"/>
        <v>-</v>
      </c>
      <c r="K478" s="37">
        <f t="shared" si="126"/>
        <v>5931</v>
      </c>
      <c r="L478" s="18"/>
      <c r="M478" s="6"/>
      <c r="N478" s="6"/>
      <c r="O478" s="6"/>
      <c r="P478" s="6"/>
      <c r="Q478" s="6"/>
      <c r="R478" s="6"/>
    </row>
    <row r="479" spans="1:18" s="366" customFormat="1" ht="11.25" customHeight="1" x14ac:dyDescent="0.2">
      <c r="A479" s="118">
        <v>2010</v>
      </c>
      <c r="B479" s="37" t="str">
        <f t="shared" ref="B479:K479" si="127">B228</f>
        <v>-</v>
      </c>
      <c r="C479" s="37" t="str">
        <f t="shared" si="127"/>
        <v>-</v>
      </c>
      <c r="D479" s="37">
        <f t="shared" si="127"/>
        <v>129</v>
      </c>
      <c r="E479" s="37">
        <f t="shared" si="127"/>
        <v>95</v>
      </c>
      <c r="F479" s="37">
        <f t="shared" si="127"/>
        <v>335</v>
      </c>
      <c r="G479" s="37">
        <f t="shared" si="127"/>
        <v>619</v>
      </c>
      <c r="H479" s="37">
        <f t="shared" si="127"/>
        <v>2502</v>
      </c>
      <c r="I479" s="37">
        <f t="shared" si="127"/>
        <v>2270</v>
      </c>
      <c r="J479" s="37" t="str">
        <f t="shared" si="127"/>
        <v>-</v>
      </c>
      <c r="K479" s="37">
        <f t="shared" si="127"/>
        <v>5950</v>
      </c>
      <c r="L479" s="18"/>
      <c r="M479" s="6"/>
      <c r="N479" s="6"/>
      <c r="O479" s="6"/>
      <c r="P479" s="6"/>
      <c r="Q479" s="6"/>
      <c r="R479" s="6"/>
    </row>
    <row r="480" spans="1:18" s="366" customFormat="1" ht="11.25" customHeight="1" x14ac:dyDescent="0.2">
      <c r="A480" s="118">
        <v>2011</v>
      </c>
      <c r="B480" s="37" t="str">
        <f t="shared" ref="B480:K480" si="128">B229</f>
        <v>-</v>
      </c>
      <c r="C480" s="37" t="str">
        <f t="shared" si="128"/>
        <v>-</v>
      </c>
      <c r="D480" s="37">
        <f t="shared" si="128"/>
        <v>393</v>
      </c>
      <c r="E480" s="37">
        <f t="shared" si="128"/>
        <v>296</v>
      </c>
      <c r="F480" s="37">
        <f t="shared" si="128"/>
        <v>189</v>
      </c>
      <c r="G480" s="37">
        <f t="shared" si="128"/>
        <v>1772</v>
      </c>
      <c r="H480" s="37">
        <f t="shared" si="128"/>
        <v>1853</v>
      </c>
      <c r="I480" s="37">
        <f t="shared" si="128"/>
        <v>1757</v>
      </c>
      <c r="J480" s="37" t="str">
        <f t="shared" si="128"/>
        <v>-</v>
      </c>
      <c r="K480" s="37">
        <f t="shared" si="128"/>
        <v>6260</v>
      </c>
      <c r="L480" s="18"/>
      <c r="M480" s="6"/>
      <c r="N480" s="6"/>
      <c r="O480" s="6"/>
      <c r="P480" s="6"/>
      <c r="Q480" s="6"/>
      <c r="R480" s="6"/>
    </row>
    <row r="481" spans="1:18" s="366" customFormat="1" ht="11.25" customHeight="1" x14ac:dyDescent="0.2">
      <c r="A481" s="118">
        <v>2012</v>
      </c>
      <c r="B481" s="37" t="str">
        <f t="shared" ref="B481:K481" si="129">B230</f>
        <v>-</v>
      </c>
      <c r="C481" s="37" t="str">
        <f t="shared" si="129"/>
        <v>-</v>
      </c>
      <c r="D481" s="37">
        <f t="shared" si="129"/>
        <v>484</v>
      </c>
      <c r="E481" s="37">
        <f t="shared" si="129"/>
        <v>1982</v>
      </c>
      <c r="F481" s="37">
        <f t="shared" si="129"/>
        <v>4678</v>
      </c>
      <c r="G481" s="37">
        <f t="shared" si="129"/>
        <v>6810</v>
      </c>
      <c r="H481" s="37">
        <f t="shared" si="129"/>
        <v>1201</v>
      </c>
      <c r="I481" s="37">
        <f t="shared" si="129"/>
        <v>3666</v>
      </c>
      <c r="J481" s="37" t="str">
        <f t="shared" si="129"/>
        <v>-</v>
      </c>
      <c r="K481" s="37">
        <f t="shared" si="129"/>
        <v>18821</v>
      </c>
      <c r="L481" s="18"/>
      <c r="M481" s="6"/>
      <c r="N481" s="6"/>
      <c r="O481" s="6"/>
      <c r="P481" s="6"/>
      <c r="Q481" s="6"/>
      <c r="R481" s="6"/>
    </row>
    <row r="482" spans="1:18" s="366" customFormat="1" ht="11.25" customHeight="1" x14ac:dyDescent="0.2">
      <c r="A482" s="118">
        <v>2013</v>
      </c>
      <c r="B482" s="37" t="str">
        <f t="shared" ref="B482:K482" si="130">B231</f>
        <v>-</v>
      </c>
      <c r="C482" s="37" t="str">
        <f t="shared" si="130"/>
        <v>-</v>
      </c>
      <c r="D482" s="37">
        <f t="shared" si="130"/>
        <v>289</v>
      </c>
      <c r="E482" s="37">
        <f t="shared" si="130"/>
        <v>2259</v>
      </c>
      <c r="F482" s="37">
        <f t="shared" si="130"/>
        <v>6658</v>
      </c>
      <c r="G482" s="37">
        <f t="shared" si="130"/>
        <v>7147</v>
      </c>
      <c r="H482" s="37">
        <f t="shared" si="130"/>
        <v>208</v>
      </c>
      <c r="I482" s="37">
        <f t="shared" si="130"/>
        <v>3547</v>
      </c>
      <c r="J482" s="37" t="str">
        <f t="shared" si="130"/>
        <v>-</v>
      </c>
      <c r="K482" s="37">
        <f t="shared" si="130"/>
        <v>20108</v>
      </c>
      <c r="L482" s="18"/>
      <c r="M482" s="6"/>
      <c r="N482" s="6"/>
      <c r="O482" s="6"/>
      <c r="P482" s="6"/>
      <c r="Q482" s="6"/>
      <c r="R482" s="6"/>
    </row>
    <row r="483" spans="1:18" ht="11.25" customHeight="1" x14ac:dyDescent="0.2">
      <c r="A483" s="118">
        <v>2014</v>
      </c>
      <c r="B483" s="37" t="str">
        <f t="shared" ref="B483:K483" si="131">B232</f>
        <v>-</v>
      </c>
      <c r="C483" s="37" t="str">
        <f t="shared" si="131"/>
        <v>-</v>
      </c>
      <c r="D483" s="37">
        <f t="shared" si="131"/>
        <v>1437</v>
      </c>
      <c r="E483" s="37">
        <f t="shared" si="131"/>
        <v>1466</v>
      </c>
      <c r="F483" s="37">
        <f t="shared" si="131"/>
        <v>5557</v>
      </c>
      <c r="G483" s="37">
        <f t="shared" si="131"/>
        <v>3723</v>
      </c>
      <c r="H483" s="37">
        <f t="shared" si="131"/>
        <v>246</v>
      </c>
      <c r="I483" s="37">
        <f t="shared" si="131"/>
        <v>4639</v>
      </c>
      <c r="J483" s="37" t="str">
        <f t="shared" si="131"/>
        <v>-</v>
      </c>
      <c r="K483" s="37">
        <f t="shared" si="131"/>
        <v>17068</v>
      </c>
      <c r="L483" s="17"/>
      <c r="M483" s="3"/>
      <c r="N483" s="3"/>
      <c r="O483" s="3"/>
      <c r="P483" s="3"/>
      <c r="Q483" s="3"/>
      <c r="R483" s="3"/>
    </row>
    <row r="484" spans="1:18" s="366" customFormat="1" ht="11.25" customHeight="1" x14ac:dyDescent="0.2">
      <c r="A484" s="118">
        <v>2015</v>
      </c>
      <c r="B484" s="37" t="str">
        <f t="shared" ref="B484:K484" si="132">B233</f>
        <v>-</v>
      </c>
      <c r="C484" s="37" t="str">
        <f t="shared" si="132"/>
        <v>-</v>
      </c>
      <c r="D484" s="37">
        <f t="shared" si="132"/>
        <v>305</v>
      </c>
      <c r="E484" s="37">
        <f t="shared" si="132"/>
        <v>424</v>
      </c>
      <c r="F484" s="37">
        <f t="shared" si="132"/>
        <v>1492</v>
      </c>
      <c r="G484" s="37">
        <f t="shared" si="132"/>
        <v>574</v>
      </c>
      <c r="H484" s="37">
        <f t="shared" si="132"/>
        <v>1120</v>
      </c>
      <c r="I484" s="37">
        <f t="shared" si="132"/>
        <v>5040</v>
      </c>
      <c r="J484" s="37" t="str">
        <f t="shared" si="132"/>
        <v>-</v>
      </c>
      <c r="K484" s="37">
        <f t="shared" si="132"/>
        <v>8955</v>
      </c>
      <c r="L484" s="18"/>
      <c r="M484" s="6"/>
      <c r="N484" s="6"/>
      <c r="O484" s="6"/>
      <c r="P484" s="6"/>
      <c r="Q484" s="6"/>
      <c r="R484" s="6"/>
    </row>
    <row r="485" spans="1:18" s="366" customFormat="1" ht="11.25" customHeight="1" x14ac:dyDescent="0.2">
      <c r="A485" s="118">
        <v>2016</v>
      </c>
      <c r="B485" s="37" t="str">
        <f t="shared" ref="B485:K485" si="133">B234</f>
        <v>-</v>
      </c>
      <c r="C485" s="37" t="str">
        <f t="shared" si="133"/>
        <v>-</v>
      </c>
      <c r="D485" s="37">
        <f t="shared" si="133"/>
        <v>44</v>
      </c>
      <c r="E485" s="37">
        <f t="shared" si="133"/>
        <v>467</v>
      </c>
      <c r="F485" s="37">
        <f t="shared" si="133"/>
        <v>717</v>
      </c>
      <c r="G485" s="37">
        <f t="shared" si="133"/>
        <v>190</v>
      </c>
      <c r="H485" s="37">
        <f t="shared" si="133"/>
        <v>898</v>
      </c>
      <c r="I485" s="37">
        <f t="shared" si="133"/>
        <v>1872</v>
      </c>
      <c r="J485" s="37" t="str">
        <f t="shared" si="133"/>
        <v>-</v>
      </c>
      <c r="K485" s="37">
        <f t="shared" si="133"/>
        <v>4188</v>
      </c>
      <c r="L485" s="18"/>
      <c r="M485" s="6"/>
      <c r="N485" s="6"/>
      <c r="O485" s="6"/>
      <c r="P485" s="6"/>
      <c r="Q485" s="6"/>
      <c r="R485" s="6"/>
    </row>
    <row r="486" spans="1:18" ht="11.25" customHeight="1" x14ac:dyDescent="0.2">
      <c r="A486" s="118">
        <v>2017</v>
      </c>
      <c r="B486" s="37" t="str">
        <f t="shared" ref="B486:K486" si="134">B235</f>
        <v>-</v>
      </c>
      <c r="C486" s="37" t="str">
        <f t="shared" si="134"/>
        <v>-</v>
      </c>
      <c r="D486" s="37" t="str">
        <f t="shared" si="134"/>
        <v>-</v>
      </c>
      <c r="E486" s="37" t="str">
        <f t="shared" si="134"/>
        <v>-</v>
      </c>
      <c r="F486" s="37" t="str">
        <f t="shared" si="134"/>
        <v>-</v>
      </c>
      <c r="G486" s="37" t="str">
        <f t="shared" si="134"/>
        <v>-</v>
      </c>
      <c r="H486" s="37" t="str">
        <f t="shared" si="134"/>
        <v>-</v>
      </c>
      <c r="I486" s="37">
        <f t="shared" si="134"/>
        <v>2012</v>
      </c>
      <c r="J486" s="37" t="str">
        <f t="shared" si="134"/>
        <v>-</v>
      </c>
      <c r="K486" s="37">
        <f t="shared" si="134"/>
        <v>2012</v>
      </c>
      <c r="L486" s="17"/>
      <c r="M486" s="3"/>
      <c r="N486" s="3"/>
      <c r="O486" s="3"/>
      <c r="P486" s="3"/>
      <c r="Q486" s="3"/>
      <c r="R486" s="3"/>
    </row>
    <row r="487" spans="1:18" s="366" customFormat="1" ht="11.25" customHeight="1" x14ac:dyDescent="0.2">
      <c r="A487" s="118">
        <v>2018</v>
      </c>
      <c r="B487" s="37" t="str">
        <f t="shared" ref="B487:K487" si="135">B236</f>
        <v>-</v>
      </c>
      <c r="C487" s="37" t="str">
        <f t="shared" si="135"/>
        <v>-</v>
      </c>
      <c r="D487" s="37">
        <f t="shared" si="135"/>
        <v>508</v>
      </c>
      <c r="E487" s="37">
        <f t="shared" si="135"/>
        <v>1058</v>
      </c>
      <c r="F487" s="37">
        <f t="shared" si="135"/>
        <v>1398</v>
      </c>
      <c r="G487" s="37">
        <f t="shared" si="135"/>
        <v>1934</v>
      </c>
      <c r="H487" s="37" t="str">
        <f t="shared" si="135"/>
        <v>-</v>
      </c>
      <c r="I487" s="37">
        <f t="shared" si="135"/>
        <v>2102</v>
      </c>
      <c r="J487" s="37" t="str">
        <f t="shared" si="135"/>
        <v>-</v>
      </c>
      <c r="K487" s="37">
        <f t="shared" si="135"/>
        <v>7000</v>
      </c>
      <c r="L487" s="18"/>
      <c r="M487" s="6"/>
      <c r="N487" s="6"/>
      <c r="O487" s="6"/>
      <c r="P487" s="6"/>
      <c r="Q487" s="6"/>
      <c r="R487" s="6"/>
    </row>
    <row r="488" spans="1:18" s="489" customFormat="1" ht="11.25" customHeight="1" x14ac:dyDescent="0.2">
      <c r="A488" s="118">
        <v>2019</v>
      </c>
      <c r="B488" s="37" t="str">
        <f t="shared" ref="B488:K489" si="136">B237</f>
        <v>-</v>
      </c>
      <c r="C488" s="37" t="str">
        <f t="shared" si="136"/>
        <v>-</v>
      </c>
      <c r="D488" s="37">
        <f t="shared" si="136"/>
        <v>132</v>
      </c>
      <c r="E488" s="37">
        <f t="shared" si="136"/>
        <v>769</v>
      </c>
      <c r="F488" s="37">
        <f t="shared" si="136"/>
        <v>1797</v>
      </c>
      <c r="G488" s="37">
        <f t="shared" si="136"/>
        <v>1635</v>
      </c>
      <c r="H488" s="37">
        <f t="shared" si="136"/>
        <v>24</v>
      </c>
      <c r="I488" s="37" t="str">
        <f t="shared" si="136"/>
        <v>-</v>
      </c>
      <c r="J488" s="37" t="str">
        <f t="shared" si="136"/>
        <v>-</v>
      </c>
      <c r="K488" s="37">
        <f t="shared" si="136"/>
        <v>4357</v>
      </c>
      <c r="L488" s="18"/>
      <c r="M488" s="6"/>
      <c r="N488" s="6"/>
      <c r="O488" s="6"/>
      <c r="P488" s="6"/>
      <c r="Q488" s="6"/>
      <c r="R488" s="6"/>
    </row>
    <row r="489" spans="1:18" ht="11.25" customHeight="1" x14ac:dyDescent="0.2">
      <c r="A489" s="118" t="s">
        <v>393</v>
      </c>
      <c r="B489" s="37" t="str">
        <f t="shared" si="136"/>
        <v>-</v>
      </c>
      <c r="C489" s="37" t="str">
        <f t="shared" si="136"/>
        <v>-</v>
      </c>
      <c r="D489" s="37" t="str">
        <f t="shared" si="136"/>
        <v>-</v>
      </c>
      <c r="E489" s="37">
        <f t="shared" si="136"/>
        <v>1624</v>
      </c>
      <c r="F489" s="37">
        <f t="shared" si="136"/>
        <v>4050</v>
      </c>
      <c r="G489" s="37">
        <f t="shared" si="136"/>
        <v>587</v>
      </c>
      <c r="H489" s="37" t="str">
        <f t="shared" si="136"/>
        <v>-</v>
      </c>
      <c r="I489" s="37" t="str">
        <f t="shared" si="136"/>
        <v>-</v>
      </c>
      <c r="J489" s="37" t="str">
        <f t="shared" si="136"/>
        <v>-</v>
      </c>
      <c r="K489" s="37">
        <f t="shared" si="136"/>
        <v>6261</v>
      </c>
      <c r="L489" s="17"/>
      <c r="M489" s="3"/>
      <c r="N489" s="3"/>
      <c r="O489" s="3"/>
      <c r="P489" s="3"/>
      <c r="Q489" s="3"/>
      <c r="R489" s="3"/>
    </row>
    <row r="490" spans="1:18" ht="11.25" customHeight="1" x14ac:dyDescent="0.2">
      <c r="A490" s="371"/>
      <c r="B490" s="24"/>
      <c r="C490" s="24"/>
      <c r="D490" s="24"/>
      <c r="E490" s="24"/>
      <c r="F490" s="24"/>
      <c r="G490" s="24"/>
      <c r="H490" s="24"/>
      <c r="I490" s="24"/>
      <c r="J490" s="24"/>
      <c r="K490" s="24"/>
      <c r="L490" s="17"/>
      <c r="M490" s="3"/>
      <c r="N490" s="3"/>
      <c r="O490" s="3"/>
      <c r="P490" s="3"/>
      <c r="Q490" s="3"/>
      <c r="R490" s="3"/>
    </row>
    <row r="491" spans="1:18" ht="11.25" customHeight="1" x14ac:dyDescent="0.2">
      <c r="A491" s="419" t="str">
        <f>A240</f>
        <v>South of Cape Falcon</v>
      </c>
      <c r="B491" s="24"/>
      <c r="C491" s="24"/>
      <c r="D491" s="24"/>
      <c r="E491" s="24"/>
      <c r="F491" s="24"/>
      <c r="G491" s="24"/>
      <c r="H491" s="24"/>
      <c r="I491" s="24"/>
      <c r="J491" s="24"/>
      <c r="K491" s="24"/>
      <c r="L491" s="17"/>
      <c r="M491" s="3"/>
      <c r="N491" s="3"/>
      <c r="O491" s="3"/>
      <c r="P491" s="3"/>
      <c r="Q491" s="3"/>
      <c r="R491" s="3"/>
    </row>
    <row r="492" spans="1:18" ht="11.25" customHeight="1" x14ac:dyDescent="0.2">
      <c r="A492" s="371" t="s">
        <v>30</v>
      </c>
      <c r="B492" s="74" t="s">
        <v>29</v>
      </c>
      <c r="C492" s="74" t="s">
        <v>29</v>
      </c>
      <c r="D492" s="24">
        <f t="shared" ref="D492:K492" si="137">AVERAGE(D246:D250)</f>
        <v>4748.5</v>
      </c>
      <c r="E492" s="24">
        <f t="shared" si="137"/>
        <v>32267.333333333332</v>
      </c>
      <c r="F492" s="24">
        <f t="shared" si="137"/>
        <v>103968</v>
      </c>
      <c r="G492" s="24">
        <f t="shared" si="137"/>
        <v>64436.2</v>
      </c>
      <c r="H492" s="24">
        <f t="shared" si="137"/>
        <v>11898.6</v>
      </c>
      <c r="I492" s="24">
        <f t="shared" si="137"/>
        <v>3722.6</v>
      </c>
      <c r="J492" s="24">
        <f t="shared" si="137"/>
        <v>229.66666666666666</v>
      </c>
      <c r="K492" s="24">
        <f t="shared" si="137"/>
        <v>207322.4</v>
      </c>
      <c r="L492" s="17"/>
      <c r="M492" s="3"/>
      <c r="N492" s="3"/>
      <c r="O492" s="3"/>
      <c r="P492" s="3"/>
      <c r="Q492" s="3"/>
      <c r="R492" s="3"/>
    </row>
    <row r="493" spans="1:18" ht="11.25" customHeight="1" x14ac:dyDescent="0.2">
      <c r="A493" s="371" t="s">
        <v>87</v>
      </c>
      <c r="B493" s="74" t="s">
        <v>29</v>
      </c>
      <c r="C493" s="74" t="s">
        <v>29</v>
      </c>
      <c r="D493" s="24">
        <f t="shared" ref="D493:K493" si="138">AVERAGE(D251:D255)</f>
        <v>3869.2</v>
      </c>
      <c r="E493" s="24">
        <f t="shared" si="138"/>
        <v>31503.599999999999</v>
      </c>
      <c r="F493" s="24">
        <f t="shared" si="138"/>
        <v>107291.6</v>
      </c>
      <c r="G493" s="24">
        <f t="shared" si="138"/>
        <v>64475</v>
      </c>
      <c r="H493" s="24">
        <f t="shared" si="138"/>
        <v>14269.8</v>
      </c>
      <c r="I493" s="24">
        <f t="shared" si="138"/>
        <v>5030</v>
      </c>
      <c r="J493" s="24" t="s">
        <v>116</v>
      </c>
      <c r="K493" s="24">
        <f t="shared" si="138"/>
        <v>223421.2</v>
      </c>
      <c r="L493" s="17"/>
      <c r="M493" s="3"/>
      <c r="N493" s="3"/>
      <c r="O493" s="3"/>
      <c r="P493" s="3"/>
      <c r="Q493" s="3"/>
      <c r="R493" s="3"/>
    </row>
    <row r="494" spans="1:18" ht="11.25" customHeight="1" x14ac:dyDescent="0.2">
      <c r="A494" s="371" t="s">
        <v>14</v>
      </c>
      <c r="B494" s="74" t="s">
        <v>29</v>
      </c>
      <c r="C494" s="74" t="s">
        <v>29</v>
      </c>
      <c r="D494" s="24">
        <f>AVERAGE(D256:D260)</f>
        <v>4110</v>
      </c>
      <c r="E494" s="24">
        <f t="shared" ref="E494:K494" si="139">AVERAGE(E256:E260)</f>
        <v>16014.6</v>
      </c>
      <c r="F494" s="24">
        <f t="shared" si="139"/>
        <v>74255.666666666672</v>
      </c>
      <c r="G494" s="24">
        <f t="shared" si="139"/>
        <v>11675.6</v>
      </c>
      <c r="H494" s="24">
        <f t="shared" si="139"/>
        <v>6090.6</v>
      </c>
      <c r="I494" s="24">
        <f t="shared" si="139"/>
        <v>7129.666666666667</v>
      </c>
      <c r="J494" s="24">
        <f t="shared" si="139"/>
        <v>395.5</v>
      </c>
      <c r="K494" s="24">
        <f t="shared" si="139"/>
        <v>86880.2</v>
      </c>
      <c r="L494" s="17"/>
      <c r="M494" s="3"/>
      <c r="N494" s="3"/>
      <c r="O494" s="3"/>
      <c r="P494" s="3"/>
      <c r="Q494" s="3"/>
      <c r="R494" s="3"/>
    </row>
    <row r="495" spans="1:18" ht="11.25" customHeight="1" x14ac:dyDescent="0.2">
      <c r="A495" s="371" t="s">
        <v>207</v>
      </c>
      <c r="B495" s="74" t="s">
        <v>29</v>
      </c>
      <c r="C495" s="74" t="s">
        <v>29</v>
      </c>
      <c r="D495" s="24">
        <f>AVERAGE(D261:D265)</f>
        <v>1885</v>
      </c>
      <c r="E495" s="24">
        <f t="shared" ref="E495:K495" si="140">AVERAGE(E261:E265)</f>
        <v>3618</v>
      </c>
      <c r="F495" s="24">
        <f t="shared" si="140"/>
        <v>11923</v>
      </c>
      <c r="G495" s="24">
        <f t="shared" si="140"/>
        <v>11221.4</v>
      </c>
      <c r="H495" s="24">
        <f t="shared" si="140"/>
        <v>5739.4</v>
      </c>
      <c r="I495" s="24">
        <f t="shared" si="140"/>
        <v>5699.2</v>
      </c>
      <c r="J495" s="24">
        <f t="shared" si="140"/>
        <v>169.5</v>
      </c>
      <c r="K495" s="24">
        <f t="shared" si="140"/>
        <v>40167.199999999997</v>
      </c>
      <c r="L495" s="17"/>
      <c r="M495" s="3"/>
      <c r="N495" s="3"/>
      <c r="O495" s="3"/>
      <c r="P495" s="3"/>
      <c r="Q495" s="3"/>
      <c r="R495" s="3"/>
    </row>
    <row r="496" spans="1:18" ht="11.25" customHeight="1" x14ac:dyDescent="0.2">
      <c r="A496" s="118" t="s">
        <v>238</v>
      </c>
      <c r="B496" s="24">
        <f>AVERAGE(B266:B270)</f>
        <v>63</v>
      </c>
      <c r="C496" s="24">
        <f>AVERAGE(C266:C270)</f>
        <v>211.6</v>
      </c>
      <c r="D496" s="24">
        <f>AVERAGE(D266:D270)</f>
        <v>3122.8</v>
      </c>
      <c r="E496" s="24">
        <f>AVERAGE(E266:E270)</f>
        <v>15737.4</v>
      </c>
      <c r="F496" s="24">
        <f t="shared" ref="F496:K496" si="141">AVERAGE(F266:F270)</f>
        <v>40575.199999999997</v>
      </c>
      <c r="G496" s="24">
        <f t="shared" si="141"/>
        <v>23882.400000000001</v>
      </c>
      <c r="H496" s="24">
        <f t="shared" si="141"/>
        <v>11307.4</v>
      </c>
      <c r="I496" s="24">
        <f t="shared" si="141"/>
        <v>6514</v>
      </c>
      <c r="J496" s="24">
        <f t="shared" si="141"/>
        <v>182</v>
      </c>
      <c r="K496" s="24">
        <f t="shared" si="141"/>
        <v>101570.6</v>
      </c>
      <c r="L496" s="17"/>
      <c r="M496" s="3"/>
      <c r="N496" s="3"/>
      <c r="O496" s="3"/>
      <c r="P496" s="3"/>
      <c r="Q496" s="3"/>
      <c r="R496" s="3"/>
    </row>
    <row r="497" spans="1:18" ht="11.25" customHeight="1" x14ac:dyDescent="0.2">
      <c r="A497" s="118">
        <v>2006</v>
      </c>
      <c r="B497" s="37">
        <f t="shared" ref="B497:K497" si="142">B271</f>
        <v>24</v>
      </c>
      <c r="C497" s="37">
        <f t="shared" si="142"/>
        <v>92</v>
      </c>
      <c r="D497" s="37">
        <f t="shared" si="142"/>
        <v>1414</v>
      </c>
      <c r="E497" s="37">
        <f t="shared" si="142"/>
        <v>7575</v>
      </c>
      <c r="F497" s="37">
        <f t="shared" si="142"/>
        <v>19050</v>
      </c>
      <c r="G497" s="37">
        <f t="shared" si="142"/>
        <v>3817</v>
      </c>
      <c r="H497" s="37">
        <f t="shared" si="142"/>
        <v>13560</v>
      </c>
      <c r="I497" s="37">
        <f t="shared" si="142"/>
        <v>8449</v>
      </c>
      <c r="J497" s="37">
        <f t="shared" si="142"/>
        <v>98</v>
      </c>
      <c r="K497" s="37">
        <f t="shared" si="142"/>
        <v>54079</v>
      </c>
      <c r="L497" s="17"/>
      <c r="M497" s="6"/>
      <c r="N497" s="6"/>
      <c r="O497" s="6"/>
      <c r="P497" s="6"/>
      <c r="Q497" s="6"/>
      <c r="R497" s="6"/>
    </row>
    <row r="498" spans="1:18" s="366" customFormat="1" ht="11.25" customHeight="1" x14ac:dyDescent="0.2">
      <c r="A498" s="118">
        <v>2007</v>
      </c>
      <c r="B498" s="37">
        <f t="shared" ref="B498:K498" si="143">B272</f>
        <v>36</v>
      </c>
      <c r="C498" s="37">
        <f t="shared" si="143"/>
        <v>75</v>
      </c>
      <c r="D498" s="37">
        <f t="shared" si="143"/>
        <v>1576</v>
      </c>
      <c r="E498" s="37">
        <f t="shared" si="143"/>
        <v>8580</v>
      </c>
      <c r="F498" s="37">
        <f t="shared" si="143"/>
        <v>23667</v>
      </c>
      <c r="G498" s="37">
        <f t="shared" si="143"/>
        <v>30649</v>
      </c>
      <c r="H498" s="37">
        <f t="shared" si="143"/>
        <v>5651</v>
      </c>
      <c r="I498" s="37">
        <f t="shared" si="143"/>
        <v>5604</v>
      </c>
      <c r="J498" s="37">
        <f t="shared" si="143"/>
        <v>40</v>
      </c>
      <c r="K498" s="37">
        <f t="shared" si="143"/>
        <v>75878</v>
      </c>
      <c r="L498" s="18"/>
      <c r="M498" s="6"/>
      <c r="N498" s="6"/>
      <c r="O498" s="6"/>
      <c r="P498" s="6"/>
      <c r="Q498" s="6"/>
      <c r="R498" s="6"/>
    </row>
    <row r="499" spans="1:18" s="366" customFormat="1" ht="11.25" customHeight="1" x14ac:dyDescent="0.2">
      <c r="A499" s="118">
        <v>2008</v>
      </c>
      <c r="B499" s="37" t="str">
        <f t="shared" ref="B499:K499" si="144">B273</f>
        <v>-</v>
      </c>
      <c r="C499" s="37" t="str">
        <f t="shared" si="144"/>
        <v>-</v>
      </c>
      <c r="D499" s="37" t="str">
        <f t="shared" si="144"/>
        <v>-</v>
      </c>
      <c r="E499" s="37">
        <f t="shared" si="144"/>
        <v>3965</v>
      </c>
      <c r="F499" s="37">
        <f t="shared" si="144"/>
        <v>9998</v>
      </c>
      <c r="G499" s="37">
        <f t="shared" si="144"/>
        <v>5753</v>
      </c>
      <c r="H499" s="37">
        <f t="shared" si="144"/>
        <v>3635</v>
      </c>
      <c r="I499" s="37">
        <f t="shared" si="144"/>
        <v>3413</v>
      </c>
      <c r="J499" s="37" t="str">
        <f t="shared" si="144"/>
        <v>--</v>
      </c>
      <c r="K499" s="37">
        <f t="shared" si="144"/>
        <v>26764</v>
      </c>
      <c r="L499" s="18"/>
      <c r="M499" s="6"/>
      <c r="N499" s="6"/>
      <c r="O499" s="6"/>
      <c r="P499" s="6"/>
      <c r="Q499" s="6"/>
      <c r="R499" s="6"/>
    </row>
    <row r="500" spans="1:18" s="366" customFormat="1" ht="11.25" customHeight="1" x14ac:dyDescent="0.2">
      <c r="A500" s="118">
        <v>2009</v>
      </c>
      <c r="B500" s="37" t="str">
        <f t="shared" ref="B500:K500" si="145">B274</f>
        <v>-</v>
      </c>
      <c r="C500" s="37" t="str">
        <f t="shared" si="145"/>
        <v>-</v>
      </c>
      <c r="D500" s="37" t="str">
        <f t="shared" si="145"/>
        <v>-</v>
      </c>
      <c r="E500" s="37">
        <f t="shared" si="145"/>
        <v>4412</v>
      </c>
      <c r="F500" s="37">
        <f t="shared" si="145"/>
        <v>35341</v>
      </c>
      <c r="G500" s="37">
        <f t="shared" si="145"/>
        <v>24183</v>
      </c>
      <c r="H500" s="37">
        <f t="shared" si="145"/>
        <v>6323</v>
      </c>
      <c r="I500" s="37">
        <f t="shared" si="145"/>
        <v>2009</v>
      </c>
      <c r="J500" s="37" t="str">
        <f t="shared" si="145"/>
        <v>--</v>
      </c>
      <c r="K500" s="37">
        <f t="shared" si="145"/>
        <v>72268</v>
      </c>
      <c r="L500" s="18"/>
      <c r="M500" s="6"/>
      <c r="N500" s="6"/>
      <c r="O500" s="6"/>
      <c r="P500" s="6"/>
      <c r="Q500" s="6"/>
      <c r="R500" s="6"/>
    </row>
    <row r="501" spans="1:18" s="366" customFormat="1" ht="11.25" customHeight="1" x14ac:dyDescent="0.2">
      <c r="A501" s="118">
        <v>2010</v>
      </c>
      <c r="B501" s="37" t="str">
        <f t="shared" ref="B501:K501" si="146">B275</f>
        <v>-</v>
      </c>
      <c r="C501" s="37" t="str">
        <f t="shared" si="146"/>
        <v>-</v>
      </c>
      <c r="D501" s="37">
        <f t="shared" si="146"/>
        <v>992</v>
      </c>
      <c r="E501" s="37">
        <f t="shared" si="146"/>
        <v>3055</v>
      </c>
      <c r="F501" s="37">
        <f t="shared" si="146"/>
        <v>9451</v>
      </c>
      <c r="G501" s="37">
        <f t="shared" si="146"/>
        <v>17413</v>
      </c>
      <c r="H501" s="37">
        <f t="shared" si="146"/>
        <v>8836</v>
      </c>
      <c r="I501" s="37">
        <f t="shared" si="146"/>
        <v>3318</v>
      </c>
      <c r="J501" s="37" t="str">
        <f t="shared" si="146"/>
        <v>--</v>
      </c>
      <c r="K501" s="37">
        <f t="shared" si="146"/>
        <v>43065</v>
      </c>
      <c r="L501" s="18"/>
      <c r="M501" s="6"/>
      <c r="N501" s="6"/>
      <c r="O501" s="6"/>
      <c r="P501" s="6"/>
      <c r="Q501" s="6"/>
      <c r="R501" s="6"/>
    </row>
    <row r="502" spans="1:18" s="366" customFormat="1" ht="11.25" customHeight="1" x14ac:dyDescent="0.2">
      <c r="A502" s="118">
        <v>2011</v>
      </c>
      <c r="B502" s="37">
        <f t="shared" ref="B502:K502" si="147">B276</f>
        <v>22</v>
      </c>
      <c r="C502" s="37">
        <f t="shared" si="147"/>
        <v>75</v>
      </c>
      <c r="D502" s="37">
        <f t="shared" si="147"/>
        <v>826</v>
      </c>
      <c r="E502" s="37">
        <f t="shared" si="147"/>
        <v>3261</v>
      </c>
      <c r="F502" s="37">
        <f t="shared" si="147"/>
        <v>11024</v>
      </c>
      <c r="G502" s="37">
        <f t="shared" si="147"/>
        <v>11945</v>
      </c>
      <c r="H502" s="37">
        <f t="shared" si="147"/>
        <v>11207</v>
      </c>
      <c r="I502" s="37">
        <f t="shared" si="147"/>
        <v>2997</v>
      </c>
      <c r="J502" s="37">
        <f t="shared" si="147"/>
        <v>16</v>
      </c>
      <c r="K502" s="37">
        <f t="shared" si="147"/>
        <v>41373</v>
      </c>
      <c r="L502" s="18"/>
      <c r="M502" s="6"/>
      <c r="N502" s="6"/>
      <c r="O502" s="6"/>
      <c r="P502" s="6"/>
      <c r="Q502" s="6"/>
      <c r="R502" s="6"/>
    </row>
    <row r="503" spans="1:18" s="366" customFormat="1" ht="11.25" customHeight="1" x14ac:dyDescent="0.2">
      <c r="A503" s="118">
        <v>2012</v>
      </c>
      <c r="B503" s="37">
        <f t="shared" ref="B503:K503" si="148">B277</f>
        <v>23</v>
      </c>
      <c r="C503" s="37">
        <f t="shared" si="148"/>
        <v>380</v>
      </c>
      <c r="D503" s="37">
        <f t="shared" si="148"/>
        <v>2106</v>
      </c>
      <c r="E503" s="37">
        <f t="shared" si="148"/>
        <v>5760</v>
      </c>
      <c r="F503" s="37">
        <f t="shared" si="148"/>
        <v>14550</v>
      </c>
      <c r="G503" s="37">
        <f t="shared" si="148"/>
        <v>19341</v>
      </c>
      <c r="H503" s="37">
        <f t="shared" si="148"/>
        <v>14921</v>
      </c>
      <c r="I503" s="37">
        <f t="shared" si="148"/>
        <v>5371</v>
      </c>
      <c r="J503" s="37">
        <f t="shared" si="148"/>
        <v>18</v>
      </c>
      <c r="K503" s="37">
        <f t="shared" si="148"/>
        <v>62470</v>
      </c>
      <c r="L503" s="18"/>
      <c r="M503" s="6"/>
      <c r="N503" s="6"/>
      <c r="O503" s="6"/>
      <c r="P503" s="6"/>
      <c r="Q503" s="6"/>
      <c r="R503" s="6"/>
    </row>
    <row r="504" spans="1:18" s="366" customFormat="1" ht="11.25" customHeight="1" x14ac:dyDescent="0.2">
      <c r="A504" s="118">
        <v>2013</v>
      </c>
      <c r="B504" s="37">
        <f t="shared" ref="B504:K504" si="149">B278</f>
        <v>479</v>
      </c>
      <c r="C504" s="37">
        <f t="shared" si="149"/>
        <v>693</v>
      </c>
      <c r="D504" s="37">
        <f t="shared" si="149"/>
        <v>1200</v>
      </c>
      <c r="E504" s="37">
        <f t="shared" si="149"/>
        <v>6229</v>
      </c>
      <c r="F504" s="37">
        <f t="shared" si="149"/>
        <v>17872</v>
      </c>
      <c r="G504" s="37">
        <f t="shared" si="149"/>
        <v>33124</v>
      </c>
      <c r="H504" s="37">
        <f t="shared" si="149"/>
        <v>12041</v>
      </c>
      <c r="I504" s="37">
        <f t="shared" si="149"/>
        <v>7761</v>
      </c>
      <c r="J504" s="37" t="str">
        <f t="shared" si="149"/>
        <v>--</v>
      </c>
      <c r="K504" s="37">
        <f t="shared" si="149"/>
        <v>79399</v>
      </c>
      <c r="L504" s="18"/>
      <c r="M504" s="6"/>
      <c r="N504" s="6"/>
      <c r="O504" s="6"/>
      <c r="P504" s="6"/>
      <c r="Q504" s="6"/>
      <c r="R504" s="6"/>
    </row>
    <row r="505" spans="1:18" ht="11.25" customHeight="1" x14ac:dyDescent="0.2">
      <c r="A505" s="118">
        <v>2014</v>
      </c>
      <c r="B505" s="37">
        <f t="shared" ref="B505:K505" si="150">B279</f>
        <v>87</v>
      </c>
      <c r="C505" s="37">
        <f t="shared" si="150"/>
        <v>136</v>
      </c>
      <c r="D505" s="37">
        <f t="shared" si="150"/>
        <v>3672</v>
      </c>
      <c r="E505" s="37">
        <f t="shared" si="150"/>
        <v>6717</v>
      </c>
      <c r="F505" s="37">
        <f t="shared" si="150"/>
        <v>38359</v>
      </c>
      <c r="G505" s="37">
        <f t="shared" si="150"/>
        <v>29586</v>
      </c>
      <c r="H505" s="37">
        <f t="shared" si="150"/>
        <v>24634</v>
      </c>
      <c r="I505" s="37">
        <f t="shared" si="150"/>
        <v>6060</v>
      </c>
      <c r="J505" s="37" t="str">
        <f t="shared" si="150"/>
        <v>--</v>
      </c>
      <c r="K505" s="37">
        <f t="shared" si="150"/>
        <v>109251</v>
      </c>
      <c r="L505" s="17"/>
      <c r="M505" s="6"/>
      <c r="N505" s="6"/>
      <c r="O505" s="6"/>
      <c r="P505" s="6"/>
      <c r="Q505" s="6"/>
      <c r="R505" s="6"/>
    </row>
    <row r="506" spans="1:18" s="366" customFormat="1" ht="11.25" customHeight="1" x14ac:dyDescent="0.2">
      <c r="A506" s="118">
        <v>2015</v>
      </c>
      <c r="B506" s="37">
        <f t="shared" ref="B506:K506" si="151">B280</f>
        <v>60</v>
      </c>
      <c r="C506" s="37">
        <f t="shared" si="151"/>
        <v>152</v>
      </c>
      <c r="D506" s="37">
        <f t="shared" si="151"/>
        <v>1687</v>
      </c>
      <c r="E506" s="37">
        <f t="shared" si="151"/>
        <v>2774</v>
      </c>
      <c r="F506" s="37">
        <f t="shared" si="151"/>
        <v>19517</v>
      </c>
      <c r="G506" s="37">
        <f t="shared" si="151"/>
        <v>8100</v>
      </c>
      <c r="H506" s="37">
        <f t="shared" si="151"/>
        <v>17706</v>
      </c>
      <c r="I506" s="37">
        <f t="shared" si="151"/>
        <v>7414</v>
      </c>
      <c r="J506" s="37" t="str">
        <f t="shared" si="151"/>
        <v>--</v>
      </c>
      <c r="K506" s="37">
        <f t="shared" si="151"/>
        <v>57410</v>
      </c>
      <c r="L506" s="18"/>
      <c r="M506" s="6"/>
      <c r="N506" s="6"/>
      <c r="O506" s="6"/>
      <c r="P506" s="6"/>
      <c r="Q506" s="6"/>
      <c r="R506" s="6"/>
    </row>
    <row r="507" spans="1:18" s="366" customFormat="1" ht="11.25" customHeight="1" x14ac:dyDescent="0.2">
      <c r="A507" s="118">
        <v>2016</v>
      </c>
      <c r="B507" s="37">
        <f t="shared" ref="B507:K507" si="152">B281</f>
        <v>82</v>
      </c>
      <c r="C507" s="37">
        <f t="shared" si="152"/>
        <v>18</v>
      </c>
      <c r="D507" s="37">
        <f t="shared" si="152"/>
        <v>1081</v>
      </c>
      <c r="E507" s="37">
        <f t="shared" si="152"/>
        <v>3266</v>
      </c>
      <c r="F507" s="37">
        <f t="shared" si="152"/>
        <v>7099</v>
      </c>
      <c r="G507" s="37">
        <f t="shared" si="152"/>
        <v>5025</v>
      </c>
      <c r="H507" s="37">
        <f t="shared" si="152"/>
        <v>15477</v>
      </c>
      <c r="I507" s="37">
        <f t="shared" si="152"/>
        <v>2484</v>
      </c>
      <c r="J507" s="37" t="str">
        <f t="shared" si="152"/>
        <v>--</v>
      </c>
      <c r="K507" s="37">
        <f t="shared" si="152"/>
        <v>34532</v>
      </c>
      <c r="L507" s="18"/>
      <c r="M507" s="6"/>
      <c r="N507" s="6"/>
      <c r="O507" s="6"/>
      <c r="P507" s="6"/>
      <c r="Q507" s="6"/>
      <c r="R507" s="6"/>
    </row>
    <row r="508" spans="1:18" ht="11.25" customHeight="1" x14ac:dyDescent="0.2">
      <c r="A508" s="118">
        <v>2017</v>
      </c>
      <c r="B508" s="37">
        <f t="shared" ref="B508:K508" si="153">B282</f>
        <v>17</v>
      </c>
      <c r="C508" s="37">
        <f t="shared" si="153"/>
        <v>60</v>
      </c>
      <c r="D508" s="37">
        <f t="shared" si="153"/>
        <v>500</v>
      </c>
      <c r="E508" s="37">
        <f t="shared" si="153"/>
        <v>1916</v>
      </c>
      <c r="F508" s="37">
        <f t="shared" si="153"/>
        <v>10057</v>
      </c>
      <c r="G508" s="37">
        <f t="shared" si="153"/>
        <v>9383</v>
      </c>
      <c r="H508" s="37">
        <f t="shared" si="153"/>
        <v>9343</v>
      </c>
      <c r="I508" s="37">
        <f t="shared" si="153"/>
        <v>2465</v>
      </c>
      <c r="J508" s="37" t="str">
        <f t="shared" si="153"/>
        <v>--</v>
      </c>
      <c r="K508" s="37">
        <f t="shared" si="153"/>
        <v>33741</v>
      </c>
      <c r="L508" s="17"/>
      <c r="M508" s="6"/>
      <c r="N508" s="6"/>
      <c r="O508" s="6"/>
      <c r="P508" s="6"/>
      <c r="Q508" s="6"/>
      <c r="R508" s="6"/>
    </row>
    <row r="509" spans="1:18" s="366" customFormat="1" ht="11.25" customHeight="1" x14ac:dyDescent="0.2">
      <c r="A509" s="118">
        <v>2018</v>
      </c>
      <c r="B509" s="37">
        <f t="shared" ref="B509:K509" si="154">B283</f>
        <v>54</v>
      </c>
      <c r="C509" s="37">
        <f t="shared" si="154"/>
        <v>19</v>
      </c>
      <c r="D509" s="37">
        <f t="shared" si="154"/>
        <v>1165</v>
      </c>
      <c r="E509" s="37">
        <f t="shared" si="154"/>
        <v>2180</v>
      </c>
      <c r="F509" s="37">
        <f t="shared" si="154"/>
        <v>10964</v>
      </c>
      <c r="G509" s="37">
        <f t="shared" si="154"/>
        <v>24153</v>
      </c>
      <c r="H509" s="37">
        <f t="shared" si="154"/>
        <v>14596</v>
      </c>
      <c r="I509" s="37">
        <f t="shared" si="154"/>
        <v>3001</v>
      </c>
      <c r="J509" s="37" t="str">
        <f t="shared" si="154"/>
        <v>--</v>
      </c>
      <c r="K509" s="37">
        <f t="shared" si="154"/>
        <v>56132</v>
      </c>
      <c r="L509" s="18"/>
      <c r="M509" s="6"/>
      <c r="N509" s="6"/>
      <c r="O509" s="6"/>
      <c r="P509" s="6"/>
      <c r="Q509" s="6"/>
      <c r="R509" s="6"/>
    </row>
    <row r="510" spans="1:18" s="489" customFormat="1" ht="11.25" customHeight="1" x14ac:dyDescent="0.2">
      <c r="A510" s="118">
        <v>2019</v>
      </c>
      <c r="B510" s="37">
        <f t="shared" ref="B510:K511" si="155">B284</f>
        <v>43</v>
      </c>
      <c r="C510" s="37">
        <f t="shared" si="155"/>
        <v>8</v>
      </c>
      <c r="D510" s="37">
        <f t="shared" si="155"/>
        <v>542</v>
      </c>
      <c r="E510" s="37">
        <f t="shared" si="155"/>
        <v>7042</v>
      </c>
      <c r="F510" s="37">
        <f t="shared" si="155"/>
        <v>34182</v>
      </c>
      <c r="G510" s="37">
        <f t="shared" si="155"/>
        <v>26459</v>
      </c>
      <c r="H510" s="37">
        <f t="shared" si="155"/>
        <v>9684</v>
      </c>
      <c r="I510" s="37">
        <f t="shared" si="155"/>
        <v>1581</v>
      </c>
      <c r="J510" s="37" t="str">
        <f t="shared" si="155"/>
        <v>-</v>
      </c>
      <c r="K510" s="37">
        <f t="shared" si="155"/>
        <v>79541</v>
      </c>
      <c r="L510" s="18"/>
      <c r="M510" s="6"/>
      <c r="N510" s="6"/>
      <c r="O510" s="6"/>
      <c r="P510" s="6"/>
      <c r="Q510" s="6"/>
      <c r="R510" s="6"/>
    </row>
    <row r="511" spans="1:18" ht="11.25" customHeight="1" x14ac:dyDescent="0.2">
      <c r="A511" s="118" t="s">
        <v>393</v>
      </c>
      <c r="B511" s="37">
        <f t="shared" si="155"/>
        <v>11</v>
      </c>
      <c r="C511" s="37">
        <f t="shared" si="155"/>
        <v>107</v>
      </c>
      <c r="D511" s="37">
        <f t="shared" si="155"/>
        <v>293</v>
      </c>
      <c r="E511" s="37">
        <f t="shared" si="155"/>
        <v>2266</v>
      </c>
      <c r="F511" s="37">
        <f t="shared" si="155"/>
        <v>25259</v>
      </c>
      <c r="G511" s="37">
        <f t="shared" si="155"/>
        <v>12565</v>
      </c>
      <c r="H511" s="37">
        <f t="shared" si="155"/>
        <v>11338</v>
      </c>
      <c r="I511" s="37">
        <f t="shared" si="155"/>
        <v>1712</v>
      </c>
      <c r="J511" s="37" t="str">
        <f t="shared" si="155"/>
        <v>-</v>
      </c>
      <c r="K511" s="37">
        <f t="shared" si="155"/>
        <v>53551</v>
      </c>
      <c r="L511" s="17"/>
      <c r="M511" s="6"/>
      <c r="N511" s="6"/>
      <c r="O511" s="6"/>
      <c r="P511" s="6"/>
      <c r="Q511" s="6"/>
      <c r="R511" s="6"/>
    </row>
    <row r="512" spans="1:18" ht="11.25" customHeight="1" x14ac:dyDescent="0.2">
      <c r="A512" s="371"/>
      <c r="B512" s="24"/>
      <c r="C512" s="24"/>
      <c r="D512" s="24"/>
      <c r="E512" s="24"/>
      <c r="F512" s="24"/>
      <c r="G512" s="24"/>
      <c r="H512" s="24"/>
      <c r="I512" s="24"/>
      <c r="J512" s="24"/>
      <c r="K512" s="24"/>
      <c r="L512" s="7"/>
      <c r="M512" s="7"/>
      <c r="N512" s="7"/>
      <c r="O512" s="7"/>
      <c r="P512" s="7"/>
      <c r="Q512" s="7"/>
      <c r="R512" s="7"/>
    </row>
    <row r="513" spans="1:18" ht="11.25" customHeight="1" x14ac:dyDescent="0.2">
      <c r="A513" s="560" t="s">
        <v>363</v>
      </c>
      <c r="B513" s="560"/>
      <c r="C513" s="560"/>
      <c r="D513" s="560"/>
      <c r="E513" s="560"/>
      <c r="F513" s="560"/>
      <c r="G513" s="560"/>
      <c r="H513" s="560"/>
      <c r="I513" s="560"/>
      <c r="J513" s="560"/>
      <c r="K513" s="560"/>
      <c r="L513" s="7"/>
      <c r="M513" s="7"/>
      <c r="N513" s="7"/>
      <c r="O513" s="7"/>
      <c r="P513" s="7"/>
      <c r="Q513" s="7"/>
      <c r="R513" s="7"/>
    </row>
    <row r="514" spans="1:18" ht="11.25" customHeight="1" x14ac:dyDescent="0.2">
      <c r="A514" s="124" t="s">
        <v>49</v>
      </c>
      <c r="B514" s="421" t="s">
        <v>43</v>
      </c>
      <c r="C514" s="421" t="s">
        <v>34</v>
      </c>
      <c r="D514" s="421" t="s">
        <v>35</v>
      </c>
      <c r="E514" s="421" t="s">
        <v>36</v>
      </c>
      <c r="F514" s="421" t="s">
        <v>37</v>
      </c>
      <c r="G514" s="421" t="s">
        <v>38</v>
      </c>
      <c r="H514" s="421" t="s">
        <v>39</v>
      </c>
      <c r="I514" s="421" t="s">
        <v>40</v>
      </c>
      <c r="J514" s="421" t="s">
        <v>44</v>
      </c>
      <c r="K514" s="421" t="s">
        <v>28</v>
      </c>
      <c r="L514" s="7"/>
      <c r="M514" s="7"/>
      <c r="N514" s="7"/>
      <c r="O514" s="7"/>
      <c r="P514" s="7"/>
      <c r="Q514" s="7"/>
      <c r="R514" s="7"/>
    </row>
    <row r="515" spans="1:18" ht="11.25" customHeight="1" x14ac:dyDescent="0.2">
      <c r="A515" s="419" t="str">
        <f>A287</f>
        <v>Total All Areas</v>
      </c>
      <c r="B515" s="24"/>
      <c r="C515" s="24"/>
      <c r="D515" s="24"/>
      <c r="E515" s="24"/>
      <c r="F515" s="24"/>
      <c r="G515" s="24"/>
      <c r="H515" s="24"/>
      <c r="I515" s="24"/>
      <c r="J515" s="24"/>
      <c r="K515" s="24"/>
      <c r="L515" s="17"/>
      <c r="M515" s="3"/>
      <c r="N515" s="3"/>
      <c r="O515" s="3"/>
      <c r="P515" s="3"/>
      <c r="Q515" s="3"/>
      <c r="R515" s="3"/>
    </row>
    <row r="516" spans="1:18" ht="11.25" customHeight="1" x14ac:dyDescent="0.2">
      <c r="A516" s="371" t="s">
        <v>30</v>
      </c>
      <c r="B516" s="74" t="s">
        <v>29</v>
      </c>
      <c r="C516" s="74" t="s">
        <v>29</v>
      </c>
      <c r="D516" s="24">
        <f t="shared" ref="D516:K516" si="156">AVERAGE(D293:D297)</f>
        <v>4992.75</v>
      </c>
      <c r="E516" s="24">
        <f t="shared" si="156"/>
        <v>27469.25</v>
      </c>
      <c r="F516" s="24">
        <f t="shared" si="156"/>
        <v>115804.6</v>
      </c>
      <c r="G516" s="24">
        <f t="shared" si="156"/>
        <v>74333.600000000006</v>
      </c>
      <c r="H516" s="24">
        <f t="shared" si="156"/>
        <v>13575.4</v>
      </c>
      <c r="I516" s="24">
        <f t="shared" si="156"/>
        <v>3722.6</v>
      </c>
      <c r="J516" s="24">
        <f t="shared" si="156"/>
        <v>229.66666666666666</v>
      </c>
      <c r="K516" s="24">
        <f t="shared" si="156"/>
        <v>233543.6</v>
      </c>
      <c r="L516" s="17"/>
      <c r="M516" s="3"/>
      <c r="N516" s="3"/>
      <c r="O516" s="3"/>
      <c r="P516" s="3"/>
      <c r="Q516" s="3"/>
      <c r="R516" s="3"/>
    </row>
    <row r="517" spans="1:18" ht="11.25" customHeight="1" x14ac:dyDescent="0.2">
      <c r="A517" s="371" t="s">
        <v>87</v>
      </c>
      <c r="B517" s="74" t="s">
        <v>29</v>
      </c>
      <c r="C517" s="74" t="s">
        <v>29</v>
      </c>
      <c r="D517" s="24">
        <f t="shared" ref="D517:K517" si="157">AVERAGE(D298:D302)</f>
        <v>3898.4</v>
      </c>
      <c r="E517" s="24">
        <f t="shared" si="157"/>
        <v>32391.8</v>
      </c>
      <c r="F517" s="24">
        <f t="shared" si="157"/>
        <v>116182</v>
      </c>
      <c r="G517" s="24">
        <f t="shared" si="157"/>
        <v>72122.399999999994</v>
      </c>
      <c r="H517" s="24">
        <f t="shared" si="157"/>
        <v>14554.4</v>
      </c>
      <c r="I517" s="24">
        <f t="shared" si="157"/>
        <v>5030</v>
      </c>
      <c r="J517" s="24" t="s">
        <v>116</v>
      </c>
      <c r="K517" s="24">
        <f t="shared" si="157"/>
        <v>241161</v>
      </c>
      <c r="L517" s="17"/>
      <c r="M517" s="3"/>
      <c r="N517" s="3"/>
      <c r="O517" s="3"/>
      <c r="P517" s="3"/>
      <c r="Q517" s="3"/>
      <c r="R517" s="3"/>
    </row>
    <row r="518" spans="1:18" ht="11.25" customHeight="1" x14ac:dyDescent="0.2">
      <c r="A518" s="371" t="s">
        <v>14</v>
      </c>
      <c r="B518" s="74" t="s">
        <v>29</v>
      </c>
      <c r="C518" s="74" t="s">
        <v>29</v>
      </c>
      <c r="D518" s="24">
        <f>AVERAGE(D303:D307)</f>
        <v>4110</v>
      </c>
      <c r="E518" s="24">
        <f t="shared" ref="E518:K518" si="158">AVERAGE(E303:E307)</f>
        <v>16313.8</v>
      </c>
      <c r="F518" s="24">
        <f t="shared" si="158"/>
        <v>62372.25</v>
      </c>
      <c r="G518" s="24">
        <f t="shared" si="158"/>
        <v>17031.8</v>
      </c>
      <c r="H518" s="24">
        <f t="shared" si="158"/>
        <v>7757.4</v>
      </c>
      <c r="I518" s="24">
        <f t="shared" si="158"/>
        <v>7129.666666666667</v>
      </c>
      <c r="J518" s="24">
        <f t="shared" si="158"/>
        <v>395.5</v>
      </c>
      <c r="K518" s="24">
        <f t="shared" si="158"/>
        <v>99546.8</v>
      </c>
      <c r="L518" s="17"/>
      <c r="M518" s="3"/>
      <c r="N518" s="3"/>
      <c r="O518" s="3"/>
      <c r="P518" s="3"/>
      <c r="Q518" s="3"/>
      <c r="R518" s="3"/>
    </row>
    <row r="519" spans="1:18" ht="11.25" customHeight="1" x14ac:dyDescent="0.2">
      <c r="A519" s="371" t="s">
        <v>207</v>
      </c>
      <c r="B519" s="74" t="s">
        <v>29</v>
      </c>
      <c r="C519" s="74" t="s">
        <v>29</v>
      </c>
      <c r="D519" s="24">
        <f>AVERAGE(D308:D312)</f>
        <v>1885</v>
      </c>
      <c r="E519" s="24">
        <f t="shared" ref="E519:K519" si="159">AVERAGE(E308:E312)</f>
        <v>3618</v>
      </c>
      <c r="F519" s="24">
        <f t="shared" si="159"/>
        <v>13888.4</v>
      </c>
      <c r="G519" s="24">
        <f t="shared" si="159"/>
        <v>14130.2</v>
      </c>
      <c r="H519" s="24">
        <f t="shared" si="159"/>
        <v>6307.2</v>
      </c>
      <c r="I519" s="24">
        <f t="shared" si="159"/>
        <v>5699.2</v>
      </c>
      <c r="J519" s="24">
        <f t="shared" si="159"/>
        <v>169.5</v>
      </c>
      <c r="K519" s="24">
        <f t="shared" si="159"/>
        <v>45609.2</v>
      </c>
      <c r="L519" s="17"/>
      <c r="M519" s="3"/>
      <c r="N519" s="3"/>
      <c r="O519" s="3"/>
      <c r="P519" s="3"/>
      <c r="Q519" s="3"/>
      <c r="R519" s="3"/>
    </row>
    <row r="520" spans="1:18" ht="11.25" customHeight="1" x14ac:dyDescent="0.2">
      <c r="A520" s="118" t="s">
        <v>238</v>
      </c>
      <c r="B520" s="24">
        <f>AVERAGE(B313:B317)</f>
        <v>63</v>
      </c>
      <c r="C520" s="24">
        <f>AVERAGE(C313:C317)</f>
        <v>211.6</v>
      </c>
      <c r="D520" s="24">
        <f>AVERAGE(D313:D317)</f>
        <v>3153.8</v>
      </c>
      <c r="E520" s="24">
        <f t="shared" ref="E520:K520" si="160">AVERAGE(E313:E317)</f>
        <v>15893.2</v>
      </c>
      <c r="F520" s="24">
        <f t="shared" si="160"/>
        <v>45363</v>
      </c>
      <c r="G520" s="24">
        <f t="shared" si="160"/>
        <v>34140.199999999997</v>
      </c>
      <c r="H520" s="24">
        <f t="shared" si="160"/>
        <v>13348.4</v>
      </c>
      <c r="I520" s="24">
        <f t="shared" si="160"/>
        <v>6515.2</v>
      </c>
      <c r="J520" s="24">
        <f t="shared" si="160"/>
        <v>182</v>
      </c>
      <c r="K520" s="24">
        <f t="shared" si="160"/>
        <v>118845.2</v>
      </c>
      <c r="L520" s="17"/>
      <c r="M520" s="3"/>
      <c r="N520" s="3"/>
      <c r="O520" s="3"/>
      <c r="P520" s="3"/>
      <c r="Q520" s="3"/>
      <c r="R520" s="3"/>
    </row>
    <row r="521" spans="1:18" ht="11.25" customHeight="1" x14ac:dyDescent="0.2">
      <c r="A521" s="118">
        <v>2006</v>
      </c>
      <c r="B521" s="37">
        <f t="shared" ref="B521:K521" si="161">B318</f>
        <v>24</v>
      </c>
      <c r="C521" s="37">
        <f t="shared" si="161"/>
        <v>92</v>
      </c>
      <c r="D521" s="37">
        <f t="shared" si="161"/>
        <v>1414</v>
      </c>
      <c r="E521" s="37">
        <f t="shared" si="161"/>
        <v>7575</v>
      </c>
      <c r="F521" s="37">
        <f t="shared" si="161"/>
        <v>20761</v>
      </c>
      <c r="G521" s="37">
        <f t="shared" si="161"/>
        <v>9586</v>
      </c>
      <c r="H521" s="37">
        <f t="shared" si="161"/>
        <v>14322</v>
      </c>
      <c r="I521" s="37">
        <f t="shared" si="161"/>
        <v>8449</v>
      </c>
      <c r="J521" s="37">
        <f t="shared" si="161"/>
        <v>98</v>
      </c>
      <c r="K521" s="37">
        <f t="shared" si="161"/>
        <v>62321</v>
      </c>
      <c r="L521" s="18"/>
      <c r="M521" s="6"/>
      <c r="N521" s="6"/>
      <c r="O521" s="6"/>
      <c r="P521" s="6"/>
      <c r="Q521" s="6"/>
      <c r="R521" s="6"/>
    </row>
    <row r="522" spans="1:18" s="366" customFormat="1" ht="11.25" customHeight="1" x14ac:dyDescent="0.2">
      <c r="A522" s="118">
        <v>2007</v>
      </c>
      <c r="B522" s="37">
        <f t="shared" ref="B522:K522" si="162">B319</f>
        <v>36</v>
      </c>
      <c r="C522" s="37">
        <f t="shared" si="162"/>
        <v>75</v>
      </c>
      <c r="D522" s="37">
        <f t="shared" si="162"/>
        <v>1576</v>
      </c>
      <c r="E522" s="37">
        <f t="shared" si="162"/>
        <v>8580</v>
      </c>
      <c r="F522" s="37">
        <f t="shared" si="162"/>
        <v>26215</v>
      </c>
      <c r="G522" s="37">
        <f t="shared" si="162"/>
        <v>39498</v>
      </c>
      <c r="H522" s="37">
        <f t="shared" si="162"/>
        <v>6640</v>
      </c>
      <c r="I522" s="37">
        <f t="shared" si="162"/>
        <v>5604</v>
      </c>
      <c r="J522" s="37">
        <f t="shared" si="162"/>
        <v>40</v>
      </c>
      <c r="K522" s="37">
        <f t="shared" si="162"/>
        <v>88264</v>
      </c>
      <c r="L522" s="18"/>
      <c r="M522" s="6"/>
      <c r="N522" s="6"/>
      <c r="O522" s="6"/>
      <c r="P522" s="6"/>
      <c r="Q522" s="6"/>
      <c r="R522" s="6"/>
    </row>
    <row r="523" spans="1:18" s="366" customFormat="1" ht="11.25" customHeight="1" x14ac:dyDescent="0.2">
      <c r="A523" s="118">
        <v>2008</v>
      </c>
      <c r="B523" s="37" t="str">
        <f t="shared" ref="B523:K523" si="163">B320</f>
        <v>-</v>
      </c>
      <c r="C523" s="37" t="str">
        <f t="shared" si="163"/>
        <v>-</v>
      </c>
      <c r="D523" s="37">
        <f t="shared" si="163"/>
        <v>66</v>
      </c>
      <c r="E523" s="37">
        <f t="shared" si="163"/>
        <v>4463</v>
      </c>
      <c r="F523" s="37">
        <f t="shared" si="163"/>
        <v>11873</v>
      </c>
      <c r="G523" s="37">
        <f t="shared" si="163"/>
        <v>6968</v>
      </c>
      <c r="H523" s="37">
        <f t="shared" si="163"/>
        <v>3635</v>
      </c>
      <c r="I523" s="37">
        <f t="shared" si="163"/>
        <v>3413</v>
      </c>
      <c r="J523" s="37" t="str">
        <f t="shared" si="163"/>
        <v>--</v>
      </c>
      <c r="K523" s="37">
        <f t="shared" si="163"/>
        <v>30418</v>
      </c>
      <c r="L523" s="18"/>
      <c r="M523" s="6"/>
      <c r="N523" s="6"/>
      <c r="O523" s="6"/>
      <c r="P523" s="6"/>
      <c r="Q523" s="6"/>
      <c r="R523" s="6"/>
    </row>
    <row r="524" spans="1:18" s="366" customFormat="1" ht="11.25" customHeight="1" x14ac:dyDescent="0.2">
      <c r="A524" s="118">
        <v>2009</v>
      </c>
      <c r="B524" s="37" t="str">
        <f t="shared" ref="B524:K524" si="164">B321</f>
        <v>-</v>
      </c>
      <c r="C524" s="37" t="str">
        <f t="shared" si="164"/>
        <v>-</v>
      </c>
      <c r="D524" s="37" t="str">
        <f t="shared" si="164"/>
        <v>-</v>
      </c>
      <c r="E524" s="37">
        <f t="shared" si="164"/>
        <v>4497</v>
      </c>
      <c r="F524" s="37">
        <f t="shared" si="164"/>
        <v>41039</v>
      </c>
      <c r="G524" s="37">
        <f t="shared" si="164"/>
        <v>30280</v>
      </c>
      <c r="H524" s="37">
        <f t="shared" si="164"/>
        <v>6693</v>
      </c>
      <c r="I524" s="37">
        <f t="shared" si="164"/>
        <v>2009</v>
      </c>
      <c r="J524" s="37" t="str">
        <f t="shared" si="164"/>
        <v>--</v>
      </c>
      <c r="K524" s="37">
        <f t="shared" si="164"/>
        <v>84518</v>
      </c>
      <c r="L524" s="18"/>
      <c r="M524" s="6"/>
      <c r="N524" s="6"/>
      <c r="O524" s="6"/>
      <c r="P524" s="6"/>
      <c r="Q524" s="6"/>
      <c r="R524" s="6"/>
    </row>
    <row r="525" spans="1:18" s="366" customFormat="1" ht="11.25" customHeight="1" x14ac:dyDescent="0.2">
      <c r="A525" s="118">
        <v>2010</v>
      </c>
      <c r="B525" s="37" t="str">
        <f t="shared" ref="B525:K525" si="165">B322</f>
        <v>-</v>
      </c>
      <c r="C525" s="37" t="str">
        <f t="shared" si="165"/>
        <v>-</v>
      </c>
      <c r="D525" s="37">
        <f t="shared" si="165"/>
        <v>992</v>
      </c>
      <c r="E525" s="37">
        <f t="shared" si="165"/>
        <v>3361</v>
      </c>
      <c r="F525" s="37">
        <f t="shared" si="165"/>
        <v>11662</v>
      </c>
      <c r="G525" s="37">
        <f t="shared" si="165"/>
        <v>24409</v>
      </c>
      <c r="H525" s="37">
        <f t="shared" si="165"/>
        <v>9577</v>
      </c>
      <c r="I525" s="37">
        <f t="shared" si="165"/>
        <v>3318</v>
      </c>
      <c r="J525" s="37" t="str">
        <f t="shared" si="165"/>
        <v>--</v>
      </c>
      <c r="K525" s="37">
        <f t="shared" si="165"/>
        <v>53319</v>
      </c>
      <c r="L525" s="18"/>
      <c r="M525" s="6"/>
      <c r="N525" s="6"/>
      <c r="O525" s="6"/>
      <c r="P525" s="6"/>
      <c r="Q525" s="6"/>
      <c r="R525" s="6"/>
    </row>
    <row r="526" spans="1:18" s="366" customFormat="1" ht="11.25" customHeight="1" x14ac:dyDescent="0.2">
      <c r="A526" s="118">
        <v>2011</v>
      </c>
      <c r="B526" s="37">
        <f t="shared" ref="B526:K526" si="166">B323</f>
        <v>22</v>
      </c>
      <c r="C526" s="37">
        <f t="shared" si="166"/>
        <v>75</v>
      </c>
      <c r="D526" s="37">
        <f t="shared" si="166"/>
        <v>826</v>
      </c>
      <c r="E526" s="37">
        <f t="shared" si="166"/>
        <v>3720</v>
      </c>
      <c r="F526" s="37">
        <f t="shared" si="166"/>
        <v>12426</v>
      </c>
      <c r="G526" s="37">
        <f t="shared" si="166"/>
        <v>16590</v>
      </c>
      <c r="H526" s="37">
        <f t="shared" si="166"/>
        <v>12084</v>
      </c>
      <c r="I526" s="37">
        <f t="shared" si="166"/>
        <v>2997</v>
      </c>
      <c r="J526" s="37">
        <f t="shared" si="166"/>
        <v>16</v>
      </c>
      <c r="K526" s="37">
        <f t="shared" si="166"/>
        <v>48756</v>
      </c>
      <c r="L526" s="18"/>
      <c r="M526" s="6"/>
      <c r="N526" s="6"/>
      <c r="O526" s="6"/>
      <c r="P526" s="6"/>
      <c r="Q526" s="6"/>
      <c r="R526" s="6"/>
    </row>
    <row r="527" spans="1:18" s="366" customFormat="1" ht="11.25" customHeight="1" x14ac:dyDescent="0.2">
      <c r="A527" s="118">
        <v>2012</v>
      </c>
      <c r="B527" s="37">
        <f t="shared" ref="B527:K527" si="167">B324</f>
        <v>23</v>
      </c>
      <c r="C527" s="37">
        <f t="shared" si="167"/>
        <v>380</v>
      </c>
      <c r="D527" s="37">
        <f t="shared" si="167"/>
        <v>2106</v>
      </c>
      <c r="E527" s="37">
        <f t="shared" si="167"/>
        <v>6441</v>
      </c>
      <c r="F527" s="37">
        <f t="shared" si="167"/>
        <v>16342</v>
      </c>
      <c r="G527" s="37">
        <f t="shared" si="167"/>
        <v>21295</v>
      </c>
      <c r="H527" s="37">
        <f t="shared" si="167"/>
        <v>15332</v>
      </c>
      <c r="I527" s="37">
        <f t="shared" si="167"/>
        <v>5371</v>
      </c>
      <c r="J527" s="37">
        <f t="shared" si="167"/>
        <v>18</v>
      </c>
      <c r="K527" s="37">
        <f t="shared" si="167"/>
        <v>67308</v>
      </c>
      <c r="L527" s="18"/>
      <c r="M527" s="6"/>
      <c r="N527" s="6"/>
      <c r="O527" s="6"/>
      <c r="P527" s="6"/>
      <c r="Q527" s="6"/>
      <c r="R527" s="6"/>
    </row>
    <row r="528" spans="1:18" s="366" customFormat="1" ht="11.25" customHeight="1" x14ac:dyDescent="0.2">
      <c r="A528" s="118">
        <v>2013</v>
      </c>
      <c r="B528" s="37">
        <f t="shared" ref="B528:K528" si="168">B325</f>
        <v>479</v>
      </c>
      <c r="C528" s="37">
        <f t="shared" si="168"/>
        <v>693</v>
      </c>
      <c r="D528" s="37">
        <f t="shared" si="168"/>
        <v>1200</v>
      </c>
      <c r="E528" s="37">
        <f t="shared" si="168"/>
        <v>7822</v>
      </c>
      <c r="F528" s="37">
        <f t="shared" si="168"/>
        <v>19201</v>
      </c>
      <c r="G528" s="37">
        <f t="shared" si="168"/>
        <v>36036</v>
      </c>
      <c r="H528" s="37">
        <f t="shared" si="168"/>
        <v>12343</v>
      </c>
      <c r="I528" s="37">
        <f t="shared" si="168"/>
        <v>7761</v>
      </c>
      <c r="J528" s="37" t="str">
        <f t="shared" si="168"/>
        <v>--</v>
      </c>
      <c r="K528" s="37">
        <f t="shared" si="168"/>
        <v>85535</v>
      </c>
      <c r="L528" s="18"/>
      <c r="M528" s="6"/>
      <c r="N528" s="6"/>
      <c r="O528" s="6"/>
      <c r="P528" s="6"/>
      <c r="Q528" s="6"/>
      <c r="R528" s="6"/>
    </row>
    <row r="529" spans="1:18" ht="11.25" customHeight="1" x14ac:dyDescent="0.2">
      <c r="A529" s="118">
        <v>2014</v>
      </c>
      <c r="B529" s="37">
        <f t="shared" ref="B529:K529" si="169">B326</f>
        <v>87</v>
      </c>
      <c r="C529" s="37">
        <f t="shared" si="169"/>
        <v>136</v>
      </c>
      <c r="D529" s="37">
        <f t="shared" si="169"/>
        <v>3714</v>
      </c>
      <c r="E529" s="37">
        <f t="shared" si="169"/>
        <v>7425</v>
      </c>
      <c r="F529" s="37">
        <f t="shared" si="169"/>
        <v>41938</v>
      </c>
      <c r="G529" s="37">
        <f t="shared" si="169"/>
        <v>35865</v>
      </c>
      <c r="H529" s="37">
        <f t="shared" si="169"/>
        <v>26281</v>
      </c>
      <c r="I529" s="37">
        <f t="shared" si="169"/>
        <v>6060</v>
      </c>
      <c r="J529" s="37" t="str">
        <f t="shared" si="169"/>
        <v>--</v>
      </c>
      <c r="K529" s="37">
        <f t="shared" si="169"/>
        <v>121506</v>
      </c>
      <c r="L529" s="18"/>
      <c r="M529" s="6"/>
      <c r="N529" s="6"/>
      <c r="O529" s="6"/>
      <c r="P529" s="6"/>
      <c r="Q529" s="6"/>
      <c r="R529" s="6"/>
    </row>
    <row r="530" spans="1:18" s="366" customFormat="1" ht="11.25" customHeight="1" x14ac:dyDescent="0.2">
      <c r="A530" s="118">
        <v>2015</v>
      </c>
      <c r="B530" s="37">
        <f t="shared" ref="B530:K530" si="170">B327</f>
        <v>60</v>
      </c>
      <c r="C530" s="37">
        <f t="shared" si="170"/>
        <v>152</v>
      </c>
      <c r="D530" s="37">
        <f t="shared" si="170"/>
        <v>1749</v>
      </c>
      <c r="E530" s="37">
        <f t="shared" si="170"/>
        <v>3473</v>
      </c>
      <c r="F530" s="37">
        <f t="shared" si="170"/>
        <v>22240</v>
      </c>
      <c r="G530" s="37">
        <f t="shared" si="170"/>
        <v>11192</v>
      </c>
      <c r="H530" s="37">
        <f t="shared" si="170"/>
        <v>19759</v>
      </c>
      <c r="I530" s="37">
        <f t="shared" si="170"/>
        <v>7414</v>
      </c>
      <c r="J530" s="37" t="str">
        <f t="shared" si="170"/>
        <v>--</v>
      </c>
      <c r="K530" s="37">
        <f t="shared" si="170"/>
        <v>66039</v>
      </c>
      <c r="L530" s="18"/>
      <c r="M530" s="6"/>
      <c r="N530" s="6"/>
      <c r="O530" s="6"/>
      <c r="P530" s="6"/>
      <c r="Q530" s="6"/>
      <c r="R530" s="6"/>
    </row>
    <row r="531" spans="1:18" s="366" customFormat="1" ht="11.25" customHeight="1" x14ac:dyDescent="0.2">
      <c r="A531" s="118">
        <v>2016</v>
      </c>
      <c r="B531" s="37">
        <f t="shared" ref="B531:K531" si="171">B328</f>
        <v>82</v>
      </c>
      <c r="C531" s="37">
        <f t="shared" si="171"/>
        <v>18</v>
      </c>
      <c r="D531" s="37">
        <f t="shared" si="171"/>
        <v>1081</v>
      </c>
      <c r="E531" s="37">
        <f t="shared" si="171"/>
        <v>3266</v>
      </c>
      <c r="F531" s="37">
        <f t="shared" si="171"/>
        <v>9019</v>
      </c>
      <c r="G531" s="37">
        <f t="shared" si="171"/>
        <v>7437</v>
      </c>
      <c r="H531" s="37">
        <f t="shared" si="171"/>
        <v>15477</v>
      </c>
      <c r="I531" s="37">
        <f t="shared" si="171"/>
        <v>2484</v>
      </c>
      <c r="J531" s="37" t="str">
        <f t="shared" si="171"/>
        <v>--</v>
      </c>
      <c r="K531" s="37">
        <f t="shared" si="171"/>
        <v>38864</v>
      </c>
      <c r="L531" s="18"/>
      <c r="M531" s="6"/>
      <c r="N531" s="6"/>
      <c r="O531" s="6"/>
      <c r="P531" s="6"/>
      <c r="Q531" s="6"/>
      <c r="R531" s="6"/>
    </row>
    <row r="532" spans="1:18" ht="11.25" customHeight="1" x14ac:dyDescent="0.2">
      <c r="A532" s="118">
        <v>2017</v>
      </c>
      <c r="B532" s="37">
        <f t="shared" ref="B532:K532" si="172">B329</f>
        <v>17</v>
      </c>
      <c r="C532" s="37">
        <f t="shared" si="172"/>
        <v>60</v>
      </c>
      <c r="D532" s="37">
        <f t="shared" si="172"/>
        <v>500</v>
      </c>
      <c r="E532" s="37">
        <f t="shared" si="172"/>
        <v>2503</v>
      </c>
      <c r="F532" s="37">
        <f t="shared" si="172"/>
        <v>12754</v>
      </c>
      <c r="G532" s="37">
        <f t="shared" si="172"/>
        <v>14667</v>
      </c>
      <c r="H532" s="37">
        <f t="shared" si="172"/>
        <v>9343</v>
      </c>
      <c r="I532" s="37">
        <f t="shared" si="172"/>
        <v>2465</v>
      </c>
      <c r="J532" s="37" t="str">
        <f t="shared" si="172"/>
        <v>--</v>
      </c>
      <c r="K532" s="37">
        <f t="shared" si="172"/>
        <v>42309</v>
      </c>
      <c r="L532" s="18"/>
      <c r="M532" s="6"/>
      <c r="N532" s="6"/>
      <c r="O532" s="6"/>
      <c r="P532" s="6"/>
      <c r="Q532" s="6"/>
      <c r="R532" s="6"/>
    </row>
    <row r="533" spans="1:18" s="366" customFormat="1" ht="11.25" customHeight="1" x14ac:dyDescent="0.2">
      <c r="A533" s="118">
        <v>2018</v>
      </c>
      <c r="B533" s="37">
        <f t="shared" ref="B533:K533" si="173">B330</f>
        <v>54</v>
      </c>
      <c r="C533" s="37">
        <f t="shared" si="173"/>
        <v>19</v>
      </c>
      <c r="D533" s="37">
        <f t="shared" si="173"/>
        <v>1165</v>
      </c>
      <c r="E533" s="37">
        <f t="shared" si="173"/>
        <v>2560</v>
      </c>
      <c r="F533" s="37">
        <f t="shared" si="173"/>
        <v>12803</v>
      </c>
      <c r="G533" s="37">
        <f t="shared" si="173"/>
        <v>29485</v>
      </c>
      <c r="H533" s="37">
        <f t="shared" si="173"/>
        <v>14744</v>
      </c>
      <c r="I533" s="37">
        <f t="shared" si="173"/>
        <v>3001</v>
      </c>
      <c r="J533" s="37" t="str">
        <f t="shared" si="173"/>
        <v>--</v>
      </c>
      <c r="K533" s="37">
        <f t="shared" si="173"/>
        <v>63831</v>
      </c>
      <c r="L533" s="18"/>
      <c r="M533" s="6"/>
      <c r="N533" s="6"/>
      <c r="O533" s="6"/>
      <c r="P533" s="6"/>
      <c r="Q533" s="6"/>
      <c r="R533" s="6"/>
    </row>
    <row r="534" spans="1:18" s="489" customFormat="1" ht="11.25" customHeight="1" x14ac:dyDescent="0.2">
      <c r="A534" s="118">
        <v>2019</v>
      </c>
      <c r="B534" s="37">
        <f t="shared" ref="B534:K535" si="174">B331</f>
        <v>43</v>
      </c>
      <c r="C534" s="37">
        <f t="shared" si="174"/>
        <v>8</v>
      </c>
      <c r="D534" s="37">
        <f t="shared" si="174"/>
        <v>542</v>
      </c>
      <c r="E534" s="37">
        <f t="shared" si="174"/>
        <v>8376</v>
      </c>
      <c r="F534" s="37">
        <f t="shared" si="174"/>
        <v>39248</v>
      </c>
      <c r="G534" s="37">
        <f t="shared" si="174"/>
        <v>34389</v>
      </c>
      <c r="H534" s="37">
        <f t="shared" si="174"/>
        <v>10049</v>
      </c>
      <c r="I534" s="37">
        <f t="shared" si="174"/>
        <v>1581</v>
      </c>
      <c r="J534" s="37" t="str">
        <f t="shared" si="174"/>
        <v>-</v>
      </c>
      <c r="K534" s="37">
        <f t="shared" si="174"/>
        <v>94236</v>
      </c>
      <c r="L534" s="18"/>
      <c r="M534" s="6"/>
      <c r="N534" s="6"/>
      <c r="O534" s="6"/>
      <c r="P534" s="6"/>
      <c r="Q534" s="6"/>
      <c r="R534" s="6"/>
    </row>
    <row r="535" spans="1:18" ht="11.25" customHeight="1" x14ac:dyDescent="0.2">
      <c r="A535" s="118" t="s">
        <v>393</v>
      </c>
      <c r="B535" s="37">
        <f t="shared" si="174"/>
        <v>11</v>
      </c>
      <c r="C535" s="37">
        <f t="shared" si="174"/>
        <v>107</v>
      </c>
      <c r="D535" s="37">
        <f t="shared" si="174"/>
        <v>293</v>
      </c>
      <c r="E535" s="37">
        <f t="shared" si="174"/>
        <v>2349</v>
      </c>
      <c r="F535" s="37">
        <f t="shared" si="174"/>
        <v>28626</v>
      </c>
      <c r="G535" s="37">
        <f t="shared" si="174"/>
        <v>12565</v>
      </c>
      <c r="H535" s="37">
        <f t="shared" si="174"/>
        <v>11338</v>
      </c>
      <c r="I535" s="37">
        <f t="shared" si="174"/>
        <v>1712</v>
      </c>
      <c r="J535" s="37" t="str">
        <f t="shared" si="174"/>
        <v>-</v>
      </c>
      <c r="K535" s="37">
        <f t="shared" si="174"/>
        <v>57001</v>
      </c>
      <c r="L535" s="18"/>
      <c r="M535" s="6"/>
      <c r="N535" s="6"/>
      <c r="O535" s="6"/>
      <c r="P535" s="6"/>
      <c r="Q535" s="6"/>
      <c r="R535" s="6"/>
    </row>
    <row r="536" spans="1:18" ht="33.75" customHeight="1" x14ac:dyDescent="0.2">
      <c r="A536" s="537" t="str">
        <f>A333</f>
        <v>a/  Monthly totals are the sum of statistical weeks with closest fit to the calendar month.  Since 1981, data from sampled ports only.  Effort consists of salmon angler trips only.   Astoria area includes Astoria, Warrenton, and Hammond; Tillamook area includes Garibaldi and Pacific City; Newport area includes Depoe Bay and Newport; Coos Bay area includes Florence, Winchester Bay, and Coos Bay; Brookings area includes Gold Beach and Brookings.  Values include state-waters only terminal area fisheries.</v>
      </c>
      <c r="B536" s="537"/>
      <c r="C536" s="537"/>
      <c r="D536" s="537"/>
      <c r="E536" s="537"/>
      <c r="F536" s="537"/>
      <c r="G536" s="537"/>
      <c r="H536" s="537"/>
      <c r="I536" s="537"/>
      <c r="J536" s="537"/>
      <c r="K536" s="537"/>
      <c r="L536" s="16"/>
      <c r="M536" s="16"/>
      <c r="N536" s="16"/>
      <c r="O536" s="16"/>
      <c r="P536" s="16"/>
      <c r="Q536" s="16"/>
      <c r="R536" s="16"/>
    </row>
    <row r="537" spans="1:18" x14ac:dyDescent="0.2">
      <c r="A537" s="554" t="str">
        <f>A334</f>
        <v>b/  Preliminary.</v>
      </c>
      <c r="B537" s="554"/>
      <c r="C537" s="554"/>
      <c r="D537" s="554"/>
      <c r="E537" s="554"/>
      <c r="F537" s="554"/>
      <c r="G537" s="554"/>
      <c r="H537" s="554"/>
      <c r="I537" s="554"/>
      <c r="J537" s="554"/>
      <c r="K537" s="554"/>
      <c r="L537" s="15"/>
      <c r="M537" s="15"/>
      <c r="N537" s="15"/>
      <c r="O537" s="15"/>
      <c r="P537" s="15"/>
      <c r="Q537" s="15"/>
      <c r="R537" s="15"/>
    </row>
    <row r="538" spans="1:18" ht="11.25" customHeight="1" x14ac:dyDescent="0.2">
      <c r="A538" s="298"/>
      <c r="B538" s="298"/>
      <c r="C538" s="298"/>
      <c r="D538" s="298"/>
      <c r="E538" s="298"/>
      <c r="F538" s="298"/>
      <c r="G538" s="298"/>
      <c r="H538" s="298"/>
      <c r="I538" s="298"/>
      <c r="J538" s="298"/>
      <c r="K538" s="298"/>
      <c r="L538" s="15"/>
      <c r="M538" s="15"/>
      <c r="N538" s="15"/>
      <c r="O538" s="15"/>
      <c r="P538" s="15"/>
      <c r="Q538" s="15"/>
      <c r="R538" s="15"/>
    </row>
    <row r="539" spans="1:18" x14ac:dyDescent="0.2">
      <c r="A539" s="298"/>
      <c r="B539" s="298"/>
      <c r="C539" s="298"/>
      <c r="D539" s="298"/>
      <c r="E539" s="298"/>
      <c r="F539" s="298"/>
      <c r="G539" s="298"/>
      <c r="H539" s="298"/>
      <c r="I539" s="298"/>
      <c r="J539" s="298"/>
      <c r="K539" s="298"/>
      <c r="L539" s="15"/>
      <c r="M539" s="15"/>
      <c r="N539" s="15"/>
      <c r="O539" s="15"/>
      <c r="P539" s="15"/>
      <c r="Q539" s="15"/>
      <c r="R539" s="15"/>
    </row>
    <row r="540" spans="1:18" ht="11.25" customHeight="1" x14ac:dyDescent="0.2">
      <c r="L540" s="365"/>
      <c r="M540" s="365"/>
      <c r="N540" s="365"/>
      <c r="O540" s="365"/>
      <c r="P540" s="365"/>
      <c r="Q540" s="365"/>
      <c r="R540" s="365"/>
    </row>
    <row r="541" spans="1:18" ht="11.25" customHeight="1" x14ac:dyDescent="0.2">
      <c r="A541" s="554"/>
      <c r="B541" s="554"/>
      <c r="C541" s="554"/>
      <c r="D541" s="554"/>
      <c r="E541" s="554"/>
      <c r="F541" s="554"/>
      <c r="G541" s="554"/>
      <c r="H541" s="554"/>
      <c r="I541" s="554"/>
      <c r="J541" s="554"/>
      <c r="K541" s="554"/>
    </row>
    <row r="542" spans="1:18" ht="11.25" customHeight="1" x14ac:dyDescent="0.2">
      <c r="A542" s="554"/>
      <c r="B542" s="554"/>
      <c r="C542" s="554"/>
      <c r="D542" s="554"/>
      <c r="E542" s="554"/>
      <c r="F542" s="554"/>
      <c r="G542" s="554"/>
      <c r="H542" s="554"/>
      <c r="I542" s="554"/>
      <c r="J542" s="554"/>
      <c r="K542" s="554"/>
    </row>
    <row r="543" spans="1:18" ht="11.25" customHeight="1" x14ac:dyDescent="0.2"/>
  </sheetData>
  <mergeCells count="11">
    <mergeCell ref="A467:K467"/>
    <mergeCell ref="A1:K1"/>
    <mergeCell ref="A333:K333"/>
    <mergeCell ref="A334:K334"/>
    <mergeCell ref="A375:K375"/>
    <mergeCell ref="A421:K421"/>
    <mergeCell ref="A513:K513"/>
    <mergeCell ref="A536:K536"/>
    <mergeCell ref="A537:K537"/>
    <mergeCell ref="A541:K541"/>
    <mergeCell ref="A542:K542"/>
  </mergeCells>
  <pageMargins left="0.7" right="0.7" top="0.75" bottom="0.75" header="0.3" footer="0.3"/>
  <pageSetup orientation="landscape" r:id="rId1"/>
  <rowBreaks count="3" manualBreakCount="3">
    <brk id="420" max="10" man="1"/>
    <brk id="466" max="10" man="1"/>
    <brk id="512" max="10"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dimension ref="A1:U553"/>
  <sheetViews>
    <sheetView showGridLines="0" topLeftCell="A358" zoomScale="90" zoomScaleNormal="90" workbookViewId="0">
      <selection activeCell="Y474" sqref="Y474"/>
    </sheetView>
  </sheetViews>
  <sheetFormatPr defaultColWidth="8" defaultRowHeight="11.25" x14ac:dyDescent="0.2"/>
  <cols>
    <col min="1" max="1" width="11.375" style="364" customWidth="1"/>
    <col min="2" max="3" width="4.75" style="48" customWidth="1"/>
    <col min="4" max="4" width="6.25" style="48" customWidth="1"/>
    <col min="5" max="5" width="7.125" style="48" customWidth="1"/>
    <col min="6" max="6" width="6.75" style="48" customWidth="1"/>
    <col min="7" max="7" width="6.875" style="48" customWidth="1"/>
    <col min="8" max="8" width="7.125" style="48" customWidth="1"/>
    <col min="9" max="9" width="6.25" style="48" bestFit="1" customWidth="1"/>
    <col min="10" max="10" width="4.5" style="48" customWidth="1"/>
    <col min="11" max="11" width="6.75" style="48" customWidth="1"/>
    <col min="12" max="12" width="0.375" style="48" customWidth="1"/>
    <col min="13" max="13" width="6.75" style="48" customWidth="1"/>
    <col min="14" max="14" width="7.375" style="48" bestFit="1" customWidth="1"/>
    <col min="15" max="16" width="7.625" style="48" bestFit="1" customWidth="1"/>
    <col min="17" max="17" width="7.125" style="48" bestFit="1" customWidth="1"/>
    <col min="18" max="18" width="5.625" style="48" customWidth="1"/>
    <col min="19" max="19" width="7.875" style="48" bestFit="1" customWidth="1"/>
    <col min="20" max="16384" width="8" style="318"/>
  </cols>
  <sheetData>
    <row r="1" spans="1:19" x14ac:dyDescent="0.2">
      <c r="A1" s="561" t="s">
        <v>293</v>
      </c>
      <c r="B1" s="561"/>
      <c r="C1" s="561"/>
      <c r="D1" s="561"/>
      <c r="E1" s="561"/>
      <c r="F1" s="561"/>
      <c r="G1" s="561"/>
      <c r="H1" s="561"/>
      <c r="I1" s="561"/>
      <c r="J1" s="561"/>
      <c r="K1" s="561"/>
      <c r="L1" s="561"/>
      <c r="M1" s="561"/>
      <c r="N1" s="561"/>
      <c r="O1" s="561"/>
      <c r="P1" s="561"/>
      <c r="Q1" s="561"/>
      <c r="R1" s="561"/>
      <c r="S1" s="561"/>
    </row>
    <row r="2" spans="1:19" s="325" customFormat="1" x14ac:dyDescent="0.2">
      <c r="A2" s="135" t="s">
        <v>49</v>
      </c>
      <c r="B2" s="278" t="s">
        <v>43</v>
      </c>
      <c r="C2" s="278" t="s">
        <v>34</v>
      </c>
      <c r="D2" s="278" t="s">
        <v>35</v>
      </c>
      <c r="E2" s="278" t="s">
        <v>36</v>
      </c>
      <c r="F2" s="278" t="s">
        <v>37</v>
      </c>
      <c r="G2" s="278" t="s">
        <v>38</v>
      </c>
      <c r="H2" s="278" t="s">
        <v>39</v>
      </c>
      <c r="I2" s="278" t="s">
        <v>40</v>
      </c>
      <c r="J2" s="278" t="s">
        <v>44</v>
      </c>
      <c r="K2" s="278" t="s">
        <v>28</v>
      </c>
      <c r="L2" s="278"/>
      <c r="M2" s="278" t="s">
        <v>35</v>
      </c>
      <c r="N2" s="278" t="s">
        <v>36</v>
      </c>
      <c r="O2" s="278" t="s">
        <v>37</v>
      </c>
      <c r="P2" s="278" t="s">
        <v>38</v>
      </c>
      <c r="Q2" s="278" t="s">
        <v>39</v>
      </c>
      <c r="R2" s="278" t="s">
        <v>294</v>
      </c>
      <c r="S2" s="278" t="s">
        <v>295</v>
      </c>
    </row>
    <row r="3" spans="1:19" ht="15.75" customHeight="1" x14ac:dyDescent="0.2">
      <c r="B3" s="564" t="s">
        <v>67</v>
      </c>
      <c r="C3" s="564"/>
      <c r="D3" s="564"/>
      <c r="E3" s="564"/>
      <c r="F3" s="564"/>
      <c r="G3" s="564"/>
      <c r="H3" s="564"/>
      <c r="I3" s="564"/>
      <c r="J3" s="564"/>
      <c r="K3" s="564"/>
      <c r="L3" s="279"/>
      <c r="M3" s="564" t="s">
        <v>68</v>
      </c>
      <c r="N3" s="564"/>
      <c r="O3" s="564"/>
      <c r="P3" s="564"/>
      <c r="Q3" s="564"/>
      <c r="R3" s="564"/>
      <c r="S3" s="564"/>
    </row>
    <row r="4" spans="1:19" ht="11.25" customHeight="1" x14ac:dyDescent="0.2">
      <c r="B4" s="49"/>
      <c r="C4" s="49"/>
      <c r="D4" s="49"/>
      <c r="E4" s="49"/>
      <c r="F4" s="49"/>
      <c r="G4" s="49"/>
      <c r="H4" s="49"/>
      <c r="I4" s="49"/>
      <c r="J4" s="49"/>
      <c r="K4" s="49"/>
      <c r="M4" s="49"/>
      <c r="N4" s="49"/>
      <c r="O4" s="49"/>
      <c r="P4" s="49"/>
      <c r="Q4" s="49"/>
      <c r="R4" s="49"/>
      <c r="S4" s="49"/>
    </row>
    <row r="5" spans="1:19" x14ac:dyDescent="0.2">
      <c r="A5" s="109" t="s">
        <v>112</v>
      </c>
    </row>
    <row r="6" spans="1:19" x14ac:dyDescent="0.2">
      <c r="A6" s="371">
        <v>1976</v>
      </c>
      <c r="B6" s="48" t="s">
        <v>29</v>
      </c>
      <c r="C6" s="48">
        <v>0</v>
      </c>
      <c r="D6" s="48">
        <v>368</v>
      </c>
      <c r="E6" s="48">
        <v>7938</v>
      </c>
      <c r="F6" s="48">
        <v>11447</v>
      </c>
      <c r="G6" s="48">
        <v>19120</v>
      </c>
      <c r="H6" s="48">
        <v>5666</v>
      </c>
      <c r="I6" s="48">
        <v>35</v>
      </c>
      <c r="J6" s="48">
        <v>4</v>
      </c>
      <c r="K6" s="48">
        <f t="shared" ref="K6:K50" si="0">SUM(B6:J6)</f>
        <v>44578</v>
      </c>
      <c r="M6" s="48">
        <v>810</v>
      </c>
      <c r="N6" s="48">
        <v>14939</v>
      </c>
      <c r="O6" s="48">
        <v>34545</v>
      </c>
      <c r="P6" s="48">
        <v>41427</v>
      </c>
      <c r="Q6" s="48">
        <v>24170</v>
      </c>
      <c r="R6" s="48">
        <v>786</v>
      </c>
      <c r="S6" s="48">
        <f>SUM(M6:R6)</f>
        <v>116677</v>
      </c>
    </row>
    <row r="7" spans="1:19" x14ac:dyDescent="0.2">
      <c r="A7" s="371">
        <v>1977</v>
      </c>
      <c r="B7" s="48" t="s">
        <v>29</v>
      </c>
      <c r="C7" s="48">
        <v>0</v>
      </c>
      <c r="D7" s="48">
        <v>372</v>
      </c>
      <c r="E7" s="48">
        <v>3733</v>
      </c>
      <c r="F7" s="48">
        <v>4124</v>
      </c>
      <c r="G7" s="48">
        <v>10996</v>
      </c>
      <c r="H7" s="48">
        <v>740</v>
      </c>
      <c r="I7" s="48">
        <v>184</v>
      </c>
      <c r="J7" s="48" t="s">
        <v>29</v>
      </c>
      <c r="K7" s="48">
        <f t="shared" si="0"/>
        <v>20149</v>
      </c>
      <c r="M7" s="48">
        <v>569</v>
      </c>
      <c r="N7" s="48">
        <v>5732</v>
      </c>
      <c r="O7" s="48">
        <v>20645</v>
      </c>
      <c r="P7" s="48">
        <v>17901</v>
      </c>
      <c r="Q7" s="48">
        <v>2600</v>
      </c>
      <c r="R7" s="48">
        <v>88</v>
      </c>
      <c r="S7" s="48">
        <f t="shared" ref="S7:S50" si="1">SUM(M7:R7)</f>
        <v>47535</v>
      </c>
    </row>
    <row r="8" spans="1:19" x14ac:dyDescent="0.2">
      <c r="A8" s="371">
        <v>1978</v>
      </c>
      <c r="B8" s="48" t="s">
        <v>29</v>
      </c>
      <c r="C8" s="48">
        <v>0</v>
      </c>
      <c r="D8" s="48">
        <v>209</v>
      </c>
      <c r="E8" s="48">
        <v>1635</v>
      </c>
      <c r="F8" s="48">
        <v>1334</v>
      </c>
      <c r="G8" s="48">
        <v>4153</v>
      </c>
      <c r="H8" s="48">
        <v>524</v>
      </c>
      <c r="I8" s="48">
        <v>35</v>
      </c>
      <c r="J8" s="48" t="s">
        <v>29</v>
      </c>
      <c r="K8" s="48">
        <f t="shared" si="0"/>
        <v>7890</v>
      </c>
      <c r="M8" s="48">
        <v>901</v>
      </c>
      <c r="N8" s="48">
        <v>20175</v>
      </c>
      <c r="O8" s="48">
        <v>15193</v>
      </c>
      <c r="P8" s="48">
        <v>17172</v>
      </c>
      <c r="Q8" s="48">
        <v>6197</v>
      </c>
      <c r="R8" s="48">
        <v>96</v>
      </c>
      <c r="S8" s="48">
        <f t="shared" si="1"/>
        <v>59734</v>
      </c>
    </row>
    <row r="9" spans="1:19" x14ac:dyDescent="0.2">
      <c r="A9" s="371">
        <v>1979</v>
      </c>
      <c r="B9" s="48" t="s">
        <v>29</v>
      </c>
      <c r="C9" s="48" t="s">
        <v>29</v>
      </c>
      <c r="D9" s="48">
        <v>619</v>
      </c>
      <c r="E9" s="48">
        <v>1593</v>
      </c>
      <c r="F9" s="48">
        <v>2084</v>
      </c>
      <c r="G9" s="48">
        <v>3127</v>
      </c>
      <c r="H9" s="48">
        <v>119</v>
      </c>
      <c r="I9" s="48" t="s">
        <v>29</v>
      </c>
      <c r="J9" s="48" t="s">
        <v>29</v>
      </c>
      <c r="K9" s="48">
        <f t="shared" si="0"/>
        <v>7542</v>
      </c>
      <c r="M9" s="48">
        <v>403</v>
      </c>
      <c r="N9" s="48">
        <v>6475</v>
      </c>
      <c r="O9" s="48">
        <v>13275</v>
      </c>
      <c r="P9" s="48">
        <v>16336</v>
      </c>
      <c r="Q9" s="48">
        <v>1545</v>
      </c>
      <c r="R9" s="48" t="s">
        <v>29</v>
      </c>
      <c r="S9" s="48">
        <f t="shared" si="1"/>
        <v>38034</v>
      </c>
    </row>
    <row r="10" spans="1:19" x14ac:dyDescent="0.2">
      <c r="A10" s="371">
        <v>1980</v>
      </c>
      <c r="B10" s="48" t="s">
        <v>29</v>
      </c>
      <c r="C10" s="48" t="s">
        <v>29</v>
      </c>
      <c r="D10" s="48">
        <v>98</v>
      </c>
      <c r="E10" s="48">
        <v>1153</v>
      </c>
      <c r="F10" s="48">
        <v>1374</v>
      </c>
      <c r="G10" s="48">
        <v>2479</v>
      </c>
      <c r="H10" s="48">
        <v>399</v>
      </c>
      <c r="I10" s="48" t="s">
        <v>29</v>
      </c>
      <c r="J10" s="48" t="s">
        <v>29</v>
      </c>
      <c r="K10" s="48">
        <f t="shared" si="0"/>
        <v>5503</v>
      </c>
      <c r="M10" s="48">
        <v>1801</v>
      </c>
      <c r="N10" s="48">
        <v>17259</v>
      </c>
      <c r="O10" s="48">
        <v>19839</v>
      </c>
      <c r="P10" s="48">
        <v>15550</v>
      </c>
      <c r="Q10" s="48">
        <v>1198</v>
      </c>
      <c r="R10" s="48" t="s">
        <v>29</v>
      </c>
      <c r="S10" s="48">
        <f t="shared" si="1"/>
        <v>55647</v>
      </c>
    </row>
    <row r="11" spans="1:19" x14ac:dyDescent="0.2">
      <c r="A11" s="371">
        <v>1981</v>
      </c>
      <c r="B11" s="48" t="s">
        <v>29</v>
      </c>
      <c r="C11" s="48" t="s">
        <v>29</v>
      </c>
      <c r="D11" s="48">
        <v>29</v>
      </c>
      <c r="E11" s="48">
        <v>390</v>
      </c>
      <c r="F11" s="48">
        <v>3161</v>
      </c>
      <c r="G11" s="48">
        <v>6706</v>
      </c>
      <c r="H11" s="48">
        <v>1230</v>
      </c>
      <c r="I11" s="48" t="s">
        <v>29</v>
      </c>
      <c r="J11" s="48" t="s">
        <v>29</v>
      </c>
      <c r="K11" s="48">
        <f t="shared" si="0"/>
        <v>11516</v>
      </c>
      <c r="M11" s="48">
        <v>1699</v>
      </c>
      <c r="N11" s="48">
        <v>8289</v>
      </c>
      <c r="O11" s="48">
        <v>18106</v>
      </c>
      <c r="P11" s="48">
        <v>20239</v>
      </c>
      <c r="Q11" s="48">
        <v>5961</v>
      </c>
      <c r="R11" s="48" t="s">
        <v>29</v>
      </c>
      <c r="S11" s="48">
        <f t="shared" si="1"/>
        <v>54294</v>
      </c>
    </row>
    <row r="12" spans="1:19" x14ac:dyDescent="0.2">
      <c r="A12" s="371">
        <v>1982</v>
      </c>
      <c r="B12" s="48" t="s">
        <v>29</v>
      </c>
      <c r="C12" s="48" t="s">
        <v>29</v>
      </c>
      <c r="D12" s="48" t="s">
        <v>29</v>
      </c>
      <c r="E12" s="48">
        <v>2237</v>
      </c>
      <c r="F12" s="48">
        <v>5998</v>
      </c>
      <c r="G12" s="48">
        <v>0</v>
      </c>
      <c r="H12" s="48" t="s">
        <v>29</v>
      </c>
      <c r="I12" s="48" t="s">
        <v>29</v>
      </c>
      <c r="J12" s="48" t="s">
        <v>29</v>
      </c>
      <c r="K12" s="48">
        <f t="shared" si="0"/>
        <v>8235</v>
      </c>
      <c r="M12" s="48" t="s">
        <v>29</v>
      </c>
      <c r="N12" s="48">
        <v>5307</v>
      </c>
      <c r="O12" s="48">
        <v>30169</v>
      </c>
      <c r="P12" s="48">
        <v>0</v>
      </c>
      <c r="Q12" s="48" t="s">
        <v>29</v>
      </c>
      <c r="R12" s="48" t="s">
        <v>29</v>
      </c>
      <c r="S12" s="48">
        <f t="shared" si="1"/>
        <v>35476</v>
      </c>
    </row>
    <row r="13" spans="1:19" x14ac:dyDescent="0.2">
      <c r="A13" s="371">
        <v>1983</v>
      </c>
      <c r="B13" s="48" t="s">
        <v>29</v>
      </c>
      <c r="C13" s="48" t="s">
        <v>29</v>
      </c>
      <c r="D13" s="48" t="s">
        <v>29</v>
      </c>
      <c r="E13" s="48">
        <v>1034</v>
      </c>
      <c r="F13" s="48">
        <v>1645</v>
      </c>
      <c r="G13" s="48">
        <v>533</v>
      </c>
      <c r="H13" s="48">
        <v>228</v>
      </c>
      <c r="I13" s="48" t="s">
        <v>29</v>
      </c>
      <c r="J13" s="48" t="s">
        <v>29</v>
      </c>
      <c r="K13" s="48">
        <f t="shared" si="0"/>
        <v>3440</v>
      </c>
      <c r="M13" s="48" t="s">
        <v>29</v>
      </c>
      <c r="N13" s="48">
        <v>3569</v>
      </c>
      <c r="O13" s="48">
        <v>18878</v>
      </c>
      <c r="P13" s="48">
        <v>9742</v>
      </c>
      <c r="Q13" s="48">
        <v>5056</v>
      </c>
      <c r="R13" s="48" t="s">
        <v>29</v>
      </c>
      <c r="S13" s="48">
        <f t="shared" si="1"/>
        <v>37245</v>
      </c>
    </row>
    <row r="14" spans="1:19" x14ac:dyDescent="0.2">
      <c r="A14" s="371">
        <v>1984</v>
      </c>
      <c r="B14" s="48" t="s">
        <v>29</v>
      </c>
      <c r="C14" s="48" t="s">
        <v>29</v>
      </c>
      <c r="D14" s="48" t="s">
        <v>29</v>
      </c>
      <c r="E14" s="48" t="s">
        <v>29</v>
      </c>
      <c r="F14" s="48">
        <v>1</v>
      </c>
      <c r="G14" s="48">
        <v>60</v>
      </c>
      <c r="H14" s="48" t="s">
        <v>29</v>
      </c>
      <c r="I14" s="48" t="s">
        <v>29</v>
      </c>
      <c r="J14" s="48" t="s">
        <v>29</v>
      </c>
      <c r="K14" s="48">
        <f t="shared" si="0"/>
        <v>61</v>
      </c>
      <c r="M14" s="48" t="s">
        <v>29</v>
      </c>
      <c r="N14" s="48" t="s">
        <v>29</v>
      </c>
      <c r="O14" s="48">
        <v>3571</v>
      </c>
      <c r="P14" s="48">
        <v>7303</v>
      </c>
      <c r="Q14" s="48" t="s">
        <v>29</v>
      </c>
      <c r="R14" s="48" t="s">
        <v>29</v>
      </c>
      <c r="S14" s="48">
        <f t="shared" si="1"/>
        <v>10874</v>
      </c>
    </row>
    <row r="15" spans="1:19" x14ac:dyDescent="0.2">
      <c r="A15" s="371">
        <v>1985</v>
      </c>
      <c r="B15" s="48" t="s">
        <v>29</v>
      </c>
      <c r="C15" s="48" t="s">
        <v>29</v>
      </c>
      <c r="D15" s="48" t="s">
        <v>29</v>
      </c>
      <c r="E15" s="48">
        <v>27</v>
      </c>
      <c r="F15" s="48">
        <v>1330</v>
      </c>
      <c r="G15" s="48">
        <v>2210</v>
      </c>
      <c r="H15" s="48" t="s">
        <v>29</v>
      </c>
      <c r="I15" s="48" t="s">
        <v>29</v>
      </c>
      <c r="J15" s="48" t="s">
        <v>29</v>
      </c>
      <c r="K15" s="48">
        <f t="shared" si="0"/>
        <v>3567</v>
      </c>
      <c r="M15" s="48" t="s">
        <v>29</v>
      </c>
      <c r="N15" s="48">
        <v>687</v>
      </c>
      <c r="O15" s="48">
        <v>11551</v>
      </c>
      <c r="P15" s="48">
        <v>18771</v>
      </c>
      <c r="Q15" s="48" t="s">
        <v>29</v>
      </c>
      <c r="R15" s="48" t="s">
        <v>29</v>
      </c>
      <c r="S15" s="48">
        <f t="shared" si="1"/>
        <v>31009</v>
      </c>
    </row>
    <row r="16" spans="1:19" x14ac:dyDescent="0.2">
      <c r="A16" s="364">
        <v>1986</v>
      </c>
      <c r="B16" s="48" t="s">
        <v>29</v>
      </c>
      <c r="C16" s="48" t="s">
        <v>29</v>
      </c>
      <c r="D16" s="48" t="s">
        <v>29</v>
      </c>
      <c r="E16" s="48">
        <v>63</v>
      </c>
      <c r="F16" s="48">
        <v>1143</v>
      </c>
      <c r="G16" s="48">
        <v>699</v>
      </c>
      <c r="H16" s="48" t="s">
        <v>29</v>
      </c>
      <c r="I16" s="48" t="s">
        <v>29</v>
      </c>
      <c r="J16" s="48" t="s">
        <v>29</v>
      </c>
      <c r="K16" s="48">
        <f t="shared" si="0"/>
        <v>1905</v>
      </c>
      <c r="M16" s="48" t="s">
        <v>29</v>
      </c>
      <c r="N16" s="48">
        <v>1272</v>
      </c>
      <c r="O16" s="48">
        <v>21595</v>
      </c>
      <c r="P16" s="48">
        <v>13757</v>
      </c>
      <c r="Q16" s="48" t="s">
        <v>29</v>
      </c>
      <c r="R16" s="48" t="s">
        <v>29</v>
      </c>
      <c r="S16" s="48">
        <f t="shared" si="1"/>
        <v>36624</v>
      </c>
    </row>
    <row r="17" spans="1:19" x14ac:dyDescent="0.2">
      <c r="A17" s="364">
        <v>1987</v>
      </c>
      <c r="B17" s="48" t="s">
        <v>29</v>
      </c>
      <c r="C17" s="48" t="s">
        <v>29</v>
      </c>
      <c r="D17" s="48" t="s">
        <v>29</v>
      </c>
      <c r="E17" s="48">
        <v>191</v>
      </c>
      <c r="F17" s="48">
        <v>2008</v>
      </c>
      <c r="G17" s="48">
        <v>1864</v>
      </c>
      <c r="H17" s="48" t="s">
        <v>29</v>
      </c>
      <c r="I17" s="48" t="s">
        <v>29</v>
      </c>
      <c r="J17" s="48" t="s">
        <v>29</v>
      </c>
      <c r="K17" s="48">
        <f t="shared" si="0"/>
        <v>4063</v>
      </c>
      <c r="M17" s="48" t="s">
        <v>29</v>
      </c>
      <c r="N17" s="48">
        <v>866</v>
      </c>
      <c r="O17" s="48">
        <v>12488</v>
      </c>
      <c r="P17" s="48">
        <v>12293</v>
      </c>
      <c r="Q17" s="48" t="s">
        <v>29</v>
      </c>
      <c r="R17" s="48" t="s">
        <v>29</v>
      </c>
      <c r="S17" s="48">
        <f t="shared" si="1"/>
        <v>25647</v>
      </c>
    </row>
    <row r="18" spans="1:19" x14ac:dyDescent="0.2">
      <c r="A18" s="364">
        <v>1988</v>
      </c>
      <c r="B18" s="48" t="s">
        <v>29</v>
      </c>
      <c r="C18" s="48" t="s">
        <v>29</v>
      </c>
      <c r="D18" s="48" t="s">
        <v>29</v>
      </c>
      <c r="E18" s="48" t="s">
        <v>29</v>
      </c>
      <c r="F18" s="48">
        <v>481</v>
      </c>
      <c r="G18" s="48" t="s">
        <v>29</v>
      </c>
      <c r="H18" s="48" t="s">
        <v>29</v>
      </c>
      <c r="I18" s="48" t="s">
        <v>29</v>
      </c>
      <c r="J18" s="48" t="s">
        <v>29</v>
      </c>
      <c r="K18" s="48">
        <f t="shared" si="0"/>
        <v>481</v>
      </c>
      <c r="M18" s="48" t="s">
        <v>29</v>
      </c>
      <c r="N18" s="48" t="s">
        <v>29</v>
      </c>
      <c r="O18" s="48">
        <v>9845</v>
      </c>
      <c r="P18" s="48" t="s">
        <v>29</v>
      </c>
      <c r="Q18" s="48" t="s">
        <v>29</v>
      </c>
      <c r="R18" s="48" t="s">
        <v>29</v>
      </c>
      <c r="S18" s="48">
        <f t="shared" si="1"/>
        <v>9845</v>
      </c>
    </row>
    <row r="19" spans="1:19" x14ac:dyDescent="0.2">
      <c r="A19" s="364">
        <v>1989</v>
      </c>
      <c r="B19" s="48" t="s">
        <v>29</v>
      </c>
      <c r="C19" s="48" t="s">
        <v>29</v>
      </c>
      <c r="D19" s="48">
        <v>29</v>
      </c>
      <c r="E19" s="48">
        <v>155</v>
      </c>
      <c r="F19" s="48">
        <v>206</v>
      </c>
      <c r="G19" s="48">
        <v>1071</v>
      </c>
      <c r="H19" s="48" t="s">
        <v>29</v>
      </c>
      <c r="I19" s="48" t="s">
        <v>29</v>
      </c>
      <c r="J19" s="48" t="s">
        <v>29</v>
      </c>
      <c r="K19" s="48">
        <f t="shared" si="0"/>
        <v>1461</v>
      </c>
      <c r="M19" s="48" t="s">
        <v>29</v>
      </c>
      <c r="N19" s="48">
        <v>1646</v>
      </c>
      <c r="O19" s="48">
        <v>17485</v>
      </c>
      <c r="P19" s="48">
        <v>15173</v>
      </c>
      <c r="Q19" s="48" t="s">
        <v>29</v>
      </c>
      <c r="R19" s="48" t="s">
        <v>29</v>
      </c>
      <c r="S19" s="48">
        <f t="shared" si="1"/>
        <v>34304</v>
      </c>
    </row>
    <row r="20" spans="1:19" x14ac:dyDescent="0.2">
      <c r="A20" s="364">
        <v>1990</v>
      </c>
      <c r="B20" s="48" t="s">
        <v>29</v>
      </c>
      <c r="C20" s="48" t="s">
        <v>29</v>
      </c>
      <c r="D20" s="48" t="s">
        <v>29</v>
      </c>
      <c r="E20" s="48">
        <v>100</v>
      </c>
      <c r="F20" s="48">
        <v>931</v>
      </c>
      <c r="G20" s="48">
        <v>2201</v>
      </c>
      <c r="H20" s="48">
        <v>87</v>
      </c>
      <c r="I20" s="48" t="s">
        <v>29</v>
      </c>
      <c r="J20" s="48" t="s">
        <v>29</v>
      </c>
      <c r="K20" s="48">
        <f t="shared" si="0"/>
        <v>3319</v>
      </c>
      <c r="M20" s="48" t="s">
        <v>29</v>
      </c>
      <c r="N20" s="48">
        <v>3516</v>
      </c>
      <c r="O20" s="48">
        <v>14685</v>
      </c>
      <c r="P20" s="48">
        <v>16602</v>
      </c>
      <c r="Q20" s="48">
        <v>1307</v>
      </c>
      <c r="R20" s="48" t="s">
        <v>29</v>
      </c>
      <c r="S20" s="48">
        <f t="shared" si="1"/>
        <v>36110</v>
      </c>
    </row>
    <row r="21" spans="1:19" x14ac:dyDescent="0.2">
      <c r="A21" s="364">
        <v>1991</v>
      </c>
      <c r="B21" s="48" t="s">
        <v>29</v>
      </c>
      <c r="C21" s="48" t="s">
        <v>29</v>
      </c>
      <c r="D21" s="48" t="s">
        <v>29</v>
      </c>
      <c r="E21" s="48">
        <v>81</v>
      </c>
      <c r="F21" s="48">
        <v>335</v>
      </c>
      <c r="G21" s="48">
        <v>550</v>
      </c>
      <c r="H21" s="48">
        <v>17</v>
      </c>
      <c r="I21" s="48" t="s">
        <v>29</v>
      </c>
      <c r="J21" s="48" t="s">
        <v>29</v>
      </c>
      <c r="K21" s="48">
        <f t="shared" si="0"/>
        <v>983</v>
      </c>
      <c r="M21" s="48" t="s">
        <v>29</v>
      </c>
      <c r="N21" s="48">
        <v>2409</v>
      </c>
      <c r="O21" s="48">
        <v>16368</v>
      </c>
      <c r="P21" s="48">
        <v>17222</v>
      </c>
      <c r="Q21" s="48">
        <v>3397</v>
      </c>
      <c r="R21" s="48" t="s">
        <v>29</v>
      </c>
      <c r="S21" s="48">
        <f t="shared" si="1"/>
        <v>39396</v>
      </c>
    </row>
    <row r="22" spans="1:19" x14ac:dyDescent="0.2">
      <c r="A22" s="364">
        <v>1992</v>
      </c>
      <c r="B22" s="48" t="s">
        <v>29</v>
      </c>
      <c r="C22" s="48" t="s">
        <v>29</v>
      </c>
      <c r="D22" s="48" t="s">
        <v>29</v>
      </c>
      <c r="E22" s="48" t="s">
        <v>29</v>
      </c>
      <c r="F22" s="48">
        <v>307</v>
      </c>
      <c r="G22" s="48">
        <v>161</v>
      </c>
      <c r="H22" s="48">
        <v>40</v>
      </c>
      <c r="I22" s="48" t="s">
        <v>29</v>
      </c>
      <c r="J22" s="48" t="s">
        <v>29</v>
      </c>
      <c r="K22" s="48">
        <f t="shared" si="0"/>
        <v>508</v>
      </c>
      <c r="M22" s="48" t="s">
        <v>29</v>
      </c>
      <c r="N22" s="48" t="s">
        <v>29</v>
      </c>
      <c r="O22" s="48">
        <v>17882</v>
      </c>
      <c r="P22" s="48">
        <v>3005</v>
      </c>
      <c r="Q22" s="48">
        <v>1393</v>
      </c>
      <c r="R22" s="48" t="s">
        <v>29</v>
      </c>
      <c r="S22" s="48">
        <f t="shared" si="1"/>
        <v>22280</v>
      </c>
    </row>
    <row r="23" spans="1:19" x14ac:dyDescent="0.2">
      <c r="A23" s="364">
        <v>1993</v>
      </c>
      <c r="B23" s="48" t="s">
        <v>29</v>
      </c>
      <c r="C23" s="48" t="s">
        <v>29</v>
      </c>
      <c r="D23" s="48" t="s">
        <v>29</v>
      </c>
      <c r="E23" s="48" t="s">
        <v>29</v>
      </c>
      <c r="F23" s="48">
        <v>239</v>
      </c>
      <c r="G23" s="48">
        <v>405</v>
      </c>
      <c r="H23" s="48">
        <v>192</v>
      </c>
      <c r="I23" s="48" t="s">
        <v>29</v>
      </c>
      <c r="J23" s="48" t="s">
        <v>29</v>
      </c>
      <c r="K23" s="48">
        <f t="shared" si="0"/>
        <v>836</v>
      </c>
      <c r="M23" s="48" t="s">
        <v>29</v>
      </c>
      <c r="N23" s="48" t="s">
        <v>29</v>
      </c>
      <c r="O23" s="48">
        <v>7098</v>
      </c>
      <c r="P23" s="48">
        <v>10314</v>
      </c>
      <c r="Q23" s="48">
        <v>3764</v>
      </c>
      <c r="R23" s="48" t="s">
        <v>29</v>
      </c>
      <c r="S23" s="48">
        <f t="shared" si="1"/>
        <v>21176</v>
      </c>
    </row>
    <row r="24" spans="1:19" x14ac:dyDescent="0.2">
      <c r="A24" s="364">
        <v>1994</v>
      </c>
      <c r="B24" s="48" t="s">
        <v>29</v>
      </c>
      <c r="C24" s="48" t="s">
        <v>29</v>
      </c>
      <c r="D24" s="48" t="s">
        <v>29</v>
      </c>
      <c r="E24" s="48" t="s">
        <v>29</v>
      </c>
      <c r="F24" s="48" t="s">
        <v>29</v>
      </c>
      <c r="G24" s="48" t="s">
        <v>29</v>
      </c>
      <c r="H24" s="48" t="s">
        <v>29</v>
      </c>
      <c r="I24" s="48" t="s">
        <v>29</v>
      </c>
      <c r="J24" s="48" t="s">
        <v>29</v>
      </c>
      <c r="K24" s="48" t="s">
        <v>29</v>
      </c>
      <c r="M24" s="48" t="s">
        <v>29</v>
      </c>
      <c r="N24" s="48" t="s">
        <v>29</v>
      </c>
      <c r="O24" s="48" t="s">
        <v>29</v>
      </c>
      <c r="P24" s="48" t="s">
        <v>29</v>
      </c>
      <c r="Q24" s="48" t="s">
        <v>29</v>
      </c>
      <c r="R24" s="48" t="s">
        <v>29</v>
      </c>
      <c r="S24" s="48" t="s">
        <v>29</v>
      </c>
    </row>
    <row r="25" spans="1:19" x14ac:dyDescent="0.2">
      <c r="A25" s="364">
        <v>1995</v>
      </c>
      <c r="B25" s="48" t="s">
        <v>29</v>
      </c>
      <c r="C25" s="48" t="s">
        <v>29</v>
      </c>
      <c r="D25" s="48" t="s">
        <v>29</v>
      </c>
      <c r="E25" s="48" t="s">
        <v>29</v>
      </c>
      <c r="F25" s="48">
        <v>16</v>
      </c>
      <c r="G25" s="48">
        <v>90</v>
      </c>
      <c r="H25" s="48">
        <v>3</v>
      </c>
      <c r="I25" s="48" t="s">
        <v>29</v>
      </c>
      <c r="J25" s="48" t="s">
        <v>29</v>
      </c>
      <c r="K25" s="48">
        <f t="shared" si="0"/>
        <v>109</v>
      </c>
      <c r="M25" s="48" t="s">
        <v>29</v>
      </c>
      <c r="N25" s="48" t="s">
        <v>29</v>
      </c>
      <c r="O25" s="48">
        <v>1976</v>
      </c>
      <c r="P25" s="48">
        <v>9028</v>
      </c>
      <c r="Q25" s="48">
        <v>773</v>
      </c>
      <c r="R25" s="48" t="s">
        <v>29</v>
      </c>
      <c r="S25" s="48">
        <f t="shared" si="1"/>
        <v>11777</v>
      </c>
    </row>
    <row r="26" spans="1:19" x14ac:dyDescent="0.2">
      <c r="A26" s="364">
        <v>1996</v>
      </c>
      <c r="B26" s="48" t="s">
        <v>29</v>
      </c>
      <c r="C26" s="48" t="s">
        <v>29</v>
      </c>
      <c r="D26" s="48" t="s">
        <v>29</v>
      </c>
      <c r="E26" s="48" t="s">
        <v>29</v>
      </c>
      <c r="F26" s="48">
        <v>5</v>
      </c>
      <c r="G26" s="48">
        <v>13</v>
      </c>
      <c r="H26" s="48">
        <v>10</v>
      </c>
      <c r="I26" s="48" t="s">
        <v>29</v>
      </c>
      <c r="J26" s="48" t="s">
        <v>29</v>
      </c>
      <c r="K26" s="48">
        <f t="shared" si="0"/>
        <v>28</v>
      </c>
      <c r="M26" s="48" t="s">
        <v>29</v>
      </c>
      <c r="N26" s="48" t="s">
        <v>29</v>
      </c>
      <c r="O26" s="48">
        <v>1429</v>
      </c>
      <c r="P26" s="48">
        <v>4670</v>
      </c>
      <c r="Q26" s="48">
        <v>936</v>
      </c>
      <c r="R26" s="48" t="s">
        <v>29</v>
      </c>
      <c r="S26" s="48">
        <f t="shared" si="1"/>
        <v>7035</v>
      </c>
    </row>
    <row r="27" spans="1:19" x14ac:dyDescent="0.2">
      <c r="A27" s="364">
        <v>1997</v>
      </c>
      <c r="B27" s="48" t="s">
        <v>29</v>
      </c>
      <c r="C27" s="48" t="s">
        <v>29</v>
      </c>
      <c r="D27" s="48" t="s">
        <v>29</v>
      </c>
      <c r="E27" s="48" t="s">
        <v>29</v>
      </c>
      <c r="F27" s="48">
        <v>128</v>
      </c>
      <c r="G27" s="48">
        <v>55</v>
      </c>
      <c r="H27" s="48" t="s">
        <v>29</v>
      </c>
      <c r="I27" s="48" t="s">
        <v>29</v>
      </c>
      <c r="J27" s="48" t="s">
        <v>29</v>
      </c>
      <c r="K27" s="48">
        <f t="shared" si="0"/>
        <v>183</v>
      </c>
      <c r="M27" s="48" t="s">
        <v>29</v>
      </c>
      <c r="N27" s="48" t="s">
        <v>29</v>
      </c>
      <c r="O27" s="48">
        <v>4455</v>
      </c>
      <c r="P27" s="48">
        <v>1352</v>
      </c>
      <c r="Q27" s="48" t="s">
        <v>29</v>
      </c>
      <c r="R27" s="48" t="s">
        <v>29</v>
      </c>
      <c r="S27" s="48">
        <f t="shared" si="1"/>
        <v>5807</v>
      </c>
    </row>
    <row r="28" spans="1:19" x14ac:dyDescent="0.2">
      <c r="A28" s="364">
        <v>1998</v>
      </c>
      <c r="B28" s="48" t="s">
        <v>29</v>
      </c>
      <c r="C28" s="48" t="s">
        <v>29</v>
      </c>
      <c r="D28" s="48" t="s">
        <v>29</v>
      </c>
      <c r="E28" s="48" t="s">
        <v>29</v>
      </c>
      <c r="F28" s="48" t="s">
        <v>29</v>
      </c>
      <c r="G28" s="48">
        <v>94</v>
      </c>
      <c r="H28" s="48">
        <v>11</v>
      </c>
      <c r="I28" s="48" t="s">
        <v>29</v>
      </c>
      <c r="J28" s="48" t="s">
        <v>29</v>
      </c>
      <c r="K28" s="48">
        <f t="shared" si="0"/>
        <v>105</v>
      </c>
      <c r="M28" s="48" t="s">
        <v>29</v>
      </c>
      <c r="N28" s="48" t="s">
        <v>29</v>
      </c>
      <c r="O28" s="48" t="s">
        <v>29</v>
      </c>
      <c r="P28" s="48">
        <v>2021</v>
      </c>
      <c r="Q28" s="48">
        <v>150</v>
      </c>
      <c r="R28" s="48" t="s">
        <v>29</v>
      </c>
      <c r="S28" s="48">
        <f t="shared" si="1"/>
        <v>2171</v>
      </c>
    </row>
    <row r="29" spans="1:19" x14ac:dyDescent="0.2">
      <c r="A29" s="364">
        <v>1999</v>
      </c>
      <c r="B29" s="48" t="s">
        <v>29</v>
      </c>
      <c r="C29" s="48" t="s">
        <v>29</v>
      </c>
      <c r="D29" s="48" t="s">
        <v>29</v>
      </c>
      <c r="E29" s="48" t="s">
        <v>29</v>
      </c>
      <c r="F29" s="48">
        <v>219</v>
      </c>
      <c r="G29" s="48">
        <v>622</v>
      </c>
      <c r="H29" s="48">
        <v>93</v>
      </c>
      <c r="I29" s="48" t="s">
        <v>29</v>
      </c>
      <c r="J29" s="48" t="s">
        <v>29</v>
      </c>
      <c r="K29" s="48">
        <f t="shared" si="0"/>
        <v>934</v>
      </c>
      <c r="M29" s="48" t="s">
        <v>29</v>
      </c>
      <c r="N29" s="48" t="s">
        <v>29</v>
      </c>
      <c r="O29" s="48">
        <v>2465</v>
      </c>
      <c r="P29" s="48">
        <v>3359</v>
      </c>
      <c r="Q29" s="48">
        <v>1720</v>
      </c>
      <c r="R29" s="48" t="s">
        <v>29</v>
      </c>
      <c r="S29" s="48">
        <f t="shared" si="1"/>
        <v>7544</v>
      </c>
    </row>
    <row r="30" spans="1:19" x14ac:dyDescent="0.2">
      <c r="A30" s="364">
        <v>2000</v>
      </c>
      <c r="B30" s="48" t="s">
        <v>29</v>
      </c>
      <c r="C30" s="48" t="s">
        <v>29</v>
      </c>
      <c r="D30" s="48" t="s">
        <v>29</v>
      </c>
      <c r="E30" s="48" t="s">
        <v>29</v>
      </c>
      <c r="F30" s="48">
        <v>435</v>
      </c>
      <c r="G30" s="48">
        <v>329</v>
      </c>
      <c r="H30" s="48" t="s">
        <v>29</v>
      </c>
      <c r="I30" s="48" t="s">
        <v>29</v>
      </c>
      <c r="J30" s="48" t="s">
        <v>29</v>
      </c>
      <c r="K30" s="48">
        <f t="shared" si="0"/>
        <v>764</v>
      </c>
      <c r="M30" s="48" t="s">
        <v>29</v>
      </c>
      <c r="N30" s="48" t="s">
        <v>29</v>
      </c>
      <c r="O30" s="48">
        <v>6751</v>
      </c>
      <c r="P30" s="48">
        <v>6975</v>
      </c>
      <c r="Q30" s="48" t="s">
        <v>29</v>
      </c>
      <c r="R30" s="48" t="s">
        <v>29</v>
      </c>
      <c r="S30" s="48">
        <f t="shared" si="1"/>
        <v>13726</v>
      </c>
    </row>
    <row r="31" spans="1:19" x14ac:dyDescent="0.2">
      <c r="A31" s="364">
        <v>2001</v>
      </c>
      <c r="B31" s="48" t="s">
        <v>29</v>
      </c>
      <c r="C31" s="48" t="s">
        <v>29</v>
      </c>
      <c r="D31" s="48" t="s">
        <v>29</v>
      </c>
      <c r="E31" s="48" t="s">
        <v>29</v>
      </c>
      <c r="F31" s="48">
        <v>1000</v>
      </c>
      <c r="G31" s="48">
        <v>1478</v>
      </c>
      <c r="H31" s="48">
        <v>140</v>
      </c>
      <c r="I31" s="48" t="s">
        <v>29</v>
      </c>
      <c r="J31" s="48" t="s">
        <v>29</v>
      </c>
      <c r="K31" s="48">
        <f t="shared" si="0"/>
        <v>2618</v>
      </c>
      <c r="M31" s="48" t="s">
        <v>29</v>
      </c>
      <c r="N31" s="48" t="s">
        <v>29</v>
      </c>
      <c r="O31" s="48">
        <v>13537</v>
      </c>
      <c r="P31" s="48">
        <v>21990</v>
      </c>
      <c r="Q31" s="48">
        <v>3662</v>
      </c>
      <c r="R31" s="48" t="s">
        <v>29</v>
      </c>
      <c r="S31" s="48">
        <f t="shared" si="1"/>
        <v>39189</v>
      </c>
    </row>
    <row r="32" spans="1:19" x14ac:dyDescent="0.2">
      <c r="A32" s="118">
        <v>2002</v>
      </c>
      <c r="B32" s="48" t="s">
        <v>29</v>
      </c>
      <c r="C32" s="48" t="s">
        <v>29</v>
      </c>
      <c r="D32" s="48">
        <v>33</v>
      </c>
      <c r="E32" s="48">
        <v>347</v>
      </c>
      <c r="F32" s="48">
        <v>1540</v>
      </c>
      <c r="G32" s="48">
        <v>827</v>
      </c>
      <c r="H32" s="48">
        <v>4</v>
      </c>
      <c r="I32" s="48">
        <v>3</v>
      </c>
      <c r="J32" s="48" t="s">
        <v>29</v>
      </c>
      <c r="K32" s="48">
        <f t="shared" si="0"/>
        <v>2754</v>
      </c>
      <c r="M32" s="48" t="s">
        <v>29</v>
      </c>
      <c r="N32" s="48" t="s">
        <v>29</v>
      </c>
      <c r="O32" s="48">
        <v>4432</v>
      </c>
      <c r="P32" s="48">
        <v>8530</v>
      </c>
      <c r="Q32" s="48">
        <v>1441</v>
      </c>
      <c r="R32" s="48" t="s">
        <v>29</v>
      </c>
      <c r="S32" s="48">
        <f t="shared" si="1"/>
        <v>14403</v>
      </c>
    </row>
    <row r="33" spans="1:19" x14ac:dyDescent="0.2">
      <c r="A33" s="364">
        <v>2003</v>
      </c>
      <c r="B33" s="48" t="s">
        <v>29</v>
      </c>
      <c r="C33" s="48" t="s">
        <v>29</v>
      </c>
      <c r="D33" s="48" t="s">
        <v>29</v>
      </c>
      <c r="E33" s="48">
        <v>8</v>
      </c>
      <c r="F33" s="48">
        <v>546</v>
      </c>
      <c r="G33" s="48">
        <v>1659</v>
      </c>
      <c r="H33" s="48">
        <v>117</v>
      </c>
      <c r="I33" s="48" t="s">
        <v>29</v>
      </c>
      <c r="J33" s="48" t="s">
        <v>29</v>
      </c>
      <c r="K33" s="48">
        <f t="shared" si="0"/>
        <v>2330</v>
      </c>
      <c r="M33" s="48" t="s">
        <v>29</v>
      </c>
      <c r="N33" s="48">
        <v>55</v>
      </c>
      <c r="O33" s="48">
        <v>8237</v>
      </c>
      <c r="P33" s="48">
        <v>19891</v>
      </c>
      <c r="Q33" s="48">
        <v>1588</v>
      </c>
      <c r="R33" s="48" t="s">
        <v>29</v>
      </c>
      <c r="S33" s="48">
        <f t="shared" si="1"/>
        <v>29771</v>
      </c>
    </row>
    <row r="34" spans="1:19" x14ac:dyDescent="0.2">
      <c r="A34" s="364">
        <v>2004</v>
      </c>
      <c r="B34" s="48" t="s">
        <v>29</v>
      </c>
      <c r="C34" s="48" t="s">
        <v>29</v>
      </c>
      <c r="D34" s="48" t="s">
        <v>29</v>
      </c>
      <c r="E34" s="48">
        <v>25</v>
      </c>
      <c r="F34" s="48">
        <v>303</v>
      </c>
      <c r="G34" s="48">
        <v>1426</v>
      </c>
      <c r="H34" s="48">
        <v>429</v>
      </c>
      <c r="I34" s="48" t="s">
        <v>29</v>
      </c>
      <c r="J34" s="48" t="s">
        <v>29</v>
      </c>
      <c r="K34" s="48">
        <f t="shared" si="0"/>
        <v>2183</v>
      </c>
      <c r="M34" s="48" t="s">
        <v>29</v>
      </c>
      <c r="N34" s="48">
        <v>368</v>
      </c>
      <c r="O34" s="48">
        <v>6583</v>
      </c>
      <c r="P34" s="48">
        <v>13601</v>
      </c>
      <c r="Q34" s="48">
        <v>1946</v>
      </c>
      <c r="R34" s="48" t="s">
        <v>29</v>
      </c>
      <c r="S34" s="48">
        <f t="shared" si="1"/>
        <v>22498</v>
      </c>
    </row>
    <row r="35" spans="1:19" x14ac:dyDescent="0.2">
      <c r="A35" s="118">
        <v>2005</v>
      </c>
      <c r="B35" s="48" t="s">
        <v>29</v>
      </c>
      <c r="C35" s="48" t="s">
        <v>29</v>
      </c>
      <c r="D35" s="48" t="s">
        <v>29</v>
      </c>
      <c r="E35" s="280" t="s">
        <v>29</v>
      </c>
      <c r="F35" s="280">
        <v>481</v>
      </c>
      <c r="G35" s="280">
        <v>2637</v>
      </c>
      <c r="H35" s="280">
        <v>517</v>
      </c>
      <c r="I35" s="48" t="s">
        <v>29</v>
      </c>
      <c r="J35" s="48" t="s">
        <v>29</v>
      </c>
      <c r="K35" s="48">
        <f t="shared" si="0"/>
        <v>3635</v>
      </c>
      <c r="M35" s="48" t="s">
        <v>29</v>
      </c>
      <c r="N35" s="280" t="s">
        <v>29</v>
      </c>
      <c r="O35" s="280">
        <v>2165</v>
      </c>
      <c r="P35" s="280">
        <v>6337</v>
      </c>
      <c r="Q35" s="280">
        <v>1464</v>
      </c>
      <c r="R35" s="280" t="s">
        <v>29</v>
      </c>
      <c r="S35" s="280">
        <f t="shared" si="1"/>
        <v>9966</v>
      </c>
    </row>
    <row r="36" spans="1:19" x14ac:dyDescent="0.2">
      <c r="A36" s="118">
        <v>2006</v>
      </c>
      <c r="B36" s="48" t="s">
        <v>29</v>
      </c>
      <c r="C36" s="48" t="s">
        <v>29</v>
      </c>
      <c r="D36" s="48" t="s">
        <v>29</v>
      </c>
      <c r="E36" s="280" t="s">
        <v>29</v>
      </c>
      <c r="F36" s="280">
        <v>81</v>
      </c>
      <c r="G36" s="280">
        <v>370</v>
      </c>
      <c r="H36" s="280">
        <v>58</v>
      </c>
      <c r="I36" s="48" t="s">
        <v>29</v>
      </c>
      <c r="J36" s="48" t="s">
        <v>29</v>
      </c>
      <c r="K36" s="48">
        <f t="shared" si="0"/>
        <v>509</v>
      </c>
      <c r="M36" s="48" t="s">
        <v>29</v>
      </c>
      <c r="N36" s="280" t="s">
        <v>29</v>
      </c>
      <c r="O36" s="280">
        <v>1616</v>
      </c>
      <c r="P36" s="280">
        <v>3560</v>
      </c>
      <c r="Q36" s="280">
        <v>235</v>
      </c>
      <c r="R36" s="280" t="s">
        <v>29</v>
      </c>
      <c r="S36" s="280">
        <f t="shared" si="1"/>
        <v>5411</v>
      </c>
    </row>
    <row r="37" spans="1:19" s="366" customFormat="1" x14ac:dyDescent="0.2">
      <c r="A37" s="118">
        <v>2007</v>
      </c>
      <c r="B37" s="182" t="s">
        <v>29</v>
      </c>
      <c r="C37" s="182" t="s">
        <v>29</v>
      </c>
      <c r="D37" s="182" t="s">
        <v>29</v>
      </c>
      <c r="E37" s="281" t="s">
        <v>29</v>
      </c>
      <c r="F37" s="281">
        <v>81</v>
      </c>
      <c r="G37" s="281">
        <v>457</v>
      </c>
      <c r="H37" s="281">
        <v>56</v>
      </c>
      <c r="I37" s="182" t="s">
        <v>29</v>
      </c>
      <c r="J37" s="182" t="s">
        <v>29</v>
      </c>
      <c r="K37" s="182">
        <f t="shared" si="0"/>
        <v>594</v>
      </c>
      <c r="L37" s="182"/>
      <c r="M37" s="182" t="s">
        <v>29</v>
      </c>
      <c r="N37" s="281" t="s">
        <v>29</v>
      </c>
      <c r="O37" s="281">
        <v>3812</v>
      </c>
      <c r="P37" s="281">
        <v>13807</v>
      </c>
      <c r="Q37" s="281">
        <v>778</v>
      </c>
      <c r="R37" s="281" t="s">
        <v>29</v>
      </c>
      <c r="S37" s="281">
        <f t="shared" si="1"/>
        <v>18397</v>
      </c>
    </row>
    <row r="38" spans="1:19" s="366" customFormat="1" x14ac:dyDescent="0.2">
      <c r="A38" s="118">
        <v>2008</v>
      </c>
      <c r="B38" s="182" t="s">
        <v>29</v>
      </c>
      <c r="C38" s="182" t="s">
        <v>29</v>
      </c>
      <c r="D38" s="182">
        <v>17</v>
      </c>
      <c r="E38" s="281">
        <v>152</v>
      </c>
      <c r="F38" s="281">
        <v>343</v>
      </c>
      <c r="G38" s="281">
        <v>305</v>
      </c>
      <c r="H38" s="182" t="s">
        <v>29</v>
      </c>
      <c r="I38" s="182" t="s">
        <v>29</v>
      </c>
      <c r="J38" s="182" t="s">
        <v>29</v>
      </c>
      <c r="K38" s="182">
        <f t="shared" si="0"/>
        <v>817</v>
      </c>
      <c r="L38" s="182"/>
      <c r="M38" s="182" t="s">
        <v>29</v>
      </c>
      <c r="N38" s="281">
        <v>101</v>
      </c>
      <c r="O38" s="281">
        <v>1108</v>
      </c>
      <c r="P38" s="281">
        <v>982</v>
      </c>
      <c r="Q38" s="281" t="s">
        <v>29</v>
      </c>
      <c r="R38" s="281" t="s">
        <v>29</v>
      </c>
      <c r="S38" s="281">
        <f t="shared" si="1"/>
        <v>2191</v>
      </c>
    </row>
    <row r="39" spans="1:19" s="366" customFormat="1" x14ac:dyDescent="0.2">
      <c r="A39" s="118">
        <v>2009</v>
      </c>
      <c r="B39" s="182" t="s">
        <v>29</v>
      </c>
      <c r="C39" s="182" t="s">
        <v>29</v>
      </c>
      <c r="D39" s="182" t="s">
        <v>29</v>
      </c>
      <c r="E39" s="281">
        <v>4</v>
      </c>
      <c r="F39" s="182">
        <v>422</v>
      </c>
      <c r="G39" s="182">
        <v>543</v>
      </c>
      <c r="H39" s="182">
        <v>11</v>
      </c>
      <c r="I39" s="182" t="s">
        <v>29</v>
      </c>
      <c r="J39" s="182" t="s">
        <v>29</v>
      </c>
      <c r="K39" s="182">
        <f t="shared" si="0"/>
        <v>980</v>
      </c>
      <c r="L39" s="182"/>
      <c r="M39" s="182" t="s">
        <v>29</v>
      </c>
      <c r="N39" s="281">
        <v>138</v>
      </c>
      <c r="O39" s="281">
        <v>9593</v>
      </c>
      <c r="P39" s="281">
        <v>9330</v>
      </c>
      <c r="Q39" s="281">
        <v>358</v>
      </c>
      <c r="R39" s="281" t="s">
        <v>29</v>
      </c>
      <c r="S39" s="281">
        <f t="shared" si="1"/>
        <v>19419</v>
      </c>
    </row>
    <row r="40" spans="1:19" s="366" customFormat="1" x14ac:dyDescent="0.2">
      <c r="A40" s="118">
        <v>2010</v>
      </c>
      <c r="B40" s="182" t="s">
        <v>29</v>
      </c>
      <c r="C40" s="182" t="s">
        <v>29</v>
      </c>
      <c r="D40" s="182" t="s">
        <v>29</v>
      </c>
      <c r="E40" s="281">
        <v>37</v>
      </c>
      <c r="F40" s="182">
        <v>388</v>
      </c>
      <c r="G40" s="182">
        <v>1321</v>
      </c>
      <c r="H40" s="182">
        <v>66</v>
      </c>
      <c r="I40" s="182" t="s">
        <v>29</v>
      </c>
      <c r="J40" s="182" t="s">
        <v>29</v>
      </c>
      <c r="K40" s="182">
        <f t="shared" si="0"/>
        <v>1812</v>
      </c>
      <c r="L40" s="182"/>
      <c r="M40" s="182" t="s">
        <v>29</v>
      </c>
      <c r="N40" s="281">
        <v>12</v>
      </c>
      <c r="O40" s="281">
        <v>1479</v>
      </c>
      <c r="P40" s="281">
        <v>4404</v>
      </c>
      <c r="Q40" s="281">
        <v>213</v>
      </c>
      <c r="R40" s="281" t="s">
        <v>29</v>
      </c>
      <c r="S40" s="281">
        <f t="shared" si="1"/>
        <v>6108</v>
      </c>
    </row>
    <row r="41" spans="1:19" s="366" customFormat="1" x14ac:dyDescent="0.2">
      <c r="A41" s="118">
        <v>2011</v>
      </c>
      <c r="B41" s="182" t="s">
        <v>29</v>
      </c>
      <c r="C41" s="182" t="s">
        <v>29</v>
      </c>
      <c r="D41" s="182" t="s">
        <v>29</v>
      </c>
      <c r="E41" s="281">
        <v>129</v>
      </c>
      <c r="F41" s="182">
        <v>147</v>
      </c>
      <c r="G41" s="182">
        <v>1264</v>
      </c>
      <c r="H41" s="182">
        <v>79</v>
      </c>
      <c r="I41" s="182" t="s">
        <v>29</v>
      </c>
      <c r="J41" s="182" t="s">
        <v>29</v>
      </c>
      <c r="K41" s="182">
        <f t="shared" si="0"/>
        <v>1619</v>
      </c>
      <c r="L41" s="182"/>
      <c r="M41" s="182" t="s">
        <v>29</v>
      </c>
      <c r="N41" s="281">
        <v>178</v>
      </c>
      <c r="O41" s="281">
        <v>981</v>
      </c>
      <c r="P41" s="281">
        <v>4132</v>
      </c>
      <c r="Q41" s="281">
        <v>755</v>
      </c>
      <c r="R41" s="281" t="s">
        <v>29</v>
      </c>
      <c r="S41" s="281">
        <f t="shared" si="1"/>
        <v>6046</v>
      </c>
    </row>
    <row r="42" spans="1:19" s="366" customFormat="1" x14ac:dyDescent="0.2">
      <c r="A42" s="118">
        <v>2012</v>
      </c>
      <c r="B42" s="182" t="s">
        <v>29</v>
      </c>
      <c r="C42" s="182" t="s">
        <v>29</v>
      </c>
      <c r="D42" s="182" t="s">
        <v>29</v>
      </c>
      <c r="E42" s="281">
        <v>578</v>
      </c>
      <c r="F42" s="182">
        <v>650</v>
      </c>
      <c r="G42" s="182">
        <v>431</v>
      </c>
      <c r="H42" s="182">
        <v>45</v>
      </c>
      <c r="I42" s="182" t="s">
        <v>29</v>
      </c>
      <c r="J42" s="182" t="s">
        <v>29</v>
      </c>
      <c r="K42" s="182">
        <f t="shared" si="0"/>
        <v>1704</v>
      </c>
      <c r="L42" s="182"/>
      <c r="M42" s="182" t="s">
        <v>29</v>
      </c>
      <c r="N42" s="281">
        <v>86</v>
      </c>
      <c r="O42" s="281">
        <v>615</v>
      </c>
      <c r="P42" s="281">
        <v>740</v>
      </c>
      <c r="Q42" s="281">
        <v>231</v>
      </c>
      <c r="R42" s="281" t="s">
        <v>29</v>
      </c>
      <c r="S42" s="281">
        <f t="shared" si="1"/>
        <v>1672</v>
      </c>
    </row>
    <row r="43" spans="1:19" s="366" customFormat="1" x14ac:dyDescent="0.2">
      <c r="A43" s="118">
        <v>2013</v>
      </c>
      <c r="B43" s="182" t="s">
        <v>29</v>
      </c>
      <c r="C43" s="182" t="s">
        <v>29</v>
      </c>
      <c r="D43" s="182" t="s">
        <v>29</v>
      </c>
      <c r="E43" s="281">
        <v>731</v>
      </c>
      <c r="F43" s="182">
        <v>323</v>
      </c>
      <c r="G43" s="182">
        <v>792</v>
      </c>
      <c r="H43" s="182">
        <v>72</v>
      </c>
      <c r="I43" s="182" t="s">
        <v>29</v>
      </c>
      <c r="J43" s="182" t="s">
        <v>29</v>
      </c>
      <c r="K43" s="182">
        <f t="shared" si="0"/>
        <v>1918</v>
      </c>
      <c r="L43" s="182"/>
      <c r="M43" s="182" t="s">
        <v>29</v>
      </c>
      <c r="N43" s="281">
        <v>1143</v>
      </c>
      <c r="O43" s="281">
        <v>991</v>
      </c>
      <c r="P43" s="281">
        <v>1706</v>
      </c>
      <c r="Q43" s="281">
        <v>173</v>
      </c>
      <c r="R43" s="281" t="s">
        <v>29</v>
      </c>
      <c r="S43" s="281">
        <f t="shared" si="1"/>
        <v>4013</v>
      </c>
    </row>
    <row r="44" spans="1:19" s="366" customFormat="1" x14ac:dyDescent="0.2">
      <c r="A44" s="118">
        <v>2014</v>
      </c>
      <c r="B44" s="182" t="s">
        <v>29</v>
      </c>
      <c r="C44" s="182" t="s">
        <v>29</v>
      </c>
      <c r="D44" s="182">
        <v>21</v>
      </c>
      <c r="E44" s="281">
        <v>150</v>
      </c>
      <c r="F44" s="182">
        <v>628</v>
      </c>
      <c r="G44" s="182">
        <v>1402</v>
      </c>
      <c r="H44" s="182">
        <v>105</v>
      </c>
      <c r="I44" s="182" t="s">
        <v>29</v>
      </c>
      <c r="J44" s="182" t="s">
        <v>29</v>
      </c>
      <c r="K44" s="182">
        <f t="shared" si="0"/>
        <v>2306</v>
      </c>
      <c r="L44" s="182"/>
      <c r="M44" s="182" t="s">
        <v>29</v>
      </c>
      <c r="N44" s="281">
        <v>391</v>
      </c>
      <c r="O44" s="281">
        <v>5030</v>
      </c>
      <c r="P44" s="281">
        <v>8503</v>
      </c>
      <c r="Q44" s="281">
        <v>2816</v>
      </c>
      <c r="R44" s="281" t="s">
        <v>29</v>
      </c>
      <c r="S44" s="281">
        <f t="shared" si="1"/>
        <v>16740</v>
      </c>
    </row>
    <row r="45" spans="1:19" s="366" customFormat="1" x14ac:dyDescent="0.2">
      <c r="A45" s="118">
        <v>2015</v>
      </c>
      <c r="B45" s="182" t="s">
        <v>29</v>
      </c>
      <c r="C45" s="182" t="s">
        <v>29</v>
      </c>
      <c r="D45" s="182">
        <v>28</v>
      </c>
      <c r="E45" s="281">
        <v>259</v>
      </c>
      <c r="F45" s="182">
        <v>434</v>
      </c>
      <c r="G45" s="182">
        <v>1030</v>
      </c>
      <c r="H45" s="182">
        <v>1006</v>
      </c>
      <c r="I45" s="182" t="s">
        <v>29</v>
      </c>
      <c r="J45" s="182" t="s">
        <v>29</v>
      </c>
      <c r="K45" s="182">
        <f t="shared" si="0"/>
        <v>2757</v>
      </c>
      <c r="L45" s="182"/>
      <c r="M45" s="182" t="s">
        <v>29</v>
      </c>
      <c r="N45" s="281">
        <v>732</v>
      </c>
      <c r="O45" s="281">
        <v>3764</v>
      </c>
      <c r="P45" s="281">
        <v>2872</v>
      </c>
      <c r="Q45" s="281">
        <v>1472</v>
      </c>
      <c r="R45" s="281" t="s">
        <v>29</v>
      </c>
      <c r="S45" s="281">
        <f t="shared" si="1"/>
        <v>8840</v>
      </c>
    </row>
    <row r="46" spans="1:19" s="366" customFormat="1" x14ac:dyDescent="0.2">
      <c r="A46" s="118">
        <v>2016</v>
      </c>
      <c r="B46" s="182" t="s">
        <v>29</v>
      </c>
      <c r="C46" s="182" t="s">
        <v>29</v>
      </c>
      <c r="D46" s="182" t="s">
        <v>29</v>
      </c>
      <c r="E46" s="281" t="s">
        <v>29</v>
      </c>
      <c r="F46" s="182">
        <v>653</v>
      </c>
      <c r="G46" s="182">
        <v>387</v>
      </c>
      <c r="H46" s="182" t="s">
        <v>29</v>
      </c>
      <c r="I46" s="182" t="s">
        <v>29</v>
      </c>
      <c r="J46" s="182" t="s">
        <v>29</v>
      </c>
      <c r="K46" s="182">
        <f t="shared" si="0"/>
        <v>1040</v>
      </c>
      <c r="L46" s="182"/>
      <c r="M46" s="182" t="s">
        <v>29</v>
      </c>
      <c r="N46" s="281" t="s">
        <v>29</v>
      </c>
      <c r="O46" s="281">
        <v>915</v>
      </c>
      <c r="P46" s="281">
        <v>1739</v>
      </c>
      <c r="Q46" s="281" t="s">
        <v>29</v>
      </c>
      <c r="R46" s="281" t="s">
        <v>29</v>
      </c>
      <c r="S46" s="281">
        <f t="shared" si="1"/>
        <v>2654</v>
      </c>
    </row>
    <row r="47" spans="1:19" x14ac:dyDescent="0.2">
      <c r="A47" s="118">
        <v>2017</v>
      </c>
      <c r="B47" s="48" t="s">
        <v>29</v>
      </c>
      <c r="C47" s="48" t="s">
        <v>29</v>
      </c>
      <c r="D47" s="48" t="s">
        <v>29</v>
      </c>
      <c r="E47" s="280">
        <v>330</v>
      </c>
      <c r="F47" s="48">
        <v>567</v>
      </c>
      <c r="G47" s="48">
        <v>1011</v>
      </c>
      <c r="H47" s="48" t="s">
        <v>29</v>
      </c>
      <c r="I47" s="48" t="s">
        <v>29</v>
      </c>
      <c r="J47" s="48" t="s">
        <v>29</v>
      </c>
      <c r="K47" s="48">
        <f t="shared" si="0"/>
        <v>1908</v>
      </c>
      <c r="M47" s="48" t="s">
        <v>29</v>
      </c>
      <c r="N47" s="280">
        <v>13</v>
      </c>
      <c r="O47" s="280">
        <v>2249</v>
      </c>
      <c r="P47" s="280">
        <v>4308</v>
      </c>
      <c r="Q47" s="280" t="s">
        <v>29</v>
      </c>
      <c r="R47" s="280" t="s">
        <v>29</v>
      </c>
      <c r="S47" s="280">
        <f t="shared" si="1"/>
        <v>6570</v>
      </c>
    </row>
    <row r="48" spans="1:19" s="366" customFormat="1" x14ac:dyDescent="0.2">
      <c r="A48" s="118">
        <v>2018</v>
      </c>
      <c r="B48" s="182" t="s">
        <v>29</v>
      </c>
      <c r="C48" s="182" t="s">
        <v>29</v>
      </c>
      <c r="D48" s="182" t="s">
        <v>29</v>
      </c>
      <c r="E48" s="281">
        <v>120</v>
      </c>
      <c r="F48" s="182">
        <v>150</v>
      </c>
      <c r="G48" s="182">
        <v>415</v>
      </c>
      <c r="H48" s="182">
        <v>4</v>
      </c>
      <c r="I48" s="182" t="s">
        <v>29</v>
      </c>
      <c r="J48" s="182" t="s">
        <v>29</v>
      </c>
      <c r="K48" s="182">
        <f>SUM(B48:J48)</f>
        <v>689</v>
      </c>
      <c r="L48" s="182"/>
      <c r="M48" s="182" t="s">
        <v>29</v>
      </c>
      <c r="N48" s="281">
        <v>36</v>
      </c>
      <c r="O48" s="281">
        <v>1393</v>
      </c>
      <c r="P48" s="281">
        <v>5680</v>
      </c>
      <c r="Q48" s="281">
        <v>19</v>
      </c>
      <c r="R48" s="281" t="s">
        <v>29</v>
      </c>
      <c r="S48" s="281">
        <f>SUM(M48:R48)</f>
        <v>7128</v>
      </c>
    </row>
    <row r="49" spans="1:19" s="489" customFormat="1" x14ac:dyDescent="0.2">
      <c r="A49" s="118">
        <v>2019</v>
      </c>
      <c r="B49" s="182" t="s">
        <v>29</v>
      </c>
      <c r="C49" s="182" t="s">
        <v>29</v>
      </c>
      <c r="D49" s="182" t="s">
        <v>29</v>
      </c>
      <c r="E49" s="281">
        <v>104</v>
      </c>
      <c r="F49" s="182">
        <v>668</v>
      </c>
      <c r="G49" s="182">
        <v>485</v>
      </c>
      <c r="H49" s="182">
        <v>38</v>
      </c>
      <c r="I49" s="182" t="s">
        <v>29</v>
      </c>
      <c r="J49" s="182" t="s">
        <v>29</v>
      </c>
      <c r="K49" s="182">
        <f t="shared" ref="K49" si="2">SUM(B49:J49)</f>
        <v>1295</v>
      </c>
      <c r="L49" s="182"/>
      <c r="M49" s="182" t="s">
        <v>29</v>
      </c>
      <c r="N49" s="281">
        <v>1852</v>
      </c>
      <c r="O49" s="281">
        <v>6548</v>
      </c>
      <c r="P49" s="281">
        <v>8543</v>
      </c>
      <c r="Q49" s="281">
        <v>281</v>
      </c>
      <c r="R49" s="281" t="s">
        <v>29</v>
      </c>
      <c r="S49" s="281">
        <f t="shared" ref="S49" si="3">SUM(M49:R49)</f>
        <v>17224</v>
      </c>
    </row>
    <row r="50" spans="1:19" s="366" customFormat="1" x14ac:dyDescent="0.2">
      <c r="A50" s="118" t="s">
        <v>393</v>
      </c>
      <c r="B50" s="48" t="s">
        <v>29</v>
      </c>
      <c r="C50" s="48" t="s">
        <v>29</v>
      </c>
      <c r="D50" s="48" t="s">
        <v>29</v>
      </c>
      <c r="E50" s="280">
        <v>11</v>
      </c>
      <c r="F50" s="48">
        <v>140</v>
      </c>
      <c r="G50" s="48" t="s">
        <v>29</v>
      </c>
      <c r="H50" s="48" t="s">
        <v>29</v>
      </c>
      <c r="I50" s="48" t="s">
        <v>29</v>
      </c>
      <c r="J50" s="48" t="s">
        <v>29</v>
      </c>
      <c r="K50" s="48">
        <f t="shared" si="0"/>
        <v>151</v>
      </c>
      <c r="L50" s="48"/>
      <c r="M50" s="48" t="s">
        <v>29</v>
      </c>
      <c r="N50" s="280">
        <v>0</v>
      </c>
      <c r="O50" s="280">
        <v>3724</v>
      </c>
      <c r="P50" s="280" t="s">
        <v>29</v>
      </c>
      <c r="Q50" s="280" t="s">
        <v>29</v>
      </c>
      <c r="R50" s="280" t="s">
        <v>29</v>
      </c>
      <c r="S50" s="280">
        <f t="shared" si="1"/>
        <v>3724</v>
      </c>
    </row>
    <row r="52" spans="1:19" x14ac:dyDescent="0.2">
      <c r="A52" s="109" t="s">
        <v>53</v>
      </c>
    </row>
    <row r="53" spans="1:19" x14ac:dyDescent="0.2">
      <c r="A53" s="371">
        <v>1976</v>
      </c>
      <c r="B53" s="48" t="s">
        <v>29</v>
      </c>
      <c r="C53" s="48">
        <v>0</v>
      </c>
      <c r="D53" s="48">
        <v>257</v>
      </c>
      <c r="E53" s="48">
        <v>229</v>
      </c>
      <c r="F53" s="48">
        <v>412</v>
      </c>
      <c r="G53" s="48">
        <v>1203</v>
      </c>
      <c r="H53" s="48">
        <v>125</v>
      </c>
      <c r="I53" s="48">
        <v>28</v>
      </c>
      <c r="J53" s="48">
        <v>29</v>
      </c>
      <c r="K53" s="48">
        <f t="shared" ref="K53:K97" si="4">SUM(B53:J53)</f>
        <v>2283</v>
      </c>
      <c r="M53" s="48">
        <v>802</v>
      </c>
      <c r="N53" s="48">
        <v>4963</v>
      </c>
      <c r="O53" s="48">
        <v>10572</v>
      </c>
      <c r="P53" s="48">
        <v>30017</v>
      </c>
      <c r="Q53" s="48">
        <v>2827</v>
      </c>
      <c r="R53" s="48">
        <v>517</v>
      </c>
      <c r="S53" s="48">
        <f t="shared" ref="S53:S97" si="5">SUM(M53:R53)</f>
        <v>49698</v>
      </c>
    </row>
    <row r="54" spans="1:19" x14ac:dyDescent="0.2">
      <c r="A54" s="371">
        <v>1977</v>
      </c>
      <c r="B54" s="48" t="s">
        <v>29</v>
      </c>
      <c r="C54" s="48">
        <v>0</v>
      </c>
      <c r="D54" s="48">
        <v>50</v>
      </c>
      <c r="E54" s="48">
        <v>220</v>
      </c>
      <c r="F54" s="48">
        <v>505</v>
      </c>
      <c r="G54" s="48">
        <v>635</v>
      </c>
      <c r="H54" s="48">
        <v>90</v>
      </c>
      <c r="I54" s="48">
        <v>10</v>
      </c>
      <c r="J54" s="48" t="s">
        <v>29</v>
      </c>
      <c r="K54" s="48">
        <f t="shared" si="4"/>
        <v>1510</v>
      </c>
      <c r="M54" s="48">
        <v>644</v>
      </c>
      <c r="N54" s="48">
        <v>1658</v>
      </c>
      <c r="O54" s="48">
        <v>5553</v>
      </c>
      <c r="P54" s="48">
        <v>5922</v>
      </c>
      <c r="Q54" s="48">
        <v>966</v>
      </c>
      <c r="R54" s="48">
        <v>3</v>
      </c>
      <c r="S54" s="48">
        <f t="shared" si="5"/>
        <v>14746</v>
      </c>
    </row>
    <row r="55" spans="1:19" x14ac:dyDescent="0.2">
      <c r="A55" s="371">
        <v>1978</v>
      </c>
      <c r="B55" s="48" t="s">
        <v>29</v>
      </c>
      <c r="C55" s="48">
        <v>0</v>
      </c>
      <c r="D55" s="48">
        <v>169</v>
      </c>
      <c r="E55" s="48">
        <v>46</v>
      </c>
      <c r="F55" s="48">
        <v>233</v>
      </c>
      <c r="G55" s="48">
        <v>293</v>
      </c>
      <c r="H55" s="48">
        <v>73</v>
      </c>
      <c r="I55" s="48">
        <v>19</v>
      </c>
      <c r="J55" s="48" t="s">
        <v>29</v>
      </c>
      <c r="K55" s="48">
        <f t="shared" si="4"/>
        <v>833</v>
      </c>
      <c r="M55" s="48">
        <v>54</v>
      </c>
      <c r="N55" s="48">
        <v>899</v>
      </c>
      <c r="O55" s="48">
        <v>1898</v>
      </c>
      <c r="P55" s="48">
        <v>5194</v>
      </c>
      <c r="Q55" s="48">
        <v>402</v>
      </c>
      <c r="R55" s="48">
        <v>63</v>
      </c>
      <c r="S55" s="48">
        <f t="shared" si="5"/>
        <v>8510</v>
      </c>
    </row>
    <row r="56" spans="1:19" x14ac:dyDescent="0.2">
      <c r="A56" s="371">
        <v>1979</v>
      </c>
      <c r="B56" s="48" t="s">
        <v>29</v>
      </c>
      <c r="C56" s="48" t="s">
        <v>29</v>
      </c>
      <c r="D56" s="48">
        <v>5</v>
      </c>
      <c r="E56" s="48">
        <v>18</v>
      </c>
      <c r="F56" s="48">
        <v>578</v>
      </c>
      <c r="G56" s="48">
        <v>334</v>
      </c>
      <c r="H56" s="48">
        <v>46</v>
      </c>
      <c r="I56" s="48" t="s">
        <v>29</v>
      </c>
      <c r="J56" s="48" t="s">
        <v>29</v>
      </c>
      <c r="K56" s="48">
        <f t="shared" si="4"/>
        <v>981</v>
      </c>
      <c r="M56" s="48">
        <v>78</v>
      </c>
      <c r="N56" s="48">
        <v>1124</v>
      </c>
      <c r="O56" s="48">
        <v>2606</v>
      </c>
      <c r="P56" s="48">
        <v>5563</v>
      </c>
      <c r="Q56" s="48">
        <v>47</v>
      </c>
      <c r="R56" s="48" t="s">
        <v>29</v>
      </c>
      <c r="S56" s="48">
        <f t="shared" si="5"/>
        <v>9418</v>
      </c>
    </row>
    <row r="57" spans="1:19" x14ac:dyDescent="0.2">
      <c r="A57" s="371">
        <v>1980</v>
      </c>
      <c r="B57" s="48" t="s">
        <v>29</v>
      </c>
      <c r="C57" s="48" t="s">
        <v>29</v>
      </c>
      <c r="D57" s="48">
        <v>39</v>
      </c>
      <c r="E57" s="48">
        <v>247</v>
      </c>
      <c r="F57" s="48">
        <v>318</v>
      </c>
      <c r="G57" s="48">
        <v>811</v>
      </c>
      <c r="H57" s="48">
        <v>159</v>
      </c>
      <c r="I57" s="282" t="s">
        <v>116</v>
      </c>
      <c r="J57" s="48" t="s">
        <v>29</v>
      </c>
      <c r="K57" s="48">
        <f t="shared" si="4"/>
        <v>1574</v>
      </c>
      <c r="M57" s="48">
        <v>131</v>
      </c>
      <c r="N57" s="48">
        <v>7131</v>
      </c>
      <c r="O57" s="48">
        <v>10790</v>
      </c>
      <c r="P57" s="48">
        <v>10314</v>
      </c>
      <c r="Q57" s="48">
        <v>556</v>
      </c>
      <c r="R57" s="48" t="s">
        <v>29</v>
      </c>
      <c r="S57" s="48">
        <f t="shared" si="5"/>
        <v>28922</v>
      </c>
    </row>
    <row r="58" spans="1:19" x14ac:dyDescent="0.2">
      <c r="A58" s="371">
        <v>1981</v>
      </c>
      <c r="B58" s="48" t="s">
        <v>29</v>
      </c>
      <c r="C58" s="48" t="s">
        <v>29</v>
      </c>
      <c r="D58" s="48">
        <v>36</v>
      </c>
      <c r="E58" s="48">
        <v>46</v>
      </c>
      <c r="F58" s="48">
        <v>551</v>
      </c>
      <c r="G58" s="48">
        <v>900</v>
      </c>
      <c r="H58" s="48">
        <v>362</v>
      </c>
      <c r="I58" s="48" t="s">
        <v>29</v>
      </c>
      <c r="J58" s="48" t="s">
        <v>29</v>
      </c>
      <c r="K58" s="48">
        <f t="shared" si="4"/>
        <v>1895</v>
      </c>
      <c r="M58" s="48">
        <v>266</v>
      </c>
      <c r="N58" s="48">
        <v>1015</v>
      </c>
      <c r="O58" s="48">
        <v>5586</v>
      </c>
      <c r="P58" s="48">
        <v>9563</v>
      </c>
      <c r="Q58" s="48">
        <v>1263</v>
      </c>
      <c r="R58" s="48" t="s">
        <v>29</v>
      </c>
      <c r="S58" s="48">
        <f t="shared" si="5"/>
        <v>17693</v>
      </c>
    </row>
    <row r="59" spans="1:19" x14ac:dyDescent="0.2">
      <c r="A59" s="371">
        <v>1982</v>
      </c>
      <c r="B59" s="48" t="s">
        <v>29</v>
      </c>
      <c r="C59" s="48" t="s">
        <v>29</v>
      </c>
      <c r="D59" s="48">
        <v>0</v>
      </c>
      <c r="E59" s="48">
        <v>90</v>
      </c>
      <c r="F59" s="48">
        <v>1270</v>
      </c>
      <c r="G59" s="48">
        <v>0</v>
      </c>
      <c r="H59" s="48">
        <v>0</v>
      </c>
      <c r="I59" s="48" t="s">
        <v>29</v>
      </c>
      <c r="J59" s="48" t="s">
        <v>29</v>
      </c>
      <c r="K59" s="48">
        <f t="shared" si="4"/>
        <v>1360</v>
      </c>
      <c r="M59" s="48">
        <v>0</v>
      </c>
      <c r="N59" s="48">
        <v>1332</v>
      </c>
      <c r="O59" s="48">
        <v>21760</v>
      </c>
      <c r="P59" s="48">
        <v>0</v>
      </c>
      <c r="Q59" s="48" t="s">
        <v>29</v>
      </c>
      <c r="R59" s="48" t="s">
        <v>29</v>
      </c>
      <c r="S59" s="48">
        <f t="shared" si="5"/>
        <v>23092</v>
      </c>
    </row>
    <row r="60" spans="1:19" x14ac:dyDescent="0.2">
      <c r="A60" s="371">
        <v>1983</v>
      </c>
      <c r="B60" s="48" t="s">
        <v>29</v>
      </c>
      <c r="C60" s="48" t="s">
        <v>29</v>
      </c>
      <c r="D60" s="48" t="s">
        <v>29</v>
      </c>
      <c r="E60" s="48">
        <v>6</v>
      </c>
      <c r="F60" s="48">
        <v>403</v>
      </c>
      <c r="G60" s="48">
        <v>194</v>
      </c>
      <c r="H60" s="48">
        <v>89</v>
      </c>
      <c r="I60" s="48" t="s">
        <v>29</v>
      </c>
      <c r="J60" s="48" t="s">
        <v>29</v>
      </c>
      <c r="K60" s="48">
        <f t="shared" si="4"/>
        <v>692</v>
      </c>
      <c r="M60" s="48" t="s">
        <v>29</v>
      </c>
      <c r="N60" s="48">
        <v>218</v>
      </c>
      <c r="O60" s="48">
        <v>6094</v>
      </c>
      <c r="P60" s="48">
        <v>1591</v>
      </c>
      <c r="Q60" s="48">
        <v>905</v>
      </c>
      <c r="R60" s="48" t="s">
        <v>29</v>
      </c>
      <c r="S60" s="48">
        <f t="shared" si="5"/>
        <v>8808</v>
      </c>
    </row>
    <row r="61" spans="1:19" x14ac:dyDescent="0.2">
      <c r="A61" s="371">
        <v>1984</v>
      </c>
      <c r="B61" s="48" t="s">
        <v>29</v>
      </c>
      <c r="C61" s="48" t="s">
        <v>29</v>
      </c>
      <c r="D61" s="48" t="s">
        <v>29</v>
      </c>
      <c r="E61" s="48">
        <v>0</v>
      </c>
      <c r="F61" s="48">
        <v>587</v>
      </c>
      <c r="G61" s="48">
        <v>455</v>
      </c>
      <c r="H61" s="48">
        <v>68</v>
      </c>
      <c r="I61" s="48" t="s">
        <v>29</v>
      </c>
      <c r="J61" s="48" t="s">
        <v>29</v>
      </c>
      <c r="K61" s="48">
        <f t="shared" si="4"/>
        <v>1110</v>
      </c>
      <c r="M61" s="48" t="s">
        <v>29</v>
      </c>
      <c r="N61" s="48" t="s">
        <v>29</v>
      </c>
      <c r="O61" s="48">
        <v>9266</v>
      </c>
      <c r="P61" s="48">
        <v>10552</v>
      </c>
      <c r="Q61" s="48">
        <v>459</v>
      </c>
      <c r="R61" s="48" t="s">
        <v>29</v>
      </c>
      <c r="S61" s="48">
        <f t="shared" si="5"/>
        <v>20277</v>
      </c>
    </row>
    <row r="62" spans="1:19" x14ac:dyDescent="0.2">
      <c r="A62" s="371">
        <v>1985</v>
      </c>
      <c r="B62" s="48" t="s">
        <v>29</v>
      </c>
      <c r="C62" s="48" t="s">
        <v>29</v>
      </c>
      <c r="D62" s="48" t="s">
        <v>29</v>
      </c>
      <c r="E62" s="48">
        <v>0</v>
      </c>
      <c r="F62" s="48">
        <v>1141</v>
      </c>
      <c r="G62" s="48">
        <v>1362</v>
      </c>
      <c r="H62" s="48">
        <v>65</v>
      </c>
      <c r="I62" s="48">
        <v>42</v>
      </c>
      <c r="J62" s="48" t="s">
        <v>29</v>
      </c>
      <c r="K62" s="48">
        <f t="shared" si="4"/>
        <v>2610</v>
      </c>
      <c r="M62" s="48">
        <v>0</v>
      </c>
      <c r="N62" s="48" t="s">
        <v>29</v>
      </c>
      <c r="O62" s="48">
        <v>8900</v>
      </c>
      <c r="P62" s="48">
        <v>21648</v>
      </c>
      <c r="Q62" s="48">
        <v>435</v>
      </c>
      <c r="R62" s="48" t="s">
        <v>29</v>
      </c>
      <c r="S62" s="48">
        <f t="shared" si="5"/>
        <v>30983</v>
      </c>
    </row>
    <row r="63" spans="1:19" x14ac:dyDescent="0.2">
      <c r="A63" s="364">
        <v>1986</v>
      </c>
      <c r="B63" s="48" t="s">
        <v>29</v>
      </c>
      <c r="C63" s="48" t="s">
        <v>29</v>
      </c>
      <c r="D63" s="48">
        <v>0</v>
      </c>
      <c r="E63" s="48">
        <v>46</v>
      </c>
      <c r="F63" s="48">
        <v>245</v>
      </c>
      <c r="G63" s="48">
        <v>177</v>
      </c>
      <c r="H63" s="48" t="s">
        <v>116</v>
      </c>
      <c r="I63" s="48" t="s">
        <v>116</v>
      </c>
      <c r="J63" s="48" t="s">
        <v>116</v>
      </c>
      <c r="K63" s="48">
        <f t="shared" si="4"/>
        <v>468</v>
      </c>
      <c r="M63" s="48">
        <v>0</v>
      </c>
      <c r="N63" s="48">
        <v>3244</v>
      </c>
      <c r="O63" s="48">
        <v>15239</v>
      </c>
      <c r="P63" s="48">
        <v>5062</v>
      </c>
      <c r="Q63" s="48" t="s">
        <v>29</v>
      </c>
      <c r="R63" s="48" t="s">
        <v>29</v>
      </c>
      <c r="S63" s="48">
        <f t="shared" si="5"/>
        <v>23545</v>
      </c>
    </row>
    <row r="64" spans="1:19" x14ac:dyDescent="0.2">
      <c r="A64" s="364">
        <v>1987</v>
      </c>
      <c r="B64" s="48" t="s">
        <v>29</v>
      </c>
      <c r="C64" s="48" t="s">
        <v>29</v>
      </c>
      <c r="D64" s="48" t="s">
        <v>29</v>
      </c>
      <c r="E64" s="48">
        <v>72</v>
      </c>
      <c r="F64" s="48">
        <v>826</v>
      </c>
      <c r="G64" s="48">
        <v>2015</v>
      </c>
      <c r="H64" s="48">
        <v>631</v>
      </c>
      <c r="I64" s="48" t="s">
        <v>116</v>
      </c>
      <c r="J64" s="48" t="s">
        <v>29</v>
      </c>
      <c r="K64" s="48">
        <f t="shared" si="4"/>
        <v>3544</v>
      </c>
      <c r="M64" s="48" t="s">
        <v>29</v>
      </c>
      <c r="N64" s="48">
        <v>577</v>
      </c>
      <c r="O64" s="48">
        <v>10241</v>
      </c>
      <c r="P64" s="48">
        <v>4944</v>
      </c>
      <c r="Q64" s="48">
        <v>666</v>
      </c>
      <c r="R64" s="48" t="s">
        <v>29</v>
      </c>
      <c r="S64" s="48">
        <f t="shared" si="5"/>
        <v>16428</v>
      </c>
    </row>
    <row r="65" spans="1:19" x14ac:dyDescent="0.2">
      <c r="A65" s="364">
        <v>1988</v>
      </c>
      <c r="B65" s="48" t="s">
        <v>29</v>
      </c>
      <c r="C65" s="48" t="s">
        <v>29</v>
      </c>
      <c r="D65" s="48">
        <v>16</v>
      </c>
      <c r="E65" s="48">
        <v>76</v>
      </c>
      <c r="F65" s="48">
        <v>313</v>
      </c>
      <c r="G65" s="48">
        <v>1295</v>
      </c>
      <c r="H65" s="48">
        <v>1019</v>
      </c>
      <c r="I65" s="48" t="s">
        <v>116</v>
      </c>
      <c r="J65" s="48" t="s">
        <v>29</v>
      </c>
      <c r="K65" s="48">
        <f t="shared" si="4"/>
        <v>2719</v>
      </c>
      <c r="M65" s="48">
        <v>51</v>
      </c>
      <c r="N65" s="48">
        <v>1811</v>
      </c>
      <c r="O65" s="48">
        <v>8160</v>
      </c>
      <c r="P65" s="48">
        <v>14172</v>
      </c>
      <c r="Q65" s="48">
        <v>5701</v>
      </c>
      <c r="R65" s="48" t="s">
        <v>29</v>
      </c>
      <c r="S65" s="48">
        <f t="shared" si="5"/>
        <v>29895</v>
      </c>
    </row>
    <row r="66" spans="1:19" x14ac:dyDescent="0.2">
      <c r="A66" s="364">
        <v>1989</v>
      </c>
      <c r="B66" s="48" t="s">
        <v>29</v>
      </c>
      <c r="C66" s="48" t="s">
        <v>29</v>
      </c>
      <c r="D66" s="48">
        <v>13</v>
      </c>
      <c r="E66" s="48">
        <v>85</v>
      </c>
      <c r="F66" s="48">
        <v>327</v>
      </c>
      <c r="G66" s="48">
        <v>431</v>
      </c>
      <c r="H66" s="48">
        <v>14</v>
      </c>
      <c r="I66" s="48" t="s">
        <v>116</v>
      </c>
      <c r="J66" s="48" t="s">
        <v>29</v>
      </c>
      <c r="K66" s="48">
        <f t="shared" si="4"/>
        <v>870</v>
      </c>
      <c r="M66" s="48">
        <v>36</v>
      </c>
      <c r="N66" s="48">
        <v>3443</v>
      </c>
      <c r="O66" s="48">
        <v>19722</v>
      </c>
      <c r="P66" s="48">
        <v>7008</v>
      </c>
      <c r="Q66" s="48">
        <v>114</v>
      </c>
      <c r="R66" s="48" t="s">
        <v>29</v>
      </c>
      <c r="S66" s="48">
        <f t="shared" si="5"/>
        <v>30323</v>
      </c>
    </row>
    <row r="67" spans="1:19" x14ac:dyDescent="0.2">
      <c r="A67" s="364">
        <v>1990</v>
      </c>
      <c r="B67" s="48" t="s">
        <v>29</v>
      </c>
      <c r="C67" s="48" t="s">
        <v>29</v>
      </c>
      <c r="D67" s="48" t="s">
        <v>29</v>
      </c>
      <c r="E67" s="48">
        <v>56</v>
      </c>
      <c r="F67" s="48">
        <v>496</v>
      </c>
      <c r="G67" s="48">
        <v>400</v>
      </c>
      <c r="H67" s="48">
        <v>279</v>
      </c>
      <c r="I67" s="48" t="s">
        <v>116</v>
      </c>
      <c r="J67" s="48" t="s">
        <v>29</v>
      </c>
      <c r="K67" s="48">
        <f t="shared" si="4"/>
        <v>1231</v>
      </c>
      <c r="M67" s="48" t="s">
        <v>29</v>
      </c>
      <c r="N67" s="48">
        <v>890</v>
      </c>
      <c r="O67" s="48">
        <v>8753</v>
      </c>
      <c r="P67" s="48">
        <v>12442</v>
      </c>
      <c r="Q67" s="48">
        <v>827</v>
      </c>
      <c r="R67" s="48" t="s">
        <v>29</v>
      </c>
      <c r="S67" s="48">
        <f t="shared" si="5"/>
        <v>22912</v>
      </c>
    </row>
    <row r="68" spans="1:19" x14ac:dyDescent="0.2">
      <c r="A68" s="364">
        <v>1991</v>
      </c>
      <c r="B68" s="48" t="s">
        <v>29</v>
      </c>
      <c r="C68" s="48" t="s">
        <v>29</v>
      </c>
      <c r="D68" s="48">
        <v>25</v>
      </c>
      <c r="E68" s="48">
        <v>285</v>
      </c>
      <c r="F68" s="48">
        <v>376</v>
      </c>
      <c r="G68" s="48" t="s">
        <v>29</v>
      </c>
      <c r="H68" s="48" t="s">
        <v>29</v>
      </c>
      <c r="I68" s="48" t="s">
        <v>116</v>
      </c>
      <c r="J68" s="48" t="s">
        <v>29</v>
      </c>
      <c r="K68" s="48">
        <f t="shared" si="4"/>
        <v>686</v>
      </c>
      <c r="M68" s="48">
        <v>13</v>
      </c>
      <c r="N68" s="48">
        <v>2521</v>
      </c>
      <c r="O68" s="48">
        <v>23116</v>
      </c>
      <c r="P68" s="48" t="s">
        <v>29</v>
      </c>
      <c r="Q68" s="48" t="s">
        <v>29</v>
      </c>
      <c r="R68" s="48" t="s">
        <v>29</v>
      </c>
      <c r="S68" s="48">
        <f t="shared" si="5"/>
        <v>25650</v>
      </c>
    </row>
    <row r="69" spans="1:19" x14ac:dyDescent="0.2">
      <c r="A69" s="364">
        <v>1992</v>
      </c>
      <c r="B69" s="48" t="s">
        <v>29</v>
      </c>
      <c r="C69" s="48" t="s">
        <v>29</v>
      </c>
      <c r="D69" s="48">
        <v>96</v>
      </c>
      <c r="E69" s="48">
        <v>272</v>
      </c>
      <c r="F69" s="48">
        <v>588</v>
      </c>
      <c r="G69" s="48">
        <v>323</v>
      </c>
      <c r="H69" s="48">
        <v>224</v>
      </c>
      <c r="I69" s="48" t="s">
        <v>116</v>
      </c>
      <c r="J69" s="48" t="s">
        <v>29</v>
      </c>
      <c r="K69" s="48">
        <f t="shared" si="4"/>
        <v>1503</v>
      </c>
      <c r="M69" s="48">
        <v>60</v>
      </c>
      <c r="N69" s="48">
        <v>1848</v>
      </c>
      <c r="O69" s="48">
        <v>11347</v>
      </c>
      <c r="P69" s="48">
        <v>6072</v>
      </c>
      <c r="Q69" s="48">
        <v>1431</v>
      </c>
      <c r="R69" s="48" t="s">
        <v>29</v>
      </c>
      <c r="S69" s="48">
        <f t="shared" si="5"/>
        <v>20758</v>
      </c>
    </row>
    <row r="70" spans="1:19" x14ac:dyDescent="0.2">
      <c r="A70" s="364">
        <v>1993</v>
      </c>
      <c r="B70" s="48" t="s">
        <v>29</v>
      </c>
      <c r="C70" s="48" t="s">
        <v>29</v>
      </c>
      <c r="D70" s="48">
        <v>65</v>
      </c>
      <c r="E70" s="48">
        <v>8</v>
      </c>
      <c r="F70" s="48">
        <v>176</v>
      </c>
      <c r="G70" s="48">
        <v>48</v>
      </c>
      <c r="H70" s="48" t="s">
        <v>29</v>
      </c>
      <c r="I70" s="48" t="s">
        <v>116</v>
      </c>
      <c r="J70" s="48" t="s">
        <v>29</v>
      </c>
      <c r="K70" s="48">
        <f t="shared" si="4"/>
        <v>297</v>
      </c>
      <c r="M70" s="48">
        <v>4</v>
      </c>
      <c r="N70" s="48">
        <v>1</v>
      </c>
      <c r="O70" s="48">
        <v>926</v>
      </c>
      <c r="P70" s="48">
        <v>1392</v>
      </c>
      <c r="Q70" s="48" t="s">
        <v>29</v>
      </c>
      <c r="R70" s="48" t="s">
        <v>29</v>
      </c>
      <c r="S70" s="48">
        <f t="shared" si="5"/>
        <v>2323</v>
      </c>
    </row>
    <row r="71" spans="1:19" x14ac:dyDescent="0.2">
      <c r="A71" s="364">
        <v>1994</v>
      </c>
      <c r="B71" s="48" t="s">
        <v>29</v>
      </c>
      <c r="C71" s="48" t="s">
        <v>29</v>
      </c>
      <c r="D71" s="48">
        <v>59</v>
      </c>
      <c r="E71" s="48">
        <v>135</v>
      </c>
      <c r="F71" s="48" t="s">
        <v>29</v>
      </c>
      <c r="G71" s="48" t="s">
        <v>29</v>
      </c>
      <c r="H71" s="48" t="s">
        <v>29</v>
      </c>
      <c r="I71" s="48">
        <v>2204</v>
      </c>
      <c r="J71" s="48" t="s">
        <v>29</v>
      </c>
      <c r="K71" s="48">
        <f t="shared" si="4"/>
        <v>2398</v>
      </c>
      <c r="M71" s="48" t="s">
        <v>29</v>
      </c>
      <c r="N71" s="48" t="s">
        <v>29</v>
      </c>
      <c r="O71" s="48" t="s">
        <v>29</v>
      </c>
      <c r="P71" s="48" t="s">
        <v>29</v>
      </c>
      <c r="Q71" s="48" t="s">
        <v>29</v>
      </c>
      <c r="R71" s="48" t="s">
        <v>29</v>
      </c>
      <c r="S71" s="48" t="s">
        <v>29</v>
      </c>
    </row>
    <row r="72" spans="1:19" x14ac:dyDescent="0.2">
      <c r="A72" s="364">
        <v>1995</v>
      </c>
      <c r="B72" s="48" t="s">
        <v>29</v>
      </c>
      <c r="C72" s="48" t="s">
        <v>29</v>
      </c>
      <c r="D72" s="48">
        <v>67</v>
      </c>
      <c r="E72" s="48">
        <v>1</v>
      </c>
      <c r="F72" s="48" t="s">
        <v>29</v>
      </c>
      <c r="G72" s="48" t="s">
        <v>29</v>
      </c>
      <c r="H72" s="48">
        <v>114</v>
      </c>
      <c r="I72" s="48">
        <v>269</v>
      </c>
      <c r="J72" s="48">
        <v>84</v>
      </c>
      <c r="K72" s="48">
        <f t="shared" si="4"/>
        <v>535</v>
      </c>
      <c r="M72" s="48" t="s">
        <v>29</v>
      </c>
      <c r="N72" s="48" t="s">
        <v>29</v>
      </c>
      <c r="O72" s="48" t="s">
        <v>29</v>
      </c>
      <c r="P72" s="48" t="s">
        <v>29</v>
      </c>
      <c r="Q72" s="48">
        <v>3</v>
      </c>
      <c r="R72" s="48" t="s">
        <v>29</v>
      </c>
      <c r="S72" s="48">
        <f t="shared" si="5"/>
        <v>3</v>
      </c>
    </row>
    <row r="73" spans="1:19" x14ac:dyDescent="0.2">
      <c r="A73" s="364">
        <v>1996</v>
      </c>
      <c r="B73" s="48" t="s">
        <v>29</v>
      </c>
      <c r="C73" s="48" t="s">
        <v>29</v>
      </c>
      <c r="D73" s="48">
        <v>115</v>
      </c>
      <c r="E73" s="48">
        <v>5</v>
      </c>
      <c r="F73" s="48">
        <v>11</v>
      </c>
      <c r="G73" s="48">
        <v>56</v>
      </c>
      <c r="H73" s="48">
        <v>670</v>
      </c>
      <c r="I73" s="48">
        <v>733</v>
      </c>
      <c r="J73" s="48" t="s">
        <v>29</v>
      </c>
      <c r="K73" s="48">
        <f t="shared" si="4"/>
        <v>1590</v>
      </c>
      <c r="M73" s="48" t="s">
        <v>29</v>
      </c>
      <c r="N73" s="48" t="s">
        <v>29</v>
      </c>
      <c r="O73" s="48" t="s">
        <v>29</v>
      </c>
      <c r="P73" s="48">
        <v>2</v>
      </c>
      <c r="Q73" s="48">
        <v>4</v>
      </c>
      <c r="R73" s="48">
        <v>1</v>
      </c>
      <c r="S73" s="48">
        <f t="shared" si="5"/>
        <v>7</v>
      </c>
    </row>
    <row r="74" spans="1:19" x14ac:dyDescent="0.2">
      <c r="A74" s="364">
        <v>1997</v>
      </c>
      <c r="B74" s="48" t="s">
        <v>29</v>
      </c>
      <c r="C74" s="48">
        <v>0</v>
      </c>
      <c r="D74" s="48">
        <v>0</v>
      </c>
      <c r="E74" s="48">
        <v>4</v>
      </c>
      <c r="F74" s="48">
        <v>2</v>
      </c>
      <c r="G74" s="48">
        <v>15</v>
      </c>
      <c r="H74" s="48">
        <v>154</v>
      </c>
      <c r="I74" s="48">
        <v>287</v>
      </c>
      <c r="J74" s="48" t="s">
        <v>116</v>
      </c>
      <c r="K74" s="48">
        <f t="shared" si="4"/>
        <v>462</v>
      </c>
      <c r="M74" s="48" t="s">
        <v>29</v>
      </c>
      <c r="N74" s="48" t="s">
        <v>29</v>
      </c>
      <c r="O74" s="48">
        <v>1</v>
      </c>
      <c r="P74" s="48" t="s">
        <v>29</v>
      </c>
      <c r="Q74" s="48">
        <v>6</v>
      </c>
      <c r="R74" s="48" t="s">
        <v>29</v>
      </c>
      <c r="S74" s="48">
        <f t="shared" si="5"/>
        <v>7</v>
      </c>
    </row>
    <row r="75" spans="1:19" x14ac:dyDescent="0.2">
      <c r="A75" s="364">
        <v>1998</v>
      </c>
      <c r="B75" s="48" t="s">
        <v>29</v>
      </c>
      <c r="C75" s="48">
        <v>0</v>
      </c>
      <c r="D75" s="48">
        <v>73</v>
      </c>
      <c r="E75" s="48">
        <v>4</v>
      </c>
      <c r="F75" s="48">
        <v>0</v>
      </c>
      <c r="G75" s="48">
        <v>25</v>
      </c>
      <c r="H75" s="48">
        <v>496</v>
      </c>
      <c r="I75" s="48">
        <v>526</v>
      </c>
      <c r="J75" s="48" t="s">
        <v>116</v>
      </c>
      <c r="K75" s="48">
        <f t="shared" si="4"/>
        <v>1124</v>
      </c>
      <c r="M75" s="48" t="s">
        <v>29</v>
      </c>
      <c r="N75" s="48" t="s">
        <v>29</v>
      </c>
      <c r="O75" s="48" t="s">
        <v>29</v>
      </c>
      <c r="P75" s="48">
        <v>19</v>
      </c>
      <c r="Q75" s="48">
        <v>11</v>
      </c>
      <c r="R75" s="48">
        <v>2</v>
      </c>
      <c r="S75" s="48">
        <f t="shared" si="5"/>
        <v>32</v>
      </c>
    </row>
    <row r="76" spans="1:19" x14ac:dyDescent="0.2">
      <c r="A76" s="364">
        <v>1999</v>
      </c>
      <c r="B76" s="48" t="s">
        <v>29</v>
      </c>
      <c r="C76" s="48">
        <v>0</v>
      </c>
      <c r="D76" s="48">
        <v>119</v>
      </c>
      <c r="E76" s="48">
        <v>13</v>
      </c>
      <c r="F76" s="48">
        <v>184</v>
      </c>
      <c r="G76" s="48">
        <v>32</v>
      </c>
      <c r="H76" s="48">
        <v>683</v>
      </c>
      <c r="I76" s="48">
        <v>524</v>
      </c>
      <c r="J76" s="48">
        <v>8</v>
      </c>
      <c r="K76" s="48">
        <f t="shared" si="4"/>
        <v>1563</v>
      </c>
      <c r="M76" s="48" t="s">
        <v>29</v>
      </c>
      <c r="N76" s="48" t="s">
        <v>29</v>
      </c>
      <c r="O76" s="48">
        <v>1007</v>
      </c>
      <c r="P76" s="48">
        <v>2</v>
      </c>
      <c r="Q76" s="48">
        <v>11</v>
      </c>
      <c r="R76" s="48">
        <v>2</v>
      </c>
      <c r="S76" s="48">
        <f t="shared" si="5"/>
        <v>1022</v>
      </c>
    </row>
    <row r="77" spans="1:19" x14ac:dyDescent="0.2">
      <c r="A77" s="364">
        <v>2000</v>
      </c>
      <c r="B77" s="48" t="s">
        <v>29</v>
      </c>
      <c r="C77" s="48">
        <v>2</v>
      </c>
      <c r="D77" s="48">
        <v>45</v>
      </c>
      <c r="E77" s="48">
        <v>23</v>
      </c>
      <c r="F77" s="48">
        <v>130</v>
      </c>
      <c r="G77" s="48">
        <v>29</v>
      </c>
      <c r="H77" s="48">
        <v>506</v>
      </c>
      <c r="I77" s="48">
        <v>402</v>
      </c>
      <c r="J77" s="48">
        <v>63</v>
      </c>
      <c r="K77" s="48">
        <f t="shared" si="4"/>
        <v>1200</v>
      </c>
      <c r="M77" s="48" t="s">
        <v>29</v>
      </c>
      <c r="N77" s="48" t="s">
        <v>29</v>
      </c>
      <c r="O77" s="48">
        <v>1920</v>
      </c>
      <c r="P77" s="48">
        <v>2</v>
      </c>
      <c r="Q77" s="48">
        <v>11</v>
      </c>
      <c r="R77" s="48">
        <v>8</v>
      </c>
      <c r="S77" s="48">
        <f t="shared" si="5"/>
        <v>1941</v>
      </c>
    </row>
    <row r="78" spans="1:19" x14ac:dyDescent="0.2">
      <c r="A78" s="364">
        <v>2001</v>
      </c>
      <c r="B78" s="48" t="s">
        <v>29</v>
      </c>
      <c r="C78" s="48">
        <v>0</v>
      </c>
      <c r="D78" s="48">
        <v>70</v>
      </c>
      <c r="E78" s="48">
        <v>235</v>
      </c>
      <c r="F78" s="48">
        <v>727</v>
      </c>
      <c r="G78" s="48">
        <v>234</v>
      </c>
      <c r="H78" s="48">
        <v>826</v>
      </c>
      <c r="I78" s="48">
        <v>431</v>
      </c>
      <c r="J78" s="48">
        <v>23</v>
      </c>
      <c r="K78" s="48">
        <f t="shared" si="4"/>
        <v>2546</v>
      </c>
      <c r="M78" s="48" t="s">
        <v>29</v>
      </c>
      <c r="N78" s="48">
        <v>3398</v>
      </c>
      <c r="O78" s="48">
        <v>8771</v>
      </c>
      <c r="P78" s="48">
        <v>37</v>
      </c>
      <c r="Q78" s="48">
        <v>69</v>
      </c>
      <c r="R78" s="48">
        <v>22</v>
      </c>
      <c r="S78" s="48">
        <f t="shared" si="5"/>
        <v>12297</v>
      </c>
    </row>
    <row r="79" spans="1:19" x14ac:dyDescent="0.2">
      <c r="A79" s="364">
        <v>2002</v>
      </c>
      <c r="B79" s="48" t="s">
        <v>29</v>
      </c>
      <c r="C79" s="48">
        <v>1</v>
      </c>
      <c r="D79" s="48">
        <v>56</v>
      </c>
      <c r="E79" s="48">
        <v>108</v>
      </c>
      <c r="F79" s="48">
        <v>3170</v>
      </c>
      <c r="G79" s="48">
        <v>2182</v>
      </c>
      <c r="H79" s="48">
        <v>1531</v>
      </c>
      <c r="I79" s="48">
        <v>1735</v>
      </c>
      <c r="J79" s="48">
        <v>0</v>
      </c>
      <c r="K79" s="48">
        <f t="shared" si="4"/>
        <v>8783</v>
      </c>
      <c r="M79" s="48" t="s">
        <v>29</v>
      </c>
      <c r="N79" s="48" t="s">
        <v>29</v>
      </c>
      <c r="O79" s="48">
        <v>4753</v>
      </c>
      <c r="P79" s="48">
        <v>1096</v>
      </c>
      <c r="Q79" s="48">
        <v>41</v>
      </c>
      <c r="R79" s="48">
        <v>22</v>
      </c>
      <c r="S79" s="48">
        <f t="shared" si="5"/>
        <v>5912</v>
      </c>
    </row>
    <row r="80" spans="1:19" x14ac:dyDescent="0.2">
      <c r="A80" s="364">
        <v>2003</v>
      </c>
      <c r="B80" s="282" t="s">
        <v>116</v>
      </c>
      <c r="C80" s="48" t="s">
        <v>29</v>
      </c>
      <c r="D80" s="48">
        <v>54</v>
      </c>
      <c r="E80" s="48">
        <v>439</v>
      </c>
      <c r="F80" s="48">
        <v>1724</v>
      </c>
      <c r="G80" s="48">
        <v>737</v>
      </c>
      <c r="H80" s="48">
        <v>1468</v>
      </c>
      <c r="I80" s="48">
        <v>936</v>
      </c>
      <c r="J80" s="48">
        <v>64</v>
      </c>
      <c r="K80" s="48">
        <f t="shared" si="4"/>
        <v>5422</v>
      </c>
      <c r="M80" s="48">
        <v>2</v>
      </c>
      <c r="N80" s="48">
        <v>1407</v>
      </c>
      <c r="O80" s="48">
        <v>14049</v>
      </c>
      <c r="P80" s="48">
        <v>5705</v>
      </c>
      <c r="Q80" s="48">
        <v>42</v>
      </c>
      <c r="R80" s="48">
        <v>14</v>
      </c>
      <c r="S80" s="48">
        <f t="shared" si="5"/>
        <v>21219</v>
      </c>
    </row>
    <row r="81" spans="1:19" x14ac:dyDescent="0.2">
      <c r="A81" s="364">
        <v>2004</v>
      </c>
      <c r="B81" s="282" t="s">
        <v>116</v>
      </c>
      <c r="C81" s="48">
        <v>5</v>
      </c>
      <c r="D81" s="48">
        <v>40</v>
      </c>
      <c r="E81" s="48">
        <v>501</v>
      </c>
      <c r="F81" s="48">
        <v>3146</v>
      </c>
      <c r="G81" s="48">
        <v>2755</v>
      </c>
      <c r="H81" s="48">
        <v>940</v>
      </c>
      <c r="I81" s="48">
        <v>1409</v>
      </c>
      <c r="J81" s="48">
        <v>69</v>
      </c>
      <c r="K81" s="48">
        <f t="shared" si="4"/>
        <v>8865</v>
      </c>
      <c r="M81" s="48" t="s">
        <v>29</v>
      </c>
      <c r="N81" s="48">
        <v>1305</v>
      </c>
      <c r="O81" s="48">
        <v>8693</v>
      </c>
      <c r="P81" s="48">
        <v>4212</v>
      </c>
      <c r="Q81" s="48">
        <v>175</v>
      </c>
      <c r="R81" s="48">
        <v>23</v>
      </c>
      <c r="S81" s="48">
        <f t="shared" si="5"/>
        <v>14408</v>
      </c>
    </row>
    <row r="82" spans="1:19" x14ac:dyDescent="0.2">
      <c r="A82" s="118">
        <v>2005</v>
      </c>
      <c r="B82" s="282">
        <v>6</v>
      </c>
      <c r="C82" s="48">
        <v>10</v>
      </c>
      <c r="D82" s="48">
        <v>36</v>
      </c>
      <c r="E82" s="48">
        <v>371</v>
      </c>
      <c r="F82" s="48">
        <v>684</v>
      </c>
      <c r="G82" s="48">
        <v>291</v>
      </c>
      <c r="H82" s="48">
        <v>1142</v>
      </c>
      <c r="I82" s="48">
        <v>186</v>
      </c>
      <c r="J82" s="48">
        <v>0</v>
      </c>
      <c r="K82" s="48">
        <f t="shared" si="4"/>
        <v>2726</v>
      </c>
      <c r="M82" s="48" t="s">
        <v>29</v>
      </c>
      <c r="N82" s="48">
        <v>543</v>
      </c>
      <c r="O82" s="48">
        <v>502</v>
      </c>
      <c r="P82" s="48">
        <v>11</v>
      </c>
      <c r="Q82" s="48">
        <v>2</v>
      </c>
      <c r="R82" s="48" t="s">
        <v>29</v>
      </c>
      <c r="S82" s="48">
        <f t="shared" si="5"/>
        <v>1058</v>
      </c>
    </row>
    <row r="83" spans="1:19" x14ac:dyDescent="0.2">
      <c r="A83" s="118">
        <v>2006</v>
      </c>
      <c r="B83" s="280">
        <v>0</v>
      </c>
      <c r="C83" s="280">
        <v>0</v>
      </c>
      <c r="D83" s="280">
        <v>40</v>
      </c>
      <c r="E83" s="280">
        <v>75</v>
      </c>
      <c r="F83" s="280">
        <v>204</v>
      </c>
      <c r="G83" s="280">
        <v>14</v>
      </c>
      <c r="H83" s="280">
        <v>1079</v>
      </c>
      <c r="I83" s="280">
        <v>1944</v>
      </c>
      <c r="J83" s="280">
        <v>49</v>
      </c>
      <c r="K83" s="48">
        <f t="shared" si="4"/>
        <v>3405</v>
      </c>
      <c r="M83" s="280" t="s">
        <v>29</v>
      </c>
      <c r="N83" s="280">
        <v>184</v>
      </c>
      <c r="O83" s="280">
        <v>1055</v>
      </c>
      <c r="P83" s="280" t="s">
        <v>29</v>
      </c>
      <c r="Q83" s="280">
        <v>119</v>
      </c>
      <c r="R83" s="280" t="s">
        <v>29</v>
      </c>
      <c r="S83" s="48">
        <f t="shared" si="5"/>
        <v>1358</v>
      </c>
    </row>
    <row r="84" spans="1:19" s="366" customFormat="1" x14ac:dyDescent="0.2">
      <c r="A84" s="118">
        <v>2007</v>
      </c>
      <c r="B84" s="281" t="s">
        <v>29</v>
      </c>
      <c r="C84" s="281">
        <v>0</v>
      </c>
      <c r="D84" s="281">
        <v>41</v>
      </c>
      <c r="E84" s="281">
        <v>58</v>
      </c>
      <c r="F84" s="281">
        <v>109</v>
      </c>
      <c r="G84" s="281">
        <v>241</v>
      </c>
      <c r="H84" s="281">
        <v>507</v>
      </c>
      <c r="I84" s="281">
        <v>474</v>
      </c>
      <c r="J84" s="183" t="s">
        <v>116</v>
      </c>
      <c r="K84" s="182">
        <f t="shared" si="4"/>
        <v>1430</v>
      </c>
      <c r="L84" s="182"/>
      <c r="M84" s="281">
        <v>2</v>
      </c>
      <c r="N84" s="281">
        <v>1206</v>
      </c>
      <c r="O84" s="281">
        <v>4305</v>
      </c>
      <c r="P84" s="281">
        <v>6926</v>
      </c>
      <c r="Q84" s="281">
        <v>124</v>
      </c>
      <c r="R84" s="281" t="s">
        <v>29</v>
      </c>
      <c r="S84" s="182">
        <f t="shared" si="5"/>
        <v>12563</v>
      </c>
    </row>
    <row r="85" spans="1:19" s="366" customFormat="1" x14ac:dyDescent="0.2">
      <c r="A85" s="118">
        <v>2008</v>
      </c>
      <c r="B85" s="182" t="s">
        <v>29</v>
      </c>
      <c r="C85" s="182" t="s">
        <v>29</v>
      </c>
      <c r="D85" s="182" t="s">
        <v>29</v>
      </c>
      <c r="E85" s="281">
        <v>2</v>
      </c>
      <c r="F85" s="182" t="s">
        <v>29</v>
      </c>
      <c r="G85" s="281">
        <v>3</v>
      </c>
      <c r="H85" s="281">
        <v>262</v>
      </c>
      <c r="I85" s="281">
        <v>201</v>
      </c>
      <c r="J85" s="183" t="s">
        <v>116</v>
      </c>
      <c r="K85" s="182">
        <f t="shared" si="4"/>
        <v>468</v>
      </c>
      <c r="L85" s="182"/>
      <c r="M85" s="281" t="s">
        <v>29</v>
      </c>
      <c r="N85" s="281">
        <v>43</v>
      </c>
      <c r="O85" s="281">
        <v>220</v>
      </c>
      <c r="P85" s="281">
        <v>930</v>
      </c>
      <c r="Q85" s="281">
        <v>45</v>
      </c>
      <c r="R85" s="281">
        <v>3</v>
      </c>
      <c r="S85" s="182">
        <f t="shared" si="5"/>
        <v>1241</v>
      </c>
    </row>
    <row r="86" spans="1:19" s="366" customFormat="1" x14ac:dyDescent="0.2">
      <c r="A86" s="118">
        <v>2009</v>
      </c>
      <c r="B86" s="182" t="s">
        <v>29</v>
      </c>
      <c r="C86" s="182" t="s">
        <v>29</v>
      </c>
      <c r="D86" s="182" t="s">
        <v>29</v>
      </c>
      <c r="E86" s="281">
        <v>4</v>
      </c>
      <c r="F86" s="182">
        <v>23</v>
      </c>
      <c r="G86" s="182">
        <v>20</v>
      </c>
      <c r="H86" s="182">
        <v>92</v>
      </c>
      <c r="I86" s="182">
        <v>226</v>
      </c>
      <c r="J86" s="182" t="s">
        <v>29</v>
      </c>
      <c r="K86" s="182">
        <f t="shared" si="4"/>
        <v>365</v>
      </c>
      <c r="L86" s="182"/>
      <c r="M86" s="281" t="s">
        <v>29</v>
      </c>
      <c r="N86" s="281">
        <v>1141</v>
      </c>
      <c r="O86" s="281">
        <v>12672</v>
      </c>
      <c r="P86" s="281">
        <v>9456</v>
      </c>
      <c r="Q86" s="281">
        <v>310</v>
      </c>
      <c r="R86" s="281">
        <v>6</v>
      </c>
      <c r="S86" s="182">
        <f t="shared" si="5"/>
        <v>23585</v>
      </c>
    </row>
    <row r="87" spans="1:19" s="366" customFormat="1" x14ac:dyDescent="0.2">
      <c r="A87" s="118">
        <v>2010</v>
      </c>
      <c r="B87" s="182" t="s">
        <v>29</v>
      </c>
      <c r="C87" s="182" t="s">
        <v>29</v>
      </c>
      <c r="D87" s="182">
        <v>12</v>
      </c>
      <c r="E87" s="281">
        <v>72</v>
      </c>
      <c r="F87" s="182">
        <v>112</v>
      </c>
      <c r="G87" s="182">
        <v>190</v>
      </c>
      <c r="H87" s="182">
        <v>323</v>
      </c>
      <c r="I87" s="182">
        <v>122</v>
      </c>
      <c r="J87" s="182" t="s">
        <v>29</v>
      </c>
      <c r="K87" s="182">
        <f t="shared" si="4"/>
        <v>831</v>
      </c>
      <c r="L87" s="182"/>
      <c r="M87" s="281" t="s">
        <v>29</v>
      </c>
      <c r="N87" s="281">
        <v>323</v>
      </c>
      <c r="O87" s="281">
        <v>1392</v>
      </c>
      <c r="P87" s="281">
        <v>1390</v>
      </c>
      <c r="Q87" s="281">
        <v>268</v>
      </c>
      <c r="R87" s="281" t="s">
        <v>29</v>
      </c>
      <c r="S87" s="182">
        <f t="shared" si="5"/>
        <v>3373</v>
      </c>
    </row>
    <row r="88" spans="1:19" s="366" customFormat="1" x14ac:dyDescent="0.2">
      <c r="A88" s="118">
        <v>2011</v>
      </c>
      <c r="B88" s="182">
        <v>0</v>
      </c>
      <c r="C88" s="182">
        <v>0</v>
      </c>
      <c r="D88" s="182">
        <v>4</v>
      </c>
      <c r="E88" s="281">
        <v>29</v>
      </c>
      <c r="F88" s="182">
        <v>128</v>
      </c>
      <c r="G88" s="182">
        <v>182</v>
      </c>
      <c r="H88" s="182">
        <v>574</v>
      </c>
      <c r="I88" s="182">
        <v>207</v>
      </c>
      <c r="J88" s="182" t="s">
        <v>29</v>
      </c>
      <c r="K88" s="182">
        <f t="shared" si="4"/>
        <v>1124</v>
      </c>
      <c r="L88" s="182"/>
      <c r="M88" s="281" t="s">
        <v>29</v>
      </c>
      <c r="N88" s="281">
        <v>366</v>
      </c>
      <c r="O88" s="281">
        <v>1535</v>
      </c>
      <c r="P88" s="281">
        <v>1288</v>
      </c>
      <c r="Q88" s="281">
        <v>2532</v>
      </c>
      <c r="R88" s="281" t="s">
        <v>29</v>
      </c>
      <c r="S88" s="182">
        <f t="shared" si="5"/>
        <v>5721</v>
      </c>
    </row>
    <row r="89" spans="1:19" s="366" customFormat="1" x14ac:dyDescent="0.2">
      <c r="A89" s="118">
        <v>2012</v>
      </c>
      <c r="B89" s="182">
        <v>0</v>
      </c>
      <c r="C89" s="182">
        <v>1</v>
      </c>
      <c r="D89" s="182">
        <v>79</v>
      </c>
      <c r="E89" s="281">
        <v>102</v>
      </c>
      <c r="F89" s="182">
        <v>133</v>
      </c>
      <c r="G89" s="182">
        <v>429</v>
      </c>
      <c r="H89" s="182">
        <v>1008</v>
      </c>
      <c r="I89" s="182">
        <v>419</v>
      </c>
      <c r="J89" s="182" t="s">
        <v>29</v>
      </c>
      <c r="K89" s="182">
        <f t="shared" si="4"/>
        <v>2171</v>
      </c>
      <c r="L89" s="182"/>
      <c r="M89" s="281" t="s">
        <v>29</v>
      </c>
      <c r="N89" s="281">
        <v>13</v>
      </c>
      <c r="O89" s="281">
        <v>423</v>
      </c>
      <c r="P89" s="281">
        <v>1302</v>
      </c>
      <c r="Q89" s="281">
        <v>1424</v>
      </c>
      <c r="R89" s="281" t="s">
        <v>29</v>
      </c>
      <c r="S89" s="182">
        <f t="shared" si="5"/>
        <v>3162</v>
      </c>
    </row>
    <row r="90" spans="1:19" s="366" customFormat="1" x14ac:dyDescent="0.2">
      <c r="A90" s="118">
        <v>2013</v>
      </c>
      <c r="B90" s="182">
        <v>0</v>
      </c>
      <c r="C90" s="182">
        <v>21</v>
      </c>
      <c r="D90" s="182">
        <v>28</v>
      </c>
      <c r="E90" s="281">
        <v>82</v>
      </c>
      <c r="F90" s="182">
        <v>189</v>
      </c>
      <c r="G90" s="182">
        <v>156</v>
      </c>
      <c r="H90" s="182">
        <v>709</v>
      </c>
      <c r="I90" s="182">
        <v>712</v>
      </c>
      <c r="J90" s="182" t="s">
        <v>29</v>
      </c>
      <c r="K90" s="182">
        <f t="shared" si="4"/>
        <v>1897</v>
      </c>
      <c r="L90" s="182"/>
      <c r="M90" s="281" t="s">
        <v>29</v>
      </c>
      <c r="N90" s="182" t="s">
        <v>29</v>
      </c>
      <c r="O90" s="281">
        <v>2034</v>
      </c>
      <c r="P90" s="281">
        <v>777</v>
      </c>
      <c r="Q90" s="182">
        <v>812</v>
      </c>
      <c r="R90" s="182">
        <v>12</v>
      </c>
      <c r="S90" s="182">
        <f t="shared" si="5"/>
        <v>3635</v>
      </c>
    </row>
    <row r="91" spans="1:19" s="366" customFormat="1" x14ac:dyDescent="0.2">
      <c r="A91" s="118">
        <v>2014</v>
      </c>
      <c r="B91" s="182">
        <v>0</v>
      </c>
      <c r="C91" s="182">
        <v>0</v>
      </c>
      <c r="D91" s="182">
        <v>84</v>
      </c>
      <c r="E91" s="281">
        <v>16</v>
      </c>
      <c r="F91" s="182">
        <v>385</v>
      </c>
      <c r="G91" s="182">
        <v>236</v>
      </c>
      <c r="H91" s="182">
        <v>703</v>
      </c>
      <c r="I91" s="182">
        <v>111</v>
      </c>
      <c r="J91" s="182" t="s">
        <v>29</v>
      </c>
      <c r="K91" s="182">
        <f t="shared" si="4"/>
        <v>1535</v>
      </c>
      <c r="L91" s="182"/>
      <c r="M91" s="281" t="s">
        <v>29</v>
      </c>
      <c r="N91" s="182">
        <v>641</v>
      </c>
      <c r="O91" s="281">
        <v>10479</v>
      </c>
      <c r="P91" s="281">
        <v>5817</v>
      </c>
      <c r="Q91" s="182">
        <v>9692</v>
      </c>
      <c r="R91" s="182">
        <v>49</v>
      </c>
      <c r="S91" s="182">
        <f t="shared" si="5"/>
        <v>26678</v>
      </c>
    </row>
    <row r="92" spans="1:19" s="366" customFormat="1" x14ac:dyDescent="0.2">
      <c r="A92" s="118">
        <v>2015</v>
      </c>
      <c r="B92" s="182">
        <v>0</v>
      </c>
      <c r="C92" s="182">
        <v>2</v>
      </c>
      <c r="D92" s="182">
        <v>88</v>
      </c>
      <c r="E92" s="281">
        <v>26</v>
      </c>
      <c r="F92" s="182">
        <v>63</v>
      </c>
      <c r="G92" s="182">
        <v>140</v>
      </c>
      <c r="H92" s="182">
        <v>1677</v>
      </c>
      <c r="I92" s="182">
        <v>1437</v>
      </c>
      <c r="J92" s="182" t="s">
        <v>29</v>
      </c>
      <c r="K92" s="182">
        <f t="shared" si="4"/>
        <v>3433</v>
      </c>
      <c r="L92" s="182"/>
      <c r="M92" s="281" t="s">
        <v>29</v>
      </c>
      <c r="N92" s="182">
        <v>37</v>
      </c>
      <c r="O92" s="281">
        <v>2453</v>
      </c>
      <c r="P92" s="281">
        <v>1465</v>
      </c>
      <c r="Q92" s="182">
        <v>1000</v>
      </c>
      <c r="R92" s="182">
        <v>19</v>
      </c>
      <c r="S92" s="182">
        <f t="shared" si="5"/>
        <v>4974</v>
      </c>
    </row>
    <row r="93" spans="1:19" s="366" customFormat="1" x14ac:dyDescent="0.2">
      <c r="A93" s="118">
        <v>2016</v>
      </c>
      <c r="B93" s="182">
        <v>0</v>
      </c>
      <c r="C93" s="182">
        <v>0</v>
      </c>
      <c r="D93" s="182">
        <v>124</v>
      </c>
      <c r="E93" s="281">
        <v>179</v>
      </c>
      <c r="F93" s="182">
        <v>30</v>
      </c>
      <c r="G93" s="182">
        <v>131</v>
      </c>
      <c r="H93" s="182">
        <v>687</v>
      </c>
      <c r="I93" s="182">
        <v>70</v>
      </c>
      <c r="J93" s="182" t="s">
        <v>29</v>
      </c>
      <c r="K93" s="182">
        <f t="shared" si="4"/>
        <v>1221</v>
      </c>
      <c r="L93" s="182"/>
      <c r="M93" s="281" t="s">
        <v>29</v>
      </c>
      <c r="N93" s="182">
        <v>158</v>
      </c>
      <c r="O93" s="281">
        <v>188</v>
      </c>
      <c r="P93" s="281">
        <v>2</v>
      </c>
      <c r="Q93" s="182">
        <v>1426</v>
      </c>
      <c r="R93" s="182">
        <v>22</v>
      </c>
      <c r="S93" s="182">
        <f t="shared" si="5"/>
        <v>1796</v>
      </c>
    </row>
    <row r="94" spans="1:19" s="366" customFormat="1" x14ac:dyDescent="0.2">
      <c r="A94" s="118">
        <v>2017</v>
      </c>
      <c r="B94" s="182">
        <v>0</v>
      </c>
      <c r="C94" s="182">
        <v>0</v>
      </c>
      <c r="D94" s="182">
        <v>76</v>
      </c>
      <c r="E94" s="281">
        <v>80</v>
      </c>
      <c r="F94" s="182">
        <v>89</v>
      </c>
      <c r="G94" s="182">
        <v>141</v>
      </c>
      <c r="H94" s="182">
        <v>424</v>
      </c>
      <c r="I94" s="182">
        <v>35</v>
      </c>
      <c r="J94" s="182" t="s">
        <v>29</v>
      </c>
      <c r="K94" s="182">
        <f t="shared" si="4"/>
        <v>845</v>
      </c>
      <c r="L94" s="182"/>
      <c r="M94" s="281" t="s">
        <v>29</v>
      </c>
      <c r="N94" s="182">
        <v>86</v>
      </c>
      <c r="O94" s="281">
        <v>901</v>
      </c>
      <c r="P94" s="281">
        <v>1440</v>
      </c>
      <c r="Q94" s="182">
        <v>1252</v>
      </c>
      <c r="R94" s="182" t="s">
        <v>29</v>
      </c>
      <c r="S94" s="182">
        <f t="shared" si="5"/>
        <v>3679</v>
      </c>
    </row>
    <row r="95" spans="1:19" s="366" customFormat="1" x14ac:dyDescent="0.2">
      <c r="A95" s="118">
        <v>2018</v>
      </c>
      <c r="B95" s="182">
        <v>0</v>
      </c>
      <c r="C95" s="182">
        <v>4</v>
      </c>
      <c r="D95" s="182">
        <v>19</v>
      </c>
      <c r="E95" s="281">
        <v>28</v>
      </c>
      <c r="F95" s="182">
        <v>66</v>
      </c>
      <c r="G95" s="182">
        <v>366</v>
      </c>
      <c r="H95" s="182">
        <v>160</v>
      </c>
      <c r="I95" s="182">
        <v>63</v>
      </c>
      <c r="J95" s="182" t="s">
        <v>29</v>
      </c>
      <c r="K95" s="182">
        <f>SUM(B95:J95)</f>
        <v>706</v>
      </c>
      <c r="L95" s="182"/>
      <c r="M95" s="281" t="s">
        <v>29</v>
      </c>
      <c r="N95" s="182">
        <v>25</v>
      </c>
      <c r="O95" s="281">
        <v>274</v>
      </c>
      <c r="P95" s="281">
        <v>1652</v>
      </c>
      <c r="Q95" s="182">
        <v>858</v>
      </c>
      <c r="R95" s="182" t="s">
        <v>29</v>
      </c>
      <c r="S95" s="182">
        <f>SUM(M95:R95)</f>
        <v>2809</v>
      </c>
    </row>
    <row r="96" spans="1:19" s="489" customFormat="1" x14ac:dyDescent="0.2">
      <c r="A96" s="118">
        <v>2019</v>
      </c>
      <c r="B96" s="182">
        <v>8</v>
      </c>
      <c r="C96" s="182">
        <v>0</v>
      </c>
      <c r="D96" s="182">
        <v>37</v>
      </c>
      <c r="E96" s="281">
        <v>95</v>
      </c>
      <c r="F96" s="182">
        <v>422</v>
      </c>
      <c r="G96" s="182">
        <v>212</v>
      </c>
      <c r="H96" s="182">
        <v>293</v>
      </c>
      <c r="I96" s="182">
        <v>239</v>
      </c>
      <c r="J96" s="182" t="s">
        <v>29</v>
      </c>
      <c r="K96" s="182">
        <f t="shared" ref="K96" si="6">SUM(B96:J96)</f>
        <v>1306</v>
      </c>
      <c r="L96" s="182"/>
      <c r="M96" s="281" t="s">
        <v>29</v>
      </c>
      <c r="N96" s="182">
        <v>609</v>
      </c>
      <c r="O96" s="281">
        <v>6201</v>
      </c>
      <c r="P96" s="281">
        <v>2749</v>
      </c>
      <c r="Q96" s="182">
        <v>1156</v>
      </c>
      <c r="R96" s="182">
        <v>5</v>
      </c>
      <c r="S96" s="182">
        <f t="shared" ref="S96" si="7">SUM(M96:R96)</f>
        <v>10720</v>
      </c>
    </row>
    <row r="97" spans="1:19" x14ac:dyDescent="0.2">
      <c r="A97" s="118" t="s">
        <v>393</v>
      </c>
      <c r="B97" s="48">
        <v>0</v>
      </c>
      <c r="C97" s="48">
        <v>0</v>
      </c>
      <c r="D97" s="48">
        <v>12</v>
      </c>
      <c r="E97" s="280">
        <v>52</v>
      </c>
      <c r="F97" s="48">
        <v>228</v>
      </c>
      <c r="G97" s="48">
        <v>213</v>
      </c>
      <c r="H97" s="48">
        <v>763</v>
      </c>
      <c r="I97" s="48">
        <v>184</v>
      </c>
      <c r="J97" s="48" t="s">
        <v>29</v>
      </c>
      <c r="K97" s="48">
        <f t="shared" si="4"/>
        <v>1452</v>
      </c>
      <c r="M97" s="280" t="s">
        <v>29</v>
      </c>
      <c r="N97" s="48">
        <v>0</v>
      </c>
      <c r="O97" s="280">
        <v>1059</v>
      </c>
      <c r="P97" s="280">
        <v>1020</v>
      </c>
      <c r="Q97" s="48">
        <v>638</v>
      </c>
      <c r="R97" s="48" t="s">
        <v>29</v>
      </c>
      <c r="S97" s="48">
        <f t="shared" si="5"/>
        <v>2717</v>
      </c>
    </row>
    <row r="99" spans="1:19" x14ac:dyDescent="0.2">
      <c r="A99" s="109" t="s">
        <v>54</v>
      </c>
    </row>
    <row r="100" spans="1:19" x14ac:dyDescent="0.2">
      <c r="A100" s="371">
        <v>1976</v>
      </c>
      <c r="B100" s="48" t="s">
        <v>29</v>
      </c>
      <c r="C100" s="48">
        <v>0</v>
      </c>
      <c r="D100" s="48">
        <v>140</v>
      </c>
      <c r="E100" s="48">
        <v>859</v>
      </c>
      <c r="F100" s="48">
        <v>1051</v>
      </c>
      <c r="G100" s="48">
        <v>1939</v>
      </c>
      <c r="H100" s="48">
        <v>497</v>
      </c>
      <c r="I100" s="48">
        <v>13</v>
      </c>
      <c r="J100" s="48">
        <v>1</v>
      </c>
      <c r="K100" s="48">
        <f t="shared" ref="K100:K144" si="8">SUM(B100:J100)</f>
        <v>4500</v>
      </c>
      <c r="M100" s="48">
        <v>4139</v>
      </c>
      <c r="N100" s="48">
        <v>25777</v>
      </c>
      <c r="O100" s="48">
        <v>30655</v>
      </c>
      <c r="P100" s="48">
        <v>51810</v>
      </c>
      <c r="Q100" s="48">
        <v>4912</v>
      </c>
      <c r="R100" s="48">
        <v>455</v>
      </c>
      <c r="S100" s="48">
        <f t="shared" ref="S100:S144" si="9">SUM(M100:R100)</f>
        <v>117748</v>
      </c>
    </row>
    <row r="101" spans="1:19" x14ac:dyDescent="0.2">
      <c r="A101" s="371">
        <v>1977</v>
      </c>
      <c r="B101" s="48" t="s">
        <v>29</v>
      </c>
      <c r="C101" s="48">
        <v>0</v>
      </c>
      <c r="D101" s="48">
        <v>69</v>
      </c>
      <c r="E101" s="48">
        <v>629</v>
      </c>
      <c r="F101" s="48">
        <v>1129</v>
      </c>
      <c r="G101" s="48">
        <v>463</v>
      </c>
      <c r="H101" s="48">
        <v>223</v>
      </c>
      <c r="I101" s="48">
        <v>59</v>
      </c>
      <c r="J101" s="48" t="s">
        <v>29</v>
      </c>
      <c r="K101" s="48">
        <f t="shared" si="8"/>
        <v>2572</v>
      </c>
      <c r="M101" s="48">
        <v>651</v>
      </c>
      <c r="N101" s="48">
        <v>1840</v>
      </c>
      <c r="O101" s="48">
        <v>14220</v>
      </c>
      <c r="P101" s="48">
        <v>13867</v>
      </c>
      <c r="Q101" s="48">
        <v>1533</v>
      </c>
      <c r="R101" s="48">
        <v>82</v>
      </c>
      <c r="S101" s="48">
        <f t="shared" si="9"/>
        <v>32193</v>
      </c>
    </row>
    <row r="102" spans="1:19" x14ac:dyDescent="0.2">
      <c r="A102" s="371">
        <v>1978</v>
      </c>
      <c r="B102" s="48" t="s">
        <v>29</v>
      </c>
      <c r="C102" s="48">
        <v>0</v>
      </c>
      <c r="D102" s="48">
        <v>72</v>
      </c>
      <c r="E102" s="48">
        <v>213</v>
      </c>
      <c r="F102" s="48">
        <v>915</v>
      </c>
      <c r="G102" s="48">
        <v>835</v>
      </c>
      <c r="H102" s="48">
        <v>11</v>
      </c>
      <c r="I102" s="48">
        <v>22</v>
      </c>
      <c r="J102" s="48" t="s">
        <v>29</v>
      </c>
      <c r="K102" s="48">
        <f t="shared" si="8"/>
        <v>2068</v>
      </c>
      <c r="M102" s="48">
        <v>1092</v>
      </c>
      <c r="N102" s="48">
        <v>13915</v>
      </c>
      <c r="O102" s="48">
        <v>21187</v>
      </c>
      <c r="P102" s="48">
        <v>23677</v>
      </c>
      <c r="Q102" s="48">
        <v>1242</v>
      </c>
      <c r="R102" s="48">
        <v>97</v>
      </c>
      <c r="S102" s="48">
        <f t="shared" si="9"/>
        <v>61210</v>
      </c>
    </row>
    <row r="103" spans="1:19" x14ac:dyDescent="0.2">
      <c r="A103" s="371">
        <v>1979</v>
      </c>
      <c r="B103" s="48" t="s">
        <v>29</v>
      </c>
      <c r="C103" s="48" t="s">
        <v>29</v>
      </c>
      <c r="D103" s="48">
        <v>170</v>
      </c>
      <c r="E103" s="48">
        <v>334</v>
      </c>
      <c r="F103" s="48">
        <v>500</v>
      </c>
      <c r="G103" s="48">
        <v>413</v>
      </c>
      <c r="H103" s="48">
        <v>14</v>
      </c>
      <c r="I103" s="48" t="s">
        <v>29</v>
      </c>
      <c r="J103" s="48" t="s">
        <v>29</v>
      </c>
      <c r="K103" s="48">
        <f t="shared" si="8"/>
        <v>1431</v>
      </c>
      <c r="M103" s="48">
        <v>248</v>
      </c>
      <c r="N103" s="48">
        <v>3688</v>
      </c>
      <c r="O103" s="48">
        <v>18736</v>
      </c>
      <c r="P103" s="48">
        <v>13593</v>
      </c>
      <c r="Q103" s="48">
        <v>10</v>
      </c>
      <c r="R103" s="48" t="s">
        <v>29</v>
      </c>
      <c r="S103" s="48">
        <f t="shared" si="9"/>
        <v>36275</v>
      </c>
    </row>
    <row r="104" spans="1:19" x14ac:dyDescent="0.2">
      <c r="A104" s="371">
        <v>1980</v>
      </c>
      <c r="B104" s="48" t="s">
        <v>29</v>
      </c>
      <c r="C104" s="48" t="s">
        <v>29</v>
      </c>
      <c r="D104" s="48">
        <v>110</v>
      </c>
      <c r="E104" s="48">
        <v>564</v>
      </c>
      <c r="F104" s="48">
        <v>599</v>
      </c>
      <c r="G104" s="48">
        <v>381</v>
      </c>
      <c r="H104" s="48">
        <v>175</v>
      </c>
      <c r="I104" s="48" t="s">
        <v>116</v>
      </c>
      <c r="J104" s="48" t="s">
        <v>29</v>
      </c>
      <c r="K104" s="48">
        <f t="shared" si="8"/>
        <v>1829</v>
      </c>
      <c r="M104" s="48">
        <v>233</v>
      </c>
      <c r="N104" s="48">
        <v>18467</v>
      </c>
      <c r="O104" s="48">
        <v>41485</v>
      </c>
      <c r="P104" s="48">
        <v>10833</v>
      </c>
      <c r="Q104" s="48">
        <v>1366</v>
      </c>
      <c r="R104" s="48" t="s">
        <v>29</v>
      </c>
      <c r="S104" s="48">
        <f t="shared" si="9"/>
        <v>72384</v>
      </c>
    </row>
    <row r="105" spans="1:19" x14ac:dyDescent="0.2">
      <c r="A105" s="371">
        <v>1981</v>
      </c>
      <c r="B105" s="48" t="s">
        <v>29</v>
      </c>
      <c r="C105" s="48" t="s">
        <v>29</v>
      </c>
      <c r="D105" s="48">
        <v>36</v>
      </c>
      <c r="E105" s="48">
        <v>85</v>
      </c>
      <c r="F105" s="48">
        <v>1106</v>
      </c>
      <c r="G105" s="48">
        <v>965</v>
      </c>
      <c r="H105" s="48">
        <v>220</v>
      </c>
      <c r="I105" s="48" t="s">
        <v>29</v>
      </c>
      <c r="J105" s="48" t="s">
        <v>29</v>
      </c>
      <c r="K105" s="48">
        <f t="shared" si="8"/>
        <v>2412</v>
      </c>
      <c r="M105" s="48">
        <v>378</v>
      </c>
      <c r="N105" s="48">
        <v>6261</v>
      </c>
      <c r="O105" s="48">
        <v>20670</v>
      </c>
      <c r="P105" s="48">
        <v>30547</v>
      </c>
      <c r="Q105" s="48">
        <v>3997</v>
      </c>
      <c r="R105" s="48" t="s">
        <v>29</v>
      </c>
      <c r="S105" s="48">
        <f t="shared" si="9"/>
        <v>61853</v>
      </c>
    </row>
    <row r="106" spans="1:19" x14ac:dyDescent="0.2">
      <c r="A106" s="371">
        <v>1982</v>
      </c>
      <c r="B106" s="48" t="s">
        <v>29</v>
      </c>
      <c r="C106" s="48" t="s">
        <v>29</v>
      </c>
      <c r="D106" s="48">
        <v>0</v>
      </c>
      <c r="E106" s="48">
        <v>590</v>
      </c>
      <c r="F106" s="48">
        <v>2905</v>
      </c>
      <c r="G106" s="48">
        <v>0</v>
      </c>
      <c r="H106" s="48">
        <v>0</v>
      </c>
      <c r="I106" s="48" t="s">
        <v>29</v>
      </c>
      <c r="J106" s="48" t="s">
        <v>29</v>
      </c>
      <c r="K106" s="48">
        <f t="shared" si="8"/>
        <v>3495</v>
      </c>
      <c r="M106" s="48">
        <v>0</v>
      </c>
      <c r="N106" s="48">
        <v>3578</v>
      </c>
      <c r="O106" s="48">
        <v>40469</v>
      </c>
      <c r="P106" s="48">
        <v>0</v>
      </c>
      <c r="Q106" s="48" t="s">
        <v>29</v>
      </c>
      <c r="R106" s="48" t="s">
        <v>29</v>
      </c>
      <c r="S106" s="48">
        <f t="shared" si="9"/>
        <v>44047</v>
      </c>
    </row>
    <row r="107" spans="1:19" x14ac:dyDescent="0.2">
      <c r="A107" s="371">
        <v>1983</v>
      </c>
      <c r="B107" s="48" t="s">
        <v>29</v>
      </c>
      <c r="C107" s="48" t="s">
        <v>29</v>
      </c>
      <c r="D107" s="48" t="s">
        <v>29</v>
      </c>
      <c r="E107" s="48">
        <v>356</v>
      </c>
      <c r="F107" s="48">
        <v>784</v>
      </c>
      <c r="G107" s="48">
        <v>304</v>
      </c>
      <c r="H107" s="48">
        <v>164</v>
      </c>
      <c r="I107" s="48" t="s">
        <v>29</v>
      </c>
      <c r="J107" s="48" t="s">
        <v>29</v>
      </c>
      <c r="K107" s="48">
        <f t="shared" si="8"/>
        <v>1608</v>
      </c>
      <c r="M107" s="48" t="s">
        <v>29</v>
      </c>
      <c r="N107" s="48">
        <v>612</v>
      </c>
      <c r="O107" s="48">
        <v>13489</v>
      </c>
      <c r="P107" s="48">
        <v>4273</v>
      </c>
      <c r="Q107" s="48">
        <v>3474</v>
      </c>
      <c r="R107" s="48" t="s">
        <v>29</v>
      </c>
      <c r="S107" s="48">
        <f t="shared" si="9"/>
        <v>21848</v>
      </c>
    </row>
    <row r="108" spans="1:19" x14ac:dyDescent="0.2">
      <c r="A108" s="371">
        <v>1984</v>
      </c>
      <c r="B108" s="48" t="s">
        <v>29</v>
      </c>
      <c r="C108" s="48" t="s">
        <v>29</v>
      </c>
      <c r="D108" s="48" t="s">
        <v>29</v>
      </c>
      <c r="E108" s="48" t="s">
        <v>29</v>
      </c>
      <c r="F108" s="48">
        <v>1086</v>
      </c>
      <c r="G108" s="48">
        <v>823</v>
      </c>
      <c r="H108" s="48">
        <v>13</v>
      </c>
      <c r="I108" s="48" t="s">
        <v>29</v>
      </c>
      <c r="J108" s="48" t="s">
        <v>29</v>
      </c>
      <c r="K108" s="48">
        <f t="shared" si="8"/>
        <v>1922</v>
      </c>
      <c r="M108" s="48" t="s">
        <v>29</v>
      </c>
      <c r="N108" s="48" t="s">
        <v>29</v>
      </c>
      <c r="O108" s="48">
        <v>24744</v>
      </c>
      <c r="P108" s="48">
        <v>15672</v>
      </c>
      <c r="Q108" s="48">
        <v>137</v>
      </c>
      <c r="R108" s="48" t="s">
        <v>29</v>
      </c>
      <c r="S108" s="48">
        <f t="shared" si="9"/>
        <v>40553</v>
      </c>
    </row>
    <row r="109" spans="1:19" x14ac:dyDescent="0.2">
      <c r="A109" s="371">
        <v>1985</v>
      </c>
      <c r="B109" s="48" t="s">
        <v>29</v>
      </c>
      <c r="C109" s="48" t="s">
        <v>29</v>
      </c>
      <c r="D109" s="48" t="s">
        <v>29</v>
      </c>
      <c r="E109" s="48" t="s">
        <v>29</v>
      </c>
      <c r="F109" s="48">
        <v>1427</v>
      </c>
      <c r="G109" s="48">
        <v>2617</v>
      </c>
      <c r="H109" s="48">
        <v>48</v>
      </c>
      <c r="I109" s="48" t="s">
        <v>29</v>
      </c>
      <c r="J109" s="48" t="s">
        <v>29</v>
      </c>
      <c r="K109" s="48">
        <f t="shared" si="8"/>
        <v>4092</v>
      </c>
      <c r="M109" s="48">
        <v>0</v>
      </c>
      <c r="N109" s="48" t="s">
        <v>29</v>
      </c>
      <c r="O109" s="48">
        <v>14874</v>
      </c>
      <c r="P109" s="48">
        <v>45667</v>
      </c>
      <c r="Q109" s="48">
        <v>1356</v>
      </c>
      <c r="R109" s="48" t="s">
        <v>29</v>
      </c>
      <c r="S109" s="48">
        <f t="shared" si="9"/>
        <v>61897</v>
      </c>
    </row>
    <row r="110" spans="1:19" x14ac:dyDescent="0.2">
      <c r="A110" s="364">
        <v>1986</v>
      </c>
      <c r="B110" s="48" t="s">
        <v>29</v>
      </c>
      <c r="C110" s="48" t="s">
        <v>29</v>
      </c>
      <c r="D110" s="48">
        <v>111</v>
      </c>
      <c r="E110" s="48">
        <v>141</v>
      </c>
      <c r="F110" s="48">
        <v>1858</v>
      </c>
      <c r="G110" s="48">
        <v>98</v>
      </c>
      <c r="H110" s="48" t="s">
        <v>29</v>
      </c>
      <c r="I110" s="48" t="s">
        <v>29</v>
      </c>
      <c r="J110" s="48" t="s">
        <v>29</v>
      </c>
      <c r="K110" s="48">
        <f t="shared" si="8"/>
        <v>2208</v>
      </c>
      <c r="M110" s="48">
        <v>1519</v>
      </c>
      <c r="N110" s="48">
        <v>7316</v>
      </c>
      <c r="O110" s="48">
        <v>56169</v>
      </c>
      <c r="P110" s="48">
        <v>13648</v>
      </c>
      <c r="Q110" s="48" t="s">
        <v>29</v>
      </c>
      <c r="R110" s="48" t="s">
        <v>29</v>
      </c>
      <c r="S110" s="48">
        <f t="shared" si="9"/>
        <v>78652</v>
      </c>
    </row>
    <row r="111" spans="1:19" x14ac:dyDescent="0.2">
      <c r="A111" s="364">
        <v>1987</v>
      </c>
      <c r="B111" s="48" t="s">
        <v>29</v>
      </c>
      <c r="C111" s="48" t="s">
        <v>29</v>
      </c>
      <c r="D111" s="48" t="s">
        <v>29</v>
      </c>
      <c r="F111" s="48">
        <v>2390</v>
      </c>
      <c r="G111" s="48">
        <v>2125</v>
      </c>
      <c r="H111" s="48">
        <v>1701</v>
      </c>
      <c r="I111" s="48" t="s">
        <v>29</v>
      </c>
      <c r="J111" s="48" t="s">
        <v>29</v>
      </c>
      <c r="K111" s="48">
        <f t="shared" si="8"/>
        <v>6216</v>
      </c>
      <c r="M111" s="48" t="s">
        <v>29</v>
      </c>
      <c r="N111" s="48">
        <v>1319</v>
      </c>
      <c r="O111" s="48">
        <v>43148</v>
      </c>
      <c r="P111" s="48">
        <v>14479</v>
      </c>
      <c r="Q111" s="48">
        <v>6320</v>
      </c>
      <c r="R111" s="48" t="s">
        <v>29</v>
      </c>
      <c r="S111" s="48">
        <f t="shared" si="9"/>
        <v>65266</v>
      </c>
    </row>
    <row r="112" spans="1:19" x14ac:dyDescent="0.2">
      <c r="A112" s="364">
        <v>1988</v>
      </c>
      <c r="B112" s="48" t="s">
        <v>29</v>
      </c>
      <c r="C112" s="48" t="s">
        <v>29</v>
      </c>
      <c r="D112" s="48">
        <v>68</v>
      </c>
      <c r="E112" s="48">
        <v>789</v>
      </c>
      <c r="F112" s="48">
        <v>2249</v>
      </c>
      <c r="G112" s="48">
        <v>1712</v>
      </c>
      <c r="H112" s="48">
        <v>511</v>
      </c>
      <c r="I112" s="48" t="s">
        <v>29</v>
      </c>
      <c r="J112" s="48" t="s">
        <v>29</v>
      </c>
      <c r="K112" s="48">
        <f t="shared" si="8"/>
        <v>5329</v>
      </c>
      <c r="M112" s="48">
        <v>187</v>
      </c>
      <c r="N112" s="48">
        <v>6388</v>
      </c>
      <c r="O112" s="48">
        <v>45780</v>
      </c>
      <c r="P112" s="48">
        <v>42938</v>
      </c>
      <c r="Q112" s="48">
        <v>5575</v>
      </c>
      <c r="R112" s="48" t="s">
        <v>29</v>
      </c>
      <c r="S112" s="48">
        <f t="shared" si="9"/>
        <v>100868</v>
      </c>
    </row>
    <row r="113" spans="1:19" x14ac:dyDescent="0.2">
      <c r="A113" s="364">
        <v>1989</v>
      </c>
      <c r="B113" s="48" t="s">
        <v>29</v>
      </c>
      <c r="C113" s="48" t="s">
        <v>29</v>
      </c>
      <c r="D113" s="48">
        <v>76</v>
      </c>
      <c r="E113" s="48">
        <v>738</v>
      </c>
      <c r="F113" s="48">
        <v>541</v>
      </c>
      <c r="G113" s="48">
        <v>441</v>
      </c>
      <c r="H113" s="48">
        <v>37</v>
      </c>
      <c r="I113" s="48" t="s">
        <v>29</v>
      </c>
      <c r="J113" s="48" t="s">
        <v>29</v>
      </c>
      <c r="K113" s="48">
        <f t="shared" si="8"/>
        <v>1833</v>
      </c>
      <c r="M113" s="48">
        <v>769</v>
      </c>
      <c r="N113" s="48">
        <v>24192</v>
      </c>
      <c r="O113" s="48">
        <v>47407</v>
      </c>
      <c r="P113" s="48">
        <v>29560</v>
      </c>
      <c r="Q113" s="48">
        <v>579</v>
      </c>
      <c r="R113" s="48" t="s">
        <v>29</v>
      </c>
      <c r="S113" s="48">
        <f t="shared" si="9"/>
        <v>102507</v>
      </c>
    </row>
    <row r="114" spans="1:19" x14ac:dyDescent="0.2">
      <c r="A114" s="364">
        <v>1990</v>
      </c>
      <c r="B114" s="48" t="s">
        <v>29</v>
      </c>
      <c r="C114" s="48" t="s">
        <v>29</v>
      </c>
      <c r="D114" s="48">
        <v>16</v>
      </c>
      <c r="E114" s="48">
        <v>320</v>
      </c>
      <c r="F114" s="48">
        <v>1398</v>
      </c>
      <c r="G114" s="48">
        <v>771</v>
      </c>
      <c r="H114" s="48">
        <v>153</v>
      </c>
      <c r="I114" s="48" t="s">
        <v>29</v>
      </c>
      <c r="J114" s="48" t="s">
        <v>29</v>
      </c>
      <c r="K114" s="48">
        <f t="shared" si="8"/>
        <v>2658</v>
      </c>
      <c r="M114" s="48">
        <v>171</v>
      </c>
      <c r="N114" s="48">
        <v>5848</v>
      </c>
      <c r="O114" s="48">
        <v>37891</v>
      </c>
      <c r="P114" s="48">
        <v>18959</v>
      </c>
      <c r="Q114" s="48">
        <v>1241</v>
      </c>
      <c r="R114" s="48" t="s">
        <v>29</v>
      </c>
      <c r="S114" s="48">
        <f t="shared" si="9"/>
        <v>64110</v>
      </c>
    </row>
    <row r="115" spans="1:19" x14ac:dyDescent="0.2">
      <c r="A115" s="364">
        <v>1991</v>
      </c>
      <c r="B115" s="48" t="s">
        <v>29</v>
      </c>
      <c r="C115" s="48" t="s">
        <v>29</v>
      </c>
      <c r="D115" s="48">
        <v>81</v>
      </c>
      <c r="E115" s="48">
        <v>405</v>
      </c>
      <c r="F115" s="48">
        <v>394</v>
      </c>
      <c r="G115" s="48" t="s">
        <v>29</v>
      </c>
      <c r="H115" s="48" t="s">
        <v>29</v>
      </c>
      <c r="I115" s="48" t="s">
        <v>29</v>
      </c>
      <c r="J115" s="48" t="s">
        <v>29</v>
      </c>
      <c r="K115" s="48">
        <f t="shared" si="8"/>
        <v>880</v>
      </c>
      <c r="M115" s="48">
        <v>59</v>
      </c>
      <c r="N115" s="48">
        <v>15216</v>
      </c>
      <c r="O115" s="48">
        <v>65792</v>
      </c>
      <c r="P115" s="48" t="s">
        <v>29</v>
      </c>
      <c r="Q115" s="48" t="s">
        <v>29</v>
      </c>
      <c r="R115" s="48" t="s">
        <v>29</v>
      </c>
      <c r="S115" s="48">
        <f t="shared" si="9"/>
        <v>81067</v>
      </c>
    </row>
    <row r="116" spans="1:19" x14ac:dyDescent="0.2">
      <c r="A116" s="364">
        <v>1992</v>
      </c>
      <c r="B116" s="48" t="s">
        <v>29</v>
      </c>
      <c r="C116" s="48" t="s">
        <v>29</v>
      </c>
      <c r="D116" s="48">
        <v>82</v>
      </c>
      <c r="E116" s="48">
        <v>282</v>
      </c>
      <c r="F116" s="48">
        <v>2791</v>
      </c>
      <c r="G116" s="48">
        <v>890</v>
      </c>
      <c r="H116" s="48">
        <v>92</v>
      </c>
      <c r="I116" s="48" t="s">
        <v>29</v>
      </c>
      <c r="J116" s="48" t="s">
        <v>29</v>
      </c>
      <c r="K116" s="48">
        <f t="shared" si="8"/>
        <v>4137</v>
      </c>
      <c r="M116" s="48">
        <v>30</v>
      </c>
      <c r="N116" s="48">
        <v>9726</v>
      </c>
      <c r="O116" s="48">
        <v>34661</v>
      </c>
      <c r="P116" s="48">
        <v>16899</v>
      </c>
      <c r="Q116" s="48">
        <v>2230</v>
      </c>
      <c r="R116" s="48" t="s">
        <v>29</v>
      </c>
      <c r="S116" s="48">
        <f t="shared" si="9"/>
        <v>63546</v>
      </c>
    </row>
    <row r="117" spans="1:19" x14ac:dyDescent="0.2">
      <c r="A117" s="364">
        <v>1993</v>
      </c>
      <c r="B117" s="48" t="s">
        <v>29</v>
      </c>
      <c r="C117" s="48" t="s">
        <v>29</v>
      </c>
      <c r="D117" s="48">
        <v>34</v>
      </c>
      <c r="E117" s="48">
        <v>0</v>
      </c>
      <c r="F117" s="48">
        <v>279</v>
      </c>
      <c r="G117" s="48">
        <v>123</v>
      </c>
      <c r="H117" s="48" t="s">
        <v>29</v>
      </c>
      <c r="I117" s="48" t="s">
        <v>29</v>
      </c>
      <c r="J117" s="48" t="s">
        <v>29</v>
      </c>
      <c r="K117" s="48">
        <f t="shared" si="8"/>
        <v>436</v>
      </c>
      <c r="M117" s="48">
        <v>5</v>
      </c>
      <c r="N117" s="48">
        <v>4</v>
      </c>
      <c r="O117" s="48">
        <v>9425</v>
      </c>
      <c r="P117" s="48">
        <v>6950</v>
      </c>
      <c r="Q117" s="48" t="s">
        <v>29</v>
      </c>
      <c r="R117" s="48" t="s">
        <v>29</v>
      </c>
      <c r="S117" s="48">
        <f t="shared" si="9"/>
        <v>16384</v>
      </c>
    </row>
    <row r="118" spans="1:19" x14ac:dyDescent="0.2">
      <c r="A118" s="364">
        <v>1994</v>
      </c>
      <c r="B118" s="48" t="s">
        <v>29</v>
      </c>
      <c r="C118" s="48" t="s">
        <v>29</v>
      </c>
      <c r="D118" s="48">
        <v>5</v>
      </c>
      <c r="E118" s="48">
        <v>0</v>
      </c>
      <c r="F118" s="48" t="s">
        <v>29</v>
      </c>
      <c r="G118" s="48" t="s">
        <v>29</v>
      </c>
      <c r="H118" s="48" t="s">
        <v>29</v>
      </c>
      <c r="I118" s="48" t="s">
        <v>29</v>
      </c>
      <c r="J118" s="48" t="s">
        <v>29</v>
      </c>
      <c r="K118" s="48">
        <f t="shared" si="8"/>
        <v>5</v>
      </c>
      <c r="M118" s="48" t="s">
        <v>29</v>
      </c>
      <c r="N118" s="48" t="s">
        <v>29</v>
      </c>
      <c r="O118" s="48" t="s">
        <v>29</v>
      </c>
      <c r="P118" s="48" t="s">
        <v>29</v>
      </c>
      <c r="Q118" s="48" t="s">
        <v>29</v>
      </c>
      <c r="R118" s="48" t="s">
        <v>29</v>
      </c>
      <c r="S118" s="48" t="s">
        <v>29</v>
      </c>
    </row>
    <row r="119" spans="1:19" x14ac:dyDescent="0.2">
      <c r="A119" s="364">
        <v>1995</v>
      </c>
      <c r="B119" s="48" t="s">
        <v>29</v>
      </c>
      <c r="C119" s="48" t="s">
        <v>29</v>
      </c>
      <c r="D119" s="48">
        <v>17</v>
      </c>
      <c r="E119" s="48">
        <v>26</v>
      </c>
      <c r="F119" s="48" t="s">
        <v>29</v>
      </c>
      <c r="G119" s="48" t="s">
        <v>29</v>
      </c>
      <c r="H119" s="48">
        <v>37</v>
      </c>
      <c r="I119" s="48">
        <v>28</v>
      </c>
      <c r="J119" s="48" t="s">
        <v>29</v>
      </c>
      <c r="K119" s="48">
        <f t="shared" si="8"/>
        <v>108</v>
      </c>
      <c r="M119" s="48" t="s">
        <v>29</v>
      </c>
      <c r="N119" s="48" t="s">
        <v>29</v>
      </c>
      <c r="O119" s="48" t="s">
        <v>29</v>
      </c>
      <c r="P119" s="48" t="s">
        <v>29</v>
      </c>
      <c r="Q119" s="48">
        <v>7</v>
      </c>
      <c r="R119" s="48" t="s">
        <v>29</v>
      </c>
      <c r="S119" s="48">
        <f t="shared" si="9"/>
        <v>7</v>
      </c>
    </row>
    <row r="120" spans="1:19" x14ac:dyDescent="0.2">
      <c r="A120" s="364">
        <v>1996</v>
      </c>
      <c r="B120" s="48" t="s">
        <v>29</v>
      </c>
      <c r="C120" s="48" t="s">
        <v>29</v>
      </c>
      <c r="D120" s="48">
        <v>41</v>
      </c>
      <c r="E120" s="48">
        <v>37</v>
      </c>
      <c r="F120" s="48">
        <v>7</v>
      </c>
      <c r="G120" s="48">
        <v>396</v>
      </c>
      <c r="H120" s="48">
        <v>73</v>
      </c>
      <c r="I120" s="48" t="s">
        <v>29</v>
      </c>
      <c r="J120" s="48" t="s">
        <v>29</v>
      </c>
      <c r="K120" s="48">
        <f t="shared" si="8"/>
        <v>554</v>
      </c>
      <c r="M120" s="48" t="s">
        <v>29</v>
      </c>
      <c r="N120" s="48" t="s">
        <v>29</v>
      </c>
      <c r="O120" s="48" t="s">
        <v>29</v>
      </c>
      <c r="P120" s="48">
        <v>31</v>
      </c>
      <c r="Q120" s="48">
        <v>4</v>
      </c>
      <c r="R120" s="48" t="s">
        <v>29</v>
      </c>
      <c r="S120" s="48">
        <f t="shared" si="9"/>
        <v>35</v>
      </c>
    </row>
    <row r="121" spans="1:19" x14ac:dyDescent="0.2">
      <c r="A121" s="364">
        <v>1997</v>
      </c>
      <c r="B121" s="48" t="s">
        <v>29</v>
      </c>
      <c r="C121" s="48">
        <v>0</v>
      </c>
      <c r="D121" s="48">
        <v>45</v>
      </c>
      <c r="E121" s="48">
        <v>92</v>
      </c>
      <c r="F121" s="48">
        <v>66</v>
      </c>
      <c r="G121" s="48">
        <v>999</v>
      </c>
      <c r="H121" s="48">
        <v>98</v>
      </c>
      <c r="I121" s="48" t="s">
        <v>29</v>
      </c>
      <c r="J121" s="48" t="s">
        <v>29</v>
      </c>
      <c r="K121" s="48">
        <f t="shared" si="8"/>
        <v>1300</v>
      </c>
      <c r="M121" s="48" t="s">
        <v>29</v>
      </c>
      <c r="N121" s="48" t="s">
        <v>29</v>
      </c>
      <c r="O121" s="48" t="s">
        <v>29</v>
      </c>
      <c r="P121" s="48">
        <v>14</v>
      </c>
      <c r="Q121" s="48" t="s">
        <v>29</v>
      </c>
      <c r="R121" s="48" t="s">
        <v>29</v>
      </c>
      <c r="S121" s="48">
        <f t="shared" si="9"/>
        <v>14</v>
      </c>
    </row>
    <row r="122" spans="1:19" x14ac:dyDescent="0.2">
      <c r="A122" s="364">
        <v>1998</v>
      </c>
      <c r="B122" s="48" t="s">
        <v>29</v>
      </c>
      <c r="C122" s="48">
        <v>0</v>
      </c>
      <c r="D122" s="48">
        <v>28</v>
      </c>
      <c r="E122" s="48">
        <v>75</v>
      </c>
      <c r="F122" s="48">
        <v>118</v>
      </c>
      <c r="G122" s="48">
        <v>166</v>
      </c>
      <c r="H122" s="48">
        <v>15</v>
      </c>
      <c r="I122" s="48">
        <v>5</v>
      </c>
      <c r="J122" s="48" t="s">
        <v>29</v>
      </c>
      <c r="K122" s="48">
        <f t="shared" si="8"/>
        <v>407</v>
      </c>
      <c r="M122" s="48" t="s">
        <v>29</v>
      </c>
      <c r="N122" s="48" t="s">
        <v>29</v>
      </c>
      <c r="O122" s="48" t="s">
        <v>29</v>
      </c>
      <c r="P122" s="48">
        <v>61</v>
      </c>
      <c r="Q122" s="48" t="s">
        <v>29</v>
      </c>
      <c r="R122" s="48" t="s">
        <v>29</v>
      </c>
      <c r="S122" s="48">
        <f t="shared" si="9"/>
        <v>61</v>
      </c>
    </row>
    <row r="123" spans="1:19" x14ac:dyDescent="0.2">
      <c r="A123" s="364">
        <v>1999</v>
      </c>
      <c r="B123" s="48" t="s">
        <v>29</v>
      </c>
      <c r="C123" s="48">
        <v>0</v>
      </c>
      <c r="D123" s="48">
        <v>7</v>
      </c>
      <c r="E123" s="48">
        <v>9</v>
      </c>
      <c r="F123" s="48">
        <v>276</v>
      </c>
      <c r="G123" s="48">
        <v>29</v>
      </c>
      <c r="H123" s="48">
        <v>9</v>
      </c>
      <c r="I123" s="48">
        <v>3</v>
      </c>
      <c r="J123" s="48" t="s">
        <v>29</v>
      </c>
      <c r="K123" s="48">
        <f t="shared" si="8"/>
        <v>333</v>
      </c>
      <c r="M123" s="48" t="s">
        <v>29</v>
      </c>
      <c r="N123" s="48" t="s">
        <v>29</v>
      </c>
      <c r="O123" s="48">
        <v>3960</v>
      </c>
      <c r="P123" s="48" t="s">
        <v>29</v>
      </c>
      <c r="Q123" s="48" t="s">
        <v>29</v>
      </c>
      <c r="R123" s="48" t="s">
        <v>29</v>
      </c>
      <c r="S123" s="48">
        <f t="shared" si="9"/>
        <v>3960</v>
      </c>
    </row>
    <row r="124" spans="1:19" x14ac:dyDescent="0.2">
      <c r="A124" s="364">
        <v>2000</v>
      </c>
      <c r="B124" s="48" t="s">
        <v>29</v>
      </c>
      <c r="C124" s="48">
        <v>0</v>
      </c>
      <c r="D124" s="48">
        <v>9</v>
      </c>
      <c r="E124" s="48">
        <v>5</v>
      </c>
      <c r="F124" s="48">
        <v>842</v>
      </c>
      <c r="G124" s="48">
        <v>452</v>
      </c>
      <c r="H124" s="48">
        <v>279</v>
      </c>
      <c r="I124" s="48">
        <v>2</v>
      </c>
      <c r="J124" s="48" t="s">
        <v>29</v>
      </c>
      <c r="K124" s="48">
        <f t="shared" si="8"/>
        <v>1589</v>
      </c>
      <c r="M124" s="48" t="s">
        <v>29</v>
      </c>
      <c r="N124" s="48" t="s">
        <v>29</v>
      </c>
      <c r="O124" s="48">
        <v>12341</v>
      </c>
      <c r="P124" s="48">
        <v>12</v>
      </c>
      <c r="Q124" s="48">
        <v>9</v>
      </c>
      <c r="R124" s="48" t="s">
        <v>29</v>
      </c>
      <c r="S124" s="48">
        <f t="shared" si="9"/>
        <v>12362</v>
      </c>
    </row>
    <row r="125" spans="1:19" x14ac:dyDescent="0.2">
      <c r="A125" s="364">
        <v>2001</v>
      </c>
      <c r="B125" s="48" t="s">
        <v>29</v>
      </c>
      <c r="C125" s="48">
        <v>0</v>
      </c>
      <c r="D125" s="48">
        <v>70</v>
      </c>
      <c r="E125" s="48">
        <v>362</v>
      </c>
      <c r="F125" s="48">
        <v>1541</v>
      </c>
      <c r="G125" s="48">
        <v>2324</v>
      </c>
      <c r="H125" s="48">
        <v>858</v>
      </c>
      <c r="I125" s="48">
        <v>160</v>
      </c>
      <c r="J125" s="48" t="s">
        <v>29</v>
      </c>
      <c r="K125" s="48">
        <f t="shared" si="8"/>
        <v>5315</v>
      </c>
      <c r="M125" s="48">
        <v>2</v>
      </c>
      <c r="N125" s="48">
        <v>7803</v>
      </c>
      <c r="O125" s="48">
        <v>15631</v>
      </c>
      <c r="P125" s="48">
        <v>16</v>
      </c>
      <c r="Q125" s="48">
        <v>3</v>
      </c>
      <c r="R125" s="48" t="s">
        <v>29</v>
      </c>
      <c r="S125" s="48">
        <f t="shared" si="9"/>
        <v>23455</v>
      </c>
    </row>
    <row r="126" spans="1:19" x14ac:dyDescent="0.2">
      <c r="A126" s="364">
        <v>2002</v>
      </c>
      <c r="B126" s="48" t="s">
        <v>29</v>
      </c>
      <c r="C126" s="48">
        <v>14</v>
      </c>
      <c r="D126" s="48">
        <v>37</v>
      </c>
      <c r="E126" s="48">
        <v>196</v>
      </c>
      <c r="F126" s="48">
        <v>3269</v>
      </c>
      <c r="G126" s="48">
        <v>1031</v>
      </c>
      <c r="H126" s="48">
        <v>1179</v>
      </c>
      <c r="I126" s="48">
        <v>804</v>
      </c>
      <c r="J126" s="48" t="s">
        <v>29</v>
      </c>
      <c r="K126" s="48">
        <f t="shared" si="8"/>
        <v>6530</v>
      </c>
      <c r="M126" s="48" t="s">
        <v>29</v>
      </c>
      <c r="N126" s="48" t="s">
        <v>29</v>
      </c>
      <c r="O126" s="48">
        <v>9819</v>
      </c>
      <c r="P126" s="48">
        <v>933</v>
      </c>
      <c r="Q126" s="48">
        <v>22</v>
      </c>
      <c r="R126" s="48">
        <v>2</v>
      </c>
      <c r="S126" s="48">
        <f t="shared" si="9"/>
        <v>10776</v>
      </c>
    </row>
    <row r="127" spans="1:19" x14ac:dyDescent="0.2">
      <c r="A127" s="364">
        <v>2003</v>
      </c>
      <c r="B127" s="282" t="s">
        <v>116</v>
      </c>
      <c r="C127" s="48">
        <v>1</v>
      </c>
      <c r="D127" s="48">
        <v>95</v>
      </c>
      <c r="E127" s="48">
        <v>871</v>
      </c>
      <c r="F127" s="48">
        <v>6939</v>
      </c>
      <c r="G127" s="48">
        <v>3049</v>
      </c>
      <c r="H127" s="48">
        <v>1126</v>
      </c>
      <c r="I127" s="48">
        <v>334</v>
      </c>
      <c r="J127" s="48" t="s">
        <v>29</v>
      </c>
      <c r="K127" s="48">
        <f t="shared" si="8"/>
        <v>12415</v>
      </c>
      <c r="M127" s="48" t="s">
        <v>29</v>
      </c>
      <c r="N127" s="48">
        <v>2694</v>
      </c>
      <c r="O127" s="48">
        <v>21419</v>
      </c>
      <c r="P127" s="48">
        <v>14419</v>
      </c>
      <c r="Q127" s="48" t="s">
        <v>29</v>
      </c>
      <c r="R127" s="48" t="s">
        <v>29</v>
      </c>
      <c r="S127" s="48">
        <f t="shared" si="9"/>
        <v>38532</v>
      </c>
    </row>
    <row r="128" spans="1:19" x14ac:dyDescent="0.2">
      <c r="A128" s="364">
        <v>2004</v>
      </c>
      <c r="B128" s="282" t="s">
        <v>116</v>
      </c>
      <c r="C128" s="48">
        <v>17</v>
      </c>
      <c r="D128" s="48">
        <v>83</v>
      </c>
      <c r="E128" s="48">
        <v>554</v>
      </c>
      <c r="F128" s="48">
        <v>6931</v>
      </c>
      <c r="G128" s="48">
        <v>8225</v>
      </c>
      <c r="H128" s="48">
        <v>1507</v>
      </c>
      <c r="I128" s="48">
        <v>485</v>
      </c>
      <c r="J128" s="48" t="s">
        <v>29</v>
      </c>
      <c r="K128" s="48">
        <f t="shared" si="8"/>
        <v>17802</v>
      </c>
      <c r="M128" s="48" t="s">
        <v>29</v>
      </c>
      <c r="N128" s="48">
        <v>2707</v>
      </c>
      <c r="O128" s="48">
        <v>13981</v>
      </c>
      <c r="P128" s="48">
        <v>6625</v>
      </c>
      <c r="Q128" s="48">
        <v>207</v>
      </c>
      <c r="R128" s="48" t="s">
        <v>29</v>
      </c>
      <c r="S128" s="48">
        <f t="shared" si="9"/>
        <v>23520</v>
      </c>
    </row>
    <row r="129" spans="1:19" x14ac:dyDescent="0.2">
      <c r="A129" s="118">
        <v>2005</v>
      </c>
      <c r="B129" s="282">
        <v>0</v>
      </c>
      <c r="C129" s="48">
        <v>94</v>
      </c>
      <c r="D129" s="48">
        <v>109</v>
      </c>
      <c r="E129" s="48">
        <v>392</v>
      </c>
      <c r="F129" s="48">
        <v>463</v>
      </c>
      <c r="G129" s="48">
        <v>1000</v>
      </c>
      <c r="H129" s="48">
        <v>2556</v>
      </c>
      <c r="I129" s="48">
        <v>92</v>
      </c>
      <c r="J129" s="48" t="s">
        <v>29</v>
      </c>
      <c r="K129" s="48">
        <f t="shared" si="8"/>
        <v>4706</v>
      </c>
      <c r="M129" s="48" t="s">
        <v>29</v>
      </c>
      <c r="N129" s="280">
        <v>659</v>
      </c>
      <c r="O129" s="280">
        <v>376</v>
      </c>
      <c r="P129" s="280">
        <v>18</v>
      </c>
      <c r="Q129" s="280">
        <v>84</v>
      </c>
      <c r="R129" s="48" t="s">
        <v>29</v>
      </c>
      <c r="S129" s="48">
        <f t="shared" si="9"/>
        <v>1137</v>
      </c>
    </row>
    <row r="130" spans="1:19" x14ac:dyDescent="0.2">
      <c r="A130" s="118">
        <v>2006</v>
      </c>
      <c r="B130" s="283">
        <v>2</v>
      </c>
      <c r="C130" s="280">
        <v>1</v>
      </c>
      <c r="D130" s="280">
        <v>17</v>
      </c>
      <c r="E130" s="280">
        <v>77</v>
      </c>
      <c r="F130" s="280">
        <v>326</v>
      </c>
      <c r="G130" s="280">
        <v>41</v>
      </c>
      <c r="H130" s="280">
        <v>128</v>
      </c>
      <c r="I130" s="280">
        <v>80</v>
      </c>
      <c r="J130" s="280" t="s">
        <v>29</v>
      </c>
      <c r="K130" s="48">
        <f t="shared" si="8"/>
        <v>672</v>
      </c>
      <c r="M130" s="48" t="s">
        <v>29</v>
      </c>
      <c r="N130" s="280">
        <v>101</v>
      </c>
      <c r="O130" s="280">
        <v>3970</v>
      </c>
      <c r="P130" s="280">
        <v>10</v>
      </c>
      <c r="Q130" s="280">
        <v>473</v>
      </c>
      <c r="R130" s="48" t="s">
        <v>29</v>
      </c>
      <c r="S130" s="48">
        <f t="shared" si="9"/>
        <v>4554</v>
      </c>
    </row>
    <row r="131" spans="1:19" s="366" customFormat="1" x14ac:dyDescent="0.2">
      <c r="A131" s="118">
        <v>2007</v>
      </c>
      <c r="B131" s="284">
        <v>1</v>
      </c>
      <c r="C131" s="281">
        <v>0</v>
      </c>
      <c r="D131" s="281">
        <v>13</v>
      </c>
      <c r="E131" s="281">
        <v>82</v>
      </c>
      <c r="F131" s="281">
        <v>150</v>
      </c>
      <c r="G131" s="281">
        <v>163</v>
      </c>
      <c r="H131" s="281">
        <v>28</v>
      </c>
      <c r="I131" s="281">
        <v>0</v>
      </c>
      <c r="J131" s="281">
        <v>16</v>
      </c>
      <c r="K131" s="182">
        <f t="shared" si="8"/>
        <v>453</v>
      </c>
      <c r="L131" s="182"/>
      <c r="M131" s="182" t="s">
        <v>29</v>
      </c>
      <c r="N131" s="281">
        <v>2715</v>
      </c>
      <c r="O131" s="281">
        <v>6516</v>
      </c>
      <c r="P131" s="281">
        <v>5982</v>
      </c>
      <c r="Q131" s="281">
        <v>175</v>
      </c>
      <c r="R131" s="182" t="s">
        <v>29</v>
      </c>
      <c r="S131" s="182">
        <f t="shared" si="9"/>
        <v>15388</v>
      </c>
    </row>
    <row r="132" spans="1:19" s="366" customFormat="1" x14ac:dyDescent="0.2">
      <c r="A132" s="118">
        <v>2008</v>
      </c>
      <c r="B132" s="182" t="s">
        <v>29</v>
      </c>
      <c r="C132" s="182" t="s">
        <v>29</v>
      </c>
      <c r="D132" s="182" t="s">
        <v>29</v>
      </c>
      <c r="E132" s="182" t="s">
        <v>29</v>
      </c>
      <c r="F132" s="281">
        <v>3</v>
      </c>
      <c r="G132" s="182" t="s">
        <v>29</v>
      </c>
      <c r="H132" s="182" t="s">
        <v>29</v>
      </c>
      <c r="I132" s="182" t="s">
        <v>29</v>
      </c>
      <c r="J132" s="182" t="s">
        <v>29</v>
      </c>
      <c r="K132" s="182">
        <f t="shared" si="8"/>
        <v>3</v>
      </c>
      <c r="L132" s="182"/>
      <c r="M132" s="182" t="s">
        <v>29</v>
      </c>
      <c r="N132" s="281">
        <v>106</v>
      </c>
      <c r="O132" s="281">
        <v>865</v>
      </c>
      <c r="P132" s="281">
        <v>1820</v>
      </c>
      <c r="Q132" s="182" t="s">
        <v>29</v>
      </c>
      <c r="R132" s="182" t="s">
        <v>29</v>
      </c>
      <c r="S132" s="182">
        <f t="shared" si="9"/>
        <v>2791</v>
      </c>
    </row>
    <row r="133" spans="1:19" s="366" customFormat="1" x14ac:dyDescent="0.2">
      <c r="A133" s="118">
        <v>2009</v>
      </c>
      <c r="B133" s="182" t="s">
        <v>29</v>
      </c>
      <c r="C133" s="182" t="s">
        <v>29</v>
      </c>
      <c r="D133" s="182" t="s">
        <v>29</v>
      </c>
      <c r="E133" s="182">
        <v>2</v>
      </c>
      <c r="F133" s="281">
        <v>6</v>
      </c>
      <c r="G133" s="182">
        <v>25</v>
      </c>
      <c r="H133" s="182" t="s">
        <v>29</v>
      </c>
      <c r="I133" s="182" t="s">
        <v>29</v>
      </c>
      <c r="J133" s="182" t="s">
        <v>29</v>
      </c>
      <c r="K133" s="182">
        <f t="shared" si="8"/>
        <v>33</v>
      </c>
      <c r="L133" s="182"/>
      <c r="M133" s="182" t="s">
        <v>29</v>
      </c>
      <c r="N133" s="281">
        <v>2564</v>
      </c>
      <c r="O133" s="281">
        <v>17733</v>
      </c>
      <c r="P133" s="281">
        <v>14694</v>
      </c>
      <c r="Q133" s="182">
        <v>447</v>
      </c>
      <c r="R133" s="182" t="s">
        <v>29</v>
      </c>
      <c r="S133" s="182">
        <f t="shared" si="9"/>
        <v>35438</v>
      </c>
    </row>
    <row r="134" spans="1:19" s="366" customFormat="1" x14ac:dyDescent="0.2">
      <c r="A134" s="118">
        <v>2010</v>
      </c>
      <c r="B134" s="182" t="s">
        <v>29</v>
      </c>
      <c r="C134" s="182" t="s">
        <v>29</v>
      </c>
      <c r="D134" s="182">
        <v>55</v>
      </c>
      <c r="E134" s="182">
        <v>52</v>
      </c>
      <c r="F134" s="281">
        <v>135</v>
      </c>
      <c r="G134" s="182">
        <v>474</v>
      </c>
      <c r="H134" s="182">
        <v>88</v>
      </c>
      <c r="I134" s="182" t="s">
        <v>29</v>
      </c>
      <c r="J134" s="182" t="s">
        <v>29</v>
      </c>
      <c r="K134" s="182">
        <f t="shared" si="8"/>
        <v>804</v>
      </c>
      <c r="L134" s="182"/>
      <c r="M134" s="182" t="s">
        <v>29</v>
      </c>
      <c r="N134" s="281">
        <v>27</v>
      </c>
      <c r="O134" s="281">
        <v>551</v>
      </c>
      <c r="P134" s="281">
        <v>6283</v>
      </c>
      <c r="Q134" s="182">
        <v>966</v>
      </c>
      <c r="R134" s="182" t="s">
        <v>29</v>
      </c>
      <c r="S134" s="182">
        <f t="shared" si="9"/>
        <v>7827</v>
      </c>
    </row>
    <row r="135" spans="1:19" s="366" customFormat="1" x14ac:dyDescent="0.2">
      <c r="A135" s="118">
        <v>2011</v>
      </c>
      <c r="B135" s="182">
        <v>0</v>
      </c>
      <c r="C135" s="182">
        <v>6</v>
      </c>
      <c r="D135" s="182">
        <v>21</v>
      </c>
      <c r="E135" s="182">
        <v>44</v>
      </c>
      <c r="F135" s="281">
        <v>111</v>
      </c>
      <c r="G135" s="182">
        <v>52</v>
      </c>
      <c r="H135" s="182">
        <v>234</v>
      </c>
      <c r="I135" s="182" t="s">
        <v>29</v>
      </c>
      <c r="J135" s="182" t="s">
        <v>29</v>
      </c>
      <c r="K135" s="182">
        <f t="shared" si="8"/>
        <v>468</v>
      </c>
      <c r="L135" s="182"/>
      <c r="M135" s="182" t="s">
        <v>29</v>
      </c>
      <c r="N135" s="281">
        <v>179</v>
      </c>
      <c r="O135" s="281">
        <v>1703</v>
      </c>
      <c r="P135" s="281">
        <v>385</v>
      </c>
      <c r="Q135" s="182">
        <v>3680</v>
      </c>
      <c r="R135" s="182" t="s">
        <v>29</v>
      </c>
      <c r="S135" s="182">
        <f t="shared" si="9"/>
        <v>5947</v>
      </c>
    </row>
    <row r="136" spans="1:19" s="366" customFormat="1" x14ac:dyDescent="0.2">
      <c r="A136" s="118">
        <v>2012</v>
      </c>
      <c r="B136" s="182">
        <v>21</v>
      </c>
      <c r="C136" s="182">
        <v>95</v>
      </c>
      <c r="D136" s="182">
        <v>60</v>
      </c>
      <c r="E136" s="182">
        <v>56</v>
      </c>
      <c r="F136" s="281">
        <v>223</v>
      </c>
      <c r="G136" s="182">
        <v>481</v>
      </c>
      <c r="H136" s="182">
        <v>1034</v>
      </c>
      <c r="I136" s="182">
        <v>27</v>
      </c>
      <c r="J136" s="182" t="s">
        <v>29</v>
      </c>
      <c r="K136" s="182">
        <f t="shared" si="8"/>
        <v>1997</v>
      </c>
      <c r="L136" s="182"/>
      <c r="M136" s="182" t="s">
        <v>29</v>
      </c>
      <c r="N136" s="281">
        <v>11</v>
      </c>
      <c r="O136" s="281">
        <v>1046</v>
      </c>
      <c r="P136" s="281">
        <v>2796</v>
      </c>
      <c r="Q136" s="182">
        <v>4727</v>
      </c>
      <c r="R136" s="182" t="s">
        <v>29</v>
      </c>
      <c r="S136" s="182">
        <f t="shared" si="9"/>
        <v>8580</v>
      </c>
    </row>
    <row r="137" spans="1:19" s="366" customFormat="1" x14ac:dyDescent="0.2">
      <c r="A137" s="118">
        <v>2013</v>
      </c>
      <c r="B137" s="182">
        <v>231</v>
      </c>
      <c r="C137" s="182">
        <v>123</v>
      </c>
      <c r="D137" s="182">
        <v>28</v>
      </c>
      <c r="E137" s="182">
        <v>126</v>
      </c>
      <c r="F137" s="281">
        <v>498</v>
      </c>
      <c r="G137" s="182">
        <v>251</v>
      </c>
      <c r="H137" s="182">
        <v>305</v>
      </c>
      <c r="I137" s="182">
        <v>76</v>
      </c>
      <c r="J137" s="182" t="s">
        <v>29</v>
      </c>
      <c r="K137" s="182">
        <f t="shared" si="8"/>
        <v>1638</v>
      </c>
      <c r="L137" s="182"/>
      <c r="M137" s="182" t="s">
        <v>29</v>
      </c>
      <c r="N137" s="182" t="s">
        <v>29</v>
      </c>
      <c r="O137" s="281">
        <v>2648</v>
      </c>
      <c r="P137" s="281">
        <v>1779</v>
      </c>
      <c r="Q137" s="182">
        <v>1517</v>
      </c>
      <c r="R137" s="182">
        <v>7</v>
      </c>
      <c r="S137" s="182">
        <f t="shared" si="9"/>
        <v>5951</v>
      </c>
    </row>
    <row r="138" spans="1:19" s="366" customFormat="1" x14ac:dyDescent="0.2">
      <c r="A138" s="118">
        <v>2014</v>
      </c>
      <c r="B138" s="182">
        <v>10</v>
      </c>
      <c r="C138" s="182">
        <v>23</v>
      </c>
      <c r="D138" s="182">
        <v>113</v>
      </c>
      <c r="E138" s="182">
        <v>43</v>
      </c>
      <c r="F138" s="281">
        <v>723</v>
      </c>
      <c r="G138" s="182">
        <v>606</v>
      </c>
      <c r="H138" s="182">
        <v>431</v>
      </c>
      <c r="I138" s="182">
        <v>20</v>
      </c>
      <c r="J138" s="182" t="s">
        <v>29</v>
      </c>
      <c r="K138" s="182">
        <f t="shared" si="8"/>
        <v>1969</v>
      </c>
      <c r="L138" s="182"/>
      <c r="M138" s="182" t="s">
        <v>29</v>
      </c>
      <c r="N138" s="182">
        <v>2269</v>
      </c>
      <c r="O138" s="281">
        <v>18001</v>
      </c>
      <c r="P138" s="281">
        <v>11786</v>
      </c>
      <c r="Q138" s="182">
        <v>13547</v>
      </c>
      <c r="R138" s="182" t="s">
        <v>29</v>
      </c>
      <c r="S138" s="182">
        <f t="shared" si="9"/>
        <v>45603</v>
      </c>
    </row>
    <row r="139" spans="1:19" s="366" customFormat="1" x14ac:dyDescent="0.2">
      <c r="A139" s="118">
        <v>2015</v>
      </c>
      <c r="B139" s="182">
        <v>30</v>
      </c>
      <c r="C139" s="182">
        <v>3</v>
      </c>
      <c r="D139" s="182">
        <v>45</v>
      </c>
      <c r="E139" s="182">
        <v>32</v>
      </c>
      <c r="F139" s="281">
        <v>151</v>
      </c>
      <c r="G139" s="182">
        <v>39</v>
      </c>
      <c r="H139" s="182">
        <v>393</v>
      </c>
      <c r="I139" s="182">
        <v>14</v>
      </c>
      <c r="J139" s="182" t="s">
        <v>29</v>
      </c>
      <c r="K139" s="182">
        <f t="shared" si="8"/>
        <v>707</v>
      </c>
      <c r="L139" s="182"/>
      <c r="M139" s="182" t="s">
        <v>29</v>
      </c>
      <c r="N139" s="182">
        <v>213</v>
      </c>
      <c r="O139" s="281">
        <v>6755</v>
      </c>
      <c r="P139" s="281">
        <v>1011</v>
      </c>
      <c r="Q139" s="182">
        <v>1695</v>
      </c>
      <c r="R139" s="182">
        <v>3</v>
      </c>
      <c r="S139" s="182">
        <f t="shared" si="9"/>
        <v>9677</v>
      </c>
    </row>
    <row r="140" spans="1:19" s="366" customFormat="1" x14ac:dyDescent="0.2">
      <c r="A140" s="118">
        <v>2016</v>
      </c>
      <c r="B140" s="182">
        <v>28</v>
      </c>
      <c r="C140" s="182">
        <v>5</v>
      </c>
      <c r="D140" s="182">
        <v>2</v>
      </c>
      <c r="E140" s="182">
        <v>14</v>
      </c>
      <c r="F140" s="281">
        <v>117</v>
      </c>
      <c r="G140" s="182">
        <v>348</v>
      </c>
      <c r="H140" s="182">
        <v>135</v>
      </c>
      <c r="I140" s="182">
        <v>6</v>
      </c>
      <c r="J140" s="182" t="s">
        <v>29</v>
      </c>
      <c r="K140" s="182">
        <f t="shared" si="8"/>
        <v>655</v>
      </c>
      <c r="L140" s="182"/>
      <c r="M140" s="182" t="s">
        <v>29</v>
      </c>
      <c r="N140" s="182">
        <v>29</v>
      </c>
      <c r="O140" s="281">
        <v>582</v>
      </c>
      <c r="P140" s="281">
        <v>18</v>
      </c>
      <c r="Q140" s="182">
        <v>1793</v>
      </c>
      <c r="R140" s="182" t="s">
        <v>29</v>
      </c>
      <c r="S140" s="182">
        <f t="shared" si="9"/>
        <v>2422</v>
      </c>
    </row>
    <row r="141" spans="1:19" s="366" customFormat="1" x14ac:dyDescent="0.2">
      <c r="A141" s="118">
        <v>2017</v>
      </c>
      <c r="B141" s="182">
        <v>0</v>
      </c>
      <c r="C141" s="182">
        <v>0</v>
      </c>
      <c r="D141" s="182">
        <v>6</v>
      </c>
      <c r="E141" s="182">
        <v>31</v>
      </c>
      <c r="F141" s="281">
        <v>207</v>
      </c>
      <c r="G141" s="182">
        <v>467</v>
      </c>
      <c r="H141" s="182">
        <v>47</v>
      </c>
      <c r="I141" s="182">
        <v>4</v>
      </c>
      <c r="J141" s="182" t="s">
        <v>29</v>
      </c>
      <c r="K141" s="182">
        <f t="shared" si="8"/>
        <v>762</v>
      </c>
      <c r="L141" s="182"/>
      <c r="M141" s="182" t="s">
        <v>29</v>
      </c>
      <c r="N141" s="182">
        <v>36</v>
      </c>
      <c r="O141" s="281">
        <v>3419</v>
      </c>
      <c r="P141" s="281">
        <v>1943</v>
      </c>
      <c r="Q141" s="182">
        <v>2192</v>
      </c>
      <c r="R141" s="182" t="s">
        <v>29</v>
      </c>
      <c r="S141" s="182">
        <f t="shared" si="9"/>
        <v>7590</v>
      </c>
    </row>
    <row r="142" spans="1:19" s="366" customFormat="1" x14ac:dyDescent="0.2">
      <c r="A142" s="118">
        <v>2018</v>
      </c>
      <c r="B142" s="182">
        <v>0</v>
      </c>
      <c r="C142" s="182">
        <v>0</v>
      </c>
      <c r="D142" s="182">
        <v>23</v>
      </c>
      <c r="E142" s="182">
        <v>59</v>
      </c>
      <c r="F142" s="281">
        <v>409</v>
      </c>
      <c r="G142" s="182">
        <v>490</v>
      </c>
      <c r="H142" s="182">
        <v>217</v>
      </c>
      <c r="I142" s="182">
        <v>11</v>
      </c>
      <c r="J142" s="182" t="s">
        <v>29</v>
      </c>
      <c r="K142" s="182">
        <f>SUM(B142:J142)</f>
        <v>1209</v>
      </c>
      <c r="L142" s="182"/>
      <c r="M142" s="182" t="s">
        <v>29</v>
      </c>
      <c r="N142" s="182">
        <v>2</v>
      </c>
      <c r="O142" s="281">
        <v>2125</v>
      </c>
      <c r="P142" s="281">
        <v>6042</v>
      </c>
      <c r="Q142" s="182">
        <v>3095</v>
      </c>
      <c r="R142" s="182" t="s">
        <v>29</v>
      </c>
      <c r="S142" s="182">
        <f>SUM(M142:R142)</f>
        <v>11264</v>
      </c>
    </row>
    <row r="143" spans="1:19" s="489" customFormat="1" x14ac:dyDescent="0.2">
      <c r="A143" s="118">
        <v>2019</v>
      </c>
      <c r="B143" s="182">
        <v>2</v>
      </c>
      <c r="C143" s="182">
        <v>3</v>
      </c>
      <c r="D143" s="182">
        <v>66</v>
      </c>
      <c r="E143" s="182">
        <v>348</v>
      </c>
      <c r="F143" s="281">
        <v>1405</v>
      </c>
      <c r="G143" s="182">
        <v>277</v>
      </c>
      <c r="H143" s="182">
        <v>84</v>
      </c>
      <c r="I143" s="182">
        <v>17</v>
      </c>
      <c r="J143" s="182" t="s">
        <v>29</v>
      </c>
      <c r="K143" s="182">
        <f t="shared" ref="K143" si="10">SUM(B143:J143)</f>
        <v>2202</v>
      </c>
      <c r="L143" s="182"/>
      <c r="M143" s="182" t="s">
        <v>29</v>
      </c>
      <c r="N143" s="182">
        <v>1931</v>
      </c>
      <c r="O143" s="281">
        <v>16778</v>
      </c>
      <c r="P143" s="281">
        <v>7594</v>
      </c>
      <c r="Q143" s="182">
        <v>1934</v>
      </c>
      <c r="R143" s="182" t="s">
        <v>29</v>
      </c>
      <c r="S143" s="182">
        <f t="shared" ref="S143" si="11">SUM(M143:R143)</f>
        <v>28237</v>
      </c>
    </row>
    <row r="144" spans="1:19" x14ac:dyDescent="0.2">
      <c r="A144" s="118" t="s">
        <v>393</v>
      </c>
      <c r="B144" s="48">
        <v>0</v>
      </c>
      <c r="C144" s="48">
        <v>4</v>
      </c>
      <c r="D144" s="48">
        <v>19</v>
      </c>
      <c r="E144" s="48">
        <v>37</v>
      </c>
      <c r="F144" s="280">
        <v>1451</v>
      </c>
      <c r="G144" s="48">
        <v>228</v>
      </c>
      <c r="H144" s="48">
        <v>217</v>
      </c>
      <c r="I144" s="48">
        <v>24</v>
      </c>
      <c r="J144" s="182" t="s">
        <v>29</v>
      </c>
      <c r="K144" s="48">
        <f t="shared" si="8"/>
        <v>1980</v>
      </c>
      <c r="M144" s="48" t="s">
        <v>29</v>
      </c>
      <c r="N144" s="48">
        <v>0</v>
      </c>
      <c r="O144" s="280">
        <v>4058</v>
      </c>
      <c r="P144" s="280">
        <v>3305</v>
      </c>
      <c r="Q144" s="48">
        <v>3152</v>
      </c>
      <c r="R144" s="182" t="s">
        <v>29</v>
      </c>
      <c r="S144" s="48">
        <f t="shared" si="9"/>
        <v>10515</v>
      </c>
    </row>
    <row r="146" spans="1:19" x14ac:dyDescent="0.2">
      <c r="A146" s="109" t="s">
        <v>55</v>
      </c>
    </row>
    <row r="147" spans="1:19" x14ac:dyDescent="0.2">
      <c r="A147" s="371">
        <v>1976</v>
      </c>
      <c r="B147" s="48" t="s">
        <v>29</v>
      </c>
      <c r="C147" s="48">
        <v>0</v>
      </c>
      <c r="D147" s="48">
        <v>1171</v>
      </c>
      <c r="E147" s="48">
        <v>2318</v>
      </c>
      <c r="F147" s="48">
        <v>3020</v>
      </c>
      <c r="G147" s="48">
        <v>6307</v>
      </c>
      <c r="H147" s="48">
        <v>1676</v>
      </c>
      <c r="I147" s="48">
        <v>45</v>
      </c>
      <c r="J147" s="48">
        <v>6</v>
      </c>
      <c r="K147" s="48">
        <f t="shared" ref="K147:K191" si="12">SUM(B147:J147)</f>
        <v>14543</v>
      </c>
      <c r="M147" s="48">
        <v>12175</v>
      </c>
      <c r="N147" s="48">
        <v>27882</v>
      </c>
      <c r="O147" s="48">
        <v>65552</v>
      </c>
      <c r="P147" s="48">
        <v>52658</v>
      </c>
      <c r="Q147" s="48">
        <v>5702</v>
      </c>
      <c r="R147" s="48">
        <v>471</v>
      </c>
      <c r="S147" s="48">
        <f t="shared" ref="S147:S191" si="13">SUM(M147:R147)</f>
        <v>164440</v>
      </c>
    </row>
    <row r="148" spans="1:19" x14ac:dyDescent="0.2">
      <c r="A148" s="371">
        <v>1977</v>
      </c>
      <c r="B148" s="48" t="s">
        <v>29</v>
      </c>
      <c r="C148" s="48">
        <v>0</v>
      </c>
      <c r="D148" s="48">
        <v>581</v>
      </c>
      <c r="E148" s="48">
        <v>3539</v>
      </c>
      <c r="F148" s="48">
        <v>5804</v>
      </c>
      <c r="G148" s="48">
        <v>8630</v>
      </c>
      <c r="H148" s="48">
        <v>3633</v>
      </c>
      <c r="I148" s="48">
        <v>173</v>
      </c>
      <c r="J148" s="48">
        <v>41</v>
      </c>
      <c r="K148" s="48">
        <f t="shared" si="12"/>
        <v>22401</v>
      </c>
      <c r="M148" s="48">
        <v>13498</v>
      </c>
      <c r="N148" s="48">
        <v>15860</v>
      </c>
      <c r="O148" s="48">
        <v>28030</v>
      </c>
      <c r="P148" s="48">
        <v>11726</v>
      </c>
      <c r="Q148" s="48">
        <v>2985</v>
      </c>
      <c r="R148" s="48">
        <v>204</v>
      </c>
      <c r="S148" s="48">
        <f t="shared" si="13"/>
        <v>72303</v>
      </c>
    </row>
    <row r="149" spans="1:19" x14ac:dyDescent="0.2">
      <c r="A149" s="371">
        <v>1978</v>
      </c>
      <c r="B149" s="48" t="s">
        <v>29</v>
      </c>
      <c r="C149" s="48">
        <v>0</v>
      </c>
      <c r="D149" s="48">
        <v>468</v>
      </c>
      <c r="E149" s="48">
        <v>866</v>
      </c>
      <c r="F149" s="48">
        <v>1051</v>
      </c>
      <c r="G149" s="48">
        <v>1990</v>
      </c>
      <c r="H149" s="48">
        <v>387</v>
      </c>
      <c r="I149" s="48">
        <v>64</v>
      </c>
      <c r="J149" s="48" t="s">
        <v>116</v>
      </c>
      <c r="K149" s="48">
        <f t="shared" si="12"/>
        <v>4826</v>
      </c>
      <c r="M149" s="48">
        <v>3062</v>
      </c>
      <c r="N149" s="48">
        <v>35103</v>
      </c>
      <c r="O149" s="48">
        <v>22336</v>
      </c>
      <c r="P149" s="48">
        <v>17565</v>
      </c>
      <c r="Q149" s="48">
        <v>4726</v>
      </c>
      <c r="R149" s="48">
        <v>120</v>
      </c>
      <c r="S149" s="48">
        <f t="shared" si="13"/>
        <v>82912</v>
      </c>
    </row>
    <row r="150" spans="1:19" x14ac:dyDescent="0.2">
      <c r="A150" s="371">
        <v>1979</v>
      </c>
      <c r="B150" s="48" t="s">
        <v>29</v>
      </c>
      <c r="C150" s="48" t="s">
        <v>29</v>
      </c>
      <c r="D150" s="48">
        <v>176</v>
      </c>
      <c r="E150" s="48">
        <v>2385</v>
      </c>
      <c r="F150" s="48">
        <v>1509</v>
      </c>
      <c r="G150" s="48">
        <v>461</v>
      </c>
      <c r="H150" s="48">
        <v>6</v>
      </c>
      <c r="I150" s="48" t="s">
        <v>29</v>
      </c>
      <c r="J150" s="48" t="s">
        <v>116</v>
      </c>
      <c r="K150" s="48">
        <f t="shared" si="12"/>
        <v>4537</v>
      </c>
      <c r="M150" s="48">
        <v>4912</v>
      </c>
      <c r="N150" s="48">
        <v>22695</v>
      </c>
      <c r="O150" s="48">
        <v>36677</v>
      </c>
      <c r="P150" s="48">
        <v>14644</v>
      </c>
      <c r="Q150" s="48">
        <v>28</v>
      </c>
      <c r="R150" s="48" t="s">
        <v>29</v>
      </c>
      <c r="S150" s="48">
        <f t="shared" si="13"/>
        <v>78956</v>
      </c>
    </row>
    <row r="151" spans="1:19" x14ac:dyDescent="0.2">
      <c r="A151" s="371">
        <v>1980</v>
      </c>
      <c r="B151" s="48" t="s">
        <v>29</v>
      </c>
      <c r="C151" s="48" t="s">
        <v>29</v>
      </c>
      <c r="D151" s="48">
        <v>24</v>
      </c>
      <c r="E151" s="48">
        <v>1434</v>
      </c>
      <c r="F151" s="48">
        <v>2946</v>
      </c>
      <c r="G151" s="48">
        <v>702</v>
      </c>
      <c r="H151" s="48">
        <v>201</v>
      </c>
      <c r="I151" s="48" t="s">
        <v>116</v>
      </c>
      <c r="J151" s="48" t="s">
        <v>116</v>
      </c>
      <c r="K151" s="48">
        <f t="shared" si="12"/>
        <v>5307</v>
      </c>
      <c r="M151" s="48">
        <v>3774</v>
      </c>
      <c r="N151" s="48">
        <v>53596</v>
      </c>
      <c r="O151" s="48">
        <v>70636</v>
      </c>
      <c r="P151" s="48">
        <v>7088</v>
      </c>
      <c r="Q151" s="48">
        <v>783</v>
      </c>
      <c r="R151" s="48" t="s">
        <v>29</v>
      </c>
      <c r="S151" s="48">
        <f t="shared" si="13"/>
        <v>135877</v>
      </c>
    </row>
    <row r="152" spans="1:19" x14ac:dyDescent="0.2">
      <c r="A152" s="371">
        <v>1981</v>
      </c>
      <c r="B152" s="48" t="s">
        <v>29</v>
      </c>
      <c r="C152" s="48" t="s">
        <v>29</v>
      </c>
      <c r="D152" s="48">
        <v>142</v>
      </c>
      <c r="E152" s="48">
        <v>422</v>
      </c>
      <c r="F152" s="48">
        <v>2305</v>
      </c>
      <c r="G152" s="48">
        <v>1270</v>
      </c>
      <c r="H152" s="48">
        <v>316</v>
      </c>
      <c r="I152" s="48" t="s">
        <v>116</v>
      </c>
      <c r="J152" s="48" t="s">
        <v>116</v>
      </c>
      <c r="K152" s="48">
        <f t="shared" si="12"/>
        <v>4455</v>
      </c>
      <c r="M152" s="48">
        <v>6318</v>
      </c>
      <c r="N152" s="48">
        <v>8117</v>
      </c>
      <c r="O152" s="48">
        <v>25054</v>
      </c>
      <c r="P152" s="48">
        <v>16482</v>
      </c>
      <c r="Q152" s="48">
        <v>1677</v>
      </c>
      <c r="R152" s="48" t="s">
        <v>29</v>
      </c>
      <c r="S152" s="48">
        <f t="shared" si="13"/>
        <v>57648</v>
      </c>
    </row>
    <row r="153" spans="1:19" x14ac:dyDescent="0.2">
      <c r="A153" s="371">
        <v>1982</v>
      </c>
      <c r="B153" s="48" t="s">
        <v>29</v>
      </c>
      <c r="C153" s="48" t="s">
        <v>29</v>
      </c>
      <c r="D153" s="48">
        <v>5</v>
      </c>
      <c r="E153" s="48">
        <v>1024</v>
      </c>
      <c r="F153" s="48">
        <v>9059</v>
      </c>
      <c r="G153" s="48">
        <v>0</v>
      </c>
      <c r="H153" s="48">
        <v>0</v>
      </c>
      <c r="I153" s="48" t="s">
        <v>116</v>
      </c>
      <c r="J153" s="48" t="s">
        <v>116</v>
      </c>
      <c r="K153" s="48">
        <f t="shared" si="12"/>
        <v>10088</v>
      </c>
      <c r="M153" s="48">
        <v>0</v>
      </c>
      <c r="N153" s="48">
        <v>12219</v>
      </c>
      <c r="O153" s="48">
        <v>43383</v>
      </c>
      <c r="P153" s="48">
        <v>0</v>
      </c>
      <c r="Q153" s="48" t="s">
        <v>29</v>
      </c>
      <c r="R153" s="48" t="s">
        <v>29</v>
      </c>
      <c r="S153" s="48">
        <f t="shared" si="13"/>
        <v>55602</v>
      </c>
    </row>
    <row r="154" spans="1:19" x14ac:dyDescent="0.2">
      <c r="A154" s="371">
        <v>1983</v>
      </c>
      <c r="B154" s="48" t="s">
        <v>29</v>
      </c>
      <c r="C154" s="48" t="s">
        <v>29</v>
      </c>
      <c r="D154" s="48">
        <v>0</v>
      </c>
      <c r="E154" s="48">
        <v>1316</v>
      </c>
      <c r="F154" s="48">
        <v>2382</v>
      </c>
      <c r="G154" s="48">
        <v>1144</v>
      </c>
      <c r="H154" s="48">
        <v>1741</v>
      </c>
      <c r="I154" s="48" t="s">
        <v>116</v>
      </c>
      <c r="J154" s="48" t="s">
        <v>116</v>
      </c>
      <c r="K154" s="48">
        <f t="shared" si="12"/>
        <v>6583</v>
      </c>
      <c r="M154" s="48" t="s">
        <v>29</v>
      </c>
      <c r="N154" s="48">
        <v>20677</v>
      </c>
      <c r="O154" s="48">
        <v>28308</v>
      </c>
      <c r="P154" s="48">
        <v>9210</v>
      </c>
      <c r="Q154" s="48">
        <v>4459</v>
      </c>
      <c r="R154" s="285" t="s">
        <v>29</v>
      </c>
      <c r="S154" s="48">
        <f t="shared" si="13"/>
        <v>62654</v>
      </c>
    </row>
    <row r="155" spans="1:19" x14ac:dyDescent="0.2">
      <c r="A155" s="371">
        <v>1984</v>
      </c>
      <c r="B155" s="48" t="s">
        <v>29</v>
      </c>
      <c r="C155" s="48" t="s">
        <v>29</v>
      </c>
      <c r="D155" s="48" t="s">
        <v>29</v>
      </c>
      <c r="E155" s="48" t="s">
        <v>29</v>
      </c>
      <c r="F155" s="48">
        <v>2204</v>
      </c>
      <c r="G155" s="48">
        <v>2625</v>
      </c>
      <c r="H155" s="48">
        <v>25</v>
      </c>
      <c r="I155" s="48" t="s">
        <v>116</v>
      </c>
      <c r="J155" s="48" t="s">
        <v>116</v>
      </c>
      <c r="K155" s="48">
        <f t="shared" si="12"/>
        <v>4854</v>
      </c>
      <c r="M155" s="48" t="s">
        <v>29</v>
      </c>
      <c r="N155" s="48" t="s">
        <v>29</v>
      </c>
      <c r="O155" s="48">
        <v>19606</v>
      </c>
      <c r="P155" s="48">
        <v>19685</v>
      </c>
      <c r="Q155" s="48">
        <v>147</v>
      </c>
      <c r="R155" s="48" t="s">
        <v>29</v>
      </c>
      <c r="S155" s="48">
        <f t="shared" si="13"/>
        <v>39438</v>
      </c>
    </row>
    <row r="156" spans="1:19" x14ac:dyDescent="0.2">
      <c r="A156" s="371">
        <v>1985</v>
      </c>
      <c r="B156" s="48" t="s">
        <v>29</v>
      </c>
      <c r="C156" s="48" t="s">
        <v>29</v>
      </c>
      <c r="D156" s="48">
        <v>0</v>
      </c>
      <c r="E156" s="48" t="s">
        <v>29</v>
      </c>
      <c r="F156" s="48">
        <v>4426</v>
      </c>
      <c r="G156" s="48">
        <v>4931</v>
      </c>
      <c r="H156" s="48">
        <v>99</v>
      </c>
      <c r="I156" s="48" t="s">
        <v>116</v>
      </c>
      <c r="J156" s="48" t="s">
        <v>116</v>
      </c>
      <c r="K156" s="48">
        <f t="shared" si="12"/>
        <v>9456</v>
      </c>
      <c r="M156" s="48">
        <v>0</v>
      </c>
      <c r="N156" s="48" t="s">
        <v>29</v>
      </c>
      <c r="O156" s="48">
        <v>30926</v>
      </c>
      <c r="P156" s="48">
        <v>19722</v>
      </c>
      <c r="Q156" s="48">
        <v>514</v>
      </c>
      <c r="R156" s="48" t="s">
        <v>29</v>
      </c>
      <c r="S156" s="48">
        <f t="shared" si="13"/>
        <v>51162</v>
      </c>
    </row>
    <row r="157" spans="1:19" x14ac:dyDescent="0.2">
      <c r="A157" s="364">
        <v>1986</v>
      </c>
      <c r="B157" s="48" t="s">
        <v>29</v>
      </c>
      <c r="C157" s="48" t="s">
        <v>29</v>
      </c>
      <c r="D157" s="48">
        <v>17</v>
      </c>
      <c r="E157" s="48">
        <v>1015</v>
      </c>
      <c r="F157" s="48">
        <v>4377</v>
      </c>
      <c r="G157" s="48">
        <v>499</v>
      </c>
      <c r="H157" s="48" t="s">
        <v>29</v>
      </c>
      <c r="I157" s="48" t="s">
        <v>116</v>
      </c>
      <c r="J157" s="48" t="s">
        <v>116</v>
      </c>
      <c r="K157" s="48">
        <f t="shared" si="12"/>
        <v>5908</v>
      </c>
      <c r="M157" s="48">
        <v>1040</v>
      </c>
      <c r="N157" s="48">
        <v>7747</v>
      </c>
      <c r="O157" s="48">
        <v>46241</v>
      </c>
      <c r="P157" s="48">
        <v>6101</v>
      </c>
      <c r="Q157" s="48" t="s">
        <v>29</v>
      </c>
      <c r="R157" s="48" t="s">
        <v>29</v>
      </c>
      <c r="S157" s="48">
        <f t="shared" si="13"/>
        <v>61129</v>
      </c>
    </row>
    <row r="158" spans="1:19" x14ac:dyDescent="0.2">
      <c r="A158" s="364">
        <v>1987</v>
      </c>
      <c r="B158" s="48" t="s">
        <v>29</v>
      </c>
      <c r="C158" s="48" t="s">
        <v>29</v>
      </c>
      <c r="D158" s="48" t="s">
        <v>29</v>
      </c>
      <c r="E158" s="48">
        <v>942</v>
      </c>
      <c r="F158" s="48">
        <v>10689</v>
      </c>
      <c r="G158" s="48">
        <v>4559</v>
      </c>
      <c r="H158" s="48">
        <v>2778</v>
      </c>
      <c r="I158" s="48" t="s">
        <v>116</v>
      </c>
      <c r="J158" s="48" t="s">
        <v>116</v>
      </c>
      <c r="K158" s="48">
        <f t="shared" si="12"/>
        <v>18968</v>
      </c>
      <c r="M158" s="48" t="s">
        <v>29</v>
      </c>
      <c r="N158" s="48">
        <v>1040</v>
      </c>
      <c r="O158" s="48">
        <v>44582</v>
      </c>
      <c r="P158" s="48">
        <v>6387</v>
      </c>
      <c r="Q158" s="48">
        <v>2140</v>
      </c>
      <c r="R158" s="48" t="s">
        <v>29</v>
      </c>
      <c r="S158" s="48">
        <f t="shared" si="13"/>
        <v>54149</v>
      </c>
    </row>
    <row r="159" spans="1:19" x14ac:dyDescent="0.2">
      <c r="A159" s="364">
        <v>1988</v>
      </c>
      <c r="B159" s="48" t="s">
        <v>29</v>
      </c>
      <c r="C159" s="48" t="s">
        <v>29</v>
      </c>
      <c r="D159" s="48">
        <v>171</v>
      </c>
      <c r="E159" s="48">
        <v>1722</v>
      </c>
      <c r="F159" s="48">
        <v>2848</v>
      </c>
      <c r="G159" s="48">
        <v>3092</v>
      </c>
      <c r="H159" s="48">
        <v>246</v>
      </c>
      <c r="I159" s="48" t="s">
        <v>116</v>
      </c>
      <c r="J159" s="48" t="s">
        <v>116</v>
      </c>
      <c r="K159" s="48">
        <f t="shared" si="12"/>
        <v>8079</v>
      </c>
      <c r="M159" s="48">
        <v>80</v>
      </c>
      <c r="N159" s="48">
        <v>10730</v>
      </c>
      <c r="O159" s="48">
        <v>42248</v>
      </c>
      <c r="P159" s="48">
        <v>17203</v>
      </c>
      <c r="Q159" s="48">
        <v>989</v>
      </c>
      <c r="R159" s="48" t="s">
        <v>29</v>
      </c>
      <c r="S159" s="48">
        <f t="shared" si="13"/>
        <v>71250</v>
      </c>
    </row>
    <row r="160" spans="1:19" x14ac:dyDescent="0.2">
      <c r="A160" s="364">
        <v>1989</v>
      </c>
      <c r="B160" s="48" t="s">
        <v>29</v>
      </c>
      <c r="C160" s="48" t="s">
        <v>29</v>
      </c>
      <c r="D160" s="48">
        <v>100</v>
      </c>
      <c r="E160" s="48">
        <v>1755</v>
      </c>
      <c r="F160" s="48">
        <v>4269</v>
      </c>
      <c r="G160" s="48">
        <v>555</v>
      </c>
      <c r="H160" s="48">
        <v>2</v>
      </c>
      <c r="I160" s="48" t="s">
        <v>116</v>
      </c>
      <c r="J160" s="48" t="s">
        <v>116</v>
      </c>
      <c r="K160" s="48">
        <f t="shared" si="12"/>
        <v>6681</v>
      </c>
      <c r="M160" s="48">
        <v>669</v>
      </c>
      <c r="N160" s="48">
        <v>22348</v>
      </c>
      <c r="O160" s="48">
        <v>38486</v>
      </c>
      <c r="P160" s="48">
        <v>11587</v>
      </c>
      <c r="Q160" s="48">
        <v>19</v>
      </c>
      <c r="R160" s="48" t="s">
        <v>29</v>
      </c>
      <c r="S160" s="48">
        <f t="shared" si="13"/>
        <v>73109</v>
      </c>
    </row>
    <row r="161" spans="1:19" x14ac:dyDescent="0.2">
      <c r="A161" s="364">
        <v>1990</v>
      </c>
      <c r="B161" s="48" t="s">
        <v>29</v>
      </c>
      <c r="C161" s="48" t="s">
        <v>29</v>
      </c>
      <c r="D161" s="48">
        <v>13</v>
      </c>
      <c r="E161" s="48">
        <v>633</v>
      </c>
      <c r="F161" s="48">
        <v>2813</v>
      </c>
      <c r="G161" s="48">
        <v>2324</v>
      </c>
      <c r="H161" s="48">
        <v>824</v>
      </c>
      <c r="I161" s="48" t="s">
        <v>29</v>
      </c>
      <c r="J161" s="48" t="s">
        <v>29</v>
      </c>
      <c r="K161" s="48">
        <f t="shared" si="12"/>
        <v>6607</v>
      </c>
      <c r="M161" s="48">
        <v>23</v>
      </c>
      <c r="N161" s="48">
        <v>12431</v>
      </c>
      <c r="O161" s="48">
        <v>23456</v>
      </c>
      <c r="P161" s="48">
        <v>23162</v>
      </c>
      <c r="Q161" s="48">
        <v>3123</v>
      </c>
      <c r="R161" s="48" t="s">
        <v>29</v>
      </c>
      <c r="S161" s="48">
        <f t="shared" si="13"/>
        <v>62195</v>
      </c>
    </row>
    <row r="162" spans="1:19" x14ac:dyDescent="0.2">
      <c r="A162" s="364">
        <v>1991</v>
      </c>
      <c r="B162" s="48" t="s">
        <v>29</v>
      </c>
      <c r="C162" s="48" t="s">
        <v>29</v>
      </c>
      <c r="D162" s="48">
        <v>49</v>
      </c>
      <c r="E162" s="48">
        <v>2125</v>
      </c>
      <c r="F162" s="48">
        <v>2882</v>
      </c>
      <c r="G162" s="48" t="s">
        <v>29</v>
      </c>
      <c r="H162" s="48" t="s">
        <v>29</v>
      </c>
      <c r="I162" s="48" t="s">
        <v>29</v>
      </c>
      <c r="J162" s="48" t="s">
        <v>29</v>
      </c>
      <c r="K162" s="48">
        <f t="shared" si="12"/>
        <v>5056</v>
      </c>
      <c r="M162" s="48">
        <v>794</v>
      </c>
      <c r="N162" s="48">
        <v>23443</v>
      </c>
      <c r="O162" s="48">
        <v>66543</v>
      </c>
      <c r="P162" s="48" t="s">
        <v>29</v>
      </c>
      <c r="Q162" s="48" t="s">
        <v>29</v>
      </c>
      <c r="R162" s="48" t="s">
        <v>29</v>
      </c>
      <c r="S162" s="48">
        <f t="shared" si="13"/>
        <v>90780</v>
      </c>
    </row>
    <row r="163" spans="1:19" x14ac:dyDescent="0.2">
      <c r="A163" s="364">
        <v>1992</v>
      </c>
      <c r="B163" s="48" t="s">
        <v>29</v>
      </c>
      <c r="C163" s="48" t="s">
        <v>29</v>
      </c>
      <c r="D163" s="48">
        <v>70</v>
      </c>
      <c r="E163" s="48">
        <v>1977</v>
      </c>
      <c r="F163" s="48">
        <v>1006</v>
      </c>
      <c r="G163" s="48">
        <v>293</v>
      </c>
      <c r="H163" s="48">
        <v>417</v>
      </c>
      <c r="I163" s="48" t="s">
        <v>116</v>
      </c>
      <c r="J163" s="48" t="s">
        <v>29</v>
      </c>
      <c r="K163" s="48">
        <f t="shared" si="12"/>
        <v>3763</v>
      </c>
      <c r="M163" s="48">
        <v>525</v>
      </c>
      <c r="N163" s="48">
        <v>13111</v>
      </c>
      <c r="O163" s="48">
        <v>43850</v>
      </c>
      <c r="P163" s="48">
        <v>15766</v>
      </c>
      <c r="Q163" s="48">
        <v>2713</v>
      </c>
      <c r="R163" s="48" t="s">
        <v>29</v>
      </c>
      <c r="S163" s="48">
        <f t="shared" si="13"/>
        <v>75965</v>
      </c>
    </row>
    <row r="164" spans="1:19" x14ac:dyDescent="0.2">
      <c r="A164" s="364">
        <v>1993</v>
      </c>
      <c r="B164" s="48" t="s">
        <v>29</v>
      </c>
      <c r="C164" s="48" t="s">
        <v>29</v>
      </c>
      <c r="D164" s="48">
        <v>70</v>
      </c>
      <c r="E164" s="48">
        <v>7</v>
      </c>
      <c r="F164" s="48">
        <v>597</v>
      </c>
      <c r="G164" s="48">
        <v>410</v>
      </c>
      <c r="H164" s="48" t="s">
        <v>29</v>
      </c>
      <c r="I164" s="48" t="s">
        <v>116</v>
      </c>
      <c r="J164" s="48" t="s">
        <v>116</v>
      </c>
      <c r="K164" s="48">
        <f t="shared" si="12"/>
        <v>1084</v>
      </c>
      <c r="M164" s="48">
        <v>76</v>
      </c>
      <c r="N164" s="48">
        <v>85</v>
      </c>
      <c r="O164" s="48">
        <v>7642</v>
      </c>
      <c r="P164" s="48">
        <v>4388</v>
      </c>
      <c r="Q164" s="48" t="s">
        <v>29</v>
      </c>
      <c r="R164" s="48" t="s">
        <v>29</v>
      </c>
      <c r="S164" s="48">
        <f t="shared" si="13"/>
        <v>12191</v>
      </c>
    </row>
    <row r="165" spans="1:19" x14ac:dyDescent="0.2">
      <c r="A165" s="364">
        <v>1994</v>
      </c>
      <c r="B165" s="48" t="s">
        <v>29</v>
      </c>
      <c r="C165" s="48" t="s">
        <v>29</v>
      </c>
      <c r="D165" s="48">
        <v>6</v>
      </c>
      <c r="E165" s="48">
        <v>12</v>
      </c>
      <c r="F165" s="48" t="s">
        <v>29</v>
      </c>
      <c r="G165" s="48" t="s">
        <v>29</v>
      </c>
      <c r="H165" s="48" t="s">
        <v>29</v>
      </c>
      <c r="I165" s="48" t="s">
        <v>116</v>
      </c>
      <c r="J165" s="48" t="s">
        <v>116</v>
      </c>
      <c r="K165" s="48">
        <f t="shared" si="12"/>
        <v>18</v>
      </c>
      <c r="M165" s="48" t="s">
        <v>29</v>
      </c>
      <c r="N165" s="48" t="s">
        <v>29</v>
      </c>
      <c r="O165" s="48" t="s">
        <v>29</v>
      </c>
      <c r="P165" s="48" t="s">
        <v>29</v>
      </c>
      <c r="Q165" s="48" t="s">
        <v>29</v>
      </c>
      <c r="R165" s="48" t="s">
        <v>29</v>
      </c>
      <c r="S165" s="48" t="s">
        <v>29</v>
      </c>
    </row>
    <row r="166" spans="1:19" x14ac:dyDescent="0.2">
      <c r="A166" s="364">
        <v>1995</v>
      </c>
      <c r="B166" s="48" t="s">
        <v>29</v>
      </c>
      <c r="C166" s="48" t="s">
        <v>29</v>
      </c>
      <c r="D166" s="48">
        <v>4</v>
      </c>
      <c r="E166" s="48">
        <v>187</v>
      </c>
      <c r="F166" s="48" t="s">
        <v>29</v>
      </c>
      <c r="G166" s="48" t="s">
        <v>29</v>
      </c>
      <c r="H166" s="48">
        <v>45</v>
      </c>
      <c r="I166" s="48">
        <v>7</v>
      </c>
      <c r="J166" s="48" t="s">
        <v>116</v>
      </c>
      <c r="K166" s="48">
        <f t="shared" si="12"/>
        <v>243</v>
      </c>
      <c r="M166" s="48" t="s">
        <v>29</v>
      </c>
      <c r="N166" s="48" t="s">
        <v>29</v>
      </c>
      <c r="O166" s="48" t="s">
        <v>29</v>
      </c>
      <c r="P166" s="48" t="s">
        <v>29</v>
      </c>
      <c r="Q166" s="48" t="s">
        <v>29</v>
      </c>
      <c r="R166" s="48" t="s">
        <v>29</v>
      </c>
      <c r="S166" s="48" t="s">
        <v>29</v>
      </c>
    </row>
    <row r="167" spans="1:19" x14ac:dyDescent="0.2">
      <c r="A167" s="364">
        <v>1996</v>
      </c>
      <c r="B167" s="48" t="s">
        <v>29</v>
      </c>
      <c r="C167" s="48" t="s">
        <v>29</v>
      </c>
      <c r="D167" s="48">
        <v>7</v>
      </c>
      <c r="E167" s="48">
        <v>147</v>
      </c>
      <c r="F167" s="48">
        <v>289</v>
      </c>
      <c r="G167" s="48">
        <v>250</v>
      </c>
      <c r="H167" s="48">
        <v>148</v>
      </c>
      <c r="I167" s="48" t="s">
        <v>116</v>
      </c>
      <c r="J167" s="48" t="s">
        <v>116</v>
      </c>
      <c r="K167" s="48">
        <f t="shared" si="12"/>
        <v>841</v>
      </c>
      <c r="M167" s="48" t="s">
        <v>29</v>
      </c>
      <c r="N167" s="48" t="s">
        <v>29</v>
      </c>
      <c r="O167" s="48" t="s">
        <v>29</v>
      </c>
      <c r="P167" s="48">
        <v>14</v>
      </c>
      <c r="Q167" s="48">
        <v>3</v>
      </c>
      <c r="R167" s="48" t="s">
        <v>29</v>
      </c>
      <c r="S167" s="48">
        <f t="shared" si="13"/>
        <v>17</v>
      </c>
    </row>
    <row r="168" spans="1:19" x14ac:dyDescent="0.2">
      <c r="A168" s="364">
        <v>1997</v>
      </c>
      <c r="B168" s="48" t="s">
        <v>29</v>
      </c>
      <c r="C168" s="48">
        <v>2</v>
      </c>
      <c r="D168" s="48">
        <v>35</v>
      </c>
      <c r="E168" s="48">
        <v>70</v>
      </c>
      <c r="F168" s="48">
        <v>94</v>
      </c>
      <c r="G168" s="48">
        <v>388</v>
      </c>
      <c r="H168" s="48">
        <v>57</v>
      </c>
      <c r="I168" s="48" t="s">
        <v>116</v>
      </c>
      <c r="J168" s="48" t="s">
        <v>116</v>
      </c>
      <c r="K168" s="48">
        <f t="shared" si="12"/>
        <v>646</v>
      </c>
      <c r="M168" s="48" t="s">
        <v>29</v>
      </c>
      <c r="N168" s="48" t="s">
        <v>29</v>
      </c>
      <c r="O168" s="48">
        <v>7</v>
      </c>
      <c r="P168" s="48">
        <v>10</v>
      </c>
      <c r="Q168" s="48" t="s">
        <v>29</v>
      </c>
      <c r="R168" s="48" t="s">
        <v>29</v>
      </c>
      <c r="S168" s="48">
        <f t="shared" si="13"/>
        <v>17</v>
      </c>
    </row>
    <row r="169" spans="1:19" x14ac:dyDescent="0.2">
      <c r="A169" s="364">
        <v>1998</v>
      </c>
      <c r="B169" s="48" t="s">
        <v>29</v>
      </c>
      <c r="C169" s="48">
        <v>0</v>
      </c>
      <c r="D169" s="48">
        <v>0</v>
      </c>
      <c r="E169" s="48">
        <v>2</v>
      </c>
      <c r="F169" s="48">
        <v>55</v>
      </c>
      <c r="G169" s="48">
        <v>418</v>
      </c>
      <c r="H169" s="48">
        <v>13</v>
      </c>
      <c r="I169" s="48" t="s">
        <v>116</v>
      </c>
      <c r="J169" s="48" t="s">
        <v>116</v>
      </c>
      <c r="K169" s="48">
        <f t="shared" si="12"/>
        <v>488</v>
      </c>
      <c r="M169" s="48" t="s">
        <v>29</v>
      </c>
      <c r="N169" s="48" t="s">
        <v>29</v>
      </c>
      <c r="O169" s="48" t="s">
        <v>29</v>
      </c>
      <c r="P169" s="48" t="s">
        <v>29</v>
      </c>
      <c r="Q169" s="48" t="s">
        <v>29</v>
      </c>
      <c r="R169" s="48" t="s">
        <v>29</v>
      </c>
      <c r="S169" s="48" t="s">
        <v>29</v>
      </c>
    </row>
    <row r="170" spans="1:19" x14ac:dyDescent="0.2">
      <c r="A170" s="364">
        <v>1999</v>
      </c>
      <c r="B170" s="48" t="s">
        <v>29</v>
      </c>
      <c r="C170" s="48">
        <v>0</v>
      </c>
      <c r="D170" s="48">
        <v>3</v>
      </c>
      <c r="E170" s="48">
        <v>211</v>
      </c>
      <c r="F170" s="48">
        <v>867</v>
      </c>
      <c r="G170" s="48">
        <v>351</v>
      </c>
      <c r="H170" s="48">
        <v>12</v>
      </c>
      <c r="I170" s="48">
        <v>0</v>
      </c>
      <c r="J170" s="48" t="s">
        <v>116</v>
      </c>
      <c r="K170" s="48">
        <f t="shared" si="12"/>
        <v>1444</v>
      </c>
      <c r="M170" s="48" t="s">
        <v>29</v>
      </c>
      <c r="N170" s="48" t="s">
        <v>29</v>
      </c>
      <c r="O170" s="48">
        <v>1064</v>
      </c>
      <c r="P170" s="48" t="s">
        <v>29</v>
      </c>
      <c r="Q170" s="48" t="s">
        <v>29</v>
      </c>
      <c r="R170" s="48" t="s">
        <v>29</v>
      </c>
      <c r="S170" s="48">
        <f t="shared" si="13"/>
        <v>1064</v>
      </c>
    </row>
    <row r="171" spans="1:19" x14ac:dyDescent="0.2">
      <c r="A171" s="364">
        <v>2000</v>
      </c>
      <c r="B171" s="48" t="s">
        <v>29</v>
      </c>
      <c r="C171" s="48">
        <v>2</v>
      </c>
      <c r="D171" s="48">
        <v>9</v>
      </c>
      <c r="E171" s="48">
        <v>15</v>
      </c>
      <c r="F171" s="48">
        <v>6994</v>
      </c>
      <c r="G171" s="48">
        <v>2559</v>
      </c>
      <c r="H171" s="48">
        <v>479</v>
      </c>
      <c r="I171" s="48">
        <v>31</v>
      </c>
      <c r="J171" s="48" t="s">
        <v>116</v>
      </c>
      <c r="K171" s="48">
        <f t="shared" si="12"/>
        <v>10089</v>
      </c>
      <c r="M171" s="48" t="s">
        <v>29</v>
      </c>
      <c r="N171" s="48" t="s">
        <v>29</v>
      </c>
      <c r="O171" s="48">
        <v>5055</v>
      </c>
      <c r="P171" s="48">
        <v>43</v>
      </c>
      <c r="Q171" s="48" t="s">
        <v>29</v>
      </c>
      <c r="R171" s="48" t="s">
        <v>29</v>
      </c>
      <c r="S171" s="48">
        <f t="shared" si="13"/>
        <v>5098</v>
      </c>
    </row>
    <row r="172" spans="1:19" x14ac:dyDescent="0.2">
      <c r="A172" s="364">
        <v>2001</v>
      </c>
      <c r="B172" s="48" t="s">
        <v>29</v>
      </c>
      <c r="C172" s="48">
        <v>0</v>
      </c>
      <c r="D172" s="48">
        <v>77</v>
      </c>
      <c r="E172" s="48">
        <v>1441</v>
      </c>
      <c r="F172" s="48">
        <v>5548</v>
      </c>
      <c r="G172" s="48">
        <v>2163</v>
      </c>
      <c r="H172" s="48">
        <v>281</v>
      </c>
      <c r="I172" s="48">
        <v>3</v>
      </c>
      <c r="J172" s="48" t="s">
        <v>116</v>
      </c>
      <c r="K172" s="48">
        <f t="shared" si="12"/>
        <v>9513</v>
      </c>
      <c r="M172" s="48">
        <v>19</v>
      </c>
      <c r="N172" s="48">
        <v>6470</v>
      </c>
      <c r="O172" s="48">
        <v>12691</v>
      </c>
      <c r="P172" s="48">
        <v>152</v>
      </c>
      <c r="Q172" s="48">
        <v>4</v>
      </c>
      <c r="R172" s="48" t="s">
        <v>29</v>
      </c>
      <c r="S172" s="48">
        <f t="shared" si="13"/>
        <v>19336</v>
      </c>
    </row>
    <row r="173" spans="1:19" x14ac:dyDescent="0.2">
      <c r="A173" s="364">
        <v>2002</v>
      </c>
      <c r="B173" s="48" t="s">
        <v>29</v>
      </c>
      <c r="C173" s="48">
        <v>140</v>
      </c>
      <c r="D173" s="48">
        <v>237</v>
      </c>
      <c r="E173" s="48">
        <v>4840</v>
      </c>
      <c r="F173" s="48">
        <v>10170</v>
      </c>
      <c r="G173" s="48">
        <v>2782</v>
      </c>
      <c r="H173" s="48">
        <v>1213</v>
      </c>
      <c r="I173" s="48">
        <v>97</v>
      </c>
      <c r="J173" s="48" t="s">
        <v>116</v>
      </c>
      <c r="K173" s="48">
        <f t="shared" si="12"/>
        <v>19479</v>
      </c>
      <c r="M173" s="48" t="s">
        <v>29</v>
      </c>
      <c r="N173" s="48">
        <v>35</v>
      </c>
      <c r="O173" s="48">
        <v>5129</v>
      </c>
      <c r="P173" s="48">
        <v>134</v>
      </c>
      <c r="Q173" s="48">
        <v>40</v>
      </c>
      <c r="R173" s="48" t="s">
        <v>29</v>
      </c>
      <c r="S173" s="48">
        <f t="shared" si="13"/>
        <v>5338</v>
      </c>
    </row>
    <row r="174" spans="1:19" x14ac:dyDescent="0.2">
      <c r="A174" s="364">
        <v>2003</v>
      </c>
      <c r="B174" s="48">
        <v>2</v>
      </c>
      <c r="C174" s="48">
        <v>21</v>
      </c>
      <c r="D174" s="48">
        <v>119</v>
      </c>
      <c r="E174" s="48">
        <v>1626</v>
      </c>
      <c r="F174" s="48">
        <v>6453</v>
      </c>
      <c r="G174" s="48">
        <v>5449</v>
      </c>
      <c r="H174" s="48">
        <v>1366</v>
      </c>
      <c r="I174" s="48">
        <v>3</v>
      </c>
      <c r="J174" s="48" t="s">
        <v>116</v>
      </c>
      <c r="K174" s="48">
        <f t="shared" si="12"/>
        <v>15039</v>
      </c>
      <c r="M174" s="48" t="s">
        <v>29</v>
      </c>
      <c r="N174" s="48">
        <v>3477</v>
      </c>
      <c r="O174" s="48">
        <v>15393</v>
      </c>
      <c r="P174" s="48">
        <v>5194</v>
      </c>
      <c r="Q174" s="48">
        <v>22</v>
      </c>
      <c r="R174" s="48" t="s">
        <v>29</v>
      </c>
      <c r="S174" s="48">
        <f t="shared" si="13"/>
        <v>24086</v>
      </c>
    </row>
    <row r="175" spans="1:19" x14ac:dyDescent="0.2">
      <c r="A175" s="364">
        <v>2004</v>
      </c>
      <c r="B175" s="48">
        <v>2</v>
      </c>
      <c r="C175" s="48">
        <v>2</v>
      </c>
      <c r="D175" s="48">
        <v>192</v>
      </c>
      <c r="E175" s="48">
        <v>2849</v>
      </c>
      <c r="F175" s="48">
        <v>11416</v>
      </c>
      <c r="G175" s="48">
        <v>3666</v>
      </c>
      <c r="H175" s="48">
        <v>2606</v>
      </c>
      <c r="I175" s="48">
        <v>13</v>
      </c>
      <c r="J175" s="282" t="s">
        <v>116</v>
      </c>
      <c r="K175" s="48">
        <f t="shared" si="12"/>
        <v>20746</v>
      </c>
      <c r="M175" s="48">
        <v>2</v>
      </c>
      <c r="N175" s="48">
        <v>943</v>
      </c>
      <c r="O175" s="48">
        <v>8275</v>
      </c>
      <c r="P175" s="48">
        <v>830</v>
      </c>
      <c r="Q175" s="48">
        <v>84</v>
      </c>
      <c r="R175" s="48" t="s">
        <v>29</v>
      </c>
      <c r="S175" s="48">
        <f t="shared" si="13"/>
        <v>10134</v>
      </c>
    </row>
    <row r="176" spans="1:19" x14ac:dyDescent="0.2">
      <c r="A176" s="118">
        <v>2005</v>
      </c>
      <c r="B176" s="48">
        <v>0</v>
      </c>
      <c r="C176" s="48">
        <v>0</v>
      </c>
      <c r="D176" s="48">
        <v>56</v>
      </c>
      <c r="E176" s="48">
        <v>2933</v>
      </c>
      <c r="F176" s="48">
        <v>3081</v>
      </c>
      <c r="G176" s="48">
        <v>3273</v>
      </c>
      <c r="H176" s="48">
        <v>1826</v>
      </c>
      <c r="I176" s="48">
        <v>2</v>
      </c>
      <c r="J176" s="282" t="s">
        <v>116</v>
      </c>
      <c r="K176" s="48">
        <f t="shared" si="12"/>
        <v>11171</v>
      </c>
      <c r="M176" s="48" t="s">
        <v>29</v>
      </c>
      <c r="N176" s="48">
        <v>862</v>
      </c>
      <c r="O176" s="48">
        <v>544</v>
      </c>
      <c r="P176" s="48">
        <v>8</v>
      </c>
      <c r="Q176" s="48">
        <v>21</v>
      </c>
      <c r="R176" s="48" t="s">
        <v>29</v>
      </c>
      <c r="S176" s="48">
        <f t="shared" si="13"/>
        <v>1435</v>
      </c>
    </row>
    <row r="177" spans="1:19" x14ac:dyDescent="0.2">
      <c r="A177" s="118">
        <v>2006</v>
      </c>
      <c r="B177" s="280">
        <v>0</v>
      </c>
      <c r="C177" s="280">
        <v>3</v>
      </c>
      <c r="D177" s="280">
        <v>11</v>
      </c>
      <c r="E177" s="280">
        <v>388</v>
      </c>
      <c r="F177" s="280">
        <v>3225</v>
      </c>
      <c r="G177" s="280">
        <v>927</v>
      </c>
      <c r="H177" s="280">
        <v>656</v>
      </c>
      <c r="I177" s="280">
        <v>0</v>
      </c>
      <c r="J177" s="283" t="s">
        <v>116</v>
      </c>
      <c r="K177" s="48">
        <f t="shared" si="12"/>
        <v>5210</v>
      </c>
      <c r="M177" s="48" t="s">
        <v>29</v>
      </c>
      <c r="N177" s="280">
        <v>184</v>
      </c>
      <c r="O177" s="280">
        <v>3321</v>
      </c>
      <c r="P177" s="280">
        <v>26</v>
      </c>
      <c r="Q177" s="280">
        <v>42</v>
      </c>
      <c r="R177" s="48" t="s">
        <v>29</v>
      </c>
      <c r="S177" s="48">
        <f t="shared" si="13"/>
        <v>3573</v>
      </c>
    </row>
    <row r="178" spans="1:19" s="366" customFormat="1" x14ac:dyDescent="0.2">
      <c r="A178" s="118">
        <v>2007</v>
      </c>
      <c r="B178" s="281">
        <v>2</v>
      </c>
      <c r="C178" s="281">
        <v>0</v>
      </c>
      <c r="D178" s="281">
        <v>18</v>
      </c>
      <c r="E178" s="281">
        <v>115</v>
      </c>
      <c r="F178" s="281">
        <v>545</v>
      </c>
      <c r="G178" s="281">
        <v>672</v>
      </c>
      <c r="H178" s="281">
        <v>62</v>
      </c>
      <c r="I178" s="281">
        <v>0</v>
      </c>
      <c r="J178" s="284" t="s">
        <v>116</v>
      </c>
      <c r="K178" s="182">
        <f t="shared" si="12"/>
        <v>1414</v>
      </c>
      <c r="L178" s="182"/>
      <c r="M178" s="182" t="s">
        <v>29</v>
      </c>
      <c r="N178" s="281">
        <v>813</v>
      </c>
      <c r="O178" s="281">
        <v>8402</v>
      </c>
      <c r="P178" s="281">
        <v>3509</v>
      </c>
      <c r="Q178" s="281">
        <v>12</v>
      </c>
      <c r="R178" s="182" t="s">
        <v>29</v>
      </c>
      <c r="S178" s="182">
        <f t="shared" si="13"/>
        <v>12736</v>
      </c>
    </row>
    <row r="179" spans="1:19" s="366" customFormat="1" x14ac:dyDescent="0.2">
      <c r="A179" s="118">
        <v>2008</v>
      </c>
      <c r="B179" s="281" t="s">
        <v>29</v>
      </c>
      <c r="C179" s="281" t="s">
        <v>29</v>
      </c>
      <c r="D179" s="281" t="s">
        <v>29</v>
      </c>
      <c r="E179" s="281">
        <v>7</v>
      </c>
      <c r="F179" s="281">
        <v>3</v>
      </c>
      <c r="G179" s="281" t="s">
        <v>29</v>
      </c>
      <c r="H179" s="281" t="s">
        <v>29</v>
      </c>
      <c r="I179" s="281" t="s">
        <v>29</v>
      </c>
      <c r="J179" s="284" t="s">
        <v>116</v>
      </c>
      <c r="K179" s="182">
        <f t="shared" si="12"/>
        <v>10</v>
      </c>
      <c r="L179" s="182"/>
      <c r="M179" s="182" t="s">
        <v>29</v>
      </c>
      <c r="N179" s="281">
        <v>621</v>
      </c>
      <c r="O179" s="281">
        <v>1726</v>
      </c>
      <c r="P179" s="281">
        <v>1381</v>
      </c>
      <c r="Q179" s="182" t="s">
        <v>29</v>
      </c>
      <c r="R179" s="182" t="s">
        <v>29</v>
      </c>
      <c r="S179" s="182">
        <f t="shared" si="13"/>
        <v>3728</v>
      </c>
    </row>
    <row r="180" spans="1:19" s="366" customFormat="1" x14ac:dyDescent="0.2">
      <c r="A180" s="118">
        <v>2009</v>
      </c>
      <c r="B180" s="281" t="s">
        <v>29</v>
      </c>
      <c r="C180" s="281" t="s">
        <v>29</v>
      </c>
      <c r="D180" s="281" t="s">
        <v>29</v>
      </c>
      <c r="E180" s="281">
        <v>3</v>
      </c>
      <c r="F180" s="281">
        <v>7</v>
      </c>
      <c r="G180" s="281">
        <v>2</v>
      </c>
      <c r="H180" s="281" t="s">
        <v>29</v>
      </c>
      <c r="I180" s="284" t="s">
        <v>116</v>
      </c>
      <c r="J180" s="284" t="s">
        <v>116</v>
      </c>
      <c r="K180" s="182">
        <f t="shared" si="12"/>
        <v>12</v>
      </c>
      <c r="L180" s="182"/>
      <c r="M180" s="182" t="s">
        <v>29</v>
      </c>
      <c r="N180" s="281">
        <v>1154</v>
      </c>
      <c r="O180" s="281">
        <v>7596</v>
      </c>
      <c r="P180" s="281">
        <v>1175</v>
      </c>
      <c r="Q180" s="182">
        <v>42</v>
      </c>
      <c r="R180" s="182" t="s">
        <v>29</v>
      </c>
      <c r="S180" s="182">
        <f t="shared" si="13"/>
        <v>9967</v>
      </c>
    </row>
    <row r="181" spans="1:19" s="366" customFormat="1" x14ac:dyDescent="0.2">
      <c r="A181" s="118">
        <v>2010</v>
      </c>
      <c r="B181" s="281" t="s">
        <v>29</v>
      </c>
      <c r="C181" s="281" t="s">
        <v>29</v>
      </c>
      <c r="D181" s="281">
        <v>8</v>
      </c>
      <c r="E181" s="281">
        <v>83</v>
      </c>
      <c r="F181" s="281">
        <v>133</v>
      </c>
      <c r="G181" s="281">
        <v>444</v>
      </c>
      <c r="H181" s="281">
        <v>28</v>
      </c>
      <c r="I181" s="284" t="s">
        <v>116</v>
      </c>
      <c r="J181" s="284" t="s">
        <v>116</v>
      </c>
      <c r="K181" s="182">
        <f t="shared" si="12"/>
        <v>696</v>
      </c>
      <c r="L181" s="182"/>
      <c r="M181" s="182" t="s">
        <v>29</v>
      </c>
      <c r="N181" s="281">
        <v>18</v>
      </c>
      <c r="O181" s="281">
        <v>238</v>
      </c>
      <c r="P181" s="281">
        <v>663</v>
      </c>
      <c r="Q181" s="182">
        <v>8</v>
      </c>
      <c r="R181" s="182" t="s">
        <v>29</v>
      </c>
      <c r="S181" s="182">
        <f t="shared" si="13"/>
        <v>927</v>
      </c>
    </row>
    <row r="182" spans="1:19" s="366" customFormat="1" x14ac:dyDescent="0.2">
      <c r="A182" s="118">
        <v>2011</v>
      </c>
      <c r="B182" s="281">
        <v>0</v>
      </c>
      <c r="C182" s="281">
        <v>1</v>
      </c>
      <c r="D182" s="281">
        <v>31</v>
      </c>
      <c r="E182" s="281">
        <v>88</v>
      </c>
      <c r="F182" s="281">
        <v>254</v>
      </c>
      <c r="G182" s="281">
        <v>389</v>
      </c>
      <c r="H182" s="281">
        <v>248</v>
      </c>
      <c r="I182" s="281" t="s">
        <v>29</v>
      </c>
      <c r="J182" s="284">
        <v>6</v>
      </c>
      <c r="K182" s="182">
        <f t="shared" si="12"/>
        <v>1017</v>
      </c>
      <c r="L182" s="182"/>
      <c r="M182" s="182" t="s">
        <v>29</v>
      </c>
      <c r="N182" s="281">
        <v>11</v>
      </c>
      <c r="O182" s="281">
        <v>330</v>
      </c>
      <c r="P182" s="281">
        <v>338</v>
      </c>
      <c r="Q182" s="182">
        <v>411</v>
      </c>
      <c r="R182" s="182" t="s">
        <v>29</v>
      </c>
      <c r="S182" s="182">
        <f t="shared" si="13"/>
        <v>1090</v>
      </c>
    </row>
    <row r="183" spans="1:19" s="366" customFormat="1" x14ac:dyDescent="0.2">
      <c r="A183" s="118">
        <v>2012</v>
      </c>
      <c r="B183" s="281">
        <v>0</v>
      </c>
      <c r="C183" s="281">
        <v>12</v>
      </c>
      <c r="D183" s="281">
        <v>391</v>
      </c>
      <c r="E183" s="281">
        <v>529</v>
      </c>
      <c r="F183" s="281">
        <v>502</v>
      </c>
      <c r="G183" s="281">
        <v>1348</v>
      </c>
      <c r="H183" s="281">
        <v>749</v>
      </c>
      <c r="I183" s="281">
        <v>60</v>
      </c>
      <c r="J183" s="284">
        <v>8</v>
      </c>
      <c r="K183" s="182">
        <f t="shared" si="12"/>
        <v>3599</v>
      </c>
      <c r="L183" s="182"/>
      <c r="M183" s="182" t="s">
        <v>29</v>
      </c>
      <c r="N183" s="281">
        <v>31</v>
      </c>
      <c r="O183" s="281">
        <v>782</v>
      </c>
      <c r="P183" s="281">
        <v>829</v>
      </c>
      <c r="Q183" s="182">
        <v>814</v>
      </c>
      <c r="R183" s="182" t="s">
        <v>29</v>
      </c>
      <c r="S183" s="182">
        <f t="shared" si="13"/>
        <v>2456</v>
      </c>
    </row>
    <row r="184" spans="1:19" s="366" customFormat="1" x14ac:dyDescent="0.2">
      <c r="A184" s="118">
        <v>2013</v>
      </c>
      <c r="B184" s="281">
        <v>26</v>
      </c>
      <c r="C184" s="281">
        <v>52</v>
      </c>
      <c r="D184" s="281">
        <v>135</v>
      </c>
      <c r="E184" s="281">
        <v>1189</v>
      </c>
      <c r="F184" s="281">
        <v>790</v>
      </c>
      <c r="G184" s="281">
        <v>11479</v>
      </c>
      <c r="H184" s="281">
        <v>657</v>
      </c>
      <c r="I184" s="281">
        <v>4</v>
      </c>
      <c r="J184" s="284" t="s">
        <v>116</v>
      </c>
      <c r="K184" s="182">
        <f t="shared" si="12"/>
        <v>14332</v>
      </c>
      <c r="L184" s="182"/>
      <c r="M184" s="182" t="s">
        <v>29</v>
      </c>
      <c r="N184" s="281">
        <v>9</v>
      </c>
      <c r="O184" s="281">
        <v>66</v>
      </c>
      <c r="P184" s="281">
        <v>94</v>
      </c>
      <c r="Q184" s="182">
        <v>329</v>
      </c>
      <c r="R184" s="182" t="s">
        <v>29</v>
      </c>
      <c r="S184" s="182">
        <f t="shared" si="13"/>
        <v>498</v>
      </c>
    </row>
    <row r="185" spans="1:19" s="366" customFormat="1" x14ac:dyDescent="0.2">
      <c r="A185" s="118">
        <v>2014</v>
      </c>
      <c r="B185" s="281">
        <v>0</v>
      </c>
      <c r="C185" s="281">
        <v>9</v>
      </c>
      <c r="D185" s="281">
        <v>69</v>
      </c>
      <c r="E185" s="281">
        <v>767</v>
      </c>
      <c r="F185" s="281">
        <v>1865</v>
      </c>
      <c r="G185" s="281">
        <v>2399</v>
      </c>
      <c r="H185" s="281">
        <v>736</v>
      </c>
      <c r="I185" s="281">
        <v>6</v>
      </c>
      <c r="J185" s="284" t="s">
        <v>116</v>
      </c>
      <c r="K185" s="182">
        <f t="shared" si="12"/>
        <v>5851</v>
      </c>
      <c r="L185" s="182"/>
      <c r="M185" s="286">
        <v>1</v>
      </c>
      <c r="N185" s="281">
        <v>620</v>
      </c>
      <c r="O185" s="281">
        <v>4371</v>
      </c>
      <c r="P185" s="281">
        <v>1672</v>
      </c>
      <c r="Q185" s="182">
        <v>3255</v>
      </c>
      <c r="R185" s="182" t="s">
        <v>29</v>
      </c>
      <c r="S185" s="182">
        <f t="shared" si="13"/>
        <v>9919</v>
      </c>
    </row>
    <row r="186" spans="1:19" s="366" customFormat="1" x14ac:dyDescent="0.2">
      <c r="A186" s="118">
        <v>2015</v>
      </c>
      <c r="B186" s="281">
        <v>0</v>
      </c>
      <c r="C186" s="281">
        <v>3</v>
      </c>
      <c r="D186" s="281">
        <v>18</v>
      </c>
      <c r="E186" s="281">
        <v>209</v>
      </c>
      <c r="F186" s="281">
        <v>187</v>
      </c>
      <c r="G186" s="281">
        <v>197</v>
      </c>
      <c r="H186" s="281">
        <v>744</v>
      </c>
      <c r="I186" s="281">
        <v>3</v>
      </c>
      <c r="J186" s="284" t="s">
        <v>116</v>
      </c>
      <c r="K186" s="182">
        <f t="shared" si="12"/>
        <v>1361</v>
      </c>
      <c r="L186" s="182"/>
      <c r="M186" s="182" t="s">
        <v>29</v>
      </c>
      <c r="N186" s="281">
        <v>208</v>
      </c>
      <c r="O186" s="281">
        <v>2633</v>
      </c>
      <c r="P186" s="281">
        <v>81</v>
      </c>
      <c r="Q186" s="182">
        <v>1731</v>
      </c>
      <c r="R186" s="182" t="s">
        <v>29</v>
      </c>
      <c r="S186" s="182">
        <f t="shared" si="13"/>
        <v>4653</v>
      </c>
    </row>
    <row r="187" spans="1:19" s="366" customFormat="1" x14ac:dyDescent="0.2">
      <c r="A187" s="118">
        <v>2016</v>
      </c>
      <c r="B187" s="281">
        <v>4</v>
      </c>
      <c r="C187" s="281">
        <v>4</v>
      </c>
      <c r="D187" s="281">
        <v>2</v>
      </c>
      <c r="E187" s="281">
        <v>44</v>
      </c>
      <c r="F187" s="281">
        <v>91</v>
      </c>
      <c r="G187" s="281">
        <v>213</v>
      </c>
      <c r="H187" s="281">
        <v>318</v>
      </c>
      <c r="I187" s="281">
        <v>0</v>
      </c>
      <c r="J187" s="284" t="s">
        <v>116</v>
      </c>
      <c r="K187" s="182">
        <f t="shared" si="12"/>
        <v>676</v>
      </c>
      <c r="L187" s="182"/>
      <c r="M187" s="182" t="s">
        <v>29</v>
      </c>
      <c r="N187" s="281">
        <v>58</v>
      </c>
      <c r="O187" s="281">
        <v>410</v>
      </c>
      <c r="P187" s="281">
        <v>59</v>
      </c>
      <c r="Q187" s="182">
        <v>959</v>
      </c>
      <c r="R187" s="182" t="s">
        <v>29</v>
      </c>
      <c r="S187" s="182">
        <f t="shared" si="13"/>
        <v>1486</v>
      </c>
    </row>
    <row r="188" spans="1:19" s="366" customFormat="1" x14ac:dyDescent="0.2">
      <c r="A188" s="118">
        <v>2017</v>
      </c>
      <c r="B188" s="281">
        <v>0</v>
      </c>
      <c r="C188" s="281">
        <v>6</v>
      </c>
      <c r="D188" s="281">
        <v>7</v>
      </c>
      <c r="E188" s="281">
        <v>28</v>
      </c>
      <c r="F188" s="281">
        <v>212</v>
      </c>
      <c r="G188" s="281">
        <v>199</v>
      </c>
      <c r="H188" s="281">
        <v>121</v>
      </c>
      <c r="I188" s="281">
        <v>0</v>
      </c>
      <c r="J188" s="284" t="s">
        <v>116</v>
      </c>
      <c r="K188" s="182">
        <f t="shared" si="12"/>
        <v>573</v>
      </c>
      <c r="L188" s="182"/>
      <c r="M188" s="182" t="s">
        <v>29</v>
      </c>
      <c r="N188" s="281">
        <v>241</v>
      </c>
      <c r="O188" s="281">
        <v>1452</v>
      </c>
      <c r="P188" s="281">
        <v>557</v>
      </c>
      <c r="Q188" s="182">
        <v>1146</v>
      </c>
      <c r="R188" s="182" t="s">
        <v>29</v>
      </c>
      <c r="S188" s="182">
        <f t="shared" si="13"/>
        <v>3396</v>
      </c>
    </row>
    <row r="189" spans="1:19" s="366" customFormat="1" x14ac:dyDescent="0.2">
      <c r="A189" s="118">
        <v>2018</v>
      </c>
      <c r="B189" s="281">
        <v>0</v>
      </c>
      <c r="C189" s="281">
        <v>0</v>
      </c>
      <c r="D189" s="281">
        <v>6</v>
      </c>
      <c r="E189" s="281">
        <v>52</v>
      </c>
      <c r="F189" s="281">
        <v>180</v>
      </c>
      <c r="G189" s="281">
        <v>311</v>
      </c>
      <c r="H189" s="281">
        <v>244</v>
      </c>
      <c r="I189" s="281">
        <v>0</v>
      </c>
      <c r="J189" s="284" t="s">
        <v>116</v>
      </c>
      <c r="K189" s="182">
        <f>SUM(B189:J189)</f>
        <v>793</v>
      </c>
      <c r="L189" s="182"/>
      <c r="M189" s="182" t="s">
        <v>29</v>
      </c>
      <c r="N189" s="281">
        <v>4</v>
      </c>
      <c r="O189" s="281">
        <v>579</v>
      </c>
      <c r="P189" s="281">
        <v>887</v>
      </c>
      <c r="Q189" s="182">
        <v>2983</v>
      </c>
      <c r="R189" s="182" t="s">
        <v>29</v>
      </c>
      <c r="S189" s="182">
        <f>SUM(M189:R189)</f>
        <v>4453</v>
      </c>
    </row>
    <row r="190" spans="1:19" s="489" customFormat="1" x14ac:dyDescent="0.2">
      <c r="A190" s="118">
        <v>2019</v>
      </c>
      <c r="B190" s="281">
        <v>0</v>
      </c>
      <c r="C190" s="281">
        <v>0</v>
      </c>
      <c r="D190" s="281">
        <v>0</v>
      </c>
      <c r="E190" s="281">
        <v>87</v>
      </c>
      <c r="F190" s="281">
        <v>603</v>
      </c>
      <c r="G190" s="281">
        <v>236</v>
      </c>
      <c r="H190" s="281">
        <v>305</v>
      </c>
      <c r="I190" s="281" t="s">
        <v>29</v>
      </c>
      <c r="J190" s="284" t="s">
        <v>29</v>
      </c>
      <c r="K190" s="182">
        <f t="shared" ref="K190" si="14">SUM(B190:J190)</f>
        <v>1231</v>
      </c>
      <c r="L190" s="182"/>
      <c r="M190" s="182" t="s">
        <v>29</v>
      </c>
      <c r="N190" s="281">
        <v>1265</v>
      </c>
      <c r="O190" s="281">
        <v>4322</v>
      </c>
      <c r="P190" s="281">
        <v>2023</v>
      </c>
      <c r="Q190" s="182">
        <v>1980</v>
      </c>
      <c r="R190" s="182" t="s">
        <v>29</v>
      </c>
      <c r="S190" s="182">
        <f t="shared" ref="S190" si="15">SUM(M190:R190)</f>
        <v>9590</v>
      </c>
    </row>
    <row r="191" spans="1:19" x14ac:dyDescent="0.2">
      <c r="A191" s="118" t="s">
        <v>393</v>
      </c>
      <c r="B191" s="280">
        <v>0</v>
      </c>
      <c r="C191" s="280">
        <v>0</v>
      </c>
      <c r="D191" s="280">
        <v>7</v>
      </c>
      <c r="E191" s="280">
        <v>0</v>
      </c>
      <c r="F191" s="280">
        <v>1146</v>
      </c>
      <c r="G191" s="280">
        <v>405</v>
      </c>
      <c r="H191" s="280">
        <v>358</v>
      </c>
      <c r="I191" s="281">
        <v>11</v>
      </c>
      <c r="J191" s="284" t="s">
        <v>29</v>
      </c>
      <c r="K191" s="48">
        <f t="shared" si="12"/>
        <v>1927</v>
      </c>
      <c r="M191" s="182" t="s">
        <v>29</v>
      </c>
      <c r="N191" s="280">
        <v>0</v>
      </c>
      <c r="O191" s="280">
        <v>2610</v>
      </c>
      <c r="P191" s="280">
        <v>790</v>
      </c>
      <c r="Q191" s="48">
        <v>455</v>
      </c>
      <c r="R191" s="48" t="s">
        <v>29</v>
      </c>
      <c r="S191" s="48">
        <f t="shared" si="13"/>
        <v>3855</v>
      </c>
    </row>
    <row r="193" spans="1:19" x14ac:dyDescent="0.2">
      <c r="A193" s="109" t="s">
        <v>56</v>
      </c>
    </row>
    <row r="194" spans="1:19" x14ac:dyDescent="0.2">
      <c r="A194" s="371">
        <v>1976</v>
      </c>
      <c r="B194" s="48" t="s">
        <v>29</v>
      </c>
      <c r="C194" s="48">
        <v>0</v>
      </c>
      <c r="D194" s="48">
        <v>51</v>
      </c>
      <c r="E194" s="48">
        <v>1177</v>
      </c>
      <c r="F194" s="48">
        <v>3684</v>
      </c>
      <c r="G194" s="48">
        <v>6744</v>
      </c>
      <c r="H194" s="48">
        <v>671</v>
      </c>
      <c r="I194" s="48">
        <v>723</v>
      </c>
      <c r="J194" s="48">
        <v>112</v>
      </c>
      <c r="K194" s="48">
        <f t="shared" ref="K194:K238" si="16">SUM(B194:J194)</f>
        <v>13162</v>
      </c>
      <c r="M194" s="48">
        <v>1291</v>
      </c>
      <c r="N194" s="48">
        <v>2000</v>
      </c>
      <c r="O194" s="48">
        <v>28761</v>
      </c>
      <c r="P194" s="48">
        <v>16165</v>
      </c>
      <c r="Q194" s="48">
        <v>1160</v>
      </c>
      <c r="R194" s="48">
        <v>2072</v>
      </c>
      <c r="S194" s="48">
        <f t="shared" ref="S194:S234" si="17">SUM(M194:R194)</f>
        <v>51449</v>
      </c>
    </row>
    <row r="195" spans="1:19" x14ac:dyDescent="0.2">
      <c r="A195" s="371">
        <v>1977</v>
      </c>
      <c r="B195" s="48" t="s">
        <v>29</v>
      </c>
      <c r="C195" s="48">
        <v>0</v>
      </c>
      <c r="D195" s="48">
        <v>285</v>
      </c>
      <c r="E195" s="48">
        <v>271</v>
      </c>
      <c r="F195" s="48">
        <v>5165</v>
      </c>
      <c r="G195" s="48">
        <v>3373</v>
      </c>
      <c r="H195" s="48">
        <v>1132</v>
      </c>
      <c r="I195" s="48">
        <v>1175</v>
      </c>
      <c r="J195" s="48">
        <v>59</v>
      </c>
      <c r="K195" s="48">
        <f t="shared" si="16"/>
        <v>11460</v>
      </c>
      <c r="M195" s="48">
        <v>311</v>
      </c>
      <c r="N195" s="48">
        <v>192</v>
      </c>
      <c r="O195" s="48">
        <v>9848</v>
      </c>
      <c r="P195" s="48">
        <v>2588</v>
      </c>
      <c r="Q195" s="48">
        <v>132</v>
      </c>
      <c r="R195" s="48">
        <v>58</v>
      </c>
      <c r="S195" s="48">
        <f t="shared" si="17"/>
        <v>13129</v>
      </c>
    </row>
    <row r="196" spans="1:19" x14ac:dyDescent="0.2">
      <c r="A196" s="371">
        <v>1978</v>
      </c>
      <c r="B196" s="48" t="s">
        <v>29</v>
      </c>
      <c r="C196" s="48">
        <v>0</v>
      </c>
      <c r="D196" s="48">
        <v>76</v>
      </c>
      <c r="E196" s="48">
        <v>1942</v>
      </c>
      <c r="F196" s="48">
        <v>1422</v>
      </c>
      <c r="G196" s="48">
        <v>2273</v>
      </c>
      <c r="H196" s="48">
        <v>615</v>
      </c>
      <c r="I196" s="48">
        <v>771</v>
      </c>
      <c r="J196" s="48">
        <v>79</v>
      </c>
      <c r="K196" s="48">
        <f t="shared" si="16"/>
        <v>7178</v>
      </c>
      <c r="M196" s="48">
        <v>174</v>
      </c>
      <c r="N196" s="48">
        <v>31352</v>
      </c>
      <c r="O196" s="48">
        <v>10722</v>
      </c>
      <c r="P196" s="48">
        <v>4082</v>
      </c>
      <c r="Q196" s="48">
        <v>635</v>
      </c>
      <c r="R196" s="48">
        <v>18</v>
      </c>
      <c r="S196" s="48">
        <f t="shared" si="17"/>
        <v>46983</v>
      </c>
    </row>
    <row r="197" spans="1:19" x14ac:dyDescent="0.2">
      <c r="A197" s="371">
        <v>1979</v>
      </c>
      <c r="B197" s="48" t="s">
        <v>29</v>
      </c>
      <c r="C197" s="48" t="s">
        <v>29</v>
      </c>
      <c r="D197" s="48">
        <v>3</v>
      </c>
      <c r="E197" s="48">
        <v>263</v>
      </c>
      <c r="F197" s="48">
        <v>2067</v>
      </c>
      <c r="G197" s="48">
        <v>3406</v>
      </c>
      <c r="H197" s="48">
        <v>15</v>
      </c>
      <c r="I197" s="48">
        <v>597</v>
      </c>
      <c r="J197" s="48">
        <v>60</v>
      </c>
      <c r="K197" s="48">
        <f t="shared" si="16"/>
        <v>6411</v>
      </c>
      <c r="M197" s="48">
        <v>26</v>
      </c>
      <c r="N197" s="48">
        <v>1577</v>
      </c>
      <c r="O197" s="48">
        <v>14474</v>
      </c>
      <c r="P197" s="48">
        <v>2074</v>
      </c>
      <c r="Q197" s="48">
        <v>0</v>
      </c>
      <c r="R197" s="48" t="s">
        <v>29</v>
      </c>
      <c r="S197" s="48">
        <f t="shared" si="17"/>
        <v>18151</v>
      </c>
    </row>
    <row r="198" spans="1:19" x14ac:dyDescent="0.2">
      <c r="A198" s="371">
        <v>1980</v>
      </c>
      <c r="B198" s="48" t="s">
        <v>29</v>
      </c>
      <c r="C198" s="48" t="s">
        <v>29</v>
      </c>
      <c r="D198" s="48">
        <v>42</v>
      </c>
      <c r="E198" s="48">
        <v>1256</v>
      </c>
      <c r="F198" s="48">
        <v>1675</v>
      </c>
      <c r="G198" s="48">
        <v>1031</v>
      </c>
      <c r="H198" s="48">
        <v>415</v>
      </c>
      <c r="I198" s="48">
        <v>319</v>
      </c>
      <c r="J198" s="48">
        <v>63</v>
      </c>
      <c r="K198" s="48">
        <f t="shared" si="16"/>
        <v>4801</v>
      </c>
      <c r="M198" s="48">
        <v>86</v>
      </c>
      <c r="N198" s="48">
        <v>17723</v>
      </c>
      <c r="O198" s="48">
        <v>13364</v>
      </c>
      <c r="P198" s="48">
        <v>1351</v>
      </c>
      <c r="Q198" s="48">
        <v>489</v>
      </c>
      <c r="R198" s="48" t="s">
        <v>29</v>
      </c>
      <c r="S198" s="48">
        <f t="shared" si="17"/>
        <v>33013</v>
      </c>
    </row>
    <row r="199" spans="1:19" x14ac:dyDescent="0.2">
      <c r="A199" s="371">
        <v>1981</v>
      </c>
      <c r="B199" s="48" t="s">
        <v>29</v>
      </c>
      <c r="C199" s="48" t="s">
        <v>29</v>
      </c>
      <c r="D199" s="48">
        <v>457</v>
      </c>
      <c r="E199" s="48">
        <v>2205</v>
      </c>
      <c r="F199" s="48">
        <v>3186</v>
      </c>
      <c r="G199" s="48">
        <v>2630</v>
      </c>
      <c r="H199" s="48">
        <v>120</v>
      </c>
      <c r="I199" s="48">
        <v>289</v>
      </c>
      <c r="J199" s="48">
        <v>10</v>
      </c>
      <c r="K199" s="48">
        <f t="shared" si="16"/>
        <v>8897</v>
      </c>
      <c r="M199" s="48">
        <v>520</v>
      </c>
      <c r="N199" s="48">
        <v>2649</v>
      </c>
      <c r="O199" s="48">
        <v>1362</v>
      </c>
      <c r="P199" s="48">
        <v>3785</v>
      </c>
      <c r="Q199" s="48">
        <v>8</v>
      </c>
      <c r="R199" s="48" t="s">
        <v>29</v>
      </c>
      <c r="S199" s="48">
        <f t="shared" si="17"/>
        <v>8324</v>
      </c>
    </row>
    <row r="200" spans="1:19" x14ac:dyDescent="0.2">
      <c r="A200" s="371">
        <v>1982</v>
      </c>
      <c r="B200" s="48" t="s">
        <v>29</v>
      </c>
      <c r="C200" s="48" t="s">
        <v>29</v>
      </c>
      <c r="D200" s="48">
        <v>2</v>
      </c>
      <c r="E200" s="48">
        <v>800</v>
      </c>
      <c r="F200" s="48">
        <v>12713</v>
      </c>
      <c r="G200" s="48">
        <v>1544</v>
      </c>
      <c r="H200" s="48">
        <v>227</v>
      </c>
      <c r="I200" s="48">
        <v>236</v>
      </c>
      <c r="J200" s="48">
        <v>16</v>
      </c>
      <c r="K200" s="48">
        <f t="shared" si="16"/>
        <v>15538</v>
      </c>
      <c r="M200" s="48">
        <v>5</v>
      </c>
      <c r="N200" s="48">
        <v>1711</v>
      </c>
      <c r="O200" s="48">
        <v>15195</v>
      </c>
      <c r="P200" s="48" t="s">
        <v>29</v>
      </c>
      <c r="Q200" s="48" t="s">
        <v>29</v>
      </c>
      <c r="R200" s="48" t="s">
        <v>29</v>
      </c>
      <c r="S200" s="48">
        <f t="shared" si="17"/>
        <v>16911</v>
      </c>
    </row>
    <row r="201" spans="1:19" x14ac:dyDescent="0.2">
      <c r="A201" s="371">
        <v>1983</v>
      </c>
      <c r="B201" s="48" t="s">
        <v>29</v>
      </c>
      <c r="C201" s="48" t="s">
        <v>29</v>
      </c>
      <c r="D201" s="48">
        <v>504</v>
      </c>
      <c r="E201" s="48">
        <v>3416</v>
      </c>
      <c r="F201" s="48">
        <v>4927</v>
      </c>
      <c r="G201" s="48">
        <v>1457</v>
      </c>
      <c r="H201" s="48">
        <v>1034</v>
      </c>
      <c r="I201" s="48">
        <v>999</v>
      </c>
      <c r="J201" s="48">
        <v>17</v>
      </c>
      <c r="K201" s="48">
        <f t="shared" si="16"/>
        <v>12354</v>
      </c>
      <c r="M201" s="48">
        <v>453</v>
      </c>
      <c r="N201" s="48">
        <v>4946</v>
      </c>
      <c r="O201" s="48">
        <v>8874</v>
      </c>
      <c r="P201" s="48">
        <v>1584</v>
      </c>
      <c r="Q201" s="48">
        <v>492</v>
      </c>
      <c r="R201" s="287" t="s">
        <v>29</v>
      </c>
      <c r="S201" s="48">
        <f t="shared" si="17"/>
        <v>16349</v>
      </c>
    </row>
    <row r="202" spans="1:19" x14ac:dyDescent="0.2">
      <c r="A202" s="371">
        <v>1984</v>
      </c>
      <c r="B202" s="48" t="s">
        <v>29</v>
      </c>
      <c r="C202" s="48" t="s">
        <v>29</v>
      </c>
      <c r="D202" s="48" t="s">
        <v>29</v>
      </c>
      <c r="E202" s="48" t="s">
        <v>29</v>
      </c>
      <c r="F202" s="48">
        <v>1940</v>
      </c>
      <c r="G202" s="48">
        <v>5598</v>
      </c>
      <c r="H202" s="48">
        <v>1059</v>
      </c>
      <c r="I202" s="48">
        <v>448</v>
      </c>
      <c r="J202" s="48" t="s">
        <v>29</v>
      </c>
      <c r="K202" s="48">
        <f t="shared" si="16"/>
        <v>9045</v>
      </c>
      <c r="M202" s="48" t="s">
        <v>29</v>
      </c>
      <c r="N202" s="48" t="s">
        <v>29</v>
      </c>
      <c r="O202" s="48">
        <v>7383</v>
      </c>
      <c r="P202" s="48">
        <v>3957</v>
      </c>
      <c r="Q202" s="48">
        <v>151</v>
      </c>
      <c r="R202" s="48" t="s">
        <v>29</v>
      </c>
      <c r="S202" s="48">
        <f t="shared" si="17"/>
        <v>11491</v>
      </c>
    </row>
    <row r="203" spans="1:19" x14ac:dyDescent="0.2">
      <c r="A203" s="371">
        <v>1985</v>
      </c>
      <c r="B203" s="48" t="s">
        <v>29</v>
      </c>
      <c r="C203" s="48" t="s">
        <v>29</v>
      </c>
      <c r="D203" s="48">
        <v>2450</v>
      </c>
      <c r="E203" s="48" t="s">
        <v>29</v>
      </c>
      <c r="F203" s="48">
        <v>23043</v>
      </c>
      <c r="G203" s="48">
        <v>9697</v>
      </c>
      <c r="H203" s="48">
        <v>388</v>
      </c>
      <c r="I203" s="48">
        <v>564</v>
      </c>
      <c r="J203" s="48" t="s">
        <v>29</v>
      </c>
      <c r="K203" s="48">
        <f t="shared" si="16"/>
        <v>36142</v>
      </c>
      <c r="M203" s="48">
        <v>10</v>
      </c>
      <c r="N203" s="48" t="s">
        <v>29</v>
      </c>
      <c r="O203" s="48">
        <v>4892</v>
      </c>
      <c r="P203" s="48">
        <v>2522</v>
      </c>
      <c r="Q203" s="48">
        <v>7</v>
      </c>
      <c r="R203" s="48">
        <v>4</v>
      </c>
      <c r="S203" s="48">
        <f t="shared" si="17"/>
        <v>7435</v>
      </c>
    </row>
    <row r="204" spans="1:19" x14ac:dyDescent="0.2">
      <c r="A204" s="364">
        <v>1986</v>
      </c>
      <c r="B204" s="48" t="s">
        <v>29</v>
      </c>
      <c r="C204" s="48" t="s">
        <v>29</v>
      </c>
      <c r="D204" s="48">
        <v>1075</v>
      </c>
      <c r="E204" s="48">
        <v>2767</v>
      </c>
      <c r="F204" s="48">
        <v>3492</v>
      </c>
      <c r="G204" s="48">
        <v>3929</v>
      </c>
      <c r="H204" s="48">
        <v>15</v>
      </c>
      <c r="I204" s="48">
        <v>611</v>
      </c>
      <c r="J204" s="48" t="s">
        <v>29</v>
      </c>
      <c r="K204" s="48">
        <f t="shared" si="16"/>
        <v>11889</v>
      </c>
      <c r="M204" s="48">
        <v>1476</v>
      </c>
      <c r="N204" s="48">
        <v>2618</v>
      </c>
      <c r="O204" s="48">
        <v>5665</v>
      </c>
      <c r="P204" s="48">
        <v>2098</v>
      </c>
      <c r="Q204" s="48">
        <v>0</v>
      </c>
      <c r="R204" s="48">
        <v>3</v>
      </c>
      <c r="S204" s="48">
        <f t="shared" si="17"/>
        <v>11860</v>
      </c>
    </row>
    <row r="205" spans="1:19" x14ac:dyDescent="0.2">
      <c r="A205" s="364">
        <v>1987</v>
      </c>
      <c r="B205" s="48" t="s">
        <v>29</v>
      </c>
      <c r="C205" s="48" t="s">
        <v>29</v>
      </c>
      <c r="D205" s="48">
        <v>115</v>
      </c>
      <c r="E205" s="48">
        <v>3834</v>
      </c>
      <c r="F205" s="48">
        <v>9845</v>
      </c>
      <c r="G205" s="48">
        <v>5564</v>
      </c>
      <c r="H205" s="48">
        <v>5913</v>
      </c>
      <c r="I205" s="48">
        <v>1133</v>
      </c>
      <c r="J205" s="48" t="s">
        <v>29</v>
      </c>
      <c r="K205" s="48">
        <f t="shared" si="16"/>
        <v>26404</v>
      </c>
      <c r="M205" s="48">
        <v>1</v>
      </c>
      <c r="N205" s="48">
        <v>493</v>
      </c>
      <c r="O205" s="48">
        <v>13971</v>
      </c>
      <c r="P205" s="48">
        <v>3145</v>
      </c>
      <c r="Q205" s="48">
        <v>1406</v>
      </c>
      <c r="R205" s="48">
        <v>28</v>
      </c>
      <c r="S205" s="48">
        <f t="shared" si="17"/>
        <v>19044</v>
      </c>
    </row>
    <row r="206" spans="1:19" x14ac:dyDescent="0.2">
      <c r="A206" s="364">
        <v>1988</v>
      </c>
      <c r="B206" s="48" t="s">
        <v>29</v>
      </c>
      <c r="C206" s="48" t="s">
        <v>29</v>
      </c>
      <c r="D206" s="48">
        <v>96</v>
      </c>
      <c r="E206" s="48">
        <v>12377</v>
      </c>
      <c r="F206" s="48">
        <v>6506</v>
      </c>
      <c r="G206" s="48">
        <v>2629</v>
      </c>
      <c r="H206" s="48">
        <v>104</v>
      </c>
      <c r="I206" s="48" t="s">
        <v>29</v>
      </c>
      <c r="J206" s="48" t="s">
        <v>29</v>
      </c>
      <c r="K206" s="48">
        <f t="shared" si="16"/>
        <v>21712</v>
      </c>
      <c r="M206" s="48">
        <v>7</v>
      </c>
      <c r="N206" s="48">
        <v>1035</v>
      </c>
      <c r="O206" s="48">
        <v>12119</v>
      </c>
      <c r="P206" s="48">
        <v>1810</v>
      </c>
      <c r="Q206" s="48">
        <v>62</v>
      </c>
      <c r="R206" s="48" t="s">
        <v>29</v>
      </c>
      <c r="S206" s="48">
        <f t="shared" si="17"/>
        <v>15033</v>
      </c>
    </row>
    <row r="207" spans="1:19" x14ac:dyDescent="0.2">
      <c r="A207" s="364">
        <v>1989</v>
      </c>
      <c r="B207" s="48" t="s">
        <v>29</v>
      </c>
      <c r="C207" s="48" t="s">
        <v>29</v>
      </c>
      <c r="D207" s="48">
        <v>397</v>
      </c>
      <c r="E207" s="48">
        <v>3635</v>
      </c>
      <c r="F207" s="48">
        <v>9381</v>
      </c>
      <c r="G207" s="48">
        <v>6760</v>
      </c>
      <c r="H207" s="48">
        <v>1105</v>
      </c>
      <c r="I207" s="48" t="s">
        <v>29</v>
      </c>
      <c r="J207" s="48" t="s">
        <v>29</v>
      </c>
      <c r="K207" s="48">
        <f t="shared" si="16"/>
        <v>21278</v>
      </c>
      <c r="M207" s="48">
        <v>172</v>
      </c>
      <c r="N207" s="48">
        <v>4225</v>
      </c>
      <c r="O207" s="48">
        <v>20299</v>
      </c>
      <c r="P207" s="48">
        <v>7539</v>
      </c>
      <c r="Q207" s="48">
        <v>824</v>
      </c>
      <c r="R207" s="48" t="s">
        <v>29</v>
      </c>
      <c r="S207" s="48">
        <f t="shared" si="17"/>
        <v>33059</v>
      </c>
    </row>
    <row r="208" spans="1:19" x14ac:dyDescent="0.2">
      <c r="A208" s="364">
        <v>1990</v>
      </c>
      <c r="B208" s="48" t="s">
        <v>29</v>
      </c>
      <c r="C208" s="48" t="s">
        <v>29</v>
      </c>
      <c r="D208" s="48">
        <v>391</v>
      </c>
      <c r="E208" s="48">
        <v>4622</v>
      </c>
      <c r="F208" s="48">
        <v>6505</v>
      </c>
      <c r="G208" s="48">
        <v>1170</v>
      </c>
      <c r="H208" s="48">
        <v>45</v>
      </c>
      <c r="I208" s="48" t="s">
        <v>29</v>
      </c>
      <c r="J208" s="48" t="s">
        <v>29</v>
      </c>
      <c r="K208" s="48">
        <f t="shared" si="16"/>
        <v>12733</v>
      </c>
      <c r="M208" s="48">
        <v>95</v>
      </c>
      <c r="N208" s="48">
        <v>8357</v>
      </c>
      <c r="O208" s="48">
        <v>5015</v>
      </c>
      <c r="P208" s="48">
        <v>1809</v>
      </c>
      <c r="Q208" s="48">
        <v>43</v>
      </c>
      <c r="R208" s="48" t="s">
        <v>29</v>
      </c>
      <c r="S208" s="48">
        <f t="shared" si="17"/>
        <v>15319</v>
      </c>
    </row>
    <row r="209" spans="1:19" x14ac:dyDescent="0.2">
      <c r="A209" s="364">
        <v>1991</v>
      </c>
      <c r="B209" s="48" t="s">
        <v>29</v>
      </c>
      <c r="C209" s="48" t="s">
        <v>29</v>
      </c>
      <c r="D209" s="48">
        <v>48</v>
      </c>
      <c r="E209" s="48">
        <v>4080</v>
      </c>
      <c r="F209" s="48">
        <v>2321</v>
      </c>
      <c r="G209" s="48">
        <v>64</v>
      </c>
      <c r="H209" s="48">
        <v>298</v>
      </c>
      <c r="I209" s="48" t="s">
        <v>29</v>
      </c>
      <c r="J209" s="48" t="s">
        <v>29</v>
      </c>
      <c r="K209" s="48">
        <f t="shared" si="16"/>
        <v>6811</v>
      </c>
      <c r="M209" s="48" t="s">
        <v>29</v>
      </c>
      <c r="N209" s="48">
        <v>10236</v>
      </c>
      <c r="O209" s="48">
        <v>10582</v>
      </c>
      <c r="P209" s="48">
        <v>513</v>
      </c>
      <c r="Q209" s="48">
        <v>895</v>
      </c>
      <c r="R209" s="48" t="s">
        <v>29</v>
      </c>
      <c r="S209" s="48">
        <f t="shared" si="17"/>
        <v>22226</v>
      </c>
    </row>
    <row r="210" spans="1:19" x14ac:dyDescent="0.2">
      <c r="A210" s="364">
        <v>1992</v>
      </c>
      <c r="B210" s="48" t="s">
        <v>29</v>
      </c>
      <c r="C210" s="48" t="s">
        <v>29</v>
      </c>
      <c r="D210" s="48" t="s">
        <v>29</v>
      </c>
      <c r="E210" s="48" t="s">
        <v>29</v>
      </c>
      <c r="F210" s="48">
        <v>1518</v>
      </c>
      <c r="G210" s="48" t="s">
        <v>29</v>
      </c>
      <c r="H210" s="48">
        <v>440</v>
      </c>
      <c r="I210" s="48">
        <v>704</v>
      </c>
      <c r="J210" s="48" t="s">
        <v>29</v>
      </c>
      <c r="K210" s="48">
        <f t="shared" si="16"/>
        <v>2662</v>
      </c>
      <c r="M210" s="48" t="s">
        <v>29</v>
      </c>
      <c r="N210" s="48" t="s">
        <v>29</v>
      </c>
      <c r="O210" s="48">
        <v>2850</v>
      </c>
      <c r="P210" s="48" t="s">
        <v>29</v>
      </c>
      <c r="Q210" s="48">
        <v>444</v>
      </c>
      <c r="R210" s="48">
        <v>2</v>
      </c>
      <c r="S210" s="48">
        <f t="shared" si="17"/>
        <v>3296</v>
      </c>
    </row>
    <row r="211" spans="1:19" x14ac:dyDescent="0.2">
      <c r="A211" s="364">
        <v>1993</v>
      </c>
      <c r="B211" s="48" t="s">
        <v>29</v>
      </c>
      <c r="C211" s="48" t="s">
        <v>29</v>
      </c>
      <c r="D211" s="48">
        <v>1124</v>
      </c>
      <c r="E211" s="48">
        <v>224</v>
      </c>
      <c r="F211" s="48">
        <v>627</v>
      </c>
      <c r="G211" s="48">
        <v>1324</v>
      </c>
      <c r="H211" s="48">
        <v>468</v>
      </c>
      <c r="I211" s="48" t="s">
        <v>29</v>
      </c>
      <c r="J211" s="48" t="s">
        <v>29</v>
      </c>
      <c r="K211" s="48">
        <f t="shared" si="16"/>
        <v>3767</v>
      </c>
      <c r="M211" s="48">
        <v>97</v>
      </c>
      <c r="N211" s="48">
        <v>70</v>
      </c>
      <c r="O211" s="48">
        <v>1922</v>
      </c>
      <c r="P211" s="48">
        <v>3445</v>
      </c>
      <c r="Q211" s="48">
        <v>500</v>
      </c>
      <c r="R211" s="48" t="s">
        <v>29</v>
      </c>
      <c r="S211" s="48">
        <f t="shared" si="17"/>
        <v>6034</v>
      </c>
    </row>
    <row r="212" spans="1:19" x14ac:dyDescent="0.2">
      <c r="A212" s="364">
        <v>1994</v>
      </c>
      <c r="B212" s="48" t="s">
        <v>29</v>
      </c>
      <c r="C212" s="48" t="s">
        <v>29</v>
      </c>
      <c r="D212" s="48">
        <v>1878</v>
      </c>
      <c r="E212" s="48">
        <v>104</v>
      </c>
      <c r="F212" s="48" t="s">
        <v>29</v>
      </c>
      <c r="G212" s="48">
        <v>272</v>
      </c>
      <c r="H212" s="48">
        <v>284</v>
      </c>
      <c r="I212" s="48">
        <v>1078</v>
      </c>
      <c r="J212" s="48" t="s">
        <v>29</v>
      </c>
      <c r="K212" s="48">
        <f t="shared" si="16"/>
        <v>3616</v>
      </c>
      <c r="M212" s="48" t="s">
        <v>29</v>
      </c>
      <c r="N212" s="48" t="s">
        <v>29</v>
      </c>
      <c r="O212" s="48" t="s">
        <v>29</v>
      </c>
      <c r="P212" s="48">
        <v>13</v>
      </c>
      <c r="Q212" s="48">
        <v>4</v>
      </c>
      <c r="R212" s="48" t="s">
        <v>29</v>
      </c>
      <c r="S212" s="48">
        <f t="shared" si="17"/>
        <v>17</v>
      </c>
    </row>
    <row r="213" spans="1:19" x14ac:dyDescent="0.2">
      <c r="A213" s="364">
        <v>1995</v>
      </c>
      <c r="B213" s="48" t="s">
        <v>29</v>
      </c>
      <c r="C213" s="48" t="s">
        <v>29</v>
      </c>
      <c r="D213" s="48">
        <v>212</v>
      </c>
      <c r="E213" s="48">
        <v>1615</v>
      </c>
      <c r="F213" s="48" t="s">
        <v>29</v>
      </c>
      <c r="G213" s="48">
        <v>472</v>
      </c>
      <c r="H213" s="48">
        <v>2603</v>
      </c>
      <c r="I213" s="48">
        <v>829</v>
      </c>
      <c r="J213" s="48" t="s">
        <v>29</v>
      </c>
      <c r="K213" s="48">
        <f t="shared" si="16"/>
        <v>5731</v>
      </c>
      <c r="M213" s="48" t="s">
        <v>29</v>
      </c>
      <c r="N213" s="48">
        <v>38</v>
      </c>
      <c r="O213" s="48" t="s">
        <v>29</v>
      </c>
      <c r="P213" s="48">
        <v>3</v>
      </c>
      <c r="Q213" s="48">
        <v>86</v>
      </c>
      <c r="R213" s="48">
        <v>3</v>
      </c>
      <c r="S213" s="48">
        <f t="shared" si="17"/>
        <v>130</v>
      </c>
    </row>
    <row r="214" spans="1:19" x14ac:dyDescent="0.2">
      <c r="A214" s="364">
        <v>1996</v>
      </c>
      <c r="B214" s="48" t="s">
        <v>29</v>
      </c>
      <c r="C214" s="48" t="s">
        <v>29</v>
      </c>
      <c r="D214" s="48">
        <v>549</v>
      </c>
      <c r="E214" s="48">
        <v>2719</v>
      </c>
      <c r="F214" s="48">
        <v>314</v>
      </c>
      <c r="G214" s="48">
        <v>2776</v>
      </c>
      <c r="H214" s="48">
        <v>558</v>
      </c>
      <c r="I214" s="48">
        <v>1281</v>
      </c>
      <c r="J214" s="48" t="s">
        <v>29</v>
      </c>
      <c r="K214" s="48">
        <f t="shared" si="16"/>
        <v>8197</v>
      </c>
      <c r="M214" s="48" t="s">
        <v>29</v>
      </c>
      <c r="N214" s="48">
        <v>10</v>
      </c>
      <c r="O214" s="48">
        <v>34</v>
      </c>
      <c r="P214" s="48">
        <v>26</v>
      </c>
      <c r="Q214" s="48">
        <v>25</v>
      </c>
      <c r="R214" s="48">
        <v>11</v>
      </c>
      <c r="S214" s="48">
        <f t="shared" si="17"/>
        <v>106</v>
      </c>
    </row>
    <row r="215" spans="1:19" x14ac:dyDescent="0.2">
      <c r="A215" s="364">
        <v>1997</v>
      </c>
      <c r="B215" s="48" t="s">
        <v>29</v>
      </c>
      <c r="C215" s="48" t="s">
        <v>29</v>
      </c>
      <c r="D215" s="48">
        <v>844</v>
      </c>
      <c r="E215" s="48">
        <v>769</v>
      </c>
      <c r="F215" s="48">
        <v>1034</v>
      </c>
      <c r="G215" s="48">
        <v>1616</v>
      </c>
      <c r="H215" s="48">
        <v>149</v>
      </c>
      <c r="I215" s="48">
        <v>675</v>
      </c>
      <c r="J215" s="48" t="s">
        <v>29</v>
      </c>
      <c r="K215" s="48">
        <f t="shared" si="16"/>
        <v>5087</v>
      </c>
      <c r="M215" s="48">
        <v>17</v>
      </c>
      <c r="N215" s="48">
        <v>26</v>
      </c>
      <c r="O215" s="48">
        <v>41</v>
      </c>
      <c r="P215" s="48">
        <v>39</v>
      </c>
      <c r="Q215" s="48">
        <v>4</v>
      </c>
      <c r="R215" s="48" t="s">
        <v>29</v>
      </c>
      <c r="S215" s="48">
        <f t="shared" si="17"/>
        <v>127</v>
      </c>
    </row>
    <row r="216" spans="1:19" x14ac:dyDescent="0.2">
      <c r="A216" s="364">
        <v>1998</v>
      </c>
      <c r="B216" s="48" t="s">
        <v>29</v>
      </c>
      <c r="C216" s="48" t="s">
        <v>29</v>
      </c>
      <c r="D216" s="48">
        <v>218</v>
      </c>
      <c r="E216" s="48">
        <v>343</v>
      </c>
      <c r="F216" s="48">
        <v>320</v>
      </c>
      <c r="G216" s="48">
        <v>438</v>
      </c>
      <c r="H216" s="48">
        <v>249</v>
      </c>
      <c r="I216" s="48">
        <v>394</v>
      </c>
      <c r="J216" s="48" t="s">
        <v>29</v>
      </c>
      <c r="K216" s="48">
        <f t="shared" si="16"/>
        <v>1962</v>
      </c>
      <c r="M216" s="48" t="s">
        <v>29</v>
      </c>
      <c r="N216" s="48">
        <v>6</v>
      </c>
      <c r="O216" s="48">
        <v>8</v>
      </c>
      <c r="P216" s="48">
        <v>17</v>
      </c>
      <c r="Q216" s="48" t="s">
        <v>29</v>
      </c>
      <c r="R216" s="48">
        <v>6</v>
      </c>
      <c r="S216" s="48">
        <f t="shared" si="17"/>
        <v>37</v>
      </c>
    </row>
    <row r="217" spans="1:19" x14ac:dyDescent="0.2">
      <c r="A217" s="364">
        <v>1999</v>
      </c>
      <c r="B217" s="48" t="s">
        <v>29</v>
      </c>
      <c r="C217" s="48" t="s">
        <v>29</v>
      </c>
      <c r="D217" s="48">
        <v>7</v>
      </c>
      <c r="E217" s="48">
        <v>44</v>
      </c>
      <c r="F217" s="48">
        <v>893</v>
      </c>
      <c r="G217" s="48">
        <v>1680</v>
      </c>
      <c r="H217" s="48">
        <v>475</v>
      </c>
      <c r="I217" s="48">
        <v>348</v>
      </c>
      <c r="J217" s="48" t="s">
        <v>29</v>
      </c>
      <c r="K217" s="48">
        <f t="shared" si="16"/>
        <v>3447</v>
      </c>
      <c r="M217" s="48" t="s">
        <v>29</v>
      </c>
      <c r="N217" s="48">
        <v>2</v>
      </c>
      <c r="O217" s="48">
        <v>8</v>
      </c>
      <c r="P217" s="48">
        <v>32</v>
      </c>
      <c r="Q217" s="48">
        <v>4</v>
      </c>
      <c r="R217" s="48" t="s">
        <v>29</v>
      </c>
      <c r="S217" s="48">
        <f t="shared" si="17"/>
        <v>46</v>
      </c>
    </row>
    <row r="218" spans="1:19" x14ac:dyDescent="0.2">
      <c r="A218" s="364">
        <v>2000</v>
      </c>
      <c r="B218" s="48" t="s">
        <v>29</v>
      </c>
      <c r="C218" s="48" t="s">
        <v>29</v>
      </c>
      <c r="D218" s="48">
        <v>16</v>
      </c>
      <c r="E218" s="48">
        <v>432</v>
      </c>
      <c r="F218" s="48">
        <v>2060</v>
      </c>
      <c r="G218" s="48">
        <v>7985</v>
      </c>
      <c r="H218" s="48">
        <v>515</v>
      </c>
      <c r="I218" s="48">
        <v>810</v>
      </c>
      <c r="J218" s="48" t="s">
        <v>29</v>
      </c>
      <c r="K218" s="48">
        <f t="shared" si="16"/>
        <v>11818</v>
      </c>
      <c r="M218" s="48" t="s">
        <v>29</v>
      </c>
      <c r="N218" s="48" t="s">
        <v>29</v>
      </c>
      <c r="O218" s="48">
        <v>14</v>
      </c>
      <c r="P218" s="48">
        <v>47</v>
      </c>
      <c r="Q218" s="48" t="s">
        <v>29</v>
      </c>
      <c r="R218" s="48" t="s">
        <v>29</v>
      </c>
      <c r="S218" s="48">
        <f t="shared" si="17"/>
        <v>61</v>
      </c>
    </row>
    <row r="219" spans="1:19" x14ac:dyDescent="0.2">
      <c r="A219" s="364">
        <v>2001</v>
      </c>
      <c r="B219" s="48" t="s">
        <v>29</v>
      </c>
      <c r="C219" s="48" t="s">
        <v>29</v>
      </c>
      <c r="D219" s="48">
        <v>807</v>
      </c>
      <c r="E219" s="48">
        <v>996</v>
      </c>
      <c r="F219" s="48">
        <v>1213</v>
      </c>
      <c r="G219" s="48">
        <v>3022</v>
      </c>
      <c r="H219" s="48">
        <v>314</v>
      </c>
      <c r="I219" s="48">
        <v>856</v>
      </c>
      <c r="J219" s="48" t="s">
        <v>29</v>
      </c>
      <c r="K219" s="48">
        <f t="shared" si="16"/>
        <v>7208</v>
      </c>
      <c r="M219" s="48" t="s">
        <v>29</v>
      </c>
      <c r="N219" s="48">
        <v>16</v>
      </c>
      <c r="O219" s="48">
        <v>11</v>
      </c>
      <c r="P219" s="48">
        <v>29</v>
      </c>
      <c r="Q219" s="48" t="s">
        <v>29</v>
      </c>
      <c r="R219" s="48">
        <v>13</v>
      </c>
      <c r="S219" s="48">
        <f t="shared" si="17"/>
        <v>69</v>
      </c>
    </row>
    <row r="220" spans="1:19" x14ac:dyDescent="0.2">
      <c r="A220" s="364">
        <v>2002</v>
      </c>
      <c r="B220" s="48" t="s">
        <v>29</v>
      </c>
      <c r="C220" s="48" t="s">
        <v>29</v>
      </c>
      <c r="D220" s="48">
        <v>506</v>
      </c>
      <c r="E220" s="48">
        <v>2532</v>
      </c>
      <c r="F220" s="48">
        <v>35</v>
      </c>
      <c r="G220" s="48">
        <v>2654</v>
      </c>
      <c r="H220" s="48">
        <v>3906</v>
      </c>
      <c r="I220" s="48">
        <v>301</v>
      </c>
      <c r="J220" s="48" t="s">
        <v>29</v>
      </c>
      <c r="K220" s="48">
        <f t="shared" si="16"/>
        <v>9934</v>
      </c>
      <c r="M220" s="48" t="s">
        <v>29</v>
      </c>
      <c r="N220" s="48">
        <v>31</v>
      </c>
      <c r="O220" s="48">
        <v>16</v>
      </c>
      <c r="P220" s="48">
        <v>29</v>
      </c>
      <c r="Q220" s="48">
        <v>32</v>
      </c>
      <c r="R220" s="48" t="s">
        <v>29</v>
      </c>
      <c r="S220" s="48">
        <f t="shared" si="17"/>
        <v>108</v>
      </c>
    </row>
    <row r="221" spans="1:19" x14ac:dyDescent="0.2">
      <c r="A221" s="364">
        <v>2003</v>
      </c>
      <c r="B221" s="48" t="s">
        <v>29</v>
      </c>
      <c r="C221" s="48" t="s">
        <v>29</v>
      </c>
      <c r="D221" s="48">
        <v>448</v>
      </c>
      <c r="E221" s="48">
        <v>316</v>
      </c>
      <c r="F221" s="48">
        <v>1199</v>
      </c>
      <c r="G221" s="48">
        <v>1354</v>
      </c>
      <c r="H221" s="48">
        <v>1579</v>
      </c>
      <c r="I221" s="48">
        <v>552</v>
      </c>
      <c r="J221" s="48" t="s">
        <v>29</v>
      </c>
      <c r="K221" s="48">
        <f t="shared" si="16"/>
        <v>5448</v>
      </c>
      <c r="M221" s="48" t="s">
        <v>29</v>
      </c>
      <c r="N221" s="48">
        <v>5</v>
      </c>
      <c r="O221" s="48">
        <v>17</v>
      </c>
      <c r="P221" s="48">
        <v>17</v>
      </c>
      <c r="Q221" s="48">
        <v>12</v>
      </c>
      <c r="R221" s="48" t="s">
        <v>29</v>
      </c>
      <c r="S221" s="48">
        <f t="shared" si="17"/>
        <v>51</v>
      </c>
    </row>
    <row r="222" spans="1:19" x14ac:dyDescent="0.2">
      <c r="A222" s="364">
        <v>2004</v>
      </c>
      <c r="B222" s="48" t="s">
        <v>29</v>
      </c>
      <c r="C222" s="48" t="s">
        <v>29</v>
      </c>
      <c r="D222" s="48">
        <v>531</v>
      </c>
      <c r="E222" s="48">
        <v>2325</v>
      </c>
      <c r="F222" s="48">
        <v>1541</v>
      </c>
      <c r="G222" s="48">
        <v>1638</v>
      </c>
      <c r="H222" s="48">
        <v>569</v>
      </c>
      <c r="I222" s="48">
        <v>233</v>
      </c>
      <c r="J222" s="48" t="s">
        <v>29</v>
      </c>
      <c r="K222" s="48">
        <f t="shared" si="16"/>
        <v>6837</v>
      </c>
      <c r="M222" s="48">
        <v>2</v>
      </c>
      <c r="N222" s="48">
        <v>357</v>
      </c>
      <c r="O222" s="48">
        <v>673</v>
      </c>
      <c r="P222" s="48">
        <v>222</v>
      </c>
      <c r="Q222" s="48">
        <v>18</v>
      </c>
      <c r="R222" s="48">
        <v>3</v>
      </c>
      <c r="S222" s="48">
        <f t="shared" si="17"/>
        <v>1275</v>
      </c>
    </row>
    <row r="223" spans="1:19" x14ac:dyDescent="0.2">
      <c r="A223" s="118">
        <v>2005</v>
      </c>
      <c r="B223" s="48" t="s">
        <v>29</v>
      </c>
      <c r="C223" s="48" t="s">
        <v>29</v>
      </c>
      <c r="D223" s="48">
        <v>180</v>
      </c>
      <c r="E223" s="48">
        <v>2904</v>
      </c>
      <c r="F223" s="48">
        <v>49</v>
      </c>
      <c r="G223" s="48">
        <v>989</v>
      </c>
      <c r="H223" s="48">
        <v>1181</v>
      </c>
      <c r="I223" s="48">
        <v>404</v>
      </c>
      <c r="J223" s="48" t="s">
        <v>29</v>
      </c>
      <c r="K223" s="48">
        <f t="shared" si="16"/>
        <v>5707</v>
      </c>
      <c r="M223" s="48" t="s">
        <v>29</v>
      </c>
      <c r="N223" s="48">
        <v>89</v>
      </c>
      <c r="O223" s="48">
        <v>0</v>
      </c>
      <c r="P223" s="48">
        <v>12</v>
      </c>
      <c r="Q223" s="48">
        <v>9</v>
      </c>
      <c r="R223" s="48" t="s">
        <v>29</v>
      </c>
      <c r="S223" s="48">
        <f t="shared" si="17"/>
        <v>110</v>
      </c>
    </row>
    <row r="224" spans="1:19" x14ac:dyDescent="0.2">
      <c r="A224" s="118">
        <v>2006</v>
      </c>
      <c r="B224" s="48" t="s">
        <v>29</v>
      </c>
      <c r="C224" s="48" t="s">
        <v>29</v>
      </c>
      <c r="D224" s="280">
        <v>52</v>
      </c>
      <c r="E224" s="280">
        <v>513</v>
      </c>
      <c r="F224" s="280">
        <v>186</v>
      </c>
      <c r="G224" s="280" t="s">
        <v>29</v>
      </c>
      <c r="H224" s="280">
        <v>644</v>
      </c>
      <c r="I224" s="280">
        <v>397</v>
      </c>
      <c r="J224" s="48" t="s">
        <v>29</v>
      </c>
      <c r="K224" s="48">
        <f t="shared" si="16"/>
        <v>1792</v>
      </c>
      <c r="M224" s="280">
        <v>2</v>
      </c>
      <c r="N224" s="280">
        <v>474</v>
      </c>
      <c r="O224" s="280">
        <v>117</v>
      </c>
      <c r="P224" s="280" t="s">
        <v>29</v>
      </c>
      <c r="Q224" s="280">
        <v>81</v>
      </c>
      <c r="R224" s="280">
        <v>7</v>
      </c>
      <c r="S224" s="48">
        <f t="shared" si="17"/>
        <v>681</v>
      </c>
    </row>
    <row r="225" spans="1:21" s="366" customFormat="1" x14ac:dyDescent="0.2">
      <c r="A225" s="118">
        <v>2007</v>
      </c>
      <c r="B225" s="182" t="s">
        <v>29</v>
      </c>
      <c r="C225" s="182" t="s">
        <v>29</v>
      </c>
      <c r="D225" s="281">
        <v>14</v>
      </c>
      <c r="E225" s="281">
        <v>42</v>
      </c>
      <c r="F225" s="281">
        <v>116</v>
      </c>
      <c r="G225" s="281">
        <v>2000</v>
      </c>
      <c r="H225" s="281">
        <v>343</v>
      </c>
      <c r="I225" s="281">
        <v>535</v>
      </c>
      <c r="J225" s="182" t="s">
        <v>29</v>
      </c>
      <c r="K225" s="182">
        <f t="shared" si="16"/>
        <v>3050</v>
      </c>
      <c r="L225" s="182"/>
      <c r="M225" s="182" t="s">
        <v>29</v>
      </c>
      <c r="N225" s="281">
        <v>132</v>
      </c>
      <c r="O225" s="281">
        <v>606</v>
      </c>
      <c r="P225" s="281">
        <v>809</v>
      </c>
      <c r="Q225" s="281">
        <v>19</v>
      </c>
      <c r="R225" s="281">
        <v>3</v>
      </c>
      <c r="S225" s="182">
        <f t="shared" si="17"/>
        <v>1569</v>
      </c>
    </row>
    <row r="226" spans="1:21" s="366" customFormat="1" x14ac:dyDescent="0.2">
      <c r="A226" s="118">
        <v>2008</v>
      </c>
      <c r="B226" s="182" t="s">
        <v>29</v>
      </c>
      <c r="C226" s="182" t="s">
        <v>29</v>
      </c>
      <c r="D226" s="281" t="s">
        <v>29</v>
      </c>
      <c r="E226" s="281" t="s">
        <v>29</v>
      </c>
      <c r="F226" s="281" t="s">
        <v>29</v>
      </c>
      <c r="G226" s="281" t="s">
        <v>29</v>
      </c>
      <c r="H226" s="281" t="s">
        <v>29</v>
      </c>
      <c r="I226" s="281">
        <v>280</v>
      </c>
      <c r="J226" s="182" t="s">
        <v>29</v>
      </c>
      <c r="K226" s="182">
        <f t="shared" si="16"/>
        <v>280</v>
      </c>
      <c r="L226" s="182"/>
      <c r="M226" s="182" t="s">
        <v>29</v>
      </c>
      <c r="N226" s="281">
        <v>449</v>
      </c>
      <c r="O226" s="281">
        <v>1273</v>
      </c>
      <c r="P226" s="281">
        <v>409</v>
      </c>
      <c r="Q226" s="182" t="s">
        <v>29</v>
      </c>
      <c r="R226" s="281">
        <v>3</v>
      </c>
      <c r="S226" s="182">
        <f t="shared" si="17"/>
        <v>2134</v>
      </c>
    </row>
    <row r="227" spans="1:21" s="366" customFormat="1" x14ac:dyDescent="0.2">
      <c r="A227" s="118">
        <v>2009</v>
      </c>
      <c r="B227" s="182" t="s">
        <v>29</v>
      </c>
      <c r="C227" s="182" t="s">
        <v>29</v>
      </c>
      <c r="D227" s="281" t="s">
        <v>29</v>
      </c>
      <c r="E227" s="281" t="s">
        <v>29</v>
      </c>
      <c r="F227" s="281">
        <v>9</v>
      </c>
      <c r="G227" s="281">
        <v>23</v>
      </c>
      <c r="H227" s="281">
        <v>163</v>
      </c>
      <c r="I227" s="182" t="s">
        <v>29</v>
      </c>
      <c r="J227" s="182" t="s">
        <v>29</v>
      </c>
      <c r="K227" s="182">
        <f t="shared" si="16"/>
        <v>195</v>
      </c>
      <c r="L227" s="182"/>
      <c r="M227" s="182" t="s">
        <v>29</v>
      </c>
      <c r="N227" s="281">
        <v>6</v>
      </c>
      <c r="O227" s="281">
        <v>1123</v>
      </c>
      <c r="P227" s="281">
        <v>59</v>
      </c>
      <c r="Q227" s="182">
        <v>9</v>
      </c>
      <c r="R227" s="182" t="s">
        <v>29</v>
      </c>
      <c r="S227" s="182">
        <f t="shared" si="17"/>
        <v>1197</v>
      </c>
    </row>
    <row r="228" spans="1:21" s="366" customFormat="1" x14ac:dyDescent="0.2">
      <c r="A228" s="118">
        <v>2010</v>
      </c>
      <c r="B228" s="182" t="s">
        <v>29</v>
      </c>
      <c r="C228" s="182" t="s">
        <v>29</v>
      </c>
      <c r="D228" s="281">
        <v>7</v>
      </c>
      <c r="E228" s="281">
        <v>2</v>
      </c>
      <c r="F228" s="281">
        <v>3</v>
      </c>
      <c r="G228" s="281">
        <v>24</v>
      </c>
      <c r="H228" s="281">
        <v>247</v>
      </c>
      <c r="I228" s="182">
        <v>541</v>
      </c>
      <c r="J228" s="182" t="s">
        <v>29</v>
      </c>
      <c r="K228" s="182">
        <f t="shared" si="16"/>
        <v>824</v>
      </c>
      <c r="L228" s="182"/>
      <c r="M228" s="182" t="s">
        <v>29</v>
      </c>
      <c r="N228" s="182" t="s">
        <v>29</v>
      </c>
      <c r="O228" s="281">
        <v>19</v>
      </c>
      <c r="P228" s="281">
        <v>25</v>
      </c>
      <c r="Q228" s="182">
        <v>16</v>
      </c>
      <c r="R228" s="182" t="s">
        <v>29</v>
      </c>
      <c r="S228" s="182">
        <f t="shared" si="17"/>
        <v>60</v>
      </c>
    </row>
    <row r="229" spans="1:21" s="366" customFormat="1" x14ac:dyDescent="0.2">
      <c r="A229" s="118">
        <v>2011</v>
      </c>
      <c r="B229" s="182" t="s">
        <v>29</v>
      </c>
      <c r="C229" s="182" t="s">
        <v>29</v>
      </c>
      <c r="D229" s="281">
        <v>148</v>
      </c>
      <c r="E229" s="281">
        <v>24</v>
      </c>
      <c r="F229" s="281">
        <v>7</v>
      </c>
      <c r="G229" s="281">
        <v>328</v>
      </c>
      <c r="H229" s="281">
        <v>196</v>
      </c>
      <c r="I229" s="182">
        <v>233</v>
      </c>
      <c r="J229" s="182" t="s">
        <v>29</v>
      </c>
      <c r="K229" s="182">
        <f t="shared" si="16"/>
        <v>936</v>
      </c>
      <c r="L229" s="182"/>
      <c r="M229" s="182" t="s">
        <v>29</v>
      </c>
      <c r="N229" s="182" t="s">
        <v>29</v>
      </c>
      <c r="O229" s="281">
        <v>12</v>
      </c>
      <c r="P229" s="281">
        <v>8</v>
      </c>
      <c r="Q229" s="182">
        <v>8</v>
      </c>
      <c r="R229" s="182" t="s">
        <v>29</v>
      </c>
      <c r="S229" s="182">
        <f t="shared" si="17"/>
        <v>28</v>
      </c>
    </row>
    <row r="230" spans="1:21" s="366" customFormat="1" x14ac:dyDescent="0.2">
      <c r="A230" s="118">
        <v>2012</v>
      </c>
      <c r="B230" s="182" t="s">
        <v>29</v>
      </c>
      <c r="C230" s="182" t="s">
        <v>29</v>
      </c>
      <c r="D230" s="281">
        <v>334</v>
      </c>
      <c r="E230" s="281">
        <v>904</v>
      </c>
      <c r="F230" s="281">
        <v>2329</v>
      </c>
      <c r="G230" s="281">
        <v>4014</v>
      </c>
      <c r="H230" s="281">
        <v>1208</v>
      </c>
      <c r="I230" s="182">
        <v>534</v>
      </c>
      <c r="J230" s="182" t="s">
        <v>29</v>
      </c>
      <c r="K230" s="182">
        <f t="shared" si="16"/>
        <v>9323</v>
      </c>
      <c r="L230" s="182"/>
      <c r="M230" s="182" t="s">
        <v>29</v>
      </c>
      <c r="N230" s="182">
        <v>15</v>
      </c>
      <c r="O230" s="281">
        <v>144</v>
      </c>
      <c r="P230" s="281">
        <v>48</v>
      </c>
      <c r="Q230" s="182" t="s">
        <v>29</v>
      </c>
      <c r="R230" s="182">
        <v>2</v>
      </c>
      <c r="S230" s="182">
        <f t="shared" si="17"/>
        <v>209</v>
      </c>
    </row>
    <row r="231" spans="1:21" s="366" customFormat="1" x14ac:dyDescent="0.2">
      <c r="A231" s="118">
        <v>2013</v>
      </c>
      <c r="B231" s="182" t="s">
        <v>29</v>
      </c>
      <c r="C231" s="182" t="s">
        <v>29</v>
      </c>
      <c r="D231" s="281">
        <v>22</v>
      </c>
      <c r="E231" s="281">
        <v>1815</v>
      </c>
      <c r="F231" s="281">
        <v>4942</v>
      </c>
      <c r="G231" s="281">
        <v>2836</v>
      </c>
      <c r="H231" s="281">
        <v>20</v>
      </c>
      <c r="I231" s="182">
        <v>814</v>
      </c>
      <c r="J231" s="182" t="s">
        <v>29</v>
      </c>
      <c r="K231" s="182">
        <f t="shared" si="16"/>
        <v>10449</v>
      </c>
      <c r="L231" s="182"/>
      <c r="M231" s="182" t="s">
        <v>29</v>
      </c>
      <c r="N231" s="182">
        <v>8</v>
      </c>
      <c r="O231" s="281">
        <v>302</v>
      </c>
      <c r="P231" s="281">
        <v>123</v>
      </c>
      <c r="Q231" s="182" t="s">
        <v>29</v>
      </c>
      <c r="R231" s="182">
        <v>6</v>
      </c>
      <c r="S231" s="182">
        <f t="shared" si="17"/>
        <v>439</v>
      </c>
    </row>
    <row r="232" spans="1:21" s="366" customFormat="1" x14ac:dyDescent="0.2">
      <c r="A232" s="118">
        <v>2014</v>
      </c>
      <c r="B232" s="182" t="s">
        <v>29</v>
      </c>
      <c r="C232" s="182" t="s">
        <v>29</v>
      </c>
      <c r="D232" s="281">
        <v>817</v>
      </c>
      <c r="E232" s="281">
        <v>477</v>
      </c>
      <c r="F232" s="281">
        <v>3341</v>
      </c>
      <c r="G232" s="281">
        <v>1053</v>
      </c>
      <c r="H232" s="281">
        <v>16</v>
      </c>
      <c r="I232" s="182">
        <v>1115</v>
      </c>
      <c r="J232" s="182" t="s">
        <v>29</v>
      </c>
      <c r="K232" s="182">
        <f t="shared" si="16"/>
        <v>6819</v>
      </c>
      <c r="L232" s="182"/>
      <c r="M232" s="182">
        <v>3</v>
      </c>
      <c r="N232" s="182">
        <v>31</v>
      </c>
      <c r="O232" s="281">
        <v>528</v>
      </c>
      <c r="P232" s="281">
        <v>5</v>
      </c>
      <c r="Q232" s="182" t="s">
        <v>29</v>
      </c>
      <c r="R232" s="182" t="s">
        <v>29</v>
      </c>
      <c r="S232" s="182">
        <f t="shared" si="17"/>
        <v>567</v>
      </c>
    </row>
    <row r="233" spans="1:21" s="366" customFormat="1" ht="12" customHeight="1" x14ac:dyDescent="0.2">
      <c r="A233" s="118">
        <v>2015</v>
      </c>
      <c r="B233" s="182" t="s">
        <v>29</v>
      </c>
      <c r="C233" s="182" t="s">
        <v>29</v>
      </c>
      <c r="D233" s="281">
        <v>30</v>
      </c>
      <c r="E233" s="281">
        <v>97</v>
      </c>
      <c r="F233" s="281">
        <v>149</v>
      </c>
      <c r="G233" s="281">
        <v>47</v>
      </c>
      <c r="H233" s="281">
        <v>69</v>
      </c>
      <c r="I233" s="182">
        <v>792</v>
      </c>
      <c r="J233" s="182" t="s">
        <v>29</v>
      </c>
      <c r="K233" s="182">
        <f t="shared" si="16"/>
        <v>1184</v>
      </c>
      <c r="L233" s="182"/>
      <c r="M233" s="182" t="s">
        <v>29</v>
      </c>
      <c r="N233" s="182">
        <v>5</v>
      </c>
      <c r="O233" s="281">
        <v>118</v>
      </c>
      <c r="P233" s="281">
        <v>5</v>
      </c>
      <c r="Q233" s="182">
        <v>4</v>
      </c>
      <c r="R233" s="182">
        <v>6</v>
      </c>
      <c r="S233" s="182">
        <f t="shared" si="17"/>
        <v>138</v>
      </c>
    </row>
    <row r="234" spans="1:21" s="366" customFormat="1" ht="12" customHeight="1" x14ac:dyDescent="0.2">
      <c r="A234" s="118">
        <v>2016</v>
      </c>
      <c r="B234" s="182" t="s">
        <v>29</v>
      </c>
      <c r="C234" s="182" t="s">
        <v>29</v>
      </c>
      <c r="D234" s="281">
        <v>0</v>
      </c>
      <c r="E234" s="281">
        <v>82</v>
      </c>
      <c r="F234" s="281">
        <v>72</v>
      </c>
      <c r="G234" s="281">
        <v>3</v>
      </c>
      <c r="H234" s="281">
        <v>59</v>
      </c>
      <c r="I234" s="182">
        <v>287</v>
      </c>
      <c r="J234" s="182" t="s">
        <v>29</v>
      </c>
      <c r="K234" s="182">
        <f t="shared" si="16"/>
        <v>503</v>
      </c>
      <c r="L234" s="182"/>
      <c r="M234" s="182" t="s">
        <v>29</v>
      </c>
      <c r="N234" s="182">
        <v>11</v>
      </c>
      <c r="O234" s="281">
        <v>36</v>
      </c>
      <c r="P234" s="281">
        <v>3</v>
      </c>
      <c r="Q234" s="182">
        <v>2</v>
      </c>
      <c r="R234" s="182" t="s">
        <v>29</v>
      </c>
      <c r="S234" s="182">
        <f t="shared" si="17"/>
        <v>52</v>
      </c>
    </row>
    <row r="235" spans="1:21" s="366" customFormat="1" ht="12" customHeight="1" x14ac:dyDescent="0.2">
      <c r="A235" s="118">
        <v>2017</v>
      </c>
      <c r="B235" s="182" t="s">
        <v>29</v>
      </c>
      <c r="C235" s="182" t="s">
        <v>29</v>
      </c>
      <c r="D235" s="182" t="s">
        <v>29</v>
      </c>
      <c r="E235" s="182" t="s">
        <v>29</v>
      </c>
      <c r="F235" s="182" t="s">
        <v>29</v>
      </c>
      <c r="G235" s="182" t="s">
        <v>29</v>
      </c>
      <c r="H235" s="182" t="s">
        <v>29</v>
      </c>
      <c r="I235" s="182">
        <v>506</v>
      </c>
      <c r="J235" s="182" t="s">
        <v>29</v>
      </c>
      <c r="K235" s="182">
        <f t="shared" si="16"/>
        <v>506</v>
      </c>
      <c r="L235" s="182"/>
      <c r="M235" s="182" t="s">
        <v>29</v>
      </c>
      <c r="N235" s="182" t="s">
        <v>29</v>
      </c>
      <c r="O235" s="182" t="s">
        <v>29</v>
      </c>
      <c r="P235" s="182" t="s">
        <v>29</v>
      </c>
      <c r="Q235" s="182" t="s">
        <v>29</v>
      </c>
      <c r="R235" s="182" t="s">
        <v>29</v>
      </c>
      <c r="S235" s="182" t="s">
        <v>29</v>
      </c>
    </row>
    <row r="236" spans="1:21" s="366" customFormat="1" ht="12" customHeight="1" x14ac:dyDescent="0.2">
      <c r="A236" s="118">
        <v>2018</v>
      </c>
      <c r="B236" s="182" t="s">
        <v>29</v>
      </c>
      <c r="C236" s="182" t="s">
        <v>29</v>
      </c>
      <c r="D236" s="182">
        <v>105</v>
      </c>
      <c r="E236" s="182">
        <v>149</v>
      </c>
      <c r="F236" s="182">
        <v>458</v>
      </c>
      <c r="G236" s="182">
        <v>448</v>
      </c>
      <c r="H236" s="182">
        <v>4</v>
      </c>
      <c r="I236" s="182">
        <v>429</v>
      </c>
      <c r="J236" s="182" t="s">
        <v>29</v>
      </c>
      <c r="K236" s="182">
        <f>SUM(B236:J236)</f>
        <v>1593</v>
      </c>
      <c r="L236" s="182"/>
      <c r="M236" s="182" t="s">
        <v>29</v>
      </c>
      <c r="N236" s="182">
        <v>3</v>
      </c>
      <c r="O236" s="182">
        <v>3</v>
      </c>
      <c r="P236" s="182">
        <v>12</v>
      </c>
      <c r="Q236" s="182" t="s">
        <v>29</v>
      </c>
      <c r="R236" s="182" t="s">
        <v>29</v>
      </c>
      <c r="S236" s="182">
        <f>SUM(M236:R236)</f>
        <v>18</v>
      </c>
      <c r="U236" s="225"/>
    </row>
    <row r="237" spans="1:21" s="489" customFormat="1" ht="12" customHeight="1" x14ac:dyDescent="0.2">
      <c r="A237" s="118">
        <v>2019</v>
      </c>
      <c r="B237" s="182" t="s">
        <v>29</v>
      </c>
      <c r="C237" s="182" t="s">
        <v>29</v>
      </c>
      <c r="D237" s="182">
        <v>9</v>
      </c>
      <c r="E237" s="182">
        <v>117</v>
      </c>
      <c r="F237" s="182">
        <v>212</v>
      </c>
      <c r="G237" s="182">
        <v>223</v>
      </c>
      <c r="H237" s="182">
        <v>11</v>
      </c>
      <c r="I237" s="182" t="s">
        <v>29</v>
      </c>
      <c r="J237" s="182" t="s">
        <v>29</v>
      </c>
      <c r="K237" s="182">
        <f t="shared" ref="K237" si="18">SUM(B237:J237)</f>
        <v>572</v>
      </c>
      <c r="L237" s="182"/>
      <c r="M237" s="182" t="s">
        <v>29</v>
      </c>
      <c r="N237" s="182">
        <v>139</v>
      </c>
      <c r="O237" s="182">
        <v>343</v>
      </c>
      <c r="P237" s="182">
        <v>60</v>
      </c>
      <c r="Q237" s="182" t="s">
        <v>29</v>
      </c>
      <c r="R237" s="182" t="s">
        <v>29</v>
      </c>
      <c r="S237" s="182">
        <f t="shared" ref="S237" si="19">SUM(M237:R237)</f>
        <v>542</v>
      </c>
      <c r="U237" s="225"/>
    </row>
    <row r="238" spans="1:21" ht="12" customHeight="1" x14ac:dyDescent="0.2">
      <c r="A238" s="118" t="s">
        <v>393</v>
      </c>
      <c r="B238" s="48" t="s">
        <v>29</v>
      </c>
      <c r="C238" s="48" t="s">
        <v>29</v>
      </c>
      <c r="D238" s="48" t="s">
        <v>29</v>
      </c>
      <c r="E238" s="48">
        <v>566</v>
      </c>
      <c r="F238" s="48">
        <v>956</v>
      </c>
      <c r="G238" s="48">
        <v>113</v>
      </c>
      <c r="H238" s="48" t="s">
        <v>29</v>
      </c>
      <c r="I238" s="48" t="s">
        <v>29</v>
      </c>
      <c r="J238" s="48" t="s">
        <v>29</v>
      </c>
      <c r="K238" s="48">
        <f t="shared" si="16"/>
        <v>1635</v>
      </c>
      <c r="M238" s="182" t="s">
        <v>29</v>
      </c>
      <c r="N238" s="182" t="s">
        <v>29</v>
      </c>
      <c r="O238" s="182" t="s">
        <v>29</v>
      </c>
      <c r="P238" s="182" t="s">
        <v>29</v>
      </c>
      <c r="Q238" s="182" t="s">
        <v>29</v>
      </c>
      <c r="R238" s="182" t="s">
        <v>29</v>
      </c>
      <c r="S238" s="182" t="s">
        <v>29</v>
      </c>
      <c r="U238" s="207"/>
    </row>
    <row r="240" spans="1:21" x14ac:dyDescent="0.2">
      <c r="A240" s="113" t="s">
        <v>50</v>
      </c>
    </row>
    <row r="241" spans="1:19" x14ac:dyDescent="0.2">
      <c r="A241" s="371">
        <v>1976</v>
      </c>
      <c r="B241" s="48" t="str">
        <f t="shared" ref="B241:K241" si="20">IF(AND(B194="-",B147="-",B100="-",B53="-"),"-",SUM(B194,B147,B100,B53))</f>
        <v>-</v>
      </c>
      <c r="C241" s="48">
        <f t="shared" si="20"/>
        <v>0</v>
      </c>
      <c r="D241" s="48">
        <f t="shared" si="20"/>
        <v>1619</v>
      </c>
      <c r="E241" s="48">
        <f t="shared" si="20"/>
        <v>4583</v>
      </c>
      <c r="F241" s="48">
        <f t="shared" si="20"/>
        <v>8167</v>
      </c>
      <c r="G241" s="48">
        <f t="shared" si="20"/>
        <v>16193</v>
      </c>
      <c r="H241" s="48">
        <f t="shared" si="20"/>
        <v>2969</v>
      </c>
      <c r="I241" s="48">
        <f t="shared" si="20"/>
        <v>809</v>
      </c>
      <c r="J241" s="48">
        <f t="shared" si="20"/>
        <v>148</v>
      </c>
      <c r="K241" s="48">
        <f t="shared" si="20"/>
        <v>34488</v>
      </c>
      <c r="M241" s="48">
        <f t="shared" ref="M241:S250" si="21">IF(AND(M194="-",M147="-",M100="-",M53="-"),"-",SUM(M194,M147,M100,M53))</f>
        <v>18407</v>
      </c>
      <c r="N241" s="48">
        <f t="shared" si="21"/>
        <v>60622</v>
      </c>
      <c r="O241" s="48">
        <f t="shared" si="21"/>
        <v>135540</v>
      </c>
      <c r="P241" s="48">
        <f t="shared" si="21"/>
        <v>150650</v>
      </c>
      <c r="Q241" s="48">
        <f t="shared" si="21"/>
        <v>14601</v>
      </c>
      <c r="R241" s="48">
        <f t="shared" si="21"/>
        <v>3515</v>
      </c>
      <c r="S241" s="48">
        <f t="shared" si="21"/>
        <v>383335</v>
      </c>
    </row>
    <row r="242" spans="1:19" x14ac:dyDescent="0.2">
      <c r="A242" s="371">
        <v>1977</v>
      </c>
      <c r="B242" s="48" t="str">
        <f t="shared" ref="B242:K242" si="22">IF(AND(B195="-",B148="-",B101="-",B54="-"),"-",SUM(B195,B148,B101,B54))</f>
        <v>-</v>
      </c>
      <c r="C242" s="48">
        <f t="shared" si="22"/>
        <v>0</v>
      </c>
      <c r="D242" s="48">
        <f t="shared" si="22"/>
        <v>985</v>
      </c>
      <c r="E242" s="48">
        <f t="shared" si="22"/>
        <v>4659</v>
      </c>
      <c r="F242" s="48">
        <f t="shared" si="22"/>
        <v>12603</v>
      </c>
      <c r="G242" s="48">
        <f t="shared" si="22"/>
        <v>13101</v>
      </c>
      <c r="H242" s="48">
        <f t="shared" si="22"/>
        <v>5078</v>
      </c>
      <c r="I242" s="48">
        <f t="shared" si="22"/>
        <v>1417</v>
      </c>
      <c r="J242" s="48">
        <f t="shared" si="22"/>
        <v>100</v>
      </c>
      <c r="K242" s="48">
        <f t="shared" si="22"/>
        <v>37943</v>
      </c>
      <c r="M242" s="48">
        <f t="shared" si="21"/>
        <v>15104</v>
      </c>
      <c r="N242" s="48">
        <f t="shared" si="21"/>
        <v>19550</v>
      </c>
      <c r="O242" s="48">
        <f t="shared" si="21"/>
        <v>57651</v>
      </c>
      <c r="P242" s="48">
        <f t="shared" si="21"/>
        <v>34103</v>
      </c>
      <c r="Q242" s="48">
        <f t="shared" si="21"/>
        <v>5616</v>
      </c>
      <c r="R242" s="48">
        <f t="shared" si="21"/>
        <v>347</v>
      </c>
      <c r="S242" s="48">
        <f t="shared" si="21"/>
        <v>132371</v>
      </c>
    </row>
    <row r="243" spans="1:19" x14ac:dyDescent="0.2">
      <c r="A243" s="371">
        <v>1978</v>
      </c>
      <c r="B243" s="48" t="str">
        <f t="shared" ref="B243:K243" si="23">IF(AND(B196="-",B149="-",B102="-",B55="-"),"-",SUM(B196,B149,B102,B55))</f>
        <v>-</v>
      </c>
      <c r="C243" s="48">
        <f t="shared" si="23"/>
        <v>0</v>
      </c>
      <c r="D243" s="48">
        <f t="shared" si="23"/>
        <v>785</v>
      </c>
      <c r="E243" s="48">
        <f t="shared" si="23"/>
        <v>3067</v>
      </c>
      <c r="F243" s="48">
        <f t="shared" si="23"/>
        <v>3621</v>
      </c>
      <c r="G243" s="48">
        <f t="shared" si="23"/>
        <v>5391</v>
      </c>
      <c r="H243" s="48">
        <f t="shared" si="23"/>
        <v>1086</v>
      </c>
      <c r="I243" s="48">
        <f t="shared" si="23"/>
        <v>876</v>
      </c>
      <c r="J243" s="48">
        <f t="shared" si="23"/>
        <v>79</v>
      </c>
      <c r="K243" s="48">
        <f t="shared" si="23"/>
        <v>14905</v>
      </c>
      <c r="M243" s="48">
        <f t="shared" si="21"/>
        <v>4382</v>
      </c>
      <c r="N243" s="48">
        <f t="shared" si="21"/>
        <v>81269</v>
      </c>
      <c r="O243" s="48">
        <f t="shared" si="21"/>
        <v>56143</v>
      </c>
      <c r="P243" s="48">
        <f t="shared" si="21"/>
        <v>50518</v>
      </c>
      <c r="Q243" s="48">
        <f t="shared" si="21"/>
        <v>7005</v>
      </c>
      <c r="R243" s="48">
        <f t="shared" si="21"/>
        <v>298</v>
      </c>
      <c r="S243" s="48">
        <f t="shared" si="21"/>
        <v>199615</v>
      </c>
    </row>
    <row r="244" spans="1:19" x14ac:dyDescent="0.2">
      <c r="A244" s="371">
        <v>1979</v>
      </c>
      <c r="B244" s="48" t="str">
        <f t="shared" ref="B244:K244" si="24">IF(AND(B197="-",B150="-",B103="-",B56="-"),"-",SUM(B197,B150,B103,B56))</f>
        <v>-</v>
      </c>
      <c r="C244" s="48" t="str">
        <f t="shared" si="24"/>
        <v>-</v>
      </c>
      <c r="D244" s="48">
        <f t="shared" si="24"/>
        <v>354</v>
      </c>
      <c r="E244" s="48">
        <f t="shared" si="24"/>
        <v>3000</v>
      </c>
      <c r="F244" s="48">
        <f t="shared" si="24"/>
        <v>4654</v>
      </c>
      <c r="G244" s="48">
        <f t="shared" si="24"/>
        <v>4614</v>
      </c>
      <c r="H244" s="48">
        <f t="shared" si="24"/>
        <v>81</v>
      </c>
      <c r="I244" s="48">
        <f t="shared" si="24"/>
        <v>597</v>
      </c>
      <c r="J244" s="48">
        <f t="shared" si="24"/>
        <v>60</v>
      </c>
      <c r="K244" s="48">
        <f t="shared" si="24"/>
        <v>13360</v>
      </c>
      <c r="M244" s="48">
        <f t="shared" si="21"/>
        <v>5264</v>
      </c>
      <c r="N244" s="48">
        <f t="shared" si="21"/>
        <v>29084</v>
      </c>
      <c r="O244" s="48">
        <f t="shared" si="21"/>
        <v>72493</v>
      </c>
      <c r="P244" s="48">
        <f t="shared" si="21"/>
        <v>35874</v>
      </c>
      <c r="Q244" s="48">
        <f t="shared" si="21"/>
        <v>85</v>
      </c>
      <c r="R244" s="48" t="str">
        <f t="shared" si="21"/>
        <v>-</v>
      </c>
      <c r="S244" s="48">
        <f t="shared" si="21"/>
        <v>142800</v>
      </c>
    </row>
    <row r="245" spans="1:19" x14ac:dyDescent="0.2">
      <c r="A245" s="371">
        <v>1980</v>
      </c>
      <c r="B245" s="48" t="str">
        <f t="shared" ref="B245:K245" si="25">IF(AND(B198="-",B151="-",B104="-",B57="-"),"-",SUM(B198,B151,B104,B57))</f>
        <v>-</v>
      </c>
      <c r="C245" s="48" t="str">
        <f t="shared" si="25"/>
        <v>-</v>
      </c>
      <c r="D245" s="48">
        <f t="shared" si="25"/>
        <v>215</v>
      </c>
      <c r="E245" s="48">
        <f t="shared" si="25"/>
        <v>3501</v>
      </c>
      <c r="F245" s="48">
        <f t="shared" si="25"/>
        <v>5538</v>
      </c>
      <c r="G245" s="48">
        <f t="shared" si="25"/>
        <v>2925</v>
      </c>
      <c r="H245" s="48">
        <f t="shared" si="25"/>
        <v>950</v>
      </c>
      <c r="I245" s="48">
        <f t="shared" si="25"/>
        <v>319</v>
      </c>
      <c r="J245" s="48">
        <f t="shared" si="25"/>
        <v>63</v>
      </c>
      <c r="K245" s="48">
        <f t="shared" si="25"/>
        <v>13511</v>
      </c>
      <c r="M245" s="48">
        <f t="shared" si="21"/>
        <v>4224</v>
      </c>
      <c r="N245" s="48">
        <f t="shared" si="21"/>
        <v>96917</v>
      </c>
      <c r="O245" s="48">
        <f t="shared" si="21"/>
        <v>136275</v>
      </c>
      <c r="P245" s="48">
        <f t="shared" si="21"/>
        <v>29586</v>
      </c>
      <c r="Q245" s="48">
        <f t="shared" si="21"/>
        <v>3194</v>
      </c>
      <c r="R245" s="48" t="str">
        <f t="shared" si="21"/>
        <v>-</v>
      </c>
      <c r="S245" s="48">
        <f t="shared" si="21"/>
        <v>270196</v>
      </c>
    </row>
    <row r="246" spans="1:19" x14ac:dyDescent="0.2">
      <c r="A246" s="371">
        <v>1981</v>
      </c>
      <c r="B246" s="48" t="str">
        <f t="shared" ref="B246:K246" si="26">IF(AND(B199="-",B152="-",B105="-",B58="-"),"-",SUM(B199,B152,B105,B58))</f>
        <v>-</v>
      </c>
      <c r="C246" s="48" t="str">
        <f t="shared" si="26"/>
        <v>-</v>
      </c>
      <c r="D246" s="48">
        <f t="shared" si="26"/>
        <v>671</v>
      </c>
      <c r="E246" s="48">
        <f t="shared" si="26"/>
        <v>2758</v>
      </c>
      <c r="F246" s="48">
        <f t="shared" si="26"/>
        <v>7148</v>
      </c>
      <c r="G246" s="48">
        <f t="shared" si="26"/>
        <v>5765</v>
      </c>
      <c r="H246" s="48">
        <f t="shared" si="26"/>
        <v>1018</v>
      </c>
      <c r="I246" s="48">
        <f t="shared" si="26"/>
        <v>289</v>
      </c>
      <c r="J246" s="48">
        <f t="shared" si="26"/>
        <v>10</v>
      </c>
      <c r="K246" s="48">
        <f t="shared" si="26"/>
        <v>17659</v>
      </c>
      <c r="M246" s="48">
        <f t="shared" si="21"/>
        <v>7482</v>
      </c>
      <c r="N246" s="48">
        <f t="shared" si="21"/>
        <v>18042</v>
      </c>
      <c r="O246" s="48">
        <f t="shared" si="21"/>
        <v>52672</v>
      </c>
      <c r="P246" s="48">
        <f t="shared" si="21"/>
        <v>60377</v>
      </c>
      <c r="Q246" s="48">
        <f t="shared" si="21"/>
        <v>6945</v>
      </c>
      <c r="R246" s="48" t="str">
        <f t="shared" si="21"/>
        <v>-</v>
      </c>
      <c r="S246" s="48">
        <f t="shared" si="21"/>
        <v>145518</v>
      </c>
    </row>
    <row r="247" spans="1:19" x14ac:dyDescent="0.2">
      <c r="A247" s="371">
        <v>1982</v>
      </c>
      <c r="B247" s="48" t="str">
        <f t="shared" ref="B247:K247" si="27">IF(AND(B200="-",B153="-",B106="-",B59="-"),"-",SUM(B200,B153,B106,B59))</f>
        <v>-</v>
      </c>
      <c r="C247" s="48" t="str">
        <f t="shared" si="27"/>
        <v>-</v>
      </c>
      <c r="D247" s="48">
        <f t="shared" si="27"/>
        <v>7</v>
      </c>
      <c r="E247" s="48">
        <f t="shared" si="27"/>
        <v>2504</v>
      </c>
      <c r="F247" s="48">
        <f t="shared" si="27"/>
        <v>25947</v>
      </c>
      <c r="G247" s="48">
        <f t="shared" si="27"/>
        <v>1544</v>
      </c>
      <c r="H247" s="48">
        <f t="shared" si="27"/>
        <v>227</v>
      </c>
      <c r="I247" s="48">
        <f t="shared" si="27"/>
        <v>236</v>
      </c>
      <c r="J247" s="48">
        <f t="shared" si="27"/>
        <v>16</v>
      </c>
      <c r="K247" s="48">
        <f t="shared" si="27"/>
        <v>30481</v>
      </c>
      <c r="M247" s="48">
        <f t="shared" si="21"/>
        <v>5</v>
      </c>
      <c r="N247" s="48">
        <f t="shared" si="21"/>
        <v>18840</v>
      </c>
      <c r="O247" s="48">
        <f t="shared" si="21"/>
        <v>120807</v>
      </c>
      <c r="P247" s="48">
        <f t="shared" si="21"/>
        <v>0</v>
      </c>
      <c r="Q247" s="48" t="str">
        <f t="shared" si="21"/>
        <v>-</v>
      </c>
      <c r="R247" s="48" t="str">
        <f t="shared" si="21"/>
        <v>-</v>
      </c>
      <c r="S247" s="48">
        <f t="shared" si="21"/>
        <v>139652</v>
      </c>
    </row>
    <row r="248" spans="1:19" x14ac:dyDescent="0.2">
      <c r="A248" s="371">
        <v>1983</v>
      </c>
      <c r="B248" s="48" t="str">
        <f t="shared" ref="B248:K248" si="28">IF(AND(B201="-",B154="-",B107="-",B60="-"),"-",SUM(B201,B154,B107,B60))</f>
        <v>-</v>
      </c>
      <c r="C248" s="48" t="str">
        <f t="shared" si="28"/>
        <v>-</v>
      </c>
      <c r="D248" s="48">
        <f t="shared" si="28"/>
        <v>504</v>
      </c>
      <c r="E248" s="48">
        <f t="shared" si="28"/>
        <v>5094</v>
      </c>
      <c r="F248" s="48">
        <f t="shared" si="28"/>
        <v>8496</v>
      </c>
      <c r="G248" s="48">
        <f t="shared" si="28"/>
        <v>3099</v>
      </c>
      <c r="H248" s="48">
        <f t="shared" si="28"/>
        <v>3028</v>
      </c>
      <c r="I248" s="48">
        <f t="shared" si="28"/>
        <v>999</v>
      </c>
      <c r="J248" s="48">
        <f t="shared" si="28"/>
        <v>17</v>
      </c>
      <c r="K248" s="48">
        <f t="shared" si="28"/>
        <v>21237</v>
      </c>
      <c r="M248" s="48">
        <f t="shared" si="21"/>
        <v>453</v>
      </c>
      <c r="N248" s="48">
        <f t="shared" si="21"/>
        <v>26453</v>
      </c>
      <c r="O248" s="48">
        <f t="shared" si="21"/>
        <v>56765</v>
      </c>
      <c r="P248" s="48">
        <f t="shared" si="21"/>
        <v>16658</v>
      </c>
      <c r="Q248" s="48">
        <f t="shared" si="21"/>
        <v>9330</v>
      </c>
      <c r="R248" s="48" t="str">
        <f t="shared" si="21"/>
        <v>-</v>
      </c>
      <c r="S248" s="48">
        <f t="shared" si="21"/>
        <v>109659</v>
      </c>
    </row>
    <row r="249" spans="1:19" x14ac:dyDescent="0.2">
      <c r="A249" s="371">
        <v>1984</v>
      </c>
      <c r="B249" s="48" t="str">
        <f t="shared" ref="B249:K249" si="29">IF(AND(B202="-",B155="-",B108="-",B61="-"),"-",SUM(B202,B155,B108,B61))</f>
        <v>-</v>
      </c>
      <c r="C249" s="48" t="str">
        <f t="shared" si="29"/>
        <v>-</v>
      </c>
      <c r="D249" s="48" t="str">
        <f t="shared" si="29"/>
        <v>-</v>
      </c>
      <c r="E249" s="48">
        <f t="shared" si="29"/>
        <v>0</v>
      </c>
      <c r="F249" s="48">
        <f t="shared" si="29"/>
        <v>5817</v>
      </c>
      <c r="G249" s="48">
        <f t="shared" si="29"/>
        <v>9501</v>
      </c>
      <c r="H249" s="48">
        <f t="shared" si="29"/>
        <v>1165</v>
      </c>
      <c r="I249" s="48">
        <f t="shared" si="29"/>
        <v>448</v>
      </c>
      <c r="J249" s="48">
        <f t="shared" si="29"/>
        <v>0</v>
      </c>
      <c r="K249" s="48">
        <f t="shared" si="29"/>
        <v>16931</v>
      </c>
      <c r="M249" s="48" t="str">
        <f t="shared" si="21"/>
        <v>-</v>
      </c>
      <c r="N249" s="48" t="str">
        <f t="shared" si="21"/>
        <v>-</v>
      </c>
      <c r="O249" s="48">
        <f t="shared" si="21"/>
        <v>60999</v>
      </c>
      <c r="P249" s="48">
        <f t="shared" si="21"/>
        <v>49866</v>
      </c>
      <c r="Q249" s="48">
        <f t="shared" si="21"/>
        <v>894</v>
      </c>
      <c r="R249" s="48" t="str">
        <f t="shared" si="21"/>
        <v>-</v>
      </c>
      <c r="S249" s="48">
        <f t="shared" si="21"/>
        <v>111759</v>
      </c>
    </row>
    <row r="250" spans="1:19" x14ac:dyDescent="0.2">
      <c r="A250" s="371">
        <v>1985</v>
      </c>
      <c r="B250" s="48" t="str">
        <f t="shared" ref="B250:K250" si="30">IF(AND(B203="-",B156="-",B109="-",B62="-"),"-",SUM(B203,B156,B109,B62))</f>
        <v>-</v>
      </c>
      <c r="C250" s="48" t="str">
        <f t="shared" si="30"/>
        <v>-</v>
      </c>
      <c r="D250" s="48">
        <f t="shared" si="30"/>
        <v>2450</v>
      </c>
      <c r="E250" s="48">
        <f t="shared" si="30"/>
        <v>0</v>
      </c>
      <c r="F250" s="48">
        <f t="shared" si="30"/>
        <v>30037</v>
      </c>
      <c r="G250" s="48">
        <f t="shared" si="30"/>
        <v>18607</v>
      </c>
      <c r="H250" s="48">
        <f t="shared" si="30"/>
        <v>600</v>
      </c>
      <c r="I250" s="48">
        <f t="shared" si="30"/>
        <v>606</v>
      </c>
      <c r="J250" s="48">
        <f t="shared" si="30"/>
        <v>0</v>
      </c>
      <c r="K250" s="48">
        <f t="shared" si="30"/>
        <v>52300</v>
      </c>
      <c r="M250" s="48">
        <f t="shared" si="21"/>
        <v>10</v>
      </c>
      <c r="N250" s="48" t="str">
        <f t="shared" si="21"/>
        <v>-</v>
      </c>
      <c r="O250" s="48">
        <f t="shared" si="21"/>
        <v>59592</v>
      </c>
      <c r="P250" s="48">
        <f t="shared" si="21"/>
        <v>89559</v>
      </c>
      <c r="Q250" s="48">
        <f t="shared" si="21"/>
        <v>2312</v>
      </c>
      <c r="R250" s="48">
        <f t="shared" si="21"/>
        <v>4</v>
      </c>
      <c r="S250" s="48">
        <f t="shared" si="21"/>
        <v>151477</v>
      </c>
    </row>
    <row r="251" spans="1:19" x14ac:dyDescent="0.2">
      <c r="A251" s="364">
        <v>1986</v>
      </c>
      <c r="B251" s="48" t="str">
        <f t="shared" ref="B251:K251" si="31">IF(AND(B204="-",B157="-",B110="-",B63="-"),"-",SUM(B204,B157,B110,B63))</f>
        <v>-</v>
      </c>
      <c r="C251" s="48" t="str">
        <f t="shared" si="31"/>
        <v>-</v>
      </c>
      <c r="D251" s="48">
        <f t="shared" si="31"/>
        <v>1203</v>
      </c>
      <c r="E251" s="48">
        <f t="shared" si="31"/>
        <v>3969</v>
      </c>
      <c r="F251" s="48">
        <f t="shared" si="31"/>
        <v>9972</v>
      </c>
      <c r="G251" s="48">
        <f t="shared" si="31"/>
        <v>4703</v>
      </c>
      <c r="H251" s="48">
        <f t="shared" si="31"/>
        <v>15</v>
      </c>
      <c r="I251" s="48">
        <f t="shared" si="31"/>
        <v>611</v>
      </c>
      <c r="J251" s="48">
        <f t="shared" si="31"/>
        <v>0</v>
      </c>
      <c r="K251" s="48">
        <f t="shared" si="31"/>
        <v>20473</v>
      </c>
      <c r="M251" s="48">
        <f t="shared" ref="M251:S260" si="32">IF(AND(M204="-",M157="-",M110="-",M63="-"),"-",SUM(M204,M157,M110,M63))</f>
        <v>4035</v>
      </c>
      <c r="N251" s="48">
        <f t="shared" si="32"/>
        <v>20925</v>
      </c>
      <c r="O251" s="48">
        <f t="shared" si="32"/>
        <v>123314</v>
      </c>
      <c r="P251" s="48">
        <f t="shared" si="32"/>
        <v>26909</v>
      </c>
      <c r="Q251" s="48">
        <f t="shared" si="32"/>
        <v>0</v>
      </c>
      <c r="R251" s="48">
        <f t="shared" si="32"/>
        <v>3</v>
      </c>
      <c r="S251" s="48">
        <f t="shared" si="32"/>
        <v>175186</v>
      </c>
    </row>
    <row r="252" spans="1:19" x14ac:dyDescent="0.2">
      <c r="A252" s="364">
        <v>1987</v>
      </c>
      <c r="B252" s="48" t="str">
        <f t="shared" ref="B252:K252" si="33">IF(AND(B205="-",B158="-",B111="-",B64="-"),"-",SUM(B205,B158,B111,B64))</f>
        <v>-</v>
      </c>
      <c r="C252" s="48" t="str">
        <f t="shared" si="33"/>
        <v>-</v>
      </c>
      <c r="D252" s="48">
        <f t="shared" si="33"/>
        <v>115</v>
      </c>
      <c r="E252" s="48">
        <f t="shared" si="33"/>
        <v>4848</v>
      </c>
      <c r="F252" s="48">
        <f t="shared" si="33"/>
        <v>23750</v>
      </c>
      <c r="G252" s="48">
        <f t="shared" si="33"/>
        <v>14263</v>
      </c>
      <c r="H252" s="48">
        <f t="shared" si="33"/>
        <v>11023</v>
      </c>
      <c r="I252" s="48">
        <f t="shared" si="33"/>
        <v>1133</v>
      </c>
      <c r="J252" s="48">
        <f t="shared" si="33"/>
        <v>0</v>
      </c>
      <c r="K252" s="48">
        <f t="shared" si="33"/>
        <v>55132</v>
      </c>
      <c r="M252" s="48">
        <f t="shared" si="32"/>
        <v>1</v>
      </c>
      <c r="N252" s="48">
        <f t="shared" si="32"/>
        <v>3429</v>
      </c>
      <c r="O252" s="48">
        <f t="shared" si="32"/>
        <v>111942</v>
      </c>
      <c r="P252" s="48">
        <f t="shared" si="32"/>
        <v>28955</v>
      </c>
      <c r="Q252" s="48">
        <f t="shared" si="32"/>
        <v>10532</v>
      </c>
      <c r="R252" s="48">
        <f t="shared" si="32"/>
        <v>28</v>
      </c>
      <c r="S252" s="48">
        <f t="shared" si="32"/>
        <v>154887</v>
      </c>
    </row>
    <row r="253" spans="1:19" x14ac:dyDescent="0.2">
      <c r="A253" s="364">
        <v>1988</v>
      </c>
      <c r="B253" s="48" t="str">
        <f t="shared" ref="B253:K253" si="34">IF(AND(B206="-",B159="-",B112="-",B65="-"),"-",SUM(B206,B159,B112,B65))</f>
        <v>-</v>
      </c>
      <c r="C253" s="48" t="str">
        <f t="shared" si="34"/>
        <v>-</v>
      </c>
      <c r="D253" s="48">
        <f t="shared" si="34"/>
        <v>351</v>
      </c>
      <c r="E253" s="48">
        <f t="shared" si="34"/>
        <v>14964</v>
      </c>
      <c r="F253" s="48">
        <f t="shared" si="34"/>
        <v>11916</v>
      </c>
      <c r="G253" s="48">
        <f t="shared" si="34"/>
        <v>8728</v>
      </c>
      <c r="H253" s="48">
        <f t="shared" si="34"/>
        <v>1880</v>
      </c>
      <c r="I253" s="48">
        <f t="shared" si="34"/>
        <v>0</v>
      </c>
      <c r="J253" s="48">
        <f t="shared" si="34"/>
        <v>0</v>
      </c>
      <c r="K253" s="48">
        <f t="shared" si="34"/>
        <v>37839</v>
      </c>
      <c r="M253" s="48">
        <f t="shared" si="32"/>
        <v>325</v>
      </c>
      <c r="N253" s="48">
        <f t="shared" si="32"/>
        <v>19964</v>
      </c>
      <c r="O253" s="48">
        <f t="shared" si="32"/>
        <v>108307</v>
      </c>
      <c r="P253" s="48">
        <f t="shared" si="32"/>
        <v>76123</v>
      </c>
      <c r="Q253" s="48">
        <f t="shared" si="32"/>
        <v>12327</v>
      </c>
      <c r="R253" s="48" t="str">
        <f t="shared" si="32"/>
        <v>-</v>
      </c>
      <c r="S253" s="48">
        <f t="shared" si="32"/>
        <v>217046</v>
      </c>
    </row>
    <row r="254" spans="1:19" x14ac:dyDescent="0.2">
      <c r="A254" s="364">
        <v>1989</v>
      </c>
      <c r="B254" s="48" t="str">
        <f t="shared" ref="B254:K254" si="35">IF(AND(B207="-",B160="-",B113="-",B66="-"),"-",SUM(B207,B160,B113,B66))</f>
        <v>-</v>
      </c>
      <c r="C254" s="48" t="str">
        <f t="shared" si="35"/>
        <v>-</v>
      </c>
      <c r="D254" s="48">
        <f t="shared" si="35"/>
        <v>586</v>
      </c>
      <c r="E254" s="48">
        <f t="shared" si="35"/>
        <v>6213</v>
      </c>
      <c r="F254" s="48">
        <f t="shared" si="35"/>
        <v>14518</v>
      </c>
      <c r="G254" s="48">
        <f t="shared" si="35"/>
        <v>8187</v>
      </c>
      <c r="H254" s="48">
        <f t="shared" si="35"/>
        <v>1158</v>
      </c>
      <c r="I254" s="48">
        <f t="shared" si="35"/>
        <v>0</v>
      </c>
      <c r="J254" s="48">
        <f t="shared" si="35"/>
        <v>0</v>
      </c>
      <c r="K254" s="48">
        <f t="shared" si="35"/>
        <v>30662</v>
      </c>
      <c r="M254" s="48">
        <f t="shared" si="32"/>
        <v>1646</v>
      </c>
      <c r="N254" s="48">
        <f t="shared" si="32"/>
        <v>54208</v>
      </c>
      <c r="O254" s="48">
        <f t="shared" si="32"/>
        <v>125914</v>
      </c>
      <c r="P254" s="48">
        <f t="shared" si="32"/>
        <v>55694</v>
      </c>
      <c r="Q254" s="48">
        <f t="shared" si="32"/>
        <v>1536</v>
      </c>
      <c r="R254" s="48" t="str">
        <f t="shared" si="32"/>
        <v>-</v>
      </c>
      <c r="S254" s="48">
        <f t="shared" si="32"/>
        <v>238998</v>
      </c>
    </row>
    <row r="255" spans="1:19" x14ac:dyDescent="0.2">
      <c r="A255" s="364">
        <v>1990</v>
      </c>
      <c r="B255" s="48" t="str">
        <f t="shared" ref="B255:K255" si="36">IF(AND(B208="-",B161="-",B114="-",B67="-"),"-",SUM(B208,B161,B114,B67))</f>
        <v>-</v>
      </c>
      <c r="C255" s="48" t="str">
        <f t="shared" si="36"/>
        <v>-</v>
      </c>
      <c r="D255" s="48">
        <f t="shared" si="36"/>
        <v>420</v>
      </c>
      <c r="E255" s="48">
        <f t="shared" si="36"/>
        <v>5631</v>
      </c>
      <c r="F255" s="48">
        <f t="shared" si="36"/>
        <v>11212</v>
      </c>
      <c r="G255" s="48">
        <f t="shared" si="36"/>
        <v>4665</v>
      </c>
      <c r="H255" s="48">
        <f t="shared" si="36"/>
        <v>1301</v>
      </c>
      <c r="I255" s="48">
        <f t="shared" si="36"/>
        <v>0</v>
      </c>
      <c r="J255" s="48" t="str">
        <f t="shared" si="36"/>
        <v>-</v>
      </c>
      <c r="K255" s="48">
        <f t="shared" si="36"/>
        <v>23229</v>
      </c>
      <c r="M255" s="48">
        <f t="shared" si="32"/>
        <v>289</v>
      </c>
      <c r="N255" s="48">
        <f t="shared" si="32"/>
        <v>27526</v>
      </c>
      <c r="O255" s="48">
        <f t="shared" si="32"/>
        <v>75115</v>
      </c>
      <c r="P255" s="48">
        <f t="shared" si="32"/>
        <v>56372</v>
      </c>
      <c r="Q255" s="48">
        <f t="shared" si="32"/>
        <v>5234</v>
      </c>
      <c r="R255" s="48" t="str">
        <f t="shared" si="32"/>
        <v>-</v>
      </c>
      <c r="S255" s="48">
        <f t="shared" si="32"/>
        <v>164536</v>
      </c>
    </row>
    <row r="256" spans="1:19" x14ac:dyDescent="0.2">
      <c r="A256" s="364">
        <v>1991</v>
      </c>
      <c r="B256" s="48" t="str">
        <f t="shared" ref="B256:K256" si="37">IF(AND(B209="-",B162="-",B115="-",B68="-"),"-",SUM(B209,B162,B115,B68))</f>
        <v>-</v>
      </c>
      <c r="C256" s="48" t="str">
        <f t="shared" si="37"/>
        <v>-</v>
      </c>
      <c r="D256" s="48">
        <f t="shared" si="37"/>
        <v>203</v>
      </c>
      <c r="E256" s="48">
        <f t="shared" si="37"/>
        <v>6895</v>
      </c>
      <c r="F256" s="48">
        <f t="shared" si="37"/>
        <v>5973</v>
      </c>
      <c r="G256" s="48">
        <f t="shared" si="37"/>
        <v>64</v>
      </c>
      <c r="H256" s="48">
        <f t="shared" si="37"/>
        <v>298</v>
      </c>
      <c r="I256" s="48">
        <f t="shared" si="37"/>
        <v>0</v>
      </c>
      <c r="J256" s="48" t="str">
        <f t="shared" si="37"/>
        <v>-</v>
      </c>
      <c r="K256" s="48">
        <f t="shared" si="37"/>
        <v>13433</v>
      </c>
      <c r="M256" s="48">
        <f t="shared" si="32"/>
        <v>866</v>
      </c>
      <c r="N256" s="48">
        <f t="shared" si="32"/>
        <v>51416</v>
      </c>
      <c r="O256" s="48">
        <f t="shared" si="32"/>
        <v>166033</v>
      </c>
      <c r="P256" s="48">
        <f t="shared" si="32"/>
        <v>513</v>
      </c>
      <c r="Q256" s="48">
        <f t="shared" si="32"/>
        <v>895</v>
      </c>
      <c r="R256" s="48" t="str">
        <f t="shared" si="32"/>
        <v>-</v>
      </c>
      <c r="S256" s="48">
        <f t="shared" si="32"/>
        <v>219723</v>
      </c>
    </row>
    <row r="257" spans="1:19" x14ac:dyDescent="0.2">
      <c r="A257" s="364">
        <v>1992</v>
      </c>
      <c r="B257" s="48" t="str">
        <f t="shared" ref="B257:K257" si="38">IF(AND(B210="-",B163="-",B116="-",B69="-"),"-",SUM(B210,B163,B116,B69))</f>
        <v>-</v>
      </c>
      <c r="C257" s="48" t="str">
        <f t="shared" si="38"/>
        <v>-</v>
      </c>
      <c r="D257" s="48">
        <f t="shared" si="38"/>
        <v>248</v>
      </c>
      <c r="E257" s="48">
        <f t="shared" si="38"/>
        <v>2531</v>
      </c>
      <c r="F257" s="48">
        <f t="shared" si="38"/>
        <v>5903</v>
      </c>
      <c r="G257" s="48">
        <f t="shared" si="38"/>
        <v>1506</v>
      </c>
      <c r="H257" s="48">
        <f t="shared" si="38"/>
        <v>1173</v>
      </c>
      <c r="I257" s="48">
        <f t="shared" si="38"/>
        <v>704</v>
      </c>
      <c r="J257" s="48" t="str">
        <f t="shared" si="38"/>
        <v>-</v>
      </c>
      <c r="K257" s="48">
        <f t="shared" si="38"/>
        <v>12065</v>
      </c>
      <c r="M257" s="48">
        <f t="shared" si="32"/>
        <v>615</v>
      </c>
      <c r="N257" s="48">
        <f t="shared" si="32"/>
        <v>24685</v>
      </c>
      <c r="O257" s="48">
        <f t="shared" si="32"/>
        <v>92708</v>
      </c>
      <c r="P257" s="48">
        <f t="shared" si="32"/>
        <v>38737</v>
      </c>
      <c r="Q257" s="48">
        <f t="shared" si="32"/>
        <v>6818</v>
      </c>
      <c r="R257" s="48">
        <f t="shared" si="32"/>
        <v>2</v>
      </c>
      <c r="S257" s="48">
        <f t="shared" si="32"/>
        <v>163565</v>
      </c>
    </row>
    <row r="258" spans="1:19" x14ac:dyDescent="0.2">
      <c r="A258" s="364">
        <v>1993</v>
      </c>
      <c r="B258" s="48" t="str">
        <f t="shared" ref="B258:K258" si="39">IF(AND(B211="-",B164="-",B117="-",B70="-"),"-",SUM(B211,B164,B117,B70))</f>
        <v>-</v>
      </c>
      <c r="C258" s="48" t="str">
        <f t="shared" si="39"/>
        <v>-</v>
      </c>
      <c r="D258" s="48">
        <f t="shared" si="39"/>
        <v>1293</v>
      </c>
      <c r="E258" s="48">
        <f t="shared" si="39"/>
        <v>239</v>
      </c>
      <c r="F258" s="48">
        <f t="shared" si="39"/>
        <v>1679</v>
      </c>
      <c r="G258" s="48">
        <f t="shared" si="39"/>
        <v>1905</v>
      </c>
      <c r="H258" s="48">
        <f t="shared" si="39"/>
        <v>468</v>
      </c>
      <c r="I258" s="48">
        <f t="shared" si="39"/>
        <v>0</v>
      </c>
      <c r="J258" s="48">
        <f t="shared" si="39"/>
        <v>0</v>
      </c>
      <c r="K258" s="48">
        <f t="shared" si="39"/>
        <v>5584</v>
      </c>
      <c r="M258" s="48">
        <f t="shared" si="32"/>
        <v>182</v>
      </c>
      <c r="N258" s="48">
        <f t="shared" si="32"/>
        <v>160</v>
      </c>
      <c r="O258" s="48">
        <f t="shared" si="32"/>
        <v>19915</v>
      </c>
      <c r="P258" s="48">
        <f t="shared" si="32"/>
        <v>16175</v>
      </c>
      <c r="Q258" s="48">
        <f t="shared" si="32"/>
        <v>500</v>
      </c>
      <c r="R258" s="48" t="str">
        <f t="shared" si="32"/>
        <v>-</v>
      </c>
      <c r="S258" s="48">
        <f t="shared" si="32"/>
        <v>36932</v>
      </c>
    </row>
    <row r="259" spans="1:19" x14ac:dyDescent="0.2">
      <c r="A259" s="364">
        <v>1994</v>
      </c>
      <c r="B259" s="48" t="str">
        <f t="shared" ref="B259:K259" si="40">IF(AND(B212="-",B165="-",B118="-",B71="-"),"-",SUM(B212,B165,B118,B71))</f>
        <v>-</v>
      </c>
      <c r="C259" s="48" t="str">
        <f t="shared" si="40"/>
        <v>-</v>
      </c>
      <c r="D259" s="48">
        <f t="shared" si="40"/>
        <v>1948</v>
      </c>
      <c r="E259" s="48">
        <f t="shared" si="40"/>
        <v>251</v>
      </c>
      <c r="F259" s="48" t="str">
        <f t="shared" si="40"/>
        <v>-</v>
      </c>
      <c r="G259" s="48">
        <f t="shared" si="40"/>
        <v>272</v>
      </c>
      <c r="H259" s="48">
        <f t="shared" si="40"/>
        <v>284</v>
      </c>
      <c r="I259" s="48">
        <f t="shared" si="40"/>
        <v>3282</v>
      </c>
      <c r="J259" s="48">
        <f t="shared" si="40"/>
        <v>0</v>
      </c>
      <c r="K259" s="48">
        <f t="shared" si="40"/>
        <v>6037</v>
      </c>
      <c r="M259" s="48" t="str">
        <f t="shared" si="32"/>
        <v>-</v>
      </c>
      <c r="N259" s="48" t="str">
        <f t="shared" si="32"/>
        <v>-</v>
      </c>
      <c r="O259" s="48" t="str">
        <f t="shared" si="32"/>
        <v>-</v>
      </c>
      <c r="P259" s="48">
        <f t="shared" si="32"/>
        <v>13</v>
      </c>
      <c r="Q259" s="48">
        <f t="shared" si="32"/>
        <v>4</v>
      </c>
      <c r="R259" s="48" t="str">
        <f t="shared" si="32"/>
        <v>-</v>
      </c>
      <c r="S259" s="48">
        <f t="shared" si="32"/>
        <v>17</v>
      </c>
    </row>
    <row r="260" spans="1:19" x14ac:dyDescent="0.2">
      <c r="A260" s="364">
        <v>1995</v>
      </c>
      <c r="B260" s="48" t="str">
        <f t="shared" ref="B260:K260" si="41">IF(AND(B213="-",B166="-",B119="-",B72="-"),"-",SUM(B213,B166,B119,B72))</f>
        <v>-</v>
      </c>
      <c r="C260" s="48" t="str">
        <f t="shared" si="41"/>
        <v>-</v>
      </c>
      <c r="D260" s="48">
        <f t="shared" si="41"/>
        <v>300</v>
      </c>
      <c r="E260" s="48">
        <f t="shared" si="41"/>
        <v>1829</v>
      </c>
      <c r="F260" s="48" t="str">
        <f t="shared" si="41"/>
        <v>-</v>
      </c>
      <c r="G260" s="48">
        <f t="shared" si="41"/>
        <v>472</v>
      </c>
      <c r="H260" s="48">
        <f t="shared" si="41"/>
        <v>2799</v>
      </c>
      <c r="I260" s="48">
        <f t="shared" si="41"/>
        <v>1133</v>
      </c>
      <c r="J260" s="48">
        <f t="shared" si="41"/>
        <v>84</v>
      </c>
      <c r="K260" s="48">
        <f t="shared" si="41"/>
        <v>6617</v>
      </c>
      <c r="M260" s="48" t="str">
        <f t="shared" si="32"/>
        <v>-</v>
      </c>
      <c r="N260" s="48">
        <f t="shared" si="32"/>
        <v>38</v>
      </c>
      <c r="O260" s="48" t="str">
        <f t="shared" si="32"/>
        <v>-</v>
      </c>
      <c r="P260" s="48">
        <f t="shared" si="32"/>
        <v>3</v>
      </c>
      <c r="Q260" s="48">
        <f t="shared" si="32"/>
        <v>96</v>
      </c>
      <c r="R260" s="48">
        <f t="shared" si="32"/>
        <v>3</v>
      </c>
      <c r="S260" s="48">
        <f t="shared" si="32"/>
        <v>140</v>
      </c>
    </row>
    <row r="261" spans="1:19" x14ac:dyDescent="0.2">
      <c r="A261" s="364">
        <v>1996</v>
      </c>
      <c r="B261" s="48" t="str">
        <f t="shared" ref="B261:K261" si="42">IF(AND(B214="-",B167="-",B120="-",B73="-"),"-",SUM(B214,B167,B120,B73))</f>
        <v>-</v>
      </c>
      <c r="C261" s="48" t="str">
        <f t="shared" si="42"/>
        <v>-</v>
      </c>
      <c r="D261" s="48">
        <f t="shared" si="42"/>
        <v>712</v>
      </c>
      <c r="E261" s="48">
        <f t="shared" si="42"/>
        <v>2908</v>
      </c>
      <c r="F261" s="48">
        <f t="shared" si="42"/>
        <v>621</v>
      </c>
      <c r="G261" s="48">
        <f t="shared" si="42"/>
        <v>3478</v>
      </c>
      <c r="H261" s="48">
        <f t="shared" si="42"/>
        <v>1449</v>
      </c>
      <c r="I261" s="48">
        <f t="shared" si="42"/>
        <v>2014</v>
      </c>
      <c r="J261" s="48">
        <f t="shared" si="42"/>
        <v>0</v>
      </c>
      <c r="K261" s="48">
        <f t="shared" si="42"/>
        <v>11182</v>
      </c>
      <c r="M261" s="48" t="str">
        <f t="shared" ref="M261:S270" si="43">IF(AND(M214="-",M167="-",M120="-",M73="-"),"-",SUM(M214,M167,M120,M73))</f>
        <v>-</v>
      </c>
      <c r="N261" s="48">
        <f t="shared" si="43"/>
        <v>10</v>
      </c>
      <c r="O261" s="48">
        <f t="shared" si="43"/>
        <v>34</v>
      </c>
      <c r="P261" s="48">
        <f t="shared" si="43"/>
        <v>73</v>
      </c>
      <c r="Q261" s="48">
        <f t="shared" si="43"/>
        <v>36</v>
      </c>
      <c r="R261" s="48">
        <f t="shared" si="43"/>
        <v>12</v>
      </c>
      <c r="S261" s="48">
        <f t="shared" si="43"/>
        <v>165</v>
      </c>
    </row>
    <row r="262" spans="1:19" x14ac:dyDescent="0.2">
      <c r="A262" s="364">
        <v>1997</v>
      </c>
      <c r="B262" s="48" t="str">
        <f t="shared" ref="B262:K262" si="44">IF(AND(B215="-",B168="-",B121="-",B74="-"),"-",SUM(B215,B168,B121,B74))</f>
        <v>-</v>
      </c>
      <c r="C262" s="48">
        <f t="shared" si="44"/>
        <v>2</v>
      </c>
      <c r="D262" s="48">
        <f t="shared" si="44"/>
        <v>924</v>
      </c>
      <c r="E262" s="48">
        <f t="shared" si="44"/>
        <v>935</v>
      </c>
      <c r="F262" s="48">
        <f t="shared" si="44"/>
        <v>1196</v>
      </c>
      <c r="G262" s="48">
        <f t="shared" si="44"/>
        <v>3018</v>
      </c>
      <c r="H262" s="48">
        <f t="shared" si="44"/>
        <v>458</v>
      </c>
      <c r="I262" s="48">
        <f t="shared" si="44"/>
        <v>962</v>
      </c>
      <c r="J262" s="48">
        <f t="shared" si="44"/>
        <v>0</v>
      </c>
      <c r="K262" s="48">
        <f t="shared" si="44"/>
        <v>7495</v>
      </c>
      <c r="M262" s="48">
        <f t="shared" si="43"/>
        <v>17</v>
      </c>
      <c r="N262" s="48">
        <f t="shared" si="43"/>
        <v>26</v>
      </c>
      <c r="O262" s="48">
        <f t="shared" si="43"/>
        <v>49</v>
      </c>
      <c r="P262" s="48">
        <f t="shared" si="43"/>
        <v>63</v>
      </c>
      <c r="Q262" s="48">
        <f t="shared" si="43"/>
        <v>10</v>
      </c>
      <c r="R262" s="48" t="str">
        <f t="shared" si="43"/>
        <v>-</v>
      </c>
      <c r="S262" s="48">
        <f t="shared" si="43"/>
        <v>165</v>
      </c>
    </row>
    <row r="263" spans="1:19" x14ac:dyDescent="0.2">
      <c r="A263" s="364">
        <v>1998</v>
      </c>
      <c r="B263" s="48" t="str">
        <f t="shared" ref="B263:K263" si="45">IF(AND(B216="-",B169="-",B122="-",B75="-"),"-",SUM(B216,B169,B122,B75))</f>
        <v>-</v>
      </c>
      <c r="C263" s="48">
        <f t="shared" si="45"/>
        <v>0</v>
      </c>
      <c r="D263" s="48">
        <f t="shared" si="45"/>
        <v>319</v>
      </c>
      <c r="E263" s="48">
        <f t="shared" si="45"/>
        <v>424</v>
      </c>
      <c r="F263" s="48">
        <f t="shared" si="45"/>
        <v>493</v>
      </c>
      <c r="G263" s="48">
        <f t="shared" si="45"/>
        <v>1047</v>
      </c>
      <c r="H263" s="48">
        <f t="shared" si="45"/>
        <v>773</v>
      </c>
      <c r="I263" s="48">
        <f t="shared" si="45"/>
        <v>925</v>
      </c>
      <c r="J263" s="48">
        <f t="shared" si="45"/>
        <v>0</v>
      </c>
      <c r="K263" s="48">
        <f t="shared" si="45"/>
        <v>3981</v>
      </c>
      <c r="M263" s="48" t="str">
        <f t="shared" si="43"/>
        <v>-</v>
      </c>
      <c r="N263" s="48">
        <f t="shared" si="43"/>
        <v>6</v>
      </c>
      <c r="O263" s="48">
        <f t="shared" si="43"/>
        <v>8</v>
      </c>
      <c r="P263" s="48">
        <f t="shared" si="43"/>
        <v>97</v>
      </c>
      <c r="Q263" s="48">
        <f t="shared" si="43"/>
        <v>11</v>
      </c>
      <c r="R263" s="48">
        <f t="shared" si="43"/>
        <v>8</v>
      </c>
      <c r="S263" s="48">
        <f t="shared" si="43"/>
        <v>130</v>
      </c>
    </row>
    <row r="264" spans="1:19" x14ac:dyDescent="0.2">
      <c r="A264" s="364">
        <v>1999</v>
      </c>
      <c r="B264" s="48" t="str">
        <f t="shared" ref="B264:K264" si="46">IF(AND(B217="-",B170="-",B123="-",B76="-"),"-",SUM(B217,B170,B123,B76))</f>
        <v>-</v>
      </c>
      <c r="C264" s="48">
        <f t="shared" si="46"/>
        <v>0</v>
      </c>
      <c r="D264" s="48">
        <f t="shared" si="46"/>
        <v>136</v>
      </c>
      <c r="E264" s="48">
        <f t="shared" si="46"/>
        <v>277</v>
      </c>
      <c r="F264" s="48">
        <f t="shared" si="46"/>
        <v>2220</v>
      </c>
      <c r="G264" s="48">
        <f t="shared" si="46"/>
        <v>2092</v>
      </c>
      <c r="H264" s="48">
        <f t="shared" si="46"/>
        <v>1179</v>
      </c>
      <c r="I264" s="48">
        <f t="shared" si="46"/>
        <v>875</v>
      </c>
      <c r="J264" s="48">
        <f t="shared" si="46"/>
        <v>8</v>
      </c>
      <c r="K264" s="48">
        <f t="shared" si="46"/>
        <v>6787</v>
      </c>
      <c r="M264" s="48" t="str">
        <f t="shared" si="43"/>
        <v>-</v>
      </c>
      <c r="N264" s="48">
        <f t="shared" si="43"/>
        <v>2</v>
      </c>
      <c r="O264" s="48">
        <f t="shared" si="43"/>
        <v>6039</v>
      </c>
      <c r="P264" s="48">
        <f t="shared" si="43"/>
        <v>34</v>
      </c>
      <c r="Q264" s="48">
        <f t="shared" si="43"/>
        <v>15</v>
      </c>
      <c r="R264" s="48">
        <f t="shared" si="43"/>
        <v>2</v>
      </c>
      <c r="S264" s="48">
        <f t="shared" si="43"/>
        <v>6092</v>
      </c>
    </row>
    <row r="265" spans="1:19" x14ac:dyDescent="0.2">
      <c r="A265" s="364">
        <v>2000</v>
      </c>
      <c r="B265" s="48" t="str">
        <f t="shared" ref="B265:K265" si="47">IF(AND(B218="-",B171="-",B124="-",B77="-"),"-",SUM(B218,B171,B124,B77))</f>
        <v>-</v>
      </c>
      <c r="C265" s="48">
        <f t="shared" si="47"/>
        <v>4</v>
      </c>
      <c r="D265" s="48">
        <f t="shared" si="47"/>
        <v>79</v>
      </c>
      <c r="E265" s="48">
        <f t="shared" si="47"/>
        <v>475</v>
      </c>
      <c r="F265" s="48">
        <f t="shared" si="47"/>
        <v>10026</v>
      </c>
      <c r="G265" s="48">
        <f t="shared" si="47"/>
        <v>11025</v>
      </c>
      <c r="H265" s="48">
        <f t="shared" si="47"/>
        <v>1779</v>
      </c>
      <c r="I265" s="48">
        <f t="shared" si="47"/>
        <v>1245</v>
      </c>
      <c r="J265" s="48">
        <f t="shared" si="47"/>
        <v>63</v>
      </c>
      <c r="K265" s="48">
        <f t="shared" si="47"/>
        <v>24696</v>
      </c>
      <c r="M265" s="48" t="str">
        <f t="shared" si="43"/>
        <v>-</v>
      </c>
      <c r="N265" s="48" t="str">
        <f t="shared" si="43"/>
        <v>-</v>
      </c>
      <c r="O265" s="48">
        <f t="shared" si="43"/>
        <v>19330</v>
      </c>
      <c r="P265" s="48">
        <f t="shared" si="43"/>
        <v>104</v>
      </c>
      <c r="Q265" s="48">
        <f t="shared" si="43"/>
        <v>20</v>
      </c>
      <c r="R265" s="48">
        <f t="shared" si="43"/>
        <v>8</v>
      </c>
      <c r="S265" s="48">
        <f t="shared" si="43"/>
        <v>19462</v>
      </c>
    </row>
    <row r="266" spans="1:19" x14ac:dyDescent="0.2">
      <c r="A266" s="364">
        <v>2001</v>
      </c>
      <c r="B266" s="48" t="str">
        <f t="shared" ref="B266:K266" si="48">IF(AND(B219="-",B172="-",B125="-",B78="-"),"-",SUM(B219,B172,B125,B78))</f>
        <v>-</v>
      </c>
      <c r="C266" s="48">
        <f t="shared" si="48"/>
        <v>0</v>
      </c>
      <c r="D266" s="48">
        <f t="shared" si="48"/>
        <v>1024</v>
      </c>
      <c r="E266" s="48">
        <f t="shared" si="48"/>
        <v>3034</v>
      </c>
      <c r="F266" s="48">
        <f t="shared" si="48"/>
        <v>9029</v>
      </c>
      <c r="G266" s="48">
        <f t="shared" si="48"/>
        <v>7743</v>
      </c>
      <c r="H266" s="48">
        <f t="shared" si="48"/>
        <v>2279</v>
      </c>
      <c r="I266" s="48">
        <f t="shared" si="48"/>
        <v>1450</v>
      </c>
      <c r="J266" s="48">
        <f t="shared" si="48"/>
        <v>23</v>
      </c>
      <c r="K266" s="48">
        <f t="shared" si="48"/>
        <v>24582</v>
      </c>
      <c r="M266" s="48">
        <f t="shared" si="43"/>
        <v>21</v>
      </c>
      <c r="N266" s="48">
        <f t="shared" si="43"/>
        <v>17687</v>
      </c>
      <c r="O266" s="48">
        <f t="shared" si="43"/>
        <v>37104</v>
      </c>
      <c r="P266" s="48">
        <f t="shared" si="43"/>
        <v>234</v>
      </c>
      <c r="Q266" s="48">
        <f t="shared" si="43"/>
        <v>76</v>
      </c>
      <c r="R266" s="48">
        <f t="shared" si="43"/>
        <v>35</v>
      </c>
      <c r="S266" s="48">
        <f t="shared" si="43"/>
        <v>55157</v>
      </c>
    </row>
    <row r="267" spans="1:19" x14ac:dyDescent="0.2">
      <c r="A267" s="364">
        <v>2002</v>
      </c>
      <c r="B267" s="48" t="str">
        <f t="shared" ref="B267:K267" si="49">IF(AND(B220="-",B173="-",B126="-",B79="-"),"-",SUM(B220,B173,B126,B79))</f>
        <v>-</v>
      </c>
      <c r="C267" s="48">
        <f t="shared" si="49"/>
        <v>155</v>
      </c>
      <c r="D267" s="48">
        <f t="shared" si="49"/>
        <v>836</v>
      </c>
      <c r="E267" s="48">
        <f t="shared" si="49"/>
        <v>7676</v>
      </c>
      <c r="F267" s="48">
        <f t="shared" si="49"/>
        <v>16644</v>
      </c>
      <c r="G267" s="48">
        <f t="shared" si="49"/>
        <v>8649</v>
      </c>
      <c r="H267" s="48">
        <f t="shared" si="49"/>
        <v>7829</v>
      </c>
      <c r="I267" s="48">
        <f t="shared" si="49"/>
        <v>2937</v>
      </c>
      <c r="J267" s="48">
        <f t="shared" si="49"/>
        <v>0</v>
      </c>
      <c r="K267" s="48">
        <f t="shared" si="49"/>
        <v>44726</v>
      </c>
      <c r="M267" s="48" t="str">
        <f t="shared" si="43"/>
        <v>-</v>
      </c>
      <c r="N267" s="48">
        <f t="shared" si="43"/>
        <v>66</v>
      </c>
      <c r="O267" s="48">
        <f t="shared" si="43"/>
        <v>19717</v>
      </c>
      <c r="P267" s="48">
        <f t="shared" si="43"/>
        <v>2192</v>
      </c>
      <c r="Q267" s="48">
        <f t="shared" si="43"/>
        <v>135</v>
      </c>
      <c r="R267" s="48">
        <f t="shared" si="43"/>
        <v>24</v>
      </c>
      <c r="S267" s="48">
        <f t="shared" si="43"/>
        <v>22134</v>
      </c>
    </row>
    <row r="268" spans="1:19" x14ac:dyDescent="0.2">
      <c r="A268" s="364">
        <v>2003</v>
      </c>
      <c r="B268" s="48">
        <f t="shared" ref="B268:K268" si="50">IF(AND(B221="-",B174="-",B127="-",B80="-"),"-",SUM(B221,B174,B127,B80))</f>
        <v>2</v>
      </c>
      <c r="C268" s="48">
        <f t="shared" si="50"/>
        <v>22</v>
      </c>
      <c r="D268" s="48">
        <f t="shared" si="50"/>
        <v>716</v>
      </c>
      <c r="E268" s="48">
        <f t="shared" si="50"/>
        <v>3252</v>
      </c>
      <c r="F268" s="48">
        <f t="shared" si="50"/>
        <v>16315</v>
      </c>
      <c r="G268" s="48">
        <f t="shared" si="50"/>
        <v>10589</v>
      </c>
      <c r="H268" s="48">
        <f t="shared" si="50"/>
        <v>5539</v>
      </c>
      <c r="I268" s="48">
        <f t="shared" si="50"/>
        <v>1825</v>
      </c>
      <c r="J268" s="48">
        <f t="shared" si="50"/>
        <v>64</v>
      </c>
      <c r="K268" s="48">
        <f t="shared" si="50"/>
        <v>38324</v>
      </c>
      <c r="M268" s="48">
        <f t="shared" si="43"/>
        <v>2</v>
      </c>
      <c r="N268" s="48">
        <f t="shared" si="43"/>
        <v>7583</v>
      </c>
      <c r="O268" s="48">
        <f t="shared" si="43"/>
        <v>50878</v>
      </c>
      <c r="P268" s="48">
        <f t="shared" si="43"/>
        <v>25335</v>
      </c>
      <c r="Q268" s="48">
        <f t="shared" si="43"/>
        <v>76</v>
      </c>
      <c r="R268" s="48">
        <f t="shared" si="43"/>
        <v>14</v>
      </c>
      <c r="S268" s="48">
        <f t="shared" si="43"/>
        <v>83888</v>
      </c>
    </row>
    <row r="269" spans="1:19" x14ac:dyDescent="0.2">
      <c r="A269" s="364">
        <v>2004</v>
      </c>
      <c r="B269" s="48">
        <f t="shared" ref="B269:K269" si="51">IF(AND(B222="-",B175="-",B128="-",B81="-"),"-",SUM(B222,B175,B128,B81))</f>
        <v>2</v>
      </c>
      <c r="C269" s="48">
        <f t="shared" si="51"/>
        <v>24</v>
      </c>
      <c r="D269" s="48">
        <f t="shared" si="51"/>
        <v>846</v>
      </c>
      <c r="E269" s="48">
        <f t="shared" si="51"/>
        <v>6229</v>
      </c>
      <c r="F269" s="48">
        <f t="shared" si="51"/>
        <v>23034</v>
      </c>
      <c r="G269" s="48">
        <f t="shared" si="51"/>
        <v>16284</v>
      </c>
      <c r="H269" s="48">
        <f t="shared" si="51"/>
        <v>5622</v>
      </c>
      <c r="I269" s="48">
        <f t="shared" si="51"/>
        <v>2140</v>
      </c>
      <c r="J269" s="48">
        <f t="shared" si="51"/>
        <v>69</v>
      </c>
      <c r="K269" s="48">
        <f t="shared" si="51"/>
        <v>54250</v>
      </c>
      <c r="M269" s="48">
        <f t="shared" si="43"/>
        <v>4</v>
      </c>
      <c r="N269" s="48">
        <f t="shared" si="43"/>
        <v>5312</v>
      </c>
      <c r="O269" s="48">
        <f t="shared" si="43"/>
        <v>31622</v>
      </c>
      <c r="P269" s="48">
        <f t="shared" si="43"/>
        <v>11889</v>
      </c>
      <c r="Q269" s="48">
        <f t="shared" si="43"/>
        <v>484</v>
      </c>
      <c r="R269" s="48">
        <f t="shared" si="43"/>
        <v>26</v>
      </c>
      <c r="S269" s="48">
        <f t="shared" si="43"/>
        <v>49337</v>
      </c>
    </row>
    <row r="270" spans="1:19" x14ac:dyDescent="0.2">
      <c r="A270" s="118">
        <v>2005</v>
      </c>
      <c r="B270" s="48">
        <f t="shared" ref="B270:K270" si="52">IF(AND(B223="-",B176="-",B129="-",B82="-"),"-",SUM(B223,B176,B129,B82))</f>
        <v>6</v>
      </c>
      <c r="C270" s="48">
        <f t="shared" si="52"/>
        <v>104</v>
      </c>
      <c r="D270" s="48">
        <f t="shared" si="52"/>
        <v>381</v>
      </c>
      <c r="E270" s="48">
        <f t="shared" si="52"/>
        <v>6600</v>
      </c>
      <c r="F270" s="48">
        <f t="shared" si="52"/>
        <v>4277</v>
      </c>
      <c r="G270" s="48">
        <f t="shared" si="52"/>
        <v>5553</v>
      </c>
      <c r="H270" s="48">
        <f t="shared" si="52"/>
        <v>6705</v>
      </c>
      <c r="I270" s="48">
        <f t="shared" si="52"/>
        <v>684</v>
      </c>
      <c r="J270" s="48">
        <f t="shared" si="52"/>
        <v>0</v>
      </c>
      <c r="K270" s="48">
        <f t="shared" si="52"/>
        <v>24310</v>
      </c>
      <c r="M270" s="48" t="str">
        <f t="shared" si="43"/>
        <v>-</v>
      </c>
      <c r="N270" s="48">
        <f t="shared" si="43"/>
        <v>2153</v>
      </c>
      <c r="O270" s="48">
        <f t="shared" si="43"/>
        <v>1422</v>
      </c>
      <c r="P270" s="48">
        <f t="shared" si="43"/>
        <v>49</v>
      </c>
      <c r="Q270" s="48">
        <f t="shared" si="43"/>
        <v>116</v>
      </c>
      <c r="R270" s="48" t="str">
        <f t="shared" si="43"/>
        <v>-</v>
      </c>
      <c r="S270" s="48">
        <f t="shared" si="43"/>
        <v>3740</v>
      </c>
    </row>
    <row r="271" spans="1:19" x14ac:dyDescent="0.2">
      <c r="A271" s="118">
        <v>2006</v>
      </c>
      <c r="B271" s="48">
        <f t="shared" ref="B271:K271" si="53">IF(AND(B224="-",B177="-",B130="-",B83="-"),"-",SUM(B224,B177,B130,B83))</f>
        <v>2</v>
      </c>
      <c r="C271" s="48">
        <f t="shared" si="53"/>
        <v>4</v>
      </c>
      <c r="D271" s="48">
        <f t="shared" si="53"/>
        <v>120</v>
      </c>
      <c r="E271" s="48">
        <f t="shared" si="53"/>
        <v>1053</v>
      </c>
      <c r="F271" s="48">
        <f t="shared" si="53"/>
        <v>3941</v>
      </c>
      <c r="G271" s="48">
        <f t="shared" si="53"/>
        <v>982</v>
      </c>
      <c r="H271" s="48">
        <f t="shared" si="53"/>
        <v>2507</v>
      </c>
      <c r="I271" s="48">
        <f t="shared" si="53"/>
        <v>2421</v>
      </c>
      <c r="J271" s="48">
        <f t="shared" si="53"/>
        <v>49</v>
      </c>
      <c r="K271" s="48">
        <f t="shared" si="53"/>
        <v>11079</v>
      </c>
      <c r="M271" s="48">
        <f t="shared" ref="M271:S280" si="54">IF(AND(M224="-",M177="-",M130="-",M83="-"),"-",SUM(M224,M177,M130,M83))</f>
        <v>2</v>
      </c>
      <c r="N271" s="48">
        <f t="shared" si="54"/>
        <v>943</v>
      </c>
      <c r="O271" s="48">
        <f t="shared" si="54"/>
        <v>8463</v>
      </c>
      <c r="P271" s="48">
        <f t="shared" si="54"/>
        <v>36</v>
      </c>
      <c r="Q271" s="48">
        <f t="shared" si="54"/>
        <v>715</v>
      </c>
      <c r="R271" s="48">
        <f t="shared" si="54"/>
        <v>7</v>
      </c>
      <c r="S271" s="48">
        <f t="shared" si="54"/>
        <v>10166</v>
      </c>
    </row>
    <row r="272" spans="1:19" s="366" customFormat="1" x14ac:dyDescent="0.2">
      <c r="A272" s="118">
        <v>2007</v>
      </c>
      <c r="B272" s="182">
        <f t="shared" ref="B272:K272" si="55">IF(AND(B225="-",B178="-",B131="-",B84="-"),"-",SUM(B225,B178,B131,B84))</f>
        <v>3</v>
      </c>
      <c r="C272" s="182">
        <f t="shared" si="55"/>
        <v>0</v>
      </c>
      <c r="D272" s="182">
        <f t="shared" si="55"/>
        <v>86</v>
      </c>
      <c r="E272" s="182">
        <f t="shared" si="55"/>
        <v>297</v>
      </c>
      <c r="F272" s="182">
        <f t="shared" si="55"/>
        <v>920</v>
      </c>
      <c r="G272" s="182">
        <f t="shared" si="55"/>
        <v>3076</v>
      </c>
      <c r="H272" s="182">
        <f t="shared" si="55"/>
        <v>940</v>
      </c>
      <c r="I272" s="182">
        <f t="shared" si="55"/>
        <v>1009</v>
      </c>
      <c r="J272" s="48">
        <f t="shared" si="55"/>
        <v>16</v>
      </c>
      <c r="K272" s="182">
        <f t="shared" si="55"/>
        <v>6347</v>
      </c>
      <c r="L272" s="182"/>
      <c r="M272" s="182">
        <f t="shared" si="54"/>
        <v>2</v>
      </c>
      <c r="N272" s="182">
        <f t="shared" si="54"/>
        <v>4866</v>
      </c>
      <c r="O272" s="182">
        <f t="shared" si="54"/>
        <v>19829</v>
      </c>
      <c r="P272" s="182">
        <f t="shared" si="54"/>
        <v>17226</v>
      </c>
      <c r="Q272" s="182">
        <f t="shared" si="54"/>
        <v>330</v>
      </c>
      <c r="R272" s="182">
        <f t="shared" si="54"/>
        <v>3</v>
      </c>
      <c r="S272" s="182">
        <f t="shared" si="54"/>
        <v>42256</v>
      </c>
    </row>
    <row r="273" spans="1:19" s="366" customFormat="1" x14ac:dyDescent="0.2">
      <c r="A273" s="118">
        <v>2008</v>
      </c>
      <c r="B273" s="182" t="str">
        <f t="shared" ref="B273:I283" si="56">IF(AND(B226="-",B179="-",B132="-",B85="-"),"-",SUM(B226,B179,B132,B85))</f>
        <v>-</v>
      </c>
      <c r="C273" s="182" t="str">
        <f t="shared" si="56"/>
        <v>-</v>
      </c>
      <c r="D273" s="182" t="str">
        <f t="shared" si="56"/>
        <v>-</v>
      </c>
      <c r="E273" s="182">
        <f t="shared" si="56"/>
        <v>9</v>
      </c>
      <c r="F273" s="182">
        <f t="shared" si="56"/>
        <v>6</v>
      </c>
      <c r="G273" s="182">
        <f t="shared" si="56"/>
        <v>3</v>
      </c>
      <c r="H273" s="182">
        <f t="shared" si="56"/>
        <v>262</v>
      </c>
      <c r="I273" s="182">
        <f t="shared" si="56"/>
        <v>481</v>
      </c>
      <c r="J273" s="183" t="s">
        <v>116</v>
      </c>
      <c r="K273" s="182">
        <f t="shared" ref="K273:K283" si="57">IF(AND(K226="-",K179="-",K132="-",K85="-"),"-",SUM(K226,K179,K132,K85))</f>
        <v>761</v>
      </c>
      <c r="L273" s="182"/>
      <c r="M273" s="182" t="str">
        <f t="shared" si="54"/>
        <v>-</v>
      </c>
      <c r="N273" s="182">
        <f t="shared" si="54"/>
        <v>1219</v>
      </c>
      <c r="O273" s="182">
        <f t="shared" si="54"/>
        <v>4084</v>
      </c>
      <c r="P273" s="182">
        <f t="shared" si="54"/>
        <v>4540</v>
      </c>
      <c r="Q273" s="182">
        <f t="shared" si="54"/>
        <v>45</v>
      </c>
      <c r="R273" s="182">
        <f t="shared" si="54"/>
        <v>6</v>
      </c>
      <c r="S273" s="182">
        <f t="shared" si="54"/>
        <v>9894</v>
      </c>
    </row>
    <row r="274" spans="1:19" s="366" customFormat="1" x14ac:dyDescent="0.2">
      <c r="A274" s="118">
        <v>2009</v>
      </c>
      <c r="B274" s="182" t="str">
        <f t="shared" si="56"/>
        <v>-</v>
      </c>
      <c r="C274" s="182" t="str">
        <f t="shared" si="56"/>
        <v>-</v>
      </c>
      <c r="D274" s="182" t="str">
        <f t="shared" si="56"/>
        <v>-</v>
      </c>
      <c r="E274" s="182">
        <f t="shared" si="56"/>
        <v>9</v>
      </c>
      <c r="F274" s="182">
        <f t="shared" si="56"/>
        <v>45</v>
      </c>
      <c r="G274" s="182">
        <f t="shared" si="56"/>
        <v>70</v>
      </c>
      <c r="H274" s="182">
        <f t="shared" si="56"/>
        <v>255</v>
      </c>
      <c r="I274" s="182">
        <f t="shared" si="56"/>
        <v>226</v>
      </c>
      <c r="J274" s="183" t="s">
        <v>116</v>
      </c>
      <c r="K274" s="182">
        <f t="shared" si="57"/>
        <v>605</v>
      </c>
      <c r="L274" s="182"/>
      <c r="M274" s="182" t="str">
        <f t="shared" si="54"/>
        <v>-</v>
      </c>
      <c r="N274" s="182">
        <f t="shared" si="54"/>
        <v>4865</v>
      </c>
      <c r="O274" s="182">
        <f t="shared" si="54"/>
        <v>39124</v>
      </c>
      <c r="P274" s="182">
        <f t="shared" si="54"/>
        <v>25384</v>
      </c>
      <c r="Q274" s="182">
        <f t="shared" si="54"/>
        <v>808</v>
      </c>
      <c r="R274" s="182">
        <f t="shared" si="54"/>
        <v>6</v>
      </c>
      <c r="S274" s="182">
        <f t="shared" si="54"/>
        <v>70187</v>
      </c>
    </row>
    <row r="275" spans="1:19" s="366" customFormat="1" x14ac:dyDescent="0.2">
      <c r="A275" s="118">
        <v>2010</v>
      </c>
      <c r="B275" s="182" t="str">
        <f t="shared" si="56"/>
        <v>-</v>
      </c>
      <c r="C275" s="182" t="str">
        <f t="shared" si="56"/>
        <v>-</v>
      </c>
      <c r="D275" s="182">
        <f t="shared" si="56"/>
        <v>82</v>
      </c>
      <c r="E275" s="182">
        <f t="shared" si="56"/>
        <v>209</v>
      </c>
      <c r="F275" s="182">
        <f t="shared" si="56"/>
        <v>383</v>
      </c>
      <c r="G275" s="182">
        <f t="shared" si="56"/>
        <v>1132</v>
      </c>
      <c r="H275" s="182">
        <f t="shared" si="56"/>
        <v>686</v>
      </c>
      <c r="I275" s="182">
        <f t="shared" si="56"/>
        <v>663</v>
      </c>
      <c r="J275" s="183" t="s">
        <v>116</v>
      </c>
      <c r="K275" s="182">
        <f t="shared" si="57"/>
        <v>3155</v>
      </c>
      <c r="L275" s="182"/>
      <c r="M275" s="182" t="str">
        <f t="shared" si="54"/>
        <v>-</v>
      </c>
      <c r="N275" s="182">
        <f t="shared" si="54"/>
        <v>368</v>
      </c>
      <c r="O275" s="182">
        <f t="shared" si="54"/>
        <v>2200</v>
      </c>
      <c r="P275" s="182">
        <f t="shared" si="54"/>
        <v>8361</v>
      </c>
      <c r="Q275" s="182">
        <f t="shared" si="54"/>
        <v>1258</v>
      </c>
      <c r="R275" s="182" t="str">
        <f t="shared" si="54"/>
        <v>-</v>
      </c>
      <c r="S275" s="182">
        <f t="shared" si="54"/>
        <v>12187</v>
      </c>
    </row>
    <row r="276" spans="1:19" s="366" customFormat="1" x14ac:dyDescent="0.2">
      <c r="A276" s="118">
        <v>2011</v>
      </c>
      <c r="B276" s="182">
        <f t="shared" si="56"/>
        <v>0</v>
      </c>
      <c r="C276" s="182">
        <f t="shared" si="56"/>
        <v>7</v>
      </c>
      <c r="D276" s="182">
        <f t="shared" si="56"/>
        <v>204</v>
      </c>
      <c r="E276" s="182">
        <f t="shared" si="56"/>
        <v>185</v>
      </c>
      <c r="F276" s="182">
        <f t="shared" si="56"/>
        <v>500</v>
      </c>
      <c r="G276" s="182">
        <f t="shared" si="56"/>
        <v>951</v>
      </c>
      <c r="H276" s="182">
        <f t="shared" si="56"/>
        <v>1252</v>
      </c>
      <c r="I276" s="182">
        <f t="shared" si="56"/>
        <v>440</v>
      </c>
      <c r="J276" s="48">
        <f>IF(AND(J229="-",J182="-",J135="-",J88="-"),"-",SUM(J229,J182,J135,J88))</f>
        <v>6</v>
      </c>
      <c r="K276" s="182">
        <f t="shared" si="57"/>
        <v>3545</v>
      </c>
      <c r="L276" s="182"/>
      <c r="M276" s="182" t="str">
        <f t="shared" si="54"/>
        <v>-</v>
      </c>
      <c r="N276" s="182">
        <f t="shared" si="54"/>
        <v>556</v>
      </c>
      <c r="O276" s="182">
        <f t="shared" si="54"/>
        <v>3580</v>
      </c>
      <c r="P276" s="182">
        <f t="shared" si="54"/>
        <v>2019</v>
      </c>
      <c r="Q276" s="182">
        <f t="shared" si="54"/>
        <v>6631</v>
      </c>
      <c r="R276" s="182" t="str">
        <f t="shared" si="54"/>
        <v>-</v>
      </c>
      <c r="S276" s="182">
        <f t="shared" si="54"/>
        <v>12786</v>
      </c>
    </row>
    <row r="277" spans="1:19" s="366" customFormat="1" x14ac:dyDescent="0.2">
      <c r="A277" s="118">
        <v>2012</v>
      </c>
      <c r="B277" s="182">
        <f t="shared" si="56"/>
        <v>21</v>
      </c>
      <c r="C277" s="182">
        <f t="shared" si="56"/>
        <v>108</v>
      </c>
      <c r="D277" s="182">
        <f t="shared" si="56"/>
        <v>864</v>
      </c>
      <c r="E277" s="182">
        <f t="shared" si="56"/>
        <v>1591</v>
      </c>
      <c r="F277" s="182">
        <f t="shared" si="56"/>
        <v>3187</v>
      </c>
      <c r="G277" s="182">
        <f t="shared" si="56"/>
        <v>6272</v>
      </c>
      <c r="H277" s="182">
        <f t="shared" si="56"/>
        <v>3999</v>
      </c>
      <c r="I277" s="182">
        <f t="shared" si="56"/>
        <v>1040</v>
      </c>
      <c r="J277" s="182">
        <f>IF(AND(J230="-",J183="-",J136="-",J89="-"),"-",SUM(J230,J183,J136,J89))</f>
        <v>8</v>
      </c>
      <c r="K277" s="182">
        <f t="shared" si="57"/>
        <v>17090</v>
      </c>
      <c r="L277" s="182"/>
      <c r="M277" s="182" t="str">
        <f t="shared" si="54"/>
        <v>-</v>
      </c>
      <c r="N277" s="182">
        <f t="shared" si="54"/>
        <v>70</v>
      </c>
      <c r="O277" s="182">
        <f t="shared" si="54"/>
        <v>2395</v>
      </c>
      <c r="P277" s="182">
        <f t="shared" si="54"/>
        <v>4975</v>
      </c>
      <c r="Q277" s="182">
        <f t="shared" si="54"/>
        <v>6965</v>
      </c>
      <c r="R277" s="182">
        <f t="shared" si="54"/>
        <v>2</v>
      </c>
      <c r="S277" s="182">
        <f t="shared" si="54"/>
        <v>14407</v>
      </c>
    </row>
    <row r="278" spans="1:19" s="366" customFormat="1" x14ac:dyDescent="0.2">
      <c r="A278" s="118">
        <v>2013</v>
      </c>
      <c r="B278" s="182">
        <f t="shared" si="56"/>
        <v>257</v>
      </c>
      <c r="C278" s="182">
        <f t="shared" si="56"/>
        <v>196</v>
      </c>
      <c r="D278" s="182">
        <f t="shared" si="56"/>
        <v>213</v>
      </c>
      <c r="E278" s="182">
        <f t="shared" si="56"/>
        <v>3212</v>
      </c>
      <c r="F278" s="182">
        <f t="shared" si="56"/>
        <v>6419</v>
      </c>
      <c r="G278" s="182">
        <f t="shared" si="56"/>
        <v>14722</v>
      </c>
      <c r="H278" s="182">
        <f t="shared" si="56"/>
        <v>1691</v>
      </c>
      <c r="I278" s="182">
        <f t="shared" si="56"/>
        <v>1606</v>
      </c>
      <c r="J278" s="183" t="s">
        <v>116</v>
      </c>
      <c r="K278" s="182">
        <f t="shared" si="57"/>
        <v>28316</v>
      </c>
      <c r="L278" s="182"/>
      <c r="M278" s="182" t="str">
        <f t="shared" si="54"/>
        <v>-</v>
      </c>
      <c r="N278" s="182">
        <f t="shared" si="54"/>
        <v>17</v>
      </c>
      <c r="O278" s="182">
        <f t="shared" si="54"/>
        <v>5050</v>
      </c>
      <c r="P278" s="182">
        <f t="shared" si="54"/>
        <v>2773</v>
      </c>
      <c r="Q278" s="182">
        <f t="shared" si="54"/>
        <v>2658</v>
      </c>
      <c r="R278" s="182">
        <f t="shared" si="54"/>
        <v>25</v>
      </c>
      <c r="S278" s="182">
        <f t="shared" si="54"/>
        <v>10523</v>
      </c>
    </row>
    <row r="279" spans="1:19" s="366" customFormat="1" x14ac:dyDescent="0.2">
      <c r="A279" s="118">
        <v>2014</v>
      </c>
      <c r="B279" s="182">
        <f t="shared" si="56"/>
        <v>10</v>
      </c>
      <c r="C279" s="182">
        <f t="shared" si="56"/>
        <v>32</v>
      </c>
      <c r="D279" s="182">
        <f t="shared" si="56"/>
        <v>1083</v>
      </c>
      <c r="E279" s="182">
        <f t="shared" si="56"/>
        <v>1303</v>
      </c>
      <c r="F279" s="182">
        <f t="shared" si="56"/>
        <v>6314</v>
      </c>
      <c r="G279" s="182">
        <f t="shared" si="56"/>
        <v>4294</v>
      </c>
      <c r="H279" s="182">
        <f t="shared" si="56"/>
        <v>1886</v>
      </c>
      <c r="I279" s="182">
        <f t="shared" si="56"/>
        <v>1252</v>
      </c>
      <c r="J279" s="183" t="s">
        <v>116</v>
      </c>
      <c r="K279" s="182">
        <f t="shared" si="57"/>
        <v>16174</v>
      </c>
      <c r="L279" s="182"/>
      <c r="M279" s="182">
        <f t="shared" si="54"/>
        <v>4</v>
      </c>
      <c r="N279" s="182">
        <f t="shared" si="54"/>
        <v>3561</v>
      </c>
      <c r="O279" s="182">
        <f t="shared" si="54"/>
        <v>33379</v>
      </c>
      <c r="P279" s="182">
        <f t="shared" si="54"/>
        <v>19280</v>
      </c>
      <c r="Q279" s="182">
        <f t="shared" si="54"/>
        <v>26494</v>
      </c>
      <c r="R279" s="182">
        <f t="shared" si="54"/>
        <v>49</v>
      </c>
      <c r="S279" s="182">
        <f t="shared" si="54"/>
        <v>82767</v>
      </c>
    </row>
    <row r="280" spans="1:19" s="366" customFormat="1" x14ac:dyDescent="0.2">
      <c r="A280" s="118">
        <v>2015</v>
      </c>
      <c r="B280" s="182">
        <f t="shared" si="56"/>
        <v>30</v>
      </c>
      <c r="C280" s="182">
        <f t="shared" si="56"/>
        <v>8</v>
      </c>
      <c r="D280" s="182">
        <f t="shared" si="56"/>
        <v>181</v>
      </c>
      <c r="E280" s="182">
        <f t="shared" si="56"/>
        <v>364</v>
      </c>
      <c r="F280" s="182">
        <f t="shared" si="56"/>
        <v>550</v>
      </c>
      <c r="G280" s="182">
        <f t="shared" si="56"/>
        <v>423</v>
      </c>
      <c r="H280" s="182">
        <f t="shared" si="56"/>
        <v>2883</v>
      </c>
      <c r="I280" s="182">
        <f t="shared" si="56"/>
        <v>2246</v>
      </c>
      <c r="J280" s="183" t="s">
        <v>116</v>
      </c>
      <c r="K280" s="182">
        <f t="shared" si="57"/>
        <v>6685</v>
      </c>
      <c r="L280" s="182"/>
      <c r="M280" s="182" t="str">
        <f t="shared" si="54"/>
        <v>-</v>
      </c>
      <c r="N280" s="182">
        <f t="shared" si="54"/>
        <v>463</v>
      </c>
      <c r="O280" s="182">
        <f t="shared" si="54"/>
        <v>11959</v>
      </c>
      <c r="P280" s="182">
        <f t="shared" si="54"/>
        <v>2562</v>
      </c>
      <c r="Q280" s="182">
        <f t="shared" si="54"/>
        <v>4430</v>
      </c>
      <c r="R280" s="182">
        <f t="shared" si="54"/>
        <v>28</v>
      </c>
      <c r="S280" s="182">
        <f t="shared" si="54"/>
        <v>19442</v>
      </c>
    </row>
    <row r="281" spans="1:19" s="366" customFormat="1" x14ac:dyDescent="0.2">
      <c r="A281" s="118">
        <v>2016</v>
      </c>
      <c r="B281" s="182">
        <f t="shared" si="56"/>
        <v>32</v>
      </c>
      <c r="C281" s="182">
        <f t="shared" si="56"/>
        <v>9</v>
      </c>
      <c r="D281" s="182">
        <f t="shared" si="56"/>
        <v>128</v>
      </c>
      <c r="E281" s="182">
        <f t="shared" si="56"/>
        <v>319</v>
      </c>
      <c r="F281" s="182">
        <f t="shared" si="56"/>
        <v>310</v>
      </c>
      <c r="G281" s="182">
        <f t="shared" si="56"/>
        <v>695</v>
      </c>
      <c r="H281" s="182">
        <f t="shared" si="56"/>
        <v>1199</v>
      </c>
      <c r="I281" s="182">
        <f t="shared" si="56"/>
        <v>363</v>
      </c>
      <c r="J281" s="183" t="s">
        <v>116</v>
      </c>
      <c r="K281" s="182">
        <f t="shared" si="57"/>
        <v>3055</v>
      </c>
      <c r="L281" s="182"/>
      <c r="M281" s="182" t="str">
        <f t="shared" ref="M281:S283" si="58">IF(AND(M234="-",M187="-",M140="-",M93="-"),"-",SUM(M234,M187,M140,M93))</f>
        <v>-</v>
      </c>
      <c r="N281" s="182">
        <f t="shared" si="58"/>
        <v>256</v>
      </c>
      <c r="O281" s="182">
        <f t="shared" si="58"/>
        <v>1216</v>
      </c>
      <c r="P281" s="182">
        <f t="shared" si="58"/>
        <v>82</v>
      </c>
      <c r="Q281" s="182">
        <f t="shared" si="58"/>
        <v>4180</v>
      </c>
      <c r="R281" s="182">
        <f t="shared" si="58"/>
        <v>22</v>
      </c>
      <c r="S281" s="182">
        <f t="shared" si="58"/>
        <v>5756</v>
      </c>
    </row>
    <row r="282" spans="1:19" s="366" customFormat="1" x14ac:dyDescent="0.2">
      <c r="A282" s="118">
        <v>2017</v>
      </c>
      <c r="B282" s="182">
        <f t="shared" si="56"/>
        <v>0</v>
      </c>
      <c r="C282" s="182">
        <f t="shared" si="56"/>
        <v>6</v>
      </c>
      <c r="D282" s="182">
        <f t="shared" si="56"/>
        <v>89</v>
      </c>
      <c r="E282" s="182">
        <f t="shared" si="56"/>
        <v>139</v>
      </c>
      <c r="F282" s="182">
        <f t="shared" si="56"/>
        <v>508</v>
      </c>
      <c r="G282" s="182">
        <f t="shared" si="56"/>
        <v>807</v>
      </c>
      <c r="H282" s="182">
        <f t="shared" si="56"/>
        <v>592</v>
      </c>
      <c r="I282" s="182">
        <f t="shared" si="56"/>
        <v>545</v>
      </c>
      <c r="J282" s="183" t="s">
        <v>116</v>
      </c>
      <c r="K282" s="182">
        <f t="shared" si="57"/>
        <v>2686</v>
      </c>
      <c r="L282" s="182"/>
      <c r="M282" s="182" t="str">
        <f t="shared" si="58"/>
        <v>-</v>
      </c>
      <c r="N282" s="182">
        <f t="shared" si="58"/>
        <v>363</v>
      </c>
      <c r="O282" s="182">
        <f t="shared" si="58"/>
        <v>5772</v>
      </c>
      <c r="P282" s="182">
        <f t="shared" si="58"/>
        <v>3940</v>
      </c>
      <c r="Q282" s="182">
        <f t="shared" si="58"/>
        <v>4590</v>
      </c>
      <c r="R282" s="182" t="str">
        <f t="shared" si="58"/>
        <v>-</v>
      </c>
      <c r="S282" s="182">
        <f t="shared" si="58"/>
        <v>14665</v>
      </c>
    </row>
    <row r="283" spans="1:19" s="366" customFormat="1" x14ac:dyDescent="0.2">
      <c r="A283" s="118">
        <v>2018</v>
      </c>
      <c r="B283" s="182">
        <f t="shared" si="56"/>
        <v>0</v>
      </c>
      <c r="C283" s="182">
        <f t="shared" si="56"/>
        <v>4</v>
      </c>
      <c r="D283" s="182">
        <f t="shared" si="56"/>
        <v>153</v>
      </c>
      <c r="E283" s="182">
        <f t="shared" si="56"/>
        <v>288</v>
      </c>
      <c r="F283" s="182">
        <f t="shared" si="56"/>
        <v>1113</v>
      </c>
      <c r="G283" s="182">
        <f t="shared" si="56"/>
        <v>1615</v>
      </c>
      <c r="H283" s="182">
        <f t="shared" si="56"/>
        <v>625</v>
      </c>
      <c r="I283" s="182">
        <f t="shared" si="56"/>
        <v>503</v>
      </c>
      <c r="J283" s="183" t="s">
        <v>116</v>
      </c>
      <c r="K283" s="182">
        <f t="shared" si="57"/>
        <v>4301</v>
      </c>
      <c r="L283" s="182"/>
      <c r="M283" s="182" t="str">
        <f t="shared" si="58"/>
        <v>-</v>
      </c>
      <c r="N283" s="182">
        <f t="shared" si="58"/>
        <v>34</v>
      </c>
      <c r="O283" s="182">
        <f t="shared" si="58"/>
        <v>2981</v>
      </c>
      <c r="P283" s="182">
        <f t="shared" si="58"/>
        <v>8593</v>
      </c>
      <c r="Q283" s="182">
        <f t="shared" si="58"/>
        <v>6936</v>
      </c>
      <c r="R283" s="182" t="str">
        <f t="shared" si="58"/>
        <v>-</v>
      </c>
      <c r="S283" s="182">
        <f t="shared" si="58"/>
        <v>18544</v>
      </c>
    </row>
    <row r="284" spans="1:19" s="489" customFormat="1" x14ac:dyDescent="0.2">
      <c r="A284" s="118">
        <v>2019</v>
      </c>
      <c r="B284" s="182">
        <f t="shared" ref="B284:K285" si="59">IF(AND(B237="-",B190="-",B143="-",B96="-"),"-",SUM(B237,B190,B143,B96))</f>
        <v>10</v>
      </c>
      <c r="C284" s="182">
        <f t="shared" si="59"/>
        <v>3</v>
      </c>
      <c r="D284" s="182">
        <f t="shared" si="59"/>
        <v>112</v>
      </c>
      <c r="E284" s="182">
        <f t="shared" si="59"/>
        <v>647</v>
      </c>
      <c r="F284" s="182">
        <f t="shared" si="59"/>
        <v>2642</v>
      </c>
      <c r="G284" s="182">
        <f t="shared" si="59"/>
        <v>948</v>
      </c>
      <c r="H284" s="182">
        <f t="shared" si="59"/>
        <v>693</v>
      </c>
      <c r="I284" s="182">
        <f t="shared" si="59"/>
        <v>256</v>
      </c>
      <c r="J284" s="182" t="str">
        <f t="shared" si="59"/>
        <v>-</v>
      </c>
      <c r="K284" s="182">
        <f t="shared" si="59"/>
        <v>5311</v>
      </c>
      <c r="L284" s="182"/>
      <c r="M284" s="182" t="str">
        <f t="shared" ref="M284:R285" si="60">IF(AND(M237="-",M190="-",M143="-",M96="-"),"-",SUM(M237,M190,M143,M96))</f>
        <v>-</v>
      </c>
      <c r="N284" s="182">
        <f t="shared" si="60"/>
        <v>3944</v>
      </c>
      <c r="O284" s="182">
        <f t="shared" si="60"/>
        <v>27644</v>
      </c>
      <c r="P284" s="182">
        <f t="shared" si="60"/>
        <v>12426</v>
      </c>
      <c r="Q284" s="182">
        <f t="shared" si="60"/>
        <v>5070</v>
      </c>
      <c r="R284" s="182">
        <f t="shared" si="60"/>
        <v>5</v>
      </c>
      <c r="S284" s="182">
        <f>IF(AND(S237="-",S190="-",S143="-",S96="-"),"-",SUM(S237,S190,S143,S96))</f>
        <v>49089</v>
      </c>
    </row>
    <row r="285" spans="1:19" x14ac:dyDescent="0.2">
      <c r="A285" s="118" t="s">
        <v>393</v>
      </c>
      <c r="B285" s="48">
        <f t="shared" si="59"/>
        <v>0</v>
      </c>
      <c r="C285" s="48">
        <f t="shared" si="59"/>
        <v>4</v>
      </c>
      <c r="D285" s="48">
        <f t="shared" si="59"/>
        <v>38</v>
      </c>
      <c r="E285" s="48">
        <f t="shared" si="59"/>
        <v>655</v>
      </c>
      <c r="F285" s="48">
        <f t="shared" si="59"/>
        <v>3781</v>
      </c>
      <c r="G285" s="48">
        <f t="shared" si="59"/>
        <v>959</v>
      </c>
      <c r="H285" s="48">
        <f t="shared" si="59"/>
        <v>1338</v>
      </c>
      <c r="I285" s="48">
        <f t="shared" si="59"/>
        <v>219</v>
      </c>
      <c r="J285" s="48" t="str">
        <f t="shared" si="59"/>
        <v>-</v>
      </c>
      <c r="K285" s="48">
        <f t="shared" si="59"/>
        <v>6994</v>
      </c>
      <c r="M285" s="48" t="str">
        <f t="shared" si="60"/>
        <v>-</v>
      </c>
      <c r="N285" s="48">
        <f t="shared" si="60"/>
        <v>0</v>
      </c>
      <c r="O285" s="48">
        <f t="shared" si="60"/>
        <v>7727</v>
      </c>
      <c r="P285" s="48">
        <f t="shared" si="60"/>
        <v>5115</v>
      </c>
      <c r="Q285" s="287">
        <f t="shared" si="60"/>
        <v>4245</v>
      </c>
      <c r="R285" s="48" t="str">
        <f t="shared" si="60"/>
        <v>-</v>
      </c>
      <c r="S285" s="48">
        <f>IF(AND(S238="-",S191="-",S144="-",S97="-"),"-",SUM(S238,S191,S144,S97))</f>
        <v>17087</v>
      </c>
    </row>
    <row r="287" spans="1:19" x14ac:dyDescent="0.2">
      <c r="A287" s="114" t="s">
        <v>51</v>
      </c>
    </row>
    <row r="288" spans="1:19" x14ac:dyDescent="0.2">
      <c r="A288" s="371">
        <v>1976</v>
      </c>
      <c r="B288" s="182" t="str">
        <f t="shared" ref="B288:K288" si="61">IF(AND(B6="-",B241="-"),"-",SUM(B6,B241))</f>
        <v>-</v>
      </c>
      <c r="C288" s="182">
        <f t="shared" si="61"/>
        <v>0</v>
      </c>
      <c r="D288" s="182">
        <f t="shared" si="61"/>
        <v>1987</v>
      </c>
      <c r="E288" s="182">
        <f t="shared" si="61"/>
        <v>12521</v>
      </c>
      <c r="F288" s="182">
        <f t="shared" si="61"/>
        <v>19614</v>
      </c>
      <c r="G288" s="182">
        <f t="shared" si="61"/>
        <v>35313</v>
      </c>
      <c r="H288" s="182">
        <f t="shared" si="61"/>
        <v>8635</v>
      </c>
      <c r="I288" s="182">
        <f t="shared" si="61"/>
        <v>844</v>
      </c>
      <c r="J288" s="182">
        <f t="shared" si="61"/>
        <v>152</v>
      </c>
      <c r="K288" s="182">
        <f t="shared" si="61"/>
        <v>79066</v>
      </c>
      <c r="M288" s="182">
        <f t="shared" ref="M288:S297" si="62">IF(AND(M6="-",M241="-"),"-",SUM(M6,M241))</f>
        <v>19217</v>
      </c>
      <c r="N288" s="182">
        <f t="shared" si="62"/>
        <v>75561</v>
      </c>
      <c r="O288" s="182">
        <f t="shared" si="62"/>
        <v>170085</v>
      </c>
      <c r="P288" s="182">
        <f t="shared" si="62"/>
        <v>192077</v>
      </c>
      <c r="Q288" s="182">
        <f t="shared" si="62"/>
        <v>38771</v>
      </c>
      <c r="R288" s="182">
        <f t="shared" si="62"/>
        <v>4301</v>
      </c>
      <c r="S288" s="182">
        <f t="shared" si="62"/>
        <v>500012</v>
      </c>
    </row>
    <row r="289" spans="1:19" x14ac:dyDescent="0.2">
      <c r="A289" s="371">
        <v>1977</v>
      </c>
      <c r="B289" s="182" t="str">
        <f t="shared" ref="B289:K289" si="63">IF(AND(B7="-",B242="-"),"-",SUM(B7,B242))</f>
        <v>-</v>
      </c>
      <c r="C289" s="182">
        <f t="shared" si="63"/>
        <v>0</v>
      </c>
      <c r="D289" s="182">
        <f t="shared" si="63"/>
        <v>1357</v>
      </c>
      <c r="E289" s="182">
        <f t="shared" si="63"/>
        <v>8392</v>
      </c>
      <c r="F289" s="182">
        <f t="shared" si="63"/>
        <v>16727</v>
      </c>
      <c r="G289" s="182">
        <f t="shared" si="63"/>
        <v>24097</v>
      </c>
      <c r="H289" s="182">
        <f t="shared" si="63"/>
        <v>5818</v>
      </c>
      <c r="I289" s="182">
        <f t="shared" si="63"/>
        <v>1601</v>
      </c>
      <c r="J289" s="182">
        <f t="shared" si="63"/>
        <v>100</v>
      </c>
      <c r="K289" s="182">
        <f t="shared" si="63"/>
        <v>58092</v>
      </c>
      <c r="M289" s="182">
        <f t="shared" si="62"/>
        <v>15673</v>
      </c>
      <c r="N289" s="182">
        <f t="shared" si="62"/>
        <v>25282</v>
      </c>
      <c r="O289" s="182">
        <f t="shared" si="62"/>
        <v>78296</v>
      </c>
      <c r="P289" s="182">
        <f t="shared" si="62"/>
        <v>52004</v>
      </c>
      <c r="Q289" s="182">
        <f t="shared" si="62"/>
        <v>8216</v>
      </c>
      <c r="R289" s="182">
        <f t="shared" si="62"/>
        <v>435</v>
      </c>
      <c r="S289" s="182">
        <f t="shared" si="62"/>
        <v>179906</v>
      </c>
    </row>
    <row r="290" spans="1:19" x14ac:dyDescent="0.2">
      <c r="A290" s="371">
        <v>1978</v>
      </c>
      <c r="B290" s="182" t="str">
        <f t="shared" ref="B290:K290" si="64">IF(AND(B8="-",B243="-"),"-",SUM(B8,B243))</f>
        <v>-</v>
      </c>
      <c r="C290" s="182">
        <f t="shared" si="64"/>
        <v>0</v>
      </c>
      <c r="D290" s="182">
        <f t="shared" si="64"/>
        <v>994</v>
      </c>
      <c r="E290" s="182">
        <f t="shared" si="64"/>
        <v>4702</v>
      </c>
      <c r="F290" s="182">
        <f t="shared" si="64"/>
        <v>4955</v>
      </c>
      <c r="G290" s="182">
        <f t="shared" si="64"/>
        <v>9544</v>
      </c>
      <c r="H290" s="182">
        <f t="shared" si="64"/>
        <v>1610</v>
      </c>
      <c r="I290" s="182">
        <f t="shared" si="64"/>
        <v>911</v>
      </c>
      <c r="J290" s="182">
        <f t="shared" si="64"/>
        <v>79</v>
      </c>
      <c r="K290" s="182">
        <f t="shared" si="64"/>
        <v>22795</v>
      </c>
      <c r="M290" s="182">
        <f t="shared" si="62"/>
        <v>5283</v>
      </c>
      <c r="N290" s="182">
        <f t="shared" si="62"/>
        <v>101444</v>
      </c>
      <c r="O290" s="182">
        <f t="shared" si="62"/>
        <v>71336</v>
      </c>
      <c r="P290" s="182">
        <f t="shared" si="62"/>
        <v>67690</v>
      </c>
      <c r="Q290" s="182">
        <f t="shared" si="62"/>
        <v>13202</v>
      </c>
      <c r="R290" s="182">
        <f t="shared" si="62"/>
        <v>394</v>
      </c>
      <c r="S290" s="182">
        <f t="shared" si="62"/>
        <v>259349</v>
      </c>
    </row>
    <row r="291" spans="1:19" x14ac:dyDescent="0.2">
      <c r="A291" s="371">
        <v>1979</v>
      </c>
      <c r="B291" s="182" t="str">
        <f t="shared" ref="B291:K291" si="65">IF(AND(B9="-",B244="-"),"-",SUM(B9,B244))</f>
        <v>-</v>
      </c>
      <c r="C291" s="182" t="str">
        <f t="shared" si="65"/>
        <v>-</v>
      </c>
      <c r="D291" s="182">
        <f t="shared" si="65"/>
        <v>973</v>
      </c>
      <c r="E291" s="182">
        <f t="shared" si="65"/>
        <v>4593</v>
      </c>
      <c r="F291" s="182">
        <f t="shared" si="65"/>
        <v>6738</v>
      </c>
      <c r="G291" s="182">
        <f t="shared" si="65"/>
        <v>7741</v>
      </c>
      <c r="H291" s="182">
        <f t="shared" si="65"/>
        <v>200</v>
      </c>
      <c r="I291" s="182">
        <f t="shared" si="65"/>
        <v>597</v>
      </c>
      <c r="J291" s="182">
        <f t="shared" si="65"/>
        <v>60</v>
      </c>
      <c r="K291" s="182">
        <f t="shared" si="65"/>
        <v>20902</v>
      </c>
      <c r="M291" s="182">
        <f t="shared" si="62"/>
        <v>5667</v>
      </c>
      <c r="N291" s="182">
        <f t="shared" si="62"/>
        <v>35559</v>
      </c>
      <c r="O291" s="182">
        <f t="shared" si="62"/>
        <v>85768</v>
      </c>
      <c r="P291" s="182">
        <f t="shared" si="62"/>
        <v>52210</v>
      </c>
      <c r="Q291" s="182">
        <f t="shared" si="62"/>
        <v>1630</v>
      </c>
      <c r="R291" s="182" t="str">
        <f t="shared" si="62"/>
        <v>-</v>
      </c>
      <c r="S291" s="182">
        <f t="shared" si="62"/>
        <v>180834</v>
      </c>
    </row>
    <row r="292" spans="1:19" x14ac:dyDescent="0.2">
      <c r="A292" s="371">
        <v>1980</v>
      </c>
      <c r="B292" s="182" t="str">
        <f t="shared" ref="B292:K292" si="66">IF(AND(B10="-",B245="-"),"-",SUM(B10,B245))</f>
        <v>-</v>
      </c>
      <c r="C292" s="182" t="str">
        <f t="shared" si="66"/>
        <v>-</v>
      </c>
      <c r="D292" s="182">
        <f t="shared" si="66"/>
        <v>313</v>
      </c>
      <c r="E292" s="182">
        <f t="shared" si="66"/>
        <v>4654</v>
      </c>
      <c r="F292" s="182">
        <f t="shared" si="66"/>
        <v>6912</v>
      </c>
      <c r="G292" s="182">
        <f t="shared" si="66"/>
        <v>5404</v>
      </c>
      <c r="H292" s="182">
        <f t="shared" si="66"/>
        <v>1349</v>
      </c>
      <c r="I292" s="182">
        <f t="shared" si="66"/>
        <v>319</v>
      </c>
      <c r="J292" s="182">
        <f t="shared" si="66"/>
        <v>63</v>
      </c>
      <c r="K292" s="182">
        <f t="shared" si="66"/>
        <v>19014</v>
      </c>
      <c r="M292" s="182">
        <f t="shared" si="62"/>
        <v>6025</v>
      </c>
      <c r="N292" s="182">
        <f t="shared" si="62"/>
        <v>114176</v>
      </c>
      <c r="O292" s="182">
        <f t="shared" si="62"/>
        <v>156114</v>
      </c>
      <c r="P292" s="182">
        <f t="shared" si="62"/>
        <v>45136</v>
      </c>
      <c r="Q292" s="182">
        <f t="shared" si="62"/>
        <v>4392</v>
      </c>
      <c r="R292" s="182" t="str">
        <f t="shared" si="62"/>
        <v>-</v>
      </c>
      <c r="S292" s="182">
        <f t="shared" si="62"/>
        <v>325843</v>
      </c>
    </row>
    <row r="293" spans="1:19" x14ac:dyDescent="0.2">
      <c r="A293" s="371">
        <v>1981</v>
      </c>
      <c r="B293" s="182" t="str">
        <f t="shared" ref="B293:K293" si="67">IF(AND(B11="-",B246="-"),"-",SUM(B11,B246))</f>
        <v>-</v>
      </c>
      <c r="C293" s="182" t="str">
        <f t="shared" si="67"/>
        <v>-</v>
      </c>
      <c r="D293" s="182">
        <f t="shared" si="67"/>
        <v>700</v>
      </c>
      <c r="E293" s="182">
        <f t="shared" si="67"/>
        <v>3148</v>
      </c>
      <c r="F293" s="182">
        <f t="shared" si="67"/>
        <v>10309</v>
      </c>
      <c r="G293" s="182">
        <f t="shared" si="67"/>
        <v>12471</v>
      </c>
      <c r="H293" s="182">
        <f t="shared" si="67"/>
        <v>2248</v>
      </c>
      <c r="I293" s="182">
        <f t="shared" si="67"/>
        <v>289</v>
      </c>
      <c r="J293" s="182">
        <f t="shared" si="67"/>
        <v>10</v>
      </c>
      <c r="K293" s="182">
        <f t="shared" si="67"/>
        <v>29175</v>
      </c>
      <c r="M293" s="182">
        <f t="shared" si="62"/>
        <v>9181</v>
      </c>
      <c r="N293" s="182">
        <f t="shared" si="62"/>
        <v>26331</v>
      </c>
      <c r="O293" s="182">
        <f t="shared" si="62"/>
        <v>70778</v>
      </c>
      <c r="P293" s="182">
        <f t="shared" si="62"/>
        <v>80616</v>
      </c>
      <c r="Q293" s="182">
        <f t="shared" si="62"/>
        <v>12906</v>
      </c>
      <c r="R293" s="182" t="str">
        <f t="shared" si="62"/>
        <v>-</v>
      </c>
      <c r="S293" s="182">
        <f t="shared" si="62"/>
        <v>199812</v>
      </c>
    </row>
    <row r="294" spans="1:19" x14ac:dyDescent="0.2">
      <c r="A294" s="371">
        <v>1982</v>
      </c>
      <c r="B294" s="182" t="str">
        <f t="shared" ref="B294:K294" si="68">IF(AND(B12="-",B247="-"),"-",SUM(B12,B247))</f>
        <v>-</v>
      </c>
      <c r="C294" s="182" t="str">
        <f t="shared" si="68"/>
        <v>-</v>
      </c>
      <c r="D294" s="182">
        <f t="shared" si="68"/>
        <v>7</v>
      </c>
      <c r="E294" s="182">
        <f t="shared" si="68"/>
        <v>4741</v>
      </c>
      <c r="F294" s="182">
        <f t="shared" si="68"/>
        <v>31945</v>
      </c>
      <c r="G294" s="182">
        <f t="shared" si="68"/>
        <v>1544</v>
      </c>
      <c r="H294" s="182">
        <f t="shared" si="68"/>
        <v>227</v>
      </c>
      <c r="I294" s="182">
        <f t="shared" si="68"/>
        <v>236</v>
      </c>
      <c r="J294" s="182">
        <f t="shared" si="68"/>
        <v>16</v>
      </c>
      <c r="K294" s="182">
        <f t="shared" si="68"/>
        <v>38716</v>
      </c>
      <c r="M294" s="182">
        <f t="shared" si="62"/>
        <v>5</v>
      </c>
      <c r="N294" s="182">
        <f t="shared" si="62"/>
        <v>24147</v>
      </c>
      <c r="O294" s="182">
        <f t="shared" si="62"/>
        <v>150976</v>
      </c>
      <c r="P294" s="182">
        <f t="shared" si="62"/>
        <v>0</v>
      </c>
      <c r="Q294" s="182" t="str">
        <f t="shared" si="62"/>
        <v>-</v>
      </c>
      <c r="R294" s="182" t="str">
        <f t="shared" si="62"/>
        <v>-</v>
      </c>
      <c r="S294" s="182">
        <f t="shared" si="62"/>
        <v>175128</v>
      </c>
    </row>
    <row r="295" spans="1:19" x14ac:dyDescent="0.2">
      <c r="A295" s="371">
        <v>1983</v>
      </c>
      <c r="B295" s="182" t="str">
        <f t="shared" ref="B295:K295" si="69">IF(AND(B13="-",B248="-"),"-",SUM(B13,B248))</f>
        <v>-</v>
      </c>
      <c r="C295" s="182" t="str">
        <f t="shared" si="69"/>
        <v>-</v>
      </c>
      <c r="D295" s="182">
        <f t="shared" si="69"/>
        <v>504</v>
      </c>
      <c r="E295" s="182">
        <f t="shared" si="69"/>
        <v>6128</v>
      </c>
      <c r="F295" s="182">
        <f t="shared" si="69"/>
        <v>10141</v>
      </c>
      <c r="G295" s="182">
        <f t="shared" si="69"/>
        <v>3632</v>
      </c>
      <c r="H295" s="182">
        <f t="shared" si="69"/>
        <v>3256</v>
      </c>
      <c r="I295" s="182">
        <f t="shared" si="69"/>
        <v>999</v>
      </c>
      <c r="J295" s="182">
        <f t="shared" si="69"/>
        <v>17</v>
      </c>
      <c r="K295" s="182">
        <f t="shared" si="69"/>
        <v>24677</v>
      </c>
      <c r="M295" s="182">
        <f t="shared" si="62"/>
        <v>453</v>
      </c>
      <c r="N295" s="182">
        <f t="shared" si="62"/>
        <v>30022</v>
      </c>
      <c r="O295" s="182">
        <f t="shared" si="62"/>
        <v>75643</v>
      </c>
      <c r="P295" s="182">
        <f t="shared" si="62"/>
        <v>26400</v>
      </c>
      <c r="Q295" s="182">
        <f t="shared" si="62"/>
        <v>14386</v>
      </c>
      <c r="R295" s="182" t="str">
        <f t="shared" si="62"/>
        <v>-</v>
      </c>
      <c r="S295" s="182">
        <f t="shared" si="62"/>
        <v>146904</v>
      </c>
    </row>
    <row r="296" spans="1:19" x14ac:dyDescent="0.2">
      <c r="A296" s="371">
        <v>1984</v>
      </c>
      <c r="B296" s="182" t="str">
        <f t="shared" ref="B296:K296" si="70">IF(AND(B14="-",B249="-"),"-",SUM(B14,B249))</f>
        <v>-</v>
      </c>
      <c r="C296" s="182" t="str">
        <f t="shared" si="70"/>
        <v>-</v>
      </c>
      <c r="D296" s="182" t="str">
        <f t="shared" si="70"/>
        <v>-</v>
      </c>
      <c r="E296" s="182">
        <f t="shared" si="70"/>
        <v>0</v>
      </c>
      <c r="F296" s="182">
        <f t="shared" si="70"/>
        <v>5818</v>
      </c>
      <c r="G296" s="182">
        <f t="shared" si="70"/>
        <v>9561</v>
      </c>
      <c r="H296" s="182">
        <f t="shared" si="70"/>
        <v>1165</v>
      </c>
      <c r="I296" s="182">
        <f t="shared" si="70"/>
        <v>448</v>
      </c>
      <c r="J296" s="182">
        <f t="shared" si="70"/>
        <v>0</v>
      </c>
      <c r="K296" s="182">
        <f t="shared" si="70"/>
        <v>16992</v>
      </c>
      <c r="M296" s="182" t="str">
        <f t="shared" si="62"/>
        <v>-</v>
      </c>
      <c r="N296" s="182" t="str">
        <f t="shared" si="62"/>
        <v>-</v>
      </c>
      <c r="O296" s="182">
        <f t="shared" si="62"/>
        <v>64570</v>
      </c>
      <c r="P296" s="182">
        <f t="shared" si="62"/>
        <v>57169</v>
      </c>
      <c r="Q296" s="182">
        <f t="shared" si="62"/>
        <v>894</v>
      </c>
      <c r="R296" s="182" t="str">
        <f t="shared" si="62"/>
        <v>-</v>
      </c>
      <c r="S296" s="182">
        <f t="shared" si="62"/>
        <v>122633</v>
      </c>
    </row>
    <row r="297" spans="1:19" x14ac:dyDescent="0.2">
      <c r="A297" s="371">
        <v>1985</v>
      </c>
      <c r="B297" s="182" t="str">
        <f t="shared" ref="B297:K297" si="71">IF(AND(B15="-",B250="-"),"-",SUM(B15,B250))</f>
        <v>-</v>
      </c>
      <c r="C297" s="182" t="str">
        <f t="shared" si="71"/>
        <v>-</v>
      </c>
      <c r="D297" s="182">
        <f t="shared" si="71"/>
        <v>2450</v>
      </c>
      <c r="E297" s="182">
        <f t="shared" si="71"/>
        <v>27</v>
      </c>
      <c r="F297" s="182">
        <f t="shared" si="71"/>
        <v>31367</v>
      </c>
      <c r="G297" s="182">
        <f t="shared" si="71"/>
        <v>20817</v>
      </c>
      <c r="H297" s="182">
        <f t="shared" si="71"/>
        <v>600</v>
      </c>
      <c r="I297" s="182">
        <f t="shared" si="71"/>
        <v>606</v>
      </c>
      <c r="J297" s="182">
        <f t="shared" si="71"/>
        <v>0</v>
      </c>
      <c r="K297" s="182">
        <f t="shared" si="71"/>
        <v>55867</v>
      </c>
      <c r="M297" s="182">
        <f t="shared" si="62"/>
        <v>10</v>
      </c>
      <c r="N297" s="182">
        <f t="shared" si="62"/>
        <v>687</v>
      </c>
      <c r="O297" s="182">
        <f t="shared" si="62"/>
        <v>71143</v>
      </c>
      <c r="P297" s="182">
        <f t="shared" si="62"/>
        <v>108330</v>
      </c>
      <c r="Q297" s="182">
        <f t="shared" si="62"/>
        <v>2312</v>
      </c>
      <c r="R297" s="182">
        <f t="shared" si="62"/>
        <v>4</v>
      </c>
      <c r="S297" s="182">
        <f t="shared" si="62"/>
        <v>182486</v>
      </c>
    </row>
    <row r="298" spans="1:19" x14ac:dyDescent="0.2">
      <c r="A298" s="364">
        <v>1986</v>
      </c>
      <c r="B298" s="182" t="str">
        <f t="shared" ref="B298:K298" si="72">IF(AND(B16="-",B251="-"),"-",SUM(B16,B251))</f>
        <v>-</v>
      </c>
      <c r="C298" s="182" t="str">
        <f t="shared" si="72"/>
        <v>-</v>
      </c>
      <c r="D298" s="182">
        <f t="shared" si="72"/>
        <v>1203</v>
      </c>
      <c r="E298" s="182">
        <f t="shared" si="72"/>
        <v>4032</v>
      </c>
      <c r="F298" s="182">
        <f t="shared" si="72"/>
        <v>11115</v>
      </c>
      <c r="G298" s="182">
        <f t="shared" si="72"/>
        <v>5402</v>
      </c>
      <c r="H298" s="182">
        <f t="shared" si="72"/>
        <v>15</v>
      </c>
      <c r="I298" s="182">
        <f t="shared" si="72"/>
        <v>611</v>
      </c>
      <c r="J298" s="182">
        <f t="shared" si="72"/>
        <v>0</v>
      </c>
      <c r="K298" s="182">
        <f t="shared" si="72"/>
        <v>22378</v>
      </c>
      <c r="M298" s="182">
        <f t="shared" ref="M298:S307" si="73">IF(AND(M16="-",M251="-"),"-",SUM(M16,M251))</f>
        <v>4035</v>
      </c>
      <c r="N298" s="182">
        <f t="shared" si="73"/>
        <v>22197</v>
      </c>
      <c r="O298" s="182">
        <f t="shared" si="73"/>
        <v>144909</v>
      </c>
      <c r="P298" s="182">
        <f t="shared" si="73"/>
        <v>40666</v>
      </c>
      <c r="Q298" s="182">
        <f t="shared" si="73"/>
        <v>0</v>
      </c>
      <c r="R298" s="182">
        <f t="shared" si="73"/>
        <v>3</v>
      </c>
      <c r="S298" s="182">
        <f t="shared" si="73"/>
        <v>211810</v>
      </c>
    </row>
    <row r="299" spans="1:19" x14ac:dyDescent="0.2">
      <c r="A299" s="364">
        <v>1987</v>
      </c>
      <c r="B299" s="182" t="str">
        <f t="shared" ref="B299:K299" si="74">IF(AND(B17="-",B252="-"),"-",SUM(B17,B252))</f>
        <v>-</v>
      </c>
      <c r="C299" s="182" t="str">
        <f t="shared" si="74"/>
        <v>-</v>
      </c>
      <c r="D299" s="182">
        <f t="shared" si="74"/>
        <v>115</v>
      </c>
      <c r="E299" s="182">
        <f t="shared" si="74"/>
        <v>5039</v>
      </c>
      <c r="F299" s="182">
        <f t="shared" si="74"/>
        <v>25758</v>
      </c>
      <c r="G299" s="182">
        <f t="shared" si="74"/>
        <v>16127</v>
      </c>
      <c r="H299" s="182">
        <f t="shared" si="74"/>
        <v>11023</v>
      </c>
      <c r="I299" s="182">
        <f t="shared" si="74"/>
        <v>1133</v>
      </c>
      <c r="J299" s="182">
        <f t="shared" si="74"/>
        <v>0</v>
      </c>
      <c r="K299" s="182">
        <f t="shared" si="74"/>
        <v>59195</v>
      </c>
      <c r="M299" s="182">
        <f t="shared" si="73"/>
        <v>1</v>
      </c>
      <c r="N299" s="182">
        <f t="shared" si="73"/>
        <v>4295</v>
      </c>
      <c r="O299" s="182">
        <f t="shared" si="73"/>
        <v>124430</v>
      </c>
      <c r="P299" s="182">
        <f t="shared" si="73"/>
        <v>41248</v>
      </c>
      <c r="Q299" s="182">
        <f t="shared" si="73"/>
        <v>10532</v>
      </c>
      <c r="R299" s="182">
        <f t="shared" si="73"/>
        <v>28</v>
      </c>
      <c r="S299" s="182">
        <f t="shared" si="73"/>
        <v>180534</v>
      </c>
    </row>
    <row r="300" spans="1:19" x14ac:dyDescent="0.2">
      <c r="A300" s="364">
        <v>1988</v>
      </c>
      <c r="B300" s="182" t="str">
        <f t="shared" ref="B300:K300" si="75">IF(AND(B18="-",B253="-"),"-",SUM(B18,B253))</f>
        <v>-</v>
      </c>
      <c r="C300" s="182" t="str">
        <f t="shared" si="75"/>
        <v>-</v>
      </c>
      <c r="D300" s="182">
        <f t="shared" si="75"/>
        <v>351</v>
      </c>
      <c r="E300" s="182">
        <f t="shared" si="75"/>
        <v>14964</v>
      </c>
      <c r="F300" s="182">
        <f t="shared" si="75"/>
        <v>12397</v>
      </c>
      <c r="G300" s="182">
        <f t="shared" si="75"/>
        <v>8728</v>
      </c>
      <c r="H300" s="182">
        <f t="shared" si="75"/>
        <v>1880</v>
      </c>
      <c r="I300" s="182">
        <f t="shared" si="75"/>
        <v>0</v>
      </c>
      <c r="J300" s="182">
        <f t="shared" si="75"/>
        <v>0</v>
      </c>
      <c r="K300" s="182">
        <f t="shared" si="75"/>
        <v>38320</v>
      </c>
      <c r="M300" s="182">
        <f t="shared" si="73"/>
        <v>325</v>
      </c>
      <c r="N300" s="182">
        <f t="shared" si="73"/>
        <v>19964</v>
      </c>
      <c r="O300" s="182">
        <f t="shared" si="73"/>
        <v>118152</v>
      </c>
      <c r="P300" s="182">
        <f t="shared" si="73"/>
        <v>76123</v>
      </c>
      <c r="Q300" s="182">
        <f t="shared" si="73"/>
        <v>12327</v>
      </c>
      <c r="R300" s="182" t="str">
        <f t="shared" si="73"/>
        <v>-</v>
      </c>
      <c r="S300" s="182">
        <f t="shared" si="73"/>
        <v>226891</v>
      </c>
    </row>
    <row r="301" spans="1:19" x14ac:dyDescent="0.2">
      <c r="A301" s="364">
        <v>1989</v>
      </c>
      <c r="B301" s="182" t="str">
        <f t="shared" ref="B301:K301" si="76">IF(AND(B19="-",B254="-"),"-",SUM(B19,B254))</f>
        <v>-</v>
      </c>
      <c r="C301" s="182" t="str">
        <f t="shared" si="76"/>
        <v>-</v>
      </c>
      <c r="D301" s="182">
        <f t="shared" si="76"/>
        <v>615</v>
      </c>
      <c r="E301" s="182">
        <f t="shared" si="76"/>
        <v>6368</v>
      </c>
      <c r="F301" s="182">
        <f t="shared" si="76"/>
        <v>14724</v>
      </c>
      <c r="G301" s="182">
        <f t="shared" si="76"/>
        <v>9258</v>
      </c>
      <c r="H301" s="182">
        <f t="shared" si="76"/>
        <v>1158</v>
      </c>
      <c r="I301" s="182">
        <f t="shared" si="76"/>
        <v>0</v>
      </c>
      <c r="J301" s="182">
        <f t="shared" si="76"/>
        <v>0</v>
      </c>
      <c r="K301" s="182">
        <f t="shared" si="76"/>
        <v>32123</v>
      </c>
      <c r="M301" s="182">
        <f t="shared" si="73"/>
        <v>1646</v>
      </c>
      <c r="N301" s="182">
        <f t="shared" si="73"/>
        <v>55854</v>
      </c>
      <c r="O301" s="182">
        <f t="shared" si="73"/>
        <v>143399</v>
      </c>
      <c r="P301" s="182">
        <f t="shared" si="73"/>
        <v>70867</v>
      </c>
      <c r="Q301" s="182">
        <f t="shared" si="73"/>
        <v>1536</v>
      </c>
      <c r="R301" s="182" t="str">
        <f t="shared" si="73"/>
        <v>-</v>
      </c>
      <c r="S301" s="182">
        <f t="shared" si="73"/>
        <v>273302</v>
      </c>
    </row>
    <row r="302" spans="1:19" x14ac:dyDescent="0.2">
      <c r="A302" s="364">
        <v>1990</v>
      </c>
      <c r="B302" s="182" t="str">
        <f t="shared" ref="B302:K302" si="77">IF(AND(B20="-",B255="-"),"-",SUM(B20,B255))</f>
        <v>-</v>
      </c>
      <c r="C302" s="182" t="str">
        <f t="shared" si="77"/>
        <v>-</v>
      </c>
      <c r="D302" s="182">
        <f t="shared" si="77"/>
        <v>420</v>
      </c>
      <c r="E302" s="182">
        <f t="shared" si="77"/>
        <v>5731</v>
      </c>
      <c r="F302" s="182">
        <f t="shared" si="77"/>
        <v>12143</v>
      </c>
      <c r="G302" s="182">
        <f t="shared" si="77"/>
        <v>6866</v>
      </c>
      <c r="H302" s="182">
        <f t="shared" si="77"/>
        <v>1388</v>
      </c>
      <c r="I302" s="182">
        <f t="shared" si="77"/>
        <v>0</v>
      </c>
      <c r="J302" s="182" t="str">
        <f t="shared" si="77"/>
        <v>-</v>
      </c>
      <c r="K302" s="182">
        <f t="shared" si="77"/>
        <v>26548</v>
      </c>
      <c r="M302" s="182">
        <f t="shared" si="73"/>
        <v>289</v>
      </c>
      <c r="N302" s="182">
        <f t="shared" si="73"/>
        <v>31042</v>
      </c>
      <c r="O302" s="182">
        <f t="shared" si="73"/>
        <v>89800</v>
      </c>
      <c r="P302" s="182">
        <f t="shared" si="73"/>
        <v>72974</v>
      </c>
      <c r="Q302" s="182">
        <f t="shared" si="73"/>
        <v>6541</v>
      </c>
      <c r="R302" s="182" t="str">
        <f t="shared" si="73"/>
        <v>-</v>
      </c>
      <c r="S302" s="182">
        <f t="shared" si="73"/>
        <v>200646</v>
      </c>
    </row>
    <row r="303" spans="1:19" x14ac:dyDescent="0.2">
      <c r="A303" s="364">
        <v>1991</v>
      </c>
      <c r="B303" s="182" t="str">
        <f t="shared" ref="B303:K303" si="78">IF(AND(B21="-",B256="-"),"-",SUM(B21,B256))</f>
        <v>-</v>
      </c>
      <c r="C303" s="182" t="str">
        <f t="shared" si="78"/>
        <v>-</v>
      </c>
      <c r="D303" s="182">
        <f t="shared" si="78"/>
        <v>203</v>
      </c>
      <c r="E303" s="182">
        <f t="shared" si="78"/>
        <v>6976</v>
      </c>
      <c r="F303" s="182">
        <f t="shared" si="78"/>
        <v>6308</v>
      </c>
      <c r="G303" s="182">
        <f t="shared" si="78"/>
        <v>614</v>
      </c>
      <c r="H303" s="182">
        <f t="shared" si="78"/>
        <v>315</v>
      </c>
      <c r="I303" s="182">
        <f t="shared" si="78"/>
        <v>0</v>
      </c>
      <c r="J303" s="182" t="str">
        <f t="shared" si="78"/>
        <v>-</v>
      </c>
      <c r="K303" s="182">
        <f t="shared" si="78"/>
        <v>14416</v>
      </c>
      <c r="M303" s="182">
        <f t="shared" si="73"/>
        <v>866</v>
      </c>
      <c r="N303" s="182">
        <f t="shared" si="73"/>
        <v>53825</v>
      </c>
      <c r="O303" s="182">
        <f t="shared" si="73"/>
        <v>182401</v>
      </c>
      <c r="P303" s="182">
        <f t="shared" si="73"/>
        <v>17735</v>
      </c>
      <c r="Q303" s="182">
        <f t="shared" si="73"/>
        <v>4292</v>
      </c>
      <c r="R303" s="182" t="str">
        <f t="shared" si="73"/>
        <v>-</v>
      </c>
      <c r="S303" s="182">
        <f t="shared" si="73"/>
        <v>259119</v>
      </c>
    </row>
    <row r="304" spans="1:19" x14ac:dyDescent="0.2">
      <c r="A304" s="364">
        <v>1992</v>
      </c>
      <c r="B304" s="182" t="str">
        <f t="shared" ref="B304:K304" si="79">IF(AND(B22="-",B257="-"),"-",SUM(B22,B257))</f>
        <v>-</v>
      </c>
      <c r="C304" s="182" t="str">
        <f t="shared" si="79"/>
        <v>-</v>
      </c>
      <c r="D304" s="182">
        <f t="shared" si="79"/>
        <v>248</v>
      </c>
      <c r="E304" s="182">
        <f t="shared" si="79"/>
        <v>2531</v>
      </c>
      <c r="F304" s="182">
        <f t="shared" si="79"/>
        <v>6210</v>
      </c>
      <c r="G304" s="182">
        <f t="shared" si="79"/>
        <v>1667</v>
      </c>
      <c r="H304" s="182">
        <f t="shared" si="79"/>
        <v>1213</v>
      </c>
      <c r="I304" s="182">
        <f t="shared" si="79"/>
        <v>704</v>
      </c>
      <c r="J304" s="182" t="str">
        <f t="shared" si="79"/>
        <v>-</v>
      </c>
      <c r="K304" s="182">
        <f t="shared" si="79"/>
        <v>12573</v>
      </c>
      <c r="M304" s="182">
        <f t="shared" si="73"/>
        <v>615</v>
      </c>
      <c r="N304" s="182">
        <f t="shared" si="73"/>
        <v>24685</v>
      </c>
      <c r="O304" s="182">
        <f t="shared" si="73"/>
        <v>110590</v>
      </c>
      <c r="P304" s="182">
        <f t="shared" si="73"/>
        <v>41742</v>
      </c>
      <c r="Q304" s="182">
        <f t="shared" si="73"/>
        <v>8211</v>
      </c>
      <c r="R304" s="182">
        <f t="shared" si="73"/>
        <v>2</v>
      </c>
      <c r="S304" s="182">
        <f t="shared" si="73"/>
        <v>185845</v>
      </c>
    </row>
    <row r="305" spans="1:19" x14ac:dyDescent="0.2">
      <c r="A305" s="364">
        <v>1993</v>
      </c>
      <c r="B305" s="182" t="str">
        <f t="shared" ref="B305:K305" si="80">IF(AND(B23="-",B258="-"),"-",SUM(B23,B258))</f>
        <v>-</v>
      </c>
      <c r="C305" s="182" t="str">
        <f t="shared" si="80"/>
        <v>-</v>
      </c>
      <c r="D305" s="182">
        <f t="shared" si="80"/>
        <v>1293</v>
      </c>
      <c r="E305" s="182">
        <f t="shared" si="80"/>
        <v>239</v>
      </c>
      <c r="F305" s="182">
        <f t="shared" si="80"/>
        <v>1918</v>
      </c>
      <c r="G305" s="182">
        <f t="shared" si="80"/>
        <v>2310</v>
      </c>
      <c r="H305" s="182">
        <f t="shared" si="80"/>
        <v>660</v>
      </c>
      <c r="I305" s="182">
        <f t="shared" si="80"/>
        <v>0</v>
      </c>
      <c r="J305" s="182">
        <f t="shared" si="80"/>
        <v>0</v>
      </c>
      <c r="K305" s="182">
        <f t="shared" si="80"/>
        <v>6420</v>
      </c>
      <c r="M305" s="182">
        <f t="shared" si="73"/>
        <v>182</v>
      </c>
      <c r="N305" s="182">
        <f t="shared" si="73"/>
        <v>160</v>
      </c>
      <c r="O305" s="182">
        <f t="shared" si="73"/>
        <v>27013</v>
      </c>
      <c r="P305" s="182">
        <f t="shared" si="73"/>
        <v>26489</v>
      </c>
      <c r="Q305" s="182">
        <f t="shared" si="73"/>
        <v>4264</v>
      </c>
      <c r="R305" s="182" t="str">
        <f t="shared" si="73"/>
        <v>-</v>
      </c>
      <c r="S305" s="182">
        <f t="shared" si="73"/>
        <v>58108</v>
      </c>
    </row>
    <row r="306" spans="1:19" x14ac:dyDescent="0.2">
      <c r="A306" s="364">
        <v>1994</v>
      </c>
      <c r="B306" s="182" t="str">
        <f t="shared" ref="B306:K306" si="81">IF(AND(B24="-",B259="-"),"-",SUM(B24,B259))</f>
        <v>-</v>
      </c>
      <c r="C306" s="182" t="str">
        <f t="shared" si="81"/>
        <v>-</v>
      </c>
      <c r="D306" s="182">
        <f t="shared" si="81"/>
        <v>1948</v>
      </c>
      <c r="E306" s="182">
        <f t="shared" si="81"/>
        <v>251</v>
      </c>
      <c r="F306" s="182" t="str">
        <f t="shared" si="81"/>
        <v>-</v>
      </c>
      <c r="G306" s="182">
        <f t="shared" si="81"/>
        <v>272</v>
      </c>
      <c r="H306" s="182">
        <f t="shared" si="81"/>
        <v>284</v>
      </c>
      <c r="I306" s="182">
        <f t="shared" si="81"/>
        <v>3282</v>
      </c>
      <c r="J306" s="182">
        <f t="shared" si="81"/>
        <v>0</v>
      </c>
      <c r="K306" s="182">
        <f t="shared" si="81"/>
        <v>6037</v>
      </c>
      <c r="M306" s="182" t="str">
        <f t="shared" si="73"/>
        <v>-</v>
      </c>
      <c r="N306" s="182" t="str">
        <f t="shared" si="73"/>
        <v>-</v>
      </c>
      <c r="O306" s="182" t="str">
        <f t="shared" si="73"/>
        <v>-</v>
      </c>
      <c r="P306" s="182">
        <f t="shared" si="73"/>
        <v>13</v>
      </c>
      <c r="Q306" s="182">
        <f t="shared" si="73"/>
        <v>4</v>
      </c>
      <c r="R306" s="182" t="str">
        <f t="shared" si="73"/>
        <v>-</v>
      </c>
      <c r="S306" s="182">
        <f t="shared" si="73"/>
        <v>17</v>
      </c>
    </row>
    <row r="307" spans="1:19" x14ac:dyDescent="0.2">
      <c r="A307" s="364">
        <v>1995</v>
      </c>
      <c r="B307" s="182" t="str">
        <f t="shared" ref="B307:K307" si="82">IF(AND(B25="-",B260="-"),"-",SUM(B25,B260))</f>
        <v>-</v>
      </c>
      <c r="C307" s="182" t="str">
        <f t="shared" si="82"/>
        <v>-</v>
      </c>
      <c r="D307" s="182">
        <f t="shared" si="82"/>
        <v>300</v>
      </c>
      <c r="E307" s="182">
        <f t="shared" si="82"/>
        <v>1829</v>
      </c>
      <c r="F307" s="182">
        <f t="shared" si="82"/>
        <v>16</v>
      </c>
      <c r="G307" s="182">
        <f t="shared" si="82"/>
        <v>562</v>
      </c>
      <c r="H307" s="182">
        <f t="shared" si="82"/>
        <v>2802</v>
      </c>
      <c r="I307" s="182">
        <f t="shared" si="82"/>
        <v>1133</v>
      </c>
      <c r="J307" s="182">
        <f t="shared" si="82"/>
        <v>84</v>
      </c>
      <c r="K307" s="182">
        <f t="shared" si="82"/>
        <v>6726</v>
      </c>
      <c r="M307" s="182" t="str">
        <f t="shared" si="73"/>
        <v>-</v>
      </c>
      <c r="N307" s="182">
        <f t="shared" si="73"/>
        <v>38</v>
      </c>
      <c r="O307" s="182">
        <f t="shared" si="73"/>
        <v>1976</v>
      </c>
      <c r="P307" s="182">
        <f t="shared" si="73"/>
        <v>9031</v>
      </c>
      <c r="Q307" s="182">
        <f t="shared" si="73"/>
        <v>869</v>
      </c>
      <c r="R307" s="182">
        <f t="shared" si="73"/>
        <v>3</v>
      </c>
      <c r="S307" s="182">
        <f t="shared" si="73"/>
        <v>11917</v>
      </c>
    </row>
    <row r="308" spans="1:19" x14ac:dyDescent="0.2">
      <c r="A308" s="364">
        <v>1996</v>
      </c>
      <c r="B308" s="182" t="str">
        <f t="shared" ref="B308:K308" si="83">IF(AND(B26="-",B261="-"),"-",SUM(B26,B261))</f>
        <v>-</v>
      </c>
      <c r="C308" s="182" t="str">
        <f t="shared" si="83"/>
        <v>-</v>
      </c>
      <c r="D308" s="182">
        <f t="shared" si="83"/>
        <v>712</v>
      </c>
      <c r="E308" s="182">
        <f t="shared" si="83"/>
        <v>2908</v>
      </c>
      <c r="F308" s="182">
        <f t="shared" si="83"/>
        <v>626</v>
      </c>
      <c r="G308" s="182">
        <f t="shared" si="83"/>
        <v>3491</v>
      </c>
      <c r="H308" s="182">
        <f t="shared" si="83"/>
        <v>1459</v>
      </c>
      <c r="I308" s="182">
        <f t="shared" si="83"/>
        <v>2014</v>
      </c>
      <c r="J308" s="182">
        <f t="shared" si="83"/>
        <v>0</v>
      </c>
      <c r="K308" s="182">
        <f t="shared" si="83"/>
        <v>11210</v>
      </c>
      <c r="M308" s="182" t="str">
        <f t="shared" ref="M308:S317" si="84">IF(AND(M26="-",M261="-"),"-",SUM(M26,M261))</f>
        <v>-</v>
      </c>
      <c r="N308" s="182">
        <f t="shared" si="84"/>
        <v>10</v>
      </c>
      <c r="O308" s="182">
        <f t="shared" si="84"/>
        <v>1463</v>
      </c>
      <c r="P308" s="182">
        <f t="shared" si="84"/>
        <v>4743</v>
      </c>
      <c r="Q308" s="182">
        <f t="shared" si="84"/>
        <v>972</v>
      </c>
      <c r="R308" s="182">
        <f t="shared" si="84"/>
        <v>12</v>
      </c>
      <c r="S308" s="182">
        <f t="shared" si="84"/>
        <v>7200</v>
      </c>
    </row>
    <row r="309" spans="1:19" x14ac:dyDescent="0.2">
      <c r="A309" s="364">
        <v>1997</v>
      </c>
      <c r="B309" s="182" t="str">
        <f t="shared" ref="B309:K309" si="85">IF(AND(B27="-",B262="-"),"-",SUM(B27,B262))</f>
        <v>-</v>
      </c>
      <c r="C309" s="182">
        <f t="shared" si="85"/>
        <v>2</v>
      </c>
      <c r="D309" s="182">
        <f t="shared" si="85"/>
        <v>924</v>
      </c>
      <c r="E309" s="182">
        <f t="shared" si="85"/>
        <v>935</v>
      </c>
      <c r="F309" s="182">
        <f t="shared" si="85"/>
        <v>1324</v>
      </c>
      <c r="G309" s="182">
        <f t="shared" si="85"/>
        <v>3073</v>
      </c>
      <c r="H309" s="182">
        <f t="shared" si="85"/>
        <v>458</v>
      </c>
      <c r="I309" s="182">
        <f t="shared" si="85"/>
        <v>962</v>
      </c>
      <c r="J309" s="182">
        <f t="shared" si="85"/>
        <v>0</v>
      </c>
      <c r="K309" s="182">
        <f t="shared" si="85"/>
        <v>7678</v>
      </c>
      <c r="M309" s="182">
        <f t="shared" si="84"/>
        <v>17</v>
      </c>
      <c r="N309" s="182">
        <f t="shared" si="84"/>
        <v>26</v>
      </c>
      <c r="O309" s="182">
        <f t="shared" si="84"/>
        <v>4504</v>
      </c>
      <c r="P309" s="182">
        <f t="shared" si="84"/>
        <v>1415</v>
      </c>
      <c r="Q309" s="182">
        <f t="shared" si="84"/>
        <v>10</v>
      </c>
      <c r="R309" s="182" t="str">
        <f t="shared" si="84"/>
        <v>-</v>
      </c>
      <c r="S309" s="182">
        <f t="shared" si="84"/>
        <v>5972</v>
      </c>
    </row>
    <row r="310" spans="1:19" x14ac:dyDescent="0.2">
      <c r="A310" s="364">
        <v>1998</v>
      </c>
      <c r="B310" s="182" t="str">
        <f t="shared" ref="B310:K310" si="86">IF(AND(B28="-",B263="-"),"-",SUM(B28,B263))</f>
        <v>-</v>
      </c>
      <c r="C310" s="182">
        <f t="shared" si="86"/>
        <v>0</v>
      </c>
      <c r="D310" s="182">
        <f t="shared" si="86"/>
        <v>319</v>
      </c>
      <c r="E310" s="182">
        <f t="shared" si="86"/>
        <v>424</v>
      </c>
      <c r="F310" s="182">
        <f t="shared" si="86"/>
        <v>493</v>
      </c>
      <c r="G310" s="182">
        <f t="shared" si="86"/>
        <v>1141</v>
      </c>
      <c r="H310" s="182">
        <f t="shared" si="86"/>
        <v>784</v>
      </c>
      <c r="I310" s="182">
        <f t="shared" si="86"/>
        <v>925</v>
      </c>
      <c r="J310" s="182">
        <f t="shared" si="86"/>
        <v>0</v>
      </c>
      <c r="K310" s="182">
        <f t="shared" si="86"/>
        <v>4086</v>
      </c>
      <c r="M310" s="182" t="str">
        <f t="shared" si="84"/>
        <v>-</v>
      </c>
      <c r="N310" s="182">
        <f t="shared" si="84"/>
        <v>6</v>
      </c>
      <c r="O310" s="182">
        <f t="shared" si="84"/>
        <v>8</v>
      </c>
      <c r="P310" s="182">
        <f t="shared" si="84"/>
        <v>2118</v>
      </c>
      <c r="Q310" s="182">
        <f t="shared" si="84"/>
        <v>161</v>
      </c>
      <c r="R310" s="182">
        <f t="shared" si="84"/>
        <v>8</v>
      </c>
      <c r="S310" s="182">
        <f t="shared" si="84"/>
        <v>2301</v>
      </c>
    </row>
    <row r="311" spans="1:19" x14ac:dyDescent="0.2">
      <c r="A311" s="364">
        <v>1999</v>
      </c>
      <c r="B311" s="182" t="str">
        <f t="shared" ref="B311:K311" si="87">IF(AND(B29="-",B264="-"),"-",SUM(B29,B264))</f>
        <v>-</v>
      </c>
      <c r="C311" s="182">
        <f t="shared" si="87"/>
        <v>0</v>
      </c>
      <c r="D311" s="182">
        <f t="shared" si="87"/>
        <v>136</v>
      </c>
      <c r="E311" s="182">
        <f t="shared" si="87"/>
        <v>277</v>
      </c>
      <c r="F311" s="182">
        <f t="shared" si="87"/>
        <v>2439</v>
      </c>
      <c r="G311" s="182">
        <f t="shared" si="87"/>
        <v>2714</v>
      </c>
      <c r="H311" s="182">
        <f t="shared" si="87"/>
        <v>1272</v>
      </c>
      <c r="I311" s="182">
        <f t="shared" si="87"/>
        <v>875</v>
      </c>
      <c r="J311" s="182">
        <f t="shared" si="87"/>
        <v>8</v>
      </c>
      <c r="K311" s="182">
        <f t="shared" si="87"/>
        <v>7721</v>
      </c>
      <c r="M311" s="182" t="str">
        <f t="shared" si="84"/>
        <v>-</v>
      </c>
      <c r="N311" s="182">
        <f t="shared" si="84"/>
        <v>2</v>
      </c>
      <c r="O311" s="182">
        <f t="shared" si="84"/>
        <v>8504</v>
      </c>
      <c r="P311" s="182">
        <f t="shared" si="84"/>
        <v>3393</v>
      </c>
      <c r="Q311" s="182">
        <f t="shared" si="84"/>
        <v>1735</v>
      </c>
      <c r="R311" s="182">
        <f t="shared" si="84"/>
        <v>2</v>
      </c>
      <c r="S311" s="182">
        <f t="shared" si="84"/>
        <v>13636</v>
      </c>
    </row>
    <row r="312" spans="1:19" x14ac:dyDescent="0.2">
      <c r="A312" s="364">
        <v>2000</v>
      </c>
      <c r="B312" s="182" t="str">
        <f t="shared" ref="B312:K312" si="88">IF(AND(B30="-",B265="-"),"-",SUM(B30,B265))</f>
        <v>-</v>
      </c>
      <c r="C312" s="182">
        <f t="shared" si="88"/>
        <v>4</v>
      </c>
      <c r="D312" s="182">
        <f t="shared" si="88"/>
        <v>79</v>
      </c>
      <c r="E312" s="182">
        <f t="shared" si="88"/>
        <v>475</v>
      </c>
      <c r="F312" s="182">
        <f t="shared" si="88"/>
        <v>10461</v>
      </c>
      <c r="G312" s="182">
        <f t="shared" si="88"/>
        <v>11354</v>
      </c>
      <c r="H312" s="182">
        <f t="shared" si="88"/>
        <v>1779</v>
      </c>
      <c r="I312" s="182">
        <f t="shared" si="88"/>
        <v>1245</v>
      </c>
      <c r="J312" s="182">
        <f t="shared" si="88"/>
        <v>63</v>
      </c>
      <c r="K312" s="182">
        <f t="shared" si="88"/>
        <v>25460</v>
      </c>
      <c r="M312" s="182" t="str">
        <f t="shared" si="84"/>
        <v>-</v>
      </c>
      <c r="N312" s="182" t="str">
        <f t="shared" si="84"/>
        <v>-</v>
      </c>
      <c r="O312" s="182">
        <f t="shared" si="84"/>
        <v>26081</v>
      </c>
      <c r="P312" s="182">
        <f t="shared" si="84"/>
        <v>7079</v>
      </c>
      <c r="Q312" s="182">
        <f t="shared" si="84"/>
        <v>20</v>
      </c>
      <c r="R312" s="182">
        <f t="shared" si="84"/>
        <v>8</v>
      </c>
      <c r="S312" s="182">
        <f t="shared" si="84"/>
        <v>33188</v>
      </c>
    </row>
    <row r="313" spans="1:19" x14ac:dyDescent="0.2">
      <c r="A313" s="364">
        <v>2001</v>
      </c>
      <c r="B313" s="182" t="str">
        <f t="shared" ref="B313:K313" si="89">IF(AND(B31="-",B266="-"),"-",SUM(B31,B266))</f>
        <v>-</v>
      </c>
      <c r="C313" s="182">
        <f t="shared" si="89"/>
        <v>0</v>
      </c>
      <c r="D313" s="182">
        <f t="shared" si="89"/>
        <v>1024</v>
      </c>
      <c r="E313" s="182">
        <f t="shared" si="89"/>
        <v>3034</v>
      </c>
      <c r="F313" s="182">
        <f t="shared" si="89"/>
        <v>10029</v>
      </c>
      <c r="G313" s="182">
        <f t="shared" si="89"/>
        <v>9221</v>
      </c>
      <c r="H313" s="182">
        <f t="shared" si="89"/>
        <v>2419</v>
      </c>
      <c r="I313" s="182">
        <f t="shared" si="89"/>
        <v>1450</v>
      </c>
      <c r="J313" s="182">
        <f t="shared" si="89"/>
        <v>23</v>
      </c>
      <c r="K313" s="182">
        <f t="shared" si="89"/>
        <v>27200</v>
      </c>
      <c r="M313" s="182">
        <f t="shared" si="84"/>
        <v>21</v>
      </c>
      <c r="N313" s="182">
        <f t="shared" si="84"/>
        <v>17687</v>
      </c>
      <c r="O313" s="182">
        <f t="shared" si="84"/>
        <v>50641</v>
      </c>
      <c r="P313" s="182">
        <f t="shared" si="84"/>
        <v>22224</v>
      </c>
      <c r="Q313" s="182">
        <f t="shared" si="84"/>
        <v>3738</v>
      </c>
      <c r="R313" s="182">
        <f t="shared" si="84"/>
        <v>35</v>
      </c>
      <c r="S313" s="182">
        <f t="shared" si="84"/>
        <v>94346</v>
      </c>
    </row>
    <row r="314" spans="1:19" x14ac:dyDescent="0.2">
      <c r="A314" s="364">
        <v>2002</v>
      </c>
      <c r="B314" s="182" t="str">
        <f t="shared" ref="B314:K314" si="90">IF(AND(B32="-",B267="-"),"-",SUM(B32,B267))</f>
        <v>-</v>
      </c>
      <c r="C314" s="182">
        <f t="shared" si="90"/>
        <v>155</v>
      </c>
      <c r="D314" s="182">
        <f t="shared" si="90"/>
        <v>869</v>
      </c>
      <c r="E314" s="182">
        <f t="shared" si="90"/>
        <v>8023</v>
      </c>
      <c r="F314" s="182">
        <f t="shared" si="90"/>
        <v>18184</v>
      </c>
      <c r="G314" s="182">
        <f t="shared" si="90"/>
        <v>9476</v>
      </c>
      <c r="H314" s="182">
        <f t="shared" si="90"/>
        <v>7833</v>
      </c>
      <c r="I314" s="182">
        <f t="shared" si="90"/>
        <v>2940</v>
      </c>
      <c r="J314" s="182">
        <f t="shared" si="90"/>
        <v>0</v>
      </c>
      <c r="K314" s="182">
        <f t="shared" si="90"/>
        <v>47480</v>
      </c>
      <c r="M314" s="182" t="str">
        <f t="shared" si="84"/>
        <v>-</v>
      </c>
      <c r="N314" s="182">
        <f t="shared" si="84"/>
        <v>66</v>
      </c>
      <c r="O314" s="182">
        <f t="shared" si="84"/>
        <v>24149</v>
      </c>
      <c r="P314" s="182">
        <f t="shared" si="84"/>
        <v>10722</v>
      </c>
      <c r="Q314" s="182">
        <f t="shared" si="84"/>
        <v>1576</v>
      </c>
      <c r="R314" s="182">
        <f t="shared" si="84"/>
        <v>24</v>
      </c>
      <c r="S314" s="182">
        <f t="shared" si="84"/>
        <v>36537</v>
      </c>
    </row>
    <row r="315" spans="1:19" x14ac:dyDescent="0.2">
      <c r="A315" s="364">
        <v>2003</v>
      </c>
      <c r="B315" s="182">
        <f t="shared" ref="B315:K315" si="91">IF(AND(B33="-",B268="-"),"-",SUM(B33,B268))</f>
        <v>2</v>
      </c>
      <c r="C315" s="182">
        <f t="shared" si="91"/>
        <v>22</v>
      </c>
      <c r="D315" s="182">
        <f t="shared" si="91"/>
        <v>716</v>
      </c>
      <c r="E315" s="182">
        <f t="shared" si="91"/>
        <v>3260</v>
      </c>
      <c r="F315" s="182">
        <f t="shared" si="91"/>
        <v>16861</v>
      </c>
      <c r="G315" s="182">
        <f t="shared" si="91"/>
        <v>12248</v>
      </c>
      <c r="H315" s="182">
        <f t="shared" si="91"/>
        <v>5656</v>
      </c>
      <c r="I315" s="182">
        <f t="shared" si="91"/>
        <v>1825</v>
      </c>
      <c r="J315" s="182">
        <f t="shared" si="91"/>
        <v>64</v>
      </c>
      <c r="K315" s="182">
        <f t="shared" si="91"/>
        <v>40654</v>
      </c>
      <c r="L315" s="182"/>
      <c r="M315" s="182">
        <f t="shared" si="84"/>
        <v>2</v>
      </c>
      <c r="N315" s="182">
        <f t="shared" si="84"/>
        <v>7638</v>
      </c>
      <c r="O315" s="182">
        <f t="shared" si="84"/>
        <v>59115</v>
      </c>
      <c r="P315" s="182">
        <f t="shared" si="84"/>
        <v>45226</v>
      </c>
      <c r="Q315" s="182">
        <f t="shared" si="84"/>
        <v>1664</v>
      </c>
      <c r="R315" s="182">
        <f t="shared" si="84"/>
        <v>14</v>
      </c>
      <c r="S315" s="182">
        <f t="shared" si="84"/>
        <v>113659</v>
      </c>
    </row>
    <row r="316" spans="1:19" x14ac:dyDescent="0.2">
      <c r="A316" s="118">
        <v>2004</v>
      </c>
      <c r="B316" s="182">
        <f t="shared" ref="B316:K316" si="92">IF(AND(B34="-",B269="-"),"-",SUM(B34,B269))</f>
        <v>2</v>
      </c>
      <c r="C316" s="182">
        <f t="shared" si="92"/>
        <v>24</v>
      </c>
      <c r="D316" s="182">
        <f t="shared" si="92"/>
        <v>846</v>
      </c>
      <c r="E316" s="182">
        <f t="shared" si="92"/>
        <v>6254</v>
      </c>
      <c r="F316" s="182">
        <f t="shared" si="92"/>
        <v>23337</v>
      </c>
      <c r="G316" s="182">
        <f t="shared" si="92"/>
        <v>17710</v>
      </c>
      <c r="H316" s="182">
        <f t="shared" si="92"/>
        <v>6051</v>
      </c>
      <c r="I316" s="182">
        <f t="shared" si="92"/>
        <v>2140</v>
      </c>
      <c r="J316" s="182">
        <f t="shared" si="92"/>
        <v>69</v>
      </c>
      <c r="K316" s="182">
        <f t="shared" si="92"/>
        <v>56433</v>
      </c>
      <c r="L316" s="182"/>
      <c r="M316" s="182">
        <f t="shared" si="84"/>
        <v>4</v>
      </c>
      <c r="N316" s="182">
        <f t="shared" si="84"/>
        <v>5680</v>
      </c>
      <c r="O316" s="182">
        <f t="shared" si="84"/>
        <v>38205</v>
      </c>
      <c r="P316" s="182">
        <f t="shared" si="84"/>
        <v>25490</v>
      </c>
      <c r="Q316" s="182">
        <f t="shared" si="84"/>
        <v>2430</v>
      </c>
      <c r="R316" s="182">
        <f t="shared" si="84"/>
        <v>26</v>
      </c>
      <c r="S316" s="182">
        <f t="shared" si="84"/>
        <v>71835</v>
      </c>
    </row>
    <row r="317" spans="1:19" x14ac:dyDescent="0.2">
      <c r="A317" s="118">
        <v>2005</v>
      </c>
      <c r="B317" s="182">
        <f t="shared" ref="B317:K317" si="93">IF(AND(B35="-",B270="-"),"-",SUM(B35,B270))</f>
        <v>6</v>
      </c>
      <c r="C317" s="182">
        <f t="shared" si="93"/>
        <v>104</v>
      </c>
      <c r="D317" s="182">
        <f t="shared" si="93"/>
        <v>381</v>
      </c>
      <c r="E317" s="182">
        <f t="shared" si="93"/>
        <v>6600</v>
      </c>
      <c r="F317" s="182">
        <f t="shared" si="93"/>
        <v>4758</v>
      </c>
      <c r="G317" s="182">
        <f t="shared" si="93"/>
        <v>8190</v>
      </c>
      <c r="H317" s="182">
        <f t="shared" si="93"/>
        <v>7222</v>
      </c>
      <c r="I317" s="182">
        <f t="shared" si="93"/>
        <v>684</v>
      </c>
      <c r="J317" s="182">
        <f t="shared" si="93"/>
        <v>0</v>
      </c>
      <c r="K317" s="182">
        <f t="shared" si="93"/>
        <v>27945</v>
      </c>
      <c r="L317" s="182"/>
      <c r="M317" s="182" t="str">
        <f t="shared" si="84"/>
        <v>-</v>
      </c>
      <c r="N317" s="182">
        <f t="shared" si="84"/>
        <v>2153</v>
      </c>
      <c r="O317" s="182">
        <f t="shared" si="84"/>
        <v>3587</v>
      </c>
      <c r="P317" s="182">
        <f t="shared" si="84"/>
        <v>6386</v>
      </c>
      <c r="Q317" s="182">
        <f t="shared" si="84"/>
        <v>1580</v>
      </c>
      <c r="R317" s="182" t="str">
        <f t="shared" si="84"/>
        <v>-</v>
      </c>
      <c r="S317" s="182">
        <f t="shared" si="84"/>
        <v>13706</v>
      </c>
    </row>
    <row r="318" spans="1:19" s="366" customFormat="1" x14ac:dyDescent="0.2">
      <c r="A318" s="118">
        <v>2006</v>
      </c>
      <c r="B318" s="182">
        <f t="shared" ref="B318:K318" si="94">IF(AND(B36="-",B271="-"),"-",SUM(B36,B271))</f>
        <v>2</v>
      </c>
      <c r="C318" s="182">
        <f t="shared" si="94"/>
        <v>4</v>
      </c>
      <c r="D318" s="182">
        <f t="shared" si="94"/>
        <v>120</v>
      </c>
      <c r="E318" s="182">
        <f t="shared" si="94"/>
        <v>1053</v>
      </c>
      <c r="F318" s="182">
        <f t="shared" si="94"/>
        <v>4022</v>
      </c>
      <c r="G318" s="182">
        <f t="shared" si="94"/>
        <v>1352</v>
      </c>
      <c r="H318" s="182">
        <f t="shared" si="94"/>
        <v>2565</v>
      </c>
      <c r="I318" s="182">
        <f t="shared" si="94"/>
        <v>2421</v>
      </c>
      <c r="J318" s="182">
        <f t="shared" si="94"/>
        <v>49</v>
      </c>
      <c r="K318" s="182">
        <f t="shared" si="94"/>
        <v>11588</v>
      </c>
      <c r="L318" s="182"/>
      <c r="M318" s="182">
        <f t="shared" ref="M318:S327" si="95">IF(AND(M36="-",M271="-"),"-",SUM(M36,M271))</f>
        <v>2</v>
      </c>
      <c r="N318" s="182">
        <f t="shared" si="95"/>
        <v>943</v>
      </c>
      <c r="O318" s="182">
        <f t="shared" si="95"/>
        <v>10079</v>
      </c>
      <c r="P318" s="182">
        <f t="shared" si="95"/>
        <v>3596</v>
      </c>
      <c r="Q318" s="182">
        <f t="shared" si="95"/>
        <v>950</v>
      </c>
      <c r="R318" s="182">
        <f t="shared" si="95"/>
        <v>7</v>
      </c>
      <c r="S318" s="182">
        <f t="shared" si="95"/>
        <v>15577</v>
      </c>
    </row>
    <row r="319" spans="1:19" s="366" customFormat="1" x14ac:dyDescent="0.2">
      <c r="A319" s="118">
        <v>2007</v>
      </c>
      <c r="B319" s="182">
        <f t="shared" ref="B319:K319" si="96">IF(AND(B37="-",B272="-"),"-",SUM(B37,B272))</f>
        <v>3</v>
      </c>
      <c r="C319" s="182">
        <f t="shared" si="96"/>
        <v>0</v>
      </c>
      <c r="D319" s="182">
        <f t="shared" si="96"/>
        <v>86</v>
      </c>
      <c r="E319" s="182">
        <f t="shared" si="96"/>
        <v>297</v>
      </c>
      <c r="F319" s="182">
        <f t="shared" si="96"/>
        <v>1001</v>
      </c>
      <c r="G319" s="182">
        <f t="shared" si="96"/>
        <v>3533</v>
      </c>
      <c r="H319" s="182">
        <f t="shared" si="96"/>
        <v>996</v>
      </c>
      <c r="I319" s="182">
        <f t="shared" si="96"/>
        <v>1009</v>
      </c>
      <c r="J319" s="182">
        <f t="shared" si="96"/>
        <v>16</v>
      </c>
      <c r="K319" s="182">
        <f t="shared" si="96"/>
        <v>6941</v>
      </c>
      <c r="L319" s="182"/>
      <c r="M319" s="182">
        <f t="shared" si="95"/>
        <v>2</v>
      </c>
      <c r="N319" s="182">
        <f t="shared" si="95"/>
        <v>4866</v>
      </c>
      <c r="O319" s="182">
        <f t="shared" si="95"/>
        <v>23641</v>
      </c>
      <c r="P319" s="182">
        <f t="shared" si="95"/>
        <v>31033</v>
      </c>
      <c r="Q319" s="182">
        <f t="shared" si="95"/>
        <v>1108</v>
      </c>
      <c r="R319" s="182">
        <f t="shared" si="95"/>
        <v>3</v>
      </c>
      <c r="S319" s="182">
        <f t="shared" si="95"/>
        <v>60653</v>
      </c>
    </row>
    <row r="320" spans="1:19" s="366" customFormat="1" x14ac:dyDescent="0.2">
      <c r="A320" s="118">
        <v>2008</v>
      </c>
      <c r="B320" s="182" t="str">
        <f t="shared" ref="B320:I330" si="97">IF(AND(B38="-",B273="-"),"-",SUM(B38,B273))</f>
        <v>-</v>
      </c>
      <c r="C320" s="182" t="str">
        <f t="shared" si="97"/>
        <v>-</v>
      </c>
      <c r="D320" s="182">
        <f t="shared" si="97"/>
        <v>17</v>
      </c>
      <c r="E320" s="182">
        <f t="shared" si="97"/>
        <v>161</v>
      </c>
      <c r="F320" s="182">
        <f t="shared" si="97"/>
        <v>349</v>
      </c>
      <c r="G320" s="182">
        <f t="shared" si="97"/>
        <v>308</v>
      </c>
      <c r="H320" s="182">
        <f t="shared" si="97"/>
        <v>262</v>
      </c>
      <c r="I320" s="182">
        <f t="shared" si="97"/>
        <v>481</v>
      </c>
      <c r="J320" s="183" t="s">
        <v>116</v>
      </c>
      <c r="K320" s="182">
        <f t="shared" ref="K320:K330" si="98">IF(AND(K38="-",K273="-"),"-",SUM(K38,K273))</f>
        <v>1578</v>
      </c>
      <c r="L320" s="182"/>
      <c r="M320" s="182" t="str">
        <f t="shared" si="95"/>
        <v>-</v>
      </c>
      <c r="N320" s="182">
        <f t="shared" si="95"/>
        <v>1320</v>
      </c>
      <c r="O320" s="182">
        <f t="shared" si="95"/>
        <v>5192</v>
      </c>
      <c r="P320" s="182">
        <f t="shared" si="95"/>
        <v>5522</v>
      </c>
      <c r="Q320" s="182">
        <f t="shared" si="95"/>
        <v>45</v>
      </c>
      <c r="R320" s="182">
        <f t="shared" si="95"/>
        <v>6</v>
      </c>
      <c r="S320" s="182">
        <f t="shared" si="95"/>
        <v>12085</v>
      </c>
    </row>
    <row r="321" spans="1:19" s="366" customFormat="1" x14ac:dyDescent="0.2">
      <c r="A321" s="118">
        <v>2009</v>
      </c>
      <c r="B321" s="182" t="str">
        <f t="shared" si="97"/>
        <v>-</v>
      </c>
      <c r="C321" s="182" t="str">
        <f t="shared" si="97"/>
        <v>-</v>
      </c>
      <c r="D321" s="182" t="str">
        <f t="shared" si="97"/>
        <v>-</v>
      </c>
      <c r="E321" s="182">
        <f t="shared" si="97"/>
        <v>13</v>
      </c>
      <c r="F321" s="182">
        <f t="shared" si="97"/>
        <v>467</v>
      </c>
      <c r="G321" s="182">
        <f t="shared" si="97"/>
        <v>613</v>
      </c>
      <c r="H321" s="182">
        <f t="shared" si="97"/>
        <v>266</v>
      </c>
      <c r="I321" s="182">
        <f t="shared" si="97"/>
        <v>226</v>
      </c>
      <c r="J321" s="183" t="s">
        <v>116</v>
      </c>
      <c r="K321" s="182">
        <f t="shared" si="98"/>
        <v>1585</v>
      </c>
      <c r="L321" s="182"/>
      <c r="M321" s="182" t="str">
        <f t="shared" si="95"/>
        <v>-</v>
      </c>
      <c r="N321" s="182">
        <f t="shared" si="95"/>
        <v>5003</v>
      </c>
      <c r="O321" s="182">
        <f t="shared" si="95"/>
        <v>48717</v>
      </c>
      <c r="P321" s="182">
        <f t="shared" si="95"/>
        <v>34714</v>
      </c>
      <c r="Q321" s="182">
        <f t="shared" si="95"/>
        <v>1166</v>
      </c>
      <c r="R321" s="182">
        <f t="shared" si="95"/>
        <v>6</v>
      </c>
      <c r="S321" s="182">
        <f t="shared" si="95"/>
        <v>89606</v>
      </c>
    </row>
    <row r="322" spans="1:19" s="366" customFormat="1" x14ac:dyDescent="0.2">
      <c r="A322" s="118">
        <v>2010</v>
      </c>
      <c r="B322" s="182" t="str">
        <f t="shared" si="97"/>
        <v>-</v>
      </c>
      <c r="C322" s="182" t="str">
        <f t="shared" si="97"/>
        <v>-</v>
      </c>
      <c r="D322" s="182">
        <f t="shared" si="97"/>
        <v>82</v>
      </c>
      <c r="E322" s="182">
        <f t="shared" si="97"/>
        <v>246</v>
      </c>
      <c r="F322" s="182">
        <f t="shared" si="97"/>
        <v>771</v>
      </c>
      <c r="G322" s="182">
        <f t="shared" si="97"/>
        <v>2453</v>
      </c>
      <c r="H322" s="182">
        <f t="shared" si="97"/>
        <v>752</v>
      </c>
      <c r="I322" s="182">
        <f t="shared" si="97"/>
        <v>663</v>
      </c>
      <c r="J322" s="183" t="s">
        <v>116</v>
      </c>
      <c r="K322" s="182">
        <f t="shared" si="98"/>
        <v>4967</v>
      </c>
      <c r="L322" s="182"/>
      <c r="M322" s="182" t="str">
        <f t="shared" si="95"/>
        <v>-</v>
      </c>
      <c r="N322" s="182">
        <f t="shared" si="95"/>
        <v>380</v>
      </c>
      <c r="O322" s="182">
        <f t="shared" si="95"/>
        <v>3679</v>
      </c>
      <c r="P322" s="182">
        <f t="shared" si="95"/>
        <v>12765</v>
      </c>
      <c r="Q322" s="182">
        <f t="shared" si="95"/>
        <v>1471</v>
      </c>
      <c r="R322" s="182" t="str">
        <f t="shared" si="95"/>
        <v>-</v>
      </c>
      <c r="S322" s="182">
        <f t="shared" si="95"/>
        <v>18295</v>
      </c>
    </row>
    <row r="323" spans="1:19" s="366" customFormat="1" x14ac:dyDescent="0.2">
      <c r="A323" s="118">
        <v>2011</v>
      </c>
      <c r="B323" s="182">
        <f t="shared" si="97"/>
        <v>0</v>
      </c>
      <c r="C323" s="182">
        <f t="shared" si="97"/>
        <v>7</v>
      </c>
      <c r="D323" s="182">
        <f t="shared" si="97"/>
        <v>204</v>
      </c>
      <c r="E323" s="182">
        <f t="shared" si="97"/>
        <v>314</v>
      </c>
      <c r="F323" s="182">
        <f t="shared" si="97"/>
        <v>647</v>
      </c>
      <c r="G323" s="182">
        <f t="shared" si="97"/>
        <v>2215</v>
      </c>
      <c r="H323" s="182">
        <f t="shared" si="97"/>
        <v>1331</v>
      </c>
      <c r="I323" s="182">
        <f t="shared" si="97"/>
        <v>440</v>
      </c>
      <c r="J323" s="182">
        <f>IF(AND(J41="-",J276="-"),"-",SUM(J41,J276))</f>
        <v>6</v>
      </c>
      <c r="K323" s="182">
        <f t="shared" si="98"/>
        <v>5164</v>
      </c>
      <c r="L323" s="182"/>
      <c r="M323" s="182" t="str">
        <f t="shared" si="95"/>
        <v>-</v>
      </c>
      <c r="N323" s="182">
        <f t="shared" si="95"/>
        <v>734</v>
      </c>
      <c r="O323" s="182">
        <f t="shared" si="95"/>
        <v>4561</v>
      </c>
      <c r="P323" s="182">
        <f t="shared" si="95"/>
        <v>6151</v>
      </c>
      <c r="Q323" s="182">
        <f t="shared" si="95"/>
        <v>7386</v>
      </c>
      <c r="R323" s="182" t="str">
        <f t="shared" si="95"/>
        <v>-</v>
      </c>
      <c r="S323" s="182">
        <f t="shared" si="95"/>
        <v>18832</v>
      </c>
    </row>
    <row r="324" spans="1:19" s="366" customFormat="1" x14ac:dyDescent="0.2">
      <c r="A324" s="118">
        <v>2012</v>
      </c>
      <c r="B324" s="182">
        <f t="shared" si="97"/>
        <v>21</v>
      </c>
      <c r="C324" s="182">
        <f t="shared" si="97"/>
        <v>108</v>
      </c>
      <c r="D324" s="182">
        <f t="shared" si="97"/>
        <v>864</v>
      </c>
      <c r="E324" s="182">
        <f t="shared" si="97"/>
        <v>2169</v>
      </c>
      <c r="F324" s="182">
        <f t="shared" si="97"/>
        <v>3837</v>
      </c>
      <c r="G324" s="182">
        <f t="shared" si="97"/>
        <v>6703</v>
      </c>
      <c r="H324" s="182">
        <f t="shared" si="97"/>
        <v>4044</v>
      </c>
      <c r="I324" s="182">
        <f t="shared" si="97"/>
        <v>1040</v>
      </c>
      <c r="J324" s="182">
        <f>IF(AND(J42="-",J277="-"),"-",SUM(J42,J277))</f>
        <v>8</v>
      </c>
      <c r="K324" s="182">
        <f t="shared" si="98"/>
        <v>18794</v>
      </c>
      <c r="L324" s="182"/>
      <c r="M324" s="182" t="str">
        <f t="shared" si="95"/>
        <v>-</v>
      </c>
      <c r="N324" s="182">
        <f t="shared" si="95"/>
        <v>156</v>
      </c>
      <c r="O324" s="182">
        <f t="shared" si="95"/>
        <v>3010</v>
      </c>
      <c r="P324" s="182">
        <f t="shared" si="95"/>
        <v>5715</v>
      </c>
      <c r="Q324" s="182">
        <f t="shared" si="95"/>
        <v>7196</v>
      </c>
      <c r="R324" s="182">
        <f t="shared" si="95"/>
        <v>2</v>
      </c>
      <c r="S324" s="182">
        <f t="shared" si="95"/>
        <v>16079</v>
      </c>
    </row>
    <row r="325" spans="1:19" s="366" customFormat="1" x14ac:dyDescent="0.2">
      <c r="A325" s="118">
        <v>2013</v>
      </c>
      <c r="B325" s="182">
        <f t="shared" si="97"/>
        <v>257</v>
      </c>
      <c r="C325" s="182">
        <f t="shared" si="97"/>
        <v>196</v>
      </c>
      <c r="D325" s="182">
        <f t="shared" si="97"/>
        <v>213</v>
      </c>
      <c r="E325" s="182">
        <f t="shared" si="97"/>
        <v>3943</v>
      </c>
      <c r="F325" s="182">
        <f t="shared" si="97"/>
        <v>6742</v>
      </c>
      <c r="G325" s="182">
        <f t="shared" si="97"/>
        <v>15514</v>
      </c>
      <c r="H325" s="182">
        <f t="shared" si="97"/>
        <v>1763</v>
      </c>
      <c r="I325" s="182">
        <f t="shared" si="97"/>
        <v>1606</v>
      </c>
      <c r="J325" s="182" t="s">
        <v>116</v>
      </c>
      <c r="K325" s="182">
        <f t="shared" si="98"/>
        <v>30234</v>
      </c>
      <c r="L325" s="182"/>
      <c r="M325" s="182" t="str">
        <f t="shared" si="95"/>
        <v>-</v>
      </c>
      <c r="N325" s="182">
        <f t="shared" si="95"/>
        <v>1160</v>
      </c>
      <c r="O325" s="182">
        <f t="shared" si="95"/>
        <v>6041</v>
      </c>
      <c r="P325" s="182">
        <f t="shared" si="95"/>
        <v>4479</v>
      </c>
      <c r="Q325" s="182">
        <f t="shared" si="95"/>
        <v>2831</v>
      </c>
      <c r="R325" s="182">
        <f t="shared" si="95"/>
        <v>25</v>
      </c>
      <c r="S325" s="182">
        <f t="shared" si="95"/>
        <v>14536</v>
      </c>
    </row>
    <row r="326" spans="1:19" s="366" customFormat="1" x14ac:dyDescent="0.2">
      <c r="A326" s="118">
        <v>2014</v>
      </c>
      <c r="B326" s="182">
        <f t="shared" si="97"/>
        <v>10</v>
      </c>
      <c r="C326" s="182">
        <f t="shared" si="97"/>
        <v>32</v>
      </c>
      <c r="D326" s="182">
        <f t="shared" si="97"/>
        <v>1104</v>
      </c>
      <c r="E326" s="182">
        <f t="shared" si="97"/>
        <v>1453</v>
      </c>
      <c r="F326" s="182">
        <f t="shared" si="97"/>
        <v>6942</v>
      </c>
      <c r="G326" s="182">
        <f t="shared" si="97"/>
        <v>5696</v>
      </c>
      <c r="H326" s="182">
        <f t="shared" si="97"/>
        <v>1991</v>
      </c>
      <c r="I326" s="182">
        <f t="shared" si="97"/>
        <v>1252</v>
      </c>
      <c r="J326" s="182" t="s">
        <v>116</v>
      </c>
      <c r="K326" s="182">
        <f t="shared" si="98"/>
        <v>18480</v>
      </c>
      <c r="L326" s="182"/>
      <c r="M326" s="182">
        <f t="shared" si="95"/>
        <v>4</v>
      </c>
      <c r="N326" s="182">
        <f t="shared" si="95"/>
        <v>3952</v>
      </c>
      <c r="O326" s="182">
        <f t="shared" si="95"/>
        <v>38409</v>
      </c>
      <c r="P326" s="182">
        <f t="shared" si="95"/>
        <v>27783</v>
      </c>
      <c r="Q326" s="182">
        <f t="shared" si="95"/>
        <v>29310</v>
      </c>
      <c r="R326" s="182">
        <f t="shared" si="95"/>
        <v>49</v>
      </c>
      <c r="S326" s="182">
        <f t="shared" si="95"/>
        <v>99507</v>
      </c>
    </row>
    <row r="327" spans="1:19" s="366" customFormat="1" x14ac:dyDescent="0.2">
      <c r="A327" s="118">
        <v>2015</v>
      </c>
      <c r="B327" s="182">
        <f t="shared" si="97"/>
        <v>30</v>
      </c>
      <c r="C327" s="182">
        <f t="shared" si="97"/>
        <v>8</v>
      </c>
      <c r="D327" s="182">
        <f t="shared" si="97"/>
        <v>209</v>
      </c>
      <c r="E327" s="182">
        <f t="shared" si="97"/>
        <v>623</v>
      </c>
      <c r="F327" s="182">
        <f t="shared" si="97"/>
        <v>984</v>
      </c>
      <c r="G327" s="182">
        <f t="shared" si="97"/>
        <v>1453</v>
      </c>
      <c r="H327" s="182">
        <f t="shared" si="97"/>
        <v>3889</v>
      </c>
      <c r="I327" s="182">
        <f t="shared" si="97"/>
        <v>2246</v>
      </c>
      <c r="J327" s="182" t="s">
        <v>116</v>
      </c>
      <c r="K327" s="182">
        <f t="shared" si="98"/>
        <v>9442</v>
      </c>
      <c r="L327" s="182"/>
      <c r="M327" s="182" t="str">
        <f t="shared" si="95"/>
        <v>-</v>
      </c>
      <c r="N327" s="182">
        <f t="shared" si="95"/>
        <v>1195</v>
      </c>
      <c r="O327" s="182">
        <f t="shared" si="95"/>
        <v>15723</v>
      </c>
      <c r="P327" s="182">
        <f t="shared" si="95"/>
        <v>5434</v>
      </c>
      <c r="Q327" s="182">
        <f t="shared" si="95"/>
        <v>5902</v>
      </c>
      <c r="R327" s="182">
        <f t="shared" si="95"/>
        <v>28</v>
      </c>
      <c r="S327" s="182">
        <f t="shared" si="95"/>
        <v>28282</v>
      </c>
    </row>
    <row r="328" spans="1:19" s="366" customFormat="1" x14ac:dyDescent="0.2">
      <c r="A328" s="118">
        <v>2016</v>
      </c>
      <c r="B328" s="182">
        <f t="shared" si="97"/>
        <v>32</v>
      </c>
      <c r="C328" s="182">
        <f t="shared" si="97"/>
        <v>9</v>
      </c>
      <c r="D328" s="182">
        <f t="shared" si="97"/>
        <v>128</v>
      </c>
      <c r="E328" s="182">
        <f t="shared" si="97"/>
        <v>319</v>
      </c>
      <c r="F328" s="182">
        <f t="shared" si="97"/>
        <v>963</v>
      </c>
      <c r="G328" s="182">
        <f t="shared" si="97"/>
        <v>1082</v>
      </c>
      <c r="H328" s="182">
        <f t="shared" si="97"/>
        <v>1199</v>
      </c>
      <c r="I328" s="182">
        <f t="shared" si="97"/>
        <v>363</v>
      </c>
      <c r="J328" s="182" t="s">
        <v>116</v>
      </c>
      <c r="K328" s="182">
        <f t="shared" si="98"/>
        <v>4095</v>
      </c>
      <c r="L328" s="182"/>
      <c r="M328" s="182" t="str">
        <f t="shared" ref="M328:S330" si="99">IF(AND(M46="-",M281="-"),"-",SUM(M46,M281))</f>
        <v>-</v>
      </c>
      <c r="N328" s="182">
        <f t="shared" si="99"/>
        <v>256</v>
      </c>
      <c r="O328" s="182">
        <f t="shared" si="99"/>
        <v>2131</v>
      </c>
      <c r="P328" s="182">
        <f t="shared" si="99"/>
        <v>1821</v>
      </c>
      <c r="Q328" s="182">
        <f t="shared" si="99"/>
        <v>4180</v>
      </c>
      <c r="R328" s="182">
        <f t="shared" si="99"/>
        <v>22</v>
      </c>
      <c r="S328" s="182">
        <f t="shared" si="99"/>
        <v>8410</v>
      </c>
    </row>
    <row r="329" spans="1:19" s="328" customFormat="1" x14ac:dyDescent="0.2">
      <c r="A329" s="327">
        <v>2017</v>
      </c>
      <c r="B329" s="286">
        <f t="shared" si="97"/>
        <v>0</v>
      </c>
      <c r="C329" s="286">
        <f t="shared" si="97"/>
        <v>6</v>
      </c>
      <c r="D329" s="286">
        <f t="shared" si="97"/>
        <v>89</v>
      </c>
      <c r="E329" s="286">
        <f t="shared" si="97"/>
        <v>469</v>
      </c>
      <c r="F329" s="286">
        <f t="shared" si="97"/>
        <v>1075</v>
      </c>
      <c r="G329" s="286">
        <f t="shared" si="97"/>
        <v>1818</v>
      </c>
      <c r="H329" s="286">
        <f t="shared" si="97"/>
        <v>592</v>
      </c>
      <c r="I329" s="286">
        <f t="shared" si="97"/>
        <v>545</v>
      </c>
      <c r="J329" s="286" t="s">
        <v>116</v>
      </c>
      <c r="K329" s="286">
        <f t="shared" si="98"/>
        <v>4594</v>
      </c>
      <c r="L329" s="286"/>
      <c r="M329" s="286" t="str">
        <f t="shared" si="99"/>
        <v>-</v>
      </c>
      <c r="N329" s="286">
        <f t="shared" si="99"/>
        <v>376</v>
      </c>
      <c r="O329" s="286">
        <f t="shared" si="99"/>
        <v>8021</v>
      </c>
      <c r="P329" s="286">
        <f t="shared" si="99"/>
        <v>8248</v>
      </c>
      <c r="Q329" s="286">
        <f t="shared" si="99"/>
        <v>4590</v>
      </c>
      <c r="R329" s="286" t="str">
        <f t="shared" si="99"/>
        <v>-</v>
      </c>
      <c r="S329" s="286">
        <f t="shared" si="99"/>
        <v>21235</v>
      </c>
    </row>
    <row r="330" spans="1:19" s="328" customFormat="1" x14ac:dyDescent="0.2">
      <c r="A330" s="118">
        <v>2018</v>
      </c>
      <c r="B330" s="286">
        <f t="shared" si="97"/>
        <v>0</v>
      </c>
      <c r="C330" s="286">
        <f t="shared" si="97"/>
        <v>4</v>
      </c>
      <c r="D330" s="286">
        <f t="shared" si="97"/>
        <v>153</v>
      </c>
      <c r="E330" s="286">
        <f t="shared" si="97"/>
        <v>408</v>
      </c>
      <c r="F330" s="286">
        <f t="shared" si="97"/>
        <v>1263</v>
      </c>
      <c r="G330" s="286">
        <f t="shared" si="97"/>
        <v>2030</v>
      </c>
      <c r="H330" s="286">
        <f t="shared" si="97"/>
        <v>629</v>
      </c>
      <c r="I330" s="286">
        <f t="shared" si="97"/>
        <v>503</v>
      </c>
      <c r="J330" s="286" t="s">
        <v>116</v>
      </c>
      <c r="K330" s="286">
        <f t="shared" si="98"/>
        <v>4990</v>
      </c>
      <c r="L330" s="286"/>
      <c r="M330" s="286" t="str">
        <f t="shared" si="99"/>
        <v>-</v>
      </c>
      <c r="N330" s="286">
        <f t="shared" si="99"/>
        <v>70</v>
      </c>
      <c r="O330" s="286">
        <f t="shared" si="99"/>
        <v>4374</v>
      </c>
      <c r="P330" s="286">
        <f t="shared" si="99"/>
        <v>14273</v>
      </c>
      <c r="Q330" s="286">
        <f t="shared" si="99"/>
        <v>6955</v>
      </c>
      <c r="R330" s="286" t="str">
        <f t="shared" si="99"/>
        <v>-</v>
      </c>
      <c r="S330" s="286">
        <f t="shared" si="99"/>
        <v>25672</v>
      </c>
    </row>
    <row r="331" spans="1:19" s="328" customFormat="1" x14ac:dyDescent="0.2">
      <c r="A331" s="118">
        <v>2019</v>
      </c>
      <c r="B331" s="286">
        <f t="shared" ref="B331:I332" si="100">IF(AND(B49="-",B284="-"),"-",SUM(B49,B284))</f>
        <v>10</v>
      </c>
      <c r="C331" s="286">
        <f t="shared" si="100"/>
        <v>3</v>
      </c>
      <c r="D331" s="286">
        <f t="shared" si="100"/>
        <v>112</v>
      </c>
      <c r="E331" s="286">
        <f t="shared" si="100"/>
        <v>751</v>
      </c>
      <c r="F331" s="286">
        <f t="shared" si="100"/>
        <v>3310</v>
      </c>
      <c r="G331" s="286">
        <f t="shared" si="100"/>
        <v>1433</v>
      </c>
      <c r="H331" s="286">
        <f t="shared" si="100"/>
        <v>731</v>
      </c>
      <c r="I331" s="286">
        <f t="shared" si="100"/>
        <v>256</v>
      </c>
      <c r="J331" s="182" t="str">
        <f t="shared" ref="J331:J332" si="101">IF(AND(J284="-",J237="-",J190="-",J143="-"),"-",SUM(J284,J237,J190,J143))</f>
        <v>-</v>
      </c>
      <c r="K331" s="286">
        <f t="shared" ref="K331:K332" si="102">IF(AND(K49="-",K284="-"),"-",SUM(K49,K284))</f>
        <v>6606</v>
      </c>
      <c r="L331" s="286"/>
      <c r="M331" s="286" t="str">
        <f t="shared" ref="M331:R332" si="103">IF(AND(M49="-",M284="-"),"-",SUM(M49,M284))</f>
        <v>-</v>
      </c>
      <c r="N331" s="286">
        <f t="shared" si="103"/>
        <v>5796</v>
      </c>
      <c r="O331" s="286">
        <f t="shared" si="103"/>
        <v>34192</v>
      </c>
      <c r="P331" s="286">
        <f t="shared" si="103"/>
        <v>20969</v>
      </c>
      <c r="Q331" s="286">
        <f t="shared" si="103"/>
        <v>5351</v>
      </c>
      <c r="R331" s="286">
        <f t="shared" si="103"/>
        <v>5</v>
      </c>
      <c r="S331" s="286">
        <f>IF(AND(S49="-",S284="-"),"-",SUM(S49,S284))</f>
        <v>66313</v>
      </c>
    </row>
    <row r="332" spans="1:19" s="326" customFormat="1" x14ac:dyDescent="0.2">
      <c r="A332" s="118" t="s">
        <v>393</v>
      </c>
      <c r="B332" s="286">
        <f t="shared" si="100"/>
        <v>0</v>
      </c>
      <c r="C332" s="286">
        <f t="shared" si="100"/>
        <v>4</v>
      </c>
      <c r="D332" s="286">
        <f t="shared" si="100"/>
        <v>38</v>
      </c>
      <c r="E332" s="286">
        <f t="shared" si="100"/>
        <v>666</v>
      </c>
      <c r="F332" s="286">
        <f t="shared" si="100"/>
        <v>3921</v>
      </c>
      <c r="G332" s="286">
        <f t="shared" si="100"/>
        <v>959</v>
      </c>
      <c r="H332" s="286">
        <f t="shared" si="100"/>
        <v>1338</v>
      </c>
      <c r="I332" s="286">
        <f t="shared" si="100"/>
        <v>219</v>
      </c>
      <c r="J332" s="48" t="str">
        <f t="shared" si="101"/>
        <v>-</v>
      </c>
      <c r="K332" s="286">
        <f t="shared" si="102"/>
        <v>7145</v>
      </c>
      <c r="L332" s="286"/>
      <c r="M332" s="286" t="str">
        <f t="shared" si="103"/>
        <v>-</v>
      </c>
      <c r="N332" s="286">
        <f t="shared" si="103"/>
        <v>0</v>
      </c>
      <c r="O332" s="286">
        <f t="shared" si="103"/>
        <v>11451</v>
      </c>
      <c r="P332" s="286">
        <f t="shared" si="103"/>
        <v>5115</v>
      </c>
      <c r="Q332" s="286">
        <f t="shared" si="103"/>
        <v>4245</v>
      </c>
      <c r="R332" s="286" t="str">
        <f t="shared" si="103"/>
        <v>-</v>
      </c>
      <c r="S332" s="286">
        <f>IF(AND(S50="-",S285="-"),"-",SUM(S50,S285))</f>
        <v>20811</v>
      </c>
    </row>
    <row r="333" spans="1:19" ht="12" customHeight="1" x14ac:dyDescent="0.2">
      <c r="A333" s="565" t="s">
        <v>239</v>
      </c>
      <c r="B333" s="566"/>
      <c r="C333" s="566"/>
      <c r="D333" s="566"/>
      <c r="E333" s="566"/>
      <c r="F333" s="566"/>
      <c r="G333" s="566"/>
      <c r="H333" s="566"/>
      <c r="I333" s="566"/>
      <c r="J333" s="566"/>
      <c r="K333" s="566"/>
      <c r="L333" s="566"/>
      <c r="M333" s="566"/>
      <c r="N333" s="566"/>
      <c r="O333" s="566"/>
      <c r="P333" s="566"/>
      <c r="Q333" s="566"/>
      <c r="R333" s="566"/>
      <c r="S333" s="566"/>
    </row>
    <row r="334" spans="1:19" x14ac:dyDescent="0.2">
      <c r="A334" s="567"/>
      <c r="B334" s="567"/>
      <c r="C334" s="567"/>
      <c r="D334" s="567"/>
      <c r="E334" s="567"/>
      <c r="F334" s="567"/>
      <c r="G334" s="567"/>
      <c r="H334" s="567"/>
      <c r="I334" s="567"/>
      <c r="J334" s="567"/>
      <c r="K334" s="567"/>
      <c r="L334" s="567"/>
      <c r="M334" s="567"/>
      <c r="N334" s="567"/>
      <c r="O334" s="567"/>
      <c r="P334" s="567"/>
      <c r="Q334" s="567"/>
      <c r="R334" s="567"/>
      <c r="S334" s="567"/>
    </row>
    <row r="335" spans="1:19" x14ac:dyDescent="0.2">
      <c r="A335" s="567"/>
      <c r="B335" s="567"/>
      <c r="C335" s="567"/>
      <c r="D335" s="567"/>
      <c r="E335" s="567"/>
      <c r="F335" s="567"/>
      <c r="G335" s="567"/>
      <c r="H335" s="567"/>
      <c r="I335" s="567"/>
      <c r="J335" s="567"/>
      <c r="K335" s="567"/>
      <c r="L335" s="567"/>
      <c r="M335" s="567"/>
      <c r="N335" s="567"/>
      <c r="O335" s="567"/>
      <c r="P335" s="567"/>
      <c r="Q335" s="567"/>
      <c r="R335" s="567"/>
      <c r="S335" s="567"/>
    </row>
    <row r="336" spans="1:19" ht="11.25" customHeight="1" x14ac:dyDescent="0.2">
      <c r="A336" s="563" t="s">
        <v>142</v>
      </c>
      <c r="B336" s="563"/>
      <c r="C336" s="563"/>
      <c r="D336" s="563"/>
      <c r="E336" s="563"/>
      <c r="F336" s="563"/>
      <c r="G336" s="563"/>
      <c r="H336" s="563"/>
      <c r="I336" s="563"/>
      <c r="J336" s="563"/>
      <c r="K336" s="563"/>
      <c r="L336" s="563"/>
      <c r="M336" s="563"/>
      <c r="N336" s="563"/>
      <c r="O336" s="563"/>
      <c r="P336" s="563"/>
      <c r="Q336" s="563"/>
      <c r="R336" s="563"/>
      <c r="S336" s="563"/>
    </row>
    <row r="337" spans="1:19" x14ac:dyDescent="0.2">
      <c r="A337" s="563"/>
      <c r="B337" s="563"/>
      <c r="C337" s="563"/>
      <c r="D337" s="563"/>
      <c r="E337" s="563"/>
      <c r="F337" s="563"/>
      <c r="G337" s="563"/>
      <c r="H337" s="563"/>
      <c r="I337" s="563"/>
      <c r="J337" s="563"/>
      <c r="K337" s="563"/>
      <c r="L337" s="563"/>
      <c r="M337" s="563"/>
      <c r="N337" s="563"/>
      <c r="O337" s="563"/>
      <c r="P337" s="563"/>
      <c r="Q337" s="563"/>
      <c r="R337" s="563"/>
      <c r="S337" s="563"/>
    </row>
    <row r="338" spans="1:19" x14ac:dyDescent="0.2">
      <c r="A338" s="554" t="s">
        <v>47</v>
      </c>
      <c r="B338" s="554"/>
      <c r="C338" s="554"/>
      <c r="D338" s="554"/>
      <c r="E338" s="554"/>
      <c r="F338" s="554"/>
      <c r="G338" s="554"/>
      <c r="H338" s="554"/>
      <c r="I338" s="554"/>
      <c r="J338" s="554"/>
      <c r="K338" s="554"/>
      <c r="L338" s="554"/>
      <c r="M338" s="554"/>
      <c r="N338" s="554"/>
      <c r="O338" s="554"/>
      <c r="P338" s="554"/>
      <c r="Q338" s="554"/>
      <c r="R338" s="554"/>
      <c r="S338" s="554"/>
    </row>
    <row r="361" spans="1:19" s="324" customFormat="1" x14ac:dyDescent="0.2">
      <c r="A361" s="243"/>
      <c r="B361" s="288"/>
      <c r="C361" s="288"/>
      <c r="D361" s="288"/>
      <c r="E361" s="288"/>
      <c r="F361" s="288"/>
      <c r="G361" s="288"/>
      <c r="H361" s="288"/>
      <c r="I361" s="288"/>
      <c r="J361" s="288"/>
      <c r="K361" s="288"/>
      <c r="L361" s="288"/>
      <c r="M361" s="288"/>
      <c r="N361" s="288"/>
      <c r="O361" s="288"/>
      <c r="P361" s="288"/>
      <c r="Q361" s="288"/>
      <c r="R361" s="288"/>
      <c r="S361" s="288"/>
    </row>
    <row r="376" spans="1:19" ht="11.25" customHeight="1" x14ac:dyDescent="0.2"/>
    <row r="377" spans="1:19" ht="11.25" customHeight="1" x14ac:dyDescent="0.2">
      <c r="A377" s="561" t="s">
        <v>364</v>
      </c>
      <c r="B377" s="561"/>
      <c r="C377" s="561"/>
      <c r="D377" s="561"/>
      <c r="E377" s="561"/>
      <c r="F377" s="561"/>
      <c r="G377" s="561"/>
      <c r="H377" s="561"/>
      <c r="I377" s="561"/>
      <c r="J377" s="561"/>
      <c r="K377" s="561"/>
      <c r="L377" s="561"/>
      <c r="M377" s="561"/>
      <c r="N377" s="561"/>
      <c r="O377" s="561"/>
      <c r="P377" s="561"/>
      <c r="Q377" s="561"/>
      <c r="R377" s="561"/>
      <c r="S377" s="561"/>
    </row>
    <row r="378" spans="1:19" ht="11.25" customHeight="1" x14ac:dyDescent="0.2">
      <c r="A378" s="135" t="s">
        <v>49</v>
      </c>
      <c r="B378" s="278" t="s">
        <v>43</v>
      </c>
      <c r="C378" s="278" t="s">
        <v>34</v>
      </c>
      <c r="D378" s="278" t="s">
        <v>35</v>
      </c>
      <c r="E378" s="278" t="s">
        <v>36</v>
      </c>
      <c r="F378" s="278" t="s">
        <v>37</v>
      </c>
      <c r="G378" s="278" t="s">
        <v>38</v>
      </c>
      <c r="H378" s="278" t="s">
        <v>39</v>
      </c>
      <c r="I378" s="278" t="s">
        <v>40</v>
      </c>
      <c r="J378" s="278" t="s">
        <v>44</v>
      </c>
      <c r="K378" s="278" t="s">
        <v>28</v>
      </c>
      <c r="L378" s="278"/>
      <c r="M378" s="278" t="s">
        <v>35</v>
      </c>
      <c r="N378" s="278" t="s">
        <v>36</v>
      </c>
      <c r="O378" s="278" t="s">
        <v>37</v>
      </c>
      <c r="P378" s="278" t="s">
        <v>38</v>
      </c>
      <c r="Q378" s="278" t="s">
        <v>39</v>
      </c>
      <c r="R378" s="278" t="s">
        <v>40</v>
      </c>
      <c r="S378" s="278" t="s">
        <v>28</v>
      </c>
    </row>
    <row r="379" spans="1:19" ht="11.25" customHeight="1" x14ac:dyDescent="0.2">
      <c r="A379" s="118"/>
      <c r="B379" s="557" t="s">
        <v>67</v>
      </c>
      <c r="C379" s="557"/>
      <c r="D379" s="557"/>
      <c r="E379" s="557"/>
      <c r="F379" s="557"/>
      <c r="G379" s="557"/>
      <c r="H379" s="557"/>
      <c r="I379" s="557"/>
      <c r="J379" s="557"/>
      <c r="K379" s="557"/>
      <c r="L379" s="262"/>
      <c r="M379" s="557" t="s">
        <v>68</v>
      </c>
      <c r="N379" s="557"/>
      <c r="O379" s="557"/>
      <c r="P379" s="557"/>
      <c r="Q379" s="557"/>
      <c r="R379" s="557"/>
      <c r="S379" s="557"/>
    </row>
    <row r="380" spans="1:19" x14ac:dyDescent="0.2">
      <c r="A380" s="405" t="s">
        <v>112</v>
      </c>
      <c r="B380" s="197"/>
      <c r="C380" s="182"/>
      <c r="D380" s="182"/>
      <c r="E380" s="182"/>
      <c r="F380" s="182"/>
      <c r="G380" s="182"/>
      <c r="H380" s="182"/>
      <c r="I380" s="182"/>
      <c r="J380" s="182"/>
      <c r="K380" s="182"/>
      <c r="L380" s="182"/>
      <c r="M380" s="182"/>
      <c r="N380" s="182"/>
      <c r="O380" s="182"/>
      <c r="P380" s="182"/>
      <c r="Q380" s="182"/>
      <c r="R380" s="182"/>
      <c r="S380" s="182"/>
    </row>
    <row r="381" spans="1:19" x14ac:dyDescent="0.2">
      <c r="A381" s="348" t="s">
        <v>30</v>
      </c>
      <c r="B381" s="197" t="str">
        <f t="shared" ref="B381:C383" si="104">B19</f>
        <v>-</v>
      </c>
      <c r="C381" s="197" t="str">
        <f t="shared" si="104"/>
        <v>-</v>
      </c>
      <c r="D381" s="197">
        <f t="shared" ref="D381:K381" si="105">AVERAGE(D11:D15)</f>
        <v>29</v>
      </c>
      <c r="E381" s="197">
        <f t="shared" si="105"/>
        <v>922</v>
      </c>
      <c r="F381" s="197">
        <f t="shared" si="105"/>
        <v>2427</v>
      </c>
      <c r="G381" s="197">
        <f t="shared" si="105"/>
        <v>1901.8</v>
      </c>
      <c r="H381" s="197">
        <f t="shared" si="105"/>
        <v>729</v>
      </c>
      <c r="I381" s="197" t="str">
        <f t="shared" ref="I381:J383" si="106">I19</f>
        <v>-</v>
      </c>
      <c r="J381" s="197" t="str">
        <f t="shared" si="106"/>
        <v>-</v>
      </c>
      <c r="K381" s="197">
        <f t="shared" si="105"/>
        <v>5363.8</v>
      </c>
      <c r="L381" s="182"/>
      <c r="M381" s="197">
        <f t="shared" ref="M381:S381" si="107">AVERAGE(M11:M15)</f>
        <v>1699</v>
      </c>
      <c r="N381" s="197">
        <f t="shared" si="107"/>
        <v>4463</v>
      </c>
      <c r="O381" s="197">
        <f t="shared" si="107"/>
        <v>16455</v>
      </c>
      <c r="P381" s="197">
        <f t="shared" si="107"/>
        <v>11211</v>
      </c>
      <c r="Q381" s="197">
        <f t="shared" si="107"/>
        <v>5508.5</v>
      </c>
      <c r="R381" s="197" t="str">
        <f>R19</f>
        <v>-</v>
      </c>
      <c r="S381" s="203">
        <f t="shared" si="107"/>
        <v>33779.599999999999</v>
      </c>
    </row>
    <row r="382" spans="1:19" x14ac:dyDescent="0.2">
      <c r="A382" s="348" t="s">
        <v>87</v>
      </c>
      <c r="B382" s="197" t="str">
        <f t="shared" si="104"/>
        <v>-</v>
      </c>
      <c r="C382" s="197" t="str">
        <f t="shared" si="104"/>
        <v>-</v>
      </c>
      <c r="D382" s="197">
        <f t="shared" ref="D382:K382" si="108">AVERAGE(D16:D20)</f>
        <v>29</v>
      </c>
      <c r="E382" s="197">
        <f t="shared" si="108"/>
        <v>127.25</v>
      </c>
      <c r="F382" s="197">
        <f t="shared" si="108"/>
        <v>953.8</v>
      </c>
      <c r="G382" s="197">
        <f t="shared" si="108"/>
        <v>1458.75</v>
      </c>
      <c r="H382" s="197">
        <f t="shared" si="108"/>
        <v>87</v>
      </c>
      <c r="I382" s="197" t="str">
        <f t="shared" si="106"/>
        <v>-</v>
      </c>
      <c r="J382" s="197" t="str">
        <f t="shared" si="106"/>
        <v>-</v>
      </c>
      <c r="K382" s="197">
        <f t="shared" si="108"/>
        <v>2245.8000000000002</v>
      </c>
      <c r="L382" s="182"/>
      <c r="M382" s="197" t="str">
        <f>M20</f>
        <v>-</v>
      </c>
      <c r="N382" s="197">
        <f t="shared" ref="N382:S382" si="109">AVERAGE(N16:N20)</f>
        <v>1825</v>
      </c>
      <c r="O382" s="197">
        <f t="shared" si="109"/>
        <v>15219.6</v>
      </c>
      <c r="P382" s="197">
        <f t="shared" si="109"/>
        <v>14456.25</v>
      </c>
      <c r="Q382" s="197">
        <f t="shared" si="109"/>
        <v>1307</v>
      </c>
      <c r="R382" s="197" t="str">
        <f>R20</f>
        <v>-</v>
      </c>
      <c r="S382" s="203">
        <f t="shared" si="109"/>
        <v>28506</v>
      </c>
    </row>
    <row r="383" spans="1:19" x14ac:dyDescent="0.2">
      <c r="A383" s="348" t="s">
        <v>14</v>
      </c>
      <c r="B383" s="197" t="str">
        <f t="shared" si="104"/>
        <v>-</v>
      </c>
      <c r="C383" s="197" t="str">
        <f t="shared" si="104"/>
        <v>-</v>
      </c>
      <c r="D383" s="197" t="str">
        <f>D21</f>
        <v>-</v>
      </c>
      <c r="E383" s="197">
        <f>AVERAGE(E21:E25)</f>
        <v>81</v>
      </c>
      <c r="F383" s="197">
        <f>AVERAGE(F21:F25)</f>
        <v>224.25</v>
      </c>
      <c r="G383" s="197">
        <f>AVERAGE(G21:G25)</f>
        <v>301.5</v>
      </c>
      <c r="H383" s="197">
        <f>AVERAGE(H21:H25)</f>
        <v>63</v>
      </c>
      <c r="I383" s="197" t="str">
        <f t="shared" si="106"/>
        <v>-</v>
      </c>
      <c r="J383" s="197" t="str">
        <f t="shared" si="106"/>
        <v>-</v>
      </c>
      <c r="K383" s="197">
        <f>AVERAGE(K21:K25)</f>
        <v>609</v>
      </c>
      <c r="L383" s="182"/>
      <c r="M383" s="197" t="str">
        <f>M21</f>
        <v>-</v>
      </c>
      <c r="N383" s="197">
        <f>AVERAGE(N21:N25)</f>
        <v>2409</v>
      </c>
      <c r="O383" s="197">
        <f>AVERAGE(O21:O25)</f>
        <v>10831</v>
      </c>
      <c r="P383" s="197">
        <f>AVERAGE(P21:P25)</f>
        <v>9892.25</v>
      </c>
      <c r="Q383" s="197">
        <f>AVERAGE(Q21:Q25)</f>
        <v>2331.75</v>
      </c>
      <c r="R383" s="197" t="str">
        <f>R21</f>
        <v>-</v>
      </c>
      <c r="S383" s="203">
        <f>AVERAGE(S21:S25)</f>
        <v>23657.25</v>
      </c>
    </row>
    <row r="384" spans="1:19" x14ac:dyDescent="0.2">
      <c r="A384" s="348" t="s">
        <v>207</v>
      </c>
      <c r="B384" s="197" t="str">
        <f>B26</f>
        <v>-</v>
      </c>
      <c r="C384" s="197" t="str">
        <f>C26</f>
        <v>-</v>
      </c>
      <c r="D384" s="197" t="str">
        <f>D26</f>
        <v>-</v>
      </c>
      <c r="E384" s="197" t="s">
        <v>29</v>
      </c>
      <c r="F384" s="197">
        <f>AVERAGE(F26:F30)</f>
        <v>196.75</v>
      </c>
      <c r="G384" s="197">
        <f>AVERAGE(G26:G30)</f>
        <v>222.6</v>
      </c>
      <c r="H384" s="197">
        <f>AVERAGE(H26:H30)</f>
        <v>38</v>
      </c>
      <c r="I384" s="197" t="str">
        <f>I26</f>
        <v>-</v>
      </c>
      <c r="J384" s="197" t="str">
        <f>J26</f>
        <v>-</v>
      </c>
      <c r="K384" s="197">
        <f>AVERAGE(K26:K30)</f>
        <v>402.8</v>
      </c>
      <c r="L384" s="182"/>
      <c r="M384" s="197" t="str">
        <f>M26</f>
        <v>-</v>
      </c>
      <c r="N384" s="197" t="s">
        <v>29</v>
      </c>
      <c r="O384" s="197">
        <f>AVERAGE(O26:O30)</f>
        <v>3775</v>
      </c>
      <c r="P384" s="197">
        <f>AVERAGE(P26:P30)</f>
        <v>3675.4</v>
      </c>
      <c r="Q384" s="197">
        <f>AVERAGE(Q26:Q30)</f>
        <v>935.33333333333337</v>
      </c>
      <c r="R384" s="197" t="str">
        <f>R26</f>
        <v>-</v>
      </c>
      <c r="S384" s="203">
        <f>AVERAGE(S26:S30)</f>
        <v>7256.6</v>
      </c>
    </row>
    <row r="385" spans="1:19" x14ac:dyDescent="0.2">
      <c r="A385" s="118" t="s">
        <v>238</v>
      </c>
      <c r="B385" s="197" t="str">
        <f>B31</f>
        <v>-</v>
      </c>
      <c r="C385" s="197" t="str">
        <f>C31</f>
        <v>-</v>
      </c>
      <c r="D385" s="197">
        <f t="shared" ref="D385:I385" si="110">AVERAGE(D31:D35)</f>
        <v>33</v>
      </c>
      <c r="E385" s="197">
        <f t="shared" si="110"/>
        <v>126.66666666666667</v>
      </c>
      <c r="F385" s="197">
        <f t="shared" si="110"/>
        <v>774</v>
      </c>
      <c r="G385" s="197">
        <f t="shared" si="110"/>
        <v>1605.4</v>
      </c>
      <c r="H385" s="197">
        <f t="shared" si="110"/>
        <v>241.4</v>
      </c>
      <c r="I385" s="197">
        <f t="shared" si="110"/>
        <v>3</v>
      </c>
      <c r="J385" s="197" t="str">
        <f>J31</f>
        <v>-</v>
      </c>
      <c r="K385" s="197">
        <f>AVERAGE(K31:K35)</f>
        <v>2704</v>
      </c>
      <c r="L385" s="182"/>
      <c r="M385" s="197" t="str">
        <f>M31</f>
        <v>-</v>
      </c>
      <c r="N385" s="197">
        <f>AVERAGE(N31:N35)</f>
        <v>211.5</v>
      </c>
      <c r="O385" s="197">
        <f>AVERAGE(O31:O35)</f>
        <v>6990.8</v>
      </c>
      <c r="P385" s="197">
        <f>AVERAGE(P31:P35)</f>
        <v>14069.8</v>
      </c>
      <c r="Q385" s="197">
        <f>AVERAGE(Q31:Q35)</f>
        <v>2020.2</v>
      </c>
      <c r="R385" s="197" t="str">
        <f>R31</f>
        <v>-</v>
      </c>
      <c r="S385" s="46">
        <f>AVERAGE(S31:S35)</f>
        <v>23165.4</v>
      </c>
    </row>
    <row r="386" spans="1:19" x14ac:dyDescent="0.2">
      <c r="A386" s="118">
        <v>2006</v>
      </c>
      <c r="B386" s="197" t="str">
        <f t="shared" ref="B386:K386" si="111">B36</f>
        <v>-</v>
      </c>
      <c r="C386" s="197" t="str">
        <f t="shared" si="111"/>
        <v>-</v>
      </c>
      <c r="D386" s="197" t="str">
        <f t="shared" si="111"/>
        <v>-</v>
      </c>
      <c r="E386" s="197" t="str">
        <f t="shared" si="111"/>
        <v>-</v>
      </c>
      <c r="F386" s="197">
        <f t="shared" si="111"/>
        <v>81</v>
      </c>
      <c r="G386" s="197">
        <f t="shared" si="111"/>
        <v>370</v>
      </c>
      <c r="H386" s="197">
        <f t="shared" si="111"/>
        <v>58</v>
      </c>
      <c r="I386" s="197" t="str">
        <f t="shared" si="111"/>
        <v>-</v>
      </c>
      <c r="J386" s="197" t="str">
        <f t="shared" si="111"/>
        <v>-</v>
      </c>
      <c r="K386" s="197">
        <f t="shared" si="111"/>
        <v>509</v>
      </c>
      <c r="L386" s="182"/>
      <c r="M386" s="197" t="str">
        <f t="shared" ref="M386:S386" si="112">M36</f>
        <v>-</v>
      </c>
      <c r="N386" s="197" t="str">
        <f t="shared" si="112"/>
        <v>-</v>
      </c>
      <c r="O386" s="197">
        <f t="shared" si="112"/>
        <v>1616</v>
      </c>
      <c r="P386" s="197">
        <f t="shared" si="112"/>
        <v>3560</v>
      </c>
      <c r="Q386" s="197">
        <f t="shared" si="112"/>
        <v>235</v>
      </c>
      <c r="R386" s="197" t="str">
        <f t="shared" si="112"/>
        <v>-</v>
      </c>
      <c r="S386" s="203">
        <f t="shared" si="112"/>
        <v>5411</v>
      </c>
    </row>
    <row r="387" spans="1:19" s="366" customFormat="1" x14ac:dyDescent="0.2">
      <c r="A387" s="118">
        <v>2007</v>
      </c>
      <c r="B387" s="197" t="str">
        <f t="shared" ref="B387:K387" si="113">B37</f>
        <v>-</v>
      </c>
      <c r="C387" s="197" t="str">
        <f t="shared" si="113"/>
        <v>-</v>
      </c>
      <c r="D387" s="197" t="str">
        <f t="shared" si="113"/>
        <v>-</v>
      </c>
      <c r="E387" s="197" t="str">
        <f t="shared" si="113"/>
        <v>-</v>
      </c>
      <c r="F387" s="197">
        <f t="shared" si="113"/>
        <v>81</v>
      </c>
      <c r="G387" s="197">
        <f t="shared" si="113"/>
        <v>457</v>
      </c>
      <c r="H387" s="197">
        <f t="shared" si="113"/>
        <v>56</v>
      </c>
      <c r="I387" s="197" t="str">
        <f t="shared" si="113"/>
        <v>-</v>
      </c>
      <c r="J387" s="197" t="str">
        <f t="shared" si="113"/>
        <v>-</v>
      </c>
      <c r="K387" s="197">
        <f t="shared" si="113"/>
        <v>594</v>
      </c>
      <c r="L387" s="182"/>
      <c r="M387" s="197" t="str">
        <f t="shared" ref="M387:S387" si="114">M37</f>
        <v>-</v>
      </c>
      <c r="N387" s="197" t="str">
        <f t="shared" si="114"/>
        <v>-</v>
      </c>
      <c r="O387" s="197">
        <f t="shared" si="114"/>
        <v>3812</v>
      </c>
      <c r="P387" s="197">
        <f t="shared" si="114"/>
        <v>13807</v>
      </c>
      <c r="Q387" s="197">
        <f t="shared" si="114"/>
        <v>778</v>
      </c>
      <c r="R387" s="197" t="str">
        <f t="shared" si="114"/>
        <v>-</v>
      </c>
      <c r="S387" s="203">
        <f t="shared" si="114"/>
        <v>18397</v>
      </c>
    </row>
    <row r="388" spans="1:19" s="366" customFormat="1" x14ac:dyDescent="0.2">
      <c r="A388" s="118">
        <v>2008</v>
      </c>
      <c r="B388" s="197" t="str">
        <f t="shared" ref="B388:K388" si="115">B38</f>
        <v>-</v>
      </c>
      <c r="C388" s="197" t="str">
        <f t="shared" si="115"/>
        <v>-</v>
      </c>
      <c r="D388" s="197">
        <f t="shared" si="115"/>
        <v>17</v>
      </c>
      <c r="E388" s="197">
        <f t="shared" si="115"/>
        <v>152</v>
      </c>
      <c r="F388" s="197">
        <f t="shared" si="115"/>
        <v>343</v>
      </c>
      <c r="G388" s="197">
        <f t="shared" si="115"/>
        <v>305</v>
      </c>
      <c r="H388" s="197" t="str">
        <f t="shared" si="115"/>
        <v>-</v>
      </c>
      <c r="I388" s="197" t="str">
        <f t="shared" si="115"/>
        <v>-</v>
      </c>
      <c r="J388" s="197" t="str">
        <f t="shared" si="115"/>
        <v>-</v>
      </c>
      <c r="K388" s="197">
        <f t="shared" si="115"/>
        <v>817</v>
      </c>
      <c r="L388" s="182"/>
      <c r="M388" s="197" t="str">
        <f t="shared" ref="M388:S388" si="116">M38</f>
        <v>-</v>
      </c>
      <c r="N388" s="197">
        <f t="shared" si="116"/>
        <v>101</v>
      </c>
      <c r="O388" s="197">
        <f t="shared" si="116"/>
        <v>1108</v>
      </c>
      <c r="P388" s="197">
        <f t="shared" si="116"/>
        <v>982</v>
      </c>
      <c r="Q388" s="197" t="str">
        <f t="shared" si="116"/>
        <v>-</v>
      </c>
      <c r="R388" s="197" t="str">
        <f t="shared" si="116"/>
        <v>-</v>
      </c>
      <c r="S388" s="203">
        <f t="shared" si="116"/>
        <v>2191</v>
      </c>
    </row>
    <row r="389" spans="1:19" s="366" customFormat="1" x14ac:dyDescent="0.2">
      <c r="A389" s="118">
        <v>2009</v>
      </c>
      <c r="B389" s="197" t="str">
        <f t="shared" ref="B389:K389" si="117">B39</f>
        <v>-</v>
      </c>
      <c r="C389" s="197" t="str">
        <f t="shared" si="117"/>
        <v>-</v>
      </c>
      <c r="D389" s="197" t="str">
        <f t="shared" si="117"/>
        <v>-</v>
      </c>
      <c r="E389" s="197">
        <f t="shared" si="117"/>
        <v>4</v>
      </c>
      <c r="F389" s="197">
        <f t="shared" si="117"/>
        <v>422</v>
      </c>
      <c r="G389" s="197">
        <f t="shared" si="117"/>
        <v>543</v>
      </c>
      <c r="H389" s="197">
        <f t="shared" si="117"/>
        <v>11</v>
      </c>
      <c r="I389" s="197" t="str">
        <f t="shared" si="117"/>
        <v>-</v>
      </c>
      <c r="J389" s="197" t="str">
        <f t="shared" si="117"/>
        <v>-</v>
      </c>
      <c r="K389" s="197">
        <f t="shared" si="117"/>
        <v>980</v>
      </c>
      <c r="L389" s="182"/>
      <c r="M389" s="197" t="str">
        <f t="shared" ref="M389:S389" si="118">M39</f>
        <v>-</v>
      </c>
      <c r="N389" s="197">
        <f t="shared" si="118"/>
        <v>138</v>
      </c>
      <c r="O389" s="197">
        <f t="shared" si="118"/>
        <v>9593</v>
      </c>
      <c r="P389" s="197">
        <f t="shared" si="118"/>
        <v>9330</v>
      </c>
      <c r="Q389" s="197">
        <f t="shared" si="118"/>
        <v>358</v>
      </c>
      <c r="R389" s="197" t="str">
        <f t="shared" si="118"/>
        <v>-</v>
      </c>
      <c r="S389" s="203">
        <f t="shared" si="118"/>
        <v>19419</v>
      </c>
    </row>
    <row r="390" spans="1:19" s="366" customFormat="1" x14ac:dyDescent="0.2">
      <c r="A390" s="118">
        <v>2010</v>
      </c>
      <c r="B390" s="197" t="str">
        <f t="shared" ref="B390:K390" si="119">B40</f>
        <v>-</v>
      </c>
      <c r="C390" s="197" t="str">
        <f t="shared" si="119"/>
        <v>-</v>
      </c>
      <c r="D390" s="197" t="str">
        <f t="shared" si="119"/>
        <v>-</v>
      </c>
      <c r="E390" s="197">
        <f t="shared" si="119"/>
        <v>37</v>
      </c>
      <c r="F390" s="197">
        <f t="shared" si="119"/>
        <v>388</v>
      </c>
      <c r="G390" s="197">
        <f t="shared" si="119"/>
        <v>1321</v>
      </c>
      <c r="H390" s="197">
        <f t="shared" si="119"/>
        <v>66</v>
      </c>
      <c r="I390" s="197" t="str">
        <f t="shared" si="119"/>
        <v>-</v>
      </c>
      <c r="J390" s="197" t="str">
        <f t="shared" si="119"/>
        <v>-</v>
      </c>
      <c r="K390" s="197">
        <f t="shared" si="119"/>
        <v>1812</v>
      </c>
      <c r="L390" s="182"/>
      <c r="M390" s="197" t="str">
        <f t="shared" ref="M390:S390" si="120">M40</f>
        <v>-</v>
      </c>
      <c r="N390" s="197">
        <f t="shared" si="120"/>
        <v>12</v>
      </c>
      <c r="O390" s="197">
        <f t="shared" si="120"/>
        <v>1479</v>
      </c>
      <c r="P390" s="197">
        <f t="shared" si="120"/>
        <v>4404</v>
      </c>
      <c r="Q390" s="197">
        <f t="shared" si="120"/>
        <v>213</v>
      </c>
      <c r="R390" s="197" t="str">
        <f t="shared" si="120"/>
        <v>-</v>
      </c>
      <c r="S390" s="203">
        <f t="shared" si="120"/>
        <v>6108</v>
      </c>
    </row>
    <row r="391" spans="1:19" s="366" customFormat="1" x14ac:dyDescent="0.2">
      <c r="A391" s="118">
        <v>2011</v>
      </c>
      <c r="B391" s="197" t="str">
        <f t="shared" ref="B391:K391" si="121">B41</f>
        <v>-</v>
      </c>
      <c r="C391" s="197" t="str">
        <f t="shared" si="121"/>
        <v>-</v>
      </c>
      <c r="D391" s="197" t="str">
        <f t="shared" si="121"/>
        <v>-</v>
      </c>
      <c r="E391" s="197">
        <f t="shared" si="121"/>
        <v>129</v>
      </c>
      <c r="F391" s="197">
        <f t="shared" si="121"/>
        <v>147</v>
      </c>
      <c r="G391" s="197">
        <f t="shared" si="121"/>
        <v>1264</v>
      </c>
      <c r="H391" s="197">
        <f t="shared" si="121"/>
        <v>79</v>
      </c>
      <c r="I391" s="197" t="str">
        <f t="shared" si="121"/>
        <v>-</v>
      </c>
      <c r="J391" s="197" t="str">
        <f t="shared" si="121"/>
        <v>-</v>
      </c>
      <c r="K391" s="197">
        <f t="shared" si="121"/>
        <v>1619</v>
      </c>
      <c r="L391" s="182"/>
      <c r="M391" s="197" t="str">
        <f t="shared" ref="M391:S391" si="122">M41</f>
        <v>-</v>
      </c>
      <c r="N391" s="197">
        <f t="shared" si="122"/>
        <v>178</v>
      </c>
      <c r="O391" s="197">
        <f t="shared" si="122"/>
        <v>981</v>
      </c>
      <c r="P391" s="197">
        <f t="shared" si="122"/>
        <v>4132</v>
      </c>
      <c r="Q391" s="197">
        <f t="shared" si="122"/>
        <v>755</v>
      </c>
      <c r="R391" s="197" t="str">
        <f t="shared" si="122"/>
        <v>-</v>
      </c>
      <c r="S391" s="203">
        <f t="shared" si="122"/>
        <v>6046</v>
      </c>
    </row>
    <row r="392" spans="1:19" s="366" customFormat="1" x14ac:dyDescent="0.2">
      <c r="A392" s="118">
        <v>2012</v>
      </c>
      <c r="B392" s="197" t="str">
        <f t="shared" ref="B392:K392" si="123">B42</f>
        <v>-</v>
      </c>
      <c r="C392" s="197" t="str">
        <f t="shared" si="123"/>
        <v>-</v>
      </c>
      <c r="D392" s="197" t="str">
        <f t="shared" si="123"/>
        <v>-</v>
      </c>
      <c r="E392" s="197">
        <f t="shared" si="123"/>
        <v>578</v>
      </c>
      <c r="F392" s="197">
        <f t="shared" si="123"/>
        <v>650</v>
      </c>
      <c r="G392" s="197">
        <f t="shared" si="123"/>
        <v>431</v>
      </c>
      <c r="H392" s="197">
        <f t="shared" si="123"/>
        <v>45</v>
      </c>
      <c r="I392" s="197" t="str">
        <f t="shared" si="123"/>
        <v>-</v>
      </c>
      <c r="J392" s="197" t="str">
        <f t="shared" si="123"/>
        <v>-</v>
      </c>
      <c r="K392" s="197">
        <f t="shared" si="123"/>
        <v>1704</v>
      </c>
      <c r="L392" s="182"/>
      <c r="M392" s="197" t="str">
        <f t="shared" ref="M392:S392" si="124">M42</f>
        <v>-</v>
      </c>
      <c r="N392" s="197">
        <f t="shared" si="124"/>
        <v>86</v>
      </c>
      <c r="O392" s="197">
        <f t="shared" si="124"/>
        <v>615</v>
      </c>
      <c r="P392" s="197">
        <f t="shared" si="124"/>
        <v>740</v>
      </c>
      <c r="Q392" s="197">
        <f t="shared" si="124"/>
        <v>231</v>
      </c>
      <c r="R392" s="197" t="str">
        <f t="shared" si="124"/>
        <v>-</v>
      </c>
      <c r="S392" s="203">
        <f t="shared" si="124"/>
        <v>1672</v>
      </c>
    </row>
    <row r="393" spans="1:19" s="366" customFormat="1" x14ac:dyDescent="0.2">
      <c r="A393" s="118">
        <v>2013</v>
      </c>
      <c r="B393" s="197" t="str">
        <f t="shared" ref="B393:K393" si="125">B43</f>
        <v>-</v>
      </c>
      <c r="C393" s="197" t="str">
        <f t="shared" si="125"/>
        <v>-</v>
      </c>
      <c r="D393" s="197" t="str">
        <f t="shared" si="125"/>
        <v>-</v>
      </c>
      <c r="E393" s="197">
        <f t="shared" si="125"/>
        <v>731</v>
      </c>
      <c r="F393" s="197">
        <f t="shared" si="125"/>
        <v>323</v>
      </c>
      <c r="G393" s="197">
        <f t="shared" si="125"/>
        <v>792</v>
      </c>
      <c r="H393" s="197">
        <f t="shared" si="125"/>
        <v>72</v>
      </c>
      <c r="I393" s="197" t="str">
        <f t="shared" si="125"/>
        <v>-</v>
      </c>
      <c r="J393" s="197" t="str">
        <f t="shared" si="125"/>
        <v>-</v>
      </c>
      <c r="K393" s="197">
        <f t="shared" si="125"/>
        <v>1918</v>
      </c>
      <c r="L393" s="182"/>
      <c r="M393" s="197" t="str">
        <f t="shared" ref="M393:S393" si="126">M43</f>
        <v>-</v>
      </c>
      <c r="N393" s="197">
        <f t="shared" si="126"/>
        <v>1143</v>
      </c>
      <c r="O393" s="197">
        <f t="shared" si="126"/>
        <v>991</v>
      </c>
      <c r="P393" s="197">
        <f t="shared" si="126"/>
        <v>1706</v>
      </c>
      <c r="Q393" s="197">
        <f t="shared" si="126"/>
        <v>173</v>
      </c>
      <c r="R393" s="197" t="str">
        <f t="shared" si="126"/>
        <v>-</v>
      </c>
      <c r="S393" s="203">
        <f t="shared" si="126"/>
        <v>4013</v>
      </c>
    </row>
    <row r="394" spans="1:19" s="366" customFormat="1" x14ac:dyDescent="0.2">
      <c r="A394" s="118">
        <v>2014</v>
      </c>
      <c r="B394" s="197" t="str">
        <f t="shared" ref="B394:K394" si="127">B44</f>
        <v>-</v>
      </c>
      <c r="C394" s="197" t="str">
        <f t="shared" si="127"/>
        <v>-</v>
      </c>
      <c r="D394" s="197">
        <f t="shared" si="127"/>
        <v>21</v>
      </c>
      <c r="E394" s="197">
        <f t="shared" si="127"/>
        <v>150</v>
      </c>
      <c r="F394" s="197">
        <f t="shared" si="127"/>
        <v>628</v>
      </c>
      <c r="G394" s="197">
        <f t="shared" si="127"/>
        <v>1402</v>
      </c>
      <c r="H394" s="197">
        <f t="shared" si="127"/>
        <v>105</v>
      </c>
      <c r="I394" s="197" t="str">
        <f t="shared" si="127"/>
        <v>-</v>
      </c>
      <c r="J394" s="197" t="str">
        <f t="shared" si="127"/>
        <v>-</v>
      </c>
      <c r="K394" s="197">
        <f t="shared" si="127"/>
        <v>2306</v>
      </c>
      <c r="L394" s="182"/>
      <c r="M394" s="197" t="str">
        <f t="shared" ref="M394:S394" si="128">M44</f>
        <v>-</v>
      </c>
      <c r="N394" s="197">
        <f t="shared" si="128"/>
        <v>391</v>
      </c>
      <c r="O394" s="197">
        <f t="shared" si="128"/>
        <v>5030</v>
      </c>
      <c r="P394" s="197">
        <f t="shared" si="128"/>
        <v>8503</v>
      </c>
      <c r="Q394" s="197">
        <f t="shared" si="128"/>
        <v>2816</v>
      </c>
      <c r="R394" s="197" t="str">
        <f t="shared" si="128"/>
        <v>-</v>
      </c>
      <c r="S394" s="203">
        <f t="shared" si="128"/>
        <v>16740</v>
      </c>
    </row>
    <row r="395" spans="1:19" s="366" customFormat="1" x14ac:dyDescent="0.2">
      <c r="A395" s="118">
        <v>2015</v>
      </c>
      <c r="B395" s="197" t="str">
        <f t="shared" ref="B395:K395" si="129">B45</f>
        <v>-</v>
      </c>
      <c r="C395" s="197" t="str">
        <f t="shared" si="129"/>
        <v>-</v>
      </c>
      <c r="D395" s="197">
        <f t="shared" si="129"/>
        <v>28</v>
      </c>
      <c r="E395" s="197">
        <f t="shared" si="129"/>
        <v>259</v>
      </c>
      <c r="F395" s="197">
        <f t="shared" si="129"/>
        <v>434</v>
      </c>
      <c r="G395" s="197">
        <f t="shared" si="129"/>
        <v>1030</v>
      </c>
      <c r="H395" s="197">
        <f t="shared" si="129"/>
        <v>1006</v>
      </c>
      <c r="I395" s="197" t="str">
        <f t="shared" si="129"/>
        <v>-</v>
      </c>
      <c r="J395" s="197" t="str">
        <f t="shared" si="129"/>
        <v>-</v>
      </c>
      <c r="K395" s="197">
        <f t="shared" si="129"/>
        <v>2757</v>
      </c>
      <c r="L395" s="182"/>
      <c r="M395" s="197" t="str">
        <f t="shared" ref="M395:S395" si="130">M45</f>
        <v>-</v>
      </c>
      <c r="N395" s="197">
        <f t="shared" si="130"/>
        <v>732</v>
      </c>
      <c r="O395" s="197">
        <f t="shared" si="130"/>
        <v>3764</v>
      </c>
      <c r="P395" s="197">
        <f t="shared" si="130"/>
        <v>2872</v>
      </c>
      <c r="Q395" s="197">
        <f t="shared" si="130"/>
        <v>1472</v>
      </c>
      <c r="R395" s="197" t="str">
        <f t="shared" si="130"/>
        <v>-</v>
      </c>
      <c r="S395" s="203">
        <f t="shared" si="130"/>
        <v>8840</v>
      </c>
    </row>
    <row r="396" spans="1:19" s="366" customFormat="1" x14ac:dyDescent="0.2">
      <c r="A396" s="118">
        <v>2016</v>
      </c>
      <c r="B396" s="197" t="str">
        <f t="shared" ref="B396:K396" si="131">B46</f>
        <v>-</v>
      </c>
      <c r="C396" s="197" t="str">
        <f t="shared" si="131"/>
        <v>-</v>
      </c>
      <c r="D396" s="197" t="str">
        <f t="shared" si="131"/>
        <v>-</v>
      </c>
      <c r="E396" s="197" t="str">
        <f t="shared" si="131"/>
        <v>-</v>
      </c>
      <c r="F396" s="197">
        <f t="shared" si="131"/>
        <v>653</v>
      </c>
      <c r="G396" s="197">
        <f t="shared" si="131"/>
        <v>387</v>
      </c>
      <c r="H396" s="197" t="str">
        <f t="shared" si="131"/>
        <v>-</v>
      </c>
      <c r="I396" s="197" t="str">
        <f t="shared" si="131"/>
        <v>-</v>
      </c>
      <c r="J396" s="197" t="str">
        <f t="shared" si="131"/>
        <v>-</v>
      </c>
      <c r="K396" s="197">
        <f t="shared" si="131"/>
        <v>1040</v>
      </c>
      <c r="L396" s="182"/>
      <c r="M396" s="197" t="str">
        <f t="shared" ref="M396:S396" si="132">M46</f>
        <v>-</v>
      </c>
      <c r="N396" s="197" t="str">
        <f t="shared" si="132"/>
        <v>-</v>
      </c>
      <c r="O396" s="197">
        <f t="shared" si="132"/>
        <v>915</v>
      </c>
      <c r="P396" s="197">
        <f t="shared" si="132"/>
        <v>1739</v>
      </c>
      <c r="Q396" s="197" t="str">
        <f t="shared" si="132"/>
        <v>-</v>
      </c>
      <c r="R396" s="197" t="str">
        <f t="shared" si="132"/>
        <v>-</v>
      </c>
      <c r="S396" s="203">
        <f t="shared" si="132"/>
        <v>2654</v>
      </c>
    </row>
    <row r="397" spans="1:19" s="366" customFormat="1" x14ac:dyDescent="0.2">
      <c r="A397" s="118">
        <v>2017</v>
      </c>
      <c r="B397" s="197" t="str">
        <f t="shared" ref="B397:K397" si="133">B47</f>
        <v>-</v>
      </c>
      <c r="C397" s="197" t="str">
        <f t="shared" si="133"/>
        <v>-</v>
      </c>
      <c r="D397" s="197" t="str">
        <f t="shared" si="133"/>
        <v>-</v>
      </c>
      <c r="E397" s="197">
        <f t="shared" si="133"/>
        <v>330</v>
      </c>
      <c r="F397" s="197">
        <f t="shared" si="133"/>
        <v>567</v>
      </c>
      <c r="G397" s="197">
        <f t="shared" si="133"/>
        <v>1011</v>
      </c>
      <c r="H397" s="197" t="str">
        <f t="shared" si="133"/>
        <v>-</v>
      </c>
      <c r="I397" s="197" t="str">
        <f t="shared" si="133"/>
        <v>-</v>
      </c>
      <c r="J397" s="197" t="str">
        <f t="shared" si="133"/>
        <v>-</v>
      </c>
      <c r="K397" s="197">
        <f t="shared" si="133"/>
        <v>1908</v>
      </c>
      <c r="L397" s="182"/>
      <c r="M397" s="197" t="str">
        <f t="shared" ref="M397:S397" si="134">M47</f>
        <v>-</v>
      </c>
      <c r="N397" s="197">
        <f t="shared" si="134"/>
        <v>13</v>
      </c>
      <c r="O397" s="197">
        <f t="shared" si="134"/>
        <v>2249</v>
      </c>
      <c r="P397" s="197">
        <f t="shared" si="134"/>
        <v>4308</v>
      </c>
      <c r="Q397" s="197" t="str">
        <f t="shared" si="134"/>
        <v>-</v>
      </c>
      <c r="R397" s="197" t="str">
        <f t="shared" si="134"/>
        <v>-</v>
      </c>
      <c r="S397" s="203">
        <f t="shared" si="134"/>
        <v>6570</v>
      </c>
    </row>
    <row r="398" spans="1:19" s="366" customFormat="1" x14ac:dyDescent="0.2">
      <c r="A398" s="118">
        <v>2018</v>
      </c>
      <c r="B398" s="197" t="str">
        <f t="shared" ref="B398:K398" si="135">B48</f>
        <v>-</v>
      </c>
      <c r="C398" s="197" t="str">
        <f t="shared" si="135"/>
        <v>-</v>
      </c>
      <c r="D398" s="197" t="str">
        <f t="shared" si="135"/>
        <v>-</v>
      </c>
      <c r="E398" s="197">
        <f t="shared" si="135"/>
        <v>120</v>
      </c>
      <c r="F398" s="197">
        <f t="shared" si="135"/>
        <v>150</v>
      </c>
      <c r="G398" s="197">
        <f t="shared" si="135"/>
        <v>415</v>
      </c>
      <c r="H398" s="197">
        <f t="shared" si="135"/>
        <v>4</v>
      </c>
      <c r="I398" s="197" t="str">
        <f t="shared" si="135"/>
        <v>-</v>
      </c>
      <c r="J398" s="197" t="str">
        <f t="shared" si="135"/>
        <v>-</v>
      </c>
      <c r="K398" s="197">
        <f t="shared" si="135"/>
        <v>689</v>
      </c>
      <c r="L398" s="182"/>
      <c r="M398" s="197" t="str">
        <f t="shared" ref="M398:S398" si="136">M48</f>
        <v>-</v>
      </c>
      <c r="N398" s="197">
        <f t="shared" si="136"/>
        <v>36</v>
      </c>
      <c r="O398" s="197">
        <f t="shared" si="136"/>
        <v>1393</v>
      </c>
      <c r="P398" s="197">
        <f t="shared" si="136"/>
        <v>5680</v>
      </c>
      <c r="Q398" s="197">
        <f t="shared" si="136"/>
        <v>19</v>
      </c>
      <c r="R398" s="197" t="str">
        <f t="shared" si="136"/>
        <v>-</v>
      </c>
      <c r="S398" s="203">
        <f t="shared" si="136"/>
        <v>7128</v>
      </c>
    </row>
    <row r="399" spans="1:19" s="489" customFormat="1" x14ac:dyDescent="0.2">
      <c r="A399" s="118">
        <v>2019</v>
      </c>
      <c r="B399" s="197" t="str">
        <f t="shared" ref="B399:K400" si="137">B49</f>
        <v>-</v>
      </c>
      <c r="C399" s="197" t="str">
        <f t="shared" si="137"/>
        <v>-</v>
      </c>
      <c r="D399" s="197" t="str">
        <f t="shared" si="137"/>
        <v>-</v>
      </c>
      <c r="E399" s="197">
        <f t="shared" si="137"/>
        <v>104</v>
      </c>
      <c r="F399" s="197">
        <f t="shared" si="137"/>
        <v>668</v>
      </c>
      <c r="G399" s="197">
        <f t="shared" si="137"/>
        <v>485</v>
      </c>
      <c r="H399" s="197">
        <f t="shared" si="137"/>
        <v>38</v>
      </c>
      <c r="I399" s="197" t="str">
        <f t="shared" si="137"/>
        <v>-</v>
      </c>
      <c r="J399" s="197" t="str">
        <f t="shared" si="137"/>
        <v>-</v>
      </c>
      <c r="K399" s="197">
        <f t="shared" si="137"/>
        <v>1295</v>
      </c>
      <c r="L399" s="182"/>
      <c r="M399" s="197" t="str">
        <f t="shared" ref="M399:S400" si="138">M49</f>
        <v>-</v>
      </c>
      <c r="N399" s="197">
        <f t="shared" si="138"/>
        <v>1852</v>
      </c>
      <c r="O399" s="197">
        <f t="shared" si="138"/>
        <v>6548</v>
      </c>
      <c r="P399" s="197">
        <f t="shared" si="138"/>
        <v>8543</v>
      </c>
      <c r="Q399" s="197">
        <f t="shared" si="138"/>
        <v>281</v>
      </c>
      <c r="R399" s="197" t="str">
        <f t="shared" si="138"/>
        <v>-</v>
      </c>
      <c r="S399" s="203">
        <f t="shared" si="138"/>
        <v>17224</v>
      </c>
    </row>
    <row r="400" spans="1:19" x14ac:dyDescent="0.2">
      <c r="A400" s="118" t="s">
        <v>393</v>
      </c>
      <c r="B400" s="197" t="str">
        <f t="shared" si="137"/>
        <v>-</v>
      </c>
      <c r="C400" s="197" t="str">
        <f t="shared" si="137"/>
        <v>-</v>
      </c>
      <c r="D400" s="197" t="str">
        <f t="shared" si="137"/>
        <v>-</v>
      </c>
      <c r="E400" s="197">
        <f t="shared" si="137"/>
        <v>11</v>
      </c>
      <c r="F400" s="197">
        <f t="shared" si="137"/>
        <v>140</v>
      </c>
      <c r="G400" s="197" t="str">
        <f t="shared" si="137"/>
        <v>-</v>
      </c>
      <c r="H400" s="197" t="str">
        <f t="shared" si="137"/>
        <v>-</v>
      </c>
      <c r="I400" s="197" t="str">
        <f t="shared" si="137"/>
        <v>-</v>
      </c>
      <c r="J400" s="197" t="str">
        <f t="shared" si="137"/>
        <v>-</v>
      </c>
      <c r="K400" s="197">
        <f t="shared" si="137"/>
        <v>151</v>
      </c>
      <c r="L400" s="182"/>
      <c r="M400" s="197" t="str">
        <f t="shared" si="138"/>
        <v>-</v>
      </c>
      <c r="N400" s="197">
        <f t="shared" si="138"/>
        <v>0</v>
      </c>
      <c r="O400" s="197">
        <f t="shared" si="138"/>
        <v>3724</v>
      </c>
      <c r="P400" s="197" t="str">
        <f t="shared" si="138"/>
        <v>-</v>
      </c>
      <c r="Q400" s="197" t="str">
        <f t="shared" si="138"/>
        <v>-</v>
      </c>
      <c r="R400" s="197" t="str">
        <f t="shared" si="138"/>
        <v>-</v>
      </c>
      <c r="S400" s="203">
        <f t="shared" si="138"/>
        <v>3724</v>
      </c>
    </row>
    <row r="401" spans="1:19" x14ac:dyDescent="0.2">
      <c r="A401" s="348"/>
      <c r="B401" s="197"/>
      <c r="C401" s="197"/>
      <c r="D401" s="197"/>
      <c r="E401" s="197"/>
      <c r="F401" s="197"/>
      <c r="G401" s="197"/>
      <c r="H401" s="197"/>
      <c r="I401" s="197"/>
      <c r="J401" s="197"/>
      <c r="K401" s="197"/>
      <c r="L401" s="182"/>
      <c r="M401" s="197"/>
      <c r="N401" s="197"/>
      <c r="O401" s="197"/>
      <c r="P401" s="197"/>
      <c r="Q401" s="197"/>
      <c r="R401" s="197"/>
      <c r="S401" s="203"/>
    </row>
    <row r="402" spans="1:19" x14ac:dyDescent="0.2">
      <c r="A402" s="159" t="str">
        <f>A52</f>
        <v>Tillamook</v>
      </c>
      <c r="B402" s="197"/>
      <c r="C402" s="197"/>
      <c r="D402" s="197"/>
      <c r="E402" s="197"/>
      <c r="F402" s="197"/>
      <c r="G402" s="197"/>
      <c r="H402" s="197"/>
      <c r="I402" s="197"/>
      <c r="J402" s="197"/>
      <c r="K402" s="197"/>
      <c r="L402" s="182"/>
      <c r="M402" s="197"/>
      <c r="N402" s="197"/>
      <c r="O402" s="197"/>
      <c r="P402" s="197"/>
      <c r="Q402" s="197"/>
      <c r="R402" s="197"/>
      <c r="S402" s="203"/>
    </row>
    <row r="403" spans="1:19" x14ac:dyDescent="0.2">
      <c r="A403" s="348" t="s">
        <v>30</v>
      </c>
      <c r="B403" s="197" t="str">
        <f t="shared" ref="B403:C405" si="139">B54</f>
        <v>-</v>
      </c>
      <c r="C403" s="197">
        <f t="shared" si="139"/>
        <v>0</v>
      </c>
      <c r="D403" s="197">
        <f t="shared" ref="D403:K403" si="140">AVERAGE(D58:D62)</f>
        <v>18</v>
      </c>
      <c r="E403" s="197">
        <f t="shared" si="140"/>
        <v>28.4</v>
      </c>
      <c r="F403" s="197">
        <f t="shared" si="140"/>
        <v>790.4</v>
      </c>
      <c r="G403" s="197">
        <f t="shared" si="140"/>
        <v>582.20000000000005</v>
      </c>
      <c r="H403" s="197">
        <f t="shared" si="140"/>
        <v>116.8</v>
      </c>
      <c r="I403" s="197">
        <f t="shared" si="140"/>
        <v>42</v>
      </c>
      <c r="J403" s="197" t="str">
        <f>J54</f>
        <v>-</v>
      </c>
      <c r="K403" s="197">
        <f t="shared" si="140"/>
        <v>1533.4</v>
      </c>
      <c r="L403" s="182"/>
      <c r="M403" s="197">
        <f t="shared" ref="M403:S403" si="141">AVERAGE(M58:M62)</f>
        <v>88.666666666666671</v>
      </c>
      <c r="N403" s="197">
        <f t="shared" si="141"/>
        <v>855</v>
      </c>
      <c r="O403" s="197">
        <f t="shared" si="141"/>
        <v>10321.200000000001</v>
      </c>
      <c r="P403" s="197">
        <f t="shared" si="141"/>
        <v>8670.7999999999993</v>
      </c>
      <c r="Q403" s="197">
        <f t="shared" si="141"/>
        <v>765.5</v>
      </c>
      <c r="R403" s="197">
        <f>R54</f>
        <v>3</v>
      </c>
      <c r="S403" s="203">
        <f t="shared" si="141"/>
        <v>20170.599999999999</v>
      </c>
    </row>
    <row r="404" spans="1:19" x14ac:dyDescent="0.2">
      <c r="A404" s="348" t="s">
        <v>87</v>
      </c>
      <c r="B404" s="197" t="str">
        <f t="shared" si="139"/>
        <v>-</v>
      </c>
      <c r="C404" s="197">
        <f t="shared" si="139"/>
        <v>0</v>
      </c>
      <c r="D404" s="197">
        <f t="shared" ref="D404:K404" si="142">AVERAGE(D63:D67)</f>
        <v>9.6666666666666661</v>
      </c>
      <c r="E404" s="197">
        <f t="shared" si="142"/>
        <v>67</v>
      </c>
      <c r="F404" s="197">
        <f t="shared" si="142"/>
        <v>441.4</v>
      </c>
      <c r="G404" s="197">
        <f t="shared" si="142"/>
        <v>863.6</v>
      </c>
      <c r="H404" s="197">
        <f t="shared" si="142"/>
        <v>485.75</v>
      </c>
      <c r="I404" s="422" t="s">
        <v>116</v>
      </c>
      <c r="J404" s="422" t="s">
        <v>116</v>
      </c>
      <c r="K404" s="197">
        <f t="shared" si="142"/>
        <v>1766.4</v>
      </c>
      <c r="L404" s="182"/>
      <c r="M404" s="197">
        <f t="shared" ref="M404:S404" si="143">AVERAGE(M63:M67)</f>
        <v>29</v>
      </c>
      <c r="N404" s="197">
        <f t="shared" si="143"/>
        <v>1993</v>
      </c>
      <c r="O404" s="197">
        <f t="shared" si="143"/>
        <v>12423</v>
      </c>
      <c r="P404" s="197">
        <f t="shared" si="143"/>
        <v>8725.6</v>
      </c>
      <c r="Q404" s="197">
        <f t="shared" si="143"/>
        <v>1827</v>
      </c>
      <c r="R404" s="197">
        <f>R55</f>
        <v>63</v>
      </c>
      <c r="S404" s="203">
        <f t="shared" si="143"/>
        <v>24620.6</v>
      </c>
    </row>
    <row r="405" spans="1:19" x14ac:dyDescent="0.2">
      <c r="A405" s="348" t="s">
        <v>14</v>
      </c>
      <c r="B405" s="197" t="str">
        <f t="shared" si="139"/>
        <v>-</v>
      </c>
      <c r="C405" s="197" t="str">
        <f t="shared" si="139"/>
        <v>-</v>
      </c>
      <c r="D405" s="197">
        <f t="shared" ref="D405:I405" si="144">AVERAGE(D68:D72)</f>
        <v>62.4</v>
      </c>
      <c r="E405" s="197">
        <f t="shared" si="144"/>
        <v>140.19999999999999</v>
      </c>
      <c r="F405" s="197">
        <f t="shared" si="144"/>
        <v>380</v>
      </c>
      <c r="G405" s="197">
        <f t="shared" si="144"/>
        <v>185.5</v>
      </c>
      <c r="H405" s="197">
        <f t="shared" si="144"/>
        <v>169</v>
      </c>
      <c r="I405" s="197">
        <f t="shared" si="144"/>
        <v>1236.5</v>
      </c>
      <c r="J405" s="197" t="str">
        <f>J56</f>
        <v>-</v>
      </c>
      <c r="K405" s="197">
        <f>AVERAGE(K68:K72)</f>
        <v>1083.8</v>
      </c>
      <c r="L405" s="182"/>
      <c r="M405" s="197">
        <f>AVERAGE(M68:M72)</f>
        <v>25.666666666666668</v>
      </c>
      <c r="N405" s="197">
        <f>AVERAGE(N68:N72)</f>
        <v>1456.6666666666667</v>
      </c>
      <c r="O405" s="197">
        <f>AVERAGE(O68:O72)</f>
        <v>11796.333333333334</v>
      </c>
      <c r="P405" s="197">
        <f>AVERAGE(P68:P72)</f>
        <v>3732</v>
      </c>
      <c r="Q405" s="197">
        <f>AVERAGE(Q68:Q72)</f>
        <v>717</v>
      </c>
      <c r="R405" s="197" t="str">
        <f>R56</f>
        <v>-</v>
      </c>
      <c r="S405" s="203">
        <f>AVERAGE(S68:S72)</f>
        <v>12183.5</v>
      </c>
    </row>
    <row r="406" spans="1:19" x14ac:dyDescent="0.2">
      <c r="A406" s="348" t="s">
        <v>207</v>
      </c>
      <c r="B406" s="197" t="str">
        <f>B61</f>
        <v>-</v>
      </c>
      <c r="C406" s="197" t="str">
        <f>C61</f>
        <v>-</v>
      </c>
      <c r="D406" s="197">
        <f t="shared" ref="D406:I406" si="145">AVERAGE(D73:D77)</f>
        <v>70.400000000000006</v>
      </c>
      <c r="E406" s="197">
        <f t="shared" si="145"/>
        <v>9.8000000000000007</v>
      </c>
      <c r="F406" s="197">
        <f t="shared" si="145"/>
        <v>65.400000000000006</v>
      </c>
      <c r="G406" s="197">
        <f t="shared" si="145"/>
        <v>31.4</v>
      </c>
      <c r="H406" s="197">
        <f t="shared" si="145"/>
        <v>501.8</v>
      </c>
      <c r="I406" s="197">
        <f t="shared" si="145"/>
        <v>494.4</v>
      </c>
      <c r="J406" s="422" t="s">
        <v>116</v>
      </c>
      <c r="K406" s="197">
        <f>AVERAGE(K73:K77)</f>
        <v>1187.8</v>
      </c>
      <c r="L406" s="182"/>
      <c r="M406" s="197" t="s">
        <v>29</v>
      </c>
      <c r="N406" s="197" t="s">
        <v>29</v>
      </c>
      <c r="O406" s="197">
        <f>AVERAGE(O73:O77)</f>
        <v>976</v>
      </c>
      <c r="P406" s="197">
        <f>AVERAGE(P73:P77)</f>
        <v>6.25</v>
      </c>
      <c r="Q406" s="197">
        <f>AVERAGE(Q73:Q77)</f>
        <v>8.6</v>
      </c>
      <c r="R406" s="197" t="str">
        <f>R61</f>
        <v>-</v>
      </c>
      <c r="S406" s="203">
        <f>AVERAGE(S73:S77)</f>
        <v>601.79999999999995</v>
      </c>
    </row>
    <row r="407" spans="1:19" x14ac:dyDescent="0.2">
      <c r="A407" s="118" t="s">
        <v>238</v>
      </c>
      <c r="B407" s="197">
        <f>AVERAGE(B78:B82)</f>
        <v>6</v>
      </c>
      <c r="C407" s="197">
        <f>AVERAGE(C78:C82)</f>
        <v>4</v>
      </c>
      <c r="D407" s="197">
        <f>AVERAGE(D78:D82)</f>
        <v>51.2</v>
      </c>
      <c r="E407" s="197">
        <f t="shared" ref="E407:K407" si="146">AVERAGE(E78:E82)</f>
        <v>330.8</v>
      </c>
      <c r="F407" s="197">
        <f t="shared" si="146"/>
        <v>1890.2</v>
      </c>
      <c r="G407" s="197">
        <f t="shared" si="146"/>
        <v>1239.8</v>
      </c>
      <c r="H407" s="197">
        <f t="shared" si="146"/>
        <v>1181.4000000000001</v>
      </c>
      <c r="I407" s="197">
        <f t="shared" si="146"/>
        <v>939.4</v>
      </c>
      <c r="J407" s="197">
        <f t="shared" si="146"/>
        <v>31.2</v>
      </c>
      <c r="K407" s="197">
        <f t="shared" si="146"/>
        <v>5668.4</v>
      </c>
      <c r="L407" s="182"/>
      <c r="M407" s="197">
        <f>AVERAGE(M78:M82)</f>
        <v>2</v>
      </c>
      <c r="N407" s="197">
        <f t="shared" ref="N407:S407" si="147">AVERAGE(N78:N82)</f>
        <v>1663.25</v>
      </c>
      <c r="O407" s="197">
        <f t="shared" si="147"/>
        <v>7353.6</v>
      </c>
      <c r="P407" s="197">
        <f t="shared" si="147"/>
        <v>2212.1999999999998</v>
      </c>
      <c r="Q407" s="197">
        <f t="shared" si="147"/>
        <v>65.8</v>
      </c>
      <c r="R407" s="197">
        <f t="shared" si="147"/>
        <v>20.25</v>
      </c>
      <c r="S407" s="46">
        <f t="shared" si="147"/>
        <v>10978.8</v>
      </c>
    </row>
    <row r="408" spans="1:19" x14ac:dyDescent="0.2">
      <c r="A408" s="118">
        <v>2006</v>
      </c>
      <c r="B408" s="197">
        <f t="shared" ref="B408:K408" si="148">B83</f>
        <v>0</v>
      </c>
      <c r="C408" s="197">
        <f t="shared" si="148"/>
        <v>0</v>
      </c>
      <c r="D408" s="197">
        <f t="shared" si="148"/>
        <v>40</v>
      </c>
      <c r="E408" s="197">
        <f t="shared" si="148"/>
        <v>75</v>
      </c>
      <c r="F408" s="197">
        <f t="shared" si="148"/>
        <v>204</v>
      </c>
      <c r="G408" s="197">
        <f t="shared" si="148"/>
        <v>14</v>
      </c>
      <c r="H408" s="197">
        <f t="shared" si="148"/>
        <v>1079</v>
      </c>
      <c r="I408" s="197">
        <f t="shared" si="148"/>
        <v>1944</v>
      </c>
      <c r="J408" s="197">
        <f t="shared" si="148"/>
        <v>49</v>
      </c>
      <c r="K408" s="197">
        <f t="shared" si="148"/>
        <v>3405</v>
      </c>
      <c r="L408" s="182"/>
      <c r="M408" s="197" t="str">
        <f t="shared" ref="M408:S408" si="149">M83</f>
        <v>-</v>
      </c>
      <c r="N408" s="197">
        <f t="shared" si="149"/>
        <v>184</v>
      </c>
      <c r="O408" s="197">
        <f t="shared" si="149"/>
        <v>1055</v>
      </c>
      <c r="P408" s="197" t="str">
        <f t="shared" si="149"/>
        <v>-</v>
      </c>
      <c r="Q408" s="197">
        <f t="shared" si="149"/>
        <v>119</v>
      </c>
      <c r="R408" s="197" t="str">
        <f t="shared" si="149"/>
        <v>-</v>
      </c>
      <c r="S408" s="203">
        <f t="shared" si="149"/>
        <v>1358</v>
      </c>
    </row>
    <row r="409" spans="1:19" s="366" customFormat="1" x14ac:dyDescent="0.2">
      <c r="A409" s="118">
        <v>2007</v>
      </c>
      <c r="B409" s="197" t="str">
        <f t="shared" ref="B409:K409" si="150">B84</f>
        <v>-</v>
      </c>
      <c r="C409" s="197">
        <f t="shared" si="150"/>
        <v>0</v>
      </c>
      <c r="D409" s="197">
        <f t="shared" si="150"/>
        <v>41</v>
      </c>
      <c r="E409" s="197">
        <f t="shared" si="150"/>
        <v>58</v>
      </c>
      <c r="F409" s="197">
        <f t="shared" si="150"/>
        <v>109</v>
      </c>
      <c r="G409" s="197">
        <f t="shared" si="150"/>
        <v>241</v>
      </c>
      <c r="H409" s="197">
        <f t="shared" si="150"/>
        <v>507</v>
      </c>
      <c r="I409" s="197">
        <f t="shared" si="150"/>
        <v>474</v>
      </c>
      <c r="J409" s="197" t="str">
        <f t="shared" si="150"/>
        <v>--</v>
      </c>
      <c r="K409" s="197">
        <f t="shared" si="150"/>
        <v>1430</v>
      </c>
      <c r="L409" s="182"/>
      <c r="M409" s="197">
        <f t="shared" ref="M409:S409" si="151">M84</f>
        <v>2</v>
      </c>
      <c r="N409" s="197">
        <f t="shared" si="151"/>
        <v>1206</v>
      </c>
      <c r="O409" s="197">
        <f t="shared" si="151"/>
        <v>4305</v>
      </c>
      <c r="P409" s="197">
        <f t="shared" si="151"/>
        <v>6926</v>
      </c>
      <c r="Q409" s="197">
        <f t="shared" si="151"/>
        <v>124</v>
      </c>
      <c r="R409" s="197" t="str">
        <f t="shared" si="151"/>
        <v>-</v>
      </c>
      <c r="S409" s="203">
        <f t="shared" si="151"/>
        <v>12563</v>
      </c>
    </row>
    <row r="410" spans="1:19" s="366" customFormat="1" x14ac:dyDescent="0.2">
      <c r="A410" s="118">
        <v>2008</v>
      </c>
      <c r="B410" s="197" t="str">
        <f t="shared" ref="B410:K410" si="152">B85</f>
        <v>-</v>
      </c>
      <c r="C410" s="197" t="str">
        <f t="shared" si="152"/>
        <v>-</v>
      </c>
      <c r="D410" s="197" t="str">
        <f t="shared" si="152"/>
        <v>-</v>
      </c>
      <c r="E410" s="197">
        <f t="shared" si="152"/>
        <v>2</v>
      </c>
      <c r="F410" s="197" t="str">
        <f t="shared" si="152"/>
        <v>-</v>
      </c>
      <c r="G410" s="197">
        <f t="shared" si="152"/>
        <v>3</v>
      </c>
      <c r="H410" s="197">
        <f t="shared" si="152"/>
        <v>262</v>
      </c>
      <c r="I410" s="197">
        <f t="shared" si="152"/>
        <v>201</v>
      </c>
      <c r="J410" s="197" t="str">
        <f t="shared" si="152"/>
        <v>--</v>
      </c>
      <c r="K410" s="197">
        <f t="shared" si="152"/>
        <v>468</v>
      </c>
      <c r="L410" s="182"/>
      <c r="M410" s="197" t="str">
        <f t="shared" ref="M410:S410" si="153">M85</f>
        <v>-</v>
      </c>
      <c r="N410" s="197">
        <f t="shared" si="153"/>
        <v>43</v>
      </c>
      <c r="O410" s="197">
        <f t="shared" si="153"/>
        <v>220</v>
      </c>
      <c r="P410" s="197">
        <f t="shared" si="153"/>
        <v>930</v>
      </c>
      <c r="Q410" s="197">
        <f t="shared" si="153"/>
        <v>45</v>
      </c>
      <c r="R410" s="197">
        <f t="shared" si="153"/>
        <v>3</v>
      </c>
      <c r="S410" s="203">
        <f t="shared" si="153"/>
        <v>1241</v>
      </c>
    </row>
    <row r="411" spans="1:19" s="366" customFormat="1" x14ac:dyDescent="0.2">
      <c r="A411" s="118">
        <v>2009</v>
      </c>
      <c r="B411" s="197" t="str">
        <f t="shared" ref="B411:K411" si="154">B86</f>
        <v>-</v>
      </c>
      <c r="C411" s="197" t="str">
        <f t="shared" si="154"/>
        <v>-</v>
      </c>
      <c r="D411" s="197" t="str">
        <f t="shared" si="154"/>
        <v>-</v>
      </c>
      <c r="E411" s="197">
        <f t="shared" si="154"/>
        <v>4</v>
      </c>
      <c r="F411" s="197">
        <f t="shared" si="154"/>
        <v>23</v>
      </c>
      <c r="G411" s="197">
        <f t="shared" si="154"/>
        <v>20</v>
      </c>
      <c r="H411" s="197">
        <f t="shared" si="154"/>
        <v>92</v>
      </c>
      <c r="I411" s="197">
        <f t="shared" si="154"/>
        <v>226</v>
      </c>
      <c r="J411" s="197" t="str">
        <f t="shared" si="154"/>
        <v>-</v>
      </c>
      <c r="K411" s="197">
        <f t="shared" si="154"/>
        <v>365</v>
      </c>
      <c r="L411" s="182"/>
      <c r="M411" s="197" t="str">
        <f t="shared" ref="M411:S411" si="155">M86</f>
        <v>-</v>
      </c>
      <c r="N411" s="197">
        <f t="shared" si="155"/>
        <v>1141</v>
      </c>
      <c r="O411" s="197">
        <f t="shared" si="155"/>
        <v>12672</v>
      </c>
      <c r="P411" s="197">
        <f t="shared" si="155"/>
        <v>9456</v>
      </c>
      <c r="Q411" s="197">
        <f t="shared" si="155"/>
        <v>310</v>
      </c>
      <c r="R411" s="197">
        <f t="shared" si="155"/>
        <v>6</v>
      </c>
      <c r="S411" s="203">
        <f t="shared" si="155"/>
        <v>23585</v>
      </c>
    </row>
    <row r="412" spans="1:19" s="366" customFormat="1" x14ac:dyDescent="0.2">
      <c r="A412" s="118">
        <v>2010</v>
      </c>
      <c r="B412" s="197" t="str">
        <f t="shared" ref="B412:K412" si="156">B87</f>
        <v>-</v>
      </c>
      <c r="C412" s="197" t="str">
        <f t="shared" si="156"/>
        <v>-</v>
      </c>
      <c r="D412" s="197">
        <f t="shared" si="156"/>
        <v>12</v>
      </c>
      <c r="E412" s="197">
        <f t="shared" si="156"/>
        <v>72</v>
      </c>
      <c r="F412" s="197">
        <f t="shared" si="156"/>
        <v>112</v>
      </c>
      <c r="G412" s="197">
        <f t="shared" si="156"/>
        <v>190</v>
      </c>
      <c r="H412" s="197">
        <f t="shared" si="156"/>
        <v>323</v>
      </c>
      <c r="I412" s="197">
        <f t="shared" si="156"/>
        <v>122</v>
      </c>
      <c r="J412" s="197" t="str">
        <f t="shared" si="156"/>
        <v>-</v>
      </c>
      <c r="K412" s="197">
        <f t="shared" si="156"/>
        <v>831</v>
      </c>
      <c r="L412" s="182"/>
      <c r="M412" s="197" t="str">
        <f t="shared" ref="M412:S412" si="157">M87</f>
        <v>-</v>
      </c>
      <c r="N412" s="197">
        <f t="shared" si="157"/>
        <v>323</v>
      </c>
      <c r="O412" s="197">
        <f t="shared" si="157"/>
        <v>1392</v>
      </c>
      <c r="P412" s="197">
        <f t="shared" si="157"/>
        <v>1390</v>
      </c>
      <c r="Q412" s="197">
        <f t="shared" si="157"/>
        <v>268</v>
      </c>
      <c r="R412" s="197" t="str">
        <f t="shared" si="157"/>
        <v>-</v>
      </c>
      <c r="S412" s="203">
        <f t="shared" si="157"/>
        <v>3373</v>
      </c>
    </row>
    <row r="413" spans="1:19" s="366" customFormat="1" x14ac:dyDescent="0.2">
      <c r="A413" s="118">
        <v>2011</v>
      </c>
      <c r="B413" s="197">
        <f t="shared" ref="B413:K413" si="158">B88</f>
        <v>0</v>
      </c>
      <c r="C413" s="197">
        <f t="shared" si="158"/>
        <v>0</v>
      </c>
      <c r="D413" s="197">
        <f t="shared" si="158"/>
        <v>4</v>
      </c>
      <c r="E413" s="197">
        <f t="shared" si="158"/>
        <v>29</v>
      </c>
      <c r="F413" s="197">
        <f t="shared" si="158"/>
        <v>128</v>
      </c>
      <c r="G413" s="197">
        <f t="shared" si="158"/>
        <v>182</v>
      </c>
      <c r="H413" s="197">
        <f t="shared" si="158"/>
        <v>574</v>
      </c>
      <c r="I413" s="197">
        <f t="shared" si="158"/>
        <v>207</v>
      </c>
      <c r="J413" s="197" t="str">
        <f t="shared" si="158"/>
        <v>-</v>
      </c>
      <c r="K413" s="197">
        <f t="shared" si="158"/>
        <v>1124</v>
      </c>
      <c r="L413" s="182"/>
      <c r="M413" s="197" t="str">
        <f t="shared" ref="M413:S413" si="159">M88</f>
        <v>-</v>
      </c>
      <c r="N413" s="197">
        <f t="shared" si="159"/>
        <v>366</v>
      </c>
      <c r="O413" s="197">
        <f t="shared" si="159"/>
        <v>1535</v>
      </c>
      <c r="P413" s="197">
        <f t="shared" si="159"/>
        <v>1288</v>
      </c>
      <c r="Q413" s="197">
        <f t="shared" si="159"/>
        <v>2532</v>
      </c>
      <c r="R413" s="197" t="str">
        <f t="shared" si="159"/>
        <v>-</v>
      </c>
      <c r="S413" s="203">
        <f t="shared" si="159"/>
        <v>5721</v>
      </c>
    </row>
    <row r="414" spans="1:19" s="366" customFormat="1" x14ac:dyDescent="0.2">
      <c r="A414" s="118">
        <v>2012</v>
      </c>
      <c r="B414" s="197">
        <f t="shared" ref="B414:K414" si="160">B89</f>
        <v>0</v>
      </c>
      <c r="C414" s="197">
        <f t="shared" si="160"/>
        <v>1</v>
      </c>
      <c r="D414" s="197">
        <f t="shared" si="160"/>
        <v>79</v>
      </c>
      <c r="E414" s="197">
        <f t="shared" si="160"/>
        <v>102</v>
      </c>
      <c r="F414" s="197">
        <f t="shared" si="160"/>
        <v>133</v>
      </c>
      <c r="G414" s="197">
        <f t="shared" si="160"/>
        <v>429</v>
      </c>
      <c r="H414" s="197">
        <f t="shared" si="160"/>
        <v>1008</v>
      </c>
      <c r="I414" s="197">
        <f t="shared" si="160"/>
        <v>419</v>
      </c>
      <c r="J414" s="197" t="str">
        <f t="shared" si="160"/>
        <v>-</v>
      </c>
      <c r="K414" s="197">
        <f t="shared" si="160"/>
        <v>2171</v>
      </c>
      <c r="L414" s="182"/>
      <c r="M414" s="197" t="str">
        <f t="shared" ref="M414:S414" si="161">M89</f>
        <v>-</v>
      </c>
      <c r="N414" s="197">
        <f t="shared" si="161"/>
        <v>13</v>
      </c>
      <c r="O414" s="197">
        <f t="shared" si="161"/>
        <v>423</v>
      </c>
      <c r="P414" s="197">
        <f t="shared" si="161"/>
        <v>1302</v>
      </c>
      <c r="Q414" s="197">
        <f t="shared" si="161"/>
        <v>1424</v>
      </c>
      <c r="R414" s="197" t="str">
        <f t="shared" si="161"/>
        <v>-</v>
      </c>
      <c r="S414" s="203">
        <f t="shared" si="161"/>
        <v>3162</v>
      </c>
    </row>
    <row r="415" spans="1:19" s="366" customFormat="1" x14ac:dyDescent="0.2">
      <c r="A415" s="118">
        <v>2013</v>
      </c>
      <c r="B415" s="197">
        <f t="shared" ref="B415:K415" si="162">B90</f>
        <v>0</v>
      </c>
      <c r="C415" s="197">
        <f t="shared" si="162"/>
        <v>21</v>
      </c>
      <c r="D415" s="197">
        <f t="shared" si="162"/>
        <v>28</v>
      </c>
      <c r="E415" s="197">
        <f t="shared" si="162"/>
        <v>82</v>
      </c>
      <c r="F415" s="197">
        <f t="shared" si="162"/>
        <v>189</v>
      </c>
      <c r="G415" s="197">
        <f t="shared" si="162"/>
        <v>156</v>
      </c>
      <c r="H415" s="197">
        <f t="shared" si="162"/>
        <v>709</v>
      </c>
      <c r="I415" s="197">
        <f t="shared" si="162"/>
        <v>712</v>
      </c>
      <c r="J415" s="197" t="str">
        <f t="shared" si="162"/>
        <v>-</v>
      </c>
      <c r="K415" s="197">
        <f t="shared" si="162"/>
        <v>1897</v>
      </c>
      <c r="L415" s="182"/>
      <c r="M415" s="197" t="str">
        <f t="shared" ref="M415:S415" si="163">M90</f>
        <v>-</v>
      </c>
      <c r="N415" s="197" t="str">
        <f t="shared" si="163"/>
        <v>-</v>
      </c>
      <c r="O415" s="197">
        <f t="shared" si="163"/>
        <v>2034</v>
      </c>
      <c r="P415" s="197">
        <f t="shared" si="163"/>
        <v>777</v>
      </c>
      <c r="Q415" s="197">
        <f t="shared" si="163"/>
        <v>812</v>
      </c>
      <c r="R415" s="197">
        <f t="shared" si="163"/>
        <v>12</v>
      </c>
      <c r="S415" s="203">
        <f t="shared" si="163"/>
        <v>3635</v>
      </c>
    </row>
    <row r="416" spans="1:19" s="366" customFormat="1" x14ac:dyDescent="0.2">
      <c r="A416" s="118">
        <v>2014</v>
      </c>
      <c r="B416" s="197">
        <f t="shared" ref="B416:K416" si="164">B91</f>
        <v>0</v>
      </c>
      <c r="C416" s="197">
        <f t="shared" si="164"/>
        <v>0</v>
      </c>
      <c r="D416" s="197">
        <f t="shared" si="164"/>
        <v>84</v>
      </c>
      <c r="E416" s="197">
        <f t="shared" si="164"/>
        <v>16</v>
      </c>
      <c r="F416" s="197">
        <f t="shared" si="164"/>
        <v>385</v>
      </c>
      <c r="G416" s="197">
        <f t="shared" si="164"/>
        <v>236</v>
      </c>
      <c r="H416" s="197">
        <f t="shared" si="164"/>
        <v>703</v>
      </c>
      <c r="I416" s="197">
        <f t="shared" si="164"/>
        <v>111</v>
      </c>
      <c r="J416" s="197" t="str">
        <f t="shared" si="164"/>
        <v>-</v>
      </c>
      <c r="K416" s="197">
        <f t="shared" si="164"/>
        <v>1535</v>
      </c>
      <c r="L416" s="182"/>
      <c r="M416" s="197" t="str">
        <f t="shared" ref="M416:S416" si="165">M91</f>
        <v>-</v>
      </c>
      <c r="N416" s="197">
        <f t="shared" si="165"/>
        <v>641</v>
      </c>
      <c r="O416" s="197">
        <f t="shared" si="165"/>
        <v>10479</v>
      </c>
      <c r="P416" s="197">
        <f t="shared" si="165"/>
        <v>5817</v>
      </c>
      <c r="Q416" s="197">
        <f t="shared" si="165"/>
        <v>9692</v>
      </c>
      <c r="R416" s="197">
        <f t="shared" si="165"/>
        <v>49</v>
      </c>
      <c r="S416" s="203">
        <f t="shared" si="165"/>
        <v>26678</v>
      </c>
    </row>
    <row r="417" spans="1:19" s="366" customFormat="1" x14ac:dyDescent="0.2">
      <c r="A417" s="118">
        <v>2015</v>
      </c>
      <c r="B417" s="197">
        <f t="shared" ref="B417:K417" si="166">B92</f>
        <v>0</v>
      </c>
      <c r="C417" s="197">
        <f t="shared" si="166"/>
        <v>2</v>
      </c>
      <c r="D417" s="197">
        <f t="shared" si="166"/>
        <v>88</v>
      </c>
      <c r="E417" s="197">
        <f t="shared" si="166"/>
        <v>26</v>
      </c>
      <c r="F417" s="197">
        <f t="shared" si="166"/>
        <v>63</v>
      </c>
      <c r="G417" s="197">
        <f t="shared" si="166"/>
        <v>140</v>
      </c>
      <c r="H417" s="197">
        <f t="shared" si="166"/>
        <v>1677</v>
      </c>
      <c r="I417" s="197">
        <f t="shared" si="166"/>
        <v>1437</v>
      </c>
      <c r="J417" s="197" t="str">
        <f t="shared" si="166"/>
        <v>-</v>
      </c>
      <c r="K417" s="197">
        <f t="shared" si="166"/>
        <v>3433</v>
      </c>
      <c r="L417" s="182"/>
      <c r="M417" s="197" t="str">
        <f t="shared" ref="M417:S417" si="167">M92</f>
        <v>-</v>
      </c>
      <c r="N417" s="197">
        <f t="shared" si="167"/>
        <v>37</v>
      </c>
      <c r="O417" s="197">
        <f t="shared" si="167"/>
        <v>2453</v>
      </c>
      <c r="P417" s="197">
        <f t="shared" si="167"/>
        <v>1465</v>
      </c>
      <c r="Q417" s="197">
        <f t="shared" si="167"/>
        <v>1000</v>
      </c>
      <c r="R417" s="197">
        <f t="shared" si="167"/>
        <v>19</v>
      </c>
      <c r="S417" s="203">
        <f t="shared" si="167"/>
        <v>4974</v>
      </c>
    </row>
    <row r="418" spans="1:19" s="366" customFormat="1" x14ac:dyDescent="0.2">
      <c r="A418" s="118">
        <v>2016</v>
      </c>
      <c r="B418" s="197">
        <f t="shared" ref="B418:K418" si="168">B93</f>
        <v>0</v>
      </c>
      <c r="C418" s="197">
        <f t="shared" si="168"/>
        <v>0</v>
      </c>
      <c r="D418" s="197">
        <f t="shared" si="168"/>
        <v>124</v>
      </c>
      <c r="E418" s="197">
        <f t="shared" si="168"/>
        <v>179</v>
      </c>
      <c r="F418" s="197">
        <f t="shared" si="168"/>
        <v>30</v>
      </c>
      <c r="G418" s="197">
        <f t="shared" si="168"/>
        <v>131</v>
      </c>
      <c r="H418" s="197">
        <f t="shared" si="168"/>
        <v>687</v>
      </c>
      <c r="I418" s="197">
        <f t="shared" si="168"/>
        <v>70</v>
      </c>
      <c r="J418" s="197" t="str">
        <f t="shared" si="168"/>
        <v>-</v>
      </c>
      <c r="K418" s="197">
        <f t="shared" si="168"/>
        <v>1221</v>
      </c>
      <c r="L418" s="182"/>
      <c r="M418" s="197" t="str">
        <f t="shared" ref="M418:S418" si="169">M93</f>
        <v>-</v>
      </c>
      <c r="N418" s="197">
        <f t="shared" si="169"/>
        <v>158</v>
      </c>
      <c r="O418" s="197">
        <f t="shared" si="169"/>
        <v>188</v>
      </c>
      <c r="P418" s="197">
        <f t="shared" si="169"/>
        <v>2</v>
      </c>
      <c r="Q418" s="197">
        <f t="shared" si="169"/>
        <v>1426</v>
      </c>
      <c r="R418" s="197">
        <f t="shared" si="169"/>
        <v>22</v>
      </c>
      <c r="S418" s="203">
        <f t="shared" si="169"/>
        <v>1796</v>
      </c>
    </row>
    <row r="419" spans="1:19" s="366" customFormat="1" x14ac:dyDescent="0.2">
      <c r="A419" s="118">
        <v>2017</v>
      </c>
      <c r="B419" s="197">
        <f t="shared" ref="B419:K419" si="170">B94</f>
        <v>0</v>
      </c>
      <c r="C419" s="197">
        <f t="shared" si="170"/>
        <v>0</v>
      </c>
      <c r="D419" s="197">
        <f t="shared" si="170"/>
        <v>76</v>
      </c>
      <c r="E419" s="197">
        <f t="shared" si="170"/>
        <v>80</v>
      </c>
      <c r="F419" s="197">
        <f t="shared" si="170"/>
        <v>89</v>
      </c>
      <c r="G419" s="197">
        <f t="shared" si="170"/>
        <v>141</v>
      </c>
      <c r="H419" s="197">
        <f t="shared" si="170"/>
        <v>424</v>
      </c>
      <c r="I419" s="197">
        <f t="shared" si="170"/>
        <v>35</v>
      </c>
      <c r="J419" s="197" t="str">
        <f t="shared" si="170"/>
        <v>-</v>
      </c>
      <c r="K419" s="197">
        <f t="shared" si="170"/>
        <v>845</v>
      </c>
      <c r="L419" s="182"/>
      <c r="M419" s="197" t="str">
        <f t="shared" ref="M419:S419" si="171">M94</f>
        <v>-</v>
      </c>
      <c r="N419" s="197">
        <f t="shared" si="171"/>
        <v>86</v>
      </c>
      <c r="O419" s="197">
        <f t="shared" si="171"/>
        <v>901</v>
      </c>
      <c r="P419" s="197">
        <f t="shared" si="171"/>
        <v>1440</v>
      </c>
      <c r="Q419" s="197">
        <f t="shared" si="171"/>
        <v>1252</v>
      </c>
      <c r="R419" s="197" t="str">
        <f t="shared" si="171"/>
        <v>-</v>
      </c>
      <c r="S419" s="203">
        <f t="shared" si="171"/>
        <v>3679</v>
      </c>
    </row>
    <row r="420" spans="1:19" s="366" customFormat="1" x14ac:dyDescent="0.2">
      <c r="A420" s="118">
        <v>2018</v>
      </c>
      <c r="B420" s="197">
        <f t="shared" ref="B420:K420" si="172">B95</f>
        <v>0</v>
      </c>
      <c r="C420" s="197">
        <f t="shared" si="172"/>
        <v>4</v>
      </c>
      <c r="D420" s="197">
        <f t="shared" si="172"/>
        <v>19</v>
      </c>
      <c r="E420" s="197">
        <f t="shared" si="172"/>
        <v>28</v>
      </c>
      <c r="F420" s="197">
        <f t="shared" si="172"/>
        <v>66</v>
      </c>
      <c r="G420" s="197">
        <f t="shared" si="172"/>
        <v>366</v>
      </c>
      <c r="H420" s="197">
        <f t="shared" si="172"/>
        <v>160</v>
      </c>
      <c r="I420" s="197">
        <f t="shared" si="172"/>
        <v>63</v>
      </c>
      <c r="J420" s="197" t="str">
        <f t="shared" si="172"/>
        <v>-</v>
      </c>
      <c r="K420" s="197">
        <f t="shared" si="172"/>
        <v>706</v>
      </c>
      <c r="L420" s="182"/>
      <c r="M420" s="197" t="str">
        <f t="shared" ref="M420:S420" si="173">M95</f>
        <v>-</v>
      </c>
      <c r="N420" s="197">
        <f t="shared" si="173"/>
        <v>25</v>
      </c>
      <c r="O420" s="197">
        <f t="shared" si="173"/>
        <v>274</v>
      </c>
      <c r="P420" s="197">
        <f t="shared" si="173"/>
        <v>1652</v>
      </c>
      <c r="Q420" s="197">
        <f t="shared" si="173"/>
        <v>858</v>
      </c>
      <c r="R420" s="197" t="str">
        <f t="shared" si="173"/>
        <v>-</v>
      </c>
      <c r="S420" s="203">
        <f t="shared" si="173"/>
        <v>2809</v>
      </c>
    </row>
    <row r="421" spans="1:19" s="489" customFormat="1" x14ac:dyDescent="0.2">
      <c r="A421" s="118">
        <v>2019</v>
      </c>
      <c r="B421" s="197">
        <f t="shared" ref="B421:K422" si="174">B96</f>
        <v>8</v>
      </c>
      <c r="C421" s="197">
        <f t="shared" si="174"/>
        <v>0</v>
      </c>
      <c r="D421" s="197">
        <f t="shared" si="174"/>
        <v>37</v>
      </c>
      <c r="E421" s="197">
        <f t="shared" si="174"/>
        <v>95</v>
      </c>
      <c r="F421" s="197">
        <f t="shared" si="174"/>
        <v>422</v>
      </c>
      <c r="G421" s="197">
        <f t="shared" si="174"/>
        <v>212</v>
      </c>
      <c r="H421" s="197">
        <f t="shared" si="174"/>
        <v>293</v>
      </c>
      <c r="I421" s="197">
        <f t="shared" si="174"/>
        <v>239</v>
      </c>
      <c r="J421" s="197" t="str">
        <f t="shared" si="174"/>
        <v>-</v>
      </c>
      <c r="K421" s="197">
        <f t="shared" si="174"/>
        <v>1306</v>
      </c>
      <c r="L421" s="182"/>
      <c r="M421" s="197" t="str">
        <f t="shared" ref="M421:S422" si="175">M96</f>
        <v>-</v>
      </c>
      <c r="N421" s="197">
        <f t="shared" si="175"/>
        <v>609</v>
      </c>
      <c r="O421" s="197">
        <f t="shared" si="175"/>
        <v>6201</v>
      </c>
      <c r="P421" s="197">
        <f t="shared" si="175"/>
        <v>2749</v>
      </c>
      <c r="Q421" s="197">
        <f t="shared" si="175"/>
        <v>1156</v>
      </c>
      <c r="R421" s="197">
        <f t="shared" si="175"/>
        <v>5</v>
      </c>
      <c r="S421" s="203">
        <f t="shared" si="175"/>
        <v>10720</v>
      </c>
    </row>
    <row r="422" spans="1:19" x14ac:dyDescent="0.2">
      <c r="A422" s="118" t="s">
        <v>393</v>
      </c>
      <c r="B422" s="197">
        <f t="shared" si="174"/>
        <v>0</v>
      </c>
      <c r="C422" s="197">
        <f t="shared" si="174"/>
        <v>0</v>
      </c>
      <c r="D422" s="197">
        <f t="shared" si="174"/>
        <v>12</v>
      </c>
      <c r="E422" s="197">
        <f t="shared" si="174"/>
        <v>52</v>
      </c>
      <c r="F422" s="197">
        <f t="shared" si="174"/>
        <v>228</v>
      </c>
      <c r="G422" s="197">
        <f t="shared" si="174"/>
        <v>213</v>
      </c>
      <c r="H422" s="197">
        <f t="shared" si="174"/>
        <v>763</v>
      </c>
      <c r="I422" s="197">
        <f t="shared" si="174"/>
        <v>184</v>
      </c>
      <c r="J422" s="197" t="str">
        <f t="shared" si="174"/>
        <v>-</v>
      </c>
      <c r="K422" s="197">
        <f t="shared" si="174"/>
        <v>1452</v>
      </c>
      <c r="L422" s="182"/>
      <c r="M422" s="197" t="str">
        <f t="shared" si="175"/>
        <v>-</v>
      </c>
      <c r="N422" s="197">
        <f t="shared" si="175"/>
        <v>0</v>
      </c>
      <c r="O422" s="197">
        <f t="shared" si="175"/>
        <v>1059</v>
      </c>
      <c r="P422" s="197">
        <f t="shared" si="175"/>
        <v>1020</v>
      </c>
      <c r="Q422" s="197">
        <f t="shared" si="175"/>
        <v>638</v>
      </c>
      <c r="R422" s="197" t="str">
        <f t="shared" si="175"/>
        <v>-</v>
      </c>
      <c r="S422" s="203">
        <f t="shared" si="175"/>
        <v>2717</v>
      </c>
    </row>
    <row r="423" spans="1:19" x14ac:dyDescent="0.2">
      <c r="A423" s="118"/>
      <c r="B423" s="197"/>
      <c r="C423" s="197"/>
      <c r="D423" s="197"/>
      <c r="E423" s="197"/>
      <c r="F423" s="197"/>
      <c r="G423" s="197"/>
      <c r="H423" s="197"/>
      <c r="I423" s="197"/>
      <c r="J423" s="197"/>
      <c r="K423" s="197"/>
      <c r="L423" s="182"/>
      <c r="M423" s="197"/>
      <c r="N423" s="197"/>
      <c r="O423" s="197"/>
      <c r="P423" s="197"/>
      <c r="Q423" s="197"/>
      <c r="R423" s="197"/>
      <c r="S423" s="203"/>
    </row>
    <row r="424" spans="1:19" x14ac:dyDescent="0.2">
      <c r="A424" s="560" t="s">
        <v>365</v>
      </c>
      <c r="B424" s="560"/>
      <c r="C424" s="560"/>
      <c r="D424" s="560"/>
      <c r="E424" s="560"/>
      <c r="F424" s="560"/>
      <c r="G424" s="560"/>
      <c r="H424" s="560"/>
      <c r="I424" s="560"/>
      <c r="J424" s="560"/>
      <c r="K424" s="560"/>
      <c r="L424" s="560"/>
      <c r="M424" s="560"/>
      <c r="N424" s="560"/>
      <c r="O424" s="560"/>
      <c r="P424" s="560"/>
      <c r="Q424" s="560"/>
      <c r="R424" s="560"/>
      <c r="S424" s="560"/>
    </row>
    <row r="425" spans="1:19" x14ac:dyDescent="0.2">
      <c r="A425" s="124" t="s">
        <v>49</v>
      </c>
      <c r="B425" s="212" t="s">
        <v>43</v>
      </c>
      <c r="C425" s="212" t="s">
        <v>34</v>
      </c>
      <c r="D425" s="212" t="s">
        <v>35</v>
      </c>
      <c r="E425" s="212" t="s">
        <v>36</v>
      </c>
      <c r="F425" s="212" t="s">
        <v>37</v>
      </c>
      <c r="G425" s="212" t="s">
        <v>38</v>
      </c>
      <c r="H425" s="212" t="s">
        <v>39</v>
      </c>
      <c r="I425" s="212" t="s">
        <v>40</v>
      </c>
      <c r="J425" s="212" t="s">
        <v>44</v>
      </c>
      <c r="K425" s="212" t="s">
        <v>28</v>
      </c>
      <c r="L425" s="212"/>
      <c r="M425" s="212" t="s">
        <v>35</v>
      </c>
      <c r="N425" s="212" t="s">
        <v>36</v>
      </c>
      <c r="O425" s="212" t="s">
        <v>37</v>
      </c>
      <c r="P425" s="212" t="s">
        <v>38</v>
      </c>
      <c r="Q425" s="212" t="s">
        <v>39</v>
      </c>
      <c r="R425" s="212" t="s">
        <v>40</v>
      </c>
      <c r="S425" s="212" t="s">
        <v>28</v>
      </c>
    </row>
    <row r="426" spans="1:19" x14ac:dyDescent="0.2">
      <c r="B426" s="557" t="s">
        <v>67</v>
      </c>
      <c r="C426" s="557"/>
      <c r="D426" s="557"/>
      <c r="E426" s="557"/>
      <c r="F426" s="557"/>
      <c r="G426" s="557"/>
      <c r="H426" s="557"/>
      <c r="I426" s="557"/>
      <c r="J426" s="557"/>
      <c r="K426" s="557"/>
      <c r="L426" s="279"/>
      <c r="M426" s="557" t="s">
        <v>68</v>
      </c>
      <c r="N426" s="557"/>
      <c r="O426" s="557"/>
      <c r="P426" s="557"/>
      <c r="Q426" s="557"/>
      <c r="R426" s="557"/>
      <c r="S426" s="557"/>
    </row>
    <row r="427" spans="1:19" ht="3.75" customHeight="1" x14ac:dyDescent="0.2">
      <c r="A427" s="371"/>
      <c r="B427" s="193"/>
      <c r="C427" s="193"/>
      <c r="D427" s="193"/>
      <c r="E427" s="193"/>
      <c r="F427" s="193"/>
      <c r="G427" s="193"/>
      <c r="H427" s="193"/>
      <c r="I427" s="193"/>
      <c r="J427" s="193"/>
      <c r="K427" s="193"/>
      <c r="M427" s="193"/>
      <c r="N427" s="193"/>
      <c r="O427" s="193"/>
      <c r="P427" s="193"/>
      <c r="Q427" s="193"/>
      <c r="R427" s="193"/>
      <c r="S427" s="193"/>
    </row>
    <row r="428" spans="1:19" x14ac:dyDescent="0.2">
      <c r="A428" s="418" t="str">
        <f>A99</f>
        <v>Newport</v>
      </c>
      <c r="B428" s="193"/>
      <c r="C428" s="193"/>
      <c r="D428" s="193"/>
      <c r="E428" s="193"/>
      <c r="F428" s="193"/>
      <c r="G428" s="193"/>
      <c r="H428" s="193"/>
      <c r="I428" s="193"/>
      <c r="J428" s="193"/>
      <c r="K428" s="193"/>
      <c r="M428" s="193"/>
      <c r="N428" s="193"/>
      <c r="O428" s="193"/>
      <c r="P428" s="193"/>
      <c r="Q428" s="193"/>
      <c r="R428" s="193"/>
      <c r="S428" s="193"/>
    </row>
    <row r="429" spans="1:19" x14ac:dyDescent="0.2">
      <c r="A429" s="371" t="s">
        <v>30</v>
      </c>
      <c r="B429" s="193" t="str">
        <f t="shared" ref="B429:C431" si="176">B113</f>
        <v>-</v>
      </c>
      <c r="C429" s="193" t="str">
        <f t="shared" si="176"/>
        <v>-</v>
      </c>
      <c r="D429" s="193">
        <f t="shared" ref="D429:K429" si="177">AVERAGE(D105:D109)</f>
        <v>18</v>
      </c>
      <c r="E429" s="193">
        <f t="shared" si="177"/>
        <v>343.66666666666669</v>
      </c>
      <c r="F429" s="193">
        <f t="shared" si="177"/>
        <v>1461.6</v>
      </c>
      <c r="G429" s="193">
        <f t="shared" si="177"/>
        <v>941.8</v>
      </c>
      <c r="H429" s="193">
        <f t="shared" si="177"/>
        <v>89</v>
      </c>
      <c r="I429" s="423" t="s">
        <v>116</v>
      </c>
      <c r="J429" s="193" t="str">
        <f>J104</f>
        <v>-</v>
      </c>
      <c r="K429" s="193">
        <f t="shared" si="177"/>
        <v>2705.8</v>
      </c>
      <c r="M429" s="193">
        <f t="shared" ref="M429:S429" si="178">AVERAGE(M105:M109)</f>
        <v>126</v>
      </c>
      <c r="N429" s="193">
        <f t="shared" si="178"/>
        <v>3483.6666666666665</v>
      </c>
      <c r="O429" s="193">
        <f t="shared" si="178"/>
        <v>22849.200000000001</v>
      </c>
      <c r="P429" s="193">
        <f t="shared" si="178"/>
        <v>19231.8</v>
      </c>
      <c r="Q429" s="193">
        <f t="shared" si="178"/>
        <v>2241</v>
      </c>
      <c r="R429" s="193" t="str">
        <f>R104</f>
        <v>-</v>
      </c>
      <c r="S429" s="200">
        <f t="shared" si="178"/>
        <v>46039.6</v>
      </c>
    </row>
    <row r="430" spans="1:19" x14ac:dyDescent="0.2">
      <c r="A430" s="371" t="s">
        <v>87</v>
      </c>
      <c r="B430" s="193" t="str">
        <f t="shared" si="176"/>
        <v>-</v>
      </c>
      <c r="C430" s="193" t="str">
        <f t="shared" si="176"/>
        <v>-</v>
      </c>
      <c r="D430" s="193">
        <f t="shared" ref="D430:K430" si="179">AVERAGE(D110:D114)</f>
        <v>67.75</v>
      </c>
      <c r="E430" s="193">
        <f t="shared" si="179"/>
        <v>497</v>
      </c>
      <c r="F430" s="193">
        <f t="shared" si="179"/>
        <v>1687.2</v>
      </c>
      <c r="G430" s="193">
        <f t="shared" si="179"/>
        <v>1029.4000000000001</v>
      </c>
      <c r="H430" s="193">
        <f t="shared" si="179"/>
        <v>600.5</v>
      </c>
      <c r="I430" s="193" t="str">
        <f>I105</f>
        <v>-</v>
      </c>
      <c r="J430" s="193" t="str">
        <f>J105</f>
        <v>-</v>
      </c>
      <c r="K430" s="193">
        <f t="shared" si="179"/>
        <v>3648.8</v>
      </c>
      <c r="M430" s="193">
        <f t="shared" ref="M430:S430" si="180">AVERAGE(M110:M114)</f>
        <v>661.5</v>
      </c>
      <c r="N430" s="193">
        <f t="shared" si="180"/>
        <v>9012.6</v>
      </c>
      <c r="O430" s="193">
        <f t="shared" si="180"/>
        <v>46079</v>
      </c>
      <c r="P430" s="193">
        <f t="shared" si="180"/>
        <v>23916.799999999999</v>
      </c>
      <c r="Q430" s="193">
        <f t="shared" si="180"/>
        <v>3428.75</v>
      </c>
      <c r="R430" s="193" t="str">
        <f>R105</f>
        <v>-</v>
      </c>
      <c r="S430" s="200">
        <f t="shared" si="180"/>
        <v>82280.600000000006</v>
      </c>
    </row>
    <row r="431" spans="1:19" x14ac:dyDescent="0.2">
      <c r="A431" s="371" t="s">
        <v>14</v>
      </c>
      <c r="B431" s="193" t="str">
        <f t="shared" si="176"/>
        <v>-</v>
      </c>
      <c r="C431" s="193" t="str">
        <f t="shared" si="176"/>
        <v>-</v>
      </c>
      <c r="D431" s="193">
        <f t="shared" ref="D431:I431" si="181">AVERAGE(D115:D119)</f>
        <v>43.8</v>
      </c>
      <c r="E431" s="193">
        <f t="shared" si="181"/>
        <v>142.6</v>
      </c>
      <c r="F431" s="193">
        <f t="shared" si="181"/>
        <v>1154.6666666666667</v>
      </c>
      <c r="G431" s="193">
        <f t="shared" si="181"/>
        <v>506.5</v>
      </c>
      <c r="H431" s="193">
        <f t="shared" si="181"/>
        <v>64.5</v>
      </c>
      <c r="I431" s="193">
        <f t="shared" si="181"/>
        <v>28</v>
      </c>
      <c r="J431" s="193" t="str">
        <f>J106</f>
        <v>-</v>
      </c>
      <c r="K431" s="193">
        <f>AVERAGE(K115:K119)</f>
        <v>1113.2</v>
      </c>
      <c r="M431" s="193">
        <f>AVERAGE(M115:M119)</f>
        <v>31.333333333333332</v>
      </c>
      <c r="N431" s="193">
        <f>AVERAGE(N115:N119)</f>
        <v>8315.3333333333339</v>
      </c>
      <c r="O431" s="193">
        <f>AVERAGE(O115:O119)</f>
        <v>36626</v>
      </c>
      <c r="P431" s="193">
        <f>AVERAGE(P115:P119)</f>
        <v>11924.5</v>
      </c>
      <c r="Q431" s="193">
        <f>AVERAGE(Q115:Q119)</f>
        <v>1118.5</v>
      </c>
      <c r="R431" s="193" t="str">
        <f>R106</f>
        <v>-</v>
      </c>
      <c r="S431" s="200">
        <f>AVERAGE(S115:S119)</f>
        <v>40251</v>
      </c>
    </row>
    <row r="432" spans="1:19" x14ac:dyDescent="0.2">
      <c r="A432" s="371" t="s">
        <v>207</v>
      </c>
      <c r="B432" s="193" t="str">
        <f>B120</f>
        <v>-</v>
      </c>
      <c r="C432" s="193" t="str">
        <f>C120</f>
        <v>-</v>
      </c>
      <c r="D432" s="193">
        <f t="shared" ref="D432:I432" si="182">AVERAGE(D120:D124)</f>
        <v>26</v>
      </c>
      <c r="E432" s="193">
        <f t="shared" si="182"/>
        <v>43.6</v>
      </c>
      <c r="F432" s="193">
        <f t="shared" si="182"/>
        <v>261.8</v>
      </c>
      <c r="G432" s="193">
        <f t="shared" si="182"/>
        <v>408.4</v>
      </c>
      <c r="H432" s="193">
        <f t="shared" si="182"/>
        <v>94.8</v>
      </c>
      <c r="I432" s="193">
        <f t="shared" si="182"/>
        <v>3.3333333333333335</v>
      </c>
      <c r="J432" s="193" t="str">
        <f>J111</f>
        <v>-</v>
      </c>
      <c r="K432" s="193">
        <f>AVERAGE(K120:K124)</f>
        <v>836.6</v>
      </c>
      <c r="M432" s="193" t="s">
        <v>29</v>
      </c>
      <c r="N432" s="193" t="s">
        <v>29</v>
      </c>
      <c r="O432" s="193">
        <f>AVERAGE(O120:O124)</f>
        <v>8150.5</v>
      </c>
      <c r="P432" s="193">
        <f>AVERAGE(P120:P124)</f>
        <v>29.5</v>
      </c>
      <c r="Q432" s="193">
        <f>AVERAGE(Q120:Q124)</f>
        <v>6.5</v>
      </c>
      <c r="R432" s="193" t="str">
        <f>R111</f>
        <v>-</v>
      </c>
      <c r="S432" s="200">
        <f>AVERAGE(S120:S124)</f>
        <v>3286.4</v>
      </c>
    </row>
    <row r="433" spans="1:19" x14ac:dyDescent="0.2">
      <c r="A433" s="118" t="s">
        <v>238</v>
      </c>
      <c r="B433" s="193">
        <f t="shared" ref="B433:I433" si="183">AVERAGE(B125:B129)</f>
        <v>0</v>
      </c>
      <c r="C433" s="193">
        <f t="shared" si="183"/>
        <v>25.2</v>
      </c>
      <c r="D433" s="193">
        <f t="shared" si="183"/>
        <v>78.8</v>
      </c>
      <c r="E433" s="193">
        <f t="shared" si="183"/>
        <v>475</v>
      </c>
      <c r="F433" s="193">
        <f t="shared" si="183"/>
        <v>3828.6</v>
      </c>
      <c r="G433" s="193">
        <f t="shared" si="183"/>
        <v>3125.8</v>
      </c>
      <c r="H433" s="193">
        <f t="shared" si="183"/>
        <v>1445.2</v>
      </c>
      <c r="I433" s="193">
        <f t="shared" si="183"/>
        <v>375</v>
      </c>
      <c r="J433" s="193" t="str">
        <f>J125</f>
        <v>-</v>
      </c>
      <c r="K433" s="193">
        <f>AVERAGE(K125:K129)</f>
        <v>9353.6</v>
      </c>
      <c r="M433" s="193">
        <f t="shared" ref="M433:S433" si="184">AVERAGE(M125:M129)</f>
        <v>2</v>
      </c>
      <c r="N433" s="193">
        <f t="shared" si="184"/>
        <v>3465.75</v>
      </c>
      <c r="O433" s="193">
        <f t="shared" si="184"/>
        <v>12245.2</v>
      </c>
      <c r="P433" s="193">
        <f t="shared" si="184"/>
        <v>4402.2</v>
      </c>
      <c r="Q433" s="193">
        <f t="shared" si="184"/>
        <v>79</v>
      </c>
      <c r="R433" s="193">
        <f t="shared" si="184"/>
        <v>2</v>
      </c>
      <c r="S433" s="211">
        <f t="shared" si="184"/>
        <v>19484</v>
      </c>
    </row>
    <row r="434" spans="1:19" x14ac:dyDescent="0.2">
      <c r="A434" s="118">
        <v>2006</v>
      </c>
      <c r="B434" s="193">
        <f t="shared" ref="B434:K434" si="185">B130</f>
        <v>2</v>
      </c>
      <c r="C434" s="193">
        <f t="shared" si="185"/>
        <v>1</v>
      </c>
      <c r="D434" s="193">
        <f t="shared" si="185"/>
        <v>17</v>
      </c>
      <c r="E434" s="193">
        <f t="shared" si="185"/>
        <v>77</v>
      </c>
      <c r="F434" s="193">
        <f t="shared" si="185"/>
        <v>326</v>
      </c>
      <c r="G434" s="193">
        <f t="shared" si="185"/>
        <v>41</v>
      </c>
      <c r="H434" s="193">
        <f t="shared" si="185"/>
        <v>128</v>
      </c>
      <c r="I434" s="193">
        <f t="shared" si="185"/>
        <v>80</v>
      </c>
      <c r="J434" s="193" t="str">
        <f t="shared" si="185"/>
        <v>-</v>
      </c>
      <c r="K434" s="193">
        <f t="shared" si="185"/>
        <v>672</v>
      </c>
      <c r="M434" s="193" t="str">
        <f t="shared" ref="M434:S434" si="186">M130</f>
        <v>-</v>
      </c>
      <c r="N434" s="193">
        <f t="shared" si="186"/>
        <v>101</v>
      </c>
      <c r="O434" s="193">
        <f t="shared" si="186"/>
        <v>3970</v>
      </c>
      <c r="P434" s="193">
        <f t="shared" si="186"/>
        <v>10</v>
      </c>
      <c r="Q434" s="193">
        <f t="shared" si="186"/>
        <v>473</v>
      </c>
      <c r="R434" s="193" t="str">
        <f t="shared" si="186"/>
        <v>-</v>
      </c>
      <c r="S434" s="200">
        <f t="shared" si="186"/>
        <v>4554</v>
      </c>
    </row>
    <row r="435" spans="1:19" s="366" customFormat="1" x14ac:dyDescent="0.2">
      <c r="A435" s="118">
        <v>2007</v>
      </c>
      <c r="B435" s="193">
        <f t="shared" ref="B435:K435" si="187">B131</f>
        <v>1</v>
      </c>
      <c r="C435" s="193">
        <f t="shared" si="187"/>
        <v>0</v>
      </c>
      <c r="D435" s="193">
        <f t="shared" si="187"/>
        <v>13</v>
      </c>
      <c r="E435" s="193">
        <f t="shared" si="187"/>
        <v>82</v>
      </c>
      <c r="F435" s="193">
        <f t="shared" si="187"/>
        <v>150</v>
      </c>
      <c r="G435" s="193">
        <f t="shared" si="187"/>
        <v>163</v>
      </c>
      <c r="H435" s="193">
        <f t="shared" si="187"/>
        <v>28</v>
      </c>
      <c r="I435" s="193">
        <f t="shared" si="187"/>
        <v>0</v>
      </c>
      <c r="J435" s="193">
        <f t="shared" si="187"/>
        <v>16</v>
      </c>
      <c r="K435" s="193">
        <f t="shared" si="187"/>
        <v>453</v>
      </c>
      <c r="L435" s="48"/>
      <c r="M435" s="193" t="str">
        <f t="shared" ref="M435:S435" si="188">M131</f>
        <v>-</v>
      </c>
      <c r="N435" s="193">
        <f t="shared" si="188"/>
        <v>2715</v>
      </c>
      <c r="O435" s="193">
        <f t="shared" si="188"/>
        <v>6516</v>
      </c>
      <c r="P435" s="193">
        <f t="shared" si="188"/>
        <v>5982</v>
      </c>
      <c r="Q435" s="193">
        <f t="shared" si="188"/>
        <v>175</v>
      </c>
      <c r="R435" s="193" t="str">
        <f t="shared" si="188"/>
        <v>-</v>
      </c>
      <c r="S435" s="200">
        <f t="shared" si="188"/>
        <v>15388</v>
      </c>
    </row>
    <row r="436" spans="1:19" s="366" customFormat="1" x14ac:dyDescent="0.2">
      <c r="A436" s="118">
        <v>2008</v>
      </c>
      <c r="B436" s="193" t="str">
        <f t="shared" ref="B436:K436" si="189">B132</f>
        <v>-</v>
      </c>
      <c r="C436" s="193" t="str">
        <f t="shared" si="189"/>
        <v>-</v>
      </c>
      <c r="D436" s="193" t="str">
        <f t="shared" si="189"/>
        <v>-</v>
      </c>
      <c r="E436" s="193" t="str">
        <f t="shared" si="189"/>
        <v>-</v>
      </c>
      <c r="F436" s="193">
        <f t="shared" si="189"/>
        <v>3</v>
      </c>
      <c r="G436" s="193" t="str">
        <f t="shared" si="189"/>
        <v>-</v>
      </c>
      <c r="H436" s="193" t="str">
        <f t="shared" si="189"/>
        <v>-</v>
      </c>
      <c r="I436" s="193" t="str">
        <f t="shared" si="189"/>
        <v>-</v>
      </c>
      <c r="J436" s="193" t="str">
        <f t="shared" si="189"/>
        <v>-</v>
      </c>
      <c r="K436" s="193">
        <f t="shared" si="189"/>
        <v>3</v>
      </c>
      <c r="L436" s="48"/>
      <c r="M436" s="193" t="str">
        <f t="shared" ref="M436:S436" si="190">M132</f>
        <v>-</v>
      </c>
      <c r="N436" s="193">
        <f t="shared" si="190"/>
        <v>106</v>
      </c>
      <c r="O436" s="193">
        <f t="shared" si="190"/>
        <v>865</v>
      </c>
      <c r="P436" s="193">
        <f t="shared" si="190"/>
        <v>1820</v>
      </c>
      <c r="Q436" s="193" t="str">
        <f t="shared" si="190"/>
        <v>-</v>
      </c>
      <c r="R436" s="193" t="str">
        <f t="shared" si="190"/>
        <v>-</v>
      </c>
      <c r="S436" s="200">
        <f t="shared" si="190"/>
        <v>2791</v>
      </c>
    </row>
    <row r="437" spans="1:19" s="366" customFormat="1" x14ac:dyDescent="0.2">
      <c r="A437" s="118">
        <v>2009</v>
      </c>
      <c r="B437" s="193" t="str">
        <f t="shared" ref="B437:K437" si="191">B133</f>
        <v>-</v>
      </c>
      <c r="C437" s="193" t="str">
        <f t="shared" si="191"/>
        <v>-</v>
      </c>
      <c r="D437" s="193" t="str">
        <f t="shared" si="191"/>
        <v>-</v>
      </c>
      <c r="E437" s="193">
        <f t="shared" si="191"/>
        <v>2</v>
      </c>
      <c r="F437" s="193">
        <f t="shared" si="191"/>
        <v>6</v>
      </c>
      <c r="G437" s="193">
        <f t="shared" si="191"/>
        <v>25</v>
      </c>
      <c r="H437" s="193" t="str">
        <f t="shared" si="191"/>
        <v>-</v>
      </c>
      <c r="I437" s="193" t="str">
        <f t="shared" si="191"/>
        <v>-</v>
      </c>
      <c r="J437" s="193" t="str">
        <f t="shared" si="191"/>
        <v>-</v>
      </c>
      <c r="K437" s="193">
        <f t="shared" si="191"/>
        <v>33</v>
      </c>
      <c r="L437" s="48"/>
      <c r="M437" s="193" t="str">
        <f t="shared" ref="M437:S437" si="192">M133</f>
        <v>-</v>
      </c>
      <c r="N437" s="193">
        <f t="shared" si="192"/>
        <v>2564</v>
      </c>
      <c r="O437" s="193">
        <f t="shared" si="192"/>
        <v>17733</v>
      </c>
      <c r="P437" s="193">
        <f t="shared" si="192"/>
        <v>14694</v>
      </c>
      <c r="Q437" s="193">
        <f t="shared" si="192"/>
        <v>447</v>
      </c>
      <c r="R437" s="193" t="str">
        <f t="shared" si="192"/>
        <v>-</v>
      </c>
      <c r="S437" s="200">
        <f t="shared" si="192"/>
        <v>35438</v>
      </c>
    </row>
    <row r="438" spans="1:19" s="366" customFormat="1" x14ac:dyDescent="0.2">
      <c r="A438" s="118">
        <v>2010</v>
      </c>
      <c r="B438" s="193" t="str">
        <f t="shared" ref="B438:K438" si="193">B134</f>
        <v>-</v>
      </c>
      <c r="C438" s="193" t="str">
        <f t="shared" si="193"/>
        <v>-</v>
      </c>
      <c r="D438" s="193">
        <f t="shared" si="193"/>
        <v>55</v>
      </c>
      <c r="E438" s="193">
        <f t="shared" si="193"/>
        <v>52</v>
      </c>
      <c r="F438" s="193">
        <f t="shared" si="193"/>
        <v>135</v>
      </c>
      <c r="G438" s="193">
        <f t="shared" si="193"/>
        <v>474</v>
      </c>
      <c r="H438" s="193">
        <f t="shared" si="193"/>
        <v>88</v>
      </c>
      <c r="I438" s="193" t="str">
        <f t="shared" si="193"/>
        <v>-</v>
      </c>
      <c r="J438" s="193" t="str">
        <f t="shared" si="193"/>
        <v>-</v>
      </c>
      <c r="K438" s="193">
        <f t="shared" si="193"/>
        <v>804</v>
      </c>
      <c r="L438" s="48"/>
      <c r="M438" s="193" t="str">
        <f t="shared" ref="M438:S438" si="194">M134</f>
        <v>-</v>
      </c>
      <c r="N438" s="193">
        <f t="shared" si="194"/>
        <v>27</v>
      </c>
      <c r="O438" s="193">
        <f t="shared" si="194"/>
        <v>551</v>
      </c>
      <c r="P438" s="193">
        <f t="shared" si="194"/>
        <v>6283</v>
      </c>
      <c r="Q438" s="193">
        <f t="shared" si="194"/>
        <v>966</v>
      </c>
      <c r="R438" s="193" t="str">
        <f t="shared" si="194"/>
        <v>-</v>
      </c>
      <c r="S438" s="200">
        <f t="shared" si="194"/>
        <v>7827</v>
      </c>
    </row>
    <row r="439" spans="1:19" s="366" customFormat="1" x14ac:dyDescent="0.2">
      <c r="A439" s="118">
        <v>2011</v>
      </c>
      <c r="B439" s="193">
        <f t="shared" ref="B439:K439" si="195">B135</f>
        <v>0</v>
      </c>
      <c r="C439" s="193">
        <f t="shared" si="195"/>
        <v>6</v>
      </c>
      <c r="D439" s="193">
        <f t="shared" si="195"/>
        <v>21</v>
      </c>
      <c r="E439" s="193">
        <f t="shared" si="195"/>
        <v>44</v>
      </c>
      <c r="F439" s="193">
        <f t="shared" si="195"/>
        <v>111</v>
      </c>
      <c r="G439" s="193">
        <f t="shared" si="195"/>
        <v>52</v>
      </c>
      <c r="H439" s="193">
        <f t="shared" si="195"/>
        <v>234</v>
      </c>
      <c r="I439" s="193" t="str">
        <f t="shared" si="195"/>
        <v>-</v>
      </c>
      <c r="J439" s="193" t="str">
        <f t="shared" si="195"/>
        <v>-</v>
      </c>
      <c r="K439" s="193">
        <f t="shared" si="195"/>
        <v>468</v>
      </c>
      <c r="L439" s="48"/>
      <c r="M439" s="193" t="str">
        <f t="shared" ref="M439:S439" si="196">M135</f>
        <v>-</v>
      </c>
      <c r="N439" s="193">
        <f t="shared" si="196"/>
        <v>179</v>
      </c>
      <c r="O439" s="193">
        <f t="shared" si="196"/>
        <v>1703</v>
      </c>
      <c r="P439" s="193">
        <f t="shared" si="196"/>
        <v>385</v>
      </c>
      <c r="Q439" s="193">
        <f t="shared" si="196"/>
        <v>3680</v>
      </c>
      <c r="R439" s="193" t="str">
        <f t="shared" si="196"/>
        <v>-</v>
      </c>
      <c r="S439" s="200">
        <f t="shared" si="196"/>
        <v>5947</v>
      </c>
    </row>
    <row r="440" spans="1:19" s="366" customFormat="1" x14ac:dyDescent="0.2">
      <c r="A440" s="118">
        <v>2012</v>
      </c>
      <c r="B440" s="193">
        <f t="shared" ref="B440:K440" si="197">B136</f>
        <v>21</v>
      </c>
      <c r="C440" s="193">
        <f t="shared" si="197"/>
        <v>95</v>
      </c>
      <c r="D440" s="193">
        <f t="shared" si="197"/>
        <v>60</v>
      </c>
      <c r="E440" s="193">
        <f t="shared" si="197"/>
        <v>56</v>
      </c>
      <c r="F440" s="193">
        <f t="shared" si="197"/>
        <v>223</v>
      </c>
      <c r="G440" s="193">
        <f t="shared" si="197"/>
        <v>481</v>
      </c>
      <c r="H440" s="193">
        <f t="shared" si="197"/>
        <v>1034</v>
      </c>
      <c r="I440" s="193">
        <f t="shared" si="197"/>
        <v>27</v>
      </c>
      <c r="J440" s="193" t="str">
        <f t="shared" si="197"/>
        <v>-</v>
      </c>
      <c r="K440" s="193">
        <f t="shared" si="197"/>
        <v>1997</v>
      </c>
      <c r="L440" s="48"/>
      <c r="M440" s="193" t="str">
        <f t="shared" ref="M440:S440" si="198">M136</f>
        <v>-</v>
      </c>
      <c r="N440" s="193">
        <f t="shared" si="198"/>
        <v>11</v>
      </c>
      <c r="O440" s="193">
        <f t="shared" si="198"/>
        <v>1046</v>
      </c>
      <c r="P440" s="193">
        <f t="shared" si="198"/>
        <v>2796</v>
      </c>
      <c r="Q440" s="193">
        <f t="shared" si="198"/>
        <v>4727</v>
      </c>
      <c r="R440" s="193" t="str">
        <f t="shared" si="198"/>
        <v>-</v>
      </c>
      <c r="S440" s="200">
        <f t="shared" si="198"/>
        <v>8580</v>
      </c>
    </row>
    <row r="441" spans="1:19" s="366" customFormat="1" x14ac:dyDescent="0.2">
      <c r="A441" s="118">
        <v>2013</v>
      </c>
      <c r="B441" s="193">
        <f t="shared" ref="B441:K441" si="199">B137</f>
        <v>231</v>
      </c>
      <c r="C441" s="193">
        <f t="shared" si="199"/>
        <v>123</v>
      </c>
      <c r="D441" s="193">
        <f t="shared" si="199"/>
        <v>28</v>
      </c>
      <c r="E441" s="193">
        <f t="shared" si="199"/>
        <v>126</v>
      </c>
      <c r="F441" s="193">
        <f t="shared" si="199"/>
        <v>498</v>
      </c>
      <c r="G441" s="193">
        <f t="shared" si="199"/>
        <v>251</v>
      </c>
      <c r="H441" s="193">
        <f t="shared" si="199"/>
        <v>305</v>
      </c>
      <c r="I441" s="193">
        <f t="shared" si="199"/>
        <v>76</v>
      </c>
      <c r="J441" s="193" t="str">
        <f t="shared" si="199"/>
        <v>-</v>
      </c>
      <c r="K441" s="193">
        <f t="shared" si="199"/>
        <v>1638</v>
      </c>
      <c r="L441" s="48"/>
      <c r="M441" s="193" t="str">
        <f t="shared" ref="M441:S441" si="200">M137</f>
        <v>-</v>
      </c>
      <c r="N441" s="193" t="str">
        <f t="shared" si="200"/>
        <v>-</v>
      </c>
      <c r="O441" s="193">
        <f t="shared" si="200"/>
        <v>2648</v>
      </c>
      <c r="P441" s="193">
        <f t="shared" si="200"/>
        <v>1779</v>
      </c>
      <c r="Q441" s="193">
        <f t="shared" si="200"/>
        <v>1517</v>
      </c>
      <c r="R441" s="193">
        <f t="shared" si="200"/>
        <v>7</v>
      </c>
      <c r="S441" s="200">
        <f t="shared" si="200"/>
        <v>5951</v>
      </c>
    </row>
    <row r="442" spans="1:19" s="366" customFormat="1" x14ac:dyDescent="0.2">
      <c r="A442" s="118">
        <v>2014</v>
      </c>
      <c r="B442" s="193">
        <f t="shared" ref="B442:K442" si="201">B138</f>
        <v>10</v>
      </c>
      <c r="C442" s="193">
        <f t="shared" si="201"/>
        <v>23</v>
      </c>
      <c r="D442" s="193">
        <f t="shared" si="201"/>
        <v>113</v>
      </c>
      <c r="E442" s="193">
        <f t="shared" si="201"/>
        <v>43</v>
      </c>
      <c r="F442" s="193">
        <f t="shared" si="201"/>
        <v>723</v>
      </c>
      <c r="G442" s="193">
        <f t="shared" si="201"/>
        <v>606</v>
      </c>
      <c r="H442" s="193">
        <f t="shared" si="201"/>
        <v>431</v>
      </c>
      <c r="I442" s="193">
        <f t="shared" si="201"/>
        <v>20</v>
      </c>
      <c r="J442" s="193" t="str">
        <f t="shared" si="201"/>
        <v>-</v>
      </c>
      <c r="K442" s="193">
        <f t="shared" si="201"/>
        <v>1969</v>
      </c>
      <c r="L442" s="48"/>
      <c r="M442" s="193" t="str">
        <f t="shared" ref="M442:S442" si="202">M138</f>
        <v>-</v>
      </c>
      <c r="N442" s="193">
        <f t="shared" si="202"/>
        <v>2269</v>
      </c>
      <c r="O442" s="193">
        <f t="shared" si="202"/>
        <v>18001</v>
      </c>
      <c r="P442" s="193">
        <f t="shared" si="202"/>
        <v>11786</v>
      </c>
      <c r="Q442" s="193">
        <f t="shared" si="202"/>
        <v>13547</v>
      </c>
      <c r="R442" s="193" t="str">
        <f t="shared" si="202"/>
        <v>-</v>
      </c>
      <c r="S442" s="200">
        <f t="shared" si="202"/>
        <v>45603</v>
      </c>
    </row>
    <row r="443" spans="1:19" s="366" customFormat="1" x14ac:dyDescent="0.2">
      <c r="A443" s="118">
        <v>2015</v>
      </c>
      <c r="B443" s="193">
        <f t="shared" ref="B443:K443" si="203">B139</f>
        <v>30</v>
      </c>
      <c r="C443" s="193">
        <f t="shared" si="203"/>
        <v>3</v>
      </c>
      <c r="D443" s="193">
        <f t="shared" si="203"/>
        <v>45</v>
      </c>
      <c r="E443" s="193">
        <f t="shared" si="203"/>
        <v>32</v>
      </c>
      <c r="F443" s="193">
        <f t="shared" si="203"/>
        <v>151</v>
      </c>
      <c r="G443" s="193">
        <f t="shared" si="203"/>
        <v>39</v>
      </c>
      <c r="H443" s="193">
        <f t="shared" si="203"/>
        <v>393</v>
      </c>
      <c r="I443" s="193">
        <f t="shared" si="203"/>
        <v>14</v>
      </c>
      <c r="J443" s="193" t="str">
        <f t="shared" si="203"/>
        <v>-</v>
      </c>
      <c r="K443" s="193">
        <f t="shared" si="203"/>
        <v>707</v>
      </c>
      <c r="L443" s="48"/>
      <c r="M443" s="193" t="str">
        <f t="shared" ref="M443:S443" si="204">M139</f>
        <v>-</v>
      </c>
      <c r="N443" s="193">
        <f t="shared" si="204"/>
        <v>213</v>
      </c>
      <c r="O443" s="193">
        <f t="shared" si="204"/>
        <v>6755</v>
      </c>
      <c r="P443" s="193">
        <f t="shared" si="204"/>
        <v>1011</v>
      </c>
      <c r="Q443" s="193">
        <f t="shared" si="204"/>
        <v>1695</v>
      </c>
      <c r="R443" s="193">
        <f t="shared" si="204"/>
        <v>3</v>
      </c>
      <c r="S443" s="200">
        <f t="shared" si="204"/>
        <v>9677</v>
      </c>
    </row>
    <row r="444" spans="1:19" s="366" customFormat="1" x14ac:dyDescent="0.2">
      <c r="A444" s="118">
        <v>2016</v>
      </c>
      <c r="B444" s="193">
        <f t="shared" ref="B444:K444" si="205">B140</f>
        <v>28</v>
      </c>
      <c r="C444" s="193">
        <f t="shared" si="205"/>
        <v>5</v>
      </c>
      <c r="D444" s="193">
        <f t="shared" si="205"/>
        <v>2</v>
      </c>
      <c r="E444" s="193">
        <f t="shared" si="205"/>
        <v>14</v>
      </c>
      <c r="F444" s="193">
        <f t="shared" si="205"/>
        <v>117</v>
      </c>
      <c r="G444" s="193">
        <f t="shared" si="205"/>
        <v>348</v>
      </c>
      <c r="H444" s="193">
        <f t="shared" si="205"/>
        <v>135</v>
      </c>
      <c r="I444" s="193">
        <f t="shared" si="205"/>
        <v>6</v>
      </c>
      <c r="J444" s="193" t="str">
        <f t="shared" si="205"/>
        <v>-</v>
      </c>
      <c r="K444" s="193">
        <f t="shared" si="205"/>
        <v>655</v>
      </c>
      <c r="L444" s="48"/>
      <c r="M444" s="193" t="str">
        <f t="shared" ref="M444:S444" si="206">M140</f>
        <v>-</v>
      </c>
      <c r="N444" s="193">
        <f t="shared" si="206"/>
        <v>29</v>
      </c>
      <c r="O444" s="193">
        <f t="shared" si="206"/>
        <v>582</v>
      </c>
      <c r="P444" s="193">
        <f t="shared" si="206"/>
        <v>18</v>
      </c>
      <c r="Q444" s="193">
        <f t="shared" si="206"/>
        <v>1793</v>
      </c>
      <c r="R444" s="193" t="str">
        <f t="shared" si="206"/>
        <v>-</v>
      </c>
      <c r="S444" s="200">
        <f t="shared" si="206"/>
        <v>2422</v>
      </c>
    </row>
    <row r="445" spans="1:19" s="366" customFormat="1" x14ac:dyDescent="0.2">
      <c r="A445" s="118">
        <v>2017</v>
      </c>
      <c r="B445" s="193">
        <f t="shared" ref="B445:K445" si="207">B141</f>
        <v>0</v>
      </c>
      <c r="C445" s="193">
        <f t="shared" si="207"/>
        <v>0</v>
      </c>
      <c r="D445" s="193">
        <f t="shared" si="207"/>
        <v>6</v>
      </c>
      <c r="E445" s="193">
        <f t="shared" si="207"/>
        <v>31</v>
      </c>
      <c r="F445" s="193">
        <f t="shared" si="207"/>
        <v>207</v>
      </c>
      <c r="G445" s="193">
        <f t="shared" si="207"/>
        <v>467</v>
      </c>
      <c r="H445" s="193">
        <f t="shared" si="207"/>
        <v>47</v>
      </c>
      <c r="I445" s="193">
        <f t="shared" si="207"/>
        <v>4</v>
      </c>
      <c r="J445" s="193" t="str">
        <f t="shared" si="207"/>
        <v>-</v>
      </c>
      <c r="K445" s="193">
        <f t="shared" si="207"/>
        <v>762</v>
      </c>
      <c r="L445" s="48"/>
      <c r="M445" s="193" t="str">
        <f t="shared" ref="M445:S445" si="208">M141</f>
        <v>-</v>
      </c>
      <c r="N445" s="193">
        <f t="shared" si="208"/>
        <v>36</v>
      </c>
      <c r="O445" s="193">
        <f t="shared" si="208"/>
        <v>3419</v>
      </c>
      <c r="P445" s="193">
        <f t="shared" si="208"/>
        <v>1943</v>
      </c>
      <c r="Q445" s="193">
        <f t="shared" si="208"/>
        <v>2192</v>
      </c>
      <c r="R445" s="193" t="str">
        <f t="shared" si="208"/>
        <v>-</v>
      </c>
      <c r="S445" s="200">
        <f t="shared" si="208"/>
        <v>7590</v>
      </c>
    </row>
    <row r="446" spans="1:19" s="366" customFormat="1" x14ac:dyDescent="0.2">
      <c r="A446" s="118">
        <v>2018</v>
      </c>
      <c r="B446" s="197">
        <f t="shared" ref="B446:K446" si="209">B142</f>
        <v>0</v>
      </c>
      <c r="C446" s="197">
        <f t="shared" si="209"/>
        <v>0</v>
      </c>
      <c r="D446" s="197">
        <f t="shared" si="209"/>
        <v>23</v>
      </c>
      <c r="E446" s="197">
        <f t="shared" si="209"/>
        <v>59</v>
      </c>
      <c r="F446" s="197">
        <f t="shared" si="209"/>
        <v>409</v>
      </c>
      <c r="G446" s="197">
        <f t="shared" si="209"/>
        <v>490</v>
      </c>
      <c r="H446" s="197">
        <f t="shared" si="209"/>
        <v>217</v>
      </c>
      <c r="I446" s="197">
        <f t="shared" si="209"/>
        <v>11</v>
      </c>
      <c r="J446" s="197" t="str">
        <f t="shared" si="209"/>
        <v>-</v>
      </c>
      <c r="K446" s="197">
        <f t="shared" si="209"/>
        <v>1209</v>
      </c>
      <c r="L446" s="182"/>
      <c r="M446" s="197" t="str">
        <f t="shared" ref="M446:S446" si="210">M142</f>
        <v>-</v>
      </c>
      <c r="N446" s="197">
        <f t="shared" si="210"/>
        <v>2</v>
      </c>
      <c r="O446" s="197">
        <f t="shared" si="210"/>
        <v>2125</v>
      </c>
      <c r="P446" s="197">
        <f t="shared" si="210"/>
        <v>6042</v>
      </c>
      <c r="Q446" s="197">
        <f t="shared" si="210"/>
        <v>3095</v>
      </c>
      <c r="R446" s="197" t="str">
        <f t="shared" si="210"/>
        <v>-</v>
      </c>
      <c r="S446" s="203">
        <f t="shared" si="210"/>
        <v>11264</v>
      </c>
    </row>
    <row r="447" spans="1:19" s="489" customFormat="1" x14ac:dyDescent="0.2">
      <c r="A447" s="118">
        <v>2019</v>
      </c>
      <c r="B447" s="197">
        <f t="shared" ref="B447:K448" si="211">B143</f>
        <v>2</v>
      </c>
      <c r="C447" s="197">
        <f t="shared" si="211"/>
        <v>3</v>
      </c>
      <c r="D447" s="197">
        <f t="shared" si="211"/>
        <v>66</v>
      </c>
      <c r="E447" s="197">
        <f t="shared" si="211"/>
        <v>348</v>
      </c>
      <c r="F447" s="197">
        <f t="shared" si="211"/>
        <v>1405</v>
      </c>
      <c r="G447" s="197">
        <f t="shared" si="211"/>
        <v>277</v>
      </c>
      <c r="H447" s="197">
        <f t="shared" si="211"/>
        <v>84</v>
      </c>
      <c r="I447" s="197">
        <f t="shared" si="211"/>
        <v>17</v>
      </c>
      <c r="J447" s="197" t="str">
        <f t="shared" si="211"/>
        <v>-</v>
      </c>
      <c r="K447" s="197">
        <f t="shared" si="211"/>
        <v>2202</v>
      </c>
      <c r="L447" s="182"/>
      <c r="M447" s="197" t="str">
        <f t="shared" ref="M447:S448" si="212">M143</f>
        <v>-</v>
      </c>
      <c r="N447" s="197">
        <f t="shared" si="212"/>
        <v>1931</v>
      </c>
      <c r="O447" s="197">
        <f t="shared" si="212"/>
        <v>16778</v>
      </c>
      <c r="P447" s="197">
        <f t="shared" si="212"/>
        <v>7594</v>
      </c>
      <c r="Q447" s="197">
        <f t="shared" si="212"/>
        <v>1934</v>
      </c>
      <c r="R447" s="197" t="str">
        <f t="shared" si="212"/>
        <v>-</v>
      </c>
      <c r="S447" s="203">
        <f t="shared" si="212"/>
        <v>28237</v>
      </c>
    </row>
    <row r="448" spans="1:19" x14ac:dyDescent="0.2">
      <c r="A448" s="118" t="s">
        <v>393</v>
      </c>
      <c r="B448" s="193">
        <f t="shared" si="211"/>
        <v>0</v>
      </c>
      <c r="C448" s="193">
        <f t="shared" si="211"/>
        <v>4</v>
      </c>
      <c r="D448" s="193">
        <f t="shared" si="211"/>
        <v>19</v>
      </c>
      <c r="E448" s="193">
        <f t="shared" si="211"/>
        <v>37</v>
      </c>
      <c r="F448" s="193">
        <f t="shared" si="211"/>
        <v>1451</v>
      </c>
      <c r="G448" s="193">
        <f t="shared" si="211"/>
        <v>228</v>
      </c>
      <c r="H448" s="193">
        <f t="shared" si="211"/>
        <v>217</v>
      </c>
      <c r="I448" s="193">
        <f t="shared" si="211"/>
        <v>24</v>
      </c>
      <c r="J448" s="193" t="str">
        <f t="shared" si="211"/>
        <v>-</v>
      </c>
      <c r="K448" s="193">
        <f t="shared" si="211"/>
        <v>1980</v>
      </c>
      <c r="M448" s="193" t="str">
        <f t="shared" si="212"/>
        <v>-</v>
      </c>
      <c r="N448" s="193">
        <f t="shared" si="212"/>
        <v>0</v>
      </c>
      <c r="O448" s="193">
        <f t="shared" si="212"/>
        <v>4058</v>
      </c>
      <c r="P448" s="193">
        <f t="shared" si="212"/>
        <v>3305</v>
      </c>
      <c r="Q448" s="193">
        <f t="shared" si="212"/>
        <v>3152</v>
      </c>
      <c r="R448" s="193" t="str">
        <f t="shared" si="212"/>
        <v>-</v>
      </c>
      <c r="S448" s="200">
        <f t="shared" si="212"/>
        <v>10515</v>
      </c>
    </row>
    <row r="449" spans="1:19" ht="10.5" customHeight="1" x14ac:dyDescent="0.2">
      <c r="A449" s="371"/>
      <c r="B449" s="193"/>
      <c r="C449" s="193"/>
      <c r="D449" s="193"/>
      <c r="E449" s="193"/>
      <c r="F449" s="193"/>
      <c r="G449" s="193"/>
      <c r="H449" s="193"/>
      <c r="I449" s="193"/>
      <c r="J449" s="193"/>
      <c r="K449" s="193"/>
      <c r="M449" s="193"/>
      <c r="N449" s="193"/>
      <c r="O449" s="193"/>
      <c r="P449" s="193"/>
      <c r="Q449" s="193"/>
      <c r="R449" s="193"/>
      <c r="S449" s="200"/>
    </row>
    <row r="450" spans="1:19" x14ac:dyDescent="0.2">
      <c r="A450" s="418" t="str">
        <f>A146</f>
        <v>Coos Bay</v>
      </c>
      <c r="B450" s="193"/>
      <c r="C450" s="193"/>
      <c r="D450" s="193"/>
      <c r="E450" s="193"/>
      <c r="F450" s="193"/>
      <c r="G450" s="193"/>
      <c r="H450" s="193"/>
      <c r="I450" s="193"/>
      <c r="J450" s="193"/>
      <c r="K450" s="193"/>
      <c r="M450" s="193"/>
      <c r="N450" s="193"/>
      <c r="O450" s="193"/>
      <c r="P450" s="193"/>
      <c r="Q450" s="193"/>
      <c r="R450" s="193"/>
      <c r="S450" s="200"/>
    </row>
    <row r="451" spans="1:19" x14ac:dyDescent="0.2">
      <c r="A451" s="371" t="s">
        <v>30</v>
      </c>
      <c r="B451" s="193" t="s">
        <v>29</v>
      </c>
      <c r="C451" s="193" t="s">
        <v>29</v>
      </c>
      <c r="D451" s="193">
        <f t="shared" ref="D451:K451" si="213">AVERAGE(D152:D156)</f>
        <v>36.75</v>
      </c>
      <c r="E451" s="193">
        <f t="shared" si="213"/>
        <v>920.66666666666663</v>
      </c>
      <c r="F451" s="193">
        <f t="shared" si="213"/>
        <v>4075.2</v>
      </c>
      <c r="G451" s="193">
        <f t="shared" si="213"/>
        <v>1994</v>
      </c>
      <c r="H451" s="193">
        <f t="shared" si="213"/>
        <v>436.2</v>
      </c>
      <c r="I451" s="423" t="s">
        <v>116</v>
      </c>
      <c r="J451" s="423" t="s">
        <v>116</v>
      </c>
      <c r="K451" s="193">
        <f t="shared" si="213"/>
        <v>7087.2</v>
      </c>
      <c r="M451" s="193">
        <f t="shared" ref="M451:S451" si="214">AVERAGE(M152:M156)</f>
        <v>2106</v>
      </c>
      <c r="N451" s="193">
        <f t="shared" si="214"/>
        <v>13671</v>
      </c>
      <c r="O451" s="193">
        <f t="shared" si="214"/>
        <v>29455.4</v>
      </c>
      <c r="P451" s="193">
        <f t="shared" si="214"/>
        <v>13019.8</v>
      </c>
      <c r="Q451" s="193">
        <f t="shared" si="214"/>
        <v>1699.25</v>
      </c>
      <c r="R451" s="423" t="s">
        <v>116</v>
      </c>
      <c r="S451" s="200">
        <f t="shared" si="214"/>
        <v>53300.800000000003</v>
      </c>
    </row>
    <row r="452" spans="1:19" x14ac:dyDescent="0.2">
      <c r="A452" s="371" t="s">
        <v>87</v>
      </c>
      <c r="B452" s="193" t="s">
        <v>29</v>
      </c>
      <c r="C452" s="193" t="s">
        <v>29</v>
      </c>
      <c r="D452" s="193">
        <f t="shared" ref="D452:K452" si="215">AVERAGE(D157:D161)</f>
        <v>75.25</v>
      </c>
      <c r="E452" s="193">
        <f t="shared" si="215"/>
        <v>1213.4000000000001</v>
      </c>
      <c r="F452" s="193">
        <f t="shared" si="215"/>
        <v>4999.2</v>
      </c>
      <c r="G452" s="193">
        <f t="shared" si="215"/>
        <v>2205.8000000000002</v>
      </c>
      <c r="H452" s="193">
        <f t="shared" si="215"/>
        <v>962.5</v>
      </c>
      <c r="I452" s="423" t="s">
        <v>116</v>
      </c>
      <c r="J452" s="423" t="s">
        <v>116</v>
      </c>
      <c r="K452" s="193">
        <f t="shared" si="215"/>
        <v>9248.6</v>
      </c>
      <c r="M452" s="193">
        <f t="shared" ref="M452:S452" si="216">AVERAGE(M157:M161)</f>
        <v>453</v>
      </c>
      <c r="N452" s="193">
        <f t="shared" si="216"/>
        <v>10859.2</v>
      </c>
      <c r="O452" s="193">
        <f t="shared" si="216"/>
        <v>39002.6</v>
      </c>
      <c r="P452" s="193">
        <f t="shared" si="216"/>
        <v>12888</v>
      </c>
      <c r="Q452" s="193">
        <f t="shared" si="216"/>
        <v>1567.75</v>
      </c>
      <c r="R452" s="193" t="s">
        <v>29</v>
      </c>
      <c r="S452" s="200">
        <f t="shared" si="216"/>
        <v>64366.400000000001</v>
      </c>
    </row>
    <row r="453" spans="1:19" x14ac:dyDescent="0.2">
      <c r="A453" s="371" t="s">
        <v>14</v>
      </c>
      <c r="B453" s="193" t="s">
        <v>29</v>
      </c>
      <c r="C453" s="193" t="s">
        <v>29</v>
      </c>
      <c r="D453" s="193">
        <f t="shared" ref="D453:I453" si="217">AVERAGE(D162:D166)</f>
        <v>39.799999999999997</v>
      </c>
      <c r="E453" s="193">
        <f t="shared" si="217"/>
        <v>861.6</v>
      </c>
      <c r="F453" s="193">
        <f t="shared" si="217"/>
        <v>1495</v>
      </c>
      <c r="G453" s="193">
        <f t="shared" si="217"/>
        <v>351.5</v>
      </c>
      <c r="H453" s="193">
        <f t="shared" si="217"/>
        <v>231</v>
      </c>
      <c r="I453" s="193">
        <f t="shared" si="217"/>
        <v>7</v>
      </c>
      <c r="J453" s="423" t="s">
        <v>116</v>
      </c>
      <c r="K453" s="193">
        <f>AVERAGE(K162:K166)</f>
        <v>2032.8</v>
      </c>
      <c r="M453" s="193">
        <f>AVERAGE(M162:M166)</f>
        <v>465</v>
      </c>
      <c r="N453" s="193">
        <f>AVERAGE(N162:N166)</f>
        <v>12213</v>
      </c>
      <c r="O453" s="193">
        <f>AVERAGE(O162:O166)</f>
        <v>39345</v>
      </c>
      <c r="P453" s="193">
        <f>AVERAGE(P162:P166)</f>
        <v>10077</v>
      </c>
      <c r="Q453" s="193">
        <f>AVERAGE(Q162:Q166)</f>
        <v>2713</v>
      </c>
      <c r="R453" s="193" t="s">
        <v>29</v>
      </c>
      <c r="S453" s="200">
        <f>AVERAGE(S162:S166)</f>
        <v>59645.333333333336</v>
      </c>
    </row>
    <row r="454" spans="1:19" x14ac:dyDescent="0.2">
      <c r="A454" s="371" t="s">
        <v>207</v>
      </c>
      <c r="B454" s="193" t="s">
        <v>29</v>
      </c>
      <c r="C454" s="193" t="s">
        <v>29</v>
      </c>
      <c r="D454" s="193">
        <f t="shared" ref="D454:I454" si="218">AVERAGE(D167:D171)</f>
        <v>10.8</v>
      </c>
      <c r="E454" s="193">
        <f t="shared" si="218"/>
        <v>89</v>
      </c>
      <c r="F454" s="193">
        <f t="shared" si="218"/>
        <v>1659.8</v>
      </c>
      <c r="G454" s="193">
        <f t="shared" si="218"/>
        <v>793.2</v>
      </c>
      <c r="H454" s="193">
        <f t="shared" si="218"/>
        <v>141.80000000000001</v>
      </c>
      <c r="I454" s="193">
        <f t="shared" si="218"/>
        <v>15.5</v>
      </c>
      <c r="J454" s="423" t="s">
        <v>116</v>
      </c>
      <c r="K454" s="193">
        <f>AVERAGE(K167:K171)</f>
        <v>2701.6</v>
      </c>
      <c r="M454" s="193" t="s">
        <v>29</v>
      </c>
      <c r="N454" s="193" t="s">
        <v>29</v>
      </c>
      <c r="O454" s="193">
        <f>AVERAGE(O167:O171)</f>
        <v>2042</v>
      </c>
      <c r="P454" s="193">
        <f>AVERAGE(P167:P171)</f>
        <v>22.333333333333332</v>
      </c>
      <c r="Q454" s="193">
        <f>AVERAGE(Q167:Q171)</f>
        <v>3</v>
      </c>
      <c r="R454" s="193" t="s">
        <v>29</v>
      </c>
      <c r="S454" s="200">
        <f>AVERAGE(S167:S171)</f>
        <v>1549</v>
      </c>
    </row>
    <row r="455" spans="1:19" x14ac:dyDescent="0.2">
      <c r="A455" s="118" t="s">
        <v>238</v>
      </c>
      <c r="B455" s="193">
        <f t="shared" ref="B455:I455" si="219">AVERAGE(B172:B176)</f>
        <v>1.3333333333333333</v>
      </c>
      <c r="C455" s="193">
        <f t="shared" si="219"/>
        <v>32.6</v>
      </c>
      <c r="D455" s="193">
        <f t="shared" si="219"/>
        <v>136.19999999999999</v>
      </c>
      <c r="E455" s="193">
        <f t="shared" si="219"/>
        <v>2737.8</v>
      </c>
      <c r="F455" s="193">
        <f t="shared" si="219"/>
        <v>7333.6</v>
      </c>
      <c r="G455" s="193">
        <f t="shared" si="219"/>
        <v>3466.6</v>
      </c>
      <c r="H455" s="193">
        <f t="shared" si="219"/>
        <v>1458.4</v>
      </c>
      <c r="I455" s="193">
        <f t="shared" si="219"/>
        <v>23.6</v>
      </c>
      <c r="J455" s="193" t="str">
        <f>J172</f>
        <v>--</v>
      </c>
      <c r="K455" s="193">
        <f>AVERAGE(K172:K176)</f>
        <v>15189.6</v>
      </c>
      <c r="M455" s="193">
        <f t="shared" ref="M455:S455" si="220">AVERAGE(M172:M176)</f>
        <v>10.5</v>
      </c>
      <c r="N455" s="193">
        <f t="shared" si="220"/>
        <v>2357.4</v>
      </c>
      <c r="O455" s="193">
        <f t="shared" si="220"/>
        <v>8406.4</v>
      </c>
      <c r="P455" s="193">
        <f t="shared" si="220"/>
        <v>1263.5999999999999</v>
      </c>
      <c r="Q455" s="193">
        <f t="shared" si="220"/>
        <v>34.200000000000003</v>
      </c>
      <c r="R455" s="193" t="s">
        <v>29</v>
      </c>
      <c r="S455" s="200">
        <f t="shared" si="220"/>
        <v>12065.8</v>
      </c>
    </row>
    <row r="456" spans="1:19" x14ac:dyDescent="0.2">
      <c r="A456" s="118">
        <v>2006</v>
      </c>
      <c r="B456" s="193">
        <f t="shared" ref="B456:K456" si="221">B177</f>
        <v>0</v>
      </c>
      <c r="C456" s="193">
        <f t="shared" si="221"/>
        <v>3</v>
      </c>
      <c r="D456" s="193">
        <f t="shared" si="221"/>
        <v>11</v>
      </c>
      <c r="E456" s="193">
        <f t="shared" si="221"/>
        <v>388</v>
      </c>
      <c r="F456" s="193">
        <f t="shared" si="221"/>
        <v>3225</v>
      </c>
      <c r="G456" s="193">
        <f t="shared" si="221"/>
        <v>927</v>
      </c>
      <c r="H456" s="193">
        <f t="shared" si="221"/>
        <v>656</v>
      </c>
      <c r="I456" s="193">
        <f t="shared" si="221"/>
        <v>0</v>
      </c>
      <c r="J456" s="193" t="str">
        <f t="shared" si="221"/>
        <v>--</v>
      </c>
      <c r="K456" s="193">
        <f t="shared" si="221"/>
        <v>5210</v>
      </c>
      <c r="M456" s="193" t="str">
        <f t="shared" ref="M456:S456" si="222">M177</f>
        <v>-</v>
      </c>
      <c r="N456" s="193">
        <f t="shared" si="222"/>
        <v>184</v>
      </c>
      <c r="O456" s="193">
        <f t="shared" si="222"/>
        <v>3321</v>
      </c>
      <c r="P456" s="193">
        <f t="shared" si="222"/>
        <v>26</v>
      </c>
      <c r="Q456" s="193">
        <f t="shared" si="222"/>
        <v>42</v>
      </c>
      <c r="R456" s="193" t="str">
        <f t="shared" si="222"/>
        <v>-</v>
      </c>
      <c r="S456" s="200">
        <f t="shared" si="222"/>
        <v>3573</v>
      </c>
    </row>
    <row r="457" spans="1:19" s="366" customFormat="1" x14ac:dyDescent="0.2">
      <c r="A457" s="118">
        <v>2007</v>
      </c>
      <c r="B457" s="193">
        <f t="shared" ref="B457:K457" si="223">B178</f>
        <v>2</v>
      </c>
      <c r="C457" s="193">
        <f t="shared" si="223"/>
        <v>0</v>
      </c>
      <c r="D457" s="193">
        <f t="shared" si="223"/>
        <v>18</v>
      </c>
      <c r="E457" s="193">
        <f t="shared" si="223"/>
        <v>115</v>
      </c>
      <c r="F457" s="193">
        <f t="shared" si="223"/>
        <v>545</v>
      </c>
      <c r="G457" s="193">
        <f t="shared" si="223"/>
        <v>672</v>
      </c>
      <c r="H457" s="193">
        <f t="shared" si="223"/>
        <v>62</v>
      </c>
      <c r="I457" s="193">
        <f t="shared" si="223"/>
        <v>0</v>
      </c>
      <c r="J457" s="193" t="str">
        <f t="shared" si="223"/>
        <v>--</v>
      </c>
      <c r="K457" s="193">
        <f t="shared" si="223"/>
        <v>1414</v>
      </c>
      <c r="L457" s="48"/>
      <c r="M457" s="193" t="str">
        <f t="shared" ref="M457:S457" si="224">M178</f>
        <v>-</v>
      </c>
      <c r="N457" s="193">
        <f t="shared" si="224"/>
        <v>813</v>
      </c>
      <c r="O457" s="193">
        <f t="shared" si="224"/>
        <v>8402</v>
      </c>
      <c r="P457" s="193">
        <f t="shared" si="224"/>
        <v>3509</v>
      </c>
      <c r="Q457" s="193">
        <f t="shared" si="224"/>
        <v>12</v>
      </c>
      <c r="R457" s="193" t="str">
        <f t="shared" si="224"/>
        <v>-</v>
      </c>
      <c r="S457" s="200">
        <f t="shared" si="224"/>
        <v>12736</v>
      </c>
    </row>
    <row r="458" spans="1:19" s="366" customFormat="1" x14ac:dyDescent="0.2">
      <c r="A458" s="118">
        <v>2008</v>
      </c>
      <c r="B458" s="193" t="str">
        <f t="shared" ref="B458:K458" si="225">B179</f>
        <v>-</v>
      </c>
      <c r="C458" s="193" t="str">
        <f t="shared" si="225"/>
        <v>-</v>
      </c>
      <c r="D458" s="193" t="str">
        <f t="shared" si="225"/>
        <v>-</v>
      </c>
      <c r="E458" s="193">
        <f t="shared" si="225"/>
        <v>7</v>
      </c>
      <c r="F458" s="193">
        <f t="shared" si="225"/>
        <v>3</v>
      </c>
      <c r="G458" s="193" t="str">
        <f t="shared" si="225"/>
        <v>-</v>
      </c>
      <c r="H458" s="193" t="str">
        <f t="shared" si="225"/>
        <v>-</v>
      </c>
      <c r="I458" s="193" t="str">
        <f t="shared" si="225"/>
        <v>-</v>
      </c>
      <c r="J458" s="193" t="str">
        <f t="shared" si="225"/>
        <v>--</v>
      </c>
      <c r="K458" s="193">
        <f t="shared" si="225"/>
        <v>10</v>
      </c>
      <c r="L458" s="48"/>
      <c r="M458" s="193" t="str">
        <f t="shared" ref="M458:S458" si="226">M179</f>
        <v>-</v>
      </c>
      <c r="N458" s="193">
        <f t="shared" si="226"/>
        <v>621</v>
      </c>
      <c r="O458" s="193">
        <f t="shared" si="226"/>
        <v>1726</v>
      </c>
      <c r="P458" s="193">
        <f t="shared" si="226"/>
        <v>1381</v>
      </c>
      <c r="Q458" s="193" t="str">
        <f t="shared" si="226"/>
        <v>-</v>
      </c>
      <c r="R458" s="193" t="str">
        <f t="shared" si="226"/>
        <v>-</v>
      </c>
      <c r="S458" s="200">
        <f t="shared" si="226"/>
        <v>3728</v>
      </c>
    </row>
    <row r="459" spans="1:19" s="366" customFormat="1" x14ac:dyDescent="0.2">
      <c r="A459" s="118">
        <v>2009</v>
      </c>
      <c r="B459" s="193" t="str">
        <f t="shared" ref="B459:K459" si="227">B180</f>
        <v>-</v>
      </c>
      <c r="C459" s="193" t="str">
        <f t="shared" si="227"/>
        <v>-</v>
      </c>
      <c r="D459" s="193" t="str">
        <f t="shared" si="227"/>
        <v>-</v>
      </c>
      <c r="E459" s="193">
        <f t="shared" si="227"/>
        <v>3</v>
      </c>
      <c r="F459" s="193">
        <f t="shared" si="227"/>
        <v>7</v>
      </c>
      <c r="G459" s="193">
        <f t="shared" si="227"/>
        <v>2</v>
      </c>
      <c r="H459" s="193" t="str">
        <f t="shared" si="227"/>
        <v>-</v>
      </c>
      <c r="I459" s="193" t="str">
        <f t="shared" si="227"/>
        <v>--</v>
      </c>
      <c r="J459" s="193" t="str">
        <f t="shared" si="227"/>
        <v>--</v>
      </c>
      <c r="K459" s="193">
        <f t="shared" si="227"/>
        <v>12</v>
      </c>
      <c r="L459" s="48"/>
      <c r="M459" s="193" t="str">
        <f t="shared" ref="M459:S459" si="228">M180</f>
        <v>-</v>
      </c>
      <c r="N459" s="193">
        <f t="shared" si="228"/>
        <v>1154</v>
      </c>
      <c r="O459" s="193">
        <f t="shared" si="228"/>
        <v>7596</v>
      </c>
      <c r="P459" s="193">
        <f t="shared" si="228"/>
        <v>1175</v>
      </c>
      <c r="Q459" s="193">
        <f t="shared" si="228"/>
        <v>42</v>
      </c>
      <c r="R459" s="193" t="str">
        <f t="shared" si="228"/>
        <v>-</v>
      </c>
      <c r="S459" s="200">
        <f t="shared" si="228"/>
        <v>9967</v>
      </c>
    </row>
    <row r="460" spans="1:19" s="366" customFormat="1" x14ac:dyDescent="0.2">
      <c r="A460" s="118">
        <v>2010</v>
      </c>
      <c r="B460" s="193" t="str">
        <f t="shared" ref="B460:K460" si="229">B181</f>
        <v>-</v>
      </c>
      <c r="C460" s="193" t="str">
        <f t="shared" si="229"/>
        <v>-</v>
      </c>
      <c r="D460" s="193">
        <f t="shared" si="229"/>
        <v>8</v>
      </c>
      <c r="E460" s="193">
        <f t="shared" si="229"/>
        <v>83</v>
      </c>
      <c r="F460" s="193">
        <f t="shared" si="229"/>
        <v>133</v>
      </c>
      <c r="G460" s="193">
        <f t="shared" si="229"/>
        <v>444</v>
      </c>
      <c r="H460" s="193">
        <f t="shared" si="229"/>
        <v>28</v>
      </c>
      <c r="I460" s="193" t="str">
        <f t="shared" si="229"/>
        <v>--</v>
      </c>
      <c r="J460" s="193" t="str">
        <f t="shared" si="229"/>
        <v>--</v>
      </c>
      <c r="K460" s="193">
        <f t="shared" si="229"/>
        <v>696</v>
      </c>
      <c r="L460" s="48"/>
      <c r="M460" s="193" t="str">
        <f t="shared" ref="M460:S460" si="230">M181</f>
        <v>-</v>
      </c>
      <c r="N460" s="193">
        <f t="shared" si="230"/>
        <v>18</v>
      </c>
      <c r="O460" s="193">
        <f t="shared" si="230"/>
        <v>238</v>
      </c>
      <c r="P460" s="193">
        <f t="shared" si="230"/>
        <v>663</v>
      </c>
      <c r="Q460" s="193">
        <f t="shared" si="230"/>
        <v>8</v>
      </c>
      <c r="R460" s="193" t="str">
        <f t="shared" si="230"/>
        <v>-</v>
      </c>
      <c r="S460" s="200">
        <f t="shared" si="230"/>
        <v>927</v>
      </c>
    </row>
    <row r="461" spans="1:19" s="366" customFormat="1" x14ac:dyDescent="0.2">
      <c r="A461" s="118">
        <v>2011</v>
      </c>
      <c r="B461" s="193">
        <f t="shared" ref="B461:K461" si="231">B182</f>
        <v>0</v>
      </c>
      <c r="C461" s="193">
        <f t="shared" si="231"/>
        <v>1</v>
      </c>
      <c r="D461" s="193">
        <f t="shared" si="231"/>
        <v>31</v>
      </c>
      <c r="E461" s="193">
        <f t="shared" si="231"/>
        <v>88</v>
      </c>
      <c r="F461" s="193">
        <f t="shared" si="231"/>
        <v>254</v>
      </c>
      <c r="G461" s="193">
        <f t="shared" si="231"/>
        <v>389</v>
      </c>
      <c r="H461" s="193">
        <f t="shared" si="231"/>
        <v>248</v>
      </c>
      <c r="I461" s="193" t="str">
        <f t="shared" si="231"/>
        <v>-</v>
      </c>
      <c r="J461" s="193">
        <f t="shared" si="231"/>
        <v>6</v>
      </c>
      <c r="K461" s="193">
        <f t="shared" si="231"/>
        <v>1017</v>
      </c>
      <c r="L461" s="48"/>
      <c r="M461" s="193" t="str">
        <f t="shared" ref="M461:S461" si="232">M182</f>
        <v>-</v>
      </c>
      <c r="N461" s="193">
        <f t="shared" si="232"/>
        <v>11</v>
      </c>
      <c r="O461" s="193">
        <f t="shared" si="232"/>
        <v>330</v>
      </c>
      <c r="P461" s="193">
        <f t="shared" si="232"/>
        <v>338</v>
      </c>
      <c r="Q461" s="193">
        <f t="shared" si="232"/>
        <v>411</v>
      </c>
      <c r="R461" s="193" t="str">
        <f t="shared" si="232"/>
        <v>-</v>
      </c>
      <c r="S461" s="200">
        <f t="shared" si="232"/>
        <v>1090</v>
      </c>
    </row>
    <row r="462" spans="1:19" s="366" customFormat="1" x14ac:dyDescent="0.2">
      <c r="A462" s="118">
        <v>2012</v>
      </c>
      <c r="B462" s="193">
        <f t="shared" ref="B462:K462" si="233">B183</f>
        <v>0</v>
      </c>
      <c r="C462" s="193">
        <f t="shared" si="233"/>
        <v>12</v>
      </c>
      <c r="D462" s="193">
        <f t="shared" si="233"/>
        <v>391</v>
      </c>
      <c r="E462" s="193">
        <f t="shared" si="233"/>
        <v>529</v>
      </c>
      <c r="F462" s="193">
        <f t="shared" si="233"/>
        <v>502</v>
      </c>
      <c r="G462" s="193">
        <f t="shared" si="233"/>
        <v>1348</v>
      </c>
      <c r="H462" s="193">
        <f t="shared" si="233"/>
        <v>749</v>
      </c>
      <c r="I462" s="193">
        <f t="shared" si="233"/>
        <v>60</v>
      </c>
      <c r="J462" s="193">
        <f t="shared" si="233"/>
        <v>8</v>
      </c>
      <c r="K462" s="193">
        <f t="shared" si="233"/>
        <v>3599</v>
      </c>
      <c r="L462" s="48"/>
      <c r="M462" s="193" t="str">
        <f t="shared" ref="M462:S462" si="234">M183</f>
        <v>-</v>
      </c>
      <c r="N462" s="193">
        <f t="shared" si="234"/>
        <v>31</v>
      </c>
      <c r="O462" s="193">
        <f t="shared" si="234"/>
        <v>782</v>
      </c>
      <c r="P462" s="193">
        <f t="shared" si="234"/>
        <v>829</v>
      </c>
      <c r="Q462" s="193">
        <f t="shared" si="234"/>
        <v>814</v>
      </c>
      <c r="R462" s="193" t="str">
        <f t="shared" si="234"/>
        <v>-</v>
      </c>
      <c r="S462" s="200">
        <f t="shared" si="234"/>
        <v>2456</v>
      </c>
    </row>
    <row r="463" spans="1:19" s="366" customFormat="1" x14ac:dyDescent="0.2">
      <c r="A463" s="118">
        <v>2013</v>
      </c>
      <c r="B463" s="193">
        <f t="shared" ref="B463:K463" si="235">B184</f>
        <v>26</v>
      </c>
      <c r="C463" s="193">
        <f t="shared" si="235"/>
        <v>52</v>
      </c>
      <c r="D463" s="193">
        <f t="shared" si="235"/>
        <v>135</v>
      </c>
      <c r="E463" s="193">
        <f t="shared" si="235"/>
        <v>1189</v>
      </c>
      <c r="F463" s="193">
        <f t="shared" si="235"/>
        <v>790</v>
      </c>
      <c r="G463" s="193">
        <f t="shared" si="235"/>
        <v>11479</v>
      </c>
      <c r="H463" s="193">
        <f t="shared" si="235"/>
        <v>657</v>
      </c>
      <c r="I463" s="193">
        <f t="shared" si="235"/>
        <v>4</v>
      </c>
      <c r="J463" s="193" t="str">
        <f t="shared" si="235"/>
        <v>--</v>
      </c>
      <c r="K463" s="193">
        <f t="shared" si="235"/>
        <v>14332</v>
      </c>
      <c r="L463" s="48"/>
      <c r="M463" s="193" t="str">
        <f t="shared" ref="M463:S463" si="236">M184</f>
        <v>-</v>
      </c>
      <c r="N463" s="193">
        <f t="shared" si="236"/>
        <v>9</v>
      </c>
      <c r="O463" s="193">
        <f t="shared" si="236"/>
        <v>66</v>
      </c>
      <c r="P463" s="193">
        <f t="shared" si="236"/>
        <v>94</v>
      </c>
      <c r="Q463" s="193">
        <f t="shared" si="236"/>
        <v>329</v>
      </c>
      <c r="R463" s="193" t="str">
        <f t="shared" si="236"/>
        <v>-</v>
      </c>
      <c r="S463" s="200">
        <f t="shared" si="236"/>
        <v>498</v>
      </c>
    </row>
    <row r="464" spans="1:19" s="366" customFormat="1" x14ac:dyDescent="0.2">
      <c r="A464" s="118">
        <v>2014</v>
      </c>
      <c r="B464" s="193">
        <f t="shared" ref="B464:K464" si="237">B185</f>
        <v>0</v>
      </c>
      <c r="C464" s="193">
        <f t="shared" si="237"/>
        <v>9</v>
      </c>
      <c r="D464" s="193">
        <f t="shared" si="237"/>
        <v>69</v>
      </c>
      <c r="E464" s="193">
        <f t="shared" si="237"/>
        <v>767</v>
      </c>
      <c r="F464" s="193">
        <f t="shared" si="237"/>
        <v>1865</v>
      </c>
      <c r="G464" s="193">
        <f t="shared" si="237"/>
        <v>2399</v>
      </c>
      <c r="H464" s="193">
        <f t="shared" si="237"/>
        <v>736</v>
      </c>
      <c r="I464" s="193">
        <f t="shared" si="237"/>
        <v>6</v>
      </c>
      <c r="J464" s="193" t="str">
        <f t="shared" si="237"/>
        <v>--</v>
      </c>
      <c r="K464" s="193">
        <f t="shared" si="237"/>
        <v>5851</v>
      </c>
      <c r="L464" s="48"/>
      <c r="M464" s="193">
        <f t="shared" ref="M464:S464" si="238">M185</f>
        <v>1</v>
      </c>
      <c r="N464" s="193">
        <f t="shared" si="238"/>
        <v>620</v>
      </c>
      <c r="O464" s="193">
        <f t="shared" si="238"/>
        <v>4371</v>
      </c>
      <c r="P464" s="193">
        <f t="shared" si="238"/>
        <v>1672</v>
      </c>
      <c r="Q464" s="193">
        <f t="shared" si="238"/>
        <v>3255</v>
      </c>
      <c r="R464" s="193" t="str">
        <f t="shared" si="238"/>
        <v>-</v>
      </c>
      <c r="S464" s="200">
        <f t="shared" si="238"/>
        <v>9919</v>
      </c>
    </row>
    <row r="465" spans="1:19" s="366" customFormat="1" x14ac:dyDescent="0.2">
      <c r="A465" s="118">
        <v>2015</v>
      </c>
      <c r="B465" s="193">
        <f t="shared" ref="B465:K465" si="239">B186</f>
        <v>0</v>
      </c>
      <c r="C465" s="193">
        <f t="shared" si="239"/>
        <v>3</v>
      </c>
      <c r="D465" s="193">
        <f t="shared" si="239"/>
        <v>18</v>
      </c>
      <c r="E465" s="193">
        <f t="shared" si="239"/>
        <v>209</v>
      </c>
      <c r="F465" s="193">
        <f t="shared" si="239"/>
        <v>187</v>
      </c>
      <c r="G465" s="193">
        <f t="shared" si="239"/>
        <v>197</v>
      </c>
      <c r="H465" s="193">
        <f t="shared" si="239"/>
        <v>744</v>
      </c>
      <c r="I465" s="193">
        <f t="shared" si="239"/>
        <v>3</v>
      </c>
      <c r="J465" s="193" t="str">
        <f t="shared" si="239"/>
        <v>--</v>
      </c>
      <c r="K465" s="193">
        <f t="shared" si="239"/>
        <v>1361</v>
      </c>
      <c r="L465" s="48"/>
      <c r="M465" s="193" t="str">
        <f t="shared" ref="M465:S465" si="240">M186</f>
        <v>-</v>
      </c>
      <c r="N465" s="193">
        <f t="shared" si="240"/>
        <v>208</v>
      </c>
      <c r="O465" s="193">
        <f t="shared" si="240"/>
        <v>2633</v>
      </c>
      <c r="P465" s="193">
        <f t="shared" si="240"/>
        <v>81</v>
      </c>
      <c r="Q465" s="193">
        <f t="shared" si="240"/>
        <v>1731</v>
      </c>
      <c r="R465" s="193" t="str">
        <f t="shared" si="240"/>
        <v>-</v>
      </c>
      <c r="S465" s="200">
        <f t="shared" si="240"/>
        <v>4653</v>
      </c>
    </row>
    <row r="466" spans="1:19" s="366" customFormat="1" x14ac:dyDescent="0.2">
      <c r="A466" s="118">
        <v>2016</v>
      </c>
      <c r="B466" s="193">
        <f t="shared" ref="B466:K466" si="241">B187</f>
        <v>4</v>
      </c>
      <c r="C466" s="193">
        <f t="shared" si="241"/>
        <v>4</v>
      </c>
      <c r="D466" s="193">
        <f t="shared" si="241"/>
        <v>2</v>
      </c>
      <c r="E466" s="193">
        <f t="shared" si="241"/>
        <v>44</v>
      </c>
      <c r="F466" s="193">
        <f t="shared" si="241"/>
        <v>91</v>
      </c>
      <c r="G466" s="193">
        <f t="shared" si="241"/>
        <v>213</v>
      </c>
      <c r="H466" s="193">
        <f t="shared" si="241"/>
        <v>318</v>
      </c>
      <c r="I466" s="193">
        <f t="shared" si="241"/>
        <v>0</v>
      </c>
      <c r="J466" s="193" t="str">
        <f t="shared" si="241"/>
        <v>--</v>
      </c>
      <c r="K466" s="193">
        <f t="shared" si="241"/>
        <v>676</v>
      </c>
      <c r="L466" s="48"/>
      <c r="M466" s="193" t="str">
        <f t="shared" ref="M466:S466" si="242">M187</f>
        <v>-</v>
      </c>
      <c r="N466" s="193">
        <f t="shared" si="242"/>
        <v>58</v>
      </c>
      <c r="O466" s="193">
        <f t="shared" si="242"/>
        <v>410</v>
      </c>
      <c r="P466" s="193">
        <f t="shared" si="242"/>
        <v>59</v>
      </c>
      <c r="Q466" s="193">
        <f t="shared" si="242"/>
        <v>959</v>
      </c>
      <c r="R466" s="193" t="str">
        <f t="shared" si="242"/>
        <v>-</v>
      </c>
      <c r="S466" s="200">
        <f t="shared" si="242"/>
        <v>1486</v>
      </c>
    </row>
    <row r="467" spans="1:19" s="366" customFormat="1" x14ac:dyDescent="0.2">
      <c r="A467" s="118">
        <v>2017</v>
      </c>
      <c r="B467" s="193">
        <f t="shared" ref="B467:K467" si="243">B188</f>
        <v>0</v>
      </c>
      <c r="C467" s="193">
        <f t="shared" si="243"/>
        <v>6</v>
      </c>
      <c r="D467" s="193">
        <f t="shared" si="243"/>
        <v>7</v>
      </c>
      <c r="E467" s="193">
        <f t="shared" si="243"/>
        <v>28</v>
      </c>
      <c r="F467" s="193">
        <f t="shared" si="243"/>
        <v>212</v>
      </c>
      <c r="G467" s="193">
        <f t="shared" si="243"/>
        <v>199</v>
      </c>
      <c r="H467" s="193">
        <f t="shared" si="243"/>
        <v>121</v>
      </c>
      <c r="I467" s="193">
        <f t="shared" si="243"/>
        <v>0</v>
      </c>
      <c r="J467" s="193" t="str">
        <f t="shared" si="243"/>
        <v>--</v>
      </c>
      <c r="K467" s="193">
        <f t="shared" si="243"/>
        <v>573</v>
      </c>
      <c r="L467" s="48"/>
      <c r="M467" s="193" t="str">
        <f t="shared" ref="M467:S467" si="244">M188</f>
        <v>-</v>
      </c>
      <c r="N467" s="193">
        <f t="shared" si="244"/>
        <v>241</v>
      </c>
      <c r="O467" s="193">
        <f t="shared" si="244"/>
        <v>1452</v>
      </c>
      <c r="P467" s="193">
        <f t="shared" si="244"/>
        <v>557</v>
      </c>
      <c r="Q467" s="193">
        <f t="shared" si="244"/>
        <v>1146</v>
      </c>
      <c r="R467" s="193" t="str">
        <f t="shared" si="244"/>
        <v>-</v>
      </c>
      <c r="S467" s="200">
        <f t="shared" si="244"/>
        <v>3396</v>
      </c>
    </row>
    <row r="468" spans="1:19" s="366" customFormat="1" x14ac:dyDescent="0.2">
      <c r="A468" s="118">
        <v>2018</v>
      </c>
      <c r="B468" s="197">
        <f t="shared" ref="B468:K468" si="245">B189</f>
        <v>0</v>
      </c>
      <c r="C468" s="197">
        <f t="shared" si="245"/>
        <v>0</v>
      </c>
      <c r="D468" s="197">
        <f t="shared" si="245"/>
        <v>6</v>
      </c>
      <c r="E468" s="197">
        <f t="shared" si="245"/>
        <v>52</v>
      </c>
      <c r="F468" s="197">
        <f t="shared" si="245"/>
        <v>180</v>
      </c>
      <c r="G468" s="197">
        <f t="shared" si="245"/>
        <v>311</v>
      </c>
      <c r="H468" s="197">
        <f t="shared" si="245"/>
        <v>244</v>
      </c>
      <c r="I468" s="197">
        <f t="shared" si="245"/>
        <v>0</v>
      </c>
      <c r="J468" s="197" t="str">
        <f t="shared" si="245"/>
        <v>--</v>
      </c>
      <c r="K468" s="197">
        <f t="shared" si="245"/>
        <v>793</v>
      </c>
      <c r="L468" s="182"/>
      <c r="M468" s="197" t="str">
        <f t="shared" ref="M468:S468" si="246">M189</f>
        <v>-</v>
      </c>
      <c r="N468" s="197">
        <f t="shared" si="246"/>
        <v>4</v>
      </c>
      <c r="O468" s="197">
        <f t="shared" si="246"/>
        <v>579</v>
      </c>
      <c r="P468" s="197">
        <f t="shared" si="246"/>
        <v>887</v>
      </c>
      <c r="Q468" s="197">
        <f t="shared" si="246"/>
        <v>2983</v>
      </c>
      <c r="R468" s="197" t="str">
        <f t="shared" si="246"/>
        <v>-</v>
      </c>
      <c r="S468" s="203">
        <f t="shared" si="246"/>
        <v>4453</v>
      </c>
    </row>
    <row r="469" spans="1:19" s="489" customFormat="1" x14ac:dyDescent="0.2">
      <c r="A469" s="118">
        <v>2019</v>
      </c>
      <c r="B469" s="197">
        <f t="shared" ref="B469:K470" si="247">B190</f>
        <v>0</v>
      </c>
      <c r="C469" s="197">
        <f t="shared" si="247"/>
        <v>0</v>
      </c>
      <c r="D469" s="197">
        <f t="shared" si="247"/>
        <v>0</v>
      </c>
      <c r="E469" s="197">
        <f t="shared" si="247"/>
        <v>87</v>
      </c>
      <c r="F469" s="197">
        <f t="shared" si="247"/>
        <v>603</v>
      </c>
      <c r="G469" s="197">
        <f t="shared" si="247"/>
        <v>236</v>
      </c>
      <c r="H469" s="197">
        <f t="shared" si="247"/>
        <v>305</v>
      </c>
      <c r="I469" s="197" t="str">
        <f t="shared" si="247"/>
        <v>-</v>
      </c>
      <c r="J469" s="197" t="str">
        <f t="shared" si="247"/>
        <v>-</v>
      </c>
      <c r="K469" s="197">
        <f t="shared" si="247"/>
        <v>1231</v>
      </c>
      <c r="L469" s="182"/>
      <c r="M469" s="197" t="str">
        <f t="shared" ref="M469:S470" si="248">M190</f>
        <v>-</v>
      </c>
      <c r="N469" s="197">
        <f t="shared" si="248"/>
        <v>1265</v>
      </c>
      <c r="O469" s="197">
        <f t="shared" si="248"/>
        <v>4322</v>
      </c>
      <c r="P469" s="197">
        <f t="shared" si="248"/>
        <v>2023</v>
      </c>
      <c r="Q469" s="197">
        <f t="shared" si="248"/>
        <v>1980</v>
      </c>
      <c r="R469" s="197" t="str">
        <f t="shared" si="248"/>
        <v>-</v>
      </c>
      <c r="S469" s="203">
        <f t="shared" si="248"/>
        <v>9590</v>
      </c>
    </row>
    <row r="470" spans="1:19" x14ac:dyDescent="0.2">
      <c r="A470" s="118" t="s">
        <v>393</v>
      </c>
      <c r="B470" s="193">
        <f t="shared" si="247"/>
        <v>0</v>
      </c>
      <c r="C470" s="193">
        <f t="shared" si="247"/>
        <v>0</v>
      </c>
      <c r="D470" s="193">
        <f t="shared" si="247"/>
        <v>7</v>
      </c>
      <c r="E470" s="193">
        <f t="shared" si="247"/>
        <v>0</v>
      </c>
      <c r="F470" s="193">
        <f t="shared" si="247"/>
        <v>1146</v>
      </c>
      <c r="G470" s="193">
        <f t="shared" si="247"/>
        <v>405</v>
      </c>
      <c r="H470" s="193">
        <f t="shared" si="247"/>
        <v>358</v>
      </c>
      <c r="I470" s="193">
        <f t="shared" si="247"/>
        <v>11</v>
      </c>
      <c r="J470" s="193" t="str">
        <f t="shared" si="247"/>
        <v>-</v>
      </c>
      <c r="K470" s="193">
        <f t="shared" si="247"/>
        <v>1927</v>
      </c>
      <c r="M470" s="193" t="str">
        <f t="shared" si="248"/>
        <v>-</v>
      </c>
      <c r="N470" s="193">
        <f t="shared" si="248"/>
        <v>0</v>
      </c>
      <c r="O470" s="193">
        <f t="shared" si="248"/>
        <v>2610</v>
      </c>
      <c r="P470" s="193">
        <f t="shared" si="248"/>
        <v>790</v>
      </c>
      <c r="Q470" s="193">
        <f t="shared" si="248"/>
        <v>455</v>
      </c>
      <c r="R470" s="193" t="str">
        <f t="shared" si="248"/>
        <v>-</v>
      </c>
      <c r="S470" s="200">
        <f t="shared" si="248"/>
        <v>3855</v>
      </c>
    </row>
    <row r="471" spans="1:19" x14ac:dyDescent="0.2">
      <c r="A471" s="118"/>
      <c r="B471" s="193"/>
      <c r="C471" s="193"/>
      <c r="D471" s="193"/>
      <c r="E471" s="193"/>
      <c r="F471" s="193"/>
      <c r="G471" s="193"/>
      <c r="H471" s="193"/>
      <c r="I471" s="193"/>
      <c r="J471" s="193"/>
      <c r="K471" s="193"/>
      <c r="M471" s="193"/>
      <c r="N471" s="193"/>
      <c r="O471" s="193"/>
      <c r="P471" s="193"/>
      <c r="Q471" s="193"/>
      <c r="R471" s="193"/>
      <c r="S471" s="200"/>
    </row>
    <row r="472" spans="1:19" x14ac:dyDescent="0.2">
      <c r="A472" s="560" t="s">
        <v>366</v>
      </c>
      <c r="B472" s="560"/>
      <c r="C472" s="560"/>
      <c r="D472" s="560"/>
      <c r="E472" s="560"/>
      <c r="F472" s="560"/>
      <c r="G472" s="560"/>
      <c r="H472" s="560"/>
      <c r="I472" s="560"/>
      <c r="J472" s="560"/>
      <c r="K472" s="560"/>
      <c r="L472" s="560"/>
      <c r="M472" s="560"/>
      <c r="N472" s="560"/>
      <c r="O472" s="560"/>
      <c r="P472" s="560"/>
      <c r="Q472" s="560"/>
      <c r="R472" s="560"/>
      <c r="S472" s="560"/>
    </row>
    <row r="473" spans="1:19" x14ac:dyDescent="0.2">
      <c r="A473" s="124" t="s">
        <v>49</v>
      </c>
      <c r="B473" s="212" t="s">
        <v>43</v>
      </c>
      <c r="C473" s="212" t="s">
        <v>34</v>
      </c>
      <c r="D473" s="212" t="s">
        <v>35</v>
      </c>
      <c r="E473" s="212" t="s">
        <v>36</v>
      </c>
      <c r="F473" s="212" t="s">
        <v>37</v>
      </c>
      <c r="G473" s="212" t="s">
        <v>38</v>
      </c>
      <c r="H473" s="212" t="s">
        <v>39</v>
      </c>
      <c r="I473" s="212" t="s">
        <v>40</v>
      </c>
      <c r="J473" s="212" t="s">
        <v>44</v>
      </c>
      <c r="K473" s="212" t="s">
        <v>28</v>
      </c>
      <c r="L473" s="212"/>
      <c r="M473" s="212" t="s">
        <v>35</v>
      </c>
      <c r="N473" s="212" t="s">
        <v>36</v>
      </c>
      <c r="O473" s="212" t="s">
        <v>37</v>
      </c>
      <c r="P473" s="212" t="s">
        <v>38</v>
      </c>
      <c r="Q473" s="212" t="s">
        <v>39</v>
      </c>
      <c r="R473" s="212" t="s">
        <v>40</v>
      </c>
      <c r="S473" s="212" t="s">
        <v>28</v>
      </c>
    </row>
    <row r="474" spans="1:19" x14ac:dyDescent="0.2">
      <c r="B474" s="557" t="s">
        <v>67</v>
      </c>
      <c r="C474" s="557"/>
      <c r="D474" s="557"/>
      <c r="E474" s="557"/>
      <c r="F474" s="557"/>
      <c r="G474" s="557"/>
      <c r="H474" s="557"/>
      <c r="I474" s="557"/>
      <c r="J474" s="557"/>
      <c r="K474" s="557"/>
      <c r="L474" s="279"/>
      <c r="M474" s="557" t="s">
        <v>68</v>
      </c>
      <c r="N474" s="557"/>
      <c r="O474" s="557"/>
      <c r="P474" s="557"/>
      <c r="Q474" s="557"/>
      <c r="R474" s="557"/>
      <c r="S474" s="557"/>
    </row>
    <row r="475" spans="1:19" ht="10.5" customHeight="1" x14ac:dyDescent="0.2">
      <c r="A475" s="371"/>
      <c r="B475" s="193"/>
      <c r="C475" s="193"/>
      <c r="D475" s="193"/>
      <c r="E475" s="193"/>
      <c r="F475" s="193"/>
      <c r="G475" s="193"/>
      <c r="H475" s="193"/>
      <c r="I475" s="193"/>
      <c r="J475" s="193"/>
      <c r="K475" s="193"/>
      <c r="M475" s="193"/>
      <c r="N475" s="193"/>
      <c r="O475" s="193"/>
      <c r="P475" s="193"/>
      <c r="Q475" s="193"/>
      <c r="R475" s="193"/>
      <c r="S475" s="193"/>
    </row>
    <row r="476" spans="1:19" x14ac:dyDescent="0.2">
      <c r="A476" s="418" t="str">
        <f>A193</f>
        <v>Brookings</v>
      </c>
      <c r="B476" s="193"/>
      <c r="C476" s="193"/>
      <c r="D476" s="193"/>
      <c r="E476" s="193"/>
      <c r="F476" s="193"/>
      <c r="G476" s="193"/>
      <c r="H476" s="193"/>
      <c r="I476" s="193"/>
      <c r="J476" s="193"/>
      <c r="K476" s="193"/>
      <c r="M476" s="193"/>
      <c r="N476" s="193"/>
      <c r="O476" s="193"/>
      <c r="P476" s="193"/>
      <c r="Q476" s="193"/>
      <c r="R476" s="193"/>
      <c r="S476" s="193"/>
    </row>
    <row r="477" spans="1:19" x14ac:dyDescent="0.2">
      <c r="A477" s="371" t="s">
        <v>30</v>
      </c>
      <c r="B477" s="193" t="s">
        <v>29</v>
      </c>
      <c r="C477" s="193" t="s">
        <v>29</v>
      </c>
      <c r="D477" s="193">
        <f t="shared" ref="D477:K477" si="249">AVERAGE(D199:D203)</f>
        <v>853.25</v>
      </c>
      <c r="E477" s="193">
        <f t="shared" si="249"/>
        <v>2140.3333333333335</v>
      </c>
      <c r="F477" s="193">
        <f t="shared" si="249"/>
        <v>9161.7999999999993</v>
      </c>
      <c r="G477" s="193">
        <f t="shared" si="249"/>
        <v>4185.2</v>
      </c>
      <c r="H477" s="193">
        <f t="shared" si="249"/>
        <v>565.6</v>
      </c>
      <c r="I477" s="193">
        <f t="shared" si="249"/>
        <v>507.2</v>
      </c>
      <c r="J477" s="193">
        <f t="shared" si="249"/>
        <v>14.333333333333334</v>
      </c>
      <c r="K477" s="193">
        <f t="shared" si="249"/>
        <v>16395.2</v>
      </c>
      <c r="M477" s="193">
        <f t="shared" ref="M477:S477" si="250">AVERAGE(M199:M203)</f>
        <v>247</v>
      </c>
      <c r="N477" s="193">
        <f t="shared" si="250"/>
        <v>3102</v>
      </c>
      <c r="O477" s="193">
        <f t="shared" si="250"/>
        <v>7541.2</v>
      </c>
      <c r="P477" s="193">
        <f t="shared" si="250"/>
        <v>2962</v>
      </c>
      <c r="Q477" s="193">
        <f t="shared" si="250"/>
        <v>164.5</v>
      </c>
      <c r="R477" s="193">
        <f>AVERAGE(R199:R203)</f>
        <v>4</v>
      </c>
      <c r="S477" s="200">
        <f t="shared" si="250"/>
        <v>12102</v>
      </c>
    </row>
    <row r="478" spans="1:19" x14ac:dyDescent="0.2">
      <c r="A478" s="371" t="s">
        <v>87</v>
      </c>
      <c r="B478" s="193" t="s">
        <v>29</v>
      </c>
      <c r="C478" s="193" t="s">
        <v>29</v>
      </c>
      <c r="D478" s="193">
        <f t="shared" ref="D478:K478" si="251">AVERAGE(D204:D208)</f>
        <v>414.8</v>
      </c>
      <c r="E478" s="193">
        <f t="shared" si="251"/>
        <v>5447</v>
      </c>
      <c r="F478" s="193">
        <f t="shared" si="251"/>
        <v>7145.8</v>
      </c>
      <c r="G478" s="193">
        <f t="shared" si="251"/>
        <v>4010.4</v>
      </c>
      <c r="H478" s="193">
        <f t="shared" si="251"/>
        <v>1436.4</v>
      </c>
      <c r="I478" s="193">
        <f t="shared" si="251"/>
        <v>872</v>
      </c>
      <c r="J478" s="193" t="s">
        <v>29</v>
      </c>
      <c r="K478" s="193">
        <f t="shared" si="251"/>
        <v>18803.2</v>
      </c>
      <c r="M478" s="193">
        <f t="shared" ref="M478:S478" si="252">AVERAGE(M204:M208)</f>
        <v>350.2</v>
      </c>
      <c r="N478" s="193">
        <f t="shared" si="252"/>
        <v>3345.6</v>
      </c>
      <c r="O478" s="193">
        <f t="shared" si="252"/>
        <v>11413.8</v>
      </c>
      <c r="P478" s="193">
        <f t="shared" si="252"/>
        <v>3280.2</v>
      </c>
      <c r="Q478" s="193">
        <f t="shared" si="252"/>
        <v>467</v>
      </c>
      <c r="R478" s="193">
        <f>AVERAGE(R204:R208)</f>
        <v>15.5</v>
      </c>
      <c r="S478" s="200">
        <f t="shared" si="252"/>
        <v>18863</v>
      </c>
    </row>
    <row r="479" spans="1:19" x14ac:dyDescent="0.2">
      <c r="A479" s="371" t="s">
        <v>14</v>
      </c>
      <c r="B479" s="193" t="s">
        <v>29</v>
      </c>
      <c r="C479" s="193" t="s">
        <v>29</v>
      </c>
      <c r="D479" s="193">
        <f t="shared" ref="D479:I479" si="253">AVERAGE(D209:D213)</f>
        <v>815.5</v>
      </c>
      <c r="E479" s="193">
        <f t="shared" si="253"/>
        <v>1505.75</v>
      </c>
      <c r="F479" s="193">
        <f t="shared" si="253"/>
        <v>1488.6666666666667</v>
      </c>
      <c r="G479" s="193">
        <f t="shared" si="253"/>
        <v>533</v>
      </c>
      <c r="H479" s="193">
        <f t="shared" si="253"/>
        <v>818.6</v>
      </c>
      <c r="I479" s="193">
        <f t="shared" si="253"/>
        <v>870.33333333333337</v>
      </c>
      <c r="J479" s="193" t="s">
        <v>29</v>
      </c>
      <c r="K479" s="193">
        <f>AVERAGE(K209:K213)</f>
        <v>4517.3999999999996</v>
      </c>
      <c r="M479" s="193">
        <f t="shared" ref="M479:S479" si="254">AVERAGE(M209:M213)</f>
        <v>97</v>
      </c>
      <c r="N479" s="193">
        <f t="shared" si="254"/>
        <v>3448</v>
      </c>
      <c r="O479" s="193">
        <f t="shared" si="254"/>
        <v>5118</v>
      </c>
      <c r="P479" s="193">
        <f t="shared" si="254"/>
        <v>993.5</v>
      </c>
      <c r="Q479" s="193">
        <f t="shared" si="254"/>
        <v>385.8</v>
      </c>
      <c r="R479" s="193">
        <f t="shared" si="254"/>
        <v>2.5</v>
      </c>
      <c r="S479" s="200">
        <f t="shared" si="254"/>
        <v>6340.6</v>
      </c>
    </row>
    <row r="480" spans="1:19" x14ac:dyDescent="0.2">
      <c r="A480" s="371" t="s">
        <v>207</v>
      </c>
      <c r="B480" s="193" t="s">
        <v>29</v>
      </c>
      <c r="C480" s="193" t="s">
        <v>29</v>
      </c>
      <c r="D480" s="193">
        <f t="shared" ref="D480:I480" si="255">AVERAGE(D214:D218)</f>
        <v>326.8</v>
      </c>
      <c r="E480" s="193">
        <f t="shared" si="255"/>
        <v>861.4</v>
      </c>
      <c r="F480" s="193">
        <f t="shared" si="255"/>
        <v>924.2</v>
      </c>
      <c r="G480" s="193">
        <f t="shared" si="255"/>
        <v>2899</v>
      </c>
      <c r="H480" s="193">
        <f t="shared" si="255"/>
        <v>389.2</v>
      </c>
      <c r="I480" s="193">
        <f t="shared" si="255"/>
        <v>701.6</v>
      </c>
      <c r="J480" s="193" t="s">
        <v>29</v>
      </c>
      <c r="K480" s="193">
        <f>AVERAGE(K214:K218)</f>
        <v>6102.2</v>
      </c>
      <c r="M480" s="193">
        <f t="shared" ref="M480:S480" si="256">AVERAGE(M214:M218)</f>
        <v>17</v>
      </c>
      <c r="N480" s="193">
        <f t="shared" si="256"/>
        <v>11</v>
      </c>
      <c r="O480" s="193">
        <f t="shared" si="256"/>
        <v>21</v>
      </c>
      <c r="P480" s="193">
        <f t="shared" si="256"/>
        <v>32.200000000000003</v>
      </c>
      <c r="Q480" s="193">
        <f t="shared" si="256"/>
        <v>11</v>
      </c>
      <c r="R480" s="193">
        <f t="shared" si="256"/>
        <v>8.5</v>
      </c>
      <c r="S480" s="200">
        <f t="shared" si="256"/>
        <v>75.400000000000006</v>
      </c>
    </row>
    <row r="481" spans="1:19" x14ac:dyDescent="0.2">
      <c r="A481" s="118" t="s">
        <v>238</v>
      </c>
      <c r="B481" s="193" t="str">
        <f>B219</f>
        <v>-</v>
      </c>
      <c r="C481" s="193" t="str">
        <f>C219</f>
        <v>-</v>
      </c>
      <c r="D481" s="193">
        <f t="shared" ref="D481:I481" si="257">AVERAGE(D219:D223)</f>
        <v>494.4</v>
      </c>
      <c r="E481" s="193">
        <f t="shared" si="257"/>
        <v>1814.6</v>
      </c>
      <c r="F481" s="193">
        <f t="shared" si="257"/>
        <v>807.4</v>
      </c>
      <c r="G481" s="193">
        <f t="shared" si="257"/>
        <v>1931.4</v>
      </c>
      <c r="H481" s="193">
        <f t="shared" si="257"/>
        <v>1509.8</v>
      </c>
      <c r="I481" s="193">
        <f t="shared" si="257"/>
        <v>469.2</v>
      </c>
      <c r="J481" s="193" t="str">
        <f>J219</f>
        <v>-</v>
      </c>
      <c r="K481" s="193">
        <f>AVERAGE(K219:K223)</f>
        <v>7026.8</v>
      </c>
      <c r="M481" s="193" t="str">
        <f>M219</f>
        <v>-</v>
      </c>
      <c r="N481" s="193">
        <f t="shared" ref="N481:S481" si="258">AVERAGE(N219:N223)</f>
        <v>99.6</v>
      </c>
      <c r="O481" s="193">
        <f t="shared" si="258"/>
        <v>143.4</v>
      </c>
      <c r="P481" s="193">
        <f t="shared" si="258"/>
        <v>61.8</v>
      </c>
      <c r="Q481" s="193">
        <f t="shared" si="258"/>
        <v>17.75</v>
      </c>
      <c r="R481" s="193">
        <f t="shared" si="258"/>
        <v>8</v>
      </c>
      <c r="S481" s="211">
        <f t="shared" si="258"/>
        <v>322.60000000000002</v>
      </c>
    </row>
    <row r="482" spans="1:19" x14ac:dyDescent="0.2">
      <c r="A482" s="118">
        <v>2006</v>
      </c>
      <c r="B482" s="193" t="str">
        <f t="shared" ref="B482:K482" si="259">B224</f>
        <v>-</v>
      </c>
      <c r="C482" s="193" t="str">
        <f t="shared" si="259"/>
        <v>-</v>
      </c>
      <c r="D482" s="193">
        <f t="shared" si="259"/>
        <v>52</v>
      </c>
      <c r="E482" s="193">
        <f t="shared" si="259"/>
        <v>513</v>
      </c>
      <c r="F482" s="193">
        <f t="shared" si="259"/>
        <v>186</v>
      </c>
      <c r="G482" s="193" t="str">
        <f t="shared" si="259"/>
        <v>-</v>
      </c>
      <c r="H482" s="193">
        <f t="shared" si="259"/>
        <v>644</v>
      </c>
      <c r="I482" s="193">
        <f t="shared" si="259"/>
        <v>397</v>
      </c>
      <c r="J482" s="193" t="str">
        <f t="shared" si="259"/>
        <v>-</v>
      </c>
      <c r="K482" s="193">
        <f t="shared" si="259"/>
        <v>1792</v>
      </c>
      <c r="M482" s="193">
        <f t="shared" ref="M482:S494" si="260">M224</f>
        <v>2</v>
      </c>
      <c r="N482" s="193">
        <f t="shared" si="260"/>
        <v>474</v>
      </c>
      <c r="O482" s="193">
        <f t="shared" si="260"/>
        <v>117</v>
      </c>
      <c r="P482" s="193" t="str">
        <f t="shared" si="260"/>
        <v>-</v>
      </c>
      <c r="Q482" s="193">
        <f t="shared" si="260"/>
        <v>81</v>
      </c>
      <c r="R482" s="193">
        <f t="shared" si="260"/>
        <v>7</v>
      </c>
      <c r="S482" s="200">
        <f t="shared" si="260"/>
        <v>681</v>
      </c>
    </row>
    <row r="483" spans="1:19" s="366" customFormat="1" x14ac:dyDescent="0.2">
      <c r="A483" s="118">
        <v>2007</v>
      </c>
      <c r="B483" s="197" t="str">
        <f t="shared" ref="B483:K483" si="261">B225</f>
        <v>-</v>
      </c>
      <c r="C483" s="197" t="str">
        <f t="shared" si="261"/>
        <v>-</v>
      </c>
      <c r="D483" s="197">
        <f t="shared" si="261"/>
        <v>14</v>
      </c>
      <c r="E483" s="197">
        <f t="shared" si="261"/>
        <v>42</v>
      </c>
      <c r="F483" s="197">
        <f t="shared" si="261"/>
        <v>116</v>
      </c>
      <c r="G483" s="197">
        <f t="shared" si="261"/>
        <v>2000</v>
      </c>
      <c r="H483" s="197">
        <f t="shared" si="261"/>
        <v>343</v>
      </c>
      <c r="I483" s="197">
        <f t="shared" si="261"/>
        <v>535</v>
      </c>
      <c r="J483" s="197" t="str">
        <f t="shared" si="261"/>
        <v>-</v>
      </c>
      <c r="K483" s="197">
        <f t="shared" si="261"/>
        <v>3050</v>
      </c>
      <c r="L483" s="182"/>
      <c r="M483" s="197" t="str">
        <f t="shared" si="260"/>
        <v>-</v>
      </c>
      <c r="N483" s="197">
        <f t="shared" si="260"/>
        <v>132</v>
      </c>
      <c r="O483" s="197">
        <f t="shared" si="260"/>
        <v>606</v>
      </c>
      <c r="P483" s="197">
        <f t="shared" si="260"/>
        <v>809</v>
      </c>
      <c r="Q483" s="197">
        <f t="shared" si="260"/>
        <v>19</v>
      </c>
      <c r="R483" s="197">
        <f t="shared" si="260"/>
        <v>3</v>
      </c>
      <c r="S483" s="203">
        <f t="shared" si="260"/>
        <v>1569</v>
      </c>
    </row>
    <row r="484" spans="1:19" s="366" customFormat="1" x14ac:dyDescent="0.2">
      <c r="A484" s="118">
        <v>2008</v>
      </c>
      <c r="B484" s="197" t="str">
        <f t="shared" ref="B484:K484" si="262">B226</f>
        <v>-</v>
      </c>
      <c r="C484" s="197" t="str">
        <f t="shared" si="262"/>
        <v>-</v>
      </c>
      <c r="D484" s="197" t="str">
        <f t="shared" si="262"/>
        <v>-</v>
      </c>
      <c r="E484" s="197" t="str">
        <f t="shared" si="262"/>
        <v>-</v>
      </c>
      <c r="F484" s="197" t="str">
        <f t="shared" si="262"/>
        <v>-</v>
      </c>
      <c r="G484" s="197" t="str">
        <f t="shared" si="262"/>
        <v>-</v>
      </c>
      <c r="H484" s="197" t="str">
        <f t="shared" si="262"/>
        <v>-</v>
      </c>
      <c r="I484" s="197">
        <f t="shared" si="262"/>
        <v>280</v>
      </c>
      <c r="J484" s="197" t="str">
        <f t="shared" si="262"/>
        <v>-</v>
      </c>
      <c r="K484" s="197">
        <f t="shared" si="262"/>
        <v>280</v>
      </c>
      <c r="L484" s="182"/>
      <c r="M484" s="197" t="str">
        <f t="shared" si="260"/>
        <v>-</v>
      </c>
      <c r="N484" s="197">
        <f t="shared" si="260"/>
        <v>449</v>
      </c>
      <c r="O484" s="197">
        <f t="shared" si="260"/>
        <v>1273</v>
      </c>
      <c r="P484" s="197">
        <f t="shared" si="260"/>
        <v>409</v>
      </c>
      <c r="Q484" s="197" t="str">
        <f t="shared" si="260"/>
        <v>-</v>
      </c>
      <c r="R484" s="197">
        <f t="shared" si="260"/>
        <v>3</v>
      </c>
      <c r="S484" s="203">
        <f t="shared" si="260"/>
        <v>2134</v>
      </c>
    </row>
    <row r="485" spans="1:19" s="366" customFormat="1" x14ac:dyDescent="0.2">
      <c r="A485" s="118">
        <v>2009</v>
      </c>
      <c r="B485" s="197" t="str">
        <f t="shared" ref="B485:K485" si="263">B227</f>
        <v>-</v>
      </c>
      <c r="C485" s="197" t="str">
        <f t="shared" si="263"/>
        <v>-</v>
      </c>
      <c r="D485" s="197" t="str">
        <f t="shared" si="263"/>
        <v>-</v>
      </c>
      <c r="E485" s="197" t="str">
        <f t="shared" si="263"/>
        <v>-</v>
      </c>
      <c r="F485" s="197">
        <f t="shared" si="263"/>
        <v>9</v>
      </c>
      <c r="G485" s="197">
        <f t="shared" si="263"/>
        <v>23</v>
      </c>
      <c r="H485" s="197">
        <f t="shared" si="263"/>
        <v>163</v>
      </c>
      <c r="I485" s="197" t="str">
        <f t="shared" si="263"/>
        <v>-</v>
      </c>
      <c r="J485" s="197" t="str">
        <f t="shared" si="263"/>
        <v>-</v>
      </c>
      <c r="K485" s="197">
        <f t="shared" si="263"/>
        <v>195</v>
      </c>
      <c r="L485" s="182"/>
      <c r="M485" s="197" t="str">
        <f t="shared" si="260"/>
        <v>-</v>
      </c>
      <c r="N485" s="197">
        <f t="shared" si="260"/>
        <v>6</v>
      </c>
      <c r="O485" s="197">
        <f t="shared" si="260"/>
        <v>1123</v>
      </c>
      <c r="P485" s="197">
        <f t="shared" si="260"/>
        <v>59</v>
      </c>
      <c r="Q485" s="197">
        <f t="shared" si="260"/>
        <v>9</v>
      </c>
      <c r="R485" s="197" t="str">
        <f t="shared" si="260"/>
        <v>-</v>
      </c>
      <c r="S485" s="203">
        <f t="shared" si="260"/>
        <v>1197</v>
      </c>
    </row>
    <row r="486" spans="1:19" s="366" customFormat="1" x14ac:dyDescent="0.2">
      <c r="A486" s="118">
        <v>2010</v>
      </c>
      <c r="B486" s="197" t="str">
        <f t="shared" ref="B486:K486" si="264">B228</f>
        <v>-</v>
      </c>
      <c r="C486" s="197" t="str">
        <f t="shared" si="264"/>
        <v>-</v>
      </c>
      <c r="D486" s="197">
        <f t="shared" si="264"/>
        <v>7</v>
      </c>
      <c r="E486" s="197">
        <f t="shared" si="264"/>
        <v>2</v>
      </c>
      <c r="F486" s="197">
        <f t="shared" si="264"/>
        <v>3</v>
      </c>
      <c r="G486" s="197">
        <f t="shared" si="264"/>
        <v>24</v>
      </c>
      <c r="H486" s="197">
        <f t="shared" si="264"/>
        <v>247</v>
      </c>
      <c r="I486" s="197">
        <f t="shared" si="264"/>
        <v>541</v>
      </c>
      <c r="J486" s="197" t="str">
        <f t="shared" si="264"/>
        <v>-</v>
      </c>
      <c r="K486" s="197">
        <f t="shared" si="264"/>
        <v>824</v>
      </c>
      <c r="L486" s="182"/>
      <c r="M486" s="197" t="str">
        <f t="shared" si="260"/>
        <v>-</v>
      </c>
      <c r="N486" s="197" t="str">
        <f t="shared" si="260"/>
        <v>-</v>
      </c>
      <c r="O486" s="197">
        <f t="shared" si="260"/>
        <v>19</v>
      </c>
      <c r="P486" s="197">
        <f t="shared" si="260"/>
        <v>25</v>
      </c>
      <c r="Q486" s="197">
        <f t="shared" si="260"/>
        <v>16</v>
      </c>
      <c r="R486" s="197" t="str">
        <f t="shared" si="260"/>
        <v>-</v>
      </c>
      <c r="S486" s="203">
        <f t="shared" si="260"/>
        <v>60</v>
      </c>
    </row>
    <row r="487" spans="1:19" s="366" customFormat="1" x14ac:dyDescent="0.2">
      <c r="A487" s="118">
        <v>2011</v>
      </c>
      <c r="B487" s="197" t="str">
        <f t="shared" ref="B487:K487" si="265">B229</f>
        <v>-</v>
      </c>
      <c r="C487" s="197" t="str">
        <f t="shared" si="265"/>
        <v>-</v>
      </c>
      <c r="D487" s="197">
        <f t="shared" si="265"/>
        <v>148</v>
      </c>
      <c r="E487" s="197">
        <f t="shared" si="265"/>
        <v>24</v>
      </c>
      <c r="F487" s="197">
        <f t="shared" si="265"/>
        <v>7</v>
      </c>
      <c r="G487" s="197">
        <f t="shared" si="265"/>
        <v>328</v>
      </c>
      <c r="H487" s="197">
        <f t="shared" si="265"/>
        <v>196</v>
      </c>
      <c r="I487" s="197">
        <f t="shared" si="265"/>
        <v>233</v>
      </c>
      <c r="J487" s="197" t="str">
        <f t="shared" si="265"/>
        <v>-</v>
      </c>
      <c r="K487" s="197">
        <f t="shared" si="265"/>
        <v>936</v>
      </c>
      <c r="L487" s="182"/>
      <c r="M487" s="197" t="str">
        <f t="shared" si="260"/>
        <v>-</v>
      </c>
      <c r="N487" s="197" t="str">
        <f t="shared" si="260"/>
        <v>-</v>
      </c>
      <c r="O487" s="197">
        <f t="shared" si="260"/>
        <v>12</v>
      </c>
      <c r="P487" s="197">
        <f t="shared" si="260"/>
        <v>8</v>
      </c>
      <c r="Q487" s="197">
        <f t="shared" si="260"/>
        <v>8</v>
      </c>
      <c r="R487" s="197" t="str">
        <f t="shared" si="260"/>
        <v>-</v>
      </c>
      <c r="S487" s="203">
        <f t="shared" si="260"/>
        <v>28</v>
      </c>
    </row>
    <row r="488" spans="1:19" s="366" customFormat="1" x14ac:dyDescent="0.2">
      <c r="A488" s="118">
        <v>2012</v>
      </c>
      <c r="B488" s="197" t="str">
        <f t="shared" ref="B488:K488" si="266">B230</f>
        <v>-</v>
      </c>
      <c r="C488" s="197" t="str">
        <f t="shared" si="266"/>
        <v>-</v>
      </c>
      <c r="D488" s="197">
        <f t="shared" si="266"/>
        <v>334</v>
      </c>
      <c r="E488" s="197">
        <f t="shared" si="266"/>
        <v>904</v>
      </c>
      <c r="F488" s="197">
        <f t="shared" si="266"/>
        <v>2329</v>
      </c>
      <c r="G488" s="197">
        <f t="shared" si="266"/>
        <v>4014</v>
      </c>
      <c r="H488" s="197">
        <f t="shared" si="266"/>
        <v>1208</v>
      </c>
      <c r="I488" s="197">
        <f t="shared" si="266"/>
        <v>534</v>
      </c>
      <c r="J488" s="197" t="str">
        <f t="shared" si="266"/>
        <v>-</v>
      </c>
      <c r="K488" s="197">
        <f t="shared" si="266"/>
        <v>9323</v>
      </c>
      <c r="L488" s="182"/>
      <c r="M488" s="197" t="str">
        <f t="shared" si="260"/>
        <v>-</v>
      </c>
      <c r="N488" s="197">
        <f t="shared" si="260"/>
        <v>15</v>
      </c>
      <c r="O488" s="197">
        <f t="shared" si="260"/>
        <v>144</v>
      </c>
      <c r="P488" s="197">
        <f t="shared" si="260"/>
        <v>48</v>
      </c>
      <c r="Q488" s="197" t="str">
        <f t="shared" si="260"/>
        <v>-</v>
      </c>
      <c r="R488" s="197">
        <f t="shared" si="260"/>
        <v>2</v>
      </c>
      <c r="S488" s="203">
        <f t="shared" si="260"/>
        <v>209</v>
      </c>
    </row>
    <row r="489" spans="1:19" s="366" customFormat="1" x14ac:dyDescent="0.2">
      <c r="A489" s="118">
        <v>2013</v>
      </c>
      <c r="B489" s="197" t="str">
        <f t="shared" ref="B489:K489" si="267">B231</f>
        <v>-</v>
      </c>
      <c r="C489" s="197" t="str">
        <f t="shared" si="267"/>
        <v>-</v>
      </c>
      <c r="D489" s="197">
        <f t="shared" si="267"/>
        <v>22</v>
      </c>
      <c r="E489" s="197">
        <f t="shared" si="267"/>
        <v>1815</v>
      </c>
      <c r="F489" s="197">
        <f t="shared" si="267"/>
        <v>4942</v>
      </c>
      <c r="G489" s="197">
        <f t="shared" si="267"/>
        <v>2836</v>
      </c>
      <c r="H489" s="197">
        <f t="shared" si="267"/>
        <v>20</v>
      </c>
      <c r="I489" s="197">
        <f t="shared" si="267"/>
        <v>814</v>
      </c>
      <c r="J489" s="197" t="str">
        <f t="shared" si="267"/>
        <v>-</v>
      </c>
      <c r="K489" s="197">
        <f t="shared" si="267"/>
        <v>10449</v>
      </c>
      <c r="L489" s="182"/>
      <c r="M489" s="197" t="str">
        <f t="shared" si="260"/>
        <v>-</v>
      </c>
      <c r="N489" s="197">
        <f t="shared" si="260"/>
        <v>8</v>
      </c>
      <c r="O489" s="197">
        <f t="shared" si="260"/>
        <v>302</v>
      </c>
      <c r="P489" s="197">
        <f t="shared" si="260"/>
        <v>123</v>
      </c>
      <c r="Q489" s="197" t="str">
        <f t="shared" si="260"/>
        <v>-</v>
      </c>
      <c r="R489" s="197">
        <f t="shared" si="260"/>
        <v>6</v>
      </c>
      <c r="S489" s="203">
        <f t="shared" si="260"/>
        <v>439</v>
      </c>
    </row>
    <row r="490" spans="1:19" s="366" customFormat="1" x14ac:dyDescent="0.2">
      <c r="A490" s="118">
        <v>2014</v>
      </c>
      <c r="B490" s="197" t="str">
        <f t="shared" ref="B490:K490" si="268">B232</f>
        <v>-</v>
      </c>
      <c r="C490" s="197" t="str">
        <f t="shared" si="268"/>
        <v>-</v>
      </c>
      <c r="D490" s="197">
        <f t="shared" si="268"/>
        <v>817</v>
      </c>
      <c r="E490" s="197">
        <f t="shared" si="268"/>
        <v>477</v>
      </c>
      <c r="F490" s="197">
        <f t="shared" si="268"/>
        <v>3341</v>
      </c>
      <c r="G490" s="197">
        <f t="shared" si="268"/>
        <v>1053</v>
      </c>
      <c r="H490" s="197">
        <f t="shared" si="268"/>
        <v>16</v>
      </c>
      <c r="I490" s="197">
        <f t="shared" si="268"/>
        <v>1115</v>
      </c>
      <c r="J490" s="197" t="str">
        <f t="shared" si="268"/>
        <v>-</v>
      </c>
      <c r="K490" s="197">
        <f t="shared" si="268"/>
        <v>6819</v>
      </c>
      <c r="L490" s="182"/>
      <c r="M490" s="197">
        <f t="shared" si="260"/>
        <v>3</v>
      </c>
      <c r="N490" s="197">
        <f t="shared" si="260"/>
        <v>31</v>
      </c>
      <c r="O490" s="197">
        <f t="shared" si="260"/>
        <v>528</v>
      </c>
      <c r="P490" s="197">
        <f t="shared" si="260"/>
        <v>5</v>
      </c>
      <c r="Q490" s="197" t="str">
        <f t="shared" si="260"/>
        <v>-</v>
      </c>
      <c r="R490" s="197" t="str">
        <f t="shared" si="260"/>
        <v>-</v>
      </c>
      <c r="S490" s="203">
        <f t="shared" si="260"/>
        <v>567</v>
      </c>
    </row>
    <row r="491" spans="1:19" s="366" customFormat="1" x14ac:dyDescent="0.2">
      <c r="A491" s="118">
        <v>2015</v>
      </c>
      <c r="B491" s="197" t="str">
        <f t="shared" ref="B491:K491" si="269">B233</f>
        <v>-</v>
      </c>
      <c r="C491" s="197" t="str">
        <f t="shared" si="269"/>
        <v>-</v>
      </c>
      <c r="D491" s="197">
        <f t="shared" si="269"/>
        <v>30</v>
      </c>
      <c r="E491" s="197">
        <f t="shared" si="269"/>
        <v>97</v>
      </c>
      <c r="F491" s="197">
        <f t="shared" si="269"/>
        <v>149</v>
      </c>
      <c r="G491" s="197">
        <f t="shared" si="269"/>
        <v>47</v>
      </c>
      <c r="H491" s="197">
        <f t="shared" si="269"/>
        <v>69</v>
      </c>
      <c r="I491" s="197">
        <f t="shared" si="269"/>
        <v>792</v>
      </c>
      <c r="J491" s="197" t="str">
        <f t="shared" si="269"/>
        <v>-</v>
      </c>
      <c r="K491" s="197">
        <f t="shared" si="269"/>
        <v>1184</v>
      </c>
      <c r="L491" s="182"/>
      <c r="M491" s="197" t="str">
        <f t="shared" si="260"/>
        <v>-</v>
      </c>
      <c r="N491" s="197">
        <f t="shared" si="260"/>
        <v>5</v>
      </c>
      <c r="O491" s="197">
        <f t="shared" si="260"/>
        <v>118</v>
      </c>
      <c r="P491" s="197">
        <f t="shared" si="260"/>
        <v>5</v>
      </c>
      <c r="Q491" s="197">
        <f t="shared" si="260"/>
        <v>4</v>
      </c>
      <c r="R491" s="197">
        <f t="shared" si="260"/>
        <v>6</v>
      </c>
      <c r="S491" s="203">
        <f t="shared" si="260"/>
        <v>138</v>
      </c>
    </row>
    <row r="492" spans="1:19" s="366" customFormat="1" x14ac:dyDescent="0.2">
      <c r="A492" s="118">
        <v>2016</v>
      </c>
      <c r="B492" s="197" t="str">
        <f t="shared" ref="B492:K492" si="270">B234</f>
        <v>-</v>
      </c>
      <c r="C492" s="197" t="str">
        <f t="shared" si="270"/>
        <v>-</v>
      </c>
      <c r="D492" s="197">
        <f t="shared" si="270"/>
        <v>0</v>
      </c>
      <c r="E492" s="197">
        <f t="shared" si="270"/>
        <v>82</v>
      </c>
      <c r="F492" s="197">
        <f t="shared" si="270"/>
        <v>72</v>
      </c>
      <c r="G492" s="197">
        <f t="shared" si="270"/>
        <v>3</v>
      </c>
      <c r="H492" s="197">
        <f t="shared" si="270"/>
        <v>59</v>
      </c>
      <c r="I492" s="197">
        <f t="shared" si="270"/>
        <v>287</v>
      </c>
      <c r="J492" s="197" t="str">
        <f t="shared" si="270"/>
        <v>-</v>
      </c>
      <c r="K492" s="197">
        <f t="shared" si="270"/>
        <v>503</v>
      </c>
      <c r="L492" s="182"/>
      <c r="M492" s="197" t="str">
        <f t="shared" si="260"/>
        <v>-</v>
      </c>
      <c r="N492" s="197">
        <f t="shared" si="260"/>
        <v>11</v>
      </c>
      <c r="O492" s="197">
        <f t="shared" si="260"/>
        <v>36</v>
      </c>
      <c r="P492" s="197">
        <f t="shared" si="260"/>
        <v>3</v>
      </c>
      <c r="Q492" s="197">
        <f t="shared" si="260"/>
        <v>2</v>
      </c>
      <c r="R492" s="197" t="str">
        <f t="shared" si="260"/>
        <v>-</v>
      </c>
      <c r="S492" s="203">
        <f t="shared" si="260"/>
        <v>52</v>
      </c>
    </row>
    <row r="493" spans="1:19" s="366" customFormat="1" x14ac:dyDescent="0.2">
      <c r="A493" s="118">
        <v>2017</v>
      </c>
      <c r="B493" s="197" t="str">
        <f t="shared" ref="B493:K493" si="271">B235</f>
        <v>-</v>
      </c>
      <c r="C493" s="197" t="str">
        <f t="shared" si="271"/>
        <v>-</v>
      </c>
      <c r="D493" s="197" t="str">
        <f t="shared" si="271"/>
        <v>-</v>
      </c>
      <c r="E493" s="197" t="str">
        <f t="shared" si="271"/>
        <v>-</v>
      </c>
      <c r="F493" s="197" t="str">
        <f t="shared" si="271"/>
        <v>-</v>
      </c>
      <c r="G493" s="197" t="str">
        <f t="shared" si="271"/>
        <v>-</v>
      </c>
      <c r="H493" s="197" t="str">
        <f t="shared" si="271"/>
        <v>-</v>
      </c>
      <c r="I493" s="197">
        <f t="shared" si="271"/>
        <v>506</v>
      </c>
      <c r="J493" s="197" t="str">
        <f t="shared" si="271"/>
        <v>-</v>
      </c>
      <c r="K493" s="197">
        <f t="shared" si="271"/>
        <v>506</v>
      </c>
      <c r="L493" s="182"/>
      <c r="M493" s="197" t="str">
        <f t="shared" si="260"/>
        <v>-</v>
      </c>
      <c r="N493" s="197" t="str">
        <f t="shared" si="260"/>
        <v>-</v>
      </c>
      <c r="O493" s="197" t="str">
        <f t="shared" si="260"/>
        <v>-</v>
      </c>
      <c r="P493" s="197" t="str">
        <f t="shared" si="260"/>
        <v>-</v>
      </c>
      <c r="Q493" s="197" t="str">
        <f t="shared" si="260"/>
        <v>-</v>
      </c>
      <c r="R493" s="197" t="str">
        <f t="shared" si="260"/>
        <v>-</v>
      </c>
      <c r="S493" s="203" t="str">
        <f t="shared" si="260"/>
        <v>-</v>
      </c>
    </row>
    <row r="494" spans="1:19" s="366" customFormat="1" x14ac:dyDescent="0.2">
      <c r="A494" s="118">
        <v>2018</v>
      </c>
      <c r="B494" s="197" t="str">
        <f t="shared" ref="B494:K494" si="272">B236</f>
        <v>-</v>
      </c>
      <c r="C494" s="197" t="str">
        <f t="shared" si="272"/>
        <v>-</v>
      </c>
      <c r="D494" s="197">
        <f t="shared" si="272"/>
        <v>105</v>
      </c>
      <c r="E494" s="197">
        <f t="shared" si="272"/>
        <v>149</v>
      </c>
      <c r="F494" s="197">
        <f t="shared" si="272"/>
        <v>458</v>
      </c>
      <c r="G494" s="197">
        <f t="shared" si="272"/>
        <v>448</v>
      </c>
      <c r="H494" s="197">
        <f t="shared" si="272"/>
        <v>4</v>
      </c>
      <c r="I494" s="197">
        <f t="shared" si="272"/>
        <v>429</v>
      </c>
      <c r="J494" s="197" t="str">
        <f t="shared" si="272"/>
        <v>-</v>
      </c>
      <c r="K494" s="197">
        <f t="shared" si="272"/>
        <v>1593</v>
      </c>
      <c r="L494" s="182"/>
      <c r="M494" s="197" t="str">
        <f t="shared" si="260"/>
        <v>-</v>
      </c>
      <c r="N494" s="197">
        <f t="shared" si="260"/>
        <v>3</v>
      </c>
      <c r="O494" s="197">
        <f t="shared" si="260"/>
        <v>3</v>
      </c>
      <c r="P494" s="197">
        <f t="shared" si="260"/>
        <v>12</v>
      </c>
      <c r="Q494" s="197" t="str">
        <f t="shared" si="260"/>
        <v>-</v>
      </c>
      <c r="R494" s="197" t="str">
        <f t="shared" si="260"/>
        <v>-</v>
      </c>
      <c r="S494" s="203">
        <f t="shared" si="260"/>
        <v>18</v>
      </c>
    </row>
    <row r="495" spans="1:19" s="489" customFormat="1" x14ac:dyDescent="0.2">
      <c r="A495" s="118">
        <v>2019</v>
      </c>
      <c r="B495" s="197" t="str">
        <f t="shared" ref="B495:K496" si="273">B237</f>
        <v>-</v>
      </c>
      <c r="C495" s="197" t="str">
        <f t="shared" si="273"/>
        <v>-</v>
      </c>
      <c r="D495" s="197">
        <f t="shared" si="273"/>
        <v>9</v>
      </c>
      <c r="E495" s="197">
        <f t="shared" si="273"/>
        <v>117</v>
      </c>
      <c r="F495" s="197">
        <f t="shared" si="273"/>
        <v>212</v>
      </c>
      <c r="G495" s="197">
        <f t="shared" si="273"/>
        <v>223</v>
      </c>
      <c r="H495" s="197">
        <f t="shared" si="273"/>
        <v>11</v>
      </c>
      <c r="I495" s="197" t="str">
        <f t="shared" si="273"/>
        <v>-</v>
      </c>
      <c r="J495" s="197" t="str">
        <f t="shared" si="273"/>
        <v>-</v>
      </c>
      <c r="K495" s="197">
        <f t="shared" si="273"/>
        <v>572</v>
      </c>
      <c r="L495" s="182"/>
      <c r="M495" s="197" t="str">
        <f t="shared" ref="M495:S496" si="274">M237</f>
        <v>-</v>
      </c>
      <c r="N495" s="197">
        <f t="shared" si="274"/>
        <v>139</v>
      </c>
      <c r="O495" s="197">
        <f t="shared" si="274"/>
        <v>343</v>
      </c>
      <c r="P495" s="197">
        <f t="shared" si="274"/>
        <v>60</v>
      </c>
      <c r="Q495" s="197" t="str">
        <f t="shared" si="274"/>
        <v>-</v>
      </c>
      <c r="R495" s="197" t="str">
        <f>R237</f>
        <v>-</v>
      </c>
      <c r="S495" s="203">
        <f t="shared" si="274"/>
        <v>542</v>
      </c>
    </row>
    <row r="496" spans="1:19" x14ac:dyDescent="0.2">
      <c r="A496" s="118" t="s">
        <v>393</v>
      </c>
      <c r="B496" s="193" t="str">
        <f t="shared" si="273"/>
        <v>-</v>
      </c>
      <c r="C496" s="193" t="str">
        <f t="shared" si="273"/>
        <v>-</v>
      </c>
      <c r="D496" s="193" t="str">
        <f t="shared" si="273"/>
        <v>-</v>
      </c>
      <c r="E496" s="193">
        <f t="shared" si="273"/>
        <v>566</v>
      </c>
      <c r="F496" s="193">
        <f t="shared" si="273"/>
        <v>956</v>
      </c>
      <c r="G496" s="193">
        <f t="shared" si="273"/>
        <v>113</v>
      </c>
      <c r="H496" s="193" t="str">
        <f t="shared" si="273"/>
        <v>-</v>
      </c>
      <c r="I496" s="193" t="str">
        <f t="shared" si="273"/>
        <v>-</v>
      </c>
      <c r="J496" s="193" t="str">
        <f t="shared" si="273"/>
        <v>-</v>
      </c>
      <c r="K496" s="193">
        <f t="shared" si="273"/>
        <v>1635</v>
      </c>
      <c r="M496" s="193" t="str">
        <f t="shared" si="274"/>
        <v>-</v>
      </c>
      <c r="N496" s="193" t="str">
        <f t="shared" si="274"/>
        <v>-</v>
      </c>
      <c r="O496" s="193" t="str">
        <f t="shared" si="274"/>
        <v>-</v>
      </c>
      <c r="P496" s="193" t="str">
        <f t="shared" si="274"/>
        <v>-</v>
      </c>
      <c r="Q496" s="193" t="str">
        <f t="shared" si="274"/>
        <v>-</v>
      </c>
      <c r="R496" s="193" t="str">
        <f>R238</f>
        <v>-</v>
      </c>
      <c r="S496" s="200" t="str">
        <f t="shared" si="274"/>
        <v>-</v>
      </c>
    </row>
    <row r="497" spans="1:19" x14ac:dyDescent="0.2">
      <c r="A497" s="371"/>
      <c r="B497" s="193"/>
      <c r="C497" s="193"/>
      <c r="D497" s="193"/>
      <c r="E497" s="193"/>
      <c r="F497" s="193"/>
      <c r="G497" s="193"/>
      <c r="H497" s="193"/>
      <c r="I497" s="193"/>
      <c r="J497" s="193"/>
      <c r="K497" s="193"/>
      <c r="M497" s="193"/>
      <c r="N497" s="193"/>
      <c r="O497" s="193"/>
      <c r="P497" s="193"/>
      <c r="Q497" s="193"/>
      <c r="R497" s="193"/>
      <c r="S497" s="200"/>
    </row>
    <row r="498" spans="1:19" x14ac:dyDescent="0.2">
      <c r="A498" s="419" t="s">
        <v>50</v>
      </c>
      <c r="B498" s="193"/>
      <c r="C498" s="193"/>
      <c r="D498" s="193"/>
      <c r="E498" s="193"/>
      <c r="F498" s="193"/>
      <c r="G498" s="193"/>
      <c r="H498" s="193"/>
      <c r="I498" s="193"/>
      <c r="J498" s="193"/>
      <c r="K498" s="193"/>
      <c r="M498" s="193"/>
      <c r="N498" s="193"/>
      <c r="O498" s="193"/>
      <c r="P498" s="193"/>
      <c r="Q498" s="193"/>
      <c r="R498" s="193"/>
      <c r="S498" s="200"/>
    </row>
    <row r="499" spans="1:19" x14ac:dyDescent="0.2">
      <c r="A499" s="371" t="s">
        <v>30</v>
      </c>
      <c r="B499" s="193" t="s">
        <v>29</v>
      </c>
      <c r="C499" s="193" t="s">
        <v>29</v>
      </c>
      <c r="D499" s="193">
        <f t="shared" ref="D499:K499" si="275">AVERAGE(D246:D250)</f>
        <v>908</v>
      </c>
      <c r="E499" s="193">
        <f t="shared" si="275"/>
        <v>2071.1999999999998</v>
      </c>
      <c r="F499" s="193">
        <f t="shared" si="275"/>
        <v>15489</v>
      </c>
      <c r="G499" s="193">
        <f t="shared" si="275"/>
        <v>7703.2</v>
      </c>
      <c r="H499" s="193">
        <f t="shared" si="275"/>
        <v>1207.5999999999999</v>
      </c>
      <c r="I499" s="193">
        <f t="shared" si="275"/>
        <v>515.6</v>
      </c>
      <c r="J499" s="193">
        <f t="shared" si="275"/>
        <v>8.6</v>
      </c>
      <c r="K499" s="193">
        <f t="shared" si="275"/>
        <v>27721.599999999999</v>
      </c>
      <c r="M499" s="193">
        <f t="shared" ref="M499:S499" si="276">AVERAGE(M246:M250)</f>
        <v>1987.5</v>
      </c>
      <c r="N499" s="193">
        <f t="shared" si="276"/>
        <v>21111.666666666668</v>
      </c>
      <c r="O499" s="193">
        <f t="shared" si="276"/>
        <v>70167</v>
      </c>
      <c r="P499" s="193">
        <f t="shared" si="276"/>
        <v>43292</v>
      </c>
      <c r="Q499" s="193">
        <f t="shared" si="276"/>
        <v>4870.25</v>
      </c>
      <c r="R499" s="193">
        <f>AVERAGE(R246:R250)</f>
        <v>4</v>
      </c>
      <c r="S499" s="200">
        <f t="shared" si="276"/>
        <v>131613</v>
      </c>
    </row>
    <row r="500" spans="1:19" x14ac:dyDescent="0.2">
      <c r="A500" s="371" t="s">
        <v>87</v>
      </c>
      <c r="B500" s="193" t="s">
        <v>29</v>
      </c>
      <c r="C500" s="193" t="s">
        <v>29</v>
      </c>
      <c r="D500" s="193">
        <f t="shared" ref="D500:K500" si="277">AVERAGE(D251:D255)</f>
        <v>535</v>
      </c>
      <c r="E500" s="193">
        <f t="shared" si="277"/>
        <v>7125</v>
      </c>
      <c r="F500" s="193">
        <f t="shared" si="277"/>
        <v>14273.6</v>
      </c>
      <c r="G500" s="193">
        <f t="shared" si="277"/>
        <v>8109.2</v>
      </c>
      <c r="H500" s="193">
        <f t="shared" si="277"/>
        <v>3075.4</v>
      </c>
      <c r="I500" s="193">
        <f t="shared" si="277"/>
        <v>348.8</v>
      </c>
      <c r="J500" s="423" t="s">
        <v>116</v>
      </c>
      <c r="K500" s="193">
        <f t="shared" si="277"/>
        <v>33467</v>
      </c>
      <c r="M500" s="193">
        <f t="shared" ref="M500:S500" si="278">AVERAGE(M251:M255)</f>
        <v>1259.2</v>
      </c>
      <c r="N500" s="193">
        <f t="shared" si="278"/>
        <v>25210.400000000001</v>
      </c>
      <c r="O500" s="193">
        <f t="shared" si="278"/>
        <v>108918.39999999999</v>
      </c>
      <c r="P500" s="193">
        <f t="shared" si="278"/>
        <v>48810.6</v>
      </c>
      <c r="Q500" s="193">
        <f t="shared" si="278"/>
        <v>5925.8</v>
      </c>
      <c r="R500" s="193">
        <f>AVERAGE(R251:R255)</f>
        <v>15.5</v>
      </c>
      <c r="S500" s="200">
        <f t="shared" si="278"/>
        <v>190130.6</v>
      </c>
    </row>
    <row r="501" spans="1:19" x14ac:dyDescent="0.2">
      <c r="A501" s="371" t="s">
        <v>14</v>
      </c>
      <c r="B501" s="193" t="s">
        <v>29</v>
      </c>
      <c r="C501" s="193" t="s">
        <v>29</v>
      </c>
      <c r="D501" s="193">
        <f>AVERAGE(D256:D260)</f>
        <v>798.4</v>
      </c>
      <c r="E501" s="193">
        <f t="shared" ref="E501:K501" si="279">AVERAGE(E256:E260)</f>
        <v>2349</v>
      </c>
      <c r="F501" s="193">
        <f t="shared" si="279"/>
        <v>4518.333333333333</v>
      </c>
      <c r="G501" s="193">
        <f t="shared" si="279"/>
        <v>843.8</v>
      </c>
      <c r="H501" s="193">
        <f t="shared" si="279"/>
        <v>1004.4</v>
      </c>
      <c r="I501" s="193">
        <f t="shared" si="279"/>
        <v>1023.8</v>
      </c>
      <c r="J501" s="193">
        <f t="shared" si="279"/>
        <v>28</v>
      </c>
      <c r="K501" s="193">
        <f t="shared" si="279"/>
        <v>8747.2000000000007</v>
      </c>
      <c r="M501" s="193">
        <f t="shared" ref="M501:S501" si="280">AVERAGE(M256:M260)</f>
        <v>554.33333333333337</v>
      </c>
      <c r="N501" s="193">
        <f t="shared" si="280"/>
        <v>19074.75</v>
      </c>
      <c r="O501" s="193">
        <f t="shared" si="280"/>
        <v>92885.333333333328</v>
      </c>
      <c r="P501" s="193">
        <f t="shared" si="280"/>
        <v>11088.2</v>
      </c>
      <c r="Q501" s="193">
        <f t="shared" si="280"/>
        <v>1662.6</v>
      </c>
      <c r="R501" s="193">
        <f t="shared" si="280"/>
        <v>2.5</v>
      </c>
      <c r="S501" s="200">
        <f t="shared" si="280"/>
        <v>84075.4</v>
      </c>
    </row>
    <row r="502" spans="1:19" x14ac:dyDescent="0.2">
      <c r="A502" s="371" t="s">
        <v>207</v>
      </c>
      <c r="B502" s="193" t="s">
        <v>29</v>
      </c>
      <c r="C502" s="193" t="s">
        <v>29</v>
      </c>
      <c r="D502" s="193">
        <f>AVERAGE(D261:D265)</f>
        <v>434</v>
      </c>
      <c r="E502" s="193">
        <f t="shared" ref="E502:K502" si="281">AVERAGE(E261:E265)</f>
        <v>1003.8</v>
      </c>
      <c r="F502" s="193">
        <f t="shared" si="281"/>
        <v>2911.2</v>
      </c>
      <c r="G502" s="193">
        <f t="shared" si="281"/>
        <v>4132</v>
      </c>
      <c r="H502" s="193">
        <f t="shared" si="281"/>
        <v>1127.5999999999999</v>
      </c>
      <c r="I502" s="193">
        <f t="shared" si="281"/>
        <v>1204.2</v>
      </c>
      <c r="J502" s="193">
        <f t="shared" si="281"/>
        <v>14.2</v>
      </c>
      <c r="K502" s="193">
        <f t="shared" si="281"/>
        <v>10828.2</v>
      </c>
      <c r="M502" s="193">
        <f t="shared" ref="M502:S502" si="282">AVERAGE(M261:M265)</f>
        <v>17</v>
      </c>
      <c r="N502" s="193">
        <f t="shared" si="282"/>
        <v>11</v>
      </c>
      <c r="O502" s="193">
        <f t="shared" si="282"/>
        <v>5092</v>
      </c>
      <c r="P502" s="193">
        <f t="shared" si="282"/>
        <v>74.2</v>
      </c>
      <c r="Q502" s="193">
        <f t="shared" si="282"/>
        <v>18.399999999999999</v>
      </c>
      <c r="R502" s="193">
        <f t="shared" si="282"/>
        <v>7.5</v>
      </c>
      <c r="S502" s="200">
        <f t="shared" si="282"/>
        <v>5202.8</v>
      </c>
    </row>
    <row r="503" spans="1:19" x14ac:dyDescent="0.2">
      <c r="A503" s="118" t="s">
        <v>238</v>
      </c>
      <c r="B503" s="193">
        <f>AVERAGE(B266:B270)</f>
        <v>3.3333333333333335</v>
      </c>
      <c r="C503" s="193">
        <f>AVERAGE(C266:C270)</f>
        <v>61</v>
      </c>
      <c r="D503" s="193">
        <f>AVERAGE(D266:D270)</f>
        <v>760.6</v>
      </c>
      <c r="E503" s="193">
        <f>AVERAGE(E266:E270)</f>
        <v>5358.2</v>
      </c>
      <c r="F503" s="193">
        <f>AVERAGE(F266:F270)</f>
        <v>13859.8</v>
      </c>
      <c r="G503" s="193">
        <f t="shared" ref="G503:S503" si="283">AVERAGE(G266:G270)</f>
        <v>9763.6</v>
      </c>
      <c r="H503" s="193">
        <f t="shared" si="283"/>
        <v>5594.8</v>
      </c>
      <c r="I503" s="193">
        <f t="shared" si="283"/>
        <v>1807.2</v>
      </c>
      <c r="J503" s="193">
        <f t="shared" si="283"/>
        <v>31.2</v>
      </c>
      <c r="K503" s="193">
        <f t="shared" si="283"/>
        <v>37238.400000000001</v>
      </c>
      <c r="L503" s="193"/>
      <c r="M503" s="193">
        <f t="shared" si="283"/>
        <v>9</v>
      </c>
      <c r="N503" s="193">
        <f t="shared" si="283"/>
        <v>6560.2</v>
      </c>
      <c r="O503" s="193">
        <f t="shared" si="283"/>
        <v>28148.6</v>
      </c>
      <c r="P503" s="193">
        <f t="shared" si="283"/>
        <v>7939.8</v>
      </c>
      <c r="Q503" s="193">
        <f t="shared" si="283"/>
        <v>177.4</v>
      </c>
      <c r="R503" s="193">
        <f t="shared" si="283"/>
        <v>24.75</v>
      </c>
      <c r="S503" s="200">
        <f t="shared" si="283"/>
        <v>42851.199999999997</v>
      </c>
    </row>
    <row r="504" spans="1:19" x14ac:dyDescent="0.2">
      <c r="A504" s="118">
        <v>2006</v>
      </c>
      <c r="B504" s="197">
        <f t="shared" ref="B504:K504" si="284">B271</f>
        <v>2</v>
      </c>
      <c r="C504" s="197">
        <f t="shared" si="284"/>
        <v>4</v>
      </c>
      <c r="D504" s="197">
        <f t="shared" si="284"/>
        <v>120</v>
      </c>
      <c r="E504" s="197">
        <f t="shared" si="284"/>
        <v>1053</v>
      </c>
      <c r="F504" s="197">
        <f t="shared" si="284"/>
        <v>3941</v>
      </c>
      <c r="G504" s="197">
        <f t="shared" si="284"/>
        <v>982</v>
      </c>
      <c r="H504" s="197">
        <f t="shared" si="284"/>
        <v>2507</v>
      </c>
      <c r="I504" s="197">
        <f t="shared" si="284"/>
        <v>2421</v>
      </c>
      <c r="J504" s="197">
        <f t="shared" si="284"/>
        <v>49</v>
      </c>
      <c r="K504" s="197">
        <f t="shared" si="284"/>
        <v>11079</v>
      </c>
      <c r="M504" s="197">
        <f t="shared" ref="M504:S516" si="285">M271</f>
        <v>2</v>
      </c>
      <c r="N504" s="197">
        <f t="shared" si="285"/>
        <v>943</v>
      </c>
      <c r="O504" s="197">
        <f t="shared" si="285"/>
        <v>8463</v>
      </c>
      <c r="P504" s="197">
        <f t="shared" si="285"/>
        <v>36</v>
      </c>
      <c r="Q504" s="197">
        <f t="shared" si="285"/>
        <v>715</v>
      </c>
      <c r="R504" s="197">
        <f t="shared" si="285"/>
        <v>7</v>
      </c>
      <c r="S504" s="203">
        <f t="shared" si="285"/>
        <v>10166</v>
      </c>
    </row>
    <row r="505" spans="1:19" s="366" customFormat="1" x14ac:dyDescent="0.2">
      <c r="A505" s="118">
        <v>2007</v>
      </c>
      <c r="B505" s="197">
        <f t="shared" ref="B505:K505" si="286">B272</f>
        <v>3</v>
      </c>
      <c r="C505" s="197">
        <f t="shared" si="286"/>
        <v>0</v>
      </c>
      <c r="D505" s="197">
        <f t="shared" si="286"/>
        <v>86</v>
      </c>
      <c r="E505" s="197">
        <f t="shared" si="286"/>
        <v>297</v>
      </c>
      <c r="F505" s="197">
        <f t="shared" si="286"/>
        <v>920</v>
      </c>
      <c r="G505" s="197">
        <f t="shared" si="286"/>
        <v>3076</v>
      </c>
      <c r="H505" s="197">
        <f t="shared" si="286"/>
        <v>940</v>
      </c>
      <c r="I505" s="197">
        <f t="shared" si="286"/>
        <v>1009</v>
      </c>
      <c r="J505" s="197">
        <f t="shared" si="286"/>
        <v>16</v>
      </c>
      <c r="K505" s="197">
        <f t="shared" si="286"/>
        <v>6347</v>
      </c>
      <c r="L505" s="182"/>
      <c r="M505" s="197">
        <f t="shared" si="285"/>
        <v>2</v>
      </c>
      <c r="N505" s="197">
        <f t="shared" si="285"/>
        <v>4866</v>
      </c>
      <c r="O505" s="197">
        <f t="shared" si="285"/>
        <v>19829</v>
      </c>
      <c r="P505" s="197">
        <f t="shared" si="285"/>
        <v>17226</v>
      </c>
      <c r="Q505" s="197">
        <f t="shared" si="285"/>
        <v>330</v>
      </c>
      <c r="R505" s="197">
        <f t="shared" si="285"/>
        <v>3</v>
      </c>
      <c r="S505" s="203">
        <f t="shared" si="285"/>
        <v>42256</v>
      </c>
    </row>
    <row r="506" spans="1:19" s="366" customFormat="1" x14ac:dyDescent="0.2">
      <c r="A506" s="118">
        <v>2008</v>
      </c>
      <c r="B506" s="197" t="str">
        <f t="shared" ref="B506:K506" si="287">B273</f>
        <v>-</v>
      </c>
      <c r="C506" s="197" t="str">
        <f t="shared" si="287"/>
        <v>-</v>
      </c>
      <c r="D506" s="197" t="str">
        <f t="shared" si="287"/>
        <v>-</v>
      </c>
      <c r="E506" s="197">
        <f t="shared" si="287"/>
        <v>9</v>
      </c>
      <c r="F506" s="197">
        <f t="shared" si="287"/>
        <v>6</v>
      </c>
      <c r="G506" s="197">
        <f t="shared" si="287"/>
        <v>3</v>
      </c>
      <c r="H506" s="197">
        <f t="shared" si="287"/>
        <v>262</v>
      </c>
      <c r="I506" s="197">
        <f t="shared" si="287"/>
        <v>481</v>
      </c>
      <c r="J506" s="197" t="str">
        <f t="shared" si="287"/>
        <v>--</v>
      </c>
      <c r="K506" s="197">
        <f t="shared" si="287"/>
        <v>761</v>
      </c>
      <c r="L506" s="182"/>
      <c r="M506" s="197" t="str">
        <f t="shared" si="285"/>
        <v>-</v>
      </c>
      <c r="N506" s="197">
        <f t="shared" si="285"/>
        <v>1219</v>
      </c>
      <c r="O506" s="197">
        <f t="shared" si="285"/>
        <v>4084</v>
      </c>
      <c r="P506" s="197">
        <f t="shared" si="285"/>
        <v>4540</v>
      </c>
      <c r="Q506" s="197">
        <f t="shared" si="285"/>
        <v>45</v>
      </c>
      <c r="R506" s="197">
        <f t="shared" si="285"/>
        <v>6</v>
      </c>
      <c r="S506" s="203">
        <f t="shared" si="285"/>
        <v>9894</v>
      </c>
    </row>
    <row r="507" spans="1:19" s="366" customFormat="1" x14ac:dyDescent="0.2">
      <c r="A507" s="118">
        <v>2009</v>
      </c>
      <c r="B507" s="197" t="str">
        <f t="shared" ref="B507:K507" si="288">B274</f>
        <v>-</v>
      </c>
      <c r="C507" s="197" t="str">
        <f t="shared" si="288"/>
        <v>-</v>
      </c>
      <c r="D507" s="197" t="str">
        <f t="shared" si="288"/>
        <v>-</v>
      </c>
      <c r="E507" s="197">
        <f t="shared" si="288"/>
        <v>9</v>
      </c>
      <c r="F507" s="197">
        <f t="shared" si="288"/>
        <v>45</v>
      </c>
      <c r="G507" s="197">
        <f t="shared" si="288"/>
        <v>70</v>
      </c>
      <c r="H507" s="197">
        <f t="shared" si="288"/>
        <v>255</v>
      </c>
      <c r="I507" s="197">
        <f t="shared" si="288"/>
        <v>226</v>
      </c>
      <c r="J507" s="197" t="str">
        <f t="shared" si="288"/>
        <v>--</v>
      </c>
      <c r="K507" s="197">
        <f t="shared" si="288"/>
        <v>605</v>
      </c>
      <c r="L507" s="182"/>
      <c r="M507" s="197" t="str">
        <f t="shared" si="285"/>
        <v>-</v>
      </c>
      <c r="N507" s="197">
        <f t="shared" si="285"/>
        <v>4865</v>
      </c>
      <c r="O507" s="197">
        <f t="shared" si="285"/>
        <v>39124</v>
      </c>
      <c r="P507" s="197">
        <f t="shared" si="285"/>
        <v>25384</v>
      </c>
      <c r="Q507" s="197">
        <f t="shared" si="285"/>
        <v>808</v>
      </c>
      <c r="R507" s="197">
        <f t="shared" si="285"/>
        <v>6</v>
      </c>
      <c r="S507" s="203">
        <f t="shared" si="285"/>
        <v>70187</v>
      </c>
    </row>
    <row r="508" spans="1:19" s="366" customFormat="1" x14ac:dyDescent="0.2">
      <c r="A508" s="118">
        <v>2010</v>
      </c>
      <c r="B508" s="197" t="str">
        <f t="shared" ref="B508:K508" si="289">B275</f>
        <v>-</v>
      </c>
      <c r="C508" s="197" t="str">
        <f t="shared" si="289"/>
        <v>-</v>
      </c>
      <c r="D508" s="197">
        <f t="shared" si="289"/>
        <v>82</v>
      </c>
      <c r="E508" s="197">
        <f t="shared" si="289"/>
        <v>209</v>
      </c>
      <c r="F508" s="197">
        <f t="shared" si="289"/>
        <v>383</v>
      </c>
      <c r="G508" s="197">
        <f t="shared" si="289"/>
        <v>1132</v>
      </c>
      <c r="H508" s="197">
        <f t="shared" si="289"/>
        <v>686</v>
      </c>
      <c r="I508" s="197">
        <f t="shared" si="289"/>
        <v>663</v>
      </c>
      <c r="J508" s="197" t="str">
        <f t="shared" si="289"/>
        <v>--</v>
      </c>
      <c r="K508" s="197">
        <f t="shared" si="289"/>
        <v>3155</v>
      </c>
      <c r="L508" s="182"/>
      <c r="M508" s="197" t="str">
        <f t="shared" si="285"/>
        <v>-</v>
      </c>
      <c r="N508" s="197">
        <f t="shared" si="285"/>
        <v>368</v>
      </c>
      <c r="O508" s="197">
        <f t="shared" si="285"/>
        <v>2200</v>
      </c>
      <c r="P508" s="197">
        <f t="shared" si="285"/>
        <v>8361</v>
      </c>
      <c r="Q508" s="197">
        <f t="shared" si="285"/>
        <v>1258</v>
      </c>
      <c r="R508" s="197" t="str">
        <f t="shared" si="285"/>
        <v>-</v>
      </c>
      <c r="S508" s="203">
        <f t="shared" si="285"/>
        <v>12187</v>
      </c>
    </row>
    <row r="509" spans="1:19" s="366" customFormat="1" x14ac:dyDescent="0.2">
      <c r="A509" s="118">
        <v>2011</v>
      </c>
      <c r="B509" s="197">
        <f t="shared" ref="B509:K509" si="290">B276</f>
        <v>0</v>
      </c>
      <c r="C509" s="197">
        <f t="shared" si="290"/>
        <v>7</v>
      </c>
      <c r="D509" s="197">
        <f t="shared" si="290"/>
        <v>204</v>
      </c>
      <c r="E509" s="197">
        <f t="shared" si="290"/>
        <v>185</v>
      </c>
      <c r="F509" s="197">
        <f t="shared" si="290"/>
        <v>500</v>
      </c>
      <c r="G509" s="197">
        <f t="shared" si="290"/>
        <v>951</v>
      </c>
      <c r="H509" s="197">
        <f t="shared" si="290"/>
        <v>1252</v>
      </c>
      <c r="I509" s="197">
        <f t="shared" si="290"/>
        <v>440</v>
      </c>
      <c r="J509" s="197">
        <f t="shared" si="290"/>
        <v>6</v>
      </c>
      <c r="K509" s="197">
        <f t="shared" si="290"/>
        <v>3545</v>
      </c>
      <c r="L509" s="182"/>
      <c r="M509" s="197" t="str">
        <f t="shared" si="285"/>
        <v>-</v>
      </c>
      <c r="N509" s="197">
        <f t="shared" si="285"/>
        <v>556</v>
      </c>
      <c r="O509" s="197">
        <f t="shared" si="285"/>
        <v>3580</v>
      </c>
      <c r="P509" s="197">
        <f t="shared" si="285"/>
        <v>2019</v>
      </c>
      <c r="Q509" s="197">
        <f t="shared" si="285"/>
        <v>6631</v>
      </c>
      <c r="R509" s="197" t="str">
        <f t="shared" si="285"/>
        <v>-</v>
      </c>
      <c r="S509" s="203">
        <f t="shared" si="285"/>
        <v>12786</v>
      </c>
    </row>
    <row r="510" spans="1:19" s="366" customFormat="1" x14ac:dyDescent="0.2">
      <c r="A510" s="118">
        <v>2012</v>
      </c>
      <c r="B510" s="197">
        <f t="shared" ref="B510:K510" si="291">B277</f>
        <v>21</v>
      </c>
      <c r="C510" s="197">
        <f t="shared" si="291"/>
        <v>108</v>
      </c>
      <c r="D510" s="197">
        <f t="shared" si="291"/>
        <v>864</v>
      </c>
      <c r="E510" s="197">
        <f t="shared" si="291"/>
        <v>1591</v>
      </c>
      <c r="F510" s="197">
        <f t="shared" si="291"/>
        <v>3187</v>
      </c>
      <c r="G510" s="197">
        <f t="shared" si="291"/>
        <v>6272</v>
      </c>
      <c r="H510" s="197">
        <f t="shared" si="291"/>
        <v>3999</v>
      </c>
      <c r="I510" s="197">
        <f t="shared" si="291"/>
        <v>1040</v>
      </c>
      <c r="J510" s="197">
        <f t="shared" si="291"/>
        <v>8</v>
      </c>
      <c r="K510" s="197">
        <f t="shared" si="291"/>
        <v>17090</v>
      </c>
      <c r="L510" s="182"/>
      <c r="M510" s="197" t="str">
        <f t="shared" si="285"/>
        <v>-</v>
      </c>
      <c r="N510" s="197">
        <f t="shared" si="285"/>
        <v>70</v>
      </c>
      <c r="O510" s="197">
        <f t="shared" si="285"/>
        <v>2395</v>
      </c>
      <c r="P510" s="197">
        <f t="shared" si="285"/>
        <v>4975</v>
      </c>
      <c r="Q510" s="197">
        <f t="shared" si="285"/>
        <v>6965</v>
      </c>
      <c r="R510" s="197">
        <f t="shared" si="285"/>
        <v>2</v>
      </c>
      <c r="S510" s="203">
        <f t="shared" si="285"/>
        <v>14407</v>
      </c>
    </row>
    <row r="511" spans="1:19" s="366" customFormat="1" x14ac:dyDescent="0.2">
      <c r="A511" s="118">
        <v>2013</v>
      </c>
      <c r="B511" s="197">
        <f t="shared" ref="B511:K511" si="292">B278</f>
        <v>257</v>
      </c>
      <c r="C511" s="197">
        <f t="shared" si="292"/>
        <v>196</v>
      </c>
      <c r="D511" s="197">
        <f t="shared" si="292"/>
        <v>213</v>
      </c>
      <c r="E511" s="197">
        <f t="shared" si="292"/>
        <v>3212</v>
      </c>
      <c r="F511" s="197">
        <f t="shared" si="292"/>
        <v>6419</v>
      </c>
      <c r="G511" s="197">
        <f t="shared" si="292"/>
        <v>14722</v>
      </c>
      <c r="H511" s="197">
        <f t="shared" si="292"/>
        <v>1691</v>
      </c>
      <c r="I511" s="197">
        <f t="shared" si="292"/>
        <v>1606</v>
      </c>
      <c r="J511" s="197" t="str">
        <f t="shared" si="292"/>
        <v>--</v>
      </c>
      <c r="K511" s="197">
        <f t="shared" si="292"/>
        <v>28316</v>
      </c>
      <c r="L511" s="182"/>
      <c r="M511" s="197" t="str">
        <f t="shared" si="285"/>
        <v>-</v>
      </c>
      <c r="N511" s="197">
        <f t="shared" si="285"/>
        <v>17</v>
      </c>
      <c r="O511" s="197">
        <f t="shared" si="285"/>
        <v>5050</v>
      </c>
      <c r="P511" s="197">
        <f t="shared" si="285"/>
        <v>2773</v>
      </c>
      <c r="Q511" s="197">
        <f t="shared" si="285"/>
        <v>2658</v>
      </c>
      <c r="R511" s="197">
        <f t="shared" si="285"/>
        <v>25</v>
      </c>
      <c r="S511" s="203">
        <f t="shared" si="285"/>
        <v>10523</v>
      </c>
    </row>
    <row r="512" spans="1:19" s="366" customFormat="1" x14ac:dyDescent="0.2">
      <c r="A512" s="118">
        <v>2014</v>
      </c>
      <c r="B512" s="197">
        <f t="shared" ref="B512:K512" si="293">B279</f>
        <v>10</v>
      </c>
      <c r="C512" s="197">
        <f t="shared" si="293"/>
        <v>32</v>
      </c>
      <c r="D512" s="197">
        <f t="shared" si="293"/>
        <v>1083</v>
      </c>
      <c r="E512" s="197">
        <f t="shared" si="293"/>
        <v>1303</v>
      </c>
      <c r="F512" s="197">
        <f t="shared" si="293"/>
        <v>6314</v>
      </c>
      <c r="G512" s="197">
        <f t="shared" si="293"/>
        <v>4294</v>
      </c>
      <c r="H512" s="197">
        <f t="shared" si="293"/>
        <v>1886</v>
      </c>
      <c r="I512" s="197">
        <f t="shared" si="293"/>
        <v>1252</v>
      </c>
      <c r="J512" s="197" t="str">
        <f t="shared" si="293"/>
        <v>--</v>
      </c>
      <c r="K512" s="197">
        <f t="shared" si="293"/>
        <v>16174</v>
      </c>
      <c r="L512" s="182"/>
      <c r="M512" s="197">
        <f t="shared" si="285"/>
        <v>4</v>
      </c>
      <c r="N512" s="197">
        <f t="shared" si="285"/>
        <v>3561</v>
      </c>
      <c r="O512" s="197">
        <f t="shared" si="285"/>
        <v>33379</v>
      </c>
      <c r="P512" s="197">
        <f t="shared" si="285"/>
        <v>19280</v>
      </c>
      <c r="Q512" s="197">
        <f t="shared" si="285"/>
        <v>26494</v>
      </c>
      <c r="R512" s="197">
        <f t="shared" si="285"/>
        <v>49</v>
      </c>
      <c r="S512" s="203">
        <f t="shared" si="285"/>
        <v>82767</v>
      </c>
    </row>
    <row r="513" spans="1:20" s="366" customFormat="1" x14ac:dyDescent="0.2">
      <c r="A513" s="118">
        <v>2015</v>
      </c>
      <c r="B513" s="197">
        <f t="shared" ref="B513:K513" si="294">B280</f>
        <v>30</v>
      </c>
      <c r="C513" s="197">
        <f t="shared" si="294"/>
        <v>8</v>
      </c>
      <c r="D513" s="197">
        <f t="shared" si="294"/>
        <v>181</v>
      </c>
      <c r="E513" s="197">
        <f t="shared" si="294"/>
        <v>364</v>
      </c>
      <c r="F513" s="197">
        <f t="shared" si="294"/>
        <v>550</v>
      </c>
      <c r="G513" s="197">
        <f t="shared" si="294"/>
        <v>423</v>
      </c>
      <c r="H513" s="197">
        <f t="shared" si="294"/>
        <v>2883</v>
      </c>
      <c r="I513" s="197">
        <f t="shared" si="294"/>
        <v>2246</v>
      </c>
      <c r="J513" s="197" t="str">
        <f t="shared" si="294"/>
        <v>--</v>
      </c>
      <c r="K513" s="197">
        <f t="shared" si="294"/>
        <v>6685</v>
      </c>
      <c r="L513" s="182"/>
      <c r="M513" s="197" t="str">
        <f t="shared" si="285"/>
        <v>-</v>
      </c>
      <c r="N513" s="197">
        <f t="shared" si="285"/>
        <v>463</v>
      </c>
      <c r="O513" s="197">
        <f t="shared" si="285"/>
        <v>11959</v>
      </c>
      <c r="P513" s="197">
        <f t="shared" si="285"/>
        <v>2562</v>
      </c>
      <c r="Q513" s="197">
        <f t="shared" si="285"/>
        <v>4430</v>
      </c>
      <c r="R513" s="197">
        <f t="shared" si="285"/>
        <v>28</v>
      </c>
      <c r="S513" s="203">
        <f t="shared" si="285"/>
        <v>19442</v>
      </c>
      <c r="T513" s="225">
        <f t="shared" ref="T513:T518" si="295">S513-R513</f>
        <v>19414</v>
      </c>
    </row>
    <row r="514" spans="1:20" s="366" customFormat="1" x14ac:dyDescent="0.2">
      <c r="A514" s="118">
        <v>2016</v>
      </c>
      <c r="B514" s="197">
        <f t="shared" ref="B514:K514" si="296">B281</f>
        <v>32</v>
      </c>
      <c r="C514" s="197">
        <f t="shared" si="296"/>
        <v>9</v>
      </c>
      <c r="D514" s="197">
        <f t="shared" si="296"/>
        <v>128</v>
      </c>
      <c r="E514" s="197">
        <f t="shared" si="296"/>
        <v>319</v>
      </c>
      <c r="F514" s="197">
        <f t="shared" si="296"/>
        <v>310</v>
      </c>
      <c r="G514" s="197">
        <f t="shared" si="296"/>
        <v>695</v>
      </c>
      <c r="H514" s="197">
        <f t="shared" si="296"/>
        <v>1199</v>
      </c>
      <c r="I514" s="197">
        <f t="shared" si="296"/>
        <v>363</v>
      </c>
      <c r="J514" s="197" t="str">
        <f t="shared" si="296"/>
        <v>--</v>
      </c>
      <c r="K514" s="197">
        <f t="shared" si="296"/>
        <v>3055</v>
      </c>
      <c r="L514" s="182"/>
      <c r="M514" s="197" t="str">
        <f t="shared" si="285"/>
        <v>-</v>
      </c>
      <c r="N514" s="197">
        <f t="shared" si="285"/>
        <v>256</v>
      </c>
      <c r="O514" s="197">
        <f t="shared" si="285"/>
        <v>1216</v>
      </c>
      <c r="P514" s="197">
        <f t="shared" si="285"/>
        <v>82</v>
      </c>
      <c r="Q514" s="197">
        <f t="shared" si="285"/>
        <v>4180</v>
      </c>
      <c r="R514" s="197">
        <f t="shared" si="285"/>
        <v>22</v>
      </c>
      <c r="S514" s="203">
        <f t="shared" si="285"/>
        <v>5756</v>
      </c>
      <c r="T514" s="225">
        <f t="shared" si="295"/>
        <v>5734</v>
      </c>
    </row>
    <row r="515" spans="1:20" s="366" customFormat="1" x14ac:dyDescent="0.2">
      <c r="A515" s="118">
        <v>2017</v>
      </c>
      <c r="B515" s="197">
        <f t="shared" ref="B515:K515" si="297">B282</f>
        <v>0</v>
      </c>
      <c r="C515" s="197">
        <f t="shared" si="297"/>
        <v>6</v>
      </c>
      <c r="D515" s="197">
        <f t="shared" si="297"/>
        <v>89</v>
      </c>
      <c r="E515" s="197">
        <f t="shared" si="297"/>
        <v>139</v>
      </c>
      <c r="F515" s="197">
        <f t="shared" si="297"/>
        <v>508</v>
      </c>
      <c r="G515" s="197">
        <f t="shared" si="297"/>
        <v>807</v>
      </c>
      <c r="H515" s="197">
        <f t="shared" si="297"/>
        <v>592</v>
      </c>
      <c r="I515" s="197">
        <f t="shared" si="297"/>
        <v>545</v>
      </c>
      <c r="J515" s="197" t="str">
        <f t="shared" si="297"/>
        <v>--</v>
      </c>
      <c r="K515" s="197">
        <f t="shared" si="297"/>
        <v>2686</v>
      </c>
      <c r="L515" s="182"/>
      <c r="M515" s="197" t="str">
        <f t="shared" si="285"/>
        <v>-</v>
      </c>
      <c r="N515" s="197">
        <f t="shared" si="285"/>
        <v>363</v>
      </c>
      <c r="O515" s="197">
        <f t="shared" si="285"/>
        <v>5772</v>
      </c>
      <c r="P515" s="197">
        <f t="shared" si="285"/>
        <v>3940</v>
      </c>
      <c r="Q515" s="197">
        <f t="shared" si="285"/>
        <v>4590</v>
      </c>
      <c r="R515" s="197" t="str">
        <f t="shared" si="285"/>
        <v>-</v>
      </c>
      <c r="S515" s="203">
        <f t="shared" si="285"/>
        <v>14665</v>
      </c>
      <c r="T515" s="225" t="e">
        <f>S515-R515</f>
        <v>#VALUE!</v>
      </c>
    </row>
    <row r="516" spans="1:20" s="366" customFormat="1" x14ac:dyDescent="0.2">
      <c r="A516" s="118">
        <v>2018</v>
      </c>
      <c r="B516" s="197">
        <f t="shared" ref="B516:K516" si="298">B283</f>
        <v>0</v>
      </c>
      <c r="C516" s="197">
        <f t="shared" si="298"/>
        <v>4</v>
      </c>
      <c r="D516" s="197">
        <f t="shared" si="298"/>
        <v>153</v>
      </c>
      <c r="E516" s="197">
        <f t="shared" si="298"/>
        <v>288</v>
      </c>
      <c r="F516" s="197">
        <f t="shared" si="298"/>
        <v>1113</v>
      </c>
      <c r="G516" s="197">
        <f t="shared" si="298"/>
        <v>1615</v>
      </c>
      <c r="H516" s="197">
        <f t="shared" si="298"/>
        <v>625</v>
      </c>
      <c r="I516" s="197">
        <f t="shared" si="298"/>
        <v>503</v>
      </c>
      <c r="J516" s="197" t="str">
        <f t="shared" si="298"/>
        <v>--</v>
      </c>
      <c r="K516" s="197">
        <f t="shared" si="298"/>
        <v>4301</v>
      </c>
      <c r="L516" s="182"/>
      <c r="M516" s="197" t="str">
        <f t="shared" si="285"/>
        <v>-</v>
      </c>
      <c r="N516" s="197">
        <f t="shared" si="285"/>
        <v>34</v>
      </c>
      <c r="O516" s="197">
        <f t="shared" si="285"/>
        <v>2981</v>
      </c>
      <c r="P516" s="197">
        <f t="shared" si="285"/>
        <v>8593</v>
      </c>
      <c r="Q516" s="197">
        <f t="shared" si="285"/>
        <v>6936</v>
      </c>
      <c r="R516" s="197" t="str">
        <f t="shared" si="285"/>
        <v>-</v>
      </c>
      <c r="S516" s="203">
        <f t="shared" si="285"/>
        <v>18544</v>
      </c>
      <c r="T516" s="225" t="e">
        <f t="shared" si="295"/>
        <v>#VALUE!</v>
      </c>
    </row>
    <row r="517" spans="1:20" s="489" customFormat="1" x14ac:dyDescent="0.2">
      <c r="A517" s="118">
        <v>2019</v>
      </c>
      <c r="B517" s="197">
        <f t="shared" ref="B517:K518" si="299">B284</f>
        <v>10</v>
      </c>
      <c r="C517" s="197">
        <f t="shared" si="299"/>
        <v>3</v>
      </c>
      <c r="D517" s="197">
        <f t="shared" si="299"/>
        <v>112</v>
      </c>
      <c r="E517" s="197">
        <f t="shared" si="299"/>
        <v>647</v>
      </c>
      <c r="F517" s="197">
        <f t="shared" si="299"/>
        <v>2642</v>
      </c>
      <c r="G517" s="197">
        <f t="shared" si="299"/>
        <v>948</v>
      </c>
      <c r="H517" s="197">
        <f t="shared" si="299"/>
        <v>693</v>
      </c>
      <c r="I517" s="197">
        <f t="shared" si="299"/>
        <v>256</v>
      </c>
      <c r="J517" s="197" t="str">
        <f t="shared" si="299"/>
        <v>-</v>
      </c>
      <c r="K517" s="197">
        <f t="shared" si="299"/>
        <v>5311</v>
      </c>
      <c r="L517" s="182"/>
      <c r="M517" s="197" t="str">
        <f t="shared" ref="M517:S518" si="300">M284</f>
        <v>-</v>
      </c>
      <c r="N517" s="197">
        <f t="shared" si="300"/>
        <v>3944</v>
      </c>
      <c r="O517" s="197">
        <f t="shared" si="300"/>
        <v>27644</v>
      </c>
      <c r="P517" s="197">
        <f t="shared" si="300"/>
        <v>12426</v>
      </c>
      <c r="Q517" s="197">
        <f t="shared" si="300"/>
        <v>5070</v>
      </c>
      <c r="R517" s="197">
        <f>R284</f>
        <v>5</v>
      </c>
      <c r="S517" s="203">
        <f t="shared" si="300"/>
        <v>49089</v>
      </c>
      <c r="T517" s="225">
        <f t="shared" si="295"/>
        <v>49084</v>
      </c>
    </row>
    <row r="518" spans="1:20" x14ac:dyDescent="0.2">
      <c r="A518" s="118" t="s">
        <v>393</v>
      </c>
      <c r="B518" s="197">
        <f t="shared" si="299"/>
        <v>0</v>
      </c>
      <c r="C518" s="197">
        <f t="shared" si="299"/>
        <v>4</v>
      </c>
      <c r="D518" s="197">
        <f t="shared" si="299"/>
        <v>38</v>
      </c>
      <c r="E518" s="197">
        <f t="shared" si="299"/>
        <v>655</v>
      </c>
      <c r="F518" s="197">
        <f t="shared" si="299"/>
        <v>3781</v>
      </c>
      <c r="G518" s="197">
        <f t="shared" si="299"/>
        <v>959</v>
      </c>
      <c r="H518" s="197">
        <f t="shared" si="299"/>
        <v>1338</v>
      </c>
      <c r="I518" s="197">
        <f t="shared" si="299"/>
        <v>219</v>
      </c>
      <c r="J518" s="197" t="str">
        <f t="shared" si="299"/>
        <v>-</v>
      </c>
      <c r="K518" s="197">
        <f t="shared" si="299"/>
        <v>6994</v>
      </c>
      <c r="M518" s="197" t="str">
        <f t="shared" si="300"/>
        <v>-</v>
      </c>
      <c r="N518" s="197">
        <f t="shared" si="300"/>
        <v>0</v>
      </c>
      <c r="O518" s="197">
        <f t="shared" si="300"/>
        <v>7727</v>
      </c>
      <c r="P518" s="197">
        <f t="shared" si="300"/>
        <v>5115</v>
      </c>
      <c r="Q518" s="197">
        <f t="shared" si="300"/>
        <v>4245</v>
      </c>
      <c r="R518" s="197" t="str">
        <f>R285</f>
        <v>-</v>
      </c>
      <c r="S518" s="203">
        <f t="shared" si="300"/>
        <v>17087</v>
      </c>
      <c r="T518" s="225" t="e">
        <f t="shared" si="295"/>
        <v>#VALUE!</v>
      </c>
    </row>
    <row r="519" spans="1:20" x14ac:dyDescent="0.2">
      <c r="A519" s="118"/>
      <c r="B519" s="197"/>
      <c r="C519" s="197"/>
      <c r="D519" s="197"/>
      <c r="E519" s="197"/>
      <c r="F519" s="197"/>
      <c r="G519" s="197"/>
      <c r="H519" s="197"/>
      <c r="I519" s="197"/>
      <c r="J519" s="197"/>
      <c r="K519" s="197"/>
      <c r="M519" s="197"/>
      <c r="N519" s="197"/>
      <c r="O519" s="197"/>
      <c r="P519" s="197"/>
      <c r="Q519" s="197"/>
      <c r="R519" s="197"/>
      <c r="S519" s="203"/>
    </row>
    <row r="520" spans="1:20" x14ac:dyDescent="0.2">
      <c r="A520" s="560" t="s">
        <v>367</v>
      </c>
      <c r="B520" s="560"/>
      <c r="C520" s="560"/>
      <c r="D520" s="560"/>
      <c r="E520" s="560"/>
      <c r="F520" s="560"/>
      <c r="G520" s="560"/>
      <c r="H520" s="560"/>
      <c r="I520" s="560"/>
      <c r="J520" s="560"/>
      <c r="K520" s="560"/>
      <c r="L520" s="560"/>
      <c r="M520" s="560"/>
      <c r="N520" s="560"/>
      <c r="O520" s="560"/>
      <c r="P520" s="560"/>
      <c r="Q520" s="560"/>
      <c r="R520" s="560"/>
      <c r="S520" s="560"/>
    </row>
    <row r="521" spans="1:20" x14ac:dyDescent="0.2">
      <c r="A521" s="124" t="s">
        <v>49</v>
      </c>
      <c r="B521" s="212" t="s">
        <v>43</v>
      </c>
      <c r="C521" s="212" t="s">
        <v>34</v>
      </c>
      <c r="D521" s="212" t="s">
        <v>35</v>
      </c>
      <c r="E521" s="212" t="s">
        <v>36</v>
      </c>
      <c r="F521" s="212" t="s">
        <v>37</v>
      </c>
      <c r="G521" s="212" t="s">
        <v>38</v>
      </c>
      <c r="H521" s="212" t="s">
        <v>39</v>
      </c>
      <c r="I521" s="212" t="s">
        <v>40</v>
      </c>
      <c r="J521" s="212" t="s">
        <v>44</v>
      </c>
      <c r="K521" s="212" t="s">
        <v>28</v>
      </c>
      <c r="L521" s="212"/>
      <c r="M521" s="212" t="s">
        <v>35</v>
      </c>
      <c r="N521" s="212" t="s">
        <v>36</v>
      </c>
      <c r="O521" s="212" t="s">
        <v>37</v>
      </c>
      <c r="P521" s="212" t="s">
        <v>38</v>
      </c>
      <c r="Q521" s="212" t="s">
        <v>39</v>
      </c>
      <c r="R521" s="212" t="s">
        <v>40</v>
      </c>
      <c r="S521" s="212" t="s">
        <v>28</v>
      </c>
    </row>
    <row r="522" spans="1:20" x14ac:dyDescent="0.2">
      <c r="B522" s="557" t="s">
        <v>67</v>
      </c>
      <c r="C522" s="557"/>
      <c r="D522" s="557"/>
      <c r="E522" s="557"/>
      <c r="F522" s="557"/>
      <c r="G522" s="557"/>
      <c r="H522" s="557"/>
      <c r="I522" s="557"/>
      <c r="J522" s="557"/>
      <c r="K522" s="557"/>
      <c r="L522" s="279"/>
      <c r="M522" s="557" t="s">
        <v>68</v>
      </c>
      <c r="N522" s="557"/>
      <c r="O522" s="557"/>
      <c r="P522" s="557"/>
      <c r="Q522" s="557"/>
      <c r="R522" s="557"/>
      <c r="S522" s="557"/>
    </row>
    <row r="523" spans="1:20" ht="4.5" customHeight="1" x14ac:dyDescent="0.2">
      <c r="A523" s="371"/>
      <c r="B523" s="193"/>
      <c r="C523" s="193"/>
      <c r="D523" s="193"/>
      <c r="E523" s="193"/>
      <c r="F523" s="193"/>
      <c r="G523" s="193"/>
      <c r="H523" s="193"/>
      <c r="I523" s="193"/>
      <c r="J523" s="193"/>
      <c r="K523" s="193"/>
      <c r="M523" s="193"/>
      <c r="N523" s="193"/>
      <c r="O523" s="193"/>
      <c r="P523" s="193"/>
      <c r="Q523" s="193"/>
      <c r="R523" s="193"/>
      <c r="S523" s="193"/>
    </row>
    <row r="524" spans="1:20" x14ac:dyDescent="0.2">
      <c r="A524" s="419" t="str">
        <f>A287</f>
        <v>Total All Areas</v>
      </c>
      <c r="B524" s="193"/>
      <c r="C524" s="193"/>
      <c r="D524" s="193"/>
      <c r="E524" s="193"/>
      <c r="F524" s="193"/>
      <c r="G524" s="193"/>
      <c r="H524" s="193"/>
      <c r="I524" s="193"/>
      <c r="J524" s="193"/>
      <c r="K524" s="193"/>
      <c r="M524" s="193"/>
      <c r="N524" s="193"/>
      <c r="O524" s="193"/>
      <c r="P524" s="193"/>
      <c r="Q524" s="193"/>
      <c r="R524" s="193"/>
      <c r="S524" s="193"/>
    </row>
    <row r="525" spans="1:20" x14ac:dyDescent="0.2">
      <c r="A525" s="371" t="s">
        <v>30</v>
      </c>
      <c r="B525" s="193" t="s">
        <v>29</v>
      </c>
      <c r="C525" s="193" t="s">
        <v>29</v>
      </c>
      <c r="D525" s="193">
        <f t="shared" ref="D525:K525" si="301">AVERAGE(D293:D297)</f>
        <v>915.25</v>
      </c>
      <c r="E525" s="193">
        <f t="shared" si="301"/>
        <v>2808.8</v>
      </c>
      <c r="F525" s="193">
        <f t="shared" si="301"/>
        <v>17916</v>
      </c>
      <c r="G525" s="193">
        <f t="shared" si="301"/>
        <v>9605</v>
      </c>
      <c r="H525" s="193">
        <f t="shared" si="301"/>
        <v>1499.2</v>
      </c>
      <c r="I525" s="193">
        <f t="shared" si="301"/>
        <v>515.6</v>
      </c>
      <c r="J525" s="193">
        <f t="shared" si="301"/>
        <v>8.6</v>
      </c>
      <c r="K525" s="193">
        <f t="shared" si="301"/>
        <v>33085.4</v>
      </c>
      <c r="M525" s="193">
        <f t="shared" ref="M525:S525" si="302">AVERAGE(M293:M297)</f>
        <v>2412.25</v>
      </c>
      <c r="N525" s="193">
        <f t="shared" si="302"/>
        <v>20296.75</v>
      </c>
      <c r="O525" s="182">
        <f t="shared" si="302"/>
        <v>86622</v>
      </c>
      <c r="P525" s="193">
        <f t="shared" si="302"/>
        <v>54503</v>
      </c>
      <c r="Q525" s="193">
        <f t="shared" si="302"/>
        <v>7624.5</v>
      </c>
      <c r="R525" s="193">
        <f>AVERAGE(R293:R297)</f>
        <v>4</v>
      </c>
      <c r="S525" s="200">
        <f t="shared" si="302"/>
        <v>165392.6</v>
      </c>
    </row>
    <row r="526" spans="1:20" x14ac:dyDescent="0.2">
      <c r="A526" s="371" t="s">
        <v>87</v>
      </c>
      <c r="B526" s="193" t="s">
        <v>29</v>
      </c>
      <c r="C526" s="193" t="s">
        <v>29</v>
      </c>
      <c r="D526" s="193">
        <f t="shared" ref="D526:I526" si="303">AVERAGE(D298:D302)</f>
        <v>540.79999999999995</v>
      </c>
      <c r="E526" s="193">
        <f t="shared" si="303"/>
        <v>7226.8</v>
      </c>
      <c r="F526" s="193">
        <f t="shared" si="303"/>
        <v>15227.4</v>
      </c>
      <c r="G526" s="193">
        <f t="shared" si="303"/>
        <v>9276.2000000000007</v>
      </c>
      <c r="H526" s="193">
        <f t="shared" si="303"/>
        <v>3092.8</v>
      </c>
      <c r="I526" s="193">
        <f t="shared" si="303"/>
        <v>348.8</v>
      </c>
      <c r="J526" s="423" t="s">
        <v>116</v>
      </c>
      <c r="K526" s="193">
        <f>AVERAGE(K298:K302)</f>
        <v>35712.800000000003</v>
      </c>
      <c r="M526" s="193">
        <f t="shared" ref="M526:S526" si="304">AVERAGE(M298:M302)</f>
        <v>1259.2</v>
      </c>
      <c r="N526" s="193">
        <f t="shared" si="304"/>
        <v>26670.400000000001</v>
      </c>
      <c r="O526" s="182">
        <f t="shared" si="304"/>
        <v>124138</v>
      </c>
      <c r="P526" s="193">
        <f t="shared" si="304"/>
        <v>60375.6</v>
      </c>
      <c r="Q526" s="193">
        <f t="shared" si="304"/>
        <v>6187.2</v>
      </c>
      <c r="R526" s="193">
        <f t="shared" si="304"/>
        <v>15.5</v>
      </c>
      <c r="S526" s="200">
        <f t="shared" si="304"/>
        <v>218636.6</v>
      </c>
    </row>
    <row r="527" spans="1:20" x14ac:dyDescent="0.2">
      <c r="A527" s="371" t="s">
        <v>14</v>
      </c>
      <c r="B527" s="193" t="s">
        <v>29</v>
      </c>
      <c r="C527" s="193" t="s">
        <v>29</v>
      </c>
      <c r="D527" s="193">
        <f>AVERAGE(D303:D307)</f>
        <v>798.4</v>
      </c>
      <c r="E527" s="193">
        <f t="shared" ref="E527:K527" si="305">AVERAGE(E303:E307)</f>
        <v>2365.1999999999998</v>
      </c>
      <c r="F527" s="193">
        <f t="shared" si="305"/>
        <v>3613</v>
      </c>
      <c r="G527" s="193">
        <f t="shared" si="305"/>
        <v>1085</v>
      </c>
      <c r="H527" s="193">
        <f t="shared" si="305"/>
        <v>1054.8</v>
      </c>
      <c r="I527" s="193">
        <f t="shared" si="305"/>
        <v>1023.8</v>
      </c>
      <c r="J527" s="193">
        <f t="shared" si="305"/>
        <v>28</v>
      </c>
      <c r="K527" s="193">
        <f t="shared" si="305"/>
        <v>9234.4</v>
      </c>
      <c r="M527" s="193">
        <f t="shared" ref="M527:S527" si="306">AVERAGE(M303:M307)</f>
        <v>554.33333333333337</v>
      </c>
      <c r="N527" s="193">
        <f t="shared" si="306"/>
        <v>19677</v>
      </c>
      <c r="O527" s="193">
        <f t="shared" si="306"/>
        <v>80495</v>
      </c>
      <c r="P527" s="193">
        <f t="shared" si="306"/>
        <v>19002</v>
      </c>
      <c r="Q527" s="193">
        <f t="shared" si="306"/>
        <v>3528</v>
      </c>
      <c r="R527" s="193">
        <f t="shared" si="306"/>
        <v>2.5</v>
      </c>
      <c r="S527" s="200">
        <f t="shared" si="306"/>
        <v>103001.2</v>
      </c>
    </row>
    <row r="528" spans="1:20" x14ac:dyDescent="0.2">
      <c r="A528" s="371" t="s">
        <v>207</v>
      </c>
      <c r="B528" s="193" t="s">
        <v>29</v>
      </c>
      <c r="C528" s="193" t="s">
        <v>29</v>
      </c>
      <c r="D528" s="193">
        <f>AVERAGE(D308:D312)</f>
        <v>434</v>
      </c>
      <c r="E528" s="193">
        <f t="shared" ref="E528:K528" si="307">AVERAGE(E308:E312)</f>
        <v>1003.8</v>
      </c>
      <c r="F528" s="193">
        <f t="shared" si="307"/>
        <v>3068.6</v>
      </c>
      <c r="G528" s="193">
        <f t="shared" si="307"/>
        <v>4354.6000000000004</v>
      </c>
      <c r="H528" s="193">
        <f t="shared" si="307"/>
        <v>1150.4000000000001</v>
      </c>
      <c r="I528" s="193">
        <f t="shared" si="307"/>
        <v>1204.2</v>
      </c>
      <c r="J528" s="193">
        <f t="shared" si="307"/>
        <v>14.2</v>
      </c>
      <c r="K528" s="193">
        <f t="shared" si="307"/>
        <v>11231</v>
      </c>
      <c r="M528" s="193">
        <f t="shared" ref="M528:S528" si="308">AVERAGE(M308:M312)</f>
        <v>17</v>
      </c>
      <c r="N528" s="193">
        <f t="shared" si="308"/>
        <v>11</v>
      </c>
      <c r="O528" s="193">
        <f t="shared" si="308"/>
        <v>8112</v>
      </c>
      <c r="P528" s="193">
        <f t="shared" si="308"/>
        <v>3749.6</v>
      </c>
      <c r="Q528" s="193">
        <f t="shared" si="308"/>
        <v>579.6</v>
      </c>
      <c r="R528" s="193">
        <f t="shared" si="308"/>
        <v>7.5</v>
      </c>
      <c r="S528" s="200">
        <f t="shared" si="308"/>
        <v>12459.4</v>
      </c>
    </row>
    <row r="529" spans="1:19" x14ac:dyDescent="0.2">
      <c r="A529" s="118" t="s">
        <v>238</v>
      </c>
      <c r="B529" s="193">
        <f>AVERAGE(B313:B317)</f>
        <v>3.3333333333333335</v>
      </c>
      <c r="C529" s="193">
        <f>AVERAGE(C313:C317)</f>
        <v>61</v>
      </c>
      <c r="D529" s="193">
        <f>AVERAGE(D313:D317)</f>
        <v>767.2</v>
      </c>
      <c r="E529" s="193">
        <f>AVERAGE(E313:E317)</f>
        <v>5434.2</v>
      </c>
      <c r="F529" s="193">
        <f t="shared" ref="F529:S529" si="309">AVERAGE(F313:F317)</f>
        <v>14633.8</v>
      </c>
      <c r="G529" s="193">
        <f t="shared" si="309"/>
        <v>11369</v>
      </c>
      <c r="H529" s="193">
        <f t="shared" si="309"/>
        <v>5836.2</v>
      </c>
      <c r="I529" s="193">
        <f t="shared" si="309"/>
        <v>1807.8</v>
      </c>
      <c r="J529" s="193">
        <f t="shared" si="309"/>
        <v>31.2</v>
      </c>
      <c r="K529" s="193">
        <f t="shared" si="309"/>
        <v>39942.400000000001</v>
      </c>
      <c r="L529" s="193" t="e">
        <f t="shared" si="309"/>
        <v>#DIV/0!</v>
      </c>
      <c r="M529" s="193">
        <f t="shared" si="309"/>
        <v>9</v>
      </c>
      <c r="N529" s="193">
        <f t="shared" si="309"/>
        <v>6644.8</v>
      </c>
      <c r="O529" s="193">
        <f t="shared" si="309"/>
        <v>35139.4</v>
      </c>
      <c r="P529" s="193">
        <f t="shared" si="309"/>
        <v>22009.599999999999</v>
      </c>
      <c r="Q529" s="193">
        <f t="shared" si="309"/>
        <v>2197.6</v>
      </c>
      <c r="R529" s="193">
        <f t="shared" si="309"/>
        <v>24.75</v>
      </c>
      <c r="S529" s="211">
        <f t="shared" si="309"/>
        <v>66016.600000000006</v>
      </c>
    </row>
    <row r="530" spans="1:19" s="366" customFormat="1" x14ac:dyDescent="0.2">
      <c r="A530" s="118">
        <v>2006</v>
      </c>
      <c r="B530" s="197">
        <f t="shared" ref="B530:K530" si="310">B318</f>
        <v>2</v>
      </c>
      <c r="C530" s="197">
        <f t="shared" si="310"/>
        <v>4</v>
      </c>
      <c r="D530" s="197">
        <f t="shared" si="310"/>
        <v>120</v>
      </c>
      <c r="E530" s="197">
        <f t="shared" si="310"/>
        <v>1053</v>
      </c>
      <c r="F530" s="197">
        <f t="shared" si="310"/>
        <v>4022</v>
      </c>
      <c r="G530" s="197">
        <f t="shared" si="310"/>
        <v>1352</v>
      </c>
      <c r="H530" s="197">
        <f t="shared" si="310"/>
        <v>2565</v>
      </c>
      <c r="I530" s="197">
        <f t="shared" si="310"/>
        <v>2421</v>
      </c>
      <c r="J530" s="197">
        <f t="shared" si="310"/>
        <v>49</v>
      </c>
      <c r="K530" s="197">
        <f t="shared" si="310"/>
        <v>11588</v>
      </c>
      <c r="L530" s="182"/>
      <c r="M530" s="197">
        <f t="shared" ref="M530:S542" si="311">M318</f>
        <v>2</v>
      </c>
      <c r="N530" s="197">
        <f t="shared" si="311"/>
        <v>943</v>
      </c>
      <c r="O530" s="182">
        <f t="shared" si="311"/>
        <v>10079</v>
      </c>
      <c r="P530" s="197">
        <f t="shared" si="311"/>
        <v>3596</v>
      </c>
      <c r="Q530" s="197">
        <f t="shared" si="311"/>
        <v>950</v>
      </c>
      <c r="R530" s="197">
        <f t="shared" si="311"/>
        <v>7</v>
      </c>
      <c r="S530" s="203">
        <f t="shared" si="311"/>
        <v>15577</v>
      </c>
    </row>
    <row r="531" spans="1:19" s="366" customFormat="1" x14ac:dyDescent="0.2">
      <c r="A531" s="118">
        <v>2007</v>
      </c>
      <c r="B531" s="197">
        <f t="shared" ref="B531:K531" si="312">B319</f>
        <v>3</v>
      </c>
      <c r="C531" s="197">
        <f t="shared" si="312"/>
        <v>0</v>
      </c>
      <c r="D531" s="197">
        <f t="shared" si="312"/>
        <v>86</v>
      </c>
      <c r="E531" s="197">
        <f t="shared" si="312"/>
        <v>297</v>
      </c>
      <c r="F531" s="197">
        <f t="shared" si="312"/>
        <v>1001</v>
      </c>
      <c r="G531" s="197">
        <f t="shared" si="312"/>
        <v>3533</v>
      </c>
      <c r="H531" s="197">
        <f t="shared" si="312"/>
        <v>996</v>
      </c>
      <c r="I531" s="197">
        <f t="shared" si="312"/>
        <v>1009</v>
      </c>
      <c r="J531" s="197">
        <f t="shared" si="312"/>
        <v>16</v>
      </c>
      <c r="K531" s="197">
        <f t="shared" si="312"/>
        <v>6941</v>
      </c>
      <c r="L531" s="182"/>
      <c r="M531" s="197">
        <f t="shared" si="311"/>
        <v>2</v>
      </c>
      <c r="N531" s="197">
        <f t="shared" si="311"/>
        <v>4866</v>
      </c>
      <c r="O531" s="182">
        <f t="shared" si="311"/>
        <v>23641</v>
      </c>
      <c r="P531" s="197">
        <f t="shared" si="311"/>
        <v>31033</v>
      </c>
      <c r="Q531" s="197">
        <f t="shared" si="311"/>
        <v>1108</v>
      </c>
      <c r="R531" s="197">
        <f t="shared" si="311"/>
        <v>3</v>
      </c>
      <c r="S531" s="203">
        <f t="shared" si="311"/>
        <v>60653</v>
      </c>
    </row>
    <row r="532" spans="1:19" s="366" customFormat="1" x14ac:dyDescent="0.2">
      <c r="A532" s="118">
        <v>2008</v>
      </c>
      <c r="B532" s="197" t="str">
        <f t="shared" ref="B532:K532" si="313">B320</f>
        <v>-</v>
      </c>
      <c r="C532" s="197" t="str">
        <f t="shared" si="313"/>
        <v>-</v>
      </c>
      <c r="D532" s="197">
        <f t="shared" si="313"/>
        <v>17</v>
      </c>
      <c r="E532" s="197">
        <f t="shared" si="313"/>
        <v>161</v>
      </c>
      <c r="F532" s="197">
        <f t="shared" si="313"/>
        <v>349</v>
      </c>
      <c r="G532" s="197">
        <f t="shared" si="313"/>
        <v>308</v>
      </c>
      <c r="H532" s="197">
        <f t="shared" si="313"/>
        <v>262</v>
      </c>
      <c r="I532" s="197">
        <f t="shared" si="313"/>
        <v>481</v>
      </c>
      <c r="J532" s="197" t="str">
        <f t="shared" si="313"/>
        <v>--</v>
      </c>
      <c r="K532" s="197">
        <f t="shared" si="313"/>
        <v>1578</v>
      </c>
      <c r="L532" s="182"/>
      <c r="M532" s="197" t="str">
        <f t="shared" si="311"/>
        <v>-</v>
      </c>
      <c r="N532" s="197">
        <f t="shared" si="311"/>
        <v>1320</v>
      </c>
      <c r="O532" s="182">
        <f t="shared" si="311"/>
        <v>5192</v>
      </c>
      <c r="P532" s="197">
        <f t="shared" si="311"/>
        <v>5522</v>
      </c>
      <c r="Q532" s="197">
        <f t="shared" si="311"/>
        <v>45</v>
      </c>
      <c r="R532" s="197">
        <f t="shared" si="311"/>
        <v>6</v>
      </c>
      <c r="S532" s="203">
        <f t="shared" si="311"/>
        <v>12085</v>
      </c>
    </row>
    <row r="533" spans="1:19" s="366" customFormat="1" x14ac:dyDescent="0.2">
      <c r="A533" s="118">
        <v>2009</v>
      </c>
      <c r="B533" s="197" t="str">
        <f t="shared" ref="B533:K533" si="314">B321</f>
        <v>-</v>
      </c>
      <c r="C533" s="197" t="str">
        <f t="shared" si="314"/>
        <v>-</v>
      </c>
      <c r="D533" s="197" t="str">
        <f t="shared" si="314"/>
        <v>-</v>
      </c>
      <c r="E533" s="197">
        <f t="shared" si="314"/>
        <v>13</v>
      </c>
      <c r="F533" s="197">
        <f t="shared" si="314"/>
        <v>467</v>
      </c>
      <c r="G533" s="197">
        <f t="shared" si="314"/>
        <v>613</v>
      </c>
      <c r="H533" s="197">
        <f t="shared" si="314"/>
        <v>266</v>
      </c>
      <c r="I533" s="197">
        <f t="shared" si="314"/>
        <v>226</v>
      </c>
      <c r="J533" s="197" t="str">
        <f t="shared" si="314"/>
        <v>--</v>
      </c>
      <c r="K533" s="197">
        <f t="shared" si="314"/>
        <v>1585</v>
      </c>
      <c r="L533" s="182"/>
      <c r="M533" s="197" t="str">
        <f t="shared" si="311"/>
        <v>-</v>
      </c>
      <c r="N533" s="197">
        <f t="shared" si="311"/>
        <v>5003</v>
      </c>
      <c r="O533" s="182">
        <f t="shared" si="311"/>
        <v>48717</v>
      </c>
      <c r="P533" s="197">
        <f t="shared" si="311"/>
        <v>34714</v>
      </c>
      <c r="Q533" s="197">
        <f t="shared" si="311"/>
        <v>1166</v>
      </c>
      <c r="R533" s="197">
        <f t="shared" si="311"/>
        <v>6</v>
      </c>
      <c r="S533" s="203">
        <f t="shared" si="311"/>
        <v>89606</v>
      </c>
    </row>
    <row r="534" spans="1:19" s="366" customFormat="1" x14ac:dyDescent="0.2">
      <c r="A534" s="118">
        <v>2010</v>
      </c>
      <c r="B534" s="197" t="str">
        <f t="shared" ref="B534:K534" si="315">B322</f>
        <v>-</v>
      </c>
      <c r="C534" s="197" t="str">
        <f t="shared" si="315"/>
        <v>-</v>
      </c>
      <c r="D534" s="197">
        <f t="shared" si="315"/>
        <v>82</v>
      </c>
      <c r="E534" s="197">
        <f t="shared" si="315"/>
        <v>246</v>
      </c>
      <c r="F534" s="197">
        <f t="shared" si="315"/>
        <v>771</v>
      </c>
      <c r="G534" s="197">
        <f t="shared" si="315"/>
        <v>2453</v>
      </c>
      <c r="H534" s="197">
        <f t="shared" si="315"/>
        <v>752</v>
      </c>
      <c r="I534" s="197">
        <f t="shared" si="315"/>
        <v>663</v>
      </c>
      <c r="J534" s="197" t="str">
        <f t="shared" si="315"/>
        <v>--</v>
      </c>
      <c r="K534" s="197">
        <f t="shared" si="315"/>
        <v>4967</v>
      </c>
      <c r="L534" s="182"/>
      <c r="M534" s="197" t="str">
        <f t="shared" si="311"/>
        <v>-</v>
      </c>
      <c r="N534" s="197">
        <f t="shared" si="311"/>
        <v>380</v>
      </c>
      <c r="O534" s="182">
        <f t="shared" si="311"/>
        <v>3679</v>
      </c>
      <c r="P534" s="197">
        <f t="shared" si="311"/>
        <v>12765</v>
      </c>
      <c r="Q534" s="197">
        <f t="shared" si="311"/>
        <v>1471</v>
      </c>
      <c r="R534" s="197" t="str">
        <f t="shared" si="311"/>
        <v>-</v>
      </c>
      <c r="S534" s="203">
        <f t="shared" si="311"/>
        <v>18295</v>
      </c>
    </row>
    <row r="535" spans="1:19" s="366" customFormat="1" x14ac:dyDescent="0.2">
      <c r="A535" s="118">
        <v>2011</v>
      </c>
      <c r="B535" s="197">
        <f t="shared" ref="B535:K535" si="316">B323</f>
        <v>0</v>
      </c>
      <c r="C535" s="197">
        <f t="shared" si="316"/>
        <v>7</v>
      </c>
      <c r="D535" s="197">
        <f t="shared" si="316"/>
        <v>204</v>
      </c>
      <c r="E535" s="197">
        <f t="shared" si="316"/>
        <v>314</v>
      </c>
      <c r="F535" s="197">
        <f t="shared" si="316"/>
        <v>647</v>
      </c>
      <c r="G535" s="197">
        <f t="shared" si="316"/>
        <v>2215</v>
      </c>
      <c r="H535" s="197">
        <f t="shared" si="316"/>
        <v>1331</v>
      </c>
      <c r="I535" s="197">
        <f t="shared" si="316"/>
        <v>440</v>
      </c>
      <c r="J535" s="197">
        <f t="shared" si="316"/>
        <v>6</v>
      </c>
      <c r="K535" s="197">
        <f t="shared" si="316"/>
        <v>5164</v>
      </c>
      <c r="L535" s="182"/>
      <c r="M535" s="197" t="str">
        <f t="shared" si="311"/>
        <v>-</v>
      </c>
      <c r="N535" s="197">
        <f t="shared" si="311"/>
        <v>734</v>
      </c>
      <c r="O535" s="182">
        <f t="shared" si="311"/>
        <v>4561</v>
      </c>
      <c r="P535" s="197">
        <f t="shared" si="311"/>
        <v>6151</v>
      </c>
      <c r="Q535" s="197">
        <f t="shared" si="311"/>
        <v>7386</v>
      </c>
      <c r="R535" s="197" t="str">
        <f t="shared" si="311"/>
        <v>-</v>
      </c>
      <c r="S535" s="203">
        <f t="shared" si="311"/>
        <v>18832</v>
      </c>
    </row>
    <row r="536" spans="1:19" s="366" customFormat="1" x14ac:dyDescent="0.2">
      <c r="A536" s="118">
        <v>2012</v>
      </c>
      <c r="B536" s="197">
        <f t="shared" ref="B536:K536" si="317">B324</f>
        <v>21</v>
      </c>
      <c r="C536" s="197">
        <f t="shared" si="317"/>
        <v>108</v>
      </c>
      <c r="D536" s="197">
        <f t="shared" si="317"/>
        <v>864</v>
      </c>
      <c r="E536" s="197">
        <f t="shared" si="317"/>
        <v>2169</v>
      </c>
      <c r="F536" s="197">
        <f t="shared" si="317"/>
        <v>3837</v>
      </c>
      <c r="G536" s="197">
        <f t="shared" si="317"/>
        <v>6703</v>
      </c>
      <c r="H536" s="197">
        <f t="shared" si="317"/>
        <v>4044</v>
      </c>
      <c r="I536" s="197">
        <f t="shared" si="317"/>
        <v>1040</v>
      </c>
      <c r="J536" s="197">
        <f t="shared" si="317"/>
        <v>8</v>
      </c>
      <c r="K536" s="197">
        <f t="shared" si="317"/>
        <v>18794</v>
      </c>
      <c r="L536" s="182"/>
      <c r="M536" s="197" t="str">
        <f t="shared" si="311"/>
        <v>-</v>
      </c>
      <c r="N536" s="197">
        <f t="shared" si="311"/>
        <v>156</v>
      </c>
      <c r="O536" s="182">
        <f t="shared" si="311"/>
        <v>3010</v>
      </c>
      <c r="P536" s="197">
        <f t="shared" si="311"/>
        <v>5715</v>
      </c>
      <c r="Q536" s="197">
        <f t="shared" si="311"/>
        <v>7196</v>
      </c>
      <c r="R536" s="197">
        <f t="shared" si="311"/>
        <v>2</v>
      </c>
      <c r="S536" s="203">
        <f t="shared" si="311"/>
        <v>16079</v>
      </c>
    </row>
    <row r="537" spans="1:19" s="366" customFormat="1" x14ac:dyDescent="0.2">
      <c r="A537" s="118">
        <v>2013</v>
      </c>
      <c r="B537" s="197">
        <f t="shared" ref="B537:I542" si="318">B325</f>
        <v>257</v>
      </c>
      <c r="C537" s="197">
        <f t="shared" si="318"/>
        <v>196</v>
      </c>
      <c r="D537" s="197">
        <f t="shared" si="318"/>
        <v>213</v>
      </c>
      <c r="E537" s="197">
        <f t="shared" si="318"/>
        <v>3943</v>
      </c>
      <c r="F537" s="197">
        <f t="shared" si="318"/>
        <v>6742</v>
      </c>
      <c r="G537" s="197">
        <f t="shared" si="318"/>
        <v>15514</v>
      </c>
      <c r="H537" s="197">
        <f t="shared" si="318"/>
        <v>1763</v>
      </c>
      <c r="I537" s="197">
        <f t="shared" si="318"/>
        <v>1606</v>
      </c>
      <c r="J537" s="424" t="s">
        <v>116</v>
      </c>
      <c r="K537" s="197">
        <f t="shared" ref="K537:K542" si="319">K325</f>
        <v>30234</v>
      </c>
      <c r="L537" s="182"/>
      <c r="M537" s="197" t="str">
        <f t="shared" si="311"/>
        <v>-</v>
      </c>
      <c r="N537" s="197">
        <f t="shared" si="311"/>
        <v>1160</v>
      </c>
      <c r="O537" s="182">
        <f t="shared" si="311"/>
        <v>6041</v>
      </c>
      <c r="P537" s="197">
        <f t="shared" si="311"/>
        <v>4479</v>
      </c>
      <c r="Q537" s="197">
        <f t="shared" si="311"/>
        <v>2831</v>
      </c>
      <c r="R537" s="197">
        <f t="shared" si="311"/>
        <v>25</v>
      </c>
      <c r="S537" s="203">
        <f t="shared" si="311"/>
        <v>14536</v>
      </c>
    </row>
    <row r="538" spans="1:19" s="366" customFormat="1" x14ac:dyDescent="0.2">
      <c r="A538" s="118">
        <v>2014</v>
      </c>
      <c r="B538" s="197">
        <f t="shared" si="318"/>
        <v>10</v>
      </c>
      <c r="C538" s="197">
        <f t="shared" si="318"/>
        <v>32</v>
      </c>
      <c r="D538" s="197">
        <f t="shared" si="318"/>
        <v>1104</v>
      </c>
      <c r="E538" s="197">
        <f t="shared" si="318"/>
        <v>1453</v>
      </c>
      <c r="F538" s="197">
        <f t="shared" si="318"/>
        <v>6942</v>
      </c>
      <c r="G538" s="197">
        <f t="shared" si="318"/>
        <v>5696</v>
      </c>
      <c r="H538" s="197">
        <f t="shared" si="318"/>
        <v>1991</v>
      </c>
      <c r="I538" s="197">
        <f t="shared" si="318"/>
        <v>1252</v>
      </c>
      <c r="J538" s="424" t="s">
        <v>116</v>
      </c>
      <c r="K538" s="197">
        <f t="shared" si="319"/>
        <v>18480</v>
      </c>
      <c r="L538" s="182"/>
      <c r="M538" s="197">
        <f t="shared" si="311"/>
        <v>4</v>
      </c>
      <c r="N538" s="197">
        <f t="shared" si="311"/>
        <v>3952</v>
      </c>
      <c r="O538" s="182">
        <f t="shared" si="311"/>
        <v>38409</v>
      </c>
      <c r="P538" s="197">
        <f t="shared" si="311"/>
        <v>27783</v>
      </c>
      <c r="Q538" s="197">
        <f t="shared" si="311"/>
        <v>29310</v>
      </c>
      <c r="R538" s="197">
        <f t="shared" si="311"/>
        <v>49</v>
      </c>
      <c r="S538" s="203">
        <f t="shared" si="311"/>
        <v>99507</v>
      </c>
    </row>
    <row r="539" spans="1:19" s="366" customFormat="1" x14ac:dyDescent="0.2">
      <c r="A539" s="118">
        <v>2015</v>
      </c>
      <c r="B539" s="197">
        <f t="shared" si="318"/>
        <v>30</v>
      </c>
      <c r="C539" s="197">
        <f t="shared" si="318"/>
        <v>8</v>
      </c>
      <c r="D539" s="197">
        <f t="shared" si="318"/>
        <v>209</v>
      </c>
      <c r="E539" s="197">
        <f t="shared" si="318"/>
        <v>623</v>
      </c>
      <c r="F539" s="197">
        <f t="shared" si="318"/>
        <v>984</v>
      </c>
      <c r="G539" s="197">
        <f t="shared" si="318"/>
        <v>1453</v>
      </c>
      <c r="H539" s="197">
        <f t="shared" si="318"/>
        <v>3889</v>
      </c>
      <c r="I539" s="197">
        <f t="shared" si="318"/>
        <v>2246</v>
      </c>
      <c r="J539" s="424" t="s">
        <v>116</v>
      </c>
      <c r="K539" s="197">
        <f t="shared" si="319"/>
        <v>9442</v>
      </c>
      <c r="L539" s="182"/>
      <c r="M539" s="197" t="str">
        <f t="shared" si="311"/>
        <v>-</v>
      </c>
      <c r="N539" s="197">
        <f t="shared" si="311"/>
        <v>1195</v>
      </c>
      <c r="O539" s="182">
        <f t="shared" si="311"/>
        <v>15723</v>
      </c>
      <c r="P539" s="197">
        <f t="shared" si="311"/>
        <v>5434</v>
      </c>
      <c r="Q539" s="197">
        <f t="shared" si="311"/>
        <v>5902</v>
      </c>
      <c r="R539" s="197">
        <f t="shared" si="311"/>
        <v>28</v>
      </c>
      <c r="S539" s="203">
        <f t="shared" si="311"/>
        <v>28282</v>
      </c>
    </row>
    <row r="540" spans="1:19" s="366" customFormat="1" x14ac:dyDescent="0.2">
      <c r="A540" s="118">
        <v>2016</v>
      </c>
      <c r="B540" s="197">
        <f t="shared" si="318"/>
        <v>32</v>
      </c>
      <c r="C540" s="197">
        <f t="shared" si="318"/>
        <v>9</v>
      </c>
      <c r="D540" s="197">
        <f t="shared" si="318"/>
        <v>128</v>
      </c>
      <c r="E540" s="197">
        <f t="shared" si="318"/>
        <v>319</v>
      </c>
      <c r="F540" s="197">
        <f t="shared" si="318"/>
        <v>963</v>
      </c>
      <c r="G540" s="197">
        <f t="shared" si="318"/>
        <v>1082</v>
      </c>
      <c r="H540" s="197">
        <f t="shared" si="318"/>
        <v>1199</v>
      </c>
      <c r="I540" s="197">
        <f t="shared" si="318"/>
        <v>363</v>
      </c>
      <c r="J540" s="424" t="s">
        <v>116</v>
      </c>
      <c r="K540" s="197">
        <f t="shared" si="319"/>
        <v>4095</v>
      </c>
      <c r="L540" s="182"/>
      <c r="M540" s="197" t="str">
        <f t="shared" si="311"/>
        <v>-</v>
      </c>
      <c r="N540" s="197">
        <f t="shared" si="311"/>
        <v>256</v>
      </c>
      <c r="O540" s="182">
        <f t="shared" si="311"/>
        <v>2131</v>
      </c>
      <c r="P540" s="197">
        <f t="shared" si="311"/>
        <v>1821</v>
      </c>
      <c r="Q540" s="197">
        <f t="shared" si="311"/>
        <v>4180</v>
      </c>
      <c r="R540" s="197">
        <f t="shared" si="311"/>
        <v>22</v>
      </c>
      <c r="S540" s="203">
        <f t="shared" si="311"/>
        <v>8410</v>
      </c>
    </row>
    <row r="541" spans="1:19" s="366" customFormat="1" x14ac:dyDescent="0.2">
      <c r="A541" s="118">
        <v>2017</v>
      </c>
      <c r="B541" s="197">
        <f t="shared" si="318"/>
        <v>0</v>
      </c>
      <c r="C541" s="197">
        <f t="shared" si="318"/>
        <v>6</v>
      </c>
      <c r="D541" s="197">
        <f t="shared" si="318"/>
        <v>89</v>
      </c>
      <c r="E541" s="197">
        <f t="shared" si="318"/>
        <v>469</v>
      </c>
      <c r="F541" s="197">
        <f t="shared" si="318"/>
        <v>1075</v>
      </c>
      <c r="G541" s="197">
        <f t="shared" si="318"/>
        <v>1818</v>
      </c>
      <c r="H541" s="197">
        <f t="shared" si="318"/>
        <v>592</v>
      </c>
      <c r="I541" s="197">
        <f t="shared" si="318"/>
        <v>545</v>
      </c>
      <c r="J541" s="424" t="s">
        <v>116</v>
      </c>
      <c r="K541" s="197">
        <f t="shared" si="319"/>
        <v>4594</v>
      </c>
      <c r="L541" s="182"/>
      <c r="M541" s="197" t="str">
        <f t="shared" si="311"/>
        <v>-</v>
      </c>
      <c r="N541" s="197">
        <f t="shared" si="311"/>
        <v>376</v>
      </c>
      <c r="O541" s="182">
        <f t="shared" si="311"/>
        <v>8021</v>
      </c>
      <c r="P541" s="197">
        <f t="shared" si="311"/>
        <v>8248</v>
      </c>
      <c r="Q541" s="197">
        <f t="shared" si="311"/>
        <v>4590</v>
      </c>
      <c r="R541" s="197" t="str">
        <f t="shared" si="311"/>
        <v>-</v>
      </c>
      <c r="S541" s="203">
        <f t="shared" si="311"/>
        <v>21235</v>
      </c>
    </row>
    <row r="542" spans="1:19" s="366" customFormat="1" x14ac:dyDescent="0.2">
      <c r="A542" s="118">
        <v>2018</v>
      </c>
      <c r="B542" s="197">
        <f t="shared" si="318"/>
        <v>0</v>
      </c>
      <c r="C542" s="197">
        <f t="shared" si="318"/>
        <v>4</v>
      </c>
      <c r="D542" s="197">
        <f t="shared" si="318"/>
        <v>153</v>
      </c>
      <c r="E542" s="197">
        <f t="shared" si="318"/>
        <v>408</v>
      </c>
      <c r="F542" s="197">
        <f t="shared" si="318"/>
        <v>1263</v>
      </c>
      <c r="G542" s="197">
        <f t="shared" si="318"/>
        <v>2030</v>
      </c>
      <c r="H542" s="197">
        <f t="shared" si="318"/>
        <v>629</v>
      </c>
      <c r="I542" s="197">
        <f t="shared" si="318"/>
        <v>503</v>
      </c>
      <c r="J542" s="424" t="s">
        <v>116</v>
      </c>
      <c r="K542" s="197">
        <f t="shared" si="319"/>
        <v>4990</v>
      </c>
      <c r="L542" s="182"/>
      <c r="M542" s="197" t="str">
        <f t="shared" si="311"/>
        <v>-</v>
      </c>
      <c r="N542" s="197">
        <f t="shared" si="311"/>
        <v>70</v>
      </c>
      <c r="O542" s="182">
        <f t="shared" si="311"/>
        <v>4374</v>
      </c>
      <c r="P542" s="197">
        <f t="shared" si="311"/>
        <v>14273</v>
      </c>
      <c r="Q542" s="197">
        <f t="shared" si="311"/>
        <v>6955</v>
      </c>
      <c r="R542" s="197" t="str">
        <f t="shared" si="311"/>
        <v>-</v>
      </c>
      <c r="S542" s="203">
        <f t="shared" si="311"/>
        <v>25672</v>
      </c>
    </row>
    <row r="543" spans="1:19" s="489" customFormat="1" x14ac:dyDescent="0.2">
      <c r="A543" s="118">
        <v>2019</v>
      </c>
      <c r="B543" s="197">
        <f t="shared" ref="B543:K544" si="320">B331</f>
        <v>10</v>
      </c>
      <c r="C543" s="197">
        <f t="shared" si="320"/>
        <v>3</v>
      </c>
      <c r="D543" s="197">
        <f t="shared" si="320"/>
        <v>112</v>
      </c>
      <c r="E543" s="197">
        <f t="shared" si="320"/>
        <v>751</v>
      </c>
      <c r="F543" s="197">
        <f t="shared" si="320"/>
        <v>3310</v>
      </c>
      <c r="G543" s="197">
        <f t="shared" si="320"/>
        <v>1433</v>
      </c>
      <c r="H543" s="197">
        <f t="shared" si="320"/>
        <v>731</v>
      </c>
      <c r="I543" s="197">
        <f t="shared" si="320"/>
        <v>256</v>
      </c>
      <c r="J543" s="424" t="s">
        <v>116</v>
      </c>
      <c r="K543" s="197">
        <f t="shared" si="320"/>
        <v>6606</v>
      </c>
      <c r="L543" s="182"/>
      <c r="M543" s="197" t="str">
        <f t="shared" ref="M543:S544" si="321">M331</f>
        <v>-</v>
      </c>
      <c r="N543" s="197">
        <f t="shared" si="321"/>
        <v>5796</v>
      </c>
      <c r="O543" s="182">
        <f t="shared" si="321"/>
        <v>34192</v>
      </c>
      <c r="P543" s="197">
        <f t="shared" si="321"/>
        <v>20969</v>
      </c>
      <c r="Q543" s="197">
        <f t="shared" si="321"/>
        <v>5351</v>
      </c>
      <c r="R543" s="197">
        <f>R331</f>
        <v>5</v>
      </c>
      <c r="S543" s="203">
        <f t="shared" si="321"/>
        <v>66313</v>
      </c>
    </row>
    <row r="544" spans="1:19" x14ac:dyDescent="0.2">
      <c r="A544" s="118" t="s">
        <v>393</v>
      </c>
      <c r="B544" s="197">
        <f t="shared" si="320"/>
        <v>0</v>
      </c>
      <c r="C544" s="197">
        <f t="shared" si="320"/>
        <v>4</v>
      </c>
      <c r="D544" s="197">
        <f t="shared" si="320"/>
        <v>38</v>
      </c>
      <c r="E544" s="197">
        <f t="shared" si="320"/>
        <v>666</v>
      </c>
      <c r="F544" s="197">
        <f t="shared" si="320"/>
        <v>3921</v>
      </c>
      <c r="G544" s="197">
        <f t="shared" si="320"/>
        <v>959</v>
      </c>
      <c r="H544" s="197">
        <f t="shared" si="320"/>
        <v>1338</v>
      </c>
      <c r="I544" s="197">
        <f t="shared" si="320"/>
        <v>219</v>
      </c>
      <c r="J544" s="424" t="s">
        <v>116</v>
      </c>
      <c r="K544" s="197">
        <f t="shared" si="320"/>
        <v>7145</v>
      </c>
      <c r="L544" s="182"/>
      <c r="M544" s="197" t="str">
        <f t="shared" si="321"/>
        <v>-</v>
      </c>
      <c r="N544" s="197">
        <f t="shared" si="321"/>
        <v>0</v>
      </c>
      <c r="O544" s="182">
        <f t="shared" si="321"/>
        <v>11451</v>
      </c>
      <c r="P544" s="197">
        <f t="shared" si="321"/>
        <v>5115</v>
      </c>
      <c r="Q544" s="197">
        <f t="shared" si="321"/>
        <v>4245</v>
      </c>
      <c r="R544" s="197" t="str">
        <f>R332</f>
        <v>-</v>
      </c>
      <c r="S544" s="203">
        <f t="shared" si="321"/>
        <v>20811</v>
      </c>
    </row>
    <row r="545" spans="1:19" ht="11.25" customHeight="1" x14ac:dyDescent="0.2">
      <c r="A545" s="537" t="s">
        <v>250</v>
      </c>
      <c r="B545" s="537"/>
      <c r="C545" s="537"/>
      <c r="D545" s="537"/>
      <c r="E545" s="537"/>
      <c r="F545" s="537"/>
      <c r="G545" s="537"/>
      <c r="H545" s="537"/>
      <c r="I545" s="537"/>
      <c r="J545" s="537"/>
      <c r="K545" s="537"/>
      <c r="L545" s="537"/>
      <c r="M545" s="537"/>
      <c r="N545" s="537"/>
      <c r="O545" s="537"/>
      <c r="P545" s="537"/>
      <c r="Q545" s="537"/>
      <c r="R545" s="537"/>
      <c r="S545" s="537"/>
    </row>
    <row r="546" spans="1:19" x14ac:dyDescent="0.2">
      <c r="A546" s="548"/>
      <c r="B546" s="548"/>
      <c r="C546" s="548"/>
      <c r="D546" s="548"/>
      <c r="E546" s="548"/>
      <c r="F546" s="548"/>
      <c r="G546" s="548"/>
      <c r="H546" s="548"/>
      <c r="I546" s="548"/>
      <c r="J546" s="548"/>
      <c r="K546" s="548"/>
      <c r="L546" s="548"/>
      <c r="M546" s="548"/>
      <c r="N546" s="548"/>
      <c r="O546" s="548"/>
      <c r="P546" s="548"/>
      <c r="Q546" s="548"/>
      <c r="R546" s="548"/>
      <c r="S546" s="548"/>
    </row>
    <row r="547" spans="1:19" x14ac:dyDescent="0.2">
      <c r="A547" s="548"/>
      <c r="B547" s="548"/>
      <c r="C547" s="548"/>
      <c r="D547" s="548"/>
      <c r="E547" s="548"/>
      <c r="F547" s="548"/>
      <c r="G547" s="548"/>
      <c r="H547" s="548"/>
      <c r="I547" s="548"/>
      <c r="J547" s="548"/>
      <c r="K547" s="548"/>
      <c r="L547" s="548"/>
      <c r="M547" s="548"/>
      <c r="N547" s="548"/>
      <c r="O547" s="548"/>
      <c r="P547" s="548"/>
      <c r="Q547" s="548"/>
      <c r="R547" s="548"/>
      <c r="S547" s="548"/>
    </row>
    <row r="548" spans="1:19" x14ac:dyDescent="0.2">
      <c r="A548" s="365" t="s">
        <v>48</v>
      </c>
      <c r="B548" s="365"/>
      <c r="C548" s="365"/>
      <c r="D548" s="365"/>
      <c r="E548" s="365"/>
      <c r="F548" s="365"/>
      <c r="G548" s="365"/>
      <c r="H548" s="365"/>
      <c r="I548" s="365"/>
      <c r="J548" s="365"/>
      <c r="K548" s="365"/>
      <c r="L548" s="365"/>
      <c r="M548" s="365"/>
      <c r="N548" s="365"/>
      <c r="O548" s="365"/>
      <c r="P548" s="365"/>
      <c r="Q548" s="365"/>
      <c r="R548" s="365"/>
      <c r="S548" s="365"/>
    </row>
    <row r="549" spans="1:19" x14ac:dyDescent="0.2">
      <c r="A549" s="554"/>
      <c r="B549" s="554"/>
      <c r="C549" s="554"/>
      <c r="D549" s="554"/>
      <c r="E549" s="554"/>
      <c r="F549" s="554"/>
      <c r="G549" s="554"/>
      <c r="H549" s="554"/>
      <c r="I549" s="554"/>
      <c r="J549" s="554"/>
      <c r="K549" s="554"/>
      <c r="L549" s="554"/>
      <c r="M549" s="554"/>
      <c r="N549" s="554"/>
      <c r="O549" s="554"/>
      <c r="P549" s="554"/>
      <c r="Q549" s="554"/>
      <c r="R549" s="554"/>
      <c r="S549" s="554"/>
    </row>
    <row r="550" spans="1:19" x14ac:dyDescent="0.2">
      <c r="A550" s="554"/>
      <c r="B550" s="554"/>
      <c r="C550" s="554"/>
      <c r="D550" s="554"/>
      <c r="E550" s="554"/>
      <c r="F550" s="554"/>
      <c r="G550" s="554"/>
      <c r="H550" s="554"/>
      <c r="I550" s="554"/>
      <c r="J550" s="554"/>
      <c r="K550" s="554"/>
      <c r="L550" s="554"/>
      <c r="M550" s="554"/>
      <c r="N550" s="554"/>
      <c r="O550" s="554"/>
      <c r="P550" s="554"/>
      <c r="Q550" s="554"/>
      <c r="R550" s="554"/>
      <c r="S550" s="554"/>
    </row>
    <row r="551" spans="1:19" x14ac:dyDescent="0.2">
      <c r="A551" s="554"/>
      <c r="B551" s="554"/>
      <c r="C551" s="554"/>
      <c r="D551" s="554"/>
      <c r="E551" s="554"/>
      <c r="F551" s="554"/>
      <c r="G551" s="554"/>
      <c r="H551" s="554"/>
      <c r="I551" s="554"/>
      <c r="J551" s="554"/>
      <c r="K551" s="554"/>
      <c r="L551" s="554"/>
      <c r="M551" s="554"/>
      <c r="N551" s="554"/>
      <c r="O551" s="554"/>
      <c r="P551" s="554"/>
      <c r="Q551" s="554"/>
      <c r="R551" s="554"/>
      <c r="S551" s="554"/>
    </row>
    <row r="552" spans="1:19" x14ac:dyDescent="0.2">
      <c r="A552" s="554"/>
      <c r="B552" s="554"/>
      <c r="C552" s="554"/>
      <c r="D552" s="554"/>
      <c r="E552" s="554"/>
      <c r="F552" s="554"/>
      <c r="G552" s="554"/>
      <c r="H552" s="554"/>
      <c r="I552" s="554"/>
      <c r="J552" s="554"/>
      <c r="K552" s="554"/>
      <c r="L552" s="554"/>
      <c r="M552" s="554"/>
      <c r="N552" s="554"/>
      <c r="O552" s="554"/>
      <c r="P552" s="554"/>
      <c r="Q552" s="554"/>
      <c r="R552" s="554"/>
      <c r="S552" s="554"/>
    </row>
    <row r="553" spans="1:19" x14ac:dyDescent="0.2">
      <c r="A553" s="554"/>
      <c r="B553" s="554"/>
      <c r="C553" s="554"/>
      <c r="D553" s="554"/>
      <c r="E553" s="554"/>
      <c r="F553" s="554"/>
      <c r="G553" s="554"/>
      <c r="H553" s="554"/>
      <c r="I553" s="554"/>
      <c r="J553" s="554"/>
      <c r="K553" s="554"/>
      <c r="L553" s="554"/>
      <c r="M553" s="554"/>
      <c r="N553" s="554"/>
      <c r="O553" s="554"/>
      <c r="P553" s="554"/>
      <c r="Q553" s="554"/>
      <c r="R553" s="554"/>
      <c r="S553" s="554"/>
    </row>
  </sheetData>
  <mergeCells count="24">
    <mergeCell ref="A338:S338"/>
    <mergeCell ref="A1:S1"/>
    <mergeCell ref="B3:K3"/>
    <mergeCell ref="M3:S3"/>
    <mergeCell ref="A333:S335"/>
    <mergeCell ref="A336:S337"/>
    <mergeCell ref="A377:S377"/>
    <mergeCell ref="B379:K379"/>
    <mergeCell ref="M379:S379"/>
    <mergeCell ref="A424:S424"/>
    <mergeCell ref="B426:K426"/>
    <mergeCell ref="M426:S426"/>
    <mergeCell ref="A553:S553"/>
    <mergeCell ref="A472:S472"/>
    <mergeCell ref="B474:K474"/>
    <mergeCell ref="M474:S474"/>
    <mergeCell ref="A520:S520"/>
    <mergeCell ref="B522:K522"/>
    <mergeCell ref="M522:S522"/>
    <mergeCell ref="A545:S547"/>
    <mergeCell ref="A549:S549"/>
    <mergeCell ref="A550:S550"/>
    <mergeCell ref="A551:S551"/>
    <mergeCell ref="A552:S552"/>
  </mergeCells>
  <pageMargins left="0.7" right="0.7" top="0.75" bottom="0.75" header="0.3" footer="0.3"/>
  <pageSetup scale="92" orientation="landscape" r:id="rId1"/>
  <rowBreaks count="3" manualBreakCount="3">
    <brk id="423" max="18" man="1"/>
    <brk id="471" max="18" man="1"/>
    <brk id="519" max="18"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4"/>
  <dimension ref="A1:M187"/>
  <sheetViews>
    <sheetView showGridLines="0" zoomScaleNormal="100" zoomScaleSheetLayoutView="90" workbookViewId="0">
      <selection sqref="A1:J2"/>
    </sheetView>
  </sheetViews>
  <sheetFormatPr defaultRowHeight="15.75" x14ac:dyDescent="0.25"/>
  <cols>
    <col min="12" max="12" width="32.375" customWidth="1"/>
  </cols>
  <sheetData>
    <row r="1" spans="1:13" ht="11.25" customHeight="1" x14ac:dyDescent="0.25">
      <c r="A1" s="538" t="s">
        <v>11</v>
      </c>
      <c r="B1" s="538"/>
      <c r="C1" s="538"/>
      <c r="D1" s="538"/>
      <c r="E1" s="538"/>
      <c r="F1" s="538"/>
      <c r="G1" s="538"/>
      <c r="H1" s="538"/>
      <c r="I1" s="548"/>
      <c r="J1" s="548"/>
      <c r="K1" s="56"/>
    </row>
    <row r="2" spans="1:13" ht="11.25" customHeight="1" x14ac:dyDescent="0.25">
      <c r="A2" s="548"/>
      <c r="B2" s="548"/>
      <c r="C2" s="548"/>
      <c r="D2" s="548"/>
      <c r="E2" s="548"/>
      <c r="F2" s="548"/>
      <c r="G2" s="548"/>
      <c r="H2" s="548"/>
      <c r="I2" s="548"/>
      <c r="J2" s="548"/>
      <c r="K2" s="56"/>
      <c r="L2" s="295" t="s">
        <v>246</v>
      </c>
    </row>
    <row r="3" spans="1:13" ht="11.25" customHeight="1" x14ac:dyDescent="0.25">
      <c r="A3" s="301" t="s">
        <v>52</v>
      </c>
      <c r="B3" s="335"/>
      <c r="C3" s="335"/>
      <c r="D3" s="335"/>
      <c r="E3" s="335"/>
      <c r="F3" s="335" t="s">
        <v>59</v>
      </c>
      <c r="G3" s="336"/>
      <c r="H3" s="335"/>
      <c r="I3" s="335"/>
      <c r="J3" s="335"/>
      <c r="L3" s="295"/>
    </row>
    <row r="4" spans="1:13" ht="12.6" customHeight="1" x14ac:dyDescent="0.25">
      <c r="A4" s="337" t="s">
        <v>121</v>
      </c>
      <c r="B4" s="338" t="s">
        <v>63</v>
      </c>
      <c r="C4" s="338" t="s">
        <v>64</v>
      </c>
      <c r="D4" s="338" t="s">
        <v>66</v>
      </c>
      <c r="E4" s="338" t="s">
        <v>330</v>
      </c>
      <c r="F4" s="338" t="s">
        <v>57</v>
      </c>
      <c r="G4" s="339" t="s">
        <v>27</v>
      </c>
      <c r="H4" s="338" t="s">
        <v>60</v>
      </c>
      <c r="I4" s="338" t="s">
        <v>58</v>
      </c>
      <c r="J4" s="338" t="s">
        <v>61</v>
      </c>
      <c r="L4" s="295"/>
    </row>
    <row r="5" spans="1:13" ht="11.25" customHeight="1" x14ac:dyDescent="0.25">
      <c r="A5" s="568" t="s">
        <v>113</v>
      </c>
      <c r="B5" s="568"/>
      <c r="C5" s="568"/>
      <c r="D5" s="568"/>
      <c r="E5" s="568"/>
      <c r="F5" s="568"/>
      <c r="G5" s="568"/>
      <c r="H5" s="568"/>
      <c r="I5" s="568"/>
      <c r="J5" s="568"/>
    </row>
    <row r="6" spans="1:13" ht="11.25" customHeight="1" x14ac:dyDescent="0.25">
      <c r="A6" s="12" t="s">
        <v>62</v>
      </c>
      <c r="B6" s="43">
        <f>'A-12'!H330</f>
        <v>1961.4</v>
      </c>
      <c r="C6" s="43">
        <f>'A-12'!H304</f>
        <v>5193.8</v>
      </c>
      <c r="D6" s="43">
        <f>'A-12'!H282</f>
        <v>1552.6</v>
      </c>
      <c r="E6" s="43">
        <f>'A-12'!H260</f>
        <v>3111.4</v>
      </c>
      <c r="F6" s="43">
        <f>'A-12'!H352</f>
        <v>11819.2</v>
      </c>
      <c r="G6" s="154">
        <v>244</v>
      </c>
      <c r="H6" s="43">
        <v>18</v>
      </c>
      <c r="I6" s="43">
        <v>25</v>
      </c>
      <c r="J6" s="43">
        <f>SUM(F6:I6)</f>
        <v>12106.2</v>
      </c>
      <c r="K6" s="161"/>
      <c r="L6" s="161"/>
    </row>
    <row r="7" spans="1:13" ht="11.25" customHeight="1" x14ac:dyDescent="0.25">
      <c r="A7" s="12" t="s">
        <v>87</v>
      </c>
      <c r="B7" s="43">
        <f>'A-12'!H331</f>
        <v>871</v>
      </c>
      <c r="C7" s="43">
        <f>'A-12'!H305</f>
        <v>2619</v>
      </c>
      <c r="D7" s="43">
        <f>'A-12'!H283</f>
        <v>300.2</v>
      </c>
      <c r="E7" s="43">
        <f>'A-12'!H261</f>
        <v>928.2</v>
      </c>
      <c r="F7" s="43">
        <f>'A-12'!H353</f>
        <v>4718.3999999999996</v>
      </c>
      <c r="G7" s="154">
        <v>100</v>
      </c>
      <c r="H7" s="43">
        <v>0</v>
      </c>
      <c r="I7" s="43">
        <v>3</v>
      </c>
      <c r="J7" s="43">
        <f t="shared" ref="J7:J12" si="0">SUM(F7:I7)</f>
        <v>4821.3999999999996</v>
      </c>
      <c r="K7" s="161"/>
      <c r="L7" s="161"/>
    </row>
    <row r="8" spans="1:13" ht="11.25" customHeight="1" x14ac:dyDescent="0.25">
      <c r="A8" s="12" t="s">
        <v>14</v>
      </c>
      <c r="B8" s="43">
        <f>'A-12'!H332</f>
        <v>335</v>
      </c>
      <c r="C8" s="43">
        <f>'A-12'!H306</f>
        <v>2079.3333333333335</v>
      </c>
      <c r="D8" s="43">
        <f>'A-12'!H284</f>
        <v>243</v>
      </c>
      <c r="E8" s="43">
        <f>'A-12'!H262</f>
        <v>1421</v>
      </c>
      <c r="F8" s="43">
        <f>'A-12'!H354</f>
        <v>3474.75</v>
      </c>
      <c r="G8" s="154">
        <v>100</v>
      </c>
      <c r="H8" s="43">
        <v>0</v>
      </c>
      <c r="I8" s="43">
        <v>3</v>
      </c>
      <c r="J8" s="43">
        <f t="shared" si="0"/>
        <v>3577.75</v>
      </c>
      <c r="K8" s="161"/>
      <c r="L8" s="161"/>
    </row>
    <row r="9" spans="1:13" ht="11.25" customHeight="1" x14ac:dyDescent="0.25">
      <c r="A9" s="185" t="s">
        <v>207</v>
      </c>
      <c r="B9" s="43">
        <f>'A-12'!H333</f>
        <v>19.666666666666668</v>
      </c>
      <c r="C9" s="43">
        <f>'A-12'!H307</f>
        <v>128.19999999999999</v>
      </c>
      <c r="D9" s="43">
        <f>'A-12'!H285</f>
        <v>55.4</v>
      </c>
      <c r="E9" s="43">
        <f>'A-12'!H263</f>
        <v>235.2</v>
      </c>
      <c r="F9" s="43">
        <f>'A-12'!H355</f>
        <v>430.6</v>
      </c>
      <c r="G9" s="154">
        <f>AVERAGE(67,46,0,6,30)</f>
        <v>29.8</v>
      </c>
      <c r="H9" s="43">
        <v>0</v>
      </c>
      <c r="I9" s="43">
        <v>0</v>
      </c>
      <c r="J9" s="43">
        <f t="shared" si="0"/>
        <v>460.40000000000003</v>
      </c>
      <c r="K9" s="161"/>
      <c r="L9" s="161"/>
    </row>
    <row r="10" spans="1:13" ht="11.25" customHeight="1" x14ac:dyDescent="0.25">
      <c r="A10" s="185" t="s">
        <v>238</v>
      </c>
      <c r="B10" s="43">
        <f>'A-12'!H334</f>
        <v>82</v>
      </c>
      <c r="C10" s="43">
        <f>'A-12'!H308</f>
        <v>593</v>
      </c>
      <c r="D10" s="43">
        <f>'A-12'!H286</f>
        <v>194.8</v>
      </c>
      <c r="E10" s="43">
        <f>'A-12'!H264</f>
        <v>454</v>
      </c>
      <c r="F10" s="43">
        <f>'A-12'!H356</f>
        <v>1323.8</v>
      </c>
      <c r="G10" s="154">
        <f>AVERAGE(67,46,0,6,30)</f>
        <v>29.8</v>
      </c>
      <c r="H10" s="43">
        <v>0</v>
      </c>
      <c r="I10" s="43">
        <v>0</v>
      </c>
      <c r="J10" s="43">
        <f t="shared" si="0"/>
        <v>1353.6</v>
      </c>
      <c r="K10" s="161"/>
      <c r="L10" s="161"/>
      <c r="M10" s="50"/>
    </row>
    <row r="11" spans="1:13" ht="11.25" customHeight="1" x14ac:dyDescent="0.25">
      <c r="A11" s="12">
        <v>2006</v>
      </c>
      <c r="B11" s="43">
        <f>'A-12'!H176</f>
        <v>134</v>
      </c>
      <c r="C11" s="43">
        <f>'A-12'!H309</f>
        <v>367</v>
      </c>
      <c r="D11" s="43">
        <f>'A-12'!H287</f>
        <v>597</v>
      </c>
      <c r="E11" s="43">
        <f>'A-12'!H265</f>
        <v>340</v>
      </c>
      <c r="F11" s="43">
        <f>'A-12'!H357</f>
        <v>1438</v>
      </c>
      <c r="G11" s="154" t="s">
        <v>29</v>
      </c>
      <c r="H11" s="43">
        <v>0</v>
      </c>
      <c r="I11" s="43">
        <v>0</v>
      </c>
      <c r="J11" s="43">
        <f t="shared" si="0"/>
        <v>1438</v>
      </c>
      <c r="K11" s="161"/>
      <c r="L11" s="161"/>
      <c r="M11" s="50"/>
    </row>
    <row r="12" spans="1:13" ht="11.25" customHeight="1" x14ac:dyDescent="0.25">
      <c r="A12" s="12">
        <v>2007</v>
      </c>
      <c r="B12" s="43">
        <f>'A-12'!H177</f>
        <v>100</v>
      </c>
      <c r="C12" s="43">
        <f>'A-12'!H310</f>
        <v>638</v>
      </c>
      <c r="D12" s="43">
        <f>'A-12'!H288</f>
        <v>436</v>
      </c>
      <c r="E12" s="43">
        <f>'A-12'!H266</f>
        <v>100</v>
      </c>
      <c r="F12" s="43">
        <f>'A-12'!H358</f>
        <v>1274</v>
      </c>
      <c r="G12" s="154" t="s">
        <v>29</v>
      </c>
      <c r="H12" s="43">
        <v>0</v>
      </c>
      <c r="I12" s="43">
        <v>0</v>
      </c>
      <c r="J12" s="43">
        <f t="shared" si="0"/>
        <v>1274</v>
      </c>
      <c r="K12" s="168"/>
      <c r="L12" s="168"/>
      <c r="M12" s="78"/>
    </row>
    <row r="13" spans="1:13" ht="11.25" customHeight="1" x14ac:dyDescent="0.25">
      <c r="A13" s="12">
        <v>2008</v>
      </c>
      <c r="B13" s="43">
        <f>'A-12'!H178</f>
        <v>128</v>
      </c>
      <c r="C13" s="43">
        <f>'A-12'!H311</f>
        <v>655</v>
      </c>
      <c r="D13" s="43">
        <f>'A-12'!H289</f>
        <v>331</v>
      </c>
      <c r="E13" s="43">
        <f>'A-12'!H267</f>
        <v>109</v>
      </c>
      <c r="F13" s="43">
        <f>'A-12'!H359</f>
        <v>1223</v>
      </c>
      <c r="G13" s="154" t="s">
        <v>29</v>
      </c>
      <c r="H13" s="43" t="s">
        <v>29</v>
      </c>
      <c r="I13" s="43">
        <v>0</v>
      </c>
      <c r="J13" s="43">
        <f t="shared" ref="J13:J25" si="1">SUM(F13:I13)</f>
        <v>1223</v>
      </c>
      <c r="K13" s="168"/>
      <c r="L13" s="168"/>
      <c r="M13" s="78"/>
    </row>
    <row r="14" spans="1:13" ht="11.25" customHeight="1" x14ac:dyDescent="0.25">
      <c r="A14" s="12">
        <v>2009</v>
      </c>
      <c r="B14" s="43">
        <f>'A-12'!H179</f>
        <v>87</v>
      </c>
      <c r="C14" s="43">
        <f>'A-12'!H312</f>
        <v>1144</v>
      </c>
      <c r="D14" s="43">
        <f>'A-12'!H290</f>
        <v>564</v>
      </c>
      <c r="E14" s="43">
        <f>'A-12'!H268</f>
        <v>196</v>
      </c>
      <c r="F14" s="43">
        <f>'A-12'!H360</f>
        <v>1991</v>
      </c>
      <c r="G14" s="154" t="s">
        <v>29</v>
      </c>
      <c r="H14" s="43" t="s">
        <v>29</v>
      </c>
      <c r="I14" s="43">
        <v>0</v>
      </c>
      <c r="J14" s="43">
        <f t="shared" si="1"/>
        <v>1991</v>
      </c>
      <c r="K14" s="168"/>
      <c r="L14" s="168"/>
      <c r="M14" s="78"/>
    </row>
    <row r="15" spans="1:13" ht="11.25" customHeight="1" x14ac:dyDescent="0.25">
      <c r="A15" s="12">
        <v>2010</v>
      </c>
      <c r="B15" s="43">
        <f>'A-12'!H180</f>
        <v>92</v>
      </c>
      <c r="C15" s="43">
        <f>'A-12'!H313</f>
        <v>1620</v>
      </c>
      <c r="D15" s="43">
        <f>'A-12'!H291</f>
        <v>426</v>
      </c>
      <c r="E15" s="43">
        <f>'A-12'!H269</f>
        <v>298</v>
      </c>
      <c r="F15" s="43">
        <f>'A-12'!H361</f>
        <v>2436</v>
      </c>
      <c r="G15" s="154" t="s">
        <v>29</v>
      </c>
      <c r="H15" s="43" t="s">
        <v>29</v>
      </c>
      <c r="I15" s="43">
        <v>0</v>
      </c>
      <c r="J15" s="43">
        <f t="shared" si="1"/>
        <v>2436</v>
      </c>
      <c r="K15" s="168"/>
      <c r="L15" s="168"/>
      <c r="M15" s="78"/>
    </row>
    <row r="16" spans="1:13" ht="11.25" customHeight="1" x14ac:dyDescent="0.25">
      <c r="A16" s="12">
        <v>2011</v>
      </c>
      <c r="B16" s="43">
        <f>'A-12'!H181</f>
        <v>92</v>
      </c>
      <c r="C16" s="43">
        <f>'A-12'!H314</f>
        <v>1133</v>
      </c>
      <c r="D16" s="43">
        <f>'A-12'!H292</f>
        <v>669</v>
      </c>
      <c r="E16" s="43">
        <f>'A-12'!H270</f>
        <v>170</v>
      </c>
      <c r="F16" s="43">
        <f>'A-12'!H362</f>
        <v>2064</v>
      </c>
      <c r="G16" s="154" t="s">
        <v>29</v>
      </c>
      <c r="H16" s="43" t="s">
        <v>29</v>
      </c>
      <c r="I16" s="43">
        <v>0</v>
      </c>
      <c r="J16" s="43">
        <f t="shared" si="1"/>
        <v>2064</v>
      </c>
      <c r="K16" s="168"/>
      <c r="L16" s="168"/>
      <c r="M16" s="78"/>
    </row>
    <row r="17" spans="1:13" ht="11.25" customHeight="1" x14ac:dyDescent="0.25">
      <c r="A17" s="12">
        <v>2012</v>
      </c>
      <c r="B17" s="43">
        <f>'A-12'!H182</f>
        <v>107</v>
      </c>
      <c r="C17" s="43">
        <f>'A-12'!H315</f>
        <v>654</v>
      </c>
      <c r="D17" s="43">
        <f>'A-12'!H293</f>
        <v>1045</v>
      </c>
      <c r="E17" s="43">
        <f>'A-12'!H271</f>
        <v>254</v>
      </c>
      <c r="F17" s="43">
        <f>'A-12'!H363</f>
        <v>2060</v>
      </c>
      <c r="G17" s="154" t="s">
        <v>29</v>
      </c>
      <c r="H17" s="43" t="s">
        <v>29</v>
      </c>
      <c r="I17" s="43">
        <v>0</v>
      </c>
      <c r="J17" s="43">
        <f t="shared" si="1"/>
        <v>2060</v>
      </c>
      <c r="K17" s="168"/>
      <c r="L17" s="168"/>
      <c r="M17" s="78"/>
    </row>
    <row r="18" spans="1:13" ht="11.25" customHeight="1" x14ac:dyDescent="0.25">
      <c r="A18" s="12">
        <v>2013</v>
      </c>
      <c r="B18" s="43">
        <f>'A-12'!H183</f>
        <v>130</v>
      </c>
      <c r="C18" s="43">
        <f>'A-12'!H316</f>
        <v>1498</v>
      </c>
      <c r="D18" s="43">
        <f>'A-12'!H294</f>
        <v>435</v>
      </c>
      <c r="E18" s="43">
        <f>'A-12'!H272</f>
        <v>245</v>
      </c>
      <c r="F18" s="43">
        <f>'A-12'!H364</f>
        <v>2308</v>
      </c>
      <c r="G18" s="154" t="s">
        <v>29</v>
      </c>
      <c r="H18" s="43" t="s">
        <v>29</v>
      </c>
      <c r="I18" s="43">
        <v>0</v>
      </c>
      <c r="J18" s="43">
        <f t="shared" si="1"/>
        <v>2308</v>
      </c>
      <c r="K18" s="168"/>
      <c r="L18" s="168"/>
      <c r="M18" s="78"/>
    </row>
    <row r="19" spans="1:13" ht="11.25" customHeight="1" x14ac:dyDescent="0.25">
      <c r="A19" s="12">
        <v>2014</v>
      </c>
      <c r="B19" s="43">
        <f>'A-12'!H184</f>
        <v>394</v>
      </c>
      <c r="C19" s="43">
        <f>'A-12'!H317</f>
        <v>791</v>
      </c>
      <c r="D19" s="43">
        <f>'A-12'!H295</f>
        <v>716</v>
      </c>
      <c r="E19" s="43">
        <f>'A-12'!H273</f>
        <v>121</v>
      </c>
      <c r="F19" s="43">
        <f>'A-12'!H365</f>
        <v>2022</v>
      </c>
      <c r="G19" s="154" t="s">
        <v>29</v>
      </c>
      <c r="H19" s="43" t="s">
        <v>29</v>
      </c>
      <c r="I19" s="43">
        <v>0</v>
      </c>
      <c r="J19" s="43">
        <f t="shared" si="1"/>
        <v>2022</v>
      </c>
      <c r="K19" s="168"/>
      <c r="L19" s="168"/>
      <c r="M19" s="78"/>
    </row>
    <row r="20" spans="1:13" ht="11.25" customHeight="1" x14ac:dyDescent="0.25">
      <c r="A20" s="12">
        <v>2015</v>
      </c>
      <c r="B20" s="43">
        <f>'A-12'!H185</f>
        <v>275</v>
      </c>
      <c r="C20" s="43">
        <f>'A-12'!H318</f>
        <v>1447</v>
      </c>
      <c r="D20" s="43">
        <f>'A-12'!H296</f>
        <v>657</v>
      </c>
      <c r="E20" s="43">
        <f>'A-12'!H274</f>
        <v>266</v>
      </c>
      <c r="F20" s="43">
        <f>'A-12'!H366</f>
        <v>2645</v>
      </c>
      <c r="G20" s="154" t="s">
        <v>29</v>
      </c>
      <c r="H20" s="43" t="s">
        <v>29</v>
      </c>
      <c r="I20" s="43">
        <v>0</v>
      </c>
      <c r="J20" s="43">
        <f t="shared" si="1"/>
        <v>2645</v>
      </c>
      <c r="K20" s="168"/>
      <c r="L20" s="168"/>
      <c r="M20" s="78"/>
    </row>
    <row r="21" spans="1:13" ht="11.25" customHeight="1" x14ac:dyDescent="0.25">
      <c r="A21" s="185">
        <v>2016</v>
      </c>
      <c r="B21" s="43">
        <f>'A-12'!H186</f>
        <v>188</v>
      </c>
      <c r="C21" s="43">
        <f>'A-12'!H319</f>
        <v>881</v>
      </c>
      <c r="D21" s="43">
        <f>'A-12'!H297</f>
        <v>411</v>
      </c>
      <c r="E21" s="43">
        <f>'A-12'!H275</f>
        <v>148</v>
      </c>
      <c r="F21" s="43">
        <f>'A-12'!H367</f>
        <v>1628</v>
      </c>
      <c r="G21" s="154" t="s">
        <v>29</v>
      </c>
      <c r="H21" s="43" t="s">
        <v>29</v>
      </c>
      <c r="I21" s="43">
        <v>0</v>
      </c>
      <c r="J21" s="43">
        <f t="shared" si="1"/>
        <v>1628</v>
      </c>
      <c r="K21" s="168"/>
      <c r="L21" s="168"/>
      <c r="M21" s="78"/>
    </row>
    <row r="22" spans="1:13" ht="11.25" customHeight="1" x14ac:dyDescent="0.25">
      <c r="A22" s="185">
        <v>2017</v>
      </c>
      <c r="B22" s="43">
        <f>'A-12'!H187</f>
        <v>93</v>
      </c>
      <c r="C22" s="43">
        <f>'A-12'!H320</f>
        <v>1411</v>
      </c>
      <c r="D22" s="43">
        <f>'A-12'!H298</f>
        <v>502</v>
      </c>
      <c r="E22" s="43">
        <f>'A-12'!H276</f>
        <v>367</v>
      </c>
      <c r="F22" s="43">
        <f>'A-12'!H368</f>
        <v>2373</v>
      </c>
      <c r="G22" s="154" t="s">
        <v>29</v>
      </c>
      <c r="H22" s="43" t="s">
        <v>29</v>
      </c>
      <c r="I22" s="43">
        <v>0</v>
      </c>
      <c r="J22" s="43">
        <f t="shared" si="1"/>
        <v>2373</v>
      </c>
      <c r="K22" s="168"/>
      <c r="L22" s="168"/>
      <c r="M22" s="78"/>
    </row>
    <row r="23" spans="1:13" s="357" customFormat="1" ht="11.25" customHeight="1" x14ac:dyDescent="0.25">
      <c r="A23" s="118">
        <v>2018</v>
      </c>
      <c r="B23" s="43">
        <f>'A-12'!H188</f>
        <v>54</v>
      </c>
      <c r="C23" s="43">
        <f>'A-12'!H321</f>
        <v>1194</v>
      </c>
      <c r="D23" s="43">
        <f>'A-12'!H299</f>
        <v>360</v>
      </c>
      <c r="E23" s="43">
        <f>'A-12'!H277</f>
        <v>541</v>
      </c>
      <c r="F23" s="43">
        <f>'A-12'!H369</f>
        <v>2149</v>
      </c>
      <c r="G23" s="154" t="s">
        <v>29</v>
      </c>
      <c r="H23" s="43" t="s">
        <v>29</v>
      </c>
      <c r="I23" s="43">
        <v>0</v>
      </c>
      <c r="J23" s="43">
        <f t="shared" si="1"/>
        <v>2149</v>
      </c>
      <c r="K23" s="168"/>
      <c r="L23" s="168"/>
      <c r="M23" s="78"/>
    </row>
    <row r="24" spans="1:13" s="357" customFormat="1" ht="11.25" customHeight="1" x14ac:dyDescent="0.25">
      <c r="A24" s="118">
        <v>2019</v>
      </c>
      <c r="B24" s="43">
        <f>'A-12'!H189</f>
        <v>77</v>
      </c>
      <c r="C24" s="43">
        <f>'A-12'!H322</f>
        <v>290</v>
      </c>
      <c r="D24" s="43">
        <f>'A-12'!H300</f>
        <v>429</v>
      </c>
      <c r="E24" s="43">
        <f>'A-12'!H278</f>
        <v>942</v>
      </c>
      <c r="F24" s="43">
        <f>'A-12'!H370</f>
        <v>1738</v>
      </c>
      <c r="G24" s="154" t="s">
        <v>29</v>
      </c>
      <c r="H24" s="43" t="s">
        <v>29</v>
      </c>
      <c r="I24" s="43">
        <v>0</v>
      </c>
      <c r="J24" s="43">
        <f t="shared" ref="J24" si="2">SUM(F24:I24)</f>
        <v>1738</v>
      </c>
      <c r="K24" s="168"/>
      <c r="L24" s="168"/>
      <c r="M24" s="78"/>
    </row>
    <row r="25" spans="1:13" ht="11.25" customHeight="1" x14ac:dyDescent="0.25">
      <c r="A25" s="118" t="s">
        <v>393</v>
      </c>
      <c r="B25" s="43">
        <f>'A-12'!H190</f>
        <v>57</v>
      </c>
      <c r="C25" s="43">
        <f>'A-12'!H323</f>
        <v>446</v>
      </c>
      <c r="D25" s="43">
        <f>'A-12'!H301</f>
        <v>336</v>
      </c>
      <c r="E25" s="43">
        <f>'A-12'!H279</f>
        <v>137</v>
      </c>
      <c r="F25" s="43">
        <f>'A-12'!H371</f>
        <v>976</v>
      </c>
      <c r="G25" s="154" t="s">
        <v>29</v>
      </c>
      <c r="H25" s="43" t="s">
        <v>29</v>
      </c>
      <c r="I25" s="43">
        <v>0</v>
      </c>
      <c r="J25" s="43">
        <f t="shared" si="1"/>
        <v>976</v>
      </c>
      <c r="K25" s="168"/>
      <c r="L25" s="168"/>
      <c r="M25" s="78"/>
    </row>
    <row r="26" spans="1:13" ht="11.25" customHeight="1" x14ac:dyDescent="0.25">
      <c r="A26" s="12"/>
      <c r="B26" s="43"/>
      <c r="C26" s="43"/>
      <c r="D26" s="43"/>
      <c r="E26" s="43"/>
      <c r="F26" s="43"/>
      <c r="G26" s="154"/>
      <c r="H26" s="43"/>
      <c r="I26" s="43"/>
      <c r="J26" s="43"/>
    </row>
    <row r="27" spans="1:13" ht="11.25" customHeight="1" x14ac:dyDescent="0.25">
      <c r="A27" s="568" t="s">
        <v>114</v>
      </c>
      <c r="B27" s="568"/>
      <c r="C27" s="568"/>
      <c r="D27" s="568"/>
      <c r="E27" s="568"/>
      <c r="F27" s="568"/>
      <c r="G27" s="568"/>
      <c r="H27" s="568"/>
      <c r="I27" s="568"/>
      <c r="J27" s="568"/>
    </row>
    <row r="28" spans="1:13" ht="11.25" customHeight="1" x14ac:dyDescent="0.25">
      <c r="A28" s="12" t="s">
        <v>62</v>
      </c>
      <c r="B28" s="43">
        <f>'A-13'!G324</f>
        <v>9172.4</v>
      </c>
      <c r="C28" s="43">
        <f>'A-13'!G302</f>
        <v>34995.4</v>
      </c>
      <c r="D28" s="43">
        <f>'A-13'!G277</f>
        <v>7061</v>
      </c>
      <c r="E28" s="43">
        <f>'A-13'!G255</f>
        <v>10074.200000000001</v>
      </c>
      <c r="F28" s="43">
        <f>'A-13'!G349</f>
        <v>61303</v>
      </c>
      <c r="G28" s="154">
        <v>901</v>
      </c>
      <c r="H28" s="43">
        <v>184</v>
      </c>
      <c r="I28" s="43">
        <v>203</v>
      </c>
      <c r="J28" s="43">
        <f>SUM(F28:I28)</f>
        <v>62591</v>
      </c>
      <c r="K28" s="161"/>
      <c r="L28" s="161"/>
    </row>
    <row r="29" spans="1:13" ht="11.25" customHeight="1" x14ac:dyDescent="0.25">
      <c r="A29" s="12" t="s">
        <v>87</v>
      </c>
      <c r="B29" s="43">
        <f>'A-13'!G325</f>
        <v>5089.2</v>
      </c>
      <c r="C29" s="43">
        <f>'A-13'!G303</f>
        <v>27281.200000000001</v>
      </c>
      <c r="D29" s="43">
        <f>'A-13'!G278</f>
        <v>4251</v>
      </c>
      <c r="E29" s="43">
        <f>'A-13'!G256</f>
        <v>9600.6</v>
      </c>
      <c r="F29" s="43">
        <f>'A-13'!G350</f>
        <v>46222</v>
      </c>
      <c r="G29" s="154">
        <v>1431</v>
      </c>
      <c r="H29" s="43">
        <v>0</v>
      </c>
      <c r="I29" s="43">
        <v>1</v>
      </c>
      <c r="J29" s="43">
        <f t="shared" ref="J29:J34" si="3">SUM(F29:I29)</f>
        <v>47654</v>
      </c>
      <c r="K29" s="161"/>
      <c r="L29" s="161"/>
    </row>
    <row r="30" spans="1:13" ht="11.25" customHeight="1" x14ac:dyDescent="0.25">
      <c r="A30" s="12" t="s">
        <v>14</v>
      </c>
      <c r="B30" s="43">
        <f>'A-13'!G326</f>
        <v>1386</v>
      </c>
      <c r="C30" s="43">
        <f>'A-13'!G304</f>
        <v>13906.666666666666</v>
      </c>
      <c r="D30" s="43">
        <f>'A-13'!G279</f>
        <v>2769</v>
      </c>
      <c r="E30" s="43">
        <f>'A-13'!G257</f>
        <v>12081.75</v>
      </c>
      <c r="F30" s="43">
        <f>'A-13'!G351</f>
        <v>25628</v>
      </c>
      <c r="G30" s="154">
        <v>1431</v>
      </c>
      <c r="H30" s="43">
        <v>0</v>
      </c>
      <c r="I30" s="43">
        <v>1</v>
      </c>
      <c r="J30" s="43">
        <f t="shared" si="3"/>
        <v>27060</v>
      </c>
      <c r="K30" s="161"/>
      <c r="L30" s="161"/>
    </row>
    <row r="31" spans="1:13" ht="11.25" customHeight="1" x14ac:dyDescent="0.25">
      <c r="A31" s="185" t="s">
        <v>207</v>
      </c>
      <c r="B31" s="43">
        <f>'A-13'!G327</f>
        <v>184.33333333333334</v>
      </c>
      <c r="C31" s="43">
        <f>'A-13'!G305</f>
        <v>1329.25</v>
      </c>
      <c r="D31" s="43">
        <f>'A-13'!G280</f>
        <v>1502.75</v>
      </c>
      <c r="E31" s="43">
        <f>'A-13'!G258</f>
        <v>7047.75</v>
      </c>
      <c r="F31" s="43">
        <f>'A-13'!G352</f>
        <v>10018</v>
      </c>
      <c r="G31" s="154">
        <f>AVERAGE(1490,1362,0,172,1035)</f>
        <v>811.8</v>
      </c>
      <c r="H31" s="43">
        <v>0</v>
      </c>
      <c r="I31" s="43">
        <v>0</v>
      </c>
      <c r="J31" s="43">
        <f t="shared" si="3"/>
        <v>10829.8</v>
      </c>
      <c r="K31" s="161"/>
      <c r="L31" s="161"/>
    </row>
    <row r="32" spans="1:13" ht="11.25" customHeight="1" x14ac:dyDescent="0.25">
      <c r="A32" s="185" t="s">
        <v>238</v>
      </c>
      <c r="B32" s="43">
        <f>'A-13'!G328</f>
        <v>1292.8</v>
      </c>
      <c r="C32" s="43">
        <f>'A-13'!G306</f>
        <v>17254.2</v>
      </c>
      <c r="D32" s="43">
        <f>'A-13'!G281</f>
        <v>4480.6000000000004</v>
      </c>
      <c r="E32" s="43">
        <f>'A-13'!G259</f>
        <v>17310</v>
      </c>
      <c r="F32" s="43">
        <f>'A-13'!G353</f>
        <v>40337.599999999999</v>
      </c>
      <c r="G32" s="154">
        <f>AVERAGE(1490,1362,0,172,1035)</f>
        <v>811.8</v>
      </c>
      <c r="H32" s="43">
        <v>0</v>
      </c>
      <c r="I32" s="43">
        <v>0</v>
      </c>
      <c r="J32" s="43">
        <f t="shared" si="3"/>
        <v>41149.4</v>
      </c>
      <c r="K32" s="161"/>
      <c r="L32" s="161"/>
    </row>
    <row r="33" spans="1:12" ht="11.25" customHeight="1" x14ac:dyDescent="0.25">
      <c r="A33" s="12">
        <v>2006</v>
      </c>
      <c r="B33" s="43">
        <f>'A-13'!G329</f>
        <v>2124</v>
      </c>
      <c r="C33" s="43">
        <f>'A-13'!G307</f>
        <v>2557</v>
      </c>
      <c r="D33" s="43">
        <f>'A-13'!G282</f>
        <v>7877</v>
      </c>
      <c r="E33" s="43">
        <f>'A-13'!G260</f>
        <v>4211</v>
      </c>
      <c r="F33" s="43">
        <f>'A-13'!G354</f>
        <v>16769</v>
      </c>
      <c r="G33" s="154" t="s">
        <v>29</v>
      </c>
      <c r="H33" s="43">
        <v>0</v>
      </c>
      <c r="I33" s="43">
        <v>0</v>
      </c>
      <c r="J33" s="43">
        <f t="shared" si="3"/>
        <v>16769</v>
      </c>
      <c r="K33" s="161"/>
      <c r="L33" s="161"/>
    </row>
    <row r="34" spans="1:12" ht="11.25" customHeight="1" x14ac:dyDescent="0.25">
      <c r="A34" s="12">
        <v>2007</v>
      </c>
      <c r="B34" s="43">
        <f>'A-13'!G330</f>
        <v>500</v>
      </c>
      <c r="C34" s="43">
        <f>'A-13'!G308</f>
        <v>8111</v>
      </c>
      <c r="D34" s="43">
        <f>'A-13'!G283</f>
        <v>5103</v>
      </c>
      <c r="E34" s="43">
        <f>'A-13'!G261</f>
        <v>554</v>
      </c>
      <c r="F34" s="43">
        <f>'A-13'!G355</f>
        <v>14268</v>
      </c>
      <c r="G34" s="154" t="s">
        <v>29</v>
      </c>
      <c r="H34" s="43">
        <v>0</v>
      </c>
      <c r="I34" s="43">
        <v>0</v>
      </c>
      <c r="J34" s="43">
        <f t="shared" si="3"/>
        <v>14268</v>
      </c>
      <c r="K34" s="168"/>
      <c r="L34" s="168"/>
    </row>
    <row r="35" spans="1:12" ht="11.25" customHeight="1" x14ac:dyDescent="0.25">
      <c r="A35" s="12">
        <v>2008</v>
      </c>
      <c r="B35" s="43">
        <f>'A-13'!G331</f>
        <v>1242</v>
      </c>
      <c r="C35" s="43">
        <f>'A-13'!G309</f>
        <v>4673</v>
      </c>
      <c r="D35" s="43">
        <f>'A-13'!G284</f>
        <v>2222</v>
      </c>
      <c r="E35" s="43">
        <f>'A-13'!G262</f>
        <v>499</v>
      </c>
      <c r="F35" s="43">
        <f>'A-13'!G356</f>
        <v>8636</v>
      </c>
      <c r="G35" s="154" t="s">
        <v>29</v>
      </c>
      <c r="H35" s="43" t="s">
        <v>29</v>
      </c>
      <c r="I35" s="43">
        <v>0</v>
      </c>
      <c r="J35" s="43">
        <f>SUM(F35:I35)</f>
        <v>8636</v>
      </c>
      <c r="K35" s="168"/>
      <c r="L35" s="168"/>
    </row>
    <row r="36" spans="1:12" ht="11.25" customHeight="1" x14ac:dyDescent="0.25">
      <c r="A36" s="12">
        <v>2009</v>
      </c>
      <c r="B36" s="43">
        <f>'A-13'!G332</f>
        <v>261</v>
      </c>
      <c r="C36" s="43">
        <f>'A-13'!G310</f>
        <v>8132</v>
      </c>
      <c r="D36" s="43">
        <f>'A-13'!G285</f>
        <v>2722</v>
      </c>
      <c r="E36" s="43">
        <f>'A-13'!G263</f>
        <v>1201</v>
      </c>
      <c r="F36" s="43">
        <f>'A-13'!G357</f>
        <v>12316</v>
      </c>
      <c r="G36" s="154" t="s">
        <v>29</v>
      </c>
      <c r="H36" s="43" t="s">
        <v>29</v>
      </c>
      <c r="I36" s="43">
        <v>0</v>
      </c>
      <c r="J36" s="43">
        <f>SUM(F36:I36)</f>
        <v>12316</v>
      </c>
      <c r="K36" s="168"/>
      <c r="L36" s="168"/>
    </row>
    <row r="37" spans="1:12" ht="11.25" customHeight="1" x14ac:dyDescent="0.25">
      <c r="A37" s="12">
        <v>2010</v>
      </c>
      <c r="B37" s="43">
        <f>'A-13'!G333</f>
        <v>886</v>
      </c>
      <c r="C37" s="43">
        <f>'A-13'!G311</f>
        <v>34171</v>
      </c>
      <c r="D37" s="43">
        <f>'A-13'!G286</f>
        <v>5911</v>
      </c>
      <c r="E37" s="43">
        <f>'A-13'!G264</f>
        <v>4131</v>
      </c>
      <c r="F37" s="43">
        <f>'A-13'!G358</f>
        <v>45099</v>
      </c>
      <c r="G37" s="154" t="s">
        <v>29</v>
      </c>
      <c r="H37" s="43" t="s">
        <v>29</v>
      </c>
      <c r="I37" s="43">
        <v>0</v>
      </c>
      <c r="J37" s="43">
        <f>SUM(F37:I37)</f>
        <v>45099</v>
      </c>
      <c r="K37" s="168"/>
      <c r="L37" s="168"/>
    </row>
    <row r="38" spans="1:12" ht="11.25" customHeight="1" x14ac:dyDescent="0.25">
      <c r="A38" s="12">
        <v>2011</v>
      </c>
      <c r="B38" s="43">
        <f>'A-13'!G334</f>
        <v>1032</v>
      </c>
      <c r="C38" s="43">
        <f>'A-13'!G312</f>
        <v>12518</v>
      </c>
      <c r="D38" s="43">
        <f>'A-13'!G287</f>
        <v>10418</v>
      </c>
      <c r="E38" s="43">
        <f>'A-13'!G265</f>
        <v>2934</v>
      </c>
      <c r="F38" s="43">
        <f>'A-13'!G359</f>
        <v>26902</v>
      </c>
      <c r="G38" s="154" t="s">
        <v>29</v>
      </c>
      <c r="H38" s="43" t="s">
        <v>29</v>
      </c>
      <c r="I38" s="43">
        <v>0</v>
      </c>
      <c r="J38" s="43">
        <f>SUM(F38:I38)</f>
        <v>26902</v>
      </c>
      <c r="K38" s="168"/>
      <c r="L38" s="168"/>
    </row>
    <row r="39" spans="1:12" ht="11.25" customHeight="1" x14ac:dyDescent="0.25">
      <c r="A39" s="12">
        <v>2012</v>
      </c>
      <c r="B39" s="43">
        <f>'A-13'!G335</f>
        <v>2250</v>
      </c>
      <c r="C39" s="43">
        <f>'A-13'!G313</f>
        <v>8781</v>
      </c>
      <c r="D39" s="43">
        <f>'A-13'!G288</f>
        <v>19722</v>
      </c>
      <c r="E39" s="43">
        <f>'A-13'!G266</f>
        <v>6102</v>
      </c>
      <c r="F39" s="43">
        <f>'A-13'!G360</f>
        <v>36855</v>
      </c>
      <c r="G39" s="154" t="s">
        <v>29</v>
      </c>
      <c r="H39" s="43" t="s">
        <v>29</v>
      </c>
      <c r="I39" s="43">
        <v>0</v>
      </c>
      <c r="J39" s="43">
        <f t="shared" ref="J39:J45" si="4">SUM(F39:I39)</f>
        <v>36855</v>
      </c>
      <c r="K39" s="168"/>
      <c r="L39" s="168"/>
    </row>
    <row r="40" spans="1:12" ht="11.25" customHeight="1" x14ac:dyDescent="0.25">
      <c r="A40" s="12">
        <v>2013</v>
      </c>
      <c r="B40" s="43">
        <f>'A-13'!G336</f>
        <v>560</v>
      </c>
      <c r="C40" s="43">
        <f>'A-13'!G314</f>
        <v>25171</v>
      </c>
      <c r="D40" s="43">
        <f>'A-13'!G289</f>
        <v>8388</v>
      </c>
      <c r="E40" s="43">
        <f>'A-13'!G267</f>
        <v>5971</v>
      </c>
      <c r="F40" s="43">
        <f>'A-13'!G361</f>
        <v>40090</v>
      </c>
      <c r="G40" s="154" t="s">
        <v>29</v>
      </c>
      <c r="H40" s="43" t="s">
        <v>29</v>
      </c>
      <c r="I40" s="43">
        <v>0</v>
      </c>
      <c r="J40" s="43">
        <f t="shared" si="4"/>
        <v>40090</v>
      </c>
      <c r="K40" s="168"/>
      <c r="L40" s="168"/>
    </row>
    <row r="41" spans="1:12" ht="11.25" customHeight="1" x14ac:dyDescent="0.25">
      <c r="A41" s="12">
        <v>2014</v>
      </c>
      <c r="B41" s="43">
        <f>'A-13'!G337</f>
        <v>8980</v>
      </c>
      <c r="C41" s="43">
        <f>'A-13'!G315</f>
        <v>12550</v>
      </c>
      <c r="D41" s="43">
        <f>'A-13'!G290</f>
        <v>13851</v>
      </c>
      <c r="E41" s="43">
        <f>'A-13'!G268</f>
        <v>3326</v>
      </c>
      <c r="F41" s="43">
        <f>'A-13'!G362</f>
        <v>38707</v>
      </c>
      <c r="G41" s="154" t="s">
        <v>29</v>
      </c>
      <c r="H41" s="43" t="s">
        <v>29</v>
      </c>
      <c r="I41" s="43">
        <v>0</v>
      </c>
      <c r="J41" s="43">
        <f t="shared" si="4"/>
        <v>38707</v>
      </c>
      <c r="K41" s="168"/>
      <c r="L41" s="168"/>
    </row>
    <row r="42" spans="1:12" ht="11.25" customHeight="1" x14ac:dyDescent="0.25">
      <c r="A42" s="12">
        <v>2015</v>
      </c>
      <c r="B42" s="43">
        <f>'A-13'!G338</f>
        <v>4025</v>
      </c>
      <c r="C42" s="43">
        <f>'A-13'!G316</f>
        <v>33410</v>
      </c>
      <c r="D42" s="43">
        <f>'A-13'!G291</f>
        <v>13180</v>
      </c>
      <c r="E42" s="43">
        <f>'A-13'!G269</f>
        <v>4698</v>
      </c>
      <c r="F42" s="43">
        <f>'A-13'!G363</f>
        <v>55313</v>
      </c>
      <c r="G42" s="154" t="s">
        <v>29</v>
      </c>
      <c r="H42" s="43" t="s">
        <v>29</v>
      </c>
      <c r="I42" s="43">
        <v>0</v>
      </c>
      <c r="J42" s="43">
        <f t="shared" si="4"/>
        <v>55313</v>
      </c>
      <c r="K42" s="168"/>
      <c r="L42" s="168"/>
    </row>
    <row r="43" spans="1:12" ht="11.25" customHeight="1" x14ac:dyDescent="0.25">
      <c r="A43" s="185">
        <v>2016</v>
      </c>
      <c r="B43" s="43">
        <f>'A-13'!G339</f>
        <v>1659</v>
      </c>
      <c r="C43" s="43">
        <f>'A-13'!G317</f>
        <v>9724</v>
      </c>
      <c r="D43" s="43">
        <f>'A-13'!G292</f>
        <v>4173</v>
      </c>
      <c r="E43" s="43">
        <f>'A-13'!G270</f>
        <v>1788</v>
      </c>
      <c r="F43" s="43">
        <f>'A-13'!G364</f>
        <v>17344</v>
      </c>
      <c r="G43" s="154" t="s">
        <v>29</v>
      </c>
      <c r="H43" s="43" t="s">
        <v>29</v>
      </c>
      <c r="I43" s="43">
        <v>0</v>
      </c>
      <c r="J43" s="43">
        <f t="shared" si="4"/>
        <v>17344</v>
      </c>
      <c r="K43" s="168"/>
      <c r="L43" s="168"/>
    </row>
    <row r="44" spans="1:12" ht="11.25" customHeight="1" x14ac:dyDescent="0.25">
      <c r="A44" s="185">
        <v>2017</v>
      </c>
      <c r="B44" s="43">
        <f>'A-13'!G340</f>
        <v>574</v>
      </c>
      <c r="C44" s="43">
        <f>'A-13'!G318</f>
        <v>21177</v>
      </c>
      <c r="D44" s="43">
        <f>'A-13'!G293</f>
        <v>4831</v>
      </c>
      <c r="E44" s="43">
        <f>'A-13'!G271</f>
        <v>6351</v>
      </c>
      <c r="F44" s="43">
        <f>'A-13'!G365</f>
        <v>32933</v>
      </c>
      <c r="G44" s="154" t="s">
        <v>29</v>
      </c>
      <c r="H44" s="43" t="s">
        <v>29</v>
      </c>
      <c r="I44" s="43">
        <v>0</v>
      </c>
      <c r="J44" s="43">
        <f t="shared" si="4"/>
        <v>32933</v>
      </c>
      <c r="K44" s="168"/>
      <c r="L44" s="168"/>
    </row>
    <row r="45" spans="1:12" s="357" customFormat="1" ht="11.25" customHeight="1" x14ac:dyDescent="0.25">
      <c r="A45" s="118">
        <v>2018</v>
      </c>
      <c r="B45" s="43">
        <f>'A-13'!G341</f>
        <v>131</v>
      </c>
      <c r="C45" s="43">
        <f>'A-13'!G319</f>
        <v>12941</v>
      </c>
      <c r="D45" s="43">
        <f>'A-13'!G294</f>
        <v>3208</v>
      </c>
      <c r="E45" s="43">
        <f>'A-13'!G272</f>
        <v>7276</v>
      </c>
      <c r="F45" s="43">
        <f>'A-13'!G366</f>
        <v>23556</v>
      </c>
      <c r="G45" s="154" t="s">
        <v>29</v>
      </c>
      <c r="H45" s="43" t="s">
        <v>29</v>
      </c>
      <c r="I45" s="43">
        <v>0</v>
      </c>
      <c r="J45" s="43">
        <f t="shared" si="4"/>
        <v>23556</v>
      </c>
      <c r="K45" s="168"/>
      <c r="L45" s="168"/>
    </row>
    <row r="46" spans="1:12" s="357" customFormat="1" ht="11.25" customHeight="1" x14ac:dyDescent="0.25">
      <c r="A46" s="118">
        <v>2019</v>
      </c>
      <c r="B46" s="43">
        <f>'A-13'!G342</f>
        <v>229</v>
      </c>
      <c r="C46" s="43">
        <f>'A-13'!G320</f>
        <v>2339</v>
      </c>
      <c r="D46" s="43">
        <f>'A-13'!G295</f>
        <v>6385</v>
      </c>
      <c r="E46" s="43">
        <f>'A-13'!G273</f>
        <v>13823</v>
      </c>
      <c r="F46" s="43">
        <f>'A-13'!G367</f>
        <v>22776</v>
      </c>
      <c r="G46" s="154" t="s">
        <v>29</v>
      </c>
      <c r="H46" s="43" t="s">
        <v>29</v>
      </c>
      <c r="I46" s="43">
        <v>0</v>
      </c>
      <c r="J46" s="43">
        <f>SUM(F46:I46)</f>
        <v>22776</v>
      </c>
      <c r="K46" s="168"/>
      <c r="L46" s="168"/>
    </row>
    <row r="47" spans="1:12" ht="11.25" customHeight="1" x14ac:dyDescent="0.25">
      <c r="A47" s="118" t="s">
        <v>393</v>
      </c>
      <c r="B47" s="43">
        <f>'A-13'!G343</f>
        <v>378</v>
      </c>
      <c r="C47" s="43">
        <f>'A-13'!G321</f>
        <v>5867</v>
      </c>
      <c r="D47" s="43">
        <f>'A-13'!G296</f>
        <v>4647</v>
      </c>
      <c r="E47" s="43">
        <f>'A-13'!G274</f>
        <v>1418</v>
      </c>
      <c r="F47" s="43">
        <f>'A-13'!G368</f>
        <v>12310</v>
      </c>
      <c r="G47" s="154" t="s">
        <v>29</v>
      </c>
      <c r="H47" s="43" t="s">
        <v>29</v>
      </c>
      <c r="I47" s="43">
        <v>0</v>
      </c>
      <c r="J47" s="43">
        <f>SUM(F47:I47)</f>
        <v>12310</v>
      </c>
      <c r="K47" s="161"/>
      <c r="L47" s="161"/>
    </row>
    <row r="48" spans="1:12" ht="11.25" customHeight="1" x14ac:dyDescent="0.25"/>
    <row r="49" spans="1:12" ht="11.25" customHeight="1" x14ac:dyDescent="0.25">
      <c r="A49" s="559" t="s">
        <v>12</v>
      </c>
      <c r="B49" s="559"/>
      <c r="C49" s="559"/>
      <c r="D49" s="559"/>
      <c r="E49" s="559"/>
      <c r="F49" s="559"/>
      <c r="G49" s="559"/>
      <c r="H49" s="559"/>
      <c r="I49" s="559"/>
      <c r="J49" s="559"/>
    </row>
    <row r="50" spans="1:12" ht="11.25" customHeight="1" x14ac:dyDescent="0.25">
      <c r="A50" s="555"/>
      <c r="B50" s="555"/>
      <c r="C50" s="555"/>
      <c r="D50" s="555"/>
      <c r="E50" s="555"/>
      <c r="F50" s="555"/>
      <c r="G50" s="555"/>
      <c r="H50" s="555"/>
      <c r="I50" s="555"/>
      <c r="J50" s="555"/>
    </row>
    <row r="51" spans="1:12" ht="11.25" customHeight="1" x14ac:dyDescent="0.25">
      <c r="A51" s="132" t="s">
        <v>52</v>
      </c>
      <c r="B51" s="138"/>
      <c r="C51" s="138"/>
      <c r="D51" s="138"/>
      <c r="E51" s="138"/>
      <c r="F51" s="138" t="s">
        <v>59</v>
      </c>
      <c r="G51" s="151"/>
      <c r="H51" s="138"/>
      <c r="I51" s="138"/>
      <c r="J51" s="138"/>
    </row>
    <row r="52" spans="1:12" ht="12.6" customHeight="1" x14ac:dyDescent="0.25">
      <c r="A52" s="10" t="s">
        <v>121</v>
      </c>
      <c r="B52" s="44" t="s">
        <v>63</v>
      </c>
      <c r="C52" s="44" t="s">
        <v>64</v>
      </c>
      <c r="D52" s="44" t="s">
        <v>66</v>
      </c>
      <c r="E52" s="338" t="s">
        <v>330</v>
      </c>
      <c r="F52" s="44" t="s">
        <v>57</v>
      </c>
      <c r="G52" s="152" t="s">
        <v>27</v>
      </c>
      <c r="H52" s="44" t="s">
        <v>60</v>
      </c>
      <c r="I52" s="44" t="s">
        <v>58</v>
      </c>
      <c r="J52" s="44" t="s">
        <v>61</v>
      </c>
    </row>
    <row r="53" spans="1:12" ht="11.25" customHeight="1" x14ac:dyDescent="0.25">
      <c r="A53" s="568" t="s">
        <v>115</v>
      </c>
      <c r="B53" s="568"/>
      <c r="C53" s="568"/>
      <c r="D53" s="568"/>
      <c r="E53" s="568"/>
      <c r="F53" s="568"/>
      <c r="G53" s="568"/>
      <c r="H53" s="568"/>
      <c r="I53" s="568"/>
      <c r="J53" s="568"/>
    </row>
    <row r="54" spans="1:12" ht="11.25" customHeight="1" x14ac:dyDescent="0.25">
      <c r="A54" s="11" t="s">
        <v>62</v>
      </c>
      <c r="B54" s="42">
        <f>'A-13'!N324</f>
        <v>32086.799999999999</v>
      </c>
      <c r="C54" s="42">
        <f>'A-13'!N302</f>
        <v>63632.5</v>
      </c>
      <c r="D54" s="42">
        <f>'A-13'!N277</f>
        <v>34019.5</v>
      </c>
      <c r="E54" s="42">
        <f>'A-13'!N255</f>
        <v>42272</v>
      </c>
      <c r="F54" s="42">
        <f>'A-13'!N349</f>
        <v>152480.4</v>
      </c>
      <c r="G54" s="153">
        <v>8260</v>
      </c>
      <c r="H54" s="42">
        <v>33</v>
      </c>
      <c r="I54" s="42">
        <v>876</v>
      </c>
      <c r="J54" s="42">
        <f>SUM(F54:I54)</f>
        <v>161649.4</v>
      </c>
      <c r="K54" s="161"/>
      <c r="L54" s="161"/>
    </row>
    <row r="55" spans="1:12" ht="11.25" customHeight="1" x14ac:dyDescent="0.25">
      <c r="A55" s="11" t="s">
        <v>87</v>
      </c>
      <c r="B55" s="42">
        <f>'A-13'!N325</f>
        <v>23764.5</v>
      </c>
      <c r="C55" s="42">
        <f>'A-13'!N303</f>
        <v>15615.5</v>
      </c>
      <c r="D55" s="42">
        <f>'A-13'!N278</f>
        <v>4139.25</v>
      </c>
      <c r="E55" s="42">
        <f>'A-13'!N256</f>
        <v>19563.2</v>
      </c>
      <c r="F55" s="42">
        <f>'A-13'!N350</f>
        <v>54378.6</v>
      </c>
      <c r="G55" s="153">
        <v>1501</v>
      </c>
      <c r="H55" s="42">
        <v>0</v>
      </c>
      <c r="I55" s="42">
        <v>103</v>
      </c>
      <c r="J55" s="42">
        <f t="shared" ref="J55:J60" si="5">SUM(F55:I55)</f>
        <v>55982.6</v>
      </c>
      <c r="K55" s="161"/>
      <c r="L55" s="161"/>
    </row>
    <row r="56" spans="1:12" ht="11.25" customHeight="1" x14ac:dyDescent="0.25">
      <c r="A56" s="11" t="s">
        <v>14</v>
      </c>
      <c r="B56" s="42">
        <f>'A-13'!N326</f>
        <v>5956.666666666667</v>
      </c>
      <c r="C56" s="42">
        <f>'A-13'!N304</f>
        <v>8689</v>
      </c>
      <c r="D56" s="42">
        <f>'A-13'!N279</f>
        <v>2876.25</v>
      </c>
      <c r="E56" s="42">
        <f>'A-13'!N257</f>
        <v>13939</v>
      </c>
      <c r="F56" s="42">
        <f>'A-13'!N351</f>
        <v>27799.5</v>
      </c>
      <c r="G56" s="153">
        <v>1501</v>
      </c>
      <c r="H56" s="42">
        <v>0</v>
      </c>
      <c r="I56" s="42">
        <v>103</v>
      </c>
      <c r="J56" s="42">
        <f t="shared" si="5"/>
        <v>29403.5</v>
      </c>
      <c r="K56" s="161"/>
      <c r="L56" s="161"/>
    </row>
    <row r="57" spans="1:12" ht="11.25" customHeight="1" x14ac:dyDescent="0.25">
      <c r="A57" s="210" t="s">
        <v>207</v>
      </c>
      <c r="B57" s="42">
        <f>'A-13'!N327</f>
        <v>1413</v>
      </c>
      <c r="C57" s="42">
        <f>'A-13'!N305</f>
        <v>2387</v>
      </c>
      <c r="D57" s="42">
        <f>'A-13'!N280</f>
        <v>850.5</v>
      </c>
      <c r="E57" s="42">
        <f>'A-13'!N258</f>
        <v>7477.5</v>
      </c>
      <c r="F57" s="42">
        <f>'A-13'!N352</f>
        <v>8881</v>
      </c>
      <c r="G57" s="153">
        <f>AVERAGE(0,0,0,0,0)</f>
        <v>0</v>
      </c>
      <c r="H57" s="48" t="s">
        <v>29</v>
      </c>
      <c r="I57" s="42">
        <v>103</v>
      </c>
      <c r="J57" s="42">
        <f t="shared" si="5"/>
        <v>8984</v>
      </c>
      <c r="K57" s="161"/>
      <c r="L57" s="161"/>
    </row>
    <row r="58" spans="1:12" ht="11.25" customHeight="1" x14ac:dyDescent="0.25">
      <c r="A58" s="210" t="s">
        <v>238</v>
      </c>
      <c r="B58" s="42">
        <f>'A-13'!N328</f>
        <v>928.6</v>
      </c>
      <c r="C58" s="42">
        <f>'A-13'!N306</f>
        <v>3240</v>
      </c>
      <c r="D58" s="42">
        <f>'A-13'!N281</f>
        <v>1554.5</v>
      </c>
      <c r="E58" s="42">
        <f>'A-13'!N259</f>
        <v>1230.75</v>
      </c>
      <c r="F58" s="42">
        <f>'A-13'!N353</f>
        <v>6396.8</v>
      </c>
      <c r="G58" s="153">
        <f>AVERAGE(0,0,0,0,0)</f>
        <v>0</v>
      </c>
      <c r="H58" s="48" t="s">
        <v>29</v>
      </c>
      <c r="I58" s="42">
        <v>103</v>
      </c>
      <c r="J58" s="42">
        <f t="shared" si="5"/>
        <v>6499.8</v>
      </c>
      <c r="K58" s="161"/>
      <c r="L58" s="161"/>
    </row>
    <row r="59" spans="1:12" ht="11.25" customHeight="1" x14ac:dyDescent="0.25">
      <c r="A59" s="11">
        <v>2006</v>
      </c>
      <c r="B59" s="42">
        <f>'A-13'!N329</f>
        <v>74</v>
      </c>
      <c r="C59" s="42">
        <f>'A-13'!N307</f>
        <v>184</v>
      </c>
      <c r="D59" s="42">
        <f>'A-13'!N282</f>
        <v>766</v>
      </c>
      <c r="E59" s="42">
        <f>'A-13'!N260</f>
        <v>241</v>
      </c>
      <c r="F59" s="42">
        <f>'A-13'!N354</f>
        <v>1265</v>
      </c>
      <c r="G59" s="154" t="s">
        <v>29</v>
      </c>
      <c r="H59" s="42" t="s">
        <v>29</v>
      </c>
      <c r="I59" s="43">
        <v>0</v>
      </c>
      <c r="J59" s="42">
        <f t="shared" si="5"/>
        <v>1265</v>
      </c>
      <c r="K59" s="161"/>
      <c r="L59" s="161"/>
    </row>
    <row r="60" spans="1:12" ht="11.25" customHeight="1" x14ac:dyDescent="0.25">
      <c r="A60" s="12">
        <v>2007</v>
      </c>
      <c r="B60" s="42">
        <f>'A-13'!N330</f>
        <v>2865</v>
      </c>
      <c r="C60" s="42">
        <f>'A-13'!N308</f>
        <v>1783</v>
      </c>
      <c r="D60" s="42">
        <f>'A-13'!N283</f>
        <v>1091</v>
      </c>
      <c r="E60" s="42">
        <f>'A-13'!N261</f>
        <v>147</v>
      </c>
      <c r="F60" s="42">
        <f>'A-13'!N355</f>
        <v>5886</v>
      </c>
      <c r="G60" s="154" t="s">
        <v>29</v>
      </c>
      <c r="H60" s="42" t="s">
        <v>29</v>
      </c>
      <c r="I60" s="43">
        <v>0</v>
      </c>
      <c r="J60" s="43">
        <f t="shared" si="5"/>
        <v>5886</v>
      </c>
      <c r="K60" s="168"/>
      <c r="L60" s="168"/>
    </row>
    <row r="61" spans="1:12" ht="11.25" customHeight="1" x14ac:dyDescent="0.25">
      <c r="A61" s="12">
        <v>2008</v>
      </c>
      <c r="B61" s="42">
        <f>'A-13'!N331</f>
        <v>77</v>
      </c>
      <c r="C61" s="42">
        <f>'A-13'!N309</f>
        <v>1132</v>
      </c>
      <c r="D61" s="42">
        <f>'A-13'!N284</f>
        <v>490</v>
      </c>
      <c r="E61" s="42">
        <f>'A-13'!N262</f>
        <v>7</v>
      </c>
      <c r="F61" s="42">
        <f>'A-13'!N356</f>
        <v>1706</v>
      </c>
      <c r="G61" s="154" t="s">
        <v>29</v>
      </c>
      <c r="H61" s="43" t="s">
        <v>29</v>
      </c>
      <c r="I61" s="43">
        <v>0</v>
      </c>
      <c r="J61" s="43">
        <f t="shared" ref="J61:J68" si="6">SUM(F61:I61)</f>
        <v>1706</v>
      </c>
      <c r="K61" s="168"/>
      <c r="L61" s="168"/>
    </row>
    <row r="62" spans="1:12" ht="11.25" customHeight="1" x14ac:dyDescent="0.25">
      <c r="A62" s="192">
        <v>2009</v>
      </c>
      <c r="B62" s="42">
        <f>'A-13'!N332</f>
        <v>2254</v>
      </c>
      <c r="C62" s="42">
        <f>'A-13'!N310</f>
        <v>10060</v>
      </c>
      <c r="D62" s="42">
        <f>'A-13'!N285</f>
        <v>7157</v>
      </c>
      <c r="E62" s="42">
        <f>'A-13'!N263</f>
        <v>584</v>
      </c>
      <c r="F62" s="42">
        <f>'A-13'!N357</f>
        <v>20055</v>
      </c>
      <c r="G62" s="154" t="s">
        <v>29</v>
      </c>
      <c r="H62" s="42" t="s">
        <v>29</v>
      </c>
      <c r="I62" s="43">
        <v>0</v>
      </c>
      <c r="J62" s="42">
        <f t="shared" si="6"/>
        <v>20055</v>
      </c>
      <c r="K62" s="161"/>
      <c r="L62" s="161"/>
    </row>
    <row r="63" spans="1:12" ht="11.25" customHeight="1" x14ac:dyDescent="0.25">
      <c r="A63" s="185">
        <v>2010</v>
      </c>
      <c r="B63" s="42">
        <f>'A-13'!N333</f>
        <v>151</v>
      </c>
      <c r="C63" s="42">
        <f>'A-13'!N311</f>
        <v>1657</v>
      </c>
      <c r="D63" s="42">
        <f>'A-13'!N286</f>
        <v>209</v>
      </c>
      <c r="E63" s="42">
        <f>'A-13'!N264</f>
        <v>87</v>
      </c>
      <c r="F63" s="42">
        <f>'A-13'!N358</f>
        <v>2104</v>
      </c>
      <c r="G63" s="154" t="s">
        <v>29</v>
      </c>
      <c r="H63" s="43" t="s">
        <v>29</v>
      </c>
      <c r="I63" s="43">
        <v>0</v>
      </c>
      <c r="J63" s="43">
        <f t="shared" si="6"/>
        <v>2104</v>
      </c>
      <c r="K63" s="168"/>
      <c r="L63" s="168"/>
    </row>
    <row r="64" spans="1:12" ht="11.25" customHeight="1" x14ac:dyDescent="0.25">
      <c r="A64" s="185">
        <v>2011</v>
      </c>
      <c r="B64" s="42">
        <f>'A-13'!N334</f>
        <v>38</v>
      </c>
      <c r="C64" s="42">
        <f>'A-13'!N312</f>
        <v>1708</v>
      </c>
      <c r="D64" s="42">
        <f>'A-13'!N287</f>
        <v>1167</v>
      </c>
      <c r="E64" s="42">
        <f>'A-13'!N265</f>
        <v>140</v>
      </c>
      <c r="F64" s="42">
        <f>'A-13'!N359</f>
        <v>3053</v>
      </c>
      <c r="G64" s="154" t="s">
        <v>29</v>
      </c>
      <c r="H64" s="43" t="s">
        <v>29</v>
      </c>
      <c r="I64" s="43">
        <v>0</v>
      </c>
      <c r="J64" s="43">
        <f t="shared" si="6"/>
        <v>3053</v>
      </c>
      <c r="K64" s="168"/>
      <c r="L64" s="168"/>
    </row>
    <row r="65" spans="1:12" ht="11.25" customHeight="1" x14ac:dyDescent="0.25">
      <c r="A65" s="185">
        <v>2012</v>
      </c>
      <c r="B65" s="42">
        <f>'A-13'!N335</f>
        <v>89</v>
      </c>
      <c r="C65" s="42">
        <f>'A-13'!N313</f>
        <v>856</v>
      </c>
      <c r="D65" s="42">
        <f>'A-13'!N288</f>
        <v>2119</v>
      </c>
      <c r="E65" s="42">
        <f>'A-13'!N266</f>
        <v>204</v>
      </c>
      <c r="F65" s="42">
        <f>'A-13'!N360</f>
        <v>3268</v>
      </c>
      <c r="G65" s="154" t="s">
        <v>29</v>
      </c>
      <c r="H65" s="43" t="s">
        <v>29</v>
      </c>
      <c r="I65" s="43">
        <v>0</v>
      </c>
      <c r="J65" s="43">
        <f t="shared" si="6"/>
        <v>3268</v>
      </c>
      <c r="K65" s="168"/>
      <c r="L65" s="168"/>
    </row>
    <row r="66" spans="1:12" ht="11.25" customHeight="1" x14ac:dyDescent="0.25">
      <c r="A66" s="185">
        <v>2013</v>
      </c>
      <c r="B66" s="42">
        <f>'A-13'!N336</f>
        <v>127</v>
      </c>
      <c r="C66" s="42">
        <f>'A-13'!N314</f>
        <v>3759</v>
      </c>
      <c r="D66" s="42">
        <f>'A-13'!N289</f>
        <v>1846</v>
      </c>
      <c r="E66" s="42">
        <f>'A-13'!N267</f>
        <v>309</v>
      </c>
      <c r="F66" s="42">
        <f>'A-13'!N361</f>
        <v>6041</v>
      </c>
      <c r="G66" s="154" t="s">
        <v>29</v>
      </c>
      <c r="H66" s="43" t="s">
        <v>29</v>
      </c>
      <c r="I66" s="43">
        <v>0</v>
      </c>
      <c r="J66" s="43">
        <f t="shared" si="6"/>
        <v>6041</v>
      </c>
      <c r="K66" s="168"/>
      <c r="L66" s="168"/>
    </row>
    <row r="67" spans="1:12" ht="11.25" customHeight="1" x14ac:dyDescent="0.25">
      <c r="A67" s="185">
        <v>2014</v>
      </c>
      <c r="B67" s="42">
        <f>'A-13'!N337</f>
        <v>2239</v>
      </c>
      <c r="C67" s="42">
        <f>'A-13'!N315</f>
        <v>8525</v>
      </c>
      <c r="D67" s="42">
        <f>'A-13'!N290</f>
        <v>4602</v>
      </c>
      <c r="E67" s="42">
        <f>'A-13'!N268</f>
        <v>41</v>
      </c>
      <c r="F67" s="42">
        <f>'A-13'!N362</f>
        <v>15407</v>
      </c>
      <c r="G67" s="154" t="s">
        <v>29</v>
      </c>
      <c r="H67" s="43" t="s">
        <v>29</v>
      </c>
      <c r="I67" s="43">
        <v>0</v>
      </c>
      <c r="J67" s="43">
        <f t="shared" si="6"/>
        <v>15407</v>
      </c>
      <c r="K67" s="168"/>
      <c r="L67" s="168"/>
    </row>
    <row r="68" spans="1:12" ht="11.25" customHeight="1" x14ac:dyDescent="0.25">
      <c r="A68" s="12">
        <v>2015</v>
      </c>
      <c r="B68" s="42">
        <f>'A-13'!N338</f>
        <v>690</v>
      </c>
      <c r="C68" s="42">
        <f>'A-13'!N316</f>
        <v>1839</v>
      </c>
      <c r="D68" s="42">
        <f>'A-13'!N291</f>
        <v>309</v>
      </c>
      <c r="E68" s="42">
        <f>'A-13'!N269</f>
        <v>34</v>
      </c>
      <c r="F68" s="42">
        <f>'A-13'!N363</f>
        <v>2872</v>
      </c>
      <c r="G68" s="154" t="s">
        <v>29</v>
      </c>
      <c r="H68" s="43" t="s">
        <v>29</v>
      </c>
      <c r="I68" s="43">
        <v>0</v>
      </c>
      <c r="J68" s="43">
        <f t="shared" si="6"/>
        <v>2872</v>
      </c>
      <c r="K68" s="168"/>
      <c r="L68" s="168"/>
    </row>
    <row r="69" spans="1:12" ht="11.25" customHeight="1" x14ac:dyDescent="0.25">
      <c r="A69" s="185">
        <v>2016</v>
      </c>
      <c r="B69" s="43" t="s">
        <v>29</v>
      </c>
      <c r="C69" s="43" t="s">
        <v>29</v>
      </c>
      <c r="D69" s="43" t="s">
        <v>29</v>
      </c>
      <c r="E69" s="43" t="s">
        <v>29</v>
      </c>
      <c r="F69" s="43" t="s">
        <v>29</v>
      </c>
      <c r="G69" s="43" t="s">
        <v>29</v>
      </c>
      <c r="H69" s="43" t="s">
        <v>29</v>
      </c>
      <c r="I69" s="43" t="s">
        <v>29</v>
      </c>
      <c r="J69" s="43" t="s">
        <v>29</v>
      </c>
      <c r="K69" s="168"/>
      <c r="L69" s="168"/>
    </row>
    <row r="70" spans="1:12" ht="11.25" customHeight="1" x14ac:dyDescent="0.25">
      <c r="A70" s="185">
        <v>2017</v>
      </c>
      <c r="B70" s="43">
        <f>'A-13'!N340</f>
        <v>131</v>
      </c>
      <c r="C70" s="43">
        <f>'A-13'!N318</f>
        <v>524</v>
      </c>
      <c r="D70" s="43">
        <f>'A-13'!N293</f>
        <v>402</v>
      </c>
      <c r="E70" s="43">
        <f>'A-13'!N271</f>
        <v>311</v>
      </c>
      <c r="F70" s="43">
        <f>'A-13'!N365</f>
        <v>1368</v>
      </c>
      <c r="G70" s="154" t="s">
        <v>29</v>
      </c>
      <c r="H70" s="43" t="s">
        <v>29</v>
      </c>
      <c r="I70" s="43" t="s">
        <v>29</v>
      </c>
      <c r="J70" s="43">
        <f>SUM(F70:I70)</f>
        <v>1368</v>
      </c>
      <c r="K70" s="168"/>
      <c r="L70" s="168"/>
    </row>
    <row r="71" spans="1:12" s="357" customFormat="1" ht="12" customHeight="1" x14ac:dyDescent="0.25">
      <c r="A71" s="118">
        <v>2018</v>
      </c>
      <c r="B71" s="43">
        <f>'A-13'!N341</f>
        <v>33</v>
      </c>
      <c r="C71" s="43">
        <f>'A-13'!N319</f>
        <v>366</v>
      </c>
      <c r="D71" s="43">
        <f>'A-13'!N294</f>
        <v>488</v>
      </c>
      <c r="E71" s="43">
        <f>'A-13'!N272</f>
        <v>405</v>
      </c>
      <c r="F71" s="43">
        <f>'A-13'!N366</f>
        <v>1292</v>
      </c>
      <c r="G71" s="154" t="s">
        <v>29</v>
      </c>
      <c r="H71" s="43" t="s">
        <v>29</v>
      </c>
      <c r="I71" s="43" t="s">
        <v>29</v>
      </c>
      <c r="J71" s="43">
        <f>SUM(F71:I71)</f>
        <v>1292</v>
      </c>
      <c r="K71" s="168"/>
      <c r="L71" s="168"/>
    </row>
    <row r="72" spans="1:12" s="357" customFormat="1" ht="12" customHeight="1" x14ac:dyDescent="0.25">
      <c r="A72" s="118">
        <v>2019</v>
      </c>
      <c r="B72" s="43">
        <f>'A-13'!N342</f>
        <v>259</v>
      </c>
      <c r="C72" s="43">
        <f>'A-13'!N320</f>
        <v>1331</v>
      </c>
      <c r="D72" s="43">
        <f>'A-13'!N295</f>
        <v>1290</v>
      </c>
      <c r="E72" s="43">
        <f>'A-13'!N273</f>
        <v>1117</v>
      </c>
      <c r="F72" s="43">
        <f>'A-13'!N367</f>
        <v>3997</v>
      </c>
      <c r="G72" s="154" t="s">
        <v>29</v>
      </c>
      <c r="H72" s="43" t="s">
        <v>29</v>
      </c>
      <c r="I72" s="43" t="s">
        <v>29</v>
      </c>
      <c r="J72" s="43">
        <f>SUM(F72:I72)</f>
        <v>3997</v>
      </c>
      <c r="K72" s="168"/>
      <c r="L72" s="168"/>
    </row>
    <row r="73" spans="1:12" ht="12" customHeight="1" x14ac:dyDescent="0.25">
      <c r="A73" s="118" t="s">
        <v>393</v>
      </c>
      <c r="B73" s="42">
        <f>'A-13'!N343</f>
        <v>15</v>
      </c>
      <c r="C73" s="42">
        <f>'A-13'!N321</f>
        <v>373</v>
      </c>
      <c r="D73" s="42">
        <f>'A-13'!N296</f>
        <v>204</v>
      </c>
      <c r="E73" s="42">
        <f>'A-13'!N274</f>
        <v>45</v>
      </c>
      <c r="F73" s="42">
        <f>'A-13'!N368</f>
        <v>637</v>
      </c>
      <c r="G73" s="154" t="s">
        <v>29</v>
      </c>
      <c r="H73" s="43" t="s">
        <v>29</v>
      </c>
      <c r="I73" s="43" t="s">
        <v>29</v>
      </c>
      <c r="J73" s="43">
        <f>SUM(F73:I73)</f>
        <v>637</v>
      </c>
      <c r="K73" s="161"/>
      <c r="L73" s="161"/>
    </row>
    <row r="74" spans="1:12" ht="11.25" customHeight="1" x14ac:dyDescent="0.25">
      <c r="A74" s="12"/>
      <c r="B74" s="43"/>
      <c r="C74" s="43"/>
      <c r="D74" s="43"/>
      <c r="E74" s="43"/>
      <c r="F74" s="43"/>
      <c r="G74" s="154"/>
      <c r="H74" s="43"/>
      <c r="I74" s="43"/>
      <c r="J74" s="43"/>
    </row>
    <row r="75" spans="1:12" ht="11.25" customHeight="1" x14ac:dyDescent="0.25">
      <c r="A75" s="569" t="s">
        <v>299</v>
      </c>
      <c r="B75" s="569"/>
      <c r="C75" s="569"/>
      <c r="D75" s="569"/>
      <c r="E75" s="569"/>
      <c r="F75" s="569"/>
      <c r="G75" s="569"/>
      <c r="H75" s="569"/>
      <c r="I75" s="569"/>
      <c r="J75" s="569"/>
    </row>
    <row r="76" spans="1:12" ht="11.25" customHeight="1" x14ac:dyDescent="0.25">
      <c r="A76" s="11" t="s">
        <v>62</v>
      </c>
      <c r="B76" s="42">
        <f>'A-13'!U324</f>
        <v>1271.6666666666667</v>
      </c>
      <c r="C76" s="42">
        <f>'A-13'!U302</f>
        <v>7588.666666666667</v>
      </c>
      <c r="D76" s="42">
        <f>'A-13'!U277</f>
        <v>22914.333333333332</v>
      </c>
      <c r="E76" s="42">
        <f>'A-13'!U255</f>
        <v>107619.66666666667</v>
      </c>
      <c r="F76" s="42">
        <f>'A-13'!U349</f>
        <v>139394.33333333334</v>
      </c>
      <c r="G76" s="153">
        <v>342</v>
      </c>
      <c r="H76" s="42">
        <v>1</v>
      </c>
      <c r="I76" s="42">
        <v>263</v>
      </c>
      <c r="J76" s="42">
        <f>SUM(F76:I76)</f>
        <v>140000.33333333334</v>
      </c>
    </row>
    <row r="77" spans="1:12" ht="11.25" customHeight="1" x14ac:dyDescent="0.25">
      <c r="A77" s="11" t="s">
        <v>87</v>
      </c>
      <c r="B77" s="42">
        <f>'A-13'!U325</f>
        <v>44.5</v>
      </c>
      <c r="C77" s="42">
        <f>'A-13'!U303</f>
        <v>412</v>
      </c>
      <c r="D77" s="42">
        <f>'A-13'!U278</f>
        <v>364</v>
      </c>
      <c r="E77" s="42">
        <f>'A-13'!U256</f>
        <v>18893.5</v>
      </c>
      <c r="F77" s="42">
        <f>'A-13'!U350</f>
        <v>19714</v>
      </c>
      <c r="G77" s="153">
        <v>19</v>
      </c>
      <c r="H77" s="42">
        <v>0</v>
      </c>
      <c r="I77" s="42">
        <v>0</v>
      </c>
      <c r="J77" s="42">
        <f t="shared" ref="J77:J82" si="7">SUM(F77:I77)</f>
        <v>19733</v>
      </c>
    </row>
    <row r="78" spans="1:12" ht="11.25" customHeight="1" x14ac:dyDescent="0.25">
      <c r="A78" s="11" t="s">
        <v>14</v>
      </c>
      <c r="B78" s="42">
        <f>'A-13'!U326</f>
        <v>29.5</v>
      </c>
      <c r="C78" s="42">
        <f>'A-13'!U304</f>
        <v>11</v>
      </c>
      <c r="D78" s="42">
        <f>'A-13'!U279</f>
        <v>1773</v>
      </c>
      <c r="E78" s="42">
        <f>'A-13'!U257</f>
        <v>23992</v>
      </c>
      <c r="F78" s="42">
        <f>'A-13'!U351</f>
        <v>25792</v>
      </c>
      <c r="G78" s="153">
        <v>19</v>
      </c>
      <c r="H78" s="42">
        <v>0</v>
      </c>
      <c r="I78" s="42">
        <v>0</v>
      </c>
      <c r="J78" s="42">
        <f t="shared" si="7"/>
        <v>25811</v>
      </c>
    </row>
    <row r="79" spans="1:12" ht="11.25" customHeight="1" x14ac:dyDescent="0.25">
      <c r="A79" s="210" t="s">
        <v>207</v>
      </c>
      <c r="B79" s="42">
        <f>'A-13'!U327</f>
        <v>0</v>
      </c>
      <c r="C79" s="42">
        <f>'A-13'!U305</f>
        <v>1.5</v>
      </c>
      <c r="D79" s="42">
        <f>'A-13'!U280</f>
        <v>6.5</v>
      </c>
      <c r="E79" s="42">
        <f>'A-13'!U258</f>
        <v>21</v>
      </c>
      <c r="F79" s="42">
        <f>'A-13'!U352</f>
        <v>29</v>
      </c>
      <c r="G79" s="153">
        <v>19</v>
      </c>
      <c r="H79" s="42">
        <v>0</v>
      </c>
      <c r="I79" s="42">
        <v>0</v>
      </c>
      <c r="J79" s="42">
        <f t="shared" si="7"/>
        <v>48</v>
      </c>
    </row>
    <row r="80" spans="1:12" ht="11.25" customHeight="1" x14ac:dyDescent="0.25">
      <c r="A80" s="210" t="s">
        <v>238</v>
      </c>
      <c r="B80" s="42">
        <f>'A-13'!U328</f>
        <v>12.666666666666666</v>
      </c>
      <c r="C80" s="42">
        <f>'A-13'!U306</f>
        <v>18</v>
      </c>
      <c r="D80" s="42">
        <f>'A-13'!U281</f>
        <v>37.666666666666664</v>
      </c>
      <c r="E80" s="42">
        <f>'A-13'!U259</f>
        <v>28.666666666666668</v>
      </c>
      <c r="F80" s="42">
        <f>'A-13'!U353</f>
        <v>97</v>
      </c>
      <c r="G80" s="153">
        <v>19</v>
      </c>
      <c r="H80" s="42">
        <v>0</v>
      </c>
      <c r="I80" s="42">
        <v>0</v>
      </c>
      <c r="J80" s="42">
        <f t="shared" si="7"/>
        <v>116</v>
      </c>
    </row>
    <row r="81" spans="1:10" ht="11.25" customHeight="1" x14ac:dyDescent="0.25">
      <c r="A81" s="12">
        <v>2006</v>
      </c>
      <c r="B81" s="42">
        <f>'A-13'!U329</f>
        <v>0</v>
      </c>
      <c r="C81" s="42">
        <f>'A-13'!U307</f>
        <v>0</v>
      </c>
      <c r="D81" s="42">
        <f>'A-13'!U282</f>
        <v>0</v>
      </c>
      <c r="E81" s="42">
        <f>'A-13'!U260</f>
        <v>0</v>
      </c>
      <c r="F81" s="42">
        <f>'A-13'!U354</f>
        <v>0</v>
      </c>
      <c r="G81" s="154" t="s">
        <v>29</v>
      </c>
      <c r="H81" s="43">
        <v>0</v>
      </c>
      <c r="I81" s="43">
        <v>0</v>
      </c>
      <c r="J81" s="43">
        <f t="shared" si="7"/>
        <v>0</v>
      </c>
    </row>
    <row r="82" spans="1:10" ht="11.25" customHeight="1" x14ac:dyDescent="0.25">
      <c r="A82" s="12">
        <v>2007</v>
      </c>
      <c r="B82" s="42">
        <f>'A-13'!U330</f>
        <v>0</v>
      </c>
      <c r="C82" s="42">
        <f>'A-13'!U308</f>
        <v>1</v>
      </c>
      <c r="D82" s="42">
        <f>'A-13'!U283</f>
        <v>122</v>
      </c>
      <c r="E82" s="42">
        <f>'A-13'!U261</f>
        <v>24</v>
      </c>
      <c r="F82" s="42">
        <f>'A-13'!U355</f>
        <v>147</v>
      </c>
      <c r="G82" s="154" t="s">
        <v>29</v>
      </c>
      <c r="H82" s="43">
        <v>0</v>
      </c>
      <c r="I82" s="43">
        <v>0</v>
      </c>
      <c r="J82" s="43">
        <f t="shared" si="7"/>
        <v>147</v>
      </c>
    </row>
    <row r="83" spans="1:10" ht="11.25" customHeight="1" x14ac:dyDescent="0.25">
      <c r="A83" s="12">
        <v>2008</v>
      </c>
      <c r="B83" s="42">
        <f>'A-13'!U331</f>
        <v>0</v>
      </c>
      <c r="C83" s="42">
        <f>'A-13'!U309</f>
        <v>0</v>
      </c>
      <c r="D83" s="42">
        <f>'A-13'!U284</f>
        <v>0</v>
      </c>
      <c r="E83" s="42">
        <f>'A-13'!U262</f>
        <v>0</v>
      </c>
      <c r="F83" s="42">
        <f>'A-13'!U356</f>
        <v>0</v>
      </c>
      <c r="G83" s="154" t="s">
        <v>29</v>
      </c>
      <c r="H83" s="43" t="s">
        <v>29</v>
      </c>
      <c r="I83" s="43">
        <v>0</v>
      </c>
      <c r="J83" s="43">
        <f>SUM(F83:I83)</f>
        <v>0</v>
      </c>
    </row>
    <row r="84" spans="1:10" ht="11.25" customHeight="1" x14ac:dyDescent="0.25">
      <c r="A84" s="12">
        <v>2009</v>
      </c>
      <c r="B84" s="42">
        <f>'A-13'!U332</f>
        <v>0</v>
      </c>
      <c r="C84" s="42">
        <f>'A-13'!U310</f>
        <v>9</v>
      </c>
      <c r="D84" s="42">
        <f>'A-13'!U285</f>
        <v>117</v>
      </c>
      <c r="E84" s="42">
        <f>'A-13'!U263</f>
        <v>9</v>
      </c>
      <c r="F84" s="42">
        <f>'A-13'!U357</f>
        <v>135</v>
      </c>
      <c r="G84" s="154" t="s">
        <v>29</v>
      </c>
      <c r="H84" s="43" t="s">
        <v>29</v>
      </c>
      <c r="I84" s="43">
        <v>0</v>
      </c>
      <c r="J84" s="43">
        <f>SUM(F84:I84)</f>
        <v>135</v>
      </c>
    </row>
    <row r="85" spans="1:10" ht="11.25" customHeight="1" x14ac:dyDescent="0.25">
      <c r="A85" s="12">
        <v>2010</v>
      </c>
      <c r="B85" s="42">
        <f>'A-13'!U333</f>
        <v>0</v>
      </c>
      <c r="C85" s="42">
        <f>'A-13'!U311</f>
        <v>0</v>
      </c>
      <c r="D85" s="42">
        <f>'A-13'!U286</f>
        <v>0</v>
      </c>
      <c r="E85" s="42">
        <f>'A-13'!U264</f>
        <v>0</v>
      </c>
      <c r="F85" s="42">
        <f>'A-13'!U358</f>
        <v>0</v>
      </c>
      <c r="G85" s="154" t="s">
        <v>29</v>
      </c>
      <c r="H85" s="43" t="s">
        <v>29</v>
      </c>
      <c r="I85" s="43">
        <v>0</v>
      </c>
      <c r="J85" s="43">
        <f>SUM(F85:I85)</f>
        <v>0</v>
      </c>
    </row>
    <row r="86" spans="1:10" ht="11.25" customHeight="1" x14ac:dyDescent="0.25">
      <c r="A86" s="185">
        <v>2011</v>
      </c>
      <c r="B86" s="42">
        <f>'A-13'!U334</f>
        <v>0</v>
      </c>
      <c r="C86" s="42">
        <f>'A-13'!U312</f>
        <v>110</v>
      </c>
      <c r="D86" s="42">
        <f>'A-13'!U287</f>
        <v>98</v>
      </c>
      <c r="E86" s="42">
        <f>'A-13'!U265</f>
        <v>7</v>
      </c>
      <c r="F86" s="42">
        <f>'A-13'!U359</f>
        <v>215</v>
      </c>
      <c r="G86" s="154" t="s">
        <v>29</v>
      </c>
      <c r="H86" s="43" t="s">
        <v>29</v>
      </c>
      <c r="I86" s="43">
        <v>0</v>
      </c>
      <c r="J86" s="43">
        <f>SUM(F86:I86)</f>
        <v>215</v>
      </c>
    </row>
    <row r="87" spans="1:10" ht="11.25" customHeight="1" x14ac:dyDescent="0.25">
      <c r="A87" s="12">
        <v>2012</v>
      </c>
      <c r="B87" s="42">
        <f>'A-13'!U335</f>
        <v>0</v>
      </c>
      <c r="C87" s="42">
        <f>'A-13'!U313</f>
        <v>0</v>
      </c>
      <c r="D87" s="42">
        <f>'A-13'!U288</f>
        <v>0</v>
      </c>
      <c r="E87" s="42">
        <f>'A-13'!U266</f>
        <v>0</v>
      </c>
      <c r="F87" s="42">
        <f>'A-13'!U360</f>
        <v>0</v>
      </c>
      <c r="G87" s="154" t="s">
        <v>29</v>
      </c>
      <c r="H87" s="43" t="s">
        <v>29</v>
      </c>
      <c r="I87" s="43">
        <v>0</v>
      </c>
      <c r="J87" s="43">
        <f t="shared" ref="J87:J93" si="8">SUM(F87:I87)</f>
        <v>0</v>
      </c>
    </row>
    <row r="88" spans="1:10" ht="11.25" customHeight="1" x14ac:dyDescent="0.25">
      <c r="A88" s="12">
        <v>2013</v>
      </c>
      <c r="B88" s="42">
        <f>'A-13'!U336</f>
        <v>0</v>
      </c>
      <c r="C88" s="42">
        <f>'A-13'!U314</f>
        <v>15</v>
      </c>
      <c r="D88" s="42">
        <f>'A-13'!U289</f>
        <v>99</v>
      </c>
      <c r="E88" s="42">
        <f>'A-13'!U267</f>
        <v>27</v>
      </c>
      <c r="F88" s="42">
        <f>'A-13'!U361</f>
        <v>141</v>
      </c>
      <c r="G88" s="154" t="s">
        <v>29</v>
      </c>
      <c r="H88" s="43" t="s">
        <v>29</v>
      </c>
      <c r="I88" s="43">
        <v>0</v>
      </c>
      <c r="J88" s="43">
        <f t="shared" si="8"/>
        <v>141</v>
      </c>
    </row>
    <row r="89" spans="1:10" ht="11.25" customHeight="1" x14ac:dyDescent="0.25">
      <c r="A89" s="12">
        <v>2014</v>
      </c>
      <c r="B89" s="42">
        <f>'A-13'!U337</f>
        <v>0</v>
      </c>
      <c r="C89" s="42">
        <f>'A-13'!U315</f>
        <v>0</v>
      </c>
      <c r="D89" s="42">
        <f>'A-13'!U290</f>
        <v>0</v>
      </c>
      <c r="E89" s="42">
        <f>'A-13'!U268</f>
        <v>0</v>
      </c>
      <c r="F89" s="42">
        <f>'A-13'!U362</f>
        <v>0</v>
      </c>
      <c r="G89" s="154" t="s">
        <v>29</v>
      </c>
      <c r="H89" s="43" t="s">
        <v>29</v>
      </c>
      <c r="I89" s="43">
        <v>0</v>
      </c>
      <c r="J89" s="43">
        <f t="shared" si="8"/>
        <v>0</v>
      </c>
    </row>
    <row r="90" spans="1:10" ht="11.25" customHeight="1" x14ac:dyDescent="0.25">
      <c r="A90" s="12">
        <v>2015</v>
      </c>
      <c r="B90" s="42">
        <f>'A-13'!U338</f>
        <v>0</v>
      </c>
      <c r="C90" s="42">
        <f>'A-13'!U316</f>
        <v>12</v>
      </c>
      <c r="D90" s="42">
        <f>'A-13'!U291</f>
        <v>36</v>
      </c>
      <c r="E90" s="42">
        <f>'A-13'!U269</f>
        <v>20</v>
      </c>
      <c r="F90" s="42">
        <f>'A-13'!U363</f>
        <v>68</v>
      </c>
      <c r="G90" s="154" t="s">
        <v>29</v>
      </c>
      <c r="H90" s="43" t="s">
        <v>29</v>
      </c>
      <c r="I90" s="43">
        <v>0</v>
      </c>
      <c r="J90" s="43">
        <f t="shared" si="8"/>
        <v>68</v>
      </c>
    </row>
    <row r="91" spans="1:10" ht="11.25" customHeight="1" x14ac:dyDescent="0.25">
      <c r="A91" s="185">
        <v>2016</v>
      </c>
      <c r="B91" s="43">
        <f>'A-13'!U339</f>
        <v>0</v>
      </c>
      <c r="C91" s="43">
        <f>'A-13'!U317</f>
        <v>0</v>
      </c>
      <c r="D91" s="43">
        <f>'A-13'!U292</f>
        <v>0</v>
      </c>
      <c r="E91" s="43">
        <f>'A-13'!U270</f>
        <v>0</v>
      </c>
      <c r="F91" s="43">
        <f>'A-13'!U364</f>
        <v>0</v>
      </c>
      <c r="G91" s="154" t="s">
        <v>29</v>
      </c>
      <c r="H91" s="43" t="s">
        <v>29</v>
      </c>
      <c r="I91" s="43">
        <v>0</v>
      </c>
      <c r="J91" s="43">
        <f t="shared" si="8"/>
        <v>0</v>
      </c>
    </row>
    <row r="92" spans="1:10" ht="11.25" customHeight="1" x14ac:dyDescent="0.25">
      <c r="A92" s="185">
        <v>2017</v>
      </c>
      <c r="B92" s="43">
        <f>'A-13'!U340</f>
        <v>0</v>
      </c>
      <c r="C92" s="43">
        <f>'A-13'!U318</f>
        <v>0</v>
      </c>
      <c r="D92" s="43">
        <f>'A-13'!U293</f>
        <v>2</v>
      </c>
      <c r="E92" s="43">
        <f>'A-13'!U271</f>
        <v>11</v>
      </c>
      <c r="F92" s="43">
        <f>'A-13'!U365</f>
        <v>13</v>
      </c>
      <c r="G92" s="154" t="s">
        <v>29</v>
      </c>
      <c r="H92" s="43" t="s">
        <v>29</v>
      </c>
      <c r="I92" s="43">
        <v>0</v>
      </c>
      <c r="J92" s="43">
        <f t="shared" si="8"/>
        <v>13</v>
      </c>
    </row>
    <row r="93" spans="1:10" s="357" customFormat="1" ht="11.25" customHeight="1" x14ac:dyDescent="0.25">
      <c r="A93" s="118">
        <v>2018</v>
      </c>
      <c r="B93" s="43">
        <f>'A-13'!U341</f>
        <v>0</v>
      </c>
      <c r="C93" s="43">
        <f>'A-13'!U319</f>
        <v>0</v>
      </c>
      <c r="D93" s="43">
        <f>'A-13'!U294</f>
        <v>0</v>
      </c>
      <c r="E93" s="43">
        <f>'A-13'!U272</f>
        <v>0</v>
      </c>
      <c r="F93" s="43">
        <f>'A-13'!U366</f>
        <v>0</v>
      </c>
      <c r="G93" s="154" t="s">
        <v>29</v>
      </c>
      <c r="H93" s="43" t="s">
        <v>29</v>
      </c>
      <c r="I93" s="43">
        <v>0</v>
      </c>
      <c r="J93" s="43">
        <f t="shared" si="8"/>
        <v>0</v>
      </c>
    </row>
    <row r="94" spans="1:10" s="357" customFormat="1" ht="11.25" customHeight="1" x14ac:dyDescent="0.25">
      <c r="A94" s="118">
        <v>2019</v>
      </c>
      <c r="B94" s="43">
        <f>'A-13'!U342</f>
        <v>2</v>
      </c>
      <c r="C94" s="43">
        <f>'A-13'!U320</f>
        <v>23</v>
      </c>
      <c r="D94" s="43">
        <f>'A-13'!U295</f>
        <v>56</v>
      </c>
      <c r="E94" s="43">
        <f>'A-13'!U273</f>
        <v>230</v>
      </c>
      <c r="F94" s="43">
        <f>'A-13'!U367</f>
        <v>311</v>
      </c>
      <c r="G94" s="154" t="s">
        <v>29</v>
      </c>
      <c r="H94" s="43" t="s">
        <v>29</v>
      </c>
      <c r="I94" s="43">
        <v>0</v>
      </c>
      <c r="J94" s="43">
        <f>SUM(F94:I94)</f>
        <v>311</v>
      </c>
    </row>
    <row r="95" spans="1:10" ht="11.25" customHeight="1" x14ac:dyDescent="0.25">
      <c r="A95" s="118">
        <v>2020</v>
      </c>
      <c r="B95" s="42">
        <f>'A-13'!U343</f>
        <v>0</v>
      </c>
      <c r="C95" s="42">
        <f>'A-13'!U321</f>
        <v>0</v>
      </c>
      <c r="D95" s="42">
        <f>'A-13'!U296</f>
        <v>0</v>
      </c>
      <c r="E95" s="42">
        <f>'A-13'!U274</f>
        <v>0</v>
      </c>
      <c r="F95" s="42">
        <f>'A-13'!U368</f>
        <v>0</v>
      </c>
      <c r="G95" s="154" t="s">
        <v>29</v>
      </c>
      <c r="H95" s="43" t="s">
        <v>29</v>
      </c>
      <c r="I95" s="43">
        <v>0</v>
      </c>
      <c r="J95" s="43">
        <f>SUM(F95:I95)</f>
        <v>0</v>
      </c>
    </row>
    <row r="96" spans="1:10" ht="11.25" customHeight="1" x14ac:dyDescent="0.25">
      <c r="A96" s="301" t="s">
        <v>260</v>
      </c>
      <c r="B96" s="302"/>
      <c r="C96" s="302"/>
      <c r="D96" s="302"/>
      <c r="E96" s="302"/>
      <c r="F96" s="302"/>
      <c r="G96" s="302"/>
      <c r="H96" s="302"/>
      <c r="I96" s="302"/>
      <c r="J96" s="302"/>
    </row>
    <row r="97" spans="1:10" ht="11.25" customHeight="1" x14ac:dyDescent="0.25">
      <c r="A97" s="300" t="s">
        <v>48</v>
      </c>
      <c r="B97" s="300"/>
      <c r="C97" s="300"/>
      <c r="D97" s="300"/>
      <c r="E97" s="300"/>
      <c r="F97" s="300"/>
      <c r="G97" s="300"/>
      <c r="H97" s="300"/>
      <c r="I97" s="300"/>
      <c r="J97" s="300"/>
    </row>
    <row r="98" spans="1:10" ht="11.25" customHeight="1" x14ac:dyDescent="0.25">
      <c r="A98" s="299" t="s">
        <v>221</v>
      </c>
      <c r="B98" s="300"/>
      <c r="C98" s="300"/>
      <c r="D98" s="300"/>
      <c r="E98" s="300"/>
      <c r="F98" s="300"/>
      <c r="G98" s="300"/>
      <c r="H98" s="300"/>
      <c r="I98" s="300"/>
      <c r="J98" s="300"/>
    </row>
    <row r="99" spans="1:10" ht="11.25" customHeight="1" x14ac:dyDescent="0.25"/>
    <row r="100" spans="1:10" ht="11.25" customHeight="1" x14ac:dyDescent="0.25"/>
    <row r="101" spans="1:10" ht="11.25" customHeight="1" x14ac:dyDescent="0.25"/>
    <row r="102" spans="1:10" ht="11.25" customHeight="1" x14ac:dyDescent="0.25"/>
    <row r="103" spans="1:10" ht="11.25" customHeight="1" x14ac:dyDescent="0.25"/>
    <row r="104" spans="1:10" ht="11.25" customHeight="1" x14ac:dyDescent="0.25"/>
    <row r="105" spans="1:10" ht="11.25" customHeight="1" x14ac:dyDescent="0.25"/>
    <row r="106" spans="1:10" ht="11.25" customHeight="1" x14ac:dyDescent="0.25"/>
    <row r="107" spans="1:10" ht="11.25" customHeight="1" x14ac:dyDescent="0.25"/>
    <row r="108" spans="1:10" ht="11.25" customHeight="1" x14ac:dyDescent="0.25"/>
    <row r="109" spans="1:10" ht="11.25" customHeight="1" x14ac:dyDescent="0.25"/>
    <row r="110" spans="1:10" ht="11.25" customHeight="1" x14ac:dyDescent="0.25"/>
    <row r="111" spans="1:10" ht="11.25" customHeight="1" x14ac:dyDescent="0.25"/>
    <row r="112" spans="1:10"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row r="121" ht="11.25" customHeight="1" x14ac:dyDescent="0.25"/>
    <row r="122" ht="11.25" customHeight="1" x14ac:dyDescent="0.25"/>
    <row r="123" ht="11.25" customHeight="1" x14ac:dyDescent="0.25"/>
    <row r="124" ht="11.25" customHeight="1" x14ac:dyDescent="0.25"/>
    <row r="125" ht="11.25" customHeight="1" x14ac:dyDescent="0.25"/>
    <row r="126" ht="11.25" customHeight="1" x14ac:dyDescent="0.25"/>
    <row r="127" ht="11.25" customHeight="1" x14ac:dyDescent="0.25"/>
    <row r="128" ht="11.25" customHeight="1" x14ac:dyDescent="0.25"/>
    <row r="129" ht="11.25" customHeight="1" x14ac:dyDescent="0.25"/>
    <row r="130" ht="11.25" customHeight="1" x14ac:dyDescent="0.25"/>
    <row r="131" ht="11.25" customHeight="1" x14ac:dyDescent="0.25"/>
    <row r="132" ht="11.25" customHeight="1" x14ac:dyDescent="0.25"/>
    <row r="133" ht="11.25" customHeight="1" x14ac:dyDescent="0.25"/>
    <row r="134" ht="11.25" customHeight="1" x14ac:dyDescent="0.25"/>
    <row r="135" ht="11.25" customHeight="1" x14ac:dyDescent="0.25"/>
    <row r="136" ht="11.25" customHeight="1" x14ac:dyDescent="0.25"/>
    <row r="137" ht="11.25" customHeight="1" x14ac:dyDescent="0.25"/>
    <row r="138" ht="11.25" customHeight="1" x14ac:dyDescent="0.25"/>
    <row r="139" ht="11.25" customHeight="1" x14ac:dyDescent="0.25"/>
    <row r="140" ht="11.25" customHeight="1" x14ac:dyDescent="0.25"/>
    <row r="141" ht="11.25" customHeight="1" x14ac:dyDescent="0.25"/>
    <row r="142" ht="11.25" customHeight="1" x14ac:dyDescent="0.25"/>
    <row r="143" ht="11.25" customHeight="1" x14ac:dyDescent="0.25"/>
    <row r="144" ht="11.25" customHeight="1" x14ac:dyDescent="0.25"/>
    <row r="145" ht="11.25" customHeight="1" x14ac:dyDescent="0.25"/>
    <row r="146" ht="11.25" customHeight="1" x14ac:dyDescent="0.25"/>
    <row r="147" ht="11.25" customHeight="1" x14ac:dyDescent="0.25"/>
    <row r="148" ht="11.25" customHeight="1" x14ac:dyDescent="0.25"/>
    <row r="149" ht="11.25" customHeight="1" x14ac:dyDescent="0.25"/>
    <row r="150" ht="11.25" customHeight="1" x14ac:dyDescent="0.25"/>
    <row r="151" ht="11.25" customHeight="1" x14ac:dyDescent="0.25"/>
    <row r="152" ht="11.25" customHeight="1" x14ac:dyDescent="0.25"/>
    <row r="153" ht="11.25" customHeight="1" x14ac:dyDescent="0.25"/>
    <row r="154" ht="11.25" customHeight="1" x14ac:dyDescent="0.25"/>
    <row r="155" ht="11.25" customHeight="1" x14ac:dyDescent="0.25"/>
    <row r="156" ht="11.25" customHeight="1" x14ac:dyDescent="0.25"/>
    <row r="157" ht="11.25" customHeight="1" x14ac:dyDescent="0.25"/>
    <row r="158" ht="11.25" customHeight="1" x14ac:dyDescent="0.25"/>
    <row r="159" ht="11.25" customHeight="1" x14ac:dyDescent="0.25"/>
    <row r="160" ht="11.25" customHeight="1" x14ac:dyDescent="0.25"/>
    <row r="161" ht="11.25" customHeight="1" x14ac:dyDescent="0.25"/>
    <row r="162" ht="11.25" customHeight="1" x14ac:dyDescent="0.25"/>
    <row r="163" ht="11.25" customHeight="1" x14ac:dyDescent="0.25"/>
    <row r="164" ht="11.25" customHeight="1" x14ac:dyDescent="0.25"/>
    <row r="165" ht="11.25" customHeight="1" x14ac:dyDescent="0.25"/>
    <row r="166" ht="11.25" customHeight="1" x14ac:dyDescent="0.25"/>
    <row r="167" ht="11.25" customHeight="1" x14ac:dyDescent="0.25"/>
    <row r="168" ht="11.25" customHeight="1" x14ac:dyDescent="0.25"/>
    <row r="169" ht="11.25" customHeight="1" x14ac:dyDescent="0.25"/>
    <row r="170" ht="11.25" customHeight="1" x14ac:dyDescent="0.25"/>
    <row r="171" ht="11.25" customHeight="1" x14ac:dyDescent="0.25"/>
    <row r="172" ht="11.25" customHeight="1" x14ac:dyDescent="0.25"/>
    <row r="173" ht="11.25" customHeight="1" x14ac:dyDescent="0.25"/>
    <row r="174" ht="11.25" customHeight="1" x14ac:dyDescent="0.25"/>
    <row r="175" ht="11.25" customHeight="1" x14ac:dyDescent="0.25"/>
    <row r="187" spans="1:1" x14ac:dyDescent="0.25">
      <c r="A187" s="14"/>
    </row>
  </sheetData>
  <mergeCells count="6">
    <mergeCell ref="A1:J2"/>
    <mergeCell ref="A5:J5"/>
    <mergeCell ref="A27:J27"/>
    <mergeCell ref="A53:J53"/>
    <mergeCell ref="A75:J75"/>
    <mergeCell ref="A49:J50"/>
  </mergeCells>
  <pageMargins left="0.7" right="0.7" top="0.75" bottom="0.75" header="0.3" footer="0.3"/>
  <pageSetup scale="94" orientation="landscape" r:id="rId1"/>
  <rowBreaks count="1" manualBreakCount="1">
    <brk id="48" max="9"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5"/>
  <dimension ref="A2:M461"/>
  <sheetViews>
    <sheetView showGridLines="0" topLeftCell="A245" zoomScaleNormal="100" workbookViewId="0">
      <selection sqref="A1:J2"/>
    </sheetView>
  </sheetViews>
  <sheetFormatPr defaultColWidth="9" defaultRowHeight="11.25" x14ac:dyDescent="0.2"/>
  <cols>
    <col min="1" max="1" width="9.125" style="343" customWidth="1"/>
    <col min="2" max="6" width="9.125" style="24" customWidth="1"/>
    <col min="7" max="7" width="8.375" style="24" customWidth="1"/>
    <col min="8" max="8" width="9.125" style="24" customWidth="1"/>
    <col min="9" max="13" width="9" style="22"/>
    <col min="14" max="16384" width="9" style="1"/>
  </cols>
  <sheetData>
    <row r="2" spans="1:13" x14ac:dyDescent="0.2">
      <c r="A2" s="570" t="s">
        <v>266</v>
      </c>
      <c r="B2" s="570"/>
      <c r="C2" s="570"/>
      <c r="D2" s="570"/>
      <c r="E2" s="570"/>
      <c r="F2" s="570"/>
      <c r="G2" s="570"/>
      <c r="H2" s="570"/>
    </row>
    <row r="3" spans="1:13" s="344" customFormat="1" ht="13.5" customHeight="1" x14ac:dyDescent="0.2">
      <c r="A3" s="2" t="s">
        <v>33</v>
      </c>
      <c r="B3" s="125" t="s">
        <v>35</v>
      </c>
      <c r="C3" s="125" t="s">
        <v>36</v>
      </c>
      <c r="D3" s="125" t="s">
        <v>37</v>
      </c>
      <c r="E3" s="125" t="s">
        <v>38</v>
      </c>
      <c r="F3" s="125" t="s">
        <v>329</v>
      </c>
      <c r="G3" s="125" t="s">
        <v>40</v>
      </c>
      <c r="H3" s="125" t="s">
        <v>28</v>
      </c>
      <c r="I3" s="144"/>
      <c r="J3" s="144"/>
      <c r="K3" s="144"/>
      <c r="L3" s="144"/>
      <c r="M3" s="144"/>
    </row>
    <row r="4" spans="1:13" ht="13.5" customHeight="1" x14ac:dyDescent="0.2">
      <c r="A4" s="126" t="s">
        <v>267</v>
      </c>
    </row>
    <row r="5" spans="1:13" ht="12" customHeight="1" x14ac:dyDescent="0.2">
      <c r="A5" s="343">
        <v>1976</v>
      </c>
      <c r="B5" s="25">
        <v>144</v>
      </c>
      <c r="C5" s="25">
        <v>680</v>
      </c>
      <c r="D5" s="25">
        <v>2876</v>
      </c>
      <c r="E5" s="25">
        <v>3760</v>
      </c>
      <c r="F5" s="25">
        <v>2173</v>
      </c>
      <c r="G5" s="25" t="s">
        <v>29</v>
      </c>
      <c r="H5" s="25">
        <f t="shared" ref="H5:H22" si="0">SUM(B5:G5)</f>
        <v>9633</v>
      </c>
    </row>
    <row r="6" spans="1:13" ht="12" customHeight="1" x14ac:dyDescent="0.2">
      <c r="A6" s="343">
        <v>1977</v>
      </c>
      <c r="B6" s="25">
        <v>406</v>
      </c>
      <c r="C6" s="25">
        <v>540</v>
      </c>
      <c r="D6" s="25">
        <v>3550</v>
      </c>
      <c r="E6" s="25">
        <v>4786</v>
      </c>
      <c r="F6" s="25">
        <v>2461</v>
      </c>
      <c r="G6" s="25" t="s">
        <v>29</v>
      </c>
      <c r="H6" s="25">
        <f t="shared" si="0"/>
        <v>11743</v>
      </c>
    </row>
    <row r="7" spans="1:13" ht="12" customHeight="1" x14ac:dyDescent="0.2">
      <c r="A7" s="343">
        <v>1978</v>
      </c>
      <c r="B7" s="25">
        <v>353</v>
      </c>
      <c r="C7" s="25">
        <v>558</v>
      </c>
      <c r="D7" s="25">
        <v>3247</v>
      </c>
      <c r="E7" s="25">
        <v>3645</v>
      </c>
      <c r="F7" s="25">
        <v>2241</v>
      </c>
      <c r="G7" s="25" t="s">
        <v>29</v>
      </c>
      <c r="H7" s="25">
        <f t="shared" si="0"/>
        <v>10044</v>
      </c>
    </row>
    <row r="8" spans="1:13" ht="12" customHeight="1" x14ac:dyDescent="0.2">
      <c r="A8" s="343">
        <v>1979</v>
      </c>
      <c r="B8" s="25">
        <v>1155</v>
      </c>
      <c r="C8" s="25">
        <v>54</v>
      </c>
      <c r="D8" s="25">
        <v>3708</v>
      </c>
      <c r="E8" s="25">
        <v>6117</v>
      </c>
      <c r="F8" s="25">
        <v>59</v>
      </c>
      <c r="G8" s="25" t="s">
        <v>29</v>
      </c>
      <c r="H8" s="25">
        <f t="shared" si="0"/>
        <v>11093</v>
      </c>
    </row>
    <row r="9" spans="1:13" ht="12" customHeight="1" x14ac:dyDescent="0.2">
      <c r="A9" s="343">
        <v>1980</v>
      </c>
      <c r="B9" s="25">
        <v>1224</v>
      </c>
      <c r="C9" s="25">
        <v>176</v>
      </c>
      <c r="D9" s="25">
        <v>1939</v>
      </c>
      <c r="E9" s="25">
        <v>2682</v>
      </c>
      <c r="F9" s="25" t="s">
        <v>29</v>
      </c>
      <c r="G9" s="25" t="s">
        <v>29</v>
      </c>
      <c r="H9" s="25">
        <f t="shared" si="0"/>
        <v>6021</v>
      </c>
    </row>
    <row r="10" spans="1:13" ht="12" customHeight="1" x14ac:dyDescent="0.2">
      <c r="A10" s="343">
        <v>1981</v>
      </c>
      <c r="B10" s="25">
        <v>920</v>
      </c>
      <c r="C10" s="25">
        <v>63</v>
      </c>
      <c r="D10" s="25">
        <v>2569</v>
      </c>
      <c r="E10" s="25">
        <v>3654</v>
      </c>
      <c r="F10" s="25" t="s">
        <v>29</v>
      </c>
      <c r="G10" s="25" t="s">
        <v>29</v>
      </c>
      <c r="H10" s="25">
        <f t="shared" si="0"/>
        <v>7206</v>
      </c>
    </row>
    <row r="11" spans="1:13" ht="12" customHeight="1" x14ac:dyDescent="0.2">
      <c r="A11" s="343">
        <v>1982</v>
      </c>
      <c r="B11" s="25">
        <v>356</v>
      </c>
      <c r="C11" s="25">
        <v>65</v>
      </c>
      <c r="D11" s="25">
        <v>2898</v>
      </c>
      <c r="E11" s="25">
        <v>389</v>
      </c>
      <c r="F11" s="25" t="s">
        <v>29</v>
      </c>
      <c r="G11" s="25" t="s">
        <v>29</v>
      </c>
      <c r="H11" s="25">
        <f t="shared" si="0"/>
        <v>3708</v>
      </c>
    </row>
    <row r="12" spans="1:13" ht="12" customHeight="1" x14ac:dyDescent="0.2">
      <c r="A12" s="343">
        <v>1983</v>
      </c>
      <c r="B12" s="25">
        <v>464</v>
      </c>
      <c r="C12" s="25">
        <v>30</v>
      </c>
      <c r="D12" s="25">
        <v>1027</v>
      </c>
      <c r="E12" s="25">
        <v>1014</v>
      </c>
      <c r="F12" s="25" t="s">
        <v>29</v>
      </c>
      <c r="G12" s="25" t="s">
        <v>29</v>
      </c>
      <c r="H12" s="25">
        <f t="shared" si="0"/>
        <v>2535</v>
      </c>
    </row>
    <row r="13" spans="1:13" ht="12" customHeight="1" x14ac:dyDescent="0.2">
      <c r="A13" s="343">
        <v>1984</v>
      </c>
      <c r="B13" s="25">
        <v>121</v>
      </c>
      <c r="C13" s="25" t="s">
        <v>29</v>
      </c>
      <c r="D13" s="25" t="s">
        <v>29</v>
      </c>
      <c r="E13" s="25">
        <v>309</v>
      </c>
      <c r="F13" s="25" t="s">
        <v>29</v>
      </c>
      <c r="G13" s="25" t="s">
        <v>29</v>
      </c>
      <c r="H13" s="25">
        <f t="shared" si="0"/>
        <v>430</v>
      </c>
    </row>
    <row r="14" spans="1:13" ht="12" customHeight="1" x14ac:dyDescent="0.2">
      <c r="A14" s="343">
        <v>1985</v>
      </c>
      <c r="B14" s="25">
        <v>220</v>
      </c>
      <c r="C14" s="25" t="s">
        <v>29</v>
      </c>
      <c r="D14" s="25">
        <v>152</v>
      </c>
      <c r="E14" s="25">
        <v>1292</v>
      </c>
      <c r="F14" s="25">
        <v>14</v>
      </c>
      <c r="G14" s="25" t="s">
        <v>29</v>
      </c>
      <c r="H14" s="25">
        <f t="shared" si="0"/>
        <v>1678</v>
      </c>
    </row>
    <row r="15" spans="1:13" ht="12" customHeight="1" x14ac:dyDescent="0.2">
      <c r="A15" s="343">
        <v>1986</v>
      </c>
      <c r="B15" s="25">
        <v>233</v>
      </c>
      <c r="C15" s="25">
        <v>4</v>
      </c>
      <c r="D15" s="25" t="s">
        <v>29</v>
      </c>
      <c r="E15" s="25">
        <v>623</v>
      </c>
      <c r="F15" s="25" t="s">
        <v>29</v>
      </c>
      <c r="G15" s="25" t="s">
        <v>29</v>
      </c>
      <c r="H15" s="25">
        <f t="shared" si="0"/>
        <v>860</v>
      </c>
    </row>
    <row r="16" spans="1:13" ht="12" customHeight="1" x14ac:dyDescent="0.2">
      <c r="A16" s="343">
        <v>1987</v>
      </c>
      <c r="B16" s="25">
        <v>263</v>
      </c>
      <c r="C16" s="25" t="s">
        <v>29</v>
      </c>
      <c r="D16" s="25">
        <v>12</v>
      </c>
      <c r="E16" s="66">
        <v>7</v>
      </c>
      <c r="F16" s="25" t="s">
        <v>29</v>
      </c>
      <c r="G16" s="25" t="s">
        <v>29</v>
      </c>
      <c r="H16" s="25">
        <f t="shared" si="0"/>
        <v>282</v>
      </c>
    </row>
    <row r="17" spans="1:8" ht="12" customHeight="1" x14ac:dyDescent="0.2">
      <c r="A17" s="343">
        <v>1988</v>
      </c>
      <c r="B17" s="25">
        <v>576</v>
      </c>
      <c r="C17" s="25">
        <v>464</v>
      </c>
      <c r="D17" s="66">
        <v>3</v>
      </c>
      <c r="E17" s="66">
        <v>24</v>
      </c>
      <c r="F17" s="25" t="s">
        <v>29</v>
      </c>
      <c r="G17" s="25" t="s">
        <v>29</v>
      </c>
      <c r="H17" s="25">
        <f t="shared" si="0"/>
        <v>1067</v>
      </c>
    </row>
    <row r="18" spans="1:8" ht="12" customHeight="1" x14ac:dyDescent="0.2">
      <c r="A18" s="343">
        <v>1989</v>
      </c>
      <c r="B18" s="25" t="s">
        <v>29</v>
      </c>
      <c r="C18" s="25" t="s">
        <v>29</v>
      </c>
      <c r="D18" s="25" t="s">
        <v>29</v>
      </c>
      <c r="E18" s="25">
        <v>861</v>
      </c>
      <c r="F18" s="25" t="s">
        <v>29</v>
      </c>
      <c r="G18" s="25" t="s">
        <v>29</v>
      </c>
      <c r="H18" s="25">
        <f t="shared" si="0"/>
        <v>861</v>
      </c>
    </row>
    <row r="19" spans="1:8" ht="12" customHeight="1" x14ac:dyDescent="0.2">
      <c r="A19" s="343">
        <v>1990</v>
      </c>
      <c r="B19" s="25">
        <v>848</v>
      </c>
      <c r="C19" s="25">
        <v>66</v>
      </c>
      <c r="D19" s="25" t="s">
        <v>29</v>
      </c>
      <c r="E19" s="25">
        <v>657</v>
      </c>
      <c r="F19" s="25" t="s">
        <v>29</v>
      </c>
      <c r="G19" s="25" t="s">
        <v>29</v>
      </c>
      <c r="H19" s="25">
        <f t="shared" si="0"/>
        <v>1571</v>
      </c>
    </row>
    <row r="20" spans="1:8" ht="12" customHeight="1" x14ac:dyDescent="0.2">
      <c r="A20" s="343">
        <v>1991</v>
      </c>
      <c r="B20" s="25">
        <v>786</v>
      </c>
      <c r="C20" s="25">
        <v>343</v>
      </c>
      <c r="D20" s="25" t="s">
        <v>29</v>
      </c>
      <c r="E20" s="25">
        <v>958</v>
      </c>
      <c r="F20" s="25">
        <v>207</v>
      </c>
      <c r="G20" s="25" t="s">
        <v>29</v>
      </c>
      <c r="H20" s="25">
        <f t="shared" si="0"/>
        <v>2294</v>
      </c>
    </row>
    <row r="21" spans="1:8" ht="12" customHeight="1" x14ac:dyDescent="0.2">
      <c r="A21" s="343">
        <v>1992</v>
      </c>
      <c r="B21" s="25">
        <v>569</v>
      </c>
      <c r="C21" s="25">
        <v>486</v>
      </c>
      <c r="D21" s="25">
        <v>290</v>
      </c>
      <c r="E21" s="25">
        <v>174</v>
      </c>
      <c r="F21" s="25" t="s">
        <v>29</v>
      </c>
      <c r="G21" s="25" t="s">
        <v>29</v>
      </c>
      <c r="H21" s="25">
        <f t="shared" si="0"/>
        <v>1519</v>
      </c>
    </row>
    <row r="22" spans="1:8" ht="12" customHeight="1" x14ac:dyDescent="0.2">
      <c r="A22" s="343">
        <v>1993</v>
      </c>
      <c r="B22" s="25">
        <v>602</v>
      </c>
      <c r="C22" s="25">
        <v>420</v>
      </c>
      <c r="D22" s="25">
        <v>302</v>
      </c>
      <c r="E22" s="25">
        <v>146</v>
      </c>
      <c r="F22" s="25" t="s">
        <v>29</v>
      </c>
      <c r="G22" s="66" t="s">
        <v>29</v>
      </c>
      <c r="H22" s="25">
        <f t="shared" si="0"/>
        <v>1470</v>
      </c>
    </row>
    <row r="23" spans="1:8" ht="12" customHeight="1" x14ac:dyDescent="0.2">
      <c r="A23" s="343">
        <v>1994</v>
      </c>
      <c r="B23" s="25" t="s">
        <v>29</v>
      </c>
      <c r="C23" s="25" t="s">
        <v>29</v>
      </c>
      <c r="D23" s="25" t="s">
        <v>29</v>
      </c>
      <c r="E23" s="25" t="s">
        <v>29</v>
      </c>
      <c r="F23" s="25" t="s">
        <v>29</v>
      </c>
      <c r="G23" s="25" t="s">
        <v>29</v>
      </c>
      <c r="H23" s="25" t="s">
        <v>29</v>
      </c>
    </row>
    <row r="24" spans="1:8" ht="12" customHeight="1" x14ac:dyDescent="0.2">
      <c r="A24" s="343">
        <v>1995</v>
      </c>
      <c r="B24" s="25" t="s">
        <v>29</v>
      </c>
      <c r="C24" s="25" t="s">
        <v>29</v>
      </c>
      <c r="D24" s="25" t="s">
        <v>29</v>
      </c>
      <c r="E24" s="25">
        <v>345</v>
      </c>
      <c r="F24" s="25">
        <v>56</v>
      </c>
      <c r="G24" s="25" t="s">
        <v>29</v>
      </c>
      <c r="H24" s="25">
        <f t="shared" ref="H24:H42" si="1">SUM(B24:G24)</f>
        <v>401</v>
      </c>
    </row>
    <row r="25" spans="1:8" ht="12" customHeight="1" x14ac:dyDescent="0.2">
      <c r="A25" s="343">
        <v>1996</v>
      </c>
      <c r="B25" s="25" t="s">
        <v>29</v>
      </c>
      <c r="C25" s="25" t="s">
        <v>29</v>
      </c>
      <c r="D25" s="25">
        <v>108</v>
      </c>
      <c r="E25" s="25">
        <v>147</v>
      </c>
      <c r="F25" s="25" t="s">
        <v>29</v>
      </c>
      <c r="G25" s="25" t="s">
        <v>29</v>
      </c>
      <c r="H25" s="25">
        <f t="shared" si="1"/>
        <v>255</v>
      </c>
    </row>
    <row r="26" spans="1:8" ht="12" customHeight="1" x14ac:dyDescent="0.2">
      <c r="A26" s="343">
        <v>1997</v>
      </c>
      <c r="B26" s="25">
        <v>168</v>
      </c>
      <c r="C26" s="25">
        <v>62</v>
      </c>
      <c r="D26" s="25" t="s">
        <v>29</v>
      </c>
      <c r="E26" s="25" t="s">
        <v>29</v>
      </c>
      <c r="F26" s="25" t="s">
        <v>29</v>
      </c>
      <c r="G26" s="25" t="s">
        <v>29</v>
      </c>
      <c r="H26" s="25">
        <f t="shared" si="1"/>
        <v>230</v>
      </c>
    </row>
    <row r="27" spans="1:8" ht="12" customHeight="1" x14ac:dyDescent="0.2">
      <c r="A27" s="343">
        <v>1998</v>
      </c>
      <c r="B27" s="25">
        <v>87</v>
      </c>
      <c r="C27" s="25">
        <v>8</v>
      </c>
      <c r="D27" s="25" t="s">
        <v>29</v>
      </c>
      <c r="E27" s="25" t="s">
        <v>29</v>
      </c>
      <c r="F27" s="25" t="s">
        <v>29</v>
      </c>
      <c r="G27" s="25" t="s">
        <v>29</v>
      </c>
      <c r="H27" s="25">
        <f t="shared" si="1"/>
        <v>95</v>
      </c>
    </row>
    <row r="28" spans="1:8" ht="12" customHeight="1" x14ac:dyDescent="0.2">
      <c r="A28" s="343">
        <v>1999</v>
      </c>
      <c r="B28" s="25">
        <v>154</v>
      </c>
      <c r="C28" s="25">
        <v>105</v>
      </c>
      <c r="D28" s="25">
        <v>84</v>
      </c>
      <c r="E28" s="25">
        <v>29</v>
      </c>
      <c r="F28" s="25" t="s">
        <v>29</v>
      </c>
      <c r="G28" s="25" t="s">
        <v>29</v>
      </c>
      <c r="H28" s="25">
        <f t="shared" si="1"/>
        <v>372</v>
      </c>
    </row>
    <row r="29" spans="1:8" ht="12" customHeight="1" x14ac:dyDescent="0.2">
      <c r="A29" s="343">
        <v>2000</v>
      </c>
      <c r="B29" s="25">
        <v>149</v>
      </c>
      <c r="C29" s="25">
        <v>75</v>
      </c>
      <c r="D29" s="25" t="s">
        <v>29</v>
      </c>
      <c r="E29" s="25" t="s">
        <v>29</v>
      </c>
      <c r="F29" s="25" t="s">
        <v>29</v>
      </c>
      <c r="G29" s="25" t="s">
        <v>29</v>
      </c>
      <c r="H29" s="25">
        <f t="shared" si="1"/>
        <v>224</v>
      </c>
    </row>
    <row r="30" spans="1:8" ht="12" customHeight="1" x14ac:dyDescent="0.2">
      <c r="A30" s="343">
        <v>2001</v>
      </c>
      <c r="B30" s="25">
        <v>84</v>
      </c>
      <c r="C30" s="25">
        <v>81</v>
      </c>
      <c r="D30" s="25">
        <v>49</v>
      </c>
      <c r="E30" s="25" t="s">
        <v>29</v>
      </c>
      <c r="F30" s="25" t="s">
        <v>29</v>
      </c>
      <c r="G30" s="25" t="s">
        <v>29</v>
      </c>
      <c r="H30" s="25">
        <f t="shared" si="1"/>
        <v>214</v>
      </c>
    </row>
    <row r="31" spans="1:8" ht="12" customHeight="1" x14ac:dyDescent="0.2">
      <c r="A31" s="343">
        <v>2002</v>
      </c>
      <c r="B31" s="25">
        <v>97</v>
      </c>
      <c r="C31" s="25">
        <v>81</v>
      </c>
      <c r="D31" s="66">
        <v>139</v>
      </c>
      <c r="E31" s="66">
        <v>80</v>
      </c>
      <c r="F31" s="66" t="s">
        <v>29</v>
      </c>
      <c r="G31" s="66" t="s">
        <v>29</v>
      </c>
      <c r="H31" s="66">
        <f t="shared" si="1"/>
        <v>397</v>
      </c>
    </row>
    <row r="32" spans="1:8" ht="12" customHeight="1" x14ac:dyDescent="0.2">
      <c r="A32" s="343">
        <v>2003</v>
      </c>
      <c r="B32" s="25">
        <v>280</v>
      </c>
      <c r="C32" s="25">
        <v>92</v>
      </c>
      <c r="D32" s="25">
        <v>150</v>
      </c>
      <c r="E32" s="25">
        <v>132</v>
      </c>
      <c r="F32" s="25">
        <v>14</v>
      </c>
      <c r="G32" s="25" t="s">
        <v>29</v>
      </c>
      <c r="H32" s="25">
        <f t="shared" si="1"/>
        <v>668</v>
      </c>
    </row>
    <row r="33" spans="1:13" ht="12" customHeight="1" x14ac:dyDescent="0.2">
      <c r="A33" s="343">
        <v>2004</v>
      </c>
      <c r="B33" s="25">
        <v>198</v>
      </c>
      <c r="C33" s="25">
        <v>1</v>
      </c>
      <c r="D33" s="25">
        <v>160</v>
      </c>
      <c r="E33" s="25">
        <v>116</v>
      </c>
      <c r="F33" s="25">
        <v>33</v>
      </c>
      <c r="G33" s="25" t="s">
        <v>29</v>
      </c>
      <c r="H33" s="25">
        <f t="shared" si="1"/>
        <v>508</v>
      </c>
    </row>
    <row r="34" spans="1:13" ht="12" customHeight="1" x14ac:dyDescent="0.2">
      <c r="A34" s="343">
        <v>2005</v>
      </c>
      <c r="B34" s="25">
        <v>164</v>
      </c>
      <c r="C34" s="25">
        <v>24</v>
      </c>
      <c r="D34" s="25">
        <v>149</v>
      </c>
      <c r="E34" s="25">
        <v>146</v>
      </c>
      <c r="F34" s="66" t="s">
        <v>29</v>
      </c>
      <c r="G34" s="25" t="s">
        <v>29</v>
      </c>
      <c r="H34" s="25">
        <f t="shared" si="1"/>
        <v>483</v>
      </c>
    </row>
    <row r="35" spans="1:13" ht="12" customHeight="1" x14ac:dyDescent="0.2">
      <c r="A35" s="343">
        <v>2006</v>
      </c>
      <c r="B35" s="25">
        <v>144</v>
      </c>
      <c r="C35" s="25">
        <v>89</v>
      </c>
      <c r="D35" s="25">
        <v>15</v>
      </c>
      <c r="E35" s="25">
        <v>54</v>
      </c>
      <c r="F35" s="66">
        <v>38</v>
      </c>
      <c r="G35" s="25" t="s">
        <v>29</v>
      </c>
      <c r="H35" s="25">
        <f t="shared" si="1"/>
        <v>340</v>
      </c>
    </row>
    <row r="36" spans="1:13" s="342" customFormat="1" ht="12" customHeight="1" x14ac:dyDescent="0.2">
      <c r="A36" s="308">
        <v>2007</v>
      </c>
      <c r="B36" s="54">
        <v>49</v>
      </c>
      <c r="C36" s="54">
        <v>10</v>
      </c>
      <c r="D36" s="54">
        <v>37</v>
      </c>
      <c r="E36" s="54">
        <v>2</v>
      </c>
      <c r="F36" s="67">
        <v>2</v>
      </c>
      <c r="G36" s="54" t="s">
        <v>29</v>
      </c>
      <c r="H36" s="54">
        <f t="shared" si="1"/>
        <v>100</v>
      </c>
      <c r="I36" s="148"/>
      <c r="J36" s="148"/>
      <c r="K36" s="148"/>
      <c r="L36" s="148"/>
      <c r="M36" s="148"/>
    </row>
    <row r="37" spans="1:13" s="342" customFormat="1" ht="12" customHeight="1" x14ac:dyDescent="0.2">
      <c r="A37" s="308">
        <v>2008</v>
      </c>
      <c r="B37" s="54">
        <v>34</v>
      </c>
      <c r="C37" s="54">
        <v>65</v>
      </c>
      <c r="D37" s="54">
        <v>1</v>
      </c>
      <c r="E37" s="54">
        <v>9</v>
      </c>
      <c r="F37" s="67">
        <v>0</v>
      </c>
      <c r="G37" s="54" t="s">
        <v>29</v>
      </c>
      <c r="H37" s="54">
        <f t="shared" si="1"/>
        <v>109</v>
      </c>
      <c r="I37" s="148"/>
      <c r="J37" s="148"/>
      <c r="K37" s="148"/>
      <c r="L37" s="148"/>
      <c r="M37" s="148"/>
    </row>
    <row r="38" spans="1:13" s="342" customFormat="1" ht="12" customHeight="1" x14ac:dyDescent="0.2">
      <c r="A38" s="308">
        <v>2009</v>
      </c>
      <c r="B38" s="54">
        <v>68</v>
      </c>
      <c r="C38" s="54">
        <v>74</v>
      </c>
      <c r="D38" s="54">
        <v>50</v>
      </c>
      <c r="E38" s="54">
        <v>2</v>
      </c>
      <c r="F38" s="67">
        <v>2</v>
      </c>
      <c r="G38" s="54" t="s">
        <v>29</v>
      </c>
      <c r="H38" s="54">
        <f t="shared" si="1"/>
        <v>196</v>
      </c>
      <c r="I38" s="148"/>
      <c r="J38" s="148"/>
      <c r="K38" s="148"/>
      <c r="L38" s="148"/>
      <c r="M38" s="148"/>
    </row>
    <row r="39" spans="1:13" s="342" customFormat="1" ht="12" customHeight="1" x14ac:dyDescent="0.2">
      <c r="A39" s="308">
        <v>2010</v>
      </c>
      <c r="B39" s="54">
        <v>139</v>
      </c>
      <c r="C39" s="54">
        <v>97</v>
      </c>
      <c r="D39" s="54">
        <v>44</v>
      </c>
      <c r="E39" s="54">
        <v>18</v>
      </c>
      <c r="F39" s="67">
        <v>0</v>
      </c>
      <c r="G39" s="54" t="s">
        <v>29</v>
      </c>
      <c r="H39" s="54">
        <f t="shared" si="1"/>
        <v>298</v>
      </c>
      <c r="I39" s="148"/>
      <c r="J39" s="148"/>
      <c r="K39" s="148"/>
      <c r="L39" s="148"/>
      <c r="M39" s="148"/>
    </row>
    <row r="40" spans="1:13" s="342" customFormat="1" ht="12" customHeight="1" x14ac:dyDescent="0.2">
      <c r="A40" s="308">
        <v>2011</v>
      </c>
      <c r="B40" s="54">
        <v>107</v>
      </c>
      <c r="C40" s="54">
        <v>34</v>
      </c>
      <c r="D40" s="54">
        <v>17</v>
      </c>
      <c r="E40" s="54">
        <v>3</v>
      </c>
      <c r="F40" s="67">
        <v>9</v>
      </c>
      <c r="G40" s="54" t="s">
        <v>29</v>
      </c>
      <c r="H40" s="54">
        <f t="shared" si="1"/>
        <v>170</v>
      </c>
      <c r="I40" s="148"/>
      <c r="J40" s="148"/>
      <c r="K40" s="148"/>
      <c r="L40" s="148"/>
      <c r="M40" s="148"/>
    </row>
    <row r="41" spans="1:13" s="342" customFormat="1" ht="12" customHeight="1" x14ac:dyDescent="0.2">
      <c r="A41" s="308">
        <v>2012</v>
      </c>
      <c r="B41" s="54">
        <v>114</v>
      </c>
      <c r="C41" s="54">
        <v>83</v>
      </c>
      <c r="D41" s="54">
        <v>21</v>
      </c>
      <c r="E41" s="54">
        <v>21</v>
      </c>
      <c r="F41" s="67">
        <v>15</v>
      </c>
      <c r="G41" s="54" t="s">
        <v>29</v>
      </c>
      <c r="H41" s="54">
        <f t="shared" si="1"/>
        <v>254</v>
      </c>
      <c r="I41" s="148"/>
      <c r="J41" s="148"/>
      <c r="K41" s="148"/>
      <c r="L41" s="148"/>
      <c r="M41" s="148"/>
    </row>
    <row r="42" spans="1:13" s="342" customFormat="1" ht="12" customHeight="1" x14ac:dyDescent="0.2">
      <c r="A42" s="308">
        <v>2013</v>
      </c>
      <c r="B42" s="54">
        <v>151</v>
      </c>
      <c r="C42" s="54" t="s">
        <v>29</v>
      </c>
      <c r="D42" s="54">
        <v>90</v>
      </c>
      <c r="E42" s="54">
        <v>4</v>
      </c>
      <c r="F42" s="54" t="s">
        <v>29</v>
      </c>
      <c r="G42" s="54" t="s">
        <v>29</v>
      </c>
      <c r="H42" s="54">
        <f t="shared" si="1"/>
        <v>245</v>
      </c>
      <c r="I42" s="148"/>
      <c r="J42" s="148"/>
      <c r="K42" s="148"/>
      <c r="L42" s="148"/>
      <c r="M42" s="148"/>
    </row>
    <row r="43" spans="1:13" s="342" customFormat="1" ht="12" customHeight="1" x14ac:dyDescent="0.2">
      <c r="A43" s="308">
        <v>2014</v>
      </c>
      <c r="B43" s="54">
        <v>109</v>
      </c>
      <c r="C43" s="54">
        <v>1</v>
      </c>
      <c r="D43" s="54">
        <v>6</v>
      </c>
      <c r="E43" s="54">
        <v>5</v>
      </c>
      <c r="F43" s="54" t="s">
        <v>29</v>
      </c>
      <c r="G43" s="54" t="s">
        <v>29</v>
      </c>
      <c r="H43" s="54">
        <f t="shared" ref="H43:H49" si="2">SUM(B43:G43)</f>
        <v>121</v>
      </c>
      <c r="I43" s="148"/>
      <c r="J43" s="148"/>
      <c r="K43" s="148"/>
      <c r="L43" s="148"/>
      <c r="M43" s="148"/>
    </row>
    <row r="44" spans="1:13" s="342" customFormat="1" ht="12" customHeight="1" x14ac:dyDescent="0.2">
      <c r="A44" s="308">
        <v>2015</v>
      </c>
      <c r="B44" s="54">
        <v>180</v>
      </c>
      <c r="C44" s="54">
        <v>66</v>
      </c>
      <c r="D44" s="54">
        <v>14</v>
      </c>
      <c r="E44" s="54">
        <v>3</v>
      </c>
      <c r="F44" s="54">
        <v>3</v>
      </c>
      <c r="G44" s="54" t="s">
        <v>29</v>
      </c>
      <c r="H44" s="54">
        <f t="shared" si="2"/>
        <v>266</v>
      </c>
      <c r="I44" s="148"/>
      <c r="J44" s="148"/>
      <c r="K44" s="148"/>
      <c r="L44" s="148"/>
      <c r="M44" s="148"/>
    </row>
    <row r="45" spans="1:13" s="342" customFormat="1" ht="12" customHeight="1" x14ac:dyDescent="0.2">
      <c r="A45" s="308">
        <v>2016</v>
      </c>
      <c r="B45" s="54">
        <v>85</v>
      </c>
      <c r="C45" s="54">
        <v>56</v>
      </c>
      <c r="D45" s="54">
        <v>3</v>
      </c>
      <c r="E45" s="54">
        <v>4</v>
      </c>
      <c r="F45" s="54" t="s">
        <v>29</v>
      </c>
      <c r="G45" s="54" t="s">
        <v>29</v>
      </c>
      <c r="H45" s="54">
        <f t="shared" si="2"/>
        <v>148</v>
      </c>
      <c r="I45" s="148"/>
      <c r="J45" s="148"/>
      <c r="K45" s="148"/>
      <c r="L45" s="148"/>
      <c r="M45" s="148"/>
    </row>
    <row r="46" spans="1:13" s="342" customFormat="1" ht="12" customHeight="1" x14ac:dyDescent="0.2">
      <c r="A46" s="308">
        <v>2017</v>
      </c>
      <c r="B46" s="54">
        <v>41</v>
      </c>
      <c r="C46" s="54">
        <v>40</v>
      </c>
      <c r="D46" s="54">
        <v>140</v>
      </c>
      <c r="E46" s="54">
        <v>112</v>
      </c>
      <c r="F46" s="54">
        <v>34</v>
      </c>
      <c r="G46" s="54" t="s">
        <v>29</v>
      </c>
      <c r="H46" s="54">
        <f t="shared" si="2"/>
        <v>367</v>
      </c>
      <c r="I46" s="148"/>
      <c r="J46" s="148"/>
      <c r="K46" s="148"/>
      <c r="L46" s="148"/>
      <c r="M46" s="148"/>
    </row>
    <row r="47" spans="1:13" s="347" customFormat="1" x14ac:dyDescent="0.2">
      <c r="A47" s="308">
        <v>2018</v>
      </c>
      <c r="B47" s="54">
        <v>234</v>
      </c>
      <c r="C47" s="54">
        <v>121</v>
      </c>
      <c r="D47" s="54">
        <v>149</v>
      </c>
      <c r="E47" s="54">
        <v>22</v>
      </c>
      <c r="F47" s="54">
        <v>15</v>
      </c>
      <c r="G47" s="54" t="s">
        <v>29</v>
      </c>
      <c r="H47" s="54">
        <f t="shared" si="2"/>
        <v>541</v>
      </c>
      <c r="I47" s="148"/>
      <c r="J47" s="148"/>
      <c r="K47" s="148"/>
      <c r="L47" s="148"/>
      <c r="M47" s="148"/>
    </row>
    <row r="48" spans="1:13" s="487" customFormat="1" x14ac:dyDescent="0.2">
      <c r="A48" s="492">
        <v>2019</v>
      </c>
      <c r="B48" s="54">
        <v>138</v>
      </c>
      <c r="C48" s="54">
        <v>271</v>
      </c>
      <c r="D48" s="54">
        <v>498</v>
      </c>
      <c r="E48" s="54">
        <v>25</v>
      </c>
      <c r="F48" s="54">
        <v>10</v>
      </c>
      <c r="G48" s="54" t="s">
        <v>29</v>
      </c>
      <c r="H48" s="54">
        <f t="shared" ref="H48" si="3">SUM(B48:G48)</f>
        <v>942</v>
      </c>
      <c r="I48" s="148"/>
      <c r="J48" s="148"/>
      <c r="K48" s="148"/>
      <c r="L48" s="148"/>
      <c r="M48" s="148"/>
    </row>
    <row r="49" spans="1:8" x14ac:dyDescent="0.2">
      <c r="A49" s="488" t="s">
        <v>394</v>
      </c>
      <c r="B49" s="25">
        <v>25</v>
      </c>
      <c r="C49" s="25">
        <v>49</v>
      </c>
      <c r="D49" s="25">
        <v>47</v>
      </c>
      <c r="E49" s="25">
        <v>16</v>
      </c>
      <c r="F49" s="25">
        <v>0</v>
      </c>
      <c r="G49" s="25" t="s">
        <v>29</v>
      </c>
      <c r="H49" s="25">
        <f t="shared" si="2"/>
        <v>137</v>
      </c>
    </row>
    <row r="50" spans="1:8" ht="12" customHeight="1" x14ac:dyDescent="0.2">
      <c r="B50" s="25"/>
      <c r="C50" s="25"/>
      <c r="D50" s="25"/>
      <c r="E50" s="25"/>
      <c r="F50" s="25"/>
      <c r="G50" s="25"/>
      <c r="H50" s="25"/>
    </row>
    <row r="51" spans="1:8" ht="12" customHeight="1" x14ac:dyDescent="0.2">
      <c r="A51" s="126" t="s">
        <v>66</v>
      </c>
      <c r="B51" s="25"/>
      <c r="C51" s="25"/>
      <c r="D51" s="25"/>
      <c r="E51" s="25"/>
      <c r="F51" s="25"/>
      <c r="G51" s="25"/>
      <c r="H51" s="25"/>
    </row>
    <row r="52" spans="1:8" ht="12" customHeight="1" x14ac:dyDescent="0.2">
      <c r="A52" s="343">
        <v>1976</v>
      </c>
      <c r="B52" s="25">
        <v>439</v>
      </c>
      <c r="C52" s="25">
        <v>1513</v>
      </c>
      <c r="D52" s="25">
        <v>4478</v>
      </c>
      <c r="E52" s="25">
        <v>4575</v>
      </c>
      <c r="F52" s="25">
        <v>2069</v>
      </c>
      <c r="G52" s="25" t="s">
        <v>29</v>
      </c>
      <c r="H52" s="25">
        <f t="shared" ref="H52:H69" si="4">SUM(B52:G52)</f>
        <v>13074</v>
      </c>
    </row>
    <row r="53" spans="1:8" ht="12" customHeight="1" x14ac:dyDescent="0.2">
      <c r="A53" s="343">
        <v>1977</v>
      </c>
      <c r="B53" s="25">
        <v>745</v>
      </c>
      <c r="C53" s="25">
        <v>600</v>
      </c>
      <c r="D53" s="25">
        <v>4990</v>
      </c>
      <c r="E53" s="25">
        <v>3612</v>
      </c>
      <c r="F53" s="25">
        <v>1016</v>
      </c>
      <c r="G53" s="25" t="s">
        <v>29</v>
      </c>
      <c r="H53" s="25">
        <f t="shared" si="4"/>
        <v>10963</v>
      </c>
    </row>
    <row r="54" spans="1:8" ht="12" customHeight="1" x14ac:dyDescent="0.2">
      <c r="A54" s="343">
        <v>1978</v>
      </c>
      <c r="B54" s="25">
        <v>412</v>
      </c>
      <c r="C54" s="25">
        <v>486</v>
      </c>
      <c r="D54" s="25">
        <v>3995</v>
      </c>
      <c r="E54" s="25">
        <v>2962</v>
      </c>
      <c r="F54" s="25">
        <v>1442</v>
      </c>
      <c r="G54" s="25" t="s">
        <v>29</v>
      </c>
      <c r="H54" s="25">
        <f t="shared" si="4"/>
        <v>9297</v>
      </c>
    </row>
    <row r="55" spans="1:8" ht="12" customHeight="1" x14ac:dyDescent="0.2">
      <c r="A55" s="343">
        <v>1979</v>
      </c>
      <c r="B55" s="25">
        <v>876</v>
      </c>
      <c r="C55" s="25">
        <v>88</v>
      </c>
      <c r="D55" s="25">
        <v>3112</v>
      </c>
      <c r="E55" s="25">
        <v>4325</v>
      </c>
      <c r="F55" s="25">
        <v>45</v>
      </c>
      <c r="G55" s="25" t="s">
        <v>29</v>
      </c>
      <c r="H55" s="25">
        <f t="shared" si="4"/>
        <v>8446</v>
      </c>
    </row>
    <row r="56" spans="1:8" ht="12" customHeight="1" x14ac:dyDescent="0.2">
      <c r="A56" s="343">
        <v>1980</v>
      </c>
      <c r="B56" s="25">
        <v>380</v>
      </c>
      <c r="C56" s="25">
        <v>16</v>
      </c>
      <c r="D56" s="25">
        <v>2486</v>
      </c>
      <c r="E56" s="25">
        <v>2570</v>
      </c>
      <c r="F56" s="25" t="s">
        <v>29</v>
      </c>
      <c r="G56" s="25" t="s">
        <v>29</v>
      </c>
      <c r="H56" s="25">
        <f t="shared" si="4"/>
        <v>5452</v>
      </c>
    </row>
    <row r="57" spans="1:8" ht="12" customHeight="1" x14ac:dyDescent="0.2">
      <c r="A57" s="343">
        <v>1981</v>
      </c>
      <c r="B57" s="25">
        <v>513</v>
      </c>
      <c r="C57" s="25">
        <v>7</v>
      </c>
      <c r="D57" s="25">
        <v>1786</v>
      </c>
      <c r="E57" s="25">
        <v>1720</v>
      </c>
      <c r="F57" s="25" t="s">
        <v>29</v>
      </c>
      <c r="G57" s="25" t="s">
        <v>29</v>
      </c>
      <c r="H57" s="25">
        <f t="shared" si="4"/>
        <v>4026</v>
      </c>
    </row>
    <row r="58" spans="1:8" ht="12" customHeight="1" x14ac:dyDescent="0.2">
      <c r="A58" s="343">
        <v>1982</v>
      </c>
      <c r="B58" s="25">
        <v>94</v>
      </c>
      <c r="C58" s="25">
        <v>55</v>
      </c>
      <c r="D58" s="25">
        <v>1857</v>
      </c>
      <c r="E58" s="25" t="s">
        <v>29</v>
      </c>
      <c r="F58" s="25" t="s">
        <v>29</v>
      </c>
      <c r="G58" s="25" t="s">
        <v>29</v>
      </c>
      <c r="H58" s="25">
        <f t="shared" si="4"/>
        <v>2006</v>
      </c>
    </row>
    <row r="59" spans="1:8" ht="12" customHeight="1" x14ac:dyDescent="0.2">
      <c r="A59" s="343">
        <v>1983</v>
      </c>
      <c r="B59" s="25">
        <v>208</v>
      </c>
      <c r="C59" s="25">
        <v>14</v>
      </c>
      <c r="D59" s="25">
        <v>504</v>
      </c>
      <c r="E59" s="66">
        <v>156</v>
      </c>
      <c r="F59" s="25" t="s">
        <v>29</v>
      </c>
      <c r="G59" s="25" t="s">
        <v>29</v>
      </c>
      <c r="H59" s="25">
        <f t="shared" si="4"/>
        <v>882</v>
      </c>
    </row>
    <row r="60" spans="1:8" ht="12" customHeight="1" x14ac:dyDescent="0.2">
      <c r="A60" s="343">
        <v>1984</v>
      </c>
      <c r="B60" s="25">
        <v>21</v>
      </c>
      <c r="C60" s="25" t="s">
        <v>29</v>
      </c>
      <c r="D60" s="25" t="s">
        <v>29</v>
      </c>
      <c r="E60" s="25">
        <v>4</v>
      </c>
      <c r="F60" s="25" t="s">
        <v>29</v>
      </c>
      <c r="G60" s="25" t="s">
        <v>29</v>
      </c>
      <c r="H60" s="25">
        <f t="shared" si="4"/>
        <v>25</v>
      </c>
    </row>
    <row r="61" spans="1:8" ht="12" customHeight="1" x14ac:dyDescent="0.2">
      <c r="A61" s="343">
        <v>1985</v>
      </c>
      <c r="B61" s="25">
        <v>37</v>
      </c>
      <c r="C61" s="25" t="s">
        <v>29</v>
      </c>
      <c r="D61" s="25">
        <v>647</v>
      </c>
      <c r="E61" s="25">
        <v>140</v>
      </c>
      <c r="F61" s="25" t="s">
        <v>29</v>
      </c>
      <c r="G61" s="25" t="s">
        <v>29</v>
      </c>
      <c r="H61" s="25">
        <f t="shared" si="4"/>
        <v>824</v>
      </c>
    </row>
    <row r="62" spans="1:8" ht="12" customHeight="1" x14ac:dyDescent="0.2">
      <c r="A62" s="343">
        <v>1986</v>
      </c>
      <c r="B62" s="25">
        <v>141</v>
      </c>
      <c r="C62" s="25">
        <v>9</v>
      </c>
      <c r="D62" s="25" t="s">
        <v>29</v>
      </c>
      <c r="E62" s="25">
        <v>199</v>
      </c>
      <c r="F62" s="25" t="s">
        <v>29</v>
      </c>
      <c r="G62" s="25" t="s">
        <v>29</v>
      </c>
      <c r="H62" s="25">
        <f t="shared" si="4"/>
        <v>349</v>
      </c>
    </row>
    <row r="63" spans="1:8" ht="12" customHeight="1" x14ac:dyDescent="0.2">
      <c r="A63" s="343">
        <v>1987</v>
      </c>
      <c r="B63" s="25">
        <v>126</v>
      </c>
      <c r="C63" s="25" t="s">
        <v>29</v>
      </c>
      <c r="D63" s="25">
        <v>5</v>
      </c>
      <c r="E63" s="25" t="s">
        <v>29</v>
      </c>
      <c r="F63" s="25" t="s">
        <v>29</v>
      </c>
      <c r="G63" s="25" t="s">
        <v>29</v>
      </c>
      <c r="H63" s="25">
        <f t="shared" si="4"/>
        <v>131</v>
      </c>
    </row>
    <row r="64" spans="1:8" ht="12" customHeight="1" x14ac:dyDescent="0.2">
      <c r="A64" s="343">
        <v>1988</v>
      </c>
      <c r="B64" s="25">
        <v>405</v>
      </c>
      <c r="C64" s="25">
        <v>307</v>
      </c>
      <c r="D64" s="25" t="s">
        <v>29</v>
      </c>
      <c r="E64" s="25" t="s">
        <v>29</v>
      </c>
      <c r="F64" s="25" t="s">
        <v>29</v>
      </c>
      <c r="G64" s="25" t="s">
        <v>29</v>
      </c>
      <c r="H64" s="25">
        <f t="shared" si="4"/>
        <v>712</v>
      </c>
    </row>
    <row r="65" spans="1:8" ht="12" customHeight="1" x14ac:dyDescent="0.2">
      <c r="A65" s="343">
        <v>1989</v>
      </c>
      <c r="B65" s="25" t="s">
        <v>29</v>
      </c>
      <c r="C65" s="25" t="s">
        <v>29</v>
      </c>
      <c r="D65" s="25" t="s">
        <v>29</v>
      </c>
      <c r="E65" s="25">
        <v>0</v>
      </c>
      <c r="F65" s="25" t="s">
        <v>29</v>
      </c>
      <c r="G65" s="25" t="s">
        <v>29</v>
      </c>
      <c r="H65" s="25">
        <f t="shared" si="4"/>
        <v>0</v>
      </c>
    </row>
    <row r="66" spans="1:8" ht="12" customHeight="1" x14ac:dyDescent="0.2">
      <c r="A66" s="343">
        <v>1990</v>
      </c>
      <c r="B66" s="25">
        <v>72</v>
      </c>
      <c r="C66" s="25">
        <v>13</v>
      </c>
      <c r="D66" s="25" t="s">
        <v>29</v>
      </c>
      <c r="E66" s="25">
        <v>209</v>
      </c>
      <c r="F66" s="25">
        <v>15</v>
      </c>
      <c r="G66" s="25" t="s">
        <v>29</v>
      </c>
      <c r="H66" s="25">
        <f t="shared" si="4"/>
        <v>309</v>
      </c>
    </row>
    <row r="67" spans="1:8" ht="12" customHeight="1" x14ac:dyDescent="0.2">
      <c r="A67" s="343">
        <v>1991</v>
      </c>
      <c r="B67" s="25">
        <v>70</v>
      </c>
      <c r="C67" s="25">
        <v>39</v>
      </c>
      <c r="D67" s="25" t="s">
        <v>29</v>
      </c>
      <c r="E67" s="25">
        <v>52</v>
      </c>
      <c r="F67" s="25">
        <v>13</v>
      </c>
      <c r="G67" s="25" t="s">
        <v>29</v>
      </c>
      <c r="H67" s="25">
        <f t="shared" si="4"/>
        <v>174</v>
      </c>
    </row>
    <row r="68" spans="1:8" ht="12" customHeight="1" x14ac:dyDescent="0.2">
      <c r="A68" s="343">
        <v>1992</v>
      </c>
      <c r="B68" s="25">
        <v>103</v>
      </c>
      <c r="C68" s="25">
        <v>170</v>
      </c>
      <c r="D68" s="25">
        <v>133</v>
      </c>
      <c r="E68" s="25">
        <v>82</v>
      </c>
      <c r="F68" s="25" t="s">
        <v>29</v>
      </c>
      <c r="G68" s="25" t="s">
        <v>29</v>
      </c>
      <c r="H68" s="25">
        <f t="shared" si="4"/>
        <v>488</v>
      </c>
    </row>
    <row r="69" spans="1:8" ht="12" customHeight="1" x14ac:dyDescent="0.2">
      <c r="A69" s="343">
        <v>1993</v>
      </c>
      <c r="B69" s="25">
        <v>49</v>
      </c>
      <c r="C69" s="25">
        <v>47</v>
      </c>
      <c r="D69" s="25">
        <v>121</v>
      </c>
      <c r="E69" s="25">
        <v>23</v>
      </c>
      <c r="F69" s="25" t="s">
        <v>29</v>
      </c>
      <c r="G69" s="25" t="s">
        <v>29</v>
      </c>
      <c r="H69" s="25">
        <f t="shared" si="4"/>
        <v>240</v>
      </c>
    </row>
    <row r="70" spans="1:8" ht="12" customHeight="1" x14ac:dyDescent="0.2">
      <c r="A70" s="343">
        <v>1994</v>
      </c>
      <c r="B70" s="25" t="s">
        <v>29</v>
      </c>
      <c r="C70" s="25" t="s">
        <v>29</v>
      </c>
      <c r="D70" s="25" t="s">
        <v>29</v>
      </c>
      <c r="E70" s="25" t="s">
        <v>29</v>
      </c>
      <c r="F70" s="25" t="s">
        <v>29</v>
      </c>
      <c r="G70" s="25" t="s">
        <v>29</v>
      </c>
      <c r="H70" s="25" t="s">
        <v>29</v>
      </c>
    </row>
    <row r="71" spans="1:8" ht="12" customHeight="1" x14ac:dyDescent="0.2">
      <c r="A71" s="343">
        <v>1995</v>
      </c>
      <c r="B71" s="25" t="s">
        <v>29</v>
      </c>
      <c r="C71" s="25" t="s">
        <v>29</v>
      </c>
      <c r="D71" s="25" t="s">
        <v>29</v>
      </c>
      <c r="E71" s="25">
        <v>52</v>
      </c>
      <c r="F71" s="25">
        <v>18</v>
      </c>
      <c r="G71" s="25" t="s">
        <v>29</v>
      </c>
      <c r="H71" s="25">
        <f t="shared" ref="H71:H89" si="5">SUM(B71:G71)</f>
        <v>70</v>
      </c>
    </row>
    <row r="72" spans="1:8" ht="12" customHeight="1" x14ac:dyDescent="0.2">
      <c r="A72" s="343">
        <v>1996</v>
      </c>
      <c r="B72" s="25" t="s">
        <v>29</v>
      </c>
      <c r="C72" s="25" t="s">
        <v>29</v>
      </c>
      <c r="D72" s="25">
        <v>11</v>
      </c>
      <c r="E72" s="25">
        <v>7</v>
      </c>
      <c r="F72" s="25" t="s">
        <v>29</v>
      </c>
      <c r="G72" s="25" t="s">
        <v>29</v>
      </c>
      <c r="H72" s="25">
        <f t="shared" si="5"/>
        <v>18</v>
      </c>
    </row>
    <row r="73" spans="1:8" ht="12" customHeight="1" x14ac:dyDescent="0.2">
      <c r="A73" s="343">
        <v>1997</v>
      </c>
      <c r="B73" s="25">
        <v>54</v>
      </c>
      <c r="C73" s="25">
        <v>66</v>
      </c>
      <c r="D73" s="25" t="s">
        <v>29</v>
      </c>
      <c r="E73" s="25" t="s">
        <v>29</v>
      </c>
      <c r="F73" s="25" t="s">
        <v>29</v>
      </c>
      <c r="G73" s="25" t="s">
        <v>29</v>
      </c>
      <c r="H73" s="25">
        <f t="shared" si="5"/>
        <v>120</v>
      </c>
    </row>
    <row r="74" spans="1:8" ht="12" customHeight="1" x14ac:dyDescent="0.2">
      <c r="A74" s="343">
        <v>1998</v>
      </c>
      <c r="B74" s="25">
        <v>34</v>
      </c>
      <c r="C74" s="66">
        <v>4</v>
      </c>
      <c r="D74" s="25" t="s">
        <v>29</v>
      </c>
      <c r="E74" s="25" t="s">
        <v>29</v>
      </c>
      <c r="F74" s="25" t="s">
        <v>29</v>
      </c>
      <c r="G74" s="25" t="s">
        <v>29</v>
      </c>
      <c r="H74" s="25">
        <f t="shared" si="5"/>
        <v>38</v>
      </c>
    </row>
    <row r="75" spans="1:8" ht="12" customHeight="1" x14ac:dyDescent="0.2">
      <c r="A75" s="343">
        <v>1999</v>
      </c>
      <c r="B75" s="25">
        <v>11</v>
      </c>
      <c r="C75" s="66">
        <v>0</v>
      </c>
      <c r="D75" s="25">
        <v>12</v>
      </c>
      <c r="E75" s="25">
        <v>9</v>
      </c>
      <c r="F75" s="25">
        <v>5</v>
      </c>
      <c r="G75" s="25" t="s">
        <v>29</v>
      </c>
      <c r="H75" s="25">
        <f t="shared" si="5"/>
        <v>37</v>
      </c>
    </row>
    <row r="76" spans="1:8" ht="12" customHeight="1" x14ac:dyDescent="0.2">
      <c r="A76" s="343">
        <v>2000</v>
      </c>
      <c r="B76" s="25">
        <v>44</v>
      </c>
      <c r="C76" s="25">
        <v>20</v>
      </c>
      <c r="D76" s="25" t="s">
        <v>29</v>
      </c>
      <c r="E76" s="25" t="s">
        <v>29</v>
      </c>
      <c r="F76" s="25" t="s">
        <v>29</v>
      </c>
      <c r="G76" s="25" t="s">
        <v>29</v>
      </c>
      <c r="H76" s="25">
        <f t="shared" si="5"/>
        <v>64</v>
      </c>
    </row>
    <row r="77" spans="1:8" ht="12" customHeight="1" x14ac:dyDescent="0.2">
      <c r="A77" s="343">
        <v>2001</v>
      </c>
      <c r="B77" s="25">
        <v>29</v>
      </c>
      <c r="C77" s="25">
        <v>4</v>
      </c>
      <c r="D77" s="25">
        <v>6</v>
      </c>
      <c r="E77" s="66" t="s">
        <v>29</v>
      </c>
      <c r="F77" s="25" t="s">
        <v>29</v>
      </c>
      <c r="G77" s="25" t="s">
        <v>29</v>
      </c>
      <c r="H77" s="25">
        <f t="shared" si="5"/>
        <v>39</v>
      </c>
    </row>
    <row r="78" spans="1:8" ht="12" customHeight="1" x14ac:dyDescent="0.2">
      <c r="A78" s="343">
        <v>2002</v>
      </c>
      <c r="B78" s="66">
        <v>0</v>
      </c>
      <c r="C78" s="25">
        <v>3</v>
      </c>
      <c r="D78" s="66">
        <v>53</v>
      </c>
      <c r="E78" s="66">
        <v>38</v>
      </c>
      <c r="F78" s="66" t="s">
        <v>29</v>
      </c>
      <c r="G78" s="66" t="s">
        <v>29</v>
      </c>
      <c r="H78" s="66">
        <f t="shared" si="5"/>
        <v>94</v>
      </c>
    </row>
    <row r="79" spans="1:8" ht="12" customHeight="1" x14ac:dyDescent="0.2">
      <c r="A79" s="343">
        <v>2003</v>
      </c>
      <c r="B79" s="25">
        <v>42</v>
      </c>
      <c r="C79" s="25">
        <v>24</v>
      </c>
      <c r="D79" s="25">
        <v>148</v>
      </c>
      <c r="E79" s="25">
        <v>91</v>
      </c>
      <c r="F79" s="25">
        <v>8</v>
      </c>
      <c r="G79" s="25" t="s">
        <v>29</v>
      </c>
      <c r="H79" s="25">
        <f t="shared" si="5"/>
        <v>313</v>
      </c>
    </row>
    <row r="80" spans="1:8" ht="12" customHeight="1" x14ac:dyDescent="0.2">
      <c r="A80" s="343">
        <v>2004</v>
      </c>
      <c r="B80" s="25">
        <v>17</v>
      </c>
      <c r="C80" s="25">
        <v>4</v>
      </c>
      <c r="D80" s="25">
        <v>105</v>
      </c>
      <c r="E80" s="25">
        <v>99</v>
      </c>
      <c r="F80" s="25">
        <v>21</v>
      </c>
      <c r="G80" s="25" t="s">
        <v>29</v>
      </c>
      <c r="H80" s="25">
        <f t="shared" si="5"/>
        <v>246</v>
      </c>
    </row>
    <row r="81" spans="1:13" ht="12" customHeight="1" x14ac:dyDescent="0.2">
      <c r="A81" s="343">
        <v>2005</v>
      </c>
      <c r="B81" s="25">
        <v>65</v>
      </c>
      <c r="C81" s="25">
        <v>23</v>
      </c>
      <c r="D81" s="25">
        <v>69</v>
      </c>
      <c r="E81" s="25">
        <v>125</v>
      </c>
      <c r="F81" s="25" t="s">
        <v>29</v>
      </c>
      <c r="G81" s="25" t="s">
        <v>29</v>
      </c>
      <c r="H81" s="25">
        <f t="shared" si="5"/>
        <v>282</v>
      </c>
    </row>
    <row r="82" spans="1:13" ht="12" customHeight="1" x14ac:dyDescent="0.2">
      <c r="A82" s="343">
        <v>2006</v>
      </c>
      <c r="B82" s="25">
        <v>39</v>
      </c>
      <c r="C82" s="25">
        <v>179</v>
      </c>
      <c r="D82" s="25">
        <v>63</v>
      </c>
      <c r="E82" s="25">
        <v>209</v>
      </c>
      <c r="F82" s="25">
        <v>107</v>
      </c>
      <c r="G82" s="25" t="s">
        <v>29</v>
      </c>
      <c r="H82" s="25">
        <f t="shared" si="5"/>
        <v>597</v>
      </c>
    </row>
    <row r="83" spans="1:13" s="342" customFormat="1" ht="12" customHeight="1" x14ac:dyDescent="0.2">
      <c r="A83" s="308">
        <v>2007</v>
      </c>
      <c r="B83" s="54">
        <v>29</v>
      </c>
      <c r="C83" s="54">
        <v>180</v>
      </c>
      <c r="D83" s="54">
        <v>168</v>
      </c>
      <c r="E83" s="54">
        <v>57</v>
      </c>
      <c r="F83" s="54">
        <v>2</v>
      </c>
      <c r="G83" s="54" t="s">
        <v>29</v>
      </c>
      <c r="H83" s="54">
        <f t="shared" si="5"/>
        <v>436</v>
      </c>
      <c r="I83" s="148"/>
      <c r="J83" s="148"/>
      <c r="K83" s="148"/>
      <c r="L83" s="148"/>
      <c r="M83" s="148"/>
    </row>
    <row r="84" spans="1:13" s="342" customFormat="1" ht="12" customHeight="1" x14ac:dyDescent="0.2">
      <c r="A84" s="308">
        <v>2008</v>
      </c>
      <c r="B84" s="54">
        <v>10</v>
      </c>
      <c r="C84" s="54">
        <v>118</v>
      </c>
      <c r="D84" s="54">
        <v>119</v>
      </c>
      <c r="E84" s="54">
        <v>73</v>
      </c>
      <c r="F84" s="54">
        <v>11</v>
      </c>
      <c r="G84" s="54" t="s">
        <v>29</v>
      </c>
      <c r="H84" s="54">
        <f t="shared" si="5"/>
        <v>331</v>
      </c>
      <c r="I84" s="148"/>
      <c r="J84" s="148"/>
      <c r="K84" s="148"/>
      <c r="L84" s="148"/>
      <c r="M84" s="148"/>
    </row>
    <row r="85" spans="1:13" s="342" customFormat="1" ht="12" customHeight="1" x14ac:dyDescent="0.2">
      <c r="A85" s="308">
        <v>2009</v>
      </c>
      <c r="B85" s="54">
        <v>123</v>
      </c>
      <c r="C85" s="54">
        <v>114</v>
      </c>
      <c r="D85" s="54">
        <v>173</v>
      </c>
      <c r="E85" s="54">
        <v>124</v>
      </c>
      <c r="F85" s="54">
        <v>30</v>
      </c>
      <c r="G85" s="54" t="s">
        <v>29</v>
      </c>
      <c r="H85" s="54">
        <f t="shared" si="5"/>
        <v>564</v>
      </c>
      <c r="I85" s="148"/>
      <c r="J85" s="148"/>
      <c r="K85" s="148"/>
      <c r="L85" s="148"/>
      <c r="M85" s="148"/>
    </row>
    <row r="86" spans="1:13" s="342" customFormat="1" ht="12" customHeight="1" x14ac:dyDescent="0.2">
      <c r="A86" s="308">
        <v>2010</v>
      </c>
      <c r="B86" s="54">
        <v>154</v>
      </c>
      <c r="C86" s="54">
        <v>93</v>
      </c>
      <c r="D86" s="54">
        <v>95</v>
      </c>
      <c r="E86" s="54">
        <v>81</v>
      </c>
      <c r="F86" s="54">
        <v>3</v>
      </c>
      <c r="G86" s="54" t="s">
        <v>29</v>
      </c>
      <c r="H86" s="54">
        <f t="shared" si="5"/>
        <v>426</v>
      </c>
      <c r="I86" s="148"/>
      <c r="J86" s="148"/>
      <c r="K86" s="148"/>
      <c r="L86" s="148"/>
      <c r="M86" s="148"/>
    </row>
    <row r="87" spans="1:13" s="342" customFormat="1" ht="12" customHeight="1" x14ac:dyDescent="0.2">
      <c r="A87" s="308">
        <v>2011</v>
      </c>
      <c r="B87" s="54">
        <v>199</v>
      </c>
      <c r="C87" s="54">
        <v>236</v>
      </c>
      <c r="D87" s="54">
        <v>139</v>
      </c>
      <c r="E87" s="54">
        <v>70</v>
      </c>
      <c r="F87" s="54">
        <v>25</v>
      </c>
      <c r="G87" s="54" t="s">
        <v>29</v>
      </c>
      <c r="H87" s="54">
        <f t="shared" si="5"/>
        <v>669</v>
      </c>
      <c r="I87" s="148"/>
      <c r="J87" s="148"/>
      <c r="K87" s="148"/>
      <c r="L87" s="148"/>
      <c r="M87" s="148"/>
    </row>
    <row r="88" spans="1:13" s="342" customFormat="1" ht="12" customHeight="1" x14ac:dyDescent="0.2">
      <c r="A88" s="308">
        <v>2012</v>
      </c>
      <c r="B88" s="54">
        <v>124</v>
      </c>
      <c r="C88" s="54">
        <v>286</v>
      </c>
      <c r="D88" s="54">
        <v>229</v>
      </c>
      <c r="E88" s="54">
        <v>246</v>
      </c>
      <c r="F88" s="54">
        <v>160</v>
      </c>
      <c r="G88" s="54" t="s">
        <v>29</v>
      </c>
      <c r="H88" s="54">
        <f t="shared" si="5"/>
        <v>1045</v>
      </c>
      <c r="I88" s="148"/>
      <c r="J88" s="148"/>
      <c r="K88" s="148"/>
      <c r="L88" s="148"/>
      <c r="M88" s="148"/>
    </row>
    <row r="89" spans="1:13" s="342" customFormat="1" ht="12" customHeight="1" x14ac:dyDescent="0.2">
      <c r="A89" s="308">
        <v>2013</v>
      </c>
      <c r="B89" s="54">
        <v>190</v>
      </c>
      <c r="C89" s="54" t="s">
        <v>29</v>
      </c>
      <c r="D89" s="54">
        <v>175</v>
      </c>
      <c r="E89" s="54">
        <v>70</v>
      </c>
      <c r="F89" s="54" t="s">
        <v>29</v>
      </c>
      <c r="G89" s="54" t="s">
        <v>29</v>
      </c>
      <c r="H89" s="54">
        <f t="shared" si="5"/>
        <v>435</v>
      </c>
      <c r="I89" s="148"/>
      <c r="J89" s="148"/>
      <c r="K89" s="148"/>
      <c r="L89" s="148"/>
      <c r="M89" s="148"/>
    </row>
    <row r="90" spans="1:13" s="342" customFormat="1" ht="12" customHeight="1" x14ac:dyDescent="0.2">
      <c r="A90" s="308">
        <v>2014</v>
      </c>
      <c r="B90" s="54">
        <v>291</v>
      </c>
      <c r="C90" s="54">
        <v>84</v>
      </c>
      <c r="D90" s="54">
        <v>169</v>
      </c>
      <c r="E90" s="54">
        <v>140</v>
      </c>
      <c r="F90" s="54">
        <v>32</v>
      </c>
      <c r="G90" s="54" t="s">
        <v>29</v>
      </c>
      <c r="H90" s="54">
        <f t="shared" ref="H90:H96" si="6">SUM(B90:G90)</f>
        <v>716</v>
      </c>
      <c r="I90" s="148"/>
      <c r="J90" s="148"/>
      <c r="K90" s="148"/>
      <c r="L90" s="148"/>
      <c r="M90" s="148"/>
    </row>
    <row r="91" spans="1:13" s="342" customFormat="1" ht="12" customHeight="1" x14ac:dyDescent="0.2">
      <c r="A91" s="308">
        <v>2015</v>
      </c>
      <c r="B91" s="54">
        <v>227</v>
      </c>
      <c r="C91" s="54" t="s">
        <v>29</v>
      </c>
      <c r="D91" s="54">
        <v>194</v>
      </c>
      <c r="E91" s="54">
        <v>174</v>
      </c>
      <c r="F91" s="54">
        <v>62</v>
      </c>
      <c r="G91" s="54" t="s">
        <v>29</v>
      </c>
      <c r="H91" s="54">
        <f t="shared" si="6"/>
        <v>657</v>
      </c>
      <c r="I91" s="148"/>
      <c r="J91" s="148"/>
      <c r="K91" s="148"/>
      <c r="L91" s="148"/>
      <c r="M91" s="148"/>
    </row>
    <row r="92" spans="1:13" s="342" customFormat="1" ht="12" customHeight="1" x14ac:dyDescent="0.2">
      <c r="A92" s="308">
        <v>2016</v>
      </c>
      <c r="B92" s="54">
        <v>213</v>
      </c>
      <c r="C92" s="54">
        <v>56</v>
      </c>
      <c r="D92" s="54">
        <v>111</v>
      </c>
      <c r="E92" s="54">
        <v>31</v>
      </c>
      <c r="F92" s="54" t="s">
        <v>29</v>
      </c>
      <c r="G92" s="54" t="s">
        <v>29</v>
      </c>
      <c r="H92" s="54">
        <f t="shared" si="6"/>
        <v>411</v>
      </c>
      <c r="I92" s="148"/>
      <c r="J92" s="148"/>
      <c r="K92" s="148"/>
      <c r="L92" s="148"/>
      <c r="M92" s="148"/>
    </row>
    <row r="93" spans="1:13" s="342" customFormat="1" ht="12" customHeight="1" x14ac:dyDescent="0.2">
      <c r="A93" s="308">
        <v>2017</v>
      </c>
      <c r="B93" s="54">
        <v>194</v>
      </c>
      <c r="C93" s="54">
        <v>89</v>
      </c>
      <c r="D93" s="54">
        <v>33</v>
      </c>
      <c r="E93" s="54">
        <v>129</v>
      </c>
      <c r="F93" s="54">
        <v>57</v>
      </c>
      <c r="G93" s="54" t="s">
        <v>29</v>
      </c>
      <c r="H93" s="54">
        <f t="shared" si="6"/>
        <v>502</v>
      </c>
      <c r="I93" s="148"/>
      <c r="J93" s="148"/>
      <c r="K93" s="148"/>
      <c r="L93" s="148"/>
      <c r="M93" s="148"/>
    </row>
    <row r="94" spans="1:13" s="347" customFormat="1" ht="12" customHeight="1" x14ac:dyDescent="0.2">
      <c r="A94" s="308">
        <v>2018</v>
      </c>
      <c r="B94" s="54">
        <v>160</v>
      </c>
      <c r="C94" s="54">
        <v>14</v>
      </c>
      <c r="D94" s="54">
        <v>36</v>
      </c>
      <c r="E94" s="54">
        <v>103</v>
      </c>
      <c r="F94" s="54">
        <v>47</v>
      </c>
      <c r="G94" s="54" t="s">
        <v>29</v>
      </c>
      <c r="H94" s="54">
        <f t="shared" si="6"/>
        <v>360</v>
      </c>
      <c r="I94" s="148"/>
      <c r="J94" s="148"/>
      <c r="K94" s="148"/>
      <c r="L94" s="148"/>
      <c r="M94" s="148"/>
    </row>
    <row r="95" spans="1:13" s="487" customFormat="1" ht="12" customHeight="1" x14ac:dyDescent="0.2">
      <c r="A95" s="492">
        <v>2019</v>
      </c>
      <c r="B95" s="54">
        <v>52</v>
      </c>
      <c r="C95" s="54">
        <v>12</v>
      </c>
      <c r="D95" s="54">
        <v>133</v>
      </c>
      <c r="E95" s="54">
        <v>152</v>
      </c>
      <c r="F95" s="54">
        <v>80</v>
      </c>
      <c r="G95" s="54" t="s">
        <v>29</v>
      </c>
      <c r="H95" s="54">
        <f t="shared" ref="H95" si="7">SUM(B95:G95)</f>
        <v>429</v>
      </c>
      <c r="I95" s="148"/>
      <c r="J95" s="148"/>
      <c r="K95" s="148"/>
      <c r="L95" s="148"/>
      <c r="M95" s="148"/>
    </row>
    <row r="96" spans="1:13" ht="12" customHeight="1" x14ac:dyDescent="0.2">
      <c r="A96" s="488" t="s">
        <v>394</v>
      </c>
      <c r="B96" s="25">
        <v>25</v>
      </c>
      <c r="C96" s="25">
        <v>43</v>
      </c>
      <c r="D96" s="25">
        <v>147</v>
      </c>
      <c r="E96" s="25">
        <v>108</v>
      </c>
      <c r="F96" s="25">
        <v>13</v>
      </c>
      <c r="G96" s="25" t="s">
        <v>29</v>
      </c>
      <c r="H96" s="25">
        <f t="shared" si="6"/>
        <v>336</v>
      </c>
    </row>
    <row r="97" spans="1:8" ht="12" customHeight="1" x14ac:dyDescent="0.2">
      <c r="B97" s="25"/>
      <c r="C97" s="25"/>
      <c r="D97" s="25"/>
      <c r="E97" s="25"/>
      <c r="F97" s="25"/>
      <c r="G97" s="25"/>
      <c r="H97" s="25"/>
    </row>
    <row r="98" spans="1:8" ht="12" customHeight="1" x14ac:dyDescent="0.2">
      <c r="A98" s="126" t="s">
        <v>64</v>
      </c>
      <c r="B98" s="25"/>
      <c r="C98" s="25"/>
      <c r="D98" s="25"/>
      <c r="E98" s="25"/>
      <c r="F98" s="25"/>
      <c r="G98" s="25"/>
      <c r="H98" s="25"/>
    </row>
    <row r="99" spans="1:8" ht="12" customHeight="1" x14ac:dyDescent="0.2">
      <c r="A99" s="343">
        <v>1976</v>
      </c>
      <c r="B99" s="25">
        <v>2850</v>
      </c>
      <c r="C99" s="25">
        <v>3537</v>
      </c>
      <c r="D99" s="25">
        <v>6288</v>
      </c>
      <c r="E99" s="25">
        <v>4912</v>
      </c>
      <c r="F99" s="25">
        <v>4716</v>
      </c>
      <c r="G99" s="25" t="s">
        <v>29</v>
      </c>
      <c r="H99" s="25">
        <f t="shared" ref="H99:H116" si="8">SUM(B99:G99)</f>
        <v>22303</v>
      </c>
    </row>
    <row r="100" spans="1:8" ht="12" customHeight="1" x14ac:dyDescent="0.2">
      <c r="A100" s="343">
        <v>1977</v>
      </c>
      <c r="B100" s="25">
        <v>2114</v>
      </c>
      <c r="C100" s="25">
        <v>1633</v>
      </c>
      <c r="D100" s="25">
        <v>6410</v>
      </c>
      <c r="E100" s="25">
        <v>4018</v>
      </c>
      <c r="F100" s="25">
        <v>3729</v>
      </c>
      <c r="G100" s="25" t="s">
        <v>29</v>
      </c>
      <c r="H100" s="25">
        <f t="shared" si="8"/>
        <v>17904</v>
      </c>
    </row>
    <row r="101" spans="1:8" ht="12" customHeight="1" x14ac:dyDescent="0.2">
      <c r="A101" s="343">
        <v>1978</v>
      </c>
      <c r="B101" s="25">
        <v>1948</v>
      </c>
      <c r="C101" s="25">
        <v>1405</v>
      </c>
      <c r="D101" s="25">
        <v>4398</v>
      </c>
      <c r="E101" s="25">
        <v>2449</v>
      </c>
      <c r="F101" s="25">
        <v>2620</v>
      </c>
      <c r="G101" s="25" t="s">
        <v>29</v>
      </c>
      <c r="H101" s="25">
        <f t="shared" si="8"/>
        <v>12820</v>
      </c>
    </row>
    <row r="102" spans="1:8" ht="12" customHeight="1" x14ac:dyDescent="0.2">
      <c r="A102" s="343">
        <v>1979</v>
      </c>
      <c r="B102" s="25">
        <v>2107</v>
      </c>
      <c r="C102" s="25">
        <v>11</v>
      </c>
      <c r="D102" s="25">
        <v>4734</v>
      </c>
      <c r="E102" s="25">
        <v>6213</v>
      </c>
      <c r="F102" s="25">
        <v>18</v>
      </c>
      <c r="G102" s="25" t="s">
        <v>29</v>
      </c>
      <c r="H102" s="25">
        <f t="shared" si="8"/>
        <v>13083</v>
      </c>
    </row>
    <row r="103" spans="1:8" ht="12" customHeight="1" x14ac:dyDescent="0.2">
      <c r="A103" s="343">
        <v>1980</v>
      </c>
      <c r="B103" s="25">
        <v>2256</v>
      </c>
      <c r="C103" s="25">
        <v>13</v>
      </c>
      <c r="D103" s="25">
        <v>3170</v>
      </c>
      <c r="E103" s="25">
        <v>3562</v>
      </c>
      <c r="F103" s="25">
        <v>5</v>
      </c>
      <c r="G103" s="25" t="s">
        <v>29</v>
      </c>
      <c r="H103" s="25">
        <f t="shared" si="8"/>
        <v>9006</v>
      </c>
    </row>
    <row r="104" spans="1:8" ht="12" customHeight="1" x14ac:dyDescent="0.2">
      <c r="A104" s="343">
        <v>1981</v>
      </c>
      <c r="B104" s="25">
        <v>2686</v>
      </c>
      <c r="C104" s="25">
        <v>130</v>
      </c>
      <c r="D104" s="25">
        <v>3833</v>
      </c>
      <c r="E104" s="25">
        <v>3210</v>
      </c>
      <c r="F104" s="25" t="s">
        <v>29</v>
      </c>
      <c r="G104" s="25" t="s">
        <v>29</v>
      </c>
      <c r="H104" s="25">
        <f t="shared" si="8"/>
        <v>9859</v>
      </c>
    </row>
    <row r="105" spans="1:8" ht="12" customHeight="1" x14ac:dyDescent="0.2">
      <c r="A105" s="343">
        <v>1982</v>
      </c>
      <c r="B105" s="25">
        <v>2864</v>
      </c>
      <c r="C105" s="25">
        <v>476</v>
      </c>
      <c r="D105" s="25">
        <v>4908</v>
      </c>
      <c r="E105" s="25">
        <v>7</v>
      </c>
      <c r="F105" s="25" t="s">
        <v>29</v>
      </c>
      <c r="G105" s="25" t="s">
        <v>29</v>
      </c>
      <c r="H105" s="25">
        <f t="shared" si="8"/>
        <v>8255</v>
      </c>
    </row>
    <row r="106" spans="1:8" ht="12" customHeight="1" x14ac:dyDescent="0.2">
      <c r="A106" s="343">
        <v>1983</v>
      </c>
      <c r="B106" s="25">
        <v>2687</v>
      </c>
      <c r="C106" s="25">
        <v>375</v>
      </c>
      <c r="D106" s="25">
        <v>1177</v>
      </c>
      <c r="E106" s="25">
        <v>45</v>
      </c>
      <c r="F106" s="25" t="s">
        <v>29</v>
      </c>
      <c r="G106" s="25" t="s">
        <v>29</v>
      </c>
      <c r="H106" s="25">
        <f t="shared" si="8"/>
        <v>4284</v>
      </c>
    </row>
    <row r="107" spans="1:8" ht="12" customHeight="1" x14ac:dyDescent="0.2">
      <c r="A107" s="343">
        <v>1984</v>
      </c>
      <c r="B107" s="25">
        <v>404</v>
      </c>
      <c r="C107" s="25" t="s">
        <v>29</v>
      </c>
      <c r="D107" s="25" t="s">
        <v>29</v>
      </c>
      <c r="E107" s="25" t="s">
        <v>29</v>
      </c>
      <c r="F107" s="25" t="s">
        <v>29</v>
      </c>
      <c r="G107" s="25" t="s">
        <v>29</v>
      </c>
      <c r="H107" s="25">
        <f t="shared" si="8"/>
        <v>404</v>
      </c>
    </row>
    <row r="108" spans="1:8" ht="12" customHeight="1" x14ac:dyDescent="0.2">
      <c r="A108" s="343">
        <v>1985</v>
      </c>
      <c r="B108" s="25">
        <v>1905</v>
      </c>
      <c r="C108" s="25">
        <v>20</v>
      </c>
      <c r="D108" s="25">
        <v>1242</v>
      </c>
      <c r="E108" s="25" t="s">
        <v>29</v>
      </c>
      <c r="F108" s="25" t="s">
        <v>29</v>
      </c>
      <c r="G108" s="25" t="s">
        <v>29</v>
      </c>
      <c r="H108" s="25">
        <f t="shared" si="8"/>
        <v>3167</v>
      </c>
    </row>
    <row r="109" spans="1:8" ht="12" customHeight="1" x14ac:dyDescent="0.2">
      <c r="A109" s="343">
        <v>1986</v>
      </c>
      <c r="B109" s="25">
        <v>1504</v>
      </c>
      <c r="C109" s="25">
        <v>2</v>
      </c>
      <c r="D109" s="25" t="s">
        <v>29</v>
      </c>
      <c r="E109" s="25">
        <v>105</v>
      </c>
      <c r="F109" s="25" t="s">
        <v>29</v>
      </c>
      <c r="G109" s="25" t="s">
        <v>29</v>
      </c>
      <c r="H109" s="25">
        <f t="shared" si="8"/>
        <v>1611</v>
      </c>
    </row>
    <row r="110" spans="1:8" ht="12" customHeight="1" x14ac:dyDescent="0.2">
      <c r="A110" s="343">
        <v>1987</v>
      </c>
      <c r="B110" s="25">
        <v>1379</v>
      </c>
      <c r="C110" s="25" t="s">
        <v>29</v>
      </c>
      <c r="D110" s="25">
        <v>855</v>
      </c>
      <c r="E110" s="25" t="s">
        <v>29</v>
      </c>
      <c r="F110" s="25" t="s">
        <v>29</v>
      </c>
      <c r="G110" s="25" t="s">
        <v>29</v>
      </c>
      <c r="H110" s="25">
        <f t="shared" si="8"/>
        <v>2234</v>
      </c>
    </row>
    <row r="111" spans="1:8" ht="12" customHeight="1" x14ac:dyDescent="0.2">
      <c r="A111" s="343">
        <v>1988</v>
      </c>
      <c r="B111" s="25">
        <v>2443</v>
      </c>
      <c r="C111" s="25">
        <v>1255</v>
      </c>
      <c r="D111" s="25" t="s">
        <v>29</v>
      </c>
      <c r="E111" s="25" t="s">
        <v>29</v>
      </c>
      <c r="F111" s="25" t="s">
        <v>29</v>
      </c>
      <c r="G111" s="25" t="s">
        <v>29</v>
      </c>
      <c r="H111" s="25">
        <f t="shared" si="8"/>
        <v>3698</v>
      </c>
    </row>
    <row r="112" spans="1:8" ht="12" customHeight="1" x14ac:dyDescent="0.2">
      <c r="A112" s="343">
        <v>1989</v>
      </c>
      <c r="B112" s="25">
        <v>2151</v>
      </c>
      <c r="C112" s="25">
        <v>1068</v>
      </c>
      <c r="D112" s="25" t="s">
        <v>29</v>
      </c>
      <c r="E112" s="25">
        <v>2</v>
      </c>
      <c r="F112" s="25" t="s">
        <v>29</v>
      </c>
      <c r="G112" s="25" t="s">
        <v>29</v>
      </c>
      <c r="H112" s="25">
        <f t="shared" si="8"/>
        <v>3221</v>
      </c>
    </row>
    <row r="113" spans="1:8" ht="12" customHeight="1" x14ac:dyDescent="0.2">
      <c r="A113" s="343">
        <v>1990</v>
      </c>
      <c r="B113" s="25">
        <v>1136</v>
      </c>
      <c r="C113" s="25">
        <v>132</v>
      </c>
      <c r="D113" s="25" t="s">
        <v>29</v>
      </c>
      <c r="E113" s="25">
        <v>1063</v>
      </c>
      <c r="F113" s="25" t="s">
        <v>29</v>
      </c>
      <c r="G113" s="25" t="s">
        <v>29</v>
      </c>
      <c r="H113" s="25">
        <f t="shared" si="8"/>
        <v>2331</v>
      </c>
    </row>
    <row r="114" spans="1:8" ht="12" customHeight="1" x14ac:dyDescent="0.2">
      <c r="A114" s="343">
        <v>1991</v>
      </c>
      <c r="B114" s="25">
        <v>755</v>
      </c>
      <c r="C114" s="25">
        <v>603</v>
      </c>
      <c r="D114" s="25" t="s">
        <v>29</v>
      </c>
      <c r="E114" s="66">
        <v>171</v>
      </c>
      <c r="F114" s="25">
        <v>230</v>
      </c>
      <c r="G114" s="25" t="s">
        <v>29</v>
      </c>
      <c r="H114" s="25">
        <f t="shared" si="8"/>
        <v>1759</v>
      </c>
    </row>
    <row r="115" spans="1:8" ht="12" customHeight="1" x14ac:dyDescent="0.2">
      <c r="A115" s="343">
        <v>1992</v>
      </c>
      <c r="B115" s="25">
        <v>1216</v>
      </c>
      <c r="C115" s="25">
        <v>583</v>
      </c>
      <c r="D115" s="25">
        <v>429</v>
      </c>
      <c r="E115" s="25">
        <v>342</v>
      </c>
      <c r="F115" s="25" t="s">
        <v>29</v>
      </c>
      <c r="G115" s="25" t="s">
        <v>29</v>
      </c>
      <c r="H115" s="25">
        <f t="shared" si="8"/>
        <v>2570</v>
      </c>
    </row>
    <row r="116" spans="1:8" ht="12" customHeight="1" x14ac:dyDescent="0.2">
      <c r="A116" s="343">
        <v>1993</v>
      </c>
      <c r="B116" s="25">
        <v>585</v>
      </c>
      <c r="C116" s="25">
        <v>470</v>
      </c>
      <c r="D116" s="25">
        <v>274</v>
      </c>
      <c r="E116" s="25">
        <v>193</v>
      </c>
      <c r="F116" s="25">
        <v>387</v>
      </c>
      <c r="G116" s="25" t="s">
        <v>29</v>
      </c>
      <c r="H116" s="25">
        <f t="shared" si="8"/>
        <v>1909</v>
      </c>
    </row>
    <row r="117" spans="1:8" ht="12" customHeight="1" x14ac:dyDescent="0.2">
      <c r="A117" s="343">
        <v>1994</v>
      </c>
      <c r="B117" s="25" t="s">
        <v>29</v>
      </c>
      <c r="C117" s="25" t="s">
        <v>29</v>
      </c>
      <c r="D117" s="25" t="s">
        <v>29</v>
      </c>
      <c r="E117" s="25" t="s">
        <v>29</v>
      </c>
      <c r="F117" s="25" t="s">
        <v>29</v>
      </c>
      <c r="G117" s="25" t="s">
        <v>29</v>
      </c>
      <c r="H117" s="25" t="s">
        <v>29</v>
      </c>
    </row>
    <row r="118" spans="1:8" ht="12" customHeight="1" x14ac:dyDescent="0.2">
      <c r="A118" s="343">
        <v>1995</v>
      </c>
      <c r="B118" s="25" t="s">
        <v>29</v>
      </c>
      <c r="C118" s="25" t="s">
        <v>29</v>
      </c>
      <c r="D118" s="25" t="s">
        <v>29</v>
      </c>
      <c r="E118" s="25" t="s">
        <v>29</v>
      </c>
      <c r="F118" s="25" t="s">
        <v>29</v>
      </c>
      <c r="G118" s="25" t="s">
        <v>29</v>
      </c>
      <c r="H118" s="25" t="s">
        <v>29</v>
      </c>
    </row>
    <row r="119" spans="1:8" ht="12" customHeight="1" x14ac:dyDescent="0.2">
      <c r="A119" s="343">
        <v>1996</v>
      </c>
      <c r="B119" s="25" t="s">
        <v>29</v>
      </c>
      <c r="C119" s="25" t="s">
        <v>29</v>
      </c>
      <c r="D119" s="25">
        <v>62</v>
      </c>
      <c r="E119" s="25">
        <v>77</v>
      </c>
      <c r="F119" s="25" t="s">
        <v>29</v>
      </c>
      <c r="G119" s="25" t="s">
        <v>29</v>
      </c>
      <c r="H119" s="25">
        <f t="shared" ref="H119:H136" si="9">SUM(B119:G119)</f>
        <v>139</v>
      </c>
    </row>
    <row r="120" spans="1:8" ht="12" customHeight="1" x14ac:dyDescent="0.2">
      <c r="A120" s="343">
        <v>1997</v>
      </c>
      <c r="B120" s="25">
        <v>72</v>
      </c>
      <c r="C120" s="25">
        <v>30</v>
      </c>
      <c r="D120" s="25" t="s">
        <v>29</v>
      </c>
      <c r="E120" s="25" t="s">
        <v>29</v>
      </c>
      <c r="F120" s="25" t="s">
        <v>29</v>
      </c>
      <c r="G120" s="25" t="s">
        <v>29</v>
      </c>
      <c r="H120" s="25">
        <f t="shared" si="9"/>
        <v>102</v>
      </c>
    </row>
    <row r="121" spans="1:8" ht="12" customHeight="1" x14ac:dyDescent="0.2">
      <c r="A121" s="343">
        <v>1998</v>
      </c>
      <c r="B121" s="66">
        <v>6</v>
      </c>
      <c r="C121" s="66">
        <v>0</v>
      </c>
      <c r="D121" s="25" t="s">
        <v>29</v>
      </c>
      <c r="E121" s="25" t="s">
        <v>29</v>
      </c>
      <c r="F121" s="25" t="s">
        <v>29</v>
      </c>
      <c r="G121" s="25" t="s">
        <v>29</v>
      </c>
      <c r="H121" s="25">
        <f t="shared" si="9"/>
        <v>6</v>
      </c>
    </row>
    <row r="122" spans="1:8" ht="12" customHeight="1" x14ac:dyDescent="0.2">
      <c r="A122" s="343">
        <v>1999</v>
      </c>
      <c r="B122" s="66">
        <v>106</v>
      </c>
      <c r="C122" s="66">
        <v>126</v>
      </c>
      <c r="D122" s="25">
        <v>39</v>
      </c>
      <c r="E122" s="25">
        <v>48</v>
      </c>
      <c r="F122" s="25">
        <v>1</v>
      </c>
      <c r="G122" s="25" t="s">
        <v>29</v>
      </c>
      <c r="H122" s="25">
        <f t="shared" si="9"/>
        <v>320</v>
      </c>
    </row>
    <row r="123" spans="1:8" ht="12" customHeight="1" x14ac:dyDescent="0.2">
      <c r="A123" s="343">
        <v>2000</v>
      </c>
      <c r="B123" s="66">
        <v>0</v>
      </c>
      <c r="C123" s="66">
        <v>0</v>
      </c>
      <c r="D123" s="25" t="s">
        <v>29</v>
      </c>
      <c r="E123" s="25">
        <v>71</v>
      </c>
      <c r="F123" s="25">
        <v>3</v>
      </c>
      <c r="G123" s="25" t="s">
        <v>29</v>
      </c>
      <c r="H123" s="25">
        <f t="shared" si="9"/>
        <v>74</v>
      </c>
    </row>
    <row r="124" spans="1:8" ht="12" customHeight="1" x14ac:dyDescent="0.2">
      <c r="A124" s="343">
        <v>2001</v>
      </c>
      <c r="B124" s="25">
        <v>96</v>
      </c>
      <c r="C124" s="25">
        <v>127</v>
      </c>
      <c r="D124" s="25">
        <v>104</v>
      </c>
      <c r="E124" s="25">
        <f>62+8</f>
        <v>70</v>
      </c>
      <c r="F124" s="25">
        <v>38</v>
      </c>
      <c r="G124" s="25" t="s">
        <v>29</v>
      </c>
      <c r="H124" s="25">
        <f t="shared" si="9"/>
        <v>435</v>
      </c>
    </row>
    <row r="125" spans="1:8" ht="12" customHeight="1" x14ac:dyDescent="0.2">
      <c r="A125" s="343">
        <v>2002</v>
      </c>
      <c r="B125" s="25">
        <v>331</v>
      </c>
      <c r="C125" s="25">
        <v>99</v>
      </c>
      <c r="D125" s="25">
        <v>228</v>
      </c>
      <c r="E125" s="25">
        <v>124</v>
      </c>
      <c r="F125" s="25" t="s">
        <v>29</v>
      </c>
      <c r="G125" s="25" t="s">
        <v>29</v>
      </c>
      <c r="H125" s="25">
        <f t="shared" si="9"/>
        <v>782</v>
      </c>
    </row>
    <row r="126" spans="1:8" ht="12" customHeight="1" x14ac:dyDescent="0.2">
      <c r="A126" s="343">
        <v>2003</v>
      </c>
      <c r="B126" s="25">
        <v>99</v>
      </c>
      <c r="C126" s="25">
        <v>79</v>
      </c>
      <c r="D126" s="25">
        <v>178</v>
      </c>
      <c r="E126" s="25">
        <v>192</v>
      </c>
      <c r="F126" s="25">
        <v>55</v>
      </c>
      <c r="G126" s="25" t="s">
        <v>29</v>
      </c>
      <c r="H126" s="25">
        <f t="shared" si="9"/>
        <v>603</v>
      </c>
    </row>
    <row r="127" spans="1:8" ht="12" customHeight="1" x14ac:dyDescent="0.2">
      <c r="A127" s="343">
        <v>2004</v>
      </c>
      <c r="B127" s="25">
        <v>245</v>
      </c>
      <c r="C127" s="25">
        <v>5</v>
      </c>
      <c r="D127" s="25">
        <v>127</v>
      </c>
      <c r="E127" s="25">
        <v>127</v>
      </c>
      <c r="F127" s="25">
        <v>71</v>
      </c>
      <c r="G127" s="25" t="s">
        <v>29</v>
      </c>
      <c r="H127" s="25">
        <f t="shared" si="9"/>
        <v>575</v>
      </c>
    </row>
    <row r="128" spans="1:8" ht="12" customHeight="1" x14ac:dyDescent="0.2">
      <c r="A128" s="343">
        <v>2005</v>
      </c>
      <c r="B128" s="25">
        <v>263</v>
      </c>
      <c r="C128" s="25">
        <v>57</v>
      </c>
      <c r="D128" s="25">
        <v>119</v>
      </c>
      <c r="E128" s="25">
        <v>131</v>
      </c>
      <c r="F128" s="25" t="s">
        <v>29</v>
      </c>
      <c r="G128" s="25" t="s">
        <v>29</v>
      </c>
      <c r="H128" s="25">
        <f t="shared" si="9"/>
        <v>570</v>
      </c>
    </row>
    <row r="129" spans="1:13" ht="12" customHeight="1" x14ac:dyDescent="0.2">
      <c r="A129" s="343">
        <v>2006</v>
      </c>
      <c r="B129" s="25">
        <v>176</v>
      </c>
      <c r="C129" s="25">
        <v>113</v>
      </c>
      <c r="D129" s="25">
        <v>21</v>
      </c>
      <c r="E129" s="25">
        <v>33</v>
      </c>
      <c r="F129" s="25">
        <v>24</v>
      </c>
      <c r="G129" s="25" t="s">
        <v>29</v>
      </c>
      <c r="H129" s="25">
        <f t="shared" si="9"/>
        <v>367</v>
      </c>
    </row>
    <row r="130" spans="1:13" s="342" customFormat="1" ht="12" customHeight="1" x14ac:dyDescent="0.2">
      <c r="A130" s="308">
        <v>2007</v>
      </c>
      <c r="B130" s="54">
        <v>367</v>
      </c>
      <c r="C130" s="54">
        <v>63</v>
      </c>
      <c r="D130" s="54">
        <v>149</v>
      </c>
      <c r="E130" s="54">
        <v>55</v>
      </c>
      <c r="F130" s="54">
        <v>4</v>
      </c>
      <c r="G130" s="54" t="s">
        <v>29</v>
      </c>
      <c r="H130" s="54">
        <f t="shared" si="9"/>
        <v>638</v>
      </c>
      <c r="I130" s="148"/>
      <c r="J130" s="148"/>
      <c r="K130" s="148"/>
      <c r="L130" s="148"/>
      <c r="M130" s="148"/>
    </row>
    <row r="131" spans="1:13" s="342" customFormat="1" ht="12" customHeight="1" x14ac:dyDescent="0.2">
      <c r="A131" s="308">
        <v>2008</v>
      </c>
      <c r="B131" s="54">
        <v>202</v>
      </c>
      <c r="C131" s="54">
        <v>170</v>
      </c>
      <c r="D131" s="54">
        <v>103</v>
      </c>
      <c r="E131" s="54">
        <v>131</v>
      </c>
      <c r="F131" s="54">
        <v>49</v>
      </c>
      <c r="G131" s="54" t="s">
        <v>29</v>
      </c>
      <c r="H131" s="54">
        <f t="shared" si="9"/>
        <v>655</v>
      </c>
      <c r="I131" s="148"/>
      <c r="J131" s="148"/>
      <c r="K131" s="148"/>
      <c r="L131" s="148"/>
      <c r="M131" s="148"/>
    </row>
    <row r="132" spans="1:13" s="342" customFormat="1" ht="12" customHeight="1" x14ac:dyDescent="0.2">
      <c r="A132" s="308">
        <v>2009</v>
      </c>
      <c r="B132" s="54">
        <v>276</v>
      </c>
      <c r="C132" s="54">
        <v>363</v>
      </c>
      <c r="D132" s="54">
        <v>209</v>
      </c>
      <c r="E132" s="54">
        <v>194</v>
      </c>
      <c r="F132" s="54">
        <v>102</v>
      </c>
      <c r="G132" s="54" t="s">
        <v>29</v>
      </c>
      <c r="H132" s="54">
        <f t="shared" si="9"/>
        <v>1144</v>
      </c>
      <c r="I132" s="148"/>
      <c r="J132" s="148"/>
      <c r="K132" s="148"/>
      <c r="L132" s="148"/>
      <c r="M132" s="148"/>
    </row>
    <row r="133" spans="1:13" s="342" customFormat="1" ht="12" customHeight="1" x14ac:dyDescent="0.2">
      <c r="A133" s="308">
        <v>2010</v>
      </c>
      <c r="B133" s="54">
        <v>218</v>
      </c>
      <c r="C133" s="54">
        <v>668</v>
      </c>
      <c r="D133" s="54">
        <v>362</v>
      </c>
      <c r="E133" s="54">
        <v>329</v>
      </c>
      <c r="F133" s="54">
        <v>43</v>
      </c>
      <c r="G133" s="54" t="s">
        <v>29</v>
      </c>
      <c r="H133" s="54">
        <f t="shared" si="9"/>
        <v>1620</v>
      </c>
      <c r="I133" s="148"/>
      <c r="J133" s="148"/>
      <c r="K133" s="148"/>
      <c r="L133" s="148"/>
      <c r="M133" s="148"/>
    </row>
    <row r="134" spans="1:13" s="342" customFormat="1" ht="12" customHeight="1" x14ac:dyDescent="0.2">
      <c r="A134" s="308">
        <v>2011</v>
      </c>
      <c r="B134" s="54">
        <v>300</v>
      </c>
      <c r="C134" s="54">
        <v>386</v>
      </c>
      <c r="D134" s="54">
        <v>292</v>
      </c>
      <c r="E134" s="54">
        <v>135</v>
      </c>
      <c r="F134" s="54">
        <v>20</v>
      </c>
      <c r="G134" s="54" t="s">
        <v>29</v>
      </c>
      <c r="H134" s="54">
        <f t="shared" si="9"/>
        <v>1133</v>
      </c>
      <c r="I134" s="148"/>
      <c r="J134" s="148"/>
      <c r="K134" s="148"/>
      <c r="L134" s="148"/>
      <c r="M134" s="148"/>
    </row>
    <row r="135" spans="1:13" s="342" customFormat="1" ht="12" customHeight="1" x14ac:dyDescent="0.2">
      <c r="A135" s="308">
        <v>2012</v>
      </c>
      <c r="B135" s="54">
        <v>126</v>
      </c>
      <c r="C135" s="54">
        <v>264</v>
      </c>
      <c r="D135" s="54">
        <v>202</v>
      </c>
      <c r="E135" s="54">
        <v>39</v>
      </c>
      <c r="F135" s="54">
        <v>23</v>
      </c>
      <c r="G135" s="54" t="s">
        <v>29</v>
      </c>
      <c r="H135" s="54">
        <f t="shared" si="9"/>
        <v>654</v>
      </c>
      <c r="I135" s="148"/>
      <c r="J135" s="148"/>
      <c r="K135" s="148"/>
      <c r="L135" s="148"/>
      <c r="M135" s="148"/>
    </row>
    <row r="136" spans="1:13" s="342" customFormat="1" ht="12" customHeight="1" x14ac:dyDescent="0.2">
      <c r="A136" s="308">
        <v>2013</v>
      </c>
      <c r="B136" s="54">
        <v>380</v>
      </c>
      <c r="C136" s="54">
        <v>498</v>
      </c>
      <c r="D136" s="54">
        <v>206</v>
      </c>
      <c r="E136" s="54">
        <v>331</v>
      </c>
      <c r="F136" s="54">
        <v>83</v>
      </c>
      <c r="G136" s="54" t="s">
        <v>29</v>
      </c>
      <c r="H136" s="54">
        <f t="shared" si="9"/>
        <v>1498</v>
      </c>
      <c r="I136" s="148"/>
      <c r="J136" s="148"/>
      <c r="K136" s="148"/>
      <c r="L136" s="148"/>
      <c r="M136" s="148"/>
    </row>
    <row r="137" spans="1:13" s="342" customFormat="1" ht="12" customHeight="1" x14ac:dyDescent="0.2">
      <c r="A137" s="308">
        <v>2014</v>
      </c>
      <c r="B137" s="54">
        <v>189</v>
      </c>
      <c r="C137" s="54">
        <v>103</v>
      </c>
      <c r="D137" s="54">
        <v>222</v>
      </c>
      <c r="E137" s="54">
        <v>192</v>
      </c>
      <c r="F137" s="54">
        <v>85</v>
      </c>
      <c r="G137" s="54" t="s">
        <v>29</v>
      </c>
      <c r="H137" s="54">
        <f t="shared" ref="H137:H143" si="10">SUM(B137:G137)</f>
        <v>791</v>
      </c>
      <c r="I137" s="148"/>
      <c r="J137" s="148"/>
      <c r="K137" s="148"/>
      <c r="L137" s="148"/>
      <c r="M137" s="148"/>
    </row>
    <row r="138" spans="1:13" s="342" customFormat="1" ht="12" customHeight="1" x14ac:dyDescent="0.2">
      <c r="A138" s="308">
        <v>2015</v>
      </c>
      <c r="B138" s="54">
        <v>411</v>
      </c>
      <c r="C138" s="54">
        <v>418</v>
      </c>
      <c r="D138" s="54">
        <v>283</v>
      </c>
      <c r="E138" s="54">
        <v>273</v>
      </c>
      <c r="F138" s="54">
        <v>62</v>
      </c>
      <c r="G138" s="54" t="s">
        <v>29</v>
      </c>
      <c r="H138" s="54">
        <f t="shared" si="10"/>
        <v>1447</v>
      </c>
      <c r="I138" s="148"/>
      <c r="J138" s="148"/>
      <c r="K138" s="148"/>
      <c r="L138" s="148"/>
      <c r="M138" s="148"/>
    </row>
    <row r="139" spans="1:13" s="342" customFormat="1" ht="12" customHeight="1" x14ac:dyDescent="0.2">
      <c r="A139" s="308">
        <v>2016</v>
      </c>
      <c r="B139" s="54">
        <v>349</v>
      </c>
      <c r="C139" s="54">
        <v>247</v>
      </c>
      <c r="D139" s="54">
        <v>134</v>
      </c>
      <c r="E139" s="54">
        <v>151</v>
      </c>
      <c r="F139" s="54" t="s">
        <v>29</v>
      </c>
      <c r="G139" s="54" t="s">
        <v>29</v>
      </c>
      <c r="H139" s="54">
        <f t="shared" si="10"/>
        <v>881</v>
      </c>
      <c r="I139" s="148"/>
      <c r="J139" s="148"/>
      <c r="K139" s="148"/>
      <c r="L139" s="148"/>
      <c r="M139" s="148"/>
    </row>
    <row r="140" spans="1:13" s="342" customFormat="1" ht="12" customHeight="1" x14ac:dyDescent="0.2">
      <c r="A140" s="308">
        <v>2017</v>
      </c>
      <c r="B140" s="54">
        <v>527</v>
      </c>
      <c r="C140" s="54">
        <v>477</v>
      </c>
      <c r="D140" s="54">
        <v>207</v>
      </c>
      <c r="E140" s="54">
        <v>170</v>
      </c>
      <c r="F140" s="54">
        <v>30</v>
      </c>
      <c r="G140" s="54" t="s">
        <v>29</v>
      </c>
      <c r="H140" s="54">
        <f t="shared" si="10"/>
        <v>1411</v>
      </c>
      <c r="I140" s="148"/>
      <c r="J140" s="148"/>
      <c r="K140" s="148"/>
      <c r="L140" s="148"/>
      <c r="M140" s="148"/>
    </row>
    <row r="141" spans="1:13" s="347" customFormat="1" ht="12" customHeight="1" x14ac:dyDescent="0.2">
      <c r="A141" s="308">
        <v>2018</v>
      </c>
      <c r="B141" s="54">
        <v>347</v>
      </c>
      <c r="C141" s="54">
        <v>539</v>
      </c>
      <c r="D141" s="54">
        <v>237</v>
      </c>
      <c r="E141" s="54">
        <v>64</v>
      </c>
      <c r="F141" s="54">
        <v>7</v>
      </c>
      <c r="G141" s="54" t="s">
        <v>29</v>
      </c>
      <c r="H141" s="54">
        <f t="shared" si="10"/>
        <v>1194</v>
      </c>
      <c r="I141" s="148"/>
      <c r="J141" s="148"/>
      <c r="K141" s="148"/>
      <c r="L141" s="148"/>
      <c r="M141" s="148"/>
    </row>
    <row r="142" spans="1:13" s="487" customFormat="1" ht="12" customHeight="1" x14ac:dyDescent="0.2">
      <c r="A142" s="492">
        <v>2019</v>
      </c>
      <c r="B142" s="54">
        <v>171</v>
      </c>
      <c r="C142" s="54">
        <v>52</v>
      </c>
      <c r="D142" s="54">
        <v>30</v>
      </c>
      <c r="E142" s="54">
        <v>14</v>
      </c>
      <c r="F142" s="54">
        <v>23</v>
      </c>
      <c r="G142" s="54" t="s">
        <v>29</v>
      </c>
      <c r="H142" s="54">
        <f t="shared" ref="H142" si="11">SUM(B142:G142)</f>
        <v>290</v>
      </c>
      <c r="I142" s="148"/>
      <c r="J142" s="148"/>
      <c r="K142" s="148"/>
      <c r="L142" s="148"/>
      <c r="M142" s="148"/>
    </row>
    <row r="143" spans="1:13" ht="12" customHeight="1" x14ac:dyDescent="0.2">
      <c r="A143" s="488" t="s">
        <v>394</v>
      </c>
      <c r="B143" s="25">
        <v>23</v>
      </c>
      <c r="C143" s="25">
        <v>44</v>
      </c>
      <c r="D143" s="25">
        <v>270</v>
      </c>
      <c r="E143" s="25">
        <v>103</v>
      </c>
      <c r="F143" s="25">
        <v>6</v>
      </c>
      <c r="G143" s="25" t="s">
        <v>29</v>
      </c>
      <c r="H143" s="25">
        <f t="shared" si="10"/>
        <v>446</v>
      </c>
    </row>
    <row r="144" spans="1:13" ht="12" customHeight="1" x14ac:dyDescent="0.2">
      <c r="B144" s="25"/>
      <c r="C144" s="25"/>
      <c r="D144" s="25"/>
      <c r="E144" s="25"/>
      <c r="F144" s="25"/>
      <c r="G144" s="25"/>
      <c r="H144" s="25"/>
    </row>
    <row r="145" spans="1:8" ht="12" customHeight="1" x14ac:dyDescent="0.2">
      <c r="A145" s="126" t="s">
        <v>63</v>
      </c>
      <c r="B145" s="25"/>
      <c r="C145" s="25"/>
      <c r="D145" s="25"/>
      <c r="E145" s="25"/>
      <c r="F145" s="25"/>
      <c r="G145" s="25"/>
      <c r="H145" s="25"/>
    </row>
    <row r="146" spans="1:8" ht="12" customHeight="1" x14ac:dyDescent="0.2">
      <c r="A146" s="343">
        <v>1976</v>
      </c>
      <c r="B146" s="25">
        <v>948</v>
      </c>
      <c r="C146" s="25">
        <v>1852</v>
      </c>
      <c r="D146" s="25">
        <v>4373</v>
      </c>
      <c r="E146" s="25">
        <v>3745</v>
      </c>
      <c r="F146" s="25">
        <v>2977</v>
      </c>
      <c r="G146" s="25" t="s">
        <v>29</v>
      </c>
      <c r="H146" s="25">
        <f t="shared" ref="H146:H163" si="12">SUM(B146:G146)</f>
        <v>13895</v>
      </c>
    </row>
    <row r="147" spans="1:8" ht="12" customHeight="1" x14ac:dyDescent="0.2">
      <c r="A147" s="343">
        <v>1977</v>
      </c>
      <c r="B147" s="25">
        <v>1194</v>
      </c>
      <c r="C147" s="25">
        <v>432</v>
      </c>
      <c r="D147" s="25">
        <v>3958</v>
      </c>
      <c r="E147" s="25">
        <v>3116</v>
      </c>
      <c r="F147" s="25">
        <v>2527</v>
      </c>
      <c r="G147" s="25" t="s">
        <v>29</v>
      </c>
      <c r="H147" s="25">
        <f t="shared" si="12"/>
        <v>11227</v>
      </c>
    </row>
    <row r="148" spans="1:8" ht="12" customHeight="1" x14ac:dyDescent="0.2">
      <c r="A148" s="343">
        <v>1978</v>
      </c>
      <c r="B148" s="25">
        <v>164</v>
      </c>
      <c r="C148" s="25">
        <v>400</v>
      </c>
      <c r="D148" s="25">
        <v>2962</v>
      </c>
      <c r="E148" s="25">
        <v>1622</v>
      </c>
      <c r="F148" s="25">
        <v>2284</v>
      </c>
      <c r="G148" s="25" t="s">
        <v>29</v>
      </c>
      <c r="H148" s="25">
        <f t="shared" si="12"/>
        <v>7432</v>
      </c>
    </row>
    <row r="149" spans="1:8" ht="12" customHeight="1" x14ac:dyDescent="0.2">
      <c r="A149" s="343">
        <v>1979</v>
      </c>
      <c r="B149" s="25">
        <v>511</v>
      </c>
      <c r="C149" s="25">
        <v>8</v>
      </c>
      <c r="D149" s="25">
        <v>3333</v>
      </c>
      <c r="E149" s="25">
        <v>3787</v>
      </c>
      <c r="F149" s="25">
        <v>40</v>
      </c>
      <c r="G149" s="25" t="s">
        <v>29</v>
      </c>
      <c r="H149" s="25">
        <f t="shared" si="12"/>
        <v>7679</v>
      </c>
    </row>
    <row r="150" spans="1:8" ht="12" customHeight="1" x14ac:dyDescent="0.2">
      <c r="A150" s="343">
        <v>1980</v>
      </c>
      <c r="B150" s="25">
        <v>659</v>
      </c>
      <c r="C150" s="25" t="s">
        <v>29</v>
      </c>
      <c r="D150" s="25">
        <v>1367</v>
      </c>
      <c r="E150" s="25">
        <v>2264</v>
      </c>
      <c r="F150" s="25">
        <v>514</v>
      </c>
      <c r="G150" s="25" t="s">
        <v>29</v>
      </c>
      <c r="H150" s="25">
        <f t="shared" si="12"/>
        <v>4804</v>
      </c>
    </row>
    <row r="151" spans="1:8" ht="12" customHeight="1" x14ac:dyDescent="0.2">
      <c r="A151" s="343">
        <v>1981</v>
      </c>
      <c r="B151" s="25">
        <v>859</v>
      </c>
      <c r="C151" s="25">
        <v>7</v>
      </c>
      <c r="D151" s="25">
        <v>1876</v>
      </c>
      <c r="E151" s="25">
        <v>1747</v>
      </c>
      <c r="F151" s="25" t="s">
        <v>29</v>
      </c>
      <c r="G151" s="25" t="s">
        <v>29</v>
      </c>
      <c r="H151" s="25">
        <f t="shared" si="12"/>
        <v>4489</v>
      </c>
    </row>
    <row r="152" spans="1:8" ht="12" customHeight="1" x14ac:dyDescent="0.2">
      <c r="A152" s="343">
        <v>1982</v>
      </c>
      <c r="B152" s="25">
        <v>889</v>
      </c>
      <c r="C152" s="25">
        <v>80</v>
      </c>
      <c r="D152" s="25">
        <v>1286</v>
      </c>
      <c r="E152" s="25" t="s">
        <v>29</v>
      </c>
      <c r="F152" s="25" t="s">
        <v>29</v>
      </c>
      <c r="G152" s="25" t="s">
        <v>29</v>
      </c>
      <c r="H152" s="25">
        <f t="shared" si="12"/>
        <v>2255</v>
      </c>
    </row>
    <row r="153" spans="1:8" ht="12" customHeight="1" x14ac:dyDescent="0.2">
      <c r="A153" s="343">
        <v>1983</v>
      </c>
      <c r="B153" s="25">
        <v>562</v>
      </c>
      <c r="C153" s="25">
        <v>204</v>
      </c>
      <c r="D153" s="25">
        <v>113</v>
      </c>
      <c r="E153" s="66">
        <v>639</v>
      </c>
      <c r="F153" s="66">
        <v>568</v>
      </c>
      <c r="G153" s="25" t="s">
        <v>29</v>
      </c>
      <c r="H153" s="25">
        <f t="shared" si="12"/>
        <v>2086</v>
      </c>
    </row>
    <row r="154" spans="1:8" ht="12" customHeight="1" x14ac:dyDescent="0.2">
      <c r="A154" s="343">
        <v>1984</v>
      </c>
      <c r="B154" s="25">
        <v>47</v>
      </c>
      <c r="C154" s="25" t="s">
        <v>29</v>
      </c>
      <c r="D154" s="25" t="s">
        <v>29</v>
      </c>
      <c r="E154" s="66">
        <v>186</v>
      </c>
      <c r="F154" s="66" t="s">
        <v>29</v>
      </c>
      <c r="G154" s="25" t="s">
        <v>29</v>
      </c>
      <c r="H154" s="25">
        <f t="shared" si="12"/>
        <v>233</v>
      </c>
    </row>
    <row r="155" spans="1:8" ht="12" customHeight="1" x14ac:dyDescent="0.2">
      <c r="A155" s="343">
        <v>1985</v>
      </c>
      <c r="B155" s="25">
        <v>475</v>
      </c>
      <c r="C155" s="25" t="s">
        <v>29</v>
      </c>
      <c r="D155" s="25" t="s">
        <v>29</v>
      </c>
      <c r="E155" s="66">
        <v>269</v>
      </c>
      <c r="F155" s="66" t="s">
        <v>29</v>
      </c>
      <c r="G155" s="25" t="s">
        <v>29</v>
      </c>
      <c r="H155" s="25">
        <f t="shared" si="12"/>
        <v>744</v>
      </c>
    </row>
    <row r="156" spans="1:8" ht="12" customHeight="1" x14ac:dyDescent="0.2">
      <c r="A156" s="343">
        <v>1986</v>
      </c>
      <c r="B156" s="25">
        <v>482</v>
      </c>
      <c r="C156" s="25" t="s">
        <v>29</v>
      </c>
      <c r="D156" s="25" t="s">
        <v>29</v>
      </c>
      <c r="E156" s="25">
        <v>953</v>
      </c>
      <c r="F156" s="25" t="s">
        <v>29</v>
      </c>
      <c r="G156" s="25" t="s">
        <v>29</v>
      </c>
      <c r="H156" s="25">
        <f t="shared" si="12"/>
        <v>1435</v>
      </c>
    </row>
    <row r="157" spans="1:8" ht="12" customHeight="1" x14ac:dyDescent="0.2">
      <c r="A157" s="343">
        <v>1987</v>
      </c>
      <c r="B157" s="25">
        <v>194</v>
      </c>
      <c r="C157" s="25" t="s">
        <v>29</v>
      </c>
      <c r="D157" s="25">
        <v>284</v>
      </c>
      <c r="E157" s="25" t="s">
        <v>29</v>
      </c>
      <c r="F157" s="25" t="s">
        <v>29</v>
      </c>
      <c r="G157" s="25" t="s">
        <v>29</v>
      </c>
      <c r="H157" s="25">
        <f t="shared" si="12"/>
        <v>478</v>
      </c>
    </row>
    <row r="158" spans="1:8" ht="12" customHeight="1" x14ac:dyDescent="0.2">
      <c r="A158" s="343">
        <v>1988</v>
      </c>
      <c r="B158" s="25">
        <v>189</v>
      </c>
      <c r="C158" s="25">
        <v>128</v>
      </c>
      <c r="D158" s="25" t="s">
        <v>29</v>
      </c>
      <c r="E158" s="25" t="s">
        <v>29</v>
      </c>
      <c r="F158" s="25" t="s">
        <v>29</v>
      </c>
      <c r="G158" s="25" t="s">
        <v>29</v>
      </c>
      <c r="H158" s="25">
        <f t="shared" si="12"/>
        <v>317</v>
      </c>
    </row>
    <row r="159" spans="1:8" ht="12" customHeight="1" x14ac:dyDescent="0.2">
      <c r="A159" s="343">
        <v>1989</v>
      </c>
      <c r="B159" s="25">
        <v>98</v>
      </c>
      <c r="C159" s="25">
        <v>42</v>
      </c>
      <c r="D159" s="25" t="s">
        <v>29</v>
      </c>
      <c r="E159" s="25">
        <v>302</v>
      </c>
      <c r="F159" s="25">
        <v>480</v>
      </c>
      <c r="G159" s="25" t="s">
        <v>29</v>
      </c>
      <c r="H159" s="25">
        <f t="shared" si="12"/>
        <v>922</v>
      </c>
    </row>
    <row r="160" spans="1:8" ht="12" customHeight="1" x14ac:dyDescent="0.2">
      <c r="A160" s="343">
        <v>1990</v>
      </c>
      <c r="B160" s="25">
        <v>21</v>
      </c>
      <c r="C160" s="25">
        <v>12</v>
      </c>
      <c r="D160" s="25" t="s">
        <v>29</v>
      </c>
      <c r="E160" s="25">
        <v>495</v>
      </c>
      <c r="F160" s="25">
        <v>675</v>
      </c>
      <c r="G160" s="25" t="s">
        <v>29</v>
      </c>
      <c r="H160" s="25">
        <f t="shared" si="12"/>
        <v>1203</v>
      </c>
    </row>
    <row r="161" spans="1:8" ht="12" customHeight="1" x14ac:dyDescent="0.2">
      <c r="A161" s="343">
        <v>1991</v>
      </c>
      <c r="B161" s="25">
        <v>135</v>
      </c>
      <c r="C161" s="25">
        <v>16</v>
      </c>
      <c r="D161" s="25" t="s">
        <v>29</v>
      </c>
      <c r="E161" s="25">
        <v>438</v>
      </c>
      <c r="F161" s="66">
        <v>56</v>
      </c>
      <c r="G161" s="66" t="s">
        <v>29</v>
      </c>
      <c r="H161" s="25">
        <f t="shared" si="12"/>
        <v>645</v>
      </c>
    </row>
    <row r="162" spans="1:8" ht="12" customHeight="1" x14ac:dyDescent="0.2">
      <c r="A162" s="343">
        <v>1992</v>
      </c>
      <c r="B162" s="25">
        <v>146</v>
      </c>
      <c r="C162" s="25">
        <v>10</v>
      </c>
      <c r="D162" s="25">
        <v>83</v>
      </c>
      <c r="E162" s="25">
        <v>33</v>
      </c>
      <c r="F162" s="25" t="s">
        <v>29</v>
      </c>
      <c r="G162" s="25" t="s">
        <v>29</v>
      </c>
      <c r="H162" s="25">
        <f t="shared" si="12"/>
        <v>272</v>
      </c>
    </row>
    <row r="163" spans="1:8" ht="12" customHeight="1" x14ac:dyDescent="0.2">
      <c r="A163" s="343">
        <v>1993</v>
      </c>
      <c r="B163" s="25">
        <v>3</v>
      </c>
      <c r="C163" s="25">
        <v>2</v>
      </c>
      <c r="D163" s="25">
        <v>43</v>
      </c>
      <c r="E163" s="25">
        <v>9</v>
      </c>
      <c r="F163" s="25">
        <v>31</v>
      </c>
      <c r="G163" s="25" t="s">
        <v>29</v>
      </c>
      <c r="H163" s="25">
        <f t="shared" si="12"/>
        <v>88</v>
      </c>
    </row>
    <row r="164" spans="1:8" ht="12" customHeight="1" x14ac:dyDescent="0.2">
      <c r="A164" s="343">
        <v>1994</v>
      </c>
      <c r="B164" s="25" t="s">
        <v>29</v>
      </c>
      <c r="C164" s="25" t="s">
        <v>29</v>
      </c>
      <c r="D164" s="25" t="s">
        <v>29</v>
      </c>
      <c r="E164" s="25" t="s">
        <v>29</v>
      </c>
      <c r="F164" s="25" t="s">
        <v>29</v>
      </c>
      <c r="G164" s="25" t="s">
        <v>29</v>
      </c>
      <c r="H164" s="25" t="s">
        <v>29</v>
      </c>
    </row>
    <row r="165" spans="1:8" ht="12" customHeight="1" x14ac:dyDescent="0.2">
      <c r="A165" s="343">
        <v>1995</v>
      </c>
      <c r="B165" s="25" t="s">
        <v>29</v>
      </c>
      <c r="C165" s="25" t="s">
        <v>29</v>
      </c>
      <c r="D165" s="25" t="s">
        <v>29</v>
      </c>
      <c r="E165" s="25" t="s">
        <v>29</v>
      </c>
      <c r="F165" s="25" t="s">
        <v>29</v>
      </c>
      <c r="G165" s="25" t="s">
        <v>29</v>
      </c>
      <c r="H165" s="25" t="s">
        <v>29</v>
      </c>
    </row>
    <row r="166" spans="1:8" ht="12" customHeight="1" x14ac:dyDescent="0.2">
      <c r="A166" s="343">
        <v>1996</v>
      </c>
      <c r="B166" s="25" t="s">
        <v>29</v>
      </c>
      <c r="C166" s="25" t="s">
        <v>29</v>
      </c>
      <c r="D166" s="25" t="s">
        <v>29</v>
      </c>
      <c r="E166" s="25" t="s">
        <v>29</v>
      </c>
      <c r="F166" s="25" t="s">
        <v>29</v>
      </c>
      <c r="G166" s="25" t="s">
        <v>29</v>
      </c>
      <c r="H166" s="25" t="s">
        <v>29</v>
      </c>
    </row>
    <row r="167" spans="1:8" ht="12" customHeight="1" x14ac:dyDescent="0.2">
      <c r="A167" s="343">
        <v>1997</v>
      </c>
      <c r="B167" s="66">
        <v>0</v>
      </c>
      <c r="C167" s="66">
        <v>0</v>
      </c>
      <c r="D167" s="25" t="s">
        <v>29</v>
      </c>
      <c r="E167" s="25" t="s">
        <v>29</v>
      </c>
      <c r="F167" s="25" t="s">
        <v>29</v>
      </c>
      <c r="G167" s="25" t="s">
        <v>29</v>
      </c>
      <c r="H167" s="25">
        <f>SUM(B167:G167)</f>
        <v>0</v>
      </c>
    </row>
    <row r="168" spans="1:8" ht="12" customHeight="1" x14ac:dyDescent="0.2">
      <c r="A168" s="343">
        <v>1998</v>
      </c>
      <c r="B168" s="66">
        <v>0</v>
      </c>
      <c r="C168" s="66">
        <v>0</v>
      </c>
      <c r="D168" s="25" t="s">
        <v>29</v>
      </c>
      <c r="E168" s="25" t="s">
        <v>29</v>
      </c>
      <c r="F168" s="25" t="s">
        <v>29</v>
      </c>
      <c r="G168" s="25" t="s">
        <v>29</v>
      </c>
      <c r="H168" s="25" t="s">
        <v>29</v>
      </c>
    </row>
    <row r="169" spans="1:8" ht="12" customHeight="1" x14ac:dyDescent="0.2">
      <c r="A169" s="343">
        <v>1999</v>
      </c>
      <c r="B169" s="66">
        <v>0</v>
      </c>
      <c r="C169" s="66">
        <v>0</v>
      </c>
      <c r="D169" s="25" t="s">
        <v>29</v>
      </c>
      <c r="E169" s="25" t="s">
        <v>29</v>
      </c>
      <c r="F169" s="25" t="s">
        <v>29</v>
      </c>
      <c r="G169" s="25" t="s">
        <v>29</v>
      </c>
      <c r="H169" s="25">
        <f t="shared" ref="H169:H183" si="13">SUM(B169:G169)</f>
        <v>0</v>
      </c>
    </row>
    <row r="170" spans="1:8" ht="12" customHeight="1" x14ac:dyDescent="0.2">
      <c r="A170" s="343">
        <v>2000</v>
      </c>
      <c r="B170" s="66">
        <v>0</v>
      </c>
      <c r="C170" s="66">
        <v>0</v>
      </c>
      <c r="D170" s="25" t="s">
        <v>29</v>
      </c>
      <c r="E170" s="25">
        <v>48</v>
      </c>
      <c r="F170" s="25">
        <v>11</v>
      </c>
      <c r="G170" s="25" t="s">
        <v>29</v>
      </c>
      <c r="H170" s="25">
        <f t="shared" si="13"/>
        <v>59</v>
      </c>
    </row>
    <row r="171" spans="1:8" ht="12" customHeight="1" x14ac:dyDescent="0.2">
      <c r="A171" s="343">
        <v>2001</v>
      </c>
      <c r="B171" s="25">
        <v>24</v>
      </c>
      <c r="C171" s="25">
        <v>1</v>
      </c>
      <c r="D171" s="25">
        <v>13</v>
      </c>
      <c r="E171" s="25">
        <v>26</v>
      </c>
      <c r="F171" s="25">
        <v>12</v>
      </c>
      <c r="G171" s="25" t="s">
        <v>29</v>
      </c>
      <c r="H171" s="25">
        <f t="shared" si="13"/>
        <v>76</v>
      </c>
    </row>
    <row r="172" spans="1:8" ht="12" customHeight="1" x14ac:dyDescent="0.2">
      <c r="A172" s="343">
        <v>2002</v>
      </c>
      <c r="B172" s="25">
        <v>16</v>
      </c>
      <c r="C172" s="25">
        <v>1</v>
      </c>
      <c r="D172" s="25">
        <v>26</v>
      </c>
      <c r="E172" s="25">
        <v>22</v>
      </c>
      <c r="F172" s="25" t="s">
        <v>29</v>
      </c>
      <c r="G172" s="25" t="s">
        <v>29</v>
      </c>
      <c r="H172" s="25">
        <f t="shared" si="13"/>
        <v>65</v>
      </c>
    </row>
    <row r="173" spans="1:8" ht="12" customHeight="1" x14ac:dyDescent="0.2">
      <c r="A173" s="343">
        <v>2003</v>
      </c>
      <c r="B173" s="25">
        <v>18</v>
      </c>
      <c r="C173" s="25">
        <v>4</v>
      </c>
      <c r="D173" s="25">
        <v>41</v>
      </c>
      <c r="E173" s="25">
        <v>32</v>
      </c>
      <c r="F173" s="25">
        <v>19</v>
      </c>
      <c r="G173" s="25" t="s">
        <v>29</v>
      </c>
      <c r="H173" s="25">
        <f t="shared" si="13"/>
        <v>114</v>
      </c>
    </row>
    <row r="174" spans="1:8" ht="12" customHeight="1" x14ac:dyDescent="0.2">
      <c r="A174" s="343">
        <v>2004</v>
      </c>
      <c r="B174" s="25">
        <v>3</v>
      </c>
      <c r="C174" s="25">
        <v>3</v>
      </c>
      <c r="D174" s="25">
        <v>16</v>
      </c>
      <c r="E174" s="25">
        <v>18</v>
      </c>
      <c r="F174" s="25">
        <v>12</v>
      </c>
      <c r="G174" s="25" t="s">
        <v>29</v>
      </c>
      <c r="H174" s="25">
        <f t="shared" si="13"/>
        <v>52</v>
      </c>
    </row>
    <row r="175" spans="1:8" ht="12" customHeight="1" x14ac:dyDescent="0.2">
      <c r="A175" s="343">
        <v>2005</v>
      </c>
      <c r="B175" s="25">
        <v>14</v>
      </c>
      <c r="C175" s="25">
        <v>15</v>
      </c>
      <c r="D175" s="25">
        <v>25</v>
      </c>
      <c r="E175" s="25">
        <v>49</v>
      </c>
      <c r="F175" s="25" t="s">
        <v>29</v>
      </c>
      <c r="G175" s="25" t="s">
        <v>29</v>
      </c>
      <c r="H175" s="25">
        <f t="shared" si="13"/>
        <v>103</v>
      </c>
    </row>
    <row r="176" spans="1:8" ht="12" customHeight="1" x14ac:dyDescent="0.2">
      <c r="A176" s="343">
        <v>2006</v>
      </c>
      <c r="B176" s="25">
        <v>71</v>
      </c>
      <c r="C176" s="25">
        <v>54</v>
      </c>
      <c r="D176" s="25">
        <v>1</v>
      </c>
      <c r="E176" s="25">
        <v>2</v>
      </c>
      <c r="F176" s="25">
        <v>6</v>
      </c>
      <c r="G176" s="25" t="s">
        <v>29</v>
      </c>
      <c r="H176" s="25">
        <f t="shared" si="13"/>
        <v>134</v>
      </c>
    </row>
    <row r="177" spans="1:13" s="342" customFormat="1" ht="12" customHeight="1" x14ac:dyDescent="0.2">
      <c r="A177" s="308">
        <v>2007</v>
      </c>
      <c r="B177" s="54">
        <v>22</v>
      </c>
      <c r="C177" s="54">
        <v>27</v>
      </c>
      <c r="D177" s="54">
        <v>10</v>
      </c>
      <c r="E177" s="54">
        <v>31</v>
      </c>
      <c r="F177" s="54">
        <v>10</v>
      </c>
      <c r="G177" s="54" t="s">
        <v>29</v>
      </c>
      <c r="H177" s="54">
        <f t="shared" si="13"/>
        <v>100</v>
      </c>
      <c r="I177" s="148"/>
      <c r="J177" s="148"/>
      <c r="K177" s="148"/>
      <c r="L177" s="148"/>
      <c r="M177" s="148"/>
    </row>
    <row r="178" spans="1:13" s="342" customFormat="1" ht="12" customHeight="1" x14ac:dyDescent="0.2">
      <c r="A178" s="308">
        <v>2008</v>
      </c>
      <c r="B178" s="54">
        <v>34</v>
      </c>
      <c r="C178" s="54">
        <v>80</v>
      </c>
      <c r="D178" s="54">
        <v>3</v>
      </c>
      <c r="E178" s="54">
        <v>8</v>
      </c>
      <c r="F178" s="54">
        <v>3</v>
      </c>
      <c r="G178" s="54" t="s">
        <v>29</v>
      </c>
      <c r="H178" s="54">
        <f t="shared" si="13"/>
        <v>128</v>
      </c>
      <c r="I178" s="148"/>
      <c r="J178" s="148"/>
      <c r="K178" s="148"/>
      <c r="L178" s="148"/>
      <c r="M178" s="148"/>
    </row>
    <row r="179" spans="1:13" s="342" customFormat="1" ht="12" customHeight="1" x14ac:dyDescent="0.2">
      <c r="A179" s="308">
        <v>2009</v>
      </c>
      <c r="B179" s="54">
        <v>7</v>
      </c>
      <c r="C179" s="54">
        <v>13</v>
      </c>
      <c r="D179" s="54">
        <v>20</v>
      </c>
      <c r="E179" s="54">
        <v>43</v>
      </c>
      <c r="F179" s="54">
        <v>4</v>
      </c>
      <c r="G179" s="54" t="s">
        <v>29</v>
      </c>
      <c r="H179" s="54">
        <f t="shared" si="13"/>
        <v>87</v>
      </c>
      <c r="I179" s="148"/>
      <c r="J179" s="148"/>
      <c r="K179" s="148"/>
      <c r="L179" s="148"/>
      <c r="M179" s="148"/>
    </row>
    <row r="180" spans="1:13" s="342" customFormat="1" ht="12" customHeight="1" x14ac:dyDescent="0.2">
      <c r="A180" s="308">
        <v>2010</v>
      </c>
      <c r="B180" s="54">
        <v>23</v>
      </c>
      <c r="C180" s="54">
        <v>22</v>
      </c>
      <c r="D180" s="54">
        <v>23</v>
      </c>
      <c r="E180" s="54">
        <v>17</v>
      </c>
      <c r="F180" s="54">
        <v>7</v>
      </c>
      <c r="G180" s="54" t="s">
        <v>29</v>
      </c>
      <c r="H180" s="54">
        <f t="shared" si="13"/>
        <v>92</v>
      </c>
      <c r="I180" s="148"/>
      <c r="J180" s="148"/>
      <c r="K180" s="148"/>
      <c r="L180" s="148"/>
      <c r="M180" s="148"/>
    </row>
    <row r="181" spans="1:13" s="342" customFormat="1" ht="12" customHeight="1" x14ac:dyDescent="0.2">
      <c r="A181" s="308">
        <v>2011</v>
      </c>
      <c r="B181" s="54">
        <v>42</v>
      </c>
      <c r="C181" s="54">
        <v>43</v>
      </c>
      <c r="D181" s="54">
        <v>1</v>
      </c>
      <c r="E181" s="54">
        <v>3</v>
      </c>
      <c r="F181" s="54">
        <v>3</v>
      </c>
      <c r="G181" s="54" t="s">
        <v>29</v>
      </c>
      <c r="H181" s="54">
        <f t="shared" si="13"/>
        <v>92</v>
      </c>
      <c r="I181" s="148"/>
      <c r="J181" s="148"/>
      <c r="K181" s="148"/>
      <c r="L181" s="148"/>
      <c r="M181" s="148"/>
    </row>
    <row r="182" spans="1:13" s="342" customFormat="1" ht="12" customHeight="1" x14ac:dyDescent="0.2">
      <c r="A182" s="308">
        <v>2012</v>
      </c>
      <c r="B182" s="54">
        <v>5</v>
      </c>
      <c r="C182" s="54">
        <v>76</v>
      </c>
      <c r="D182" s="54">
        <v>14</v>
      </c>
      <c r="E182" s="54">
        <v>2</v>
      </c>
      <c r="F182" s="54">
        <v>10</v>
      </c>
      <c r="G182" s="54" t="s">
        <v>29</v>
      </c>
      <c r="H182" s="54">
        <f t="shared" si="13"/>
        <v>107</v>
      </c>
      <c r="I182" s="148"/>
      <c r="J182" s="148"/>
      <c r="K182" s="148"/>
      <c r="L182" s="148"/>
      <c r="M182" s="148"/>
    </row>
    <row r="183" spans="1:13" s="342" customFormat="1" ht="12" customHeight="1" x14ac:dyDescent="0.2">
      <c r="A183" s="308">
        <v>2013</v>
      </c>
      <c r="B183" s="54">
        <v>47</v>
      </c>
      <c r="C183" s="54">
        <v>51</v>
      </c>
      <c r="D183" s="54">
        <v>15</v>
      </c>
      <c r="E183" s="54">
        <v>10</v>
      </c>
      <c r="F183" s="54">
        <v>7</v>
      </c>
      <c r="G183" s="54" t="s">
        <v>29</v>
      </c>
      <c r="H183" s="54">
        <f t="shared" si="13"/>
        <v>130</v>
      </c>
      <c r="I183" s="148"/>
      <c r="J183" s="148"/>
      <c r="K183" s="148"/>
      <c r="L183" s="148"/>
      <c r="M183" s="148"/>
    </row>
    <row r="184" spans="1:13" s="342" customFormat="1" ht="12" customHeight="1" x14ac:dyDescent="0.2">
      <c r="A184" s="308">
        <v>2014</v>
      </c>
      <c r="B184" s="54">
        <v>250</v>
      </c>
      <c r="C184" s="54">
        <v>49</v>
      </c>
      <c r="D184" s="54">
        <v>42</v>
      </c>
      <c r="E184" s="54">
        <v>35</v>
      </c>
      <c r="F184" s="54">
        <v>18</v>
      </c>
      <c r="G184" s="54" t="s">
        <v>29</v>
      </c>
      <c r="H184" s="54">
        <f t="shared" ref="H184:H190" si="14">SUM(B184:G184)</f>
        <v>394</v>
      </c>
      <c r="I184" s="148"/>
      <c r="J184" s="148"/>
      <c r="K184" s="148"/>
      <c r="L184" s="148"/>
      <c r="M184" s="148"/>
    </row>
    <row r="185" spans="1:13" s="342" customFormat="1" ht="12" customHeight="1" x14ac:dyDescent="0.2">
      <c r="A185" s="308">
        <v>2015</v>
      </c>
      <c r="B185" s="54">
        <v>177</v>
      </c>
      <c r="C185" s="54">
        <v>26</v>
      </c>
      <c r="D185" s="54">
        <v>11</v>
      </c>
      <c r="E185" s="54">
        <v>26</v>
      </c>
      <c r="F185" s="54">
        <v>35</v>
      </c>
      <c r="G185" s="54" t="s">
        <v>29</v>
      </c>
      <c r="H185" s="54">
        <f t="shared" si="14"/>
        <v>275</v>
      </c>
      <c r="I185" s="148"/>
      <c r="J185" s="148"/>
      <c r="K185" s="148"/>
      <c r="L185" s="148"/>
      <c r="M185" s="148"/>
    </row>
    <row r="186" spans="1:13" s="342" customFormat="1" ht="12" customHeight="1" x14ac:dyDescent="0.2">
      <c r="A186" s="308">
        <v>2016</v>
      </c>
      <c r="B186" s="54">
        <v>78</v>
      </c>
      <c r="C186" s="54">
        <v>48</v>
      </c>
      <c r="D186" s="54">
        <v>30</v>
      </c>
      <c r="E186" s="54">
        <v>32</v>
      </c>
      <c r="F186" s="54" t="s">
        <v>29</v>
      </c>
      <c r="G186" s="54" t="s">
        <v>29</v>
      </c>
      <c r="H186" s="54">
        <f t="shared" si="14"/>
        <v>188</v>
      </c>
      <c r="I186" s="148"/>
      <c r="J186" s="148"/>
      <c r="K186" s="148"/>
      <c r="L186" s="148"/>
      <c r="M186" s="148"/>
    </row>
    <row r="187" spans="1:13" s="342" customFormat="1" ht="12" customHeight="1" x14ac:dyDescent="0.2">
      <c r="A187" s="308">
        <v>2017</v>
      </c>
      <c r="B187" s="54">
        <v>16</v>
      </c>
      <c r="C187" s="54">
        <v>24</v>
      </c>
      <c r="D187" s="54">
        <v>15</v>
      </c>
      <c r="E187" s="54">
        <v>15</v>
      </c>
      <c r="F187" s="54">
        <v>23</v>
      </c>
      <c r="G187" s="54" t="s">
        <v>29</v>
      </c>
      <c r="H187" s="54">
        <f t="shared" si="14"/>
        <v>93</v>
      </c>
      <c r="I187" s="148"/>
      <c r="J187" s="148"/>
      <c r="K187" s="148"/>
      <c r="L187" s="148"/>
      <c r="M187" s="148"/>
    </row>
    <row r="188" spans="1:13" s="347" customFormat="1" ht="12" customHeight="1" x14ac:dyDescent="0.2">
      <c r="A188" s="308">
        <v>2018</v>
      </c>
      <c r="B188" s="54">
        <v>13</v>
      </c>
      <c r="C188" s="54">
        <v>17</v>
      </c>
      <c r="D188" s="54">
        <v>15</v>
      </c>
      <c r="E188" s="54">
        <v>7</v>
      </c>
      <c r="F188" s="54">
        <v>2</v>
      </c>
      <c r="G188" s="54" t="s">
        <v>29</v>
      </c>
      <c r="H188" s="54">
        <f t="shared" si="14"/>
        <v>54</v>
      </c>
      <c r="I188" s="148"/>
      <c r="J188" s="148"/>
      <c r="K188" s="148"/>
      <c r="L188" s="148"/>
      <c r="M188" s="148"/>
    </row>
    <row r="189" spans="1:13" s="487" customFormat="1" ht="12" customHeight="1" x14ac:dyDescent="0.2">
      <c r="A189" s="492">
        <v>2019</v>
      </c>
      <c r="B189" s="54">
        <v>42</v>
      </c>
      <c r="C189" s="54">
        <v>9</v>
      </c>
      <c r="D189" s="54">
        <v>12</v>
      </c>
      <c r="E189" s="54">
        <v>14</v>
      </c>
      <c r="F189" s="54">
        <v>0</v>
      </c>
      <c r="G189" s="54" t="s">
        <v>29</v>
      </c>
      <c r="H189" s="54">
        <f t="shared" ref="H189" si="15">SUM(B189:G189)</f>
        <v>77</v>
      </c>
      <c r="I189" s="148"/>
      <c r="J189" s="148"/>
      <c r="K189" s="148"/>
      <c r="L189" s="148"/>
      <c r="M189" s="148"/>
    </row>
    <row r="190" spans="1:13" ht="12" customHeight="1" x14ac:dyDescent="0.2">
      <c r="A190" s="488" t="s">
        <v>394</v>
      </c>
      <c r="B190" s="25">
        <v>17</v>
      </c>
      <c r="C190" s="25">
        <v>25</v>
      </c>
      <c r="D190" s="25">
        <v>0</v>
      </c>
      <c r="E190" s="25">
        <v>10</v>
      </c>
      <c r="F190" s="25">
        <v>5</v>
      </c>
      <c r="G190" s="25" t="s">
        <v>29</v>
      </c>
      <c r="H190" s="25">
        <f t="shared" si="14"/>
        <v>57</v>
      </c>
    </row>
    <row r="191" spans="1:13" ht="12" customHeight="1" x14ac:dyDescent="0.2">
      <c r="B191" s="25"/>
      <c r="C191" s="25"/>
      <c r="D191" s="25"/>
      <c r="E191" s="25"/>
      <c r="F191" s="25"/>
      <c r="G191" s="25"/>
      <c r="H191" s="25"/>
    </row>
    <row r="192" spans="1:13" ht="12" customHeight="1" x14ac:dyDescent="0.2">
      <c r="A192" s="127" t="s">
        <v>111</v>
      </c>
      <c r="B192" s="25"/>
      <c r="C192" s="25"/>
      <c r="D192" s="25"/>
      <c r="E192" s="25"/>
      <c r="F192" s="25"/>
      <c r="G192" s="25"/>
      <c r="H192" s="25"/>
    </row>
    <row r="193" spans="1:8" ht="12" customHeight="1" x14ac:dyDescent="0.2">
      <c r="A193" s="343">
        <v>1976</v>
      </c>
      <c r="B193" s="25">
        <f t="shared" ref="B193:G202" si="16">IF(AND(B146="-",B99="-",B52="-",B5="-"),"-",SUM(B146,B99,B52,B5))</f>
        <v>4381</v>
      </c>
      <c r="C193" s="25">
        <f t="shared" si="16"/>
        <v>7582</v>
      </c>
      <c r="D193" s="25">
        <f t="shared" si="16"/>
        <v>18015</v>
      </c>
      <c r="E193" s="25">
        <f t="shared" si="16"/>
        <v>16992</v>
      </c>
      <c r="F193" s="25">
        <f t="shared" si="16"/>
        <v>11935</v>
      </c>
      <c r="G193" s="25" t="str">
        <f t="shared" si="16"/>
        <v>-</v>
      </c>
      <c r="H193" s="25">
        <f t="shared" ref="H193:H210" si="17">SUM(H146,H99,H52,H5)</f>
        <v>58905</v>
      </c>
    </row>
    <row r="194" spans="1:8" ht="12" customHeight="1" x14ac:dyDescent="0.2">
      <c r="A194" s="343">
        <v>1977</v>
      </c>
      <c r="B194" s="25">
        <f t="shared" si="16"/>
        <v>4459</v>
      </c>
      <c r="C194" s="25">
        <f t="shared" si="16"/>
        <v>3205</v>
      </c>
      <c r="D194" s="25">
        <f t="shared" si="16"/>
        <v>18908</v>
      </c>
      <c r="E194" s="25">
        <f t="shared" si="16"/>
        <v>15532</v>
      </c>
      <c r="F194" s="25">
        <f t="shared" si="16"/>
        <v>9733</v>
      </c>
      <c r="G194" s="25" t="str">
        <f t="shared" si="16"/>
        <v>-</v>
      </c>
      <c r="H194" s="25">
        <f t="shared" si="17"/>
        <v>51837</v>
      </c>
    </row>
    <row r="195" spans="1:8" ht="12" customHeight="1" x14ac:dyDescent="0.2">
      <c r="A195" s="343">
        <v>1978</v>
      </c>
      <c r="B195" s="25">
        <f t="shared" si="16"/>
        <v>2877</v>
      </c>
      <c r="C195" s="25">
        <f t="shared" si="16"/>
        <v>2849</v>
      </c>
      <c r="D195" s="25">
        <f t="shared" si="16"/>
        <v>14602</v>
      </c>
      <c r="E195" s="25">
        <f t="shared" si="16"/>
        <v>10678</v>
      </c>
      <c r="F195" s="25">
        <f t="shared" si="16"/>
        <v>8587</v>
      </c>
      <c r="G195" s="25" t="str">
        <f t="shared" si="16"/>
        <v>-</v>
      </c>
      <c r="H195" s="25">
        <f t="shared" si="17"/>
        <v>39593</v>
      </c>
    </row>
    <row r="196" spans="1:8" ht="12" customHeight="1" x14ac:dyDescent="0.2">
      <c r="A196" s="343">
        <v>1979</v>
      </c>
      <c r="B196" s="25">
        <f t="shared" si="16"/>
        <v>4649</v>
      </c>
      <c r="C196" s="25">
        <f t="shared" si="16"/>
        <v>161</v>
      </c>
      <c r="D196" s="25">
        <f t="shared" si="16"/>
        <v>14887</v>
      </c>
      <c r="E196" s="25">
        <f t="shared" si="16"/>
        <v>20442</v>
      </c>
      <c r="F196" s="25">
        <f t="shared" si="16"/>
        <v>162</v>
      </c>
      <c r="G196" s="25" t="str">
        <f t="shared" si="16"/>
        <v>-</v>
      </c>
      <c r="H196" s="25">
        <f t="shared" si="17"/>
        <v>40301</v>
      </c>
    </row>
    <row r="197" spans="1:8" ht="12" customHeight="1" x14ac:dyDescent="0.2">
      <c r="A197" s="343">
        <v>1980</v>
      </c>
      <c r="B197" s="25">
        <f t="shared" si="16"/>
        <v>4519</v>
      </c>
      <c r="C197" s="25">
        <f t="shared" si="16"/>
        <v>205</v>
      </c>
      <c r="D197" s="25">
        <f t="shared" si="16"/>
        <v>8962</v>
      </c>
      <c r="E197" s="25">
        <f t="shared" si="16"/>
        <v>11078</v>
      </c>
      <c r="F197" s="25">
        <f t="shared" si="16"/>
        <v>519</v>
      </c>
      <c r="G197" s="25" t="str">
        <f t="shared" si="16"/>
        <v>-</v>
      </c>
      <c r="H197" s="25">
        <f t="shared" si="17"/>
        <v>25283</v>
      </c>
    </row>
    <row r="198" spans="1:8" ht="12" customHeight="1" x14ac:dyDescent="0.2">
      <c r="A198" s="343">
        <v>1981</v>
      </c>
      <c r="B198" s="25">
        <f t="shared" si="16"/>
        <v>4978</v>
      </c>
      <c r="C198" s="25">
        <f t="shared" si="16"/>
        <v>207</v>
      </c>
      <c r="D198" s="25">
        <f t="shared" si="16"/>
        <v>10064</v>
      </c>
      <c r="E198" s="25">
        <f t="shared" si="16"/>
        <v>10331</v>
      </c>
      <c r="F198" s="25" t="str">
        <f t="shared" si="16"/>
        <v>-</v>
      </c>
      <c r="G198" s="25" t="str">
        <f t="shared" si="16"/>
        <v>-</v>
      </c>
      <c r="H198" s="25">
        <f t="shared" si="17"/>
        <v>25580</v>
      </c>
    </row>
    <row r="199" spans="1:8" ht="12" customHeight="1" x14ac:dyDescent="0.2">
      <c r="A199" s="343">
        <v>1982</v>
      </c>
      <c r="B199" s="25">
        <f t="shared" si="16"/>
        <v>4203</v>
      </c>
      <c r="C199" s="25">
        <f t="shared" si="16"/>
        <v>676</v>
      </c>
      <c r="D199" s="25">
        <f t="shared" si="16"/>
        <v>10949</v>
      </c>
      <c r="E199" s="25">
        <f t="shared" si="16"/>
        <v>396</v>
      </c>
      <c r="F199" s="25" t="str">
        <f t="shared" si="16"/>
        <v>-</v>
      </c>
      <c r="G199" s="25" t="str">
        <f t="shared" si="16"/>
        <v>-</v>
      </c>
      <c r="H199" s="25">
        <f t="shared" si="17"/>
        <v>16224</v>
      </c>
    </row>
    <row r="200" spans="1:8" ht="12" customHeight="1" x14ac:dyDescent="0.2">
      <c r="A200" s="343">
        <v>1983</v>
      </c>
      <c r="B200" s="25">
        <f t="shared" si="16"/>
        <v>3921</v>
      </c>
      <c r="C200" s="25">
        <f t="shared" si="16"/>
        <v>623</v>
      </c>
      <c r="D200" s="25">
        <f t="shared" si="16"/>
        <v>2821</v>
      </c>
      <c r="E200" s="25">
        <f t="shared" si="16"/>
        <v>1854</v>
      </c>
      <c r="F200" s="25">
        <f t="shared" si="16"/>
        <v>568</v>
      </c>
      <c r="G200" s="25" t="str">
        <f t="shared" si="16"/>
        <v>-</v>
      </c>
      <c r="H200" s="25">
        <f t="shared" si="17"/>
        <v>9787</v>
      </c>
    </row>
    <row r="201" spans="1:8" ht="12" customHeight="1" x14ac:dyDescent="0.2">
      <c r="A201" s="343">
        <v>1984</v>
      </c>
      <c r="B201" s="25">
        <f t="shared" si="16"/>
        <v>593</v>
      </c>
      <c r="C201" s="25" t="str">
        <f t="shared" si="16"/>
        <v>-</v>
      </c>
      <c r="D201" s="25" t="str">
        <f t="shared" si="16"/>
        <v>-</v>
      </c>
      <c r="E201" s="25">
        <f t="shared" si="16"/>
        <v>499</v>
      </c>
      <c r="F201" s="25" t="str">
        <f t="shared" si="16"/>
        <v>-</v>
      </c>
      <c r="G201" s="25" t="str">
        <f t="shared" si="16"/>
        <v>-</v>
      </c>
      <c r="H201" s="25">
        <f t="shared" si="17"/>
        <v>1092</v>
      </c>
    </row>
    <row r="202" spans="1:8" ht="12" customHeight="1" x14ac:dyDescent="0.2">
      <c r="A202" s="343">
        <v>1985</v>
      </c>
      <c r="B202" s="25">
        <f t="shared" si="16"/>
        <v>2637</v>
      </c>
      <c r="C202" s="25">
        <f t="shared" si="16"/>
        <v>20</v>
      </c>
      <c r="D202" s="25">
        <f t="shared" si="16"/>
        <v>2041</v>
      </c>
      <c r="E202" s="25">
        <f t="shared" si="16"/>
        <v>1701</v>
      </c>
      <c r="F202" s="25">
        <f t="shared" si="16"/>
        <v>14</v>
      </c>
      <c r="G202" s="25" t="str">
        <f t="shared" si="16"/>
        <v>-</v>
      </c>
      <c r="H202" s="25">
        <f t="shared" si="17"/>
        <v>6413</v>
      </c>
    </row>
    <row r="203" spans="1:8" ht="12" customHeight="1" x14ac:dyDescent="0.2">
      <c r="A203" s="343">
        <v>1986</v>
      </c>
      <c r="B203" s="25">
        <f t="shared" ref="B203:G212" si="18">IF(AND(B156="-",B109="-",B62="-",B15="-"),"-",SUM(B156,B109,B62,B15))</f>
        <v>2360</v>
      </c>
      <c r="C203" s="25">
        <f t="shared" si="18"/>
        <v>15</v>
      </c>
      <c r="D203" s="25" t="str">
        <f t="shared" si="18"/>
        <v>-</v>
      </c>
      <c r="E203" s="25">
        <f t="shared" si="18"/>
        <v>1880</v>
      </c>
      <c r="F203" s="25" t="str">
        <f t="shared" si="18"/>
        <v>-</v>
      </c>
      <c r="G203" s="25" t="str">
        <f t="shared" si="18"/>
        <v>-</v>
      </c>
      <c r="H203" s="25">
        <f t="shared" si="17"/>
        <v>4255</v>
      </c>
    </row>
    <row r="204" spans="1:8" ht="12" customHeight="1" x14ac:dyDescent="0.2">
      <c r="A204" s="343">
        <v>1987</v>
      </c>
      <c r="B204" s="25">
        <f t="shared" si="18"/>
        <v>1962</v>
      </c>
      <c r="C204" s="25" t="str">
        <f t="shared" si="18"/>
        <v>-</v>
      </c>
      <c r="D204" s="25">
        <f t="shared" si="18"/>
        <v>1156</v>
      </c>
      <c r="E204" s="25">
        <f t="shared" si="18"/>
        <v>7</v>
      </c>
      <c r="F204" s="25" t="str">
        <f t="shared" si="18"/>
        <v>-</v>
      </c>
      <c r="G204" s="25" t="str">
        <f t="shared" si="18"/>
        <v>-</v>
      </c>
      <c r="H204" s="25">
        <f t="shared" si="17"/>
        <v>3125</v>
      </c>
    </row>
    <row r="205" spans="1:8" ht="12" customHeight="1" x14ac:dyDescent="0.2">
      <c r="A205" s="343">
        <v>1988</v>
      </c>
      <c r="B205" s="25">
        <f t="shared" si="18"/>
        <v>3613</v>
      </c>
      <c r="C205" s="25">
        <f t="shared" si="18"/>
        <v>2154</v>
      </c>
      <c r="D205" s="25">
        <f t="shared" si="18"/>
        <v>3</v>
      </c>
      <c r="E205" s="25">
        <f t="shared" si="18"/>
        <v>24</v>
      </c>
      <c r="F205" s="25" t="str">
        <f t="shared" si="18"/>
        <v>-</v>
      </c>
      <c r="G205" s="25" t="str">
        <f t="shared" si="18"/>
        <v>-</v>
      </c>
      <c r="H205" s="25">
        <f t="shared" si="17"/>
        <v>5794</v>
      </c>
    </row>
    <row r="206" spans="1:8" ht="12" customHeight="1" x14ac:dyDescent="0.2">
      <c r="A206" s="343">
        <v>1989</v>
      </c>
      <c r="B206" s="25">
        <f t="shared" si="18"/>
        <v>2249</v>
      </c>
      <c r="C206" s="25">
        <f t="shared" si="18"/>
        <v>1110</v>
      </c>
      <c r="D206" s="25" t="str">
        <f t="shared" si="18"/>
        <v>-</v>
      </c>
      <c r="E206" s="25">
        <f t="shared" si="18"/>
        <v>1165</v>
      </c>
      <c r="F206" s="25">
        <f t="shared" si="18"/>
        <v>480</v>
      </c>
      <c r="G206" s="25" t="str">
        <f t="shared" si="18"/>
        <v>-</v>
      </c>
      <c r="H206" s="25">
        <f t="shared" si="17"/>
        <v>5004</v>
      </c>
    </row>
    <row r="207" spans="1:8" ht="12" customHeight="1" x14ac:dyDescent="0.2">
      <c r="A207" s="343">
        <v>1990</v>
      </c>
      <c r="B207" s="25">
        <f t="shared" si="18"/>
        <v>2077</v>
      </c>
      <c r="C207" s="25">
        <f t="shared" si="18"/>
        <v>223</v>
      </c>
      <c r="D207" s="25" t="str">
        <f t="shared" si="18"/>
        <v>-</v>
      </c>
      <c r="E207" s="25">
        <f t="shared" si="18"/>
        <v>2424</v>
      </c>
      <c r="F207" s="25">
        <f t="shared" si="18"/>
        <v>690</v>
      </c>
      <c r="G207" s="25" t="str">
        <f t="shared" si="18"/>
        <v>-</v>
      </c>
      <c r="H207" s="25">
        <f t="shared" si="17"/>
        <v>5414</v>
      </c>
    </row>
    <row r="208" spans="1:8" ht="12" customHeight="1" x14ac:dyDescent="0.2">
      <c r="A208" s="343">
        <v>1991</v>
      </c>
      <c r="B208" s="25">
        <f t="shared" si="18"/>
        <v>1746</v>
      </c>
      <c r="C208" s="25">
        <f t="shared" si="18"/>
        <v>1001</v>
      </c>
      <c r="D208" s="25" t="str">
        <f t="shared" si="18"/>
        <v>-</v>
      </c>
      <c r="E208" s="25">
        <f t="shared" si="18"/>
        <v>1619</v>
      </c>
      <c r="F208" s="25">
        <f t="shared" si="18"/>
        <v>506</v>
      </c>
      <c r="G208" s="25" t="str">
        <f t="shared" si="18"/>
        <v>-</v>
      </c>
      <c r="H208" s="25">
        <f t="shared" si="17"/>
        <v>4872</v>
      </c>
    </row>
    <row r="209" spans="1:13" ht="12" customHeight="1" x14ac:dyDescent="0.2">
      <c r="A209" s="343">
        <v>1992</v>
      </c>
      <c r="B209" s="25">
        <f t="shared" si="18"/>
        <v>2034</v>
      </c>
      <c r="C209" s="25">
        <f t="shared" si="18"/>
        <v>1249</v>
      </c>
      <c r="D209" s="25">
        <f t="shared" si="18"/>
        <v>935</v>
      </c>
      <c r="E209" s="25">
        <f t="shared" si="18"/>
        <v>631</v>
      </c>
      <c r="F209" s="25" t="str">
        <f t="shared" si="18"/>
        <v>-</v>
      </c>
      <c r="G209" s="25" t="str">
        <f t="shared" si="18"/>
        <v>-</v>
      </c>
      <c r="H209" s="25">
        <f t="shared" si="17"/>
        <v>4849</v>
      </c>
    </row>
    <row r="210" spans="1:13" ht="12" customHeight="1" x14ac:dyDescent="0.2">
      <c r="A210" s="343">
        <v>1993</v>
      </c>
      <c r="B210" s="25">
        <f t="shared" si="18"/>
        <v>1239</v>
      </c>
      <c r="C210" s="25">
        <f t="shared" si="18"/>
        <v>939</v>
      </c>
      <c r="D210" s="25">
        <f t="shared" si="18"/>
        <v>740</v>
      </c>
      <c r="E210" s="25">
        <f t="shared" si="18"/>
        <v>371</v>
      </c>
      <c r="F210" s="25">
        <f t="shared" si="18"/>
        <v>418</v>
      </c>
      <c r="G210" s="25" t="str">
        <f t="shared" si="18"/>
        <v>-</v>
      </c>
      <c r="H210" s="25">
        <f t="shared" si="17"/>
        <v>3707</v>
      </c>
    </row>
    <row r="211" spans="1:13" ht="12" customHeight="1" x14ac:dyDescent="0.2">
      <c r="A211" s="343">
        <v>1994</v>
      </c>
      <c r="B211" s="25" t="str">
        <f t="shared" si="18"/>
        <v>-</v>
      </c>
      <c r="C211" s="25" t="str">
        <f t="shared" si="18"/>
        <v>-</v>
      </c>
      <c r="D211" s="25" t="str">
        <f t="shared" si="18"/>
        <v>-</v>
      </c>
      <c r="E211" s="25" t="str">
        <f t="shared" si="18"/>
        <v>-</v>
      </c>
      <c r="F211" s="25" t="str">
        <f t="shared" si="18"/>
        <v>-</v>
      </c>
      <c r="G211" s="25" t="str">
        <f t="shared" si="18"/>
        <v>-</v>
      </c>
      <c r="H211" s="25" t="s">
        <v>29</v>
      </c>
    </row>
    <row r="212" spans="1:13" ht="12" customHeight="1" x14ac:dyDescent="0.2">
      <c r="A212" s="343">
        <v>1995</v>
      </c>
      <c r="B212" s="25" t="str">
        <f t="shared" si="18"/>
        <v>-</v>
      </c>
      <c r="C212" s="25" t="str">
        <f t="shared" si="18"/>
        <v>-</v>
      </c>
      <c r="D212" s="25" t="str">
        <f t="shared" si="18"/>
        <v>-</v>
      </c>
      <c r="E212" s="25">
        <f t="shared" si="18"/>
        <v>397</v>
      </c>
      <c r="F212" s="25">
        <f t="shared" si="18"/>
        <v>74</v>
      </c>
      <c r="G212" s="25" t="str">
        <f t="shared" si="18"/>
        <v>-</v>
      </c>
      <c r="H212" s="25">
        <f t="shared" ref="H212:H219" si="19">SUM(H165,H118,H71,H24)</f>
        <v>471</v>
      </c>
    </row>
    <row r="213" spans="1:13" ht="12" customHeight="1" x14ac:dyDescent="0.2">
      <c r="A213" s="343">
        <v>1996</v>
      </c>
      <c r="B213" s="25" t="str">
        <f t="shared" ref="B213:G222" si="20">IF(AND(B166="-",B119="-",B72="-",B25="-"),"-",SUM(B166,B119,B72,B25))</f>
        <v>-</v>
      </c>
      <c r="C213" s="25" t="str">
        <f t="shared" si="20"/>
        <v>-</v>
      </c>
      <c r="D213" s="25">
        <f t="shared" si="20"/>
        <v>181</v>
      </c>
      <c r="E213" s="25">
        <f t="shared" si="20"/>
        <v>231</v>
      </c>
      <c r="F213" s="25" t="str">
        <f t="shared" si="20"/>
        <v>-</v>
      </c>
      <c r="G213" s="25" t="str">
        <f t="shared" si="20"/>
        <v>-</v>
      </c>
      <c r="H213" s="25">
        <f t="shared" si="19"/>
        <v>412</v>
      </c>
    </row>
    <row r="214" spans="1:13" ht="12" customHeight="1" x14ac:dyDescent="0.2">
      <c r="A214" s="343">
        <v>1997</v>
      </c>
      <c r="B214" s="25">
        <f t="shared" si="20"/>
        <v>294</v>
      </c>
      <c r="C214" s="25">
        <f t="shared" si="20"/>
        <v>158</v>
      </c>
      <c r="D214" s="25" t="str">
        <f t="shared" si="20"/>
        <v>-</v>
      </c>
      <c r="E214" s="25" t="str">
        <f t="shared" si="20"/>
        <v>-</v>
      </c>
      <c r="F214" s="25" t="str">
        <f t="shared" si="20"/>
        <v>-</v>
      </c>
      <c r="G214" s="25" t="str">
        <f t="shared" si="20"/>
        <v>-</v>
      </c>
      <c r="H214" s="25">
        <f t="shared" si="19"/>
        <v>452</v>
      </c>
    </row>
    <row r="215" spans="1:13" ht="12" customHeight="1" x14ac:dyDescent="0.2">
      <c r="A215" s="343">
        <v>1998</v>
      </c>
      <c r="B215" s="25">
        <f t="shared" si="20"/>
        <v>127</v>
      </c>
      <c r="C215" s="25">
        <f t="shared" si="20"/>
        <v>12</v>
      </c>
      <c r="D215" s="25" t="str">
        <f t="shared" si="20"/>
        <v>-</v>
      </c>
      <c r="E215" s="25" t="str">
        <f t="shared" si="20"/>
        <v>-</v>
      </c>
      <c r="F215" s="25" t="str">
        <f t="shared" si="20"/>
        <v>-</v>
      </c>
      <c r="G215" s="25" t="str">
        <f t="shared" si="20"/>
        <v>-</v>
      </c>
      <c r="H215" s="25">
        <f t="shared" si="19"/>
        <v>139</v>
      </c>
    </row>
    <row r="216" spans="1:13" ht="12" customHeight="1" x14ac:dyDescent="0.2">
      <c r="A216" s="343">
        <v>1999</v>
      </c>
      <c r="B216" s="25">
        <f t="shared" si="20"/>
        <v>271</v>
      </c>
      <c r="C216" s="25">
        <f t="shared" si="20"/>
        <v>231</v>
      </c>
      <c r="D216" s="25">
        <f t="shared" si="20"/>
        <v>135</v>
      </c>
      <c r="E216" s="25">
        <f t="shared" si="20"/>
        <v>86</v>
      </c>
      <c r="F216" s="25">
        <f t="shared" si="20"/>
        <v>6</v>
      </c>
      <c r="G216" s="25" t="str">
        <f t="shared" si="20"/>
        <v>-</v>
      </c>
      <c r="H216" s="25">
        <f t="shared" si="19"/>
        <v>729</v>
      </c>
    </row>
    <row r="217" spans="1:13" ht="12" customHeight="1" x14ac:dyDescent="0.2">
      <c r="A217" s="343">
        <v>2000</v>
      </c>
      <c r="B217" s="25">
        <f t="shared" si="20"/>
        <v>193</v>
      </c>
      <c r="C217" s="25">
        <f t="shared" si="20"/>
        <v>95</v>
      </c>
      <c r="D217" s="25" t="str">
        <f t="shared" si="20"/>
        <v>-</v>
      </c>
      <c r="E217" s="25">
        <f t="shared" si="20"/>
        <v>119</v>
      </c>
      <c r="F217" s="25">
        <f t="shared" si="20"/>
        <v>14</v>
      </c>
      <c r="G217" s="25" t="str">
        <f t="shared" si="20"/>
        <v>-</v>
      </c>
      <c r="H217" s="25">
        <f t="shared" si="19"/>
        <v>421</v>
      </c>
    </row>
    <row r="218" spans="1:13" ht="12" customHeight="1" x14ac:dyDescent="0.2">
      <c r="A218" s="343">
        <v>2001</v>
      </c>
      <c r="B218" s="25">
        <f t="shared" si="20"/>
        <v>233</v>
      </c>
      <c r="C218" s="25">
        <f t="shared" si="20"/>
        <v>213</v>
      </c>
      <c r="D218" s="25">
        <f t="shared" si="20"/>
        <v>172</v>
      </c>
      <c r="E218" s="25">
        <f t="shared" si="20"/>
        <v>96</v>
      </c>
      <c r="F218" s="25">
        <f t="shared" si="20"/>
        <v>50</v>
      </c>
      <c r="G218" s="25" t="str">
        <f t="shared" si="20"/>
        <v>-</v>
      </c>
      <c r="H218" s="25">
        <f t="shared" si="19"/>
        <v>764</v>
      </c>
    </row>
    <row r="219" spans="1:13" ht="12" customHeight="1" x14ac:dyDescent="0.2">
      <c r="A219" s="343">
        <v>2002</v>
      </c>
      <c r="B219" s="54">
        <f t="shared" si="20"/>
        <v>444</v>
      </c>
      <c r="C219" s="54">
        <f t="shared" si="20"/>
        <v>184</v>
      </c>
      <c r="D219" s="66">
        <f t="shared" si="20"/>
        <v>446</v>
      </c>
      <c r="E219" s="66">
        <f t="shared" si="20"/>
        <v>264</v>
      </c>
      <c r="F219" s="66" t="str">
        <f t="shared" si="20"/>
        <v>-</v>
      </c>
      <c r="G219" s="66" t="str">
        <f t="shared" si="20"/>
        <v>-</v>
      </c>
      <c r="H219" s="66">
        <f t="shared" si="19"/>
        <v>1338</v>
      </c>
      <c r="I219" s="40"/>
    </row>
    <row r="220" spans="1:13" ht="12" customHeight="1" x14ac:dyDescent="0.2">
      <c r="A220" s="308">
        <v>2003</v>
      </c>
      <c r="B220" s="54">
        <f t="shared" si="20"/>
        <v>439</v>
      </c>
      <c r="C220" s="54">
        <f t="shared" si="20"/>
        <v>199</v>
      </c>
      <c r="D220" s="54">
        <f t="shared" si="20"/>
        <v>517</v>
      </c>
      <c r="E220" s="54">
        <f t="shared" si="20"/>
        <v>447</v>
      </c>
      <c r="F220" s="54">
        <f t="shared" si="20"/>
        <v>96</v>
      </c>
      <c r="G220" s="54" t="str">
        <f t="shared" si="20"/>
        <v>-</v>
      </c>
      <c r="H220" s="54">
        <f t="shared" ref="H220:H235" si="21">IF(AND(H173="-",H126="-",H79="-",H32="-"),"-",SUM(H173,H126,H79,H32))</f>
        <v>1698</v>
      </c>
    </row>
    <row r="221" spans="1:13" ht="12" customHeight="1" x14ac:dyDescent="0.2">
      <c r="A221" s="343">
        <v>2004</v>
      </c>
      <c r="B221" s="54">
        <f t="shared" si="20"/>
        <v>463</v>
      </c>
      <c r="C221" s="54">
        <f t="shared" si="20"/>
        <v>13</v>
      </c>
      <c r="D221" s="54">
        <f t="shared" si="20"/>
        <v>408</v>
      </c>
      <c r="E221" s="54">
        <f t="shared" si="20"/>
        <v>360</v>
      </c>
      <c r="F221" s="54">
        <f t="shared" si="20"/>
        <v>137</v>
      </c>
      <c r="G221" s="54" t="str">
        <f t="shared" si="20"/>
        <v>-</v>
      </c>
      <c r="H221" s="54">
        <f t="shared" si="21"/>
        <v>1381</v>
      </c>
    </row>
    <row r="222" spans="1:13" ht="12" customHeight="1" x14ac:dyDescent="0.2">
      <c r="A222" s="343">
        <v>2005</v>
      </c>
      <c r="B222" s="54">
        <f t="shared" si="20"/>
        <v>506</v>
      </c>
      <c r="C222" s="54">
        <f t="shared" si="20"/>
        <v>119</v>
      </c>
      <c r="D222" s="54">
        <f t="shared" si="20"/>
        <v>362</v>
      </c>
      <c r="E222" s="54">
        <f t="shared" si="20"/>
        <v>451</v>
      </c>
      <c r="F222" s="54" t="str">
        <f t="shared" si="20"/>
        <v>-</v>
      </c>
      <c r="G222" s="54" t="str">
        <f t="shared" si="20"/>
        <v>-</v>
      </c>
      <c r="H222" s="54">
        <f t="shared" si="21"/>
        <v>1438</v>
      </c>
    </row>
    <row r="223" spans="1:13" s="342" customFormat="1" ht="12" customHeight="1" x14ac:dyDescent="0.2">
      <c r="A223" s="343">
        <v>2006</v>
      </c>
      <c r="B223" s="54">
        <f t="shared" ref="B223:G232" si="22">IF(AND(B176="-",B129="-",B82="-",B35="-"),"-",SUM(B176,B129,B82,B35))</f>
        <v>430</v>
      </c>
      <c r="C223" s="54">
        <f t="shared" si="22"/>
        <v>435</v>
      </c>
      <c r="D223" s="54">
        <f t="shared" si="22"/>
        <v>100</v>
      </c>
      <c r="E223" s="54">
        <f t="shared" si="22"/>
        <v>298</v>
      </c>
      <c r="F223" s="54">
        <f t="shared" si="22"/>
        <v>175</v>
      </c>
      <c r="G223" s="54" t="str">
        <f t="shared" si="22"/>
        <v>-</v>
      </c>
      <c r="H223" s="54">
        <f t="shared" si="21"/>
        <v>1438</v>
      </c>
      <c r="I223" s="148"/>
      <c r="J223" s="148"/>
      <c r="K223" s="148"/>
      <c r="L223" s="148"/>
      <c r="M223" s="148"/>
    </row>
    <row r="224" spans="1:13" s="342" customFormat="1" ht="12" customHeight="1" x14ac:dyDescent="0.2">
      <c r="A224" s="308">
        <v>2007</v>
      </c>
      <c r="B224" s="54">
        <f t="shared" si="22"/>
        <v>467</v>
      </c>
      <c r="C224" s="54">
        <f t="shared" si="22"/>
        <v>280</v>
      </c>
      <c r="D224" s="54">
        <f t="shared" si="22"/>
        <v>364</v>
      </c>
      <c r="E224" s="54">
        <f t="shared" si="22"/>
        <v>145</v>
      </c>
      <c r="F224" s="54">
        <f t="shared" si="22"/>
        <v>18</v>
      </c>
      <c r="G224" s="54" t="str">
        <f t="shared" si="22"/>
        <v>-</v>
      </c>
      <c r="H224" s="54">
        <f t="shared" si="21"/>
        <v>1274</v>
      </c>
      <c r="I224" s="148"/>
      <c r="J224" s="148"/>
      <c r="K224" s="148"/>
      <c r="L224" s="148"/>
      <c r="M224" s="148"/>
    </row>
    <row r="225" spans="1:13" s="342" customFormat="1" ht="12" customHeight="1" x14ac:dyDescent="0.2">
      <c r="A225" s="308">
        <v>2008</v>
      </c>
      <c r="B225" s="54">
        <f t="shared" si="22"/>
        <v>280</v>
      </c>
      <c r="C225" s="54">
        <f t="shared" si="22"/>
        <v>433</v>
      </c>
      <c r="D225" s="54">
        <f t="shared" si="22"/>
        <v>226</v>
      </c>
      <c r="E225" s="54">
        <f t="shared" si="22"/>
        <v>221</v>
      </c>
      <c r="F225" s="54">
        <f t="shared" si="22"/>
        <v>63</v>
      </c>
      <c r="G225" s="54" t="str">
        <f t="shared" si="22"/>
        <v>-</v>
      </c>
      <c r="H225" s="54">
        <f t="shared" si="21"/>
        <v>1223</v>
      </c>
      <c r="I225" s="148"/>
      <c r="J225" s="148"/>
      <c r="K225" s="148"/>
      <c r="L225" s="148"/>
      <c r="M225" s="148"/>
    </row>
    <row r="226" spans="1:13" s="342" customFormat="1" ht="12" customHeight="1" x14ac:dyDescent="0.2">
      <c r="A226" s="308">
        <v>2009</v>
      </c>
      <c r="B226" s="54">
        <f t="shared" si="22"/>
        <v>474</v>
      </c>
      <c r="C226" s="54">
        <f t="shared" si="22"/>
        <v>564</v>
      </c>
      <c r="D226" s="54">
        <f t="shared" si="22"/>
        <v>452</v>
      </c>
      <c r="E226" s="54">
        <f t="shared" si="22"/>
        <v>363</v>
      </c>
      <c r="F226" s="54">
        <f t="shared" si="22"/>
        <v>138</v>
      </c>
      <c r="G226" s="54" t="str">
        <f t="shared" si="22"/>
        <v>-</v>
      </c>
      <c r="H226" s="54">
        <f t="shared" si="21"/>
        <v>1991</v>
      </c>
      <c r="I226" s="148"/>
      <c r="J226" s="148"/>
      <c r="K226" s="148"/>
      <c r="L226" s="148"/>
      <c r="M226" s="148"/>
    </row>
    <row r="227" spans="1:13" s="342" customFormat="1" ht="12" customHeight="1" x14ac:dyDescent="0.2">
      <c r="A227" s="308">
        <v>2010</v>
      </c>
      <c r="B227" s="54">
        <f t="shared" si="22"/>
        <v>534</v>
      </c>
      <c r="C227" s="54">
        <f t="shared" si="22"/>
        <v>880</v>
      </c>
      <c r="D227" s="54">
        <f t="shared" si="22"/>
        <v>524</v>
      </c>
      <c r="E227" s="54">
        <f t="shared" si="22"/>
        <v>445</v>
      </c>
      <c r="F227" s="54">
        <f t="shared" si="22"/>
        <v>53</v>
      </c>
      <c r="G227" s="54" t="str">
        <f t="shared" si="22"/>
        <v>-</v>
      </c>
      <c r="H227" s="54">
        <f t="shared" si="21"/>
        <v>2436</v>
      </c>
      <c r="I227" s="148"/>
      <c r="J227" s="148"/>
      <c r="K227" s="148"/>
      <c r="L227" s="148"/>
      <c r="M227" s="148"/>
    </row>
    <row r="228" spans="1:13" s="342" customFormat="1" ht="12" customHeight="1" x14ac:dyDescent="0.2">
      <c r="A228" s="308">
        <v>2011</v>
      </c>
      <c r="B228" s="54">
        <f t="shared" si="22"/>
        <v>648</v>
      </c>
      <c r="C228" s="54">
        <f t="shared" si="22"/>
        <v>699</v>
      </c>
      <c r="D228" s="54">
        <f t="shared" si="22"/>
        <v>449</v>
      </c>
      <c r="E228" s="54">
        <f t="shared" si="22"/>
        <v>211</v>
      </c>
      <c r="F228" s="54">
        <f t="shared" si="22"/>
        <v>57</v>
      </c>
      <c r="G228" s="54" t="str">
        <f t="shared" si="22"/>
        <v>-</v>
      </c>
      <c r="H228" s="54">
        <f t="shared" si="21"/>
        <v>2064</v>
      </c>
      <c r="I228" s="148"/>
      <c r="J228" s="148"/>
      <c r="K228" s="148"/>
      <c r="L228" s="148"/>
      <c r="M228" s="148"/>
    </row>
    <row r="229" spans="1:13" s="342" customFormat="1" ht="12" customHeight="1" x14ac:dyDescent="0.2">
      <c r="A229" s="308">
        <v>2012</v>
      </c>
      <c r="B229" s="54">
        <f t="shared" si="22"/>
        <v>369</v>
      </c>
      <c r="C229" s="54">
        <f t="shared" si="22"/>
        <v>709</v>
      </c>
      <c r="D229" s="54">
        <f t="shared" si="22"/>
        <v>466</v>
      </c>
      <c r="E229" s="54">
        <f t="shared" si="22"/>
        <v>308</v>
      </c>
      <c r="F229" s="54">
        <f t="shared" si="22"/>
        <v>208</v>
      </c>
      <c r="G229" s="54" t="str">
        <f t="shared" si="22"/>
        <v>-</v>
      </c>
      <c r="H229" s="54">
        <f t="shared" si="21"/>
        <v>2060</v>
      </c>
      <c r="I229" s="148"/>
      <c r="J229" s="148"/>
      <c r="K229" s="148"/>
      <c r="L229" s="148"/>
      <c r="M229" s="148"/>
    </row>
    <row r="230" spans="1:13" s="342" customFormat="1" ht="12" customHeight="1" x14ac:dyDescent="0.2">
      <c r="A230" s="308">
        <v>2013</v>
      </c>
      <c r="B230" s="54">
        <f t="shared" si="22"/>
        <v>768</v>
      </c>
      <c r="C230" s="54">
        <f t="shared" si="22"/>
        <v>549</v>
      </c>
      <c r="D230" s="54">
        <f t="shared" si="22"/>
        <v>486</v>
      </c>
      <c r="E230" s="54">
        <f t="shared" si="22"/>
        <v>415</v>
      </c>
      <c r="F230" s="54">
        <f t="shared" si="22"/>
        <v>90</v>
      </c>
      <c r="G230" s="54" t="str">
        <f t="shared" si="22"/>
        <v>-</v>
      </c>
      <c r="H230" s="54">
        <f t="shared" si="21"/>
        <v>2308</v>
      </c>
      <c r="I230" s="148"/>
      <c r="J230" s="148"/>
      <c r="K230" s="148"/>
      <c r="L230" s="148"/>
      <c r="M230" s="148"/>
    </row>
    <row r="231" spans="1:13" s="342" customFormat="1" ht="12" customHeight="1" x14ac:dyDescent="0.2">
      <c r="A231" s="308">
        <v>2014</v>
      </c>
      <c r="B231" s="54">
        <f t="shared" si="22"/>
        <v>839</v>
      </c>
      <c r="C231" s="54">
        <f t="shared" si="22"/>
        <v>237</v>
      </c>
      <c r="D231" s="54">
        <f t="shared" si="22"/>
        <v>439</v>
      </c>
      <c r="E231" s="54">
        <f t="shared" si="22"/>
        <v>372</v>
      </c>
      <c r="F231" s="54">
        <f t="shared" si="22"/>
        <v>135</v>
      </c>
      <c r="G231" s="54" t="str">
        <f t="shared" si="22"/>
        <v>-</v>
      </c>
      <c r="H231" s="54">
        <f t="shared" si="21"/>
        <v>2022</v>
      </c>
      <c r="I231" s="148"/>
      <c r="J231" s="148"/>
      <c r="K231" s="148"/>
      <c r="L231" s="148"/>
      <c r="M231" s="148"/>
    </row>
    <row r="232" spans="1:13" s="342" customFormat="1" ht="12" customHeight="1" x14ac:dyDescent="0.2">
      <c r="A232" s="308">
        <v>2015</v>
      </c>
      <c r="B232" s="54">
        <f t="shared" si="22"/>
        <v>995</v>
      </c>
      <c r="C232" s="54">
        <f t="shared" si="22"/>
        <v>510</v>
      </c>
      <c r="D232" s="54">
        <f t="shared" si="22"/>
        <v>502</v>
      </c>
      <c r="E232" s="54">
        <f t="shared" si="22"/>
        <v>476</v>
      </c>
      <c r="F232" s="54">
        <f t="shared" si="22"/>
        <v>162</v>
      </c>
      <c r="G232" s="54" t="str">
        <f t="shared" si="22"/>
        <v>-</v>
      </c>
      <c r="H232" s="54">
        <f t="shared" si="21"/>
        <v>2645</v>
      </c>
      <c r="I232" s="148"/>
      <c r="J232" s="148"/>
      <c r="K232" s="148"/>
      <c r="L232" s="148"/>
      <c r="M232" s="148"/>
    </row>
    <row r="233" spans="1:13" s="342" customFormat="1" ht="12" customHeight="1" x14ac:dyDescent="0.2">
      <c r="A233" s="308">
        <v>2016</v>
      </c>
      <c r="B233" s="54">
        <f t="shared" ref="B233:G233" si="23">IF(AND(B186="-",B139="-",B92="-",B45="-"),"-",SUM(B186,B139,B92,B45))</f>
        <v>725</v>
      </c>
      <c r="C233" s="54">
        <f t="shared" si="23"/>
        <v>407</v>
      </c>
      <c r="D233" s="54">
        <f t="shared" si="23"/>
        <v>278</v>
      </c>
      <c r="E233" s="54">
        <f t="shared" si="23"/>
        <v>218</v>
      </c>
      <c r="F233" s="54" t="str">
        <f t="shared" si="23"/>
        <v>-</v>
      </c>
      <c r="G233" s="54" t="str">
        <f t="shared" si="23"/>
        <v>-</v>
      </c>
      <c r="H233" s="54">
        <f t="shared" si="21"/>
        <v>1628</v>
      </c>
      <c r="I233" s="148"/>
      <c r="J233" s="148"/>
      <c r="K233" s="148"/>
      <c r="L233" s="148"/>
      <c r="M233" s="148"/>
    </row>
    <row r="234" spans="1:13" s="342" customFormat="1" ht="12" customHeight="1" x14ac:dyDescent="0.2">
      <c r="A234" s="308">
        <v>2017</v>
      </c>
      <c r="B234" s="54">
        <f t="shared" ref="B234:G234" si="24">IF(AND(B187="-",B140="-",B93="-",B46="-"),"-",SUM(B187,B140,B93,B46))</f>
        <v>778</v>
      </c>
      <c r="C234" s="54">
        <f t="shared" si="24"/>
        <v>630</v>
      </c>
      <c r="D234" s="54">
        <f t="shared" si="24"/>
        <v>395</v>
      </c>
      <c r="E234" s="54">
        <f t="shared" si="24"/>
        <v>426</v>
      </c>
      <c r="F234" s="54">
        <f t="shared" si="24"/>
        <v>144</v>
      </c>
      <c r="G234" s="54" t="str">
        <f t="shared" si="24"/>
        <v>-</v>
      </c>
      <c r="H234" s="54">
        <f t="shared" si="21"/>
        <v>2373</v>
      </c>
      <c r="I234" s="148"/>
      <c r="J234" s="148"/>
      <c r="K234" s="148"/>
      <c r="L234" s="148"/>
      <c r="M234" s="148"/>
    </row>
    <row r="235" spans="1:13" s="347" customFormat="1" ht="12" customHeight="1" x14ac:dyDescent="0.2">
      <c r="A235" s="308">
        <v>2018</v>
      </c>
      <c r="B235" s="54">
        <f t="shared" ref="B235:G235" si="25">IF(AND(B188="-",B141="-",B94="-",B47="-"),"-",SUM(B188,B141,B94,B47))</f>
        <v>754</v>
      </c>
      <c r="C235" s="54">
        <f t="shared" si="25"/>
        <v>691</v>
      </c>
      <c r="D235" s="54">
        <f t="shared" si="25"/>
        <v>437</v>
      </c>
      <c r="E235" s="54">
        <f t="shared" si="25"/>
        <v>196</v>
      </c>
      <c r="F235" s="54">
        <f t="shared" si="25"/>
        <v>71</v>
      </c>
      <c r="G235" s="54" t="str">
        <f t="shared" si="25"/>
        <v>-</v>
      </c>
      <c r="H235" s="54">
        <f t="shared" si="21"/>
        <v>2149</v>
      </c>
      <c r="I235" s="148"/>
      <c r="J235" s="148"/>
      <c r="K235" s="148"/>
      <c r="L235" s="148"/>
      <c r="M235" s="148"/>
    </row>
    <row r="236" spans="1:13" s="487" customFormat="1" ht="12" customHeight="1" x14ac:dyDescent="0.2">
      <c r="A236" s="492">
        <v>2019</v>
      </c>
      <c r="B236" s="54">
        <f t="shared" ref="B236:H237" si="26">IF(AND(B189="-",B142="-",B95="-",B48="-"),"-",SUM(B189,B142,B95,B48))</f>
        <v>403</v>
      </c>
      <c r="C236" s="54">
        <f t="shared" si="26"/>
        <v>344</v>
      </c>
      <c r="D236" s="54">
        <f t="shared" si="26"/>
        <v>673</v>
      </c>
      <c r="E236" s="54">
        <f t="shared" si="26"/>
        <v>205</v>
      </c>
      <c r="F236" s="54">
        <f t="shared" si="26"/>
        <v>113</v>
      </c>
      <c r="G236" s="54" t="str">
        <f t="shared" si="26"/>
        <v>-</v>
      </c>
      <c r="H236" s="54">
        <f t="shared" si="26"/>
        <v>1738</v>
      </c>
      <c r="I236" s="148"/>
      <c r="J236" s="148"/>
      <c r="K236" s="148"/>
      <c r="L236" s="148"/>
      <c r="M236" s="148"/>
    </row>
    <row r="237" spans="1:13" ht="12" customHeight="1" x14ac:dyDescent="0.2">
      <c r="A237" s="488" t="s">
        <v>394</v>
      </c>
      <c r="B237" s="55">
        <f t="shared" si="26"/>
        <v>90</v>
      </c>
      <c r="C237" s="55">
        <f t="shared" si="26"/>
        <v>161</v>
      </c>
      <c r="D237" s="55">
        <f t="shared" si="26"/>
        <v>464</v>
      </c>
      <c r="E237" s="55">
        <f t="shared" si="26"/>
        <v>237</v>
      </c>
      <c r="F237" s="55">
        <f t="shared" si="26"/>
        <v>24</v>
      </c>
      <c r="G237" s="55" t="str">
        <f t="shared" si="26"/>
        <v>-</v>
      </c>
      <c r="H237" s="55">
        <f t="shared" si="26"/>
        <v>976</v>
      </c>
    </row>
    <row r="238" spans="1:13" ht="12" customHeight="1" x14ac:dyDescent="0.2">
      <c r="A238" s="571" t="s">
        <v>76</v>
      </c>
      <c r="B238" s="571"/>
      <c r="C238" s="571"/>
      <c r="D238" s="571"/>
      <c r="E238" s="571"/>
      <c r="F238" s="571"/>
      <c r="G238" s="571"/>
      <c r="H238" s="571"/>
    </row>
    <row r="239" spans="1:13" ht="12" customHeight="1" x14ac:dyDescent="0.2">
      <c r="A239" s="572"/>
      <c r="B239" s="572"/>
      <c r="C239" s="572"/>
      <c r="D239" s="572"/>
      <c r="E239" s="572"/>
      <c r="F239" s="572"/>
      <c r="G239" s="572"/>
      <c r="H239" s="572"/>
    </row>
    <row r="240" spans="1:13" ht="12" customHeight="1" x14ac:dyDescent="0.2">
      <c r="A240" s="573" t="s">
        <v>244</v>
      </c>
      <c r="B240" s="573"/>
      <c r="C240" s="573"/>
      <c r="D240" s="573"/>
      <c r="E240" s="573"/>
      <c r="F240" s="573"/>
      <c r="G240" s="573"/>
      <c r="H240" s="573"/>
    </row>
    <row r="241" spans="1:13" ht="12" customHeight="1" x14ac:dyDescent="0.2">
      <c r="A241" s="573" t="s">
        <v>77</v>
      </c>
      <c r="B241" s="573"/>
      <c r="C241" s="573"/>
      <c r="D241" s="573"/>
      <c r="E241" s="573"/>
      <c r="F241" s="573"/>
      <c r="G241" s="573"/>
      <c r="H241" s="573"/>
    </row>
    <row r="242" spans="1:13" ht="12" customHeight="1" x14ac:dyDescent="0.2">
      <c r="A242" s="573" t="s">
        <v>46</v>
      </c>
      <c r="B242" s="573"/>
      <c r="C242" s="573"/>
      <c r="D242" s="573"/>
      <c r="E242" s="573"/>
      <c r="F242" s="573"/>
      <c r="G242" s="573"/>
      <c r="H242" s="573"/>
    </row>
    <row r="243" spans="1:13" ht="12" customHeight="1" x14ac:dyDescent="0.2">
      <c r="B243" s="25"/>
      <c r="C243" s="25"/>
      <c r="D243" s="25"/>
      <c r="E243" s="25"/>
      <c r="F243" s="25"/>
      <c r="G243" s="25"/>
      <c r="H243" s="25"/>
    </row>
    <row r="244" spans="1:13" ht="12" customHeight="1" x14ac:dyDescent="0.2">
      <c r="B244" s="25"/>
      <c r="C244" s="25"/>
      <c r="D244" s="25"/>
      <c r="E244" s="25"/>
      <c r="F244" s="25"/>
      <c r="G244" s="25"/>
      <c r="H244" s="25"/>
    </row>
    <row r="245" spans="1:13" s="310" customFormat="1" ht="10.5" customHeight="1" x14ac:dyDescent="0.2">
      <c r="A245" s="246"/>
      <c r="B245" s="247"/>
      <c r="C245" s="247"/>
      <c r="D245" s="247"/>
      <c r="E245" s="247"/>
      <c r="F245" s="247"/>
      <c r="G245" s="247"/>
      <c r="H245" s="247"/>
      <c r="I245" s="248"/>
      <c r="J245" s="248"/>
      <c r="K245" s="248"/>
      <c r="L245" s="248"/>
      <c r="M245" s="248"/>
    </row>
    <row r="246" spans="1:13" ht="12" customHeight="1" x14ac:dyDescent="0.2">
      <c r="B246" s="25"/>
      <c r="C246" s="25"/>
      <c r="D246" s="25"/>
      <c r="E246" s="25"/>
      <c r="F246" s="25"/>
      <c r="G246" s="25"/>
      <c r="H246" s="25"/>
    </row>
    <row r="247" spans="1:13" ht="12" customHeight="1" x14ac:dyDescent="0.2">
      <c r="B247" s="25"/>
      <c r="C247" s="25"/>
      <c r="D247" s="25"/>
      <c r="E247" s="25"/>
      <c r="F247" s="25"/>
      <c r="G247" s="25"/>
      <c r="H247" s="25"/>
    </row>
    <row r="248" spans="1:13" ht="12" customHeight="1" x14ac:dyDescent="0.2">
      <c r="B248" s="25"/>
      <c r="C248" s="25"/>
      <c r="D248" s="25"/>
      <c r="E248" s="25"/>
      <c r="F248" s="25"/>
      <c r="G248" s="25"/>
      <c r="H248" s="25"/>
    </row>
    <row r="249" spans="1:13" ht="12" customHeight="1" x14ac:dyDescent="0.2">
      <c r="B249" s="25"/>
      <c r="C249" s="25"/>
      <c r="D249" s="25"/>
      <c r="E249" s="25"/>
      <c r="F249" s="25"/>
      <c r="G249" s="25"/>
      <c r="H249" s="25"/>
    </row>
    <row r="250" spans="1:13" ht="12" customHeight="1" x14ac:dyDescent="0.2">
      <c r="B250" s="25"/>
      <c r="C250" s="25"/>
      <c r="D250" s="25"/>
      <c r="E250" s="25"/>
      <c r="F250" s="25"/>
      <c r="G250" s="25"/>
      <c r="H250" s="25"/>
    </row>
    <row r="251" spans="1:13" ht="12" customHeight="1" x14ac:dyDescent="0.2">
      <c r="B251" s="25"/>
      <c r="C251" s="25"/>
      <c r="D251" s="25"/>
      <c r="E251" s="25"/>
      <c r="F251" s="25"/>
      <c r="G251" s="25"/>
      <c r="H251" s="25"/>
    </row>
    <row r="252" spans="1:13" ht="12" customHeight="1" x14ac:dyDescent="0.2">
      <c r="B252" s="25"/>
      <c r="C252" s="25"/>
      <c r="D252" s="25"/>
      <c r="E252" s="25"/>
      <c r="F252" s="25"/>
      <c r="G252" s="25"/>
      <c r="H252" s="25"/>
    </row>
    <row r="253" spans="1:13" ht="12" customHeight="1" x14ac:dyDescent="0.2">
      <c r="B253" s="25"/>
      <c r="C253" s="25"/>
      <c r="D253" s="25"/>
      <c r="E253" s="25"/>
      <c r="F253" s="25"/>
      <c r="G253" s="25"/>
      <c r="H253" s="25"/>
    </row>
    <row r="254" spans="1:13" ht="12" customHeight="1" x14ac:dyDescent="0.2">
      <c r="B254" s="25"/>
      <c r="C254" s="25"/>
      <c r="D254" s="25"/>
      <c r="E254" s="25"/>
      <c r="F254" s="25"/>
      <c r="G254" s="25"/>
      <c r="H254" s="25"/>
    </row>
    <row r="255" spans="1:13" ht="12" customHeight="1" x14ac:dyDescent="0.2">
      <c r="B255" s="25"/>
      <c r="C255" s="25"/>
      <c r="D255" s="25"/>
      <c r="E255" s="25"/>
      <c r="F255" s="25"/>
      <c r="G255" s="25"/>
      <c r="H255" s="25"/>
    </row>
    <row r="256" spans="1:13" ht="12" customHeight="1" x14ac:dyDescent="0.2"/>
    <row r="257" spans="1:13" ht="21.75" customHeight="1" x14ac:dyDescent="0.2">
      <c r="A257" s="570" t="s">
        <v>340</v>
      </c>
      <c r="B257" s="570"/>
      <c r="C257" s="570"/>
      <c r="D257" s="570"/>
      <c r="E257" s="570"/>
      <c r="F257" s="570"/>
      <c r="G257" s="570"/>
      <c r="H257" s="570"/>
    </row>
    <row r="258" spans="1:13" ht="12" customHeight="1" x14ac:dyDescent="0.2">
      <c r="A258" s="2" t="s">
        <v>33</v>
      </c>
      <c r="B258" s="125" t="s">
        <v>35</v>
      </c>
      <c r="C258" s="125" t="s">
        <v>36</v>
      </c>
      <c r="D258" s="125" t="s">
        <v>37</v>
      </c>
      <c r="E258" s="125" t="s">
        <v>38</v>
      </c>
      <c r="F258" s="125" t="s">
        <v>329</v>
      </c>
      <c r="G258" s="125" t="s">
        <v>40</v>
      </c>
      <c r="H258" s="125" t="s">
        <v>28</v>
      </c>
    </row>
    <row r="259" spans="1:13" ht="14.25" customHeight="1" x14ac:dyDescent="0.2">
      <c r="A259" s="126" t="s">
        <v>267</v>
      </c>
      <c r="B259" s="37"/>
      <c r="C259" s="37"/>
      <c r="D259" s="37"/>
      <c r="E259" s="37"/>
      <c r="F259" s="37"/>
      <c r="G259" s="37"/>
      <c r="H259" s="37"/>
    </row>
    <row r="260" spans="1:13" ht="11.25" customHeight="1" x14ac:dyDescent="0.2">
      <c r="A260" s="308" t="s">
        <v>30</v>
      </c>
      <c r="B260" s="37">
        <f t="shared" ref="B260:H260" si="27">AVERAGE(B10:B14)</f>
        <v>416.2</v>
      </c>
      <c r="C260" s="37">
        <f t="shared" si="27"/>
        <v>52.666666666666664</v>
      </c>
      <c r="D260" s="37">
        <f t="shared" si="27"/>
        <v>1661.5</v>
      </c>
      <c r="E260" s="37">
        <f t="shared" si="27"/>
        <v>1331.6</v>
      </c>
      <c r="F260" s="37">
        <f t="shared" si="27"/>
        <v>14</v>
      </c>
      <c r="G260" s="37" t="str">
        <f>G18</f>
        <v>-</v>
      </c>
      <c r="H260" s="37">
        <f t="shared" si="27"/>
        <v>3111.4</v>
      </c>
    </row>
    <row r="261" spans="1:13" ht="11.25" customHeight="1" x14ac:dyDescent="0.2">
      <c r="A261" s="308" t="s">
        <v>87</v>
      </c>
      <c r="B261" s="37">
        <f t="shared" ref="B261:H261" si="28">AVERAGE(B15:B19)</f>
        <v>480</v>
      </c>
      <c r="C261" s="37">
        <f t="shared" si="28"/>
        <v>178</v>
      </c>
      <c r="D261" s="37">
        <f t="shared" si="28"/>
        <v>7.5</v>
      </c>
      <c r="E261" s="37">
        <f t="shared" si="28"/>
        <v>434.4</v>
      </c>
      <c r="F261" s="37" t="str">
        <f>F19</f>
        <v>-</v>
      </c>
      <c r="G261" s="37" t="str">
        <f>G19</f>
        <v>-</v>
      </c>
      <c r="H261" s="37">
        <f t="shared" si="28"/>
        <v>928.2</v>
      </c>
    </row>
    <row r="262" spans="1:13" ht="11.25" customHeight="1" x14ac:dyDescent="0.2">
      <c r="A262" s="308" t="s">
        <v>14</v>
      </c>
      <c r="B262" s="37">
        <f>AVERAGE(B20:B24)</f>
        <v>652.33333333333337</v>
      </c>
      <c r="C262" s="37">
        <f>AVERAGE(C20:C24)</f>
        <v>416.33333333333331</v>
      </c>
      <c r="D262" s="37">
        <f>AVERAGE(D20:D24)</f>
        <v>296</v>
      </c>
      <c r="E262" s="37">
        <f>AVERAGE(E20:E24)</f>
        <v>405.75</v>
      </c>
      <c r="F262" s="37">
        <f>AVERAGE(F20:F24)</f>
        <v>131.5</v>
      </c>
      <c r="G262" s="37" t="str">
        <f>G20</f>
        <v>-</v>
      </c>
      <c r="H262" s="37">
        <f>AVERAGE(H20:H24)</f>
        <v>1421</v>
      </c>
    </row>
    <row r="263" spans="1:13" ht="11.25" customHeight="1" x14ac:dyDescent="0.2">
      <c r="A263" s="308" t="s">
        <v>207</v>
      </c>
      <c r="B263" s="37">
        <f>AVERAGE(B25:B29)</f>
        <v>139.5</v>
      </c>
      <c r="C263" s="37">
        <f>AVERAGE(C25:C29)</f>
        <v>62.5</v>
      </c>
      <c r="D263" s="37">
        <f>AVERAGE(D25:D29)</f>
        <v>96</v>
      </c>
      <c r="E263" s="37">
        <f>AVERAGE(E25:E29)</f>
        <v>88</v>
      </c>
      <c r="F263" s="37" t="s">
        <v>29</v>
      </c>
      <c r="G263" s="37" t="str">
        <f>G25</f>
        <v>-</v>
      </c>
      <c r="H263" s="37">
        <f>AVERAGE(H25:H29)</f>
        <v>235.2</v>
      </c>
    </row>
    <row r="264" spans="1:13" ht="11.25" customHeight="1" x14ac:dyDescent="0.2">
      <c r="A264" s="308" t="s">
        <v>238</v>
      </c>
      <c r="B264" s="37">
        <f>AVERAGE(B30:B34)</f>
        <v>164.6</v>
      </c>
      <c r="C264" s="37">
        <f>AVERAGE(C30:C34)</f>
        <v>55.8</v>
      </c>
      <c r="D264" s="37">
        <f>AVERAGE(D30:D34)</f>
        <v>129.4</v>
      </c>
      <c r="E264" s="37">
        <f>AVERAGE(E30:E34)</f>
        <v>118.5</v>
      </c>
      <c r="F264" s="37">
        <f>AVERAGE(F30:F34)</f>
        <v>23.5</v>
      </c>
      <c r="G264" s="37" t="str">
        <f>G30</f>
        <v>-</v>
      </c>
      <c r="H264" s="37">
        <f>AVERAGE(H30:H34)</f>
        <v>454</v>
      </c>
    </row>
    <row r="265" spans="1:13" ht="11.25" customHeight="1" x14ac:dyDescent="0.2">
      <c r="A265" s="308">
        <v>2006</v>
      </c>
      <c r="B265" s="37">
        <f t="shared" ref="B265:H277" si="29">B35</f>
        <v>144</v>
      </c>
      <c r="C265" s="37">
        <f t="shared" si="29"/>
        <v>89</v>
      </c>
      <c r="D265" s="37">
        <f t="shared" si="29"/>
        <v>15</v>
      </c>
      <c r="E265" s="37">
        <f t="shared" si="29"/>
        <v>54</v>
      </c>
      <c r="F265" s="37">
        <f t="shared" si="29"/>
        <v>38</v>
      </c>
      <c r="G265" s="37" t="str">
        <f t="shared" si="29"/>
        <v>-</v>
      </c>
      <c r="H265" s="37">
        <f t="shared" si="29"/>
        <v>340</v>
      </c>
    </row>
    <row r="266" spans="1:13" s="342" customFormat="1" ht="11.25" customHeight="1" x14ac:dyDescent="0.2">
      <c r="A266" s="308">
        <v>2007</v>
      </c>
      <c r="B266" s="37">
        <f t="shared" si="29"/>
        <v>49</v>
      </c>
      <c r="C266" s="37">
        <f t="shared" si="29"/>
        <v>10</v>
      </c>
      <c r="D266" s="37">
        <f t="shared" si="29"/>
        <v>37</v>
      </c>
      <c r="E266" s="37">
        <f t="shared" si="29"/>
        <v>2</v>
      </c>
      <c r="F266" s="37">
        <f t="shared" si="29"/>
        <v>2</v>
      </c>
      <c r="G266" s="37" t="str">
        <f t="shared" si="29"/>
        <v>-</v>
      </c>
      <c r="H266" s="37">
        <f t="shared" si="29"/>
        <v>100</v>
      </c>
      <c r="I266" s="148"/>
      <c r="J266" s="148"/>
      <c r="K266" s="148"/>
      <c r="L266" s="148"/>
      <c r="M266" s="148"/>
    </row>
    <row r="267" spans="1:13" s="342" customFormat="1" ht="11.25" customHeight="1" x14ac:dyDescent="0.2">
      <c r="A267" s="308">
        <v>2008</v>
      </c>
      <c r="B267" s="37">
        <f t="shared" si="29"/>
        <v>34</v>
      </c>
      <c r="C267" s="37">
        <f t="shared" si="29"/>
        <v>65</v>
      </c>
      <c r="D267" s="37">
        <f t="shared" si="29"/>
        <v>1</v>
      </c>
      <c r="E267" s="37">
        <f t="shared" si="29"/>
        <v>9</v>
      </c>
      <c r="F267" s="37">
        <f t="shared" si="29"/>
        <v>0</v>
      </c>
      <c r="G267" s="37" t="str">
        <f t="shared" si="29"/>
        <v>-</v>
      </c>
      <c r="H267" s="37">
        <f t="shared" si="29"/>
        <v>109</v>
      </c>
      <c r="I267" s="148"/>
      <c r="J267" s="148"/>
      <c r="K267" s="148"/>
      <c r="L267" s="148"/>
      <c r="M267" s="148"/>
    </row>
    <row r="268" spans="1:13" s="342" customFormat="1" ht="11.25" customHeight="1" x14ac:dyDescent="0.2">
      <c r="A268" s="308">
        <v>2009</v>
      </c>
      <c r="B268" s="37">
        <f t="shared" si="29"/>
        <v>68</v>
      </c>
      <c r="C268" s="37">
        <f t="shared" si="29"/>
        <v>74</v>
      </c>
      <c r="D268" s="37">
        <f t="shared" si="29"/>
        <v>50</v>
      </c>
      <c r="E268" s="37">
        <f t="shared" si="29"/>
        <v>2</v>
      </c>
      <c r="F268" s="37">
        <f t="shared" si="29"/>
        <v>2</v>
      </c>
      <c r="G268" s="37" t="str">
        <f t="shared" si="29"/>
        <v>-</v>
      </c>
      <c r="H268" s="37">
        <f t="shared" si="29"/>
        <v>196</v>
      </c>
      <c r="I268" s="148"/>
      <c r="J268" s="148"/>
      <c r="K268" s="148"/>
      <c r="L268" s="148"/>
      <c r="M268" s="148"/>
    </row>
    <row r="269" spans="1:13" s="342" customFormat="1" ht="11.25" customHeight="1" x14ac:dyDescent="0.2">
      <c r="A269" s="308">
        <v>2010</v>
      </c>
      <c r="B269" s="37">
        <f t="shared" si="29"/>
        <v>139</v>
      </c>
      <c r="C269" s="37">
        <f t="shared" si="29"/>
        <v>97</v>
      </c>
      <c r="D269" s="37">
        <f t="shared" si="29"/>
        <v>44</v>
      </c>
      <c r="E269" s="37">
        <f t="shared" si="29"/>
        <v>18</v>
      </c>
      <c r="F269" s="37">
        <f t="shared" si="29"/>
        <v>0</v>
      </c>
      <c r="G269" s="37" t="str">
        <f t="shared" si="29"/>
        <v>-</v>
      </c>
      <c r="H269" s="37">
        <f t="shared" si="29"/>
        <v>298</v>
      </c>
      <c r="I269" s="148"/>
      <c r="J269" s="148"/>
      <c r="K269" s="148"/>
      <c r="L269" s="148"/>
      <c r="M269" s="148"/>
    </row>
    <row r="270" spans="1:13" s="342" customFormat="1" ht="11.25" customHeight="1" x14ac:dyDescent="0.2">
      <c r="A270" s="308">
        <v>2011</v>
      </c>
      <c r="B270" s="37">
        <f t="shared" si="29"/>
        <v>107</v>
      </c>
      <c r="C270" s="37">
        <f t="shared" si="29"/>
        <v>34</v>
      </c>
      <c r="D270" s="37">
        <f t="shared" si="29"/>
        <v>17</v>
      </c>
      <c r="E270" s="37">
        <f t="shared" si="29"/>
        <v>3</v>
      </c>
      <c r="F270" s="37">
        <f t="shared" si="29"/>
        <v>9</v>
      </c>
      <c r="G270" s="37" t="str">
        <f t="shared" si="29"/>
        <v>-</v>
      </c>
      <c r="H270" s="37">
        <f t="shared" si="29"/>
        <v>170</v>
      </c>
      <c r="I270" s="148"/>
      <c r="J270" s="148"/>
      <c r="K270" s="148"/>
      <c r="L270" s="148"/>
      <c r="M270" s="148"/>
    </row>
    <row r="271" spans="1:13" s="342" customFormat="1" ht="11.25" customHeight="1" x14ac:dyDescent="0.2">
      <c r="A271" s="157">
        <v>2012</v>
      </c>
      <c r="B271" s="37">
        <f t="shared" si="29"/>
        <v>114</v>
      </c>
      <c r="C271" s="37">
        <f t="shared" si="29"/>
        <v>83</v>
      </c>
      <c r="D271" s="37">
        <f t="shared" si="29"/>
        <v>21</v>
      </c>
      <c r="E271" s="37">
        <f t="shared" si="29"/>
        <v>21</v>
      </c>
      <c r="F271" s="37">
        <f t="shared" si="29"/>
        <v>15</v>
      </c>
      <c r="G271" s="37" t="str">
        <f t="shared" si="29"/>
        <v>-</v>
      </c>
      <c r="H271" s="37">
        <f t="shared" si="29"/>
        <v>254</v>
      </c>
      <c r="I271" s="148"/>
      <c r="J271" s="148"/>
      <c r="K271" s="148"/>
      <c r="L271" s="148"/>
      <c r="M271" s="148"/>
    </row>
    <row r="272" spans="1:13" s="342" customFormat="1" ht="11.45" customHeight="1" x14ac:dyDescent="0.2">
      <c r="A272" s="157">
        <v>2013</v>
      </c>
      <c r="B272" s="37">
        <f t="shared" si="29"/>
        <v>151</v>
      </c>
      <c r="C272" s="37" t="str">
        <f t="shared" si="29"/>
        <v>-</v>
      </c>
      <c r="D272" s="37">
        <f t="shared" si="29"/>
        <v>90</v>
      </c>
      <c r="E272" s="37">
        <f t="shared" si="29"/>
        <v>4</v>
      </c>
      <c r="F272" s="37" t="str">
        <f t="shared" si="29"/>
        <v>-</v>
      </c>
      <c r="G272" s="37" t="str">
        <f t="shared" si="29"/>
        <v>-</v>
      </c>
      <c r="H272" s="37">
        <f t="shared" si="29"/>
        <v>245</v>
      </c>
      <c r="I272" s="148"/>
      <c r="J272" s="148"/>
      <c r="K272" s="148"/>
      <c r="L272" s="148"/>
      <c r="M272" s="148"/>
    </row>
    <row r="273" spans="1:13" s="342" customFormat="1" ht="11.45" customHeight="1" x14ac:dyDescent="0.2">
      <c r="A273" s="157">
        <v>2014</v>
      </c>
      <c r="B273" s="37">
        <f t="shared" si="29"/>
        <v>109</v>
      </c>
      <c r="C273" s="37">
        <f t="shared" si="29"/>
        <v>1</v>
      </c>
      <c r="D273" s="37">
        <f t="shared" si="29"/>
        <v>6</v>
      </c>
      <c r="E273" s="37">
        <f t="shared" si="29"/>
        <v>5</v>
      </c>
      <c r="F273" s="37" t="str">
        <f t="shared" si="29"/>
        <v>-</v>
      </c>
      <c r="G273" s="37" t="str">
        <f t="shared" si="29"/>
        <v>-</v>
      </c>
      <c r="H273" s="37">
        <f t="shared" si="29"/>
        <v>121</v>
      </c>
      <c r="I273" s="148"/>
      <c r="J273" s="148"/>
      <c r="K273" s="148"/>
      <c r="L273" s="148"/>
      <c r="M273" s="148"/>
    </row>
    <row r="274" spans="1:13" s="342" customFormat="1" ht="11.45" customHeight="1" x14ac:dyDescent="0.2">
      <c r="A274" s="308">
        <v>2015</v>
      </c>
      <c r="B274" s="37">
        <f t="shared" si="29"/>
        <v>180</v>
      </c>
      <c r="C274" s="37">
        <f t="shared" si="29"/>
        <v>66</v>
      </c>
      <c r="D274" s="37">
        <f t="shared" si="29"/>
        <v>14</v>
      </c>
      <c r="E274" s="37">
        <f t="shared" si="29"/>
        <v>3</v>
      </c>
      <c r="F274" s="37">
        <f t="shared" si="29"/>
        <v>3</v>
      </c>
      <c r="G274" s="37" t="str">
        <f t="shared" si="29"/>
        <v>-</v>
      </c>
      <c r="H274" s="37">
        <f t="shared" si="29"/>
        <v>266</v>
      </c>
      <c r="I274" s="148"/>
      <c r="J274" s="148"/>
      <c r="K274" s="148"/>
      <c r="L274" s="148"/>
      <c r="M274" s="148"/>
    </row>
    <row r="275" spans="1:13" s="342" customFormat="1" ht="11.45" customHeight="1" x14ac:dyDescent="0.2">
      <c r="A275" s="308">
        <v>2016</v>
      </c>
      <c r="B275" s="37">
        <f t="shared" si="29"/>
        <v>85</v>
      </c>
      <c r="C275" s="37">
        <f t="shared" si="29"/>
        <v>56</v>
      </c>
      <c r="D275" s="37">
        <f t="shared" si="29"/>
        <v>3</v>
      </c>
      <c r="E275" s="37">
        <f t="shared" si="29"/>
        <v>4</v>
      </c>
      <c r="F275" s="37" t="str">
        <f t="shared" si="29"/>
        <v>-</v>
      </c>
      <c r="G275" s="37" t="str">
        <f t="shared" si="29"/>
        <v>-</v>
      </c>
      <c r="H275" s="37">
        <f t="shared" si="29"/>
        <v>148</v>
      </c>
      <c r="I275" s="148"/>
      <c r="J275" s="148"/>
      <c r="K275" s="148"/>
      <c r="L275" s="148"/>
      <c r="M275" s="148"/>
    </row>
    <row r="276" spans="1:13" s="342" customFormat="1" ht="11.25" customHeight="1" x14ac:dyDescent="0.2">
      <c r="A276" s="308">
        <v>2017</v>
      </c>
      <c r="B276" s="37">
        <f t="shared" si="29"/>
        <v>41</v>
      </c>
      <c r="C276" s="37">
        <f t="shared" si="29"/>
        <v>40</v>
      </c>
      <c r="D276" s="37">
        <f t="shared" si="29"/>
        <v>140</v>
      </c>
      <c r="E276" s="37">
        <f t="shared" si="29"/>
        <v>112</v>
      </c>
      <c r="F276" s="37">
        <f t="shared" si="29"/>
        <v>34</v>
      </c>
      <c r="G276" s="37" t="str">
        <f t="shared" si="29"/>
        <v>-</v>
      </c>
      <c r="H276" s="37">
        <f t="shared" si="29"/>
        <v>367</v>
      </c>
      <c r="I276" s="148"/>
      <c r="J276" s="148"/>
      <c r="K276" s="148"/>
      <c r="L276" s="148"/>
      <c r="M276" s="148"/>
    </row>
    <row r="277" spans="1:13" s="347" customFormat="1" ht="12" customHeight="1" x14ac:dyDescent="0.2">
      <c r="A277" s="308">
        <v>2018</v>
      </c>
      <c r="B277" s="37">
        <f t="shared" si="29"/>
        <v>234</v>
      </c>
      <c r="C277" s="37">
        <f t="shared" si="29"/>
        <v>121</v>
      </c>
      <c r="D277" s="37">
        <f t="shared" si="29"/>
        <v>149</v>
      </c>
      <c r="E277" s="37">
        <f t="shared" si="29"/>
        <v>22</v>
      </c>
      <c r="F277" s="37">
        <f t="shared" si="29"/>
        <v>15</v>
      </c>
      <c r="G277" s="37" t="str">
        <f t="shared" si="29"/>
        <v>-</v>
      </c>
      <c r="H277" s="37">
        <f t="shared" si="29"/>
        <v>541</v>
      </c>
      <c r="I277" s="148"/>
      <c r="J277" s="148"/>
      <c r="K277" s="148"/>
      <c r="L277" s="148"/>
      <c r="M277" s="148"/>
    </row>
    <row r="278" spans="1:13" s="487" customFormat="1" ht="12" customHeight="1" x14ac:dyDescent="0.2">
      <c r="A278" s="492">
        <v>2019</v>
      </c>
      <c r="B278" s="37">
        <f t="shared" ref="B278:H279" si="30">B48</f>
        <v>138</v>
      </c>
      <c r="C278" s="37">
        <f t="shared" si="30"/>
        <v>271</v>
      </c>
      <c r="D278" s="37">
        <f t="shared" si="30"/>
        <v>498</v>
      </c>
      <c r="E278" s="37">
        <f t="shared" si="30"/>
        <v>25</v>
      </c>
      <c r="F278" s="37">
        <f t="shared" si="30"/>
        <v>10</v>
      </c>
      <c r="G278" s="37" t="str">
        <f>G48</f>
        <v>-</v>
      </c>
      <c r="H278" s="37">
        <f t="shared" si="30"/>
        <v>942</v>
      </c>
      <c r="I278" s="148"/>
      <c r="J278" s="148"/>
      <c r="K278" s="148"/>
      <c r="L278" s="148"/>
      <c r="M278" s="148"/>
    </row>
    <row r="279" spans="1:13" ht="12" customHeight="1" x14ac:dyDescent="0.2">
      <c r="A279" s="488" t="s">
        <v>394</v>
      </c>
      <c r="B279" s="37">
        <f t="shared" si="30"/>
        <v>25</v>
      </c>
      <c r="C279" s="37">
        <f t="shared" si="30"/>
        <v>49</v>
      </c>
      <c r="D279" s="37">
        <f t="shared" si="30"/>
        <v>47</v>
      </c>
      <c r="E279" s="37">
        <f t="shared" si="30"/>
        <v>16</v>
      </c>
      <c r="F279" s="37">
        <f t="shared" si="30"/>
        <v>0</v>
      </c>
      <c r="G279" s="37" t="str">
        <f>G49</f>
        <v>-</v>
      </c>
      <c r="H279" s="37">
        <f t="shared" si="30"/>
        <v>137</v>
      </c>
    </row>
    <row r="280" spans="1:13" ht="9" customHeight="1" x14ac:dyDescent="0.2">
      <c r="A280" s="308"/>
      <c r="B280" s="37"/>
      <c r="C280" s="37"/>
      <c r="D280" s="37"/>
      <c r="E280" s="37"/>
      <c r="F280" s="37"/>
      <c r="G280" s="37"/>
      <c r="H280" s="37"/>
    </row>
    <row r="281" spans="1:13" ht="11.25" customHeight="1" x14ac:dyDescent="0.2">
      <c r="A281" s="388" t="s">
        <v>66</v>
      </c>
      <c r="B281" s="37"/>
      <c r="C281" s="37"/>
      <c r="D281" s="37"/>
      <c r="E281" s="37"/>
      <c r="F281" s="37"/>
      <c r="G281" s="37"/>
      <c r="H281" s="37"/>
    </row>
    <row r="282" spans="1:13" ht="11.25" customHeight="1" x14ac:dyDescent="0.2">
      <c r="A282" s="308" t="s">
        <v>30</v>
      </c>
      <c r="B282" s="37">
        <f t="shared" ref="B282:H282" si="31">AVERAGE(B57:B61)</f>
        <v>174.6</v>
      </c>
      <c r="C282" s="37">
        <f t="shared" si="31"/>
        <v>25.333333333333332</v>
      </c>
      <c r="D282" s="37">
        <f t="shared" si="31"/>
        <v>1198.5</v>
      </c>
      <c r="E282" s="37">
        <f t="shared" si="31"/>
        <v>505</v>
      </c>
      <c r="F282" s="37" t="str">
        <f>+F65</f>
        <v>-</v>
      </c>
      <c r="G282" s="37" t="str">
        <f>+G65</f>
        <v>-</v>
      </c>
      <c r="H282" s="37">
        <f t="shared" si="31"/>
        <v>1552.6</v>
      </c>
      <c r="I282" s="200"/>
    </row>
    <row r="283" spans="1:13" ht="11.25" customHeight="1" x14ac:dyDescent="0.2">
      <c r="A283" s="308" t="s">
        <v>87</v>
      </c>
      <c r="B283" s="37">
        <f t="shared" ref="B283:H283" si="32">AVERAGE(B62:B66)</f>
        <v>186</v>
      </c>
      <c r="C283" s="37">
        <f t="shared" si="32"/>
        <v>109.66666666666667</v>
      </c>
      <c r="D283" s="37">
        <f t="shared" si="32"/>
        <v>5</v>
      </c>
      <c r="E283" s="37">
        <f t="shared" si="32"/>
        <v>136</v>
      </c>
      <c r="F283" s="37">
        <f t="shared" si="32"/>
        <v>15</v>
      </c>
      <c r="G283" s="37" t="str">
        <f>+G66</f>
        <v>-</v>
      </c>
      <c r="H283" s="37">
        <f t="shared" si="32"/>
        <v>300.2</v>
      </c>
      <c r="I283" s="200"/>
    </row>
    <row r="284" spans="1:13" ht="11.25" customHeight="1" x14ac:dyDescent="0.2">
      <c r="A284" s="308" t="s">
        <v>14</v>
      </c>
      <c r="B284" s="37">
        <f>AVERAGE(B67:B71)</f>
        <v>74</v>
      </c>
      <c r="C284" s="37">
        <f>AVERAGE(C67:C71)</f>
        <v>85.333333333333329</v>
      </c>
      <c r="D284" s="37">
        <f>AVERAGE(D67:D71)</f>
        <v>127</v>
      </c>
      <c r="E284" s="37">
        <f>AVERAGE(E67:E71)</f>
        <v>52.25</v>
      </c>
      <c r="F284" s="37">
        <f>AVERAGE(F67:F71)</f>
        <v>15.5</v>
      </c>
      <c r="G284" s="37" t="str">
        <f>+G67</f>
        <v>-</v>
      </c>
      <c r="H284" s="37">
        <f>AVERAGE(H67:H71)</f>
        <v>243</v>
      </c>
      <c r="I284" s="200"/>
    </row>
    <row r="285" spans="1:13" ht="11.25" customHeight="1" x14ac:dyDescent="0.2">
      <c r="A285" s="308" t="s">
        <v>207</v>
      </c>
      <c r="B285" s="37">
        <f>AVERAGE(B72:B76)</f>
        <v>35.75</v>
      </c>
      <c r="C285" s="37">
        <f>AVERAGE(C72:C76)</f>
        <v>22.5</v>
      </c>
      <c r="D285" s="37">
        <f>AVERAGE(D72:D76)</f>
        <v>11.5</v>
      </c>
      <c r="E285" s="37">
        <f>AVERAGE(E72:E76)</f>
        <v>8</v>
      </c>
      <c r="F285" s="37">
        <f>AVERAGE(F72:F76)</f>
        <v>5</v>
      </c>
      <c r="G285" s="37" t="str">
        <f>+G72</f>
        <v>-</v>
      </c>
      <c r="H285" s="37">
        <f>AVERAGE(H72:H76)</f>
        <v>55.4</v>
      </c>
      <c r="I285" s="200"/>
    </row>
    <row r="286" spans="1:13" ht="11.25" customHeight="1" x14ac:dyDescent="0.2">
      <c r="A286" s="308" t="s">
        <v>238</v>
      </c>
      <c r="B286" s="37">
        <f>AVERAGE(B77:B81)</f>
        <v>30.6</v>
      </c>
      <c r="C286" s="37">
        <f>AVERAGE(C77:C81)</f>
        <v>11.6</v>
      </c>
      <c r="D286" s="37">
        <f>AVERAGE(D77:D81)</f>
        <v>76.2</v>
      </c>
      <c r="E286" s="37">
        <f>AVERAGE(E77:E81)</f>
        <v>88.25</v>
      </c>
      <c r="F286" s="37">
        <f>AVERAGE(F77:F81)</f>
        <v>14.5</v>
      </c>
      <c r="G286" s="37" t="str">
        <f>+G77</f>
        <v>-</v>
      </c>
      <c r="H286" s="37">
        <f>AVERAGE(H77:H81)</f>
        <v>194.8</v>
      </c>
    </row>
    <row r="287" spans="1:13" ht="11.25" customHeight="1" x14ac:dyDescent="0.2">
      <c r="A287" s="308">
        <v>2006</v>
      </c>
      <c r="B287" s="37">
        <f t="shared" ref="B287:H299" si="33">+B82</f>
        <v>39</v>
      </c>
      <c r="C287" s="37">
        <f t="shared" si="33"/>
        <v>179</v>
      </c>
      <c r="D287" s="37">
        <f t="shared" si="33"/>
        <v>63</v>
      </c>
      <c r="E287" s="37">
        <f t="shared" si="33"/>
        <v>209</v>
      </c>
      <c r="F287" s="37">
        <f t="shared" si="33"/>
        <v>107</v>
      </c>
      <c r="G287" s="37" t="str">
        <f t="shared" si="33"/>
        <v>-</v>
      </c>
      <c r="H287" s="37">
        <f t="shared" si="33"/>
        <v>597</v>
      </c>
    </row>
    <row r="288" spans="1:13" s="342" customFormat="1" ht="11.25" customHeight="1" x14ac:dyDescent="0.2">
      <c r="A288" s="308">
        <v>2007</v>
      </c>
      <c r="B288" s="37">
        <f t="shared" si="33"/>
        <v>29</v>
      </c>
      <c r="C288" s="37">
        <f t="shared" si="33"/>
        <v>180</v>
      </c>
      <c r="D288" s="37">
        <f t="shared" si="33"/>
        <v>168</v>
      </c>
      <c r="E288" s="37">
        <f t="shared" si="33"/>
        <v>57</v>
      </c>
      <c r="F288" s="37">
        <f t="shared" si="33"/>
        <v>2</v>
      </c>
      <c r="G288" s="37" t="str">
        <f t="shared" si="33"/>
        <v>-</v>
      </c>
      <c r="H288" s="37">
        <f t="shared" si="33"/>
        <v>436</v>
      </c>
      <c r="I288" s="148"/>
      <c r="J288" s="148"/>
      <c r="K288" s="148"/>
      <c r="L288" s="148"/>
      <c r="M288" s="148"/>
    </row>
    <row r="289" spans="1:13" s="342" customFormat="1" ht="11.25" customHeight="1" x14ac:dyDescent="0.2">
      <c r="A289" s="308">
        <v>2008</v>
      </c>
      <c r="B289" s="37">
        <f t="shared" si="33"/>
        <v>10</v>
      </c>
      <c r="C289" s="37">
        <f t="shared" si="33"/>
        <v>118</v>
      </c>
      <c r="D289" s="37">
        <f t="shared" si="33"/>
        <v>119</v>
      </c>
      <c r="E289" s="37">
        <f t="shared" si="33"/>
        <v>73</v>
      </c>
      <c r="F289" s="37">
        <f t="shared" si="33"/>
        <v>11</v>
      </c>
      <c r="G289" s="37" t="str">
        <f t="shared" si="33"/>
        <v>-</v>
      </c>
      <c r="H289" s="37">
        <f t="shared" si="33"/>
        <v>331</v>
      </c>
      <c r="I289" s="148"/>
      <c r="J289" s="148"/>
      <c r="K289" s="148"/>
      <c r="L289" s="148"/>
      <c r="M289" s="148"/>
    </row>
    <row r="290" spans="1:13" s="342" customFormat="1" ht="11.25" customHeight="1" x14ac:dyDescent="0.2">
      <c r="A290" s="308">
        <v>2009</v>
      </c>
      <c r="B290" s="37">
        <f t="shared" si="33"/>
        <v>123</v>
      </c>
      <c r="C290" s="37">
        <f t="shared" si="33"/>
        <v>114</v>
      </c>
      <c r="D290" s="37">
        <f t="shared" si="33"/>
        <v>173</v>
      </c>
      <c r="E290" s="37">
        <f t="shared" si="33"/>
        <v>124</v>
      </c>
      <c r="F290" s="37">
        <f t="shared" si="33"/>
        <v>30</v>
      </c>
      <c r="G290" s="37" t="str">
        <f t="shared" si="33"/>
        <v>-</v>
      </c>
      <c r="H290" s="37">
        <f t="shared" si="33"/>
        <v>564</v>
      </c>
      <c r="I290" s="148"/>
      <c r="J290" s="148"/>
      <c r="K290" s="148"/>
      <c r="L290" s="148"/>
      <c r="M290" s="148"/>
    </row>
    <row r="291" spans="1:13" s="342" customFormat="1" ht="11.25" customHeight="1" x14ac:dyDescent="0.2">
      <c r="A291" s="308">
        <v>2010</v>
      </c>
      <c r="B291" s="37">
        <f t="shared" si="33"/>
        <v>154</v>
      </c>
      <c r="C291" s="37">
        <f t="shared" si="33"/>
        <v>93</v>
      </c>
      <c r="D291" s="37">
        <f t="shared" si="33"/>
        <v>95</v>
      </c>
      <c r="E291" s="37">
        <f t="shared" si="33"/>
        <v>81</v>
      </c>
      <c r="F291" s="37">
        <f t="shared" si="33"/>
        <v>3</v>
      </c>
      <c r="G291" s="37" t="str">
        <f t="shared" si="33"/>
        <v>-</v>
      </c>
      <c r="H291" s="37">
        <f t="shared" si="33"/>
        <v>426</v>
      </c>
      <c r="I291" s="148"/>
      <c r="J291" s="148"/>
      <c r="K291" s="148"/>
      <c r="L291" s="148"/>
      <c r="M291" s="148"/>
    </row>
    <row r="292" spans="1:13" s="342" customFormat="1" ht="11.25" customHeight="1" x14ac:dyDescent="0.2">
      <c r="A292" s="157">
        <v>2011</v>
      </c>
      <c r="B292" s="37">
        <f t="shared" si="33"/>
        <v>199</v>
      </c>
      <c r="C292" s="37">
        <f t="shared" si="33"/>
        <v>236</v>
      </c>
      <c r="D292" s="37">
        <f t="shared" si="33"/>
        <v>139</v>
      </c>
      <c r="E292" s="37">
        <f t="shared" si="33"/>
        <v>70</v>
      </c>
      <c r="F292" s="37">
        <f t="shared" si="33"/>
        <v>25</v>
      </c>
      <c r="G292" s="37" t="str">
        <f t="shared" si="33"/>
        <v>-</v>
      </c>
      <c r="H292" s="37">
        <f t="shared" si="33"/>
        <v>669</v>
      </c>
      <c r="I292" s="148"/>
      <c r="J292" s="148"/>
      <c r="K292" s="148"/>
      <c r="L292" s="148"/>
      <c r="M292" s="148"/>
    </row>
    <row r="293" spans="1:13" s="342" customFormat="1" ht="11.25" customHeight="1" x14ac:dyDescent="0.2">
      <c r="A293" s="157">
        <v>2012</v>
      </c>
      <c r="B293" s="37">
        <f t="shared" si="33"/>
        <v>124</v>
      </c>
      <c r="C293" s="37">
        <f t="shared" si="33"/>
        <v>286</v>
      </c>
      <c r="D293" s="37">
        <f t="shared" si="33"/>
        <v>229</v>
      </c>
      <c r="E293" s="37">
        <f t="shared" si="33"/>
        <v>246</v>
      </c>
      <c r="F293" s="37">
        <f t="shared" si="33"/>
        <v>160</v>
      </c>
      <c r="G293" s="37" t="str">
        <f t="shared" si="33"/>
        <v>-</v>
      </c>
      <c r="H293" s="37">
        <f t="shared" si="33"/>
        <v>1045</v>
      </c>
      <c r="I293" s="148"/>
      <c r="J293" s="148"/>
      <c r="K293" s="148"/>
      <c r="L293" s="148"/>
      <c r="M293" s="148"/>
    </row>
    <row r="294" spans="1:13" s="342" customFormat="1" ht="11.25" customHeight="1" x14ac:dyDescent="0.2">
      <c r="A294" s="157">
        <v>2013</v>
      </c>
      <c r="B294" s="37">
        <f t="shared" si="33"/>
        <v>190</v>
      </c>
      <c r="C294" s="37" t="str">
        <f t="shared" si="33"/>
        <v>-</v>
      </c>
      <c r="D294" s="37">
        <f t="shared" si="33"/>
        <v>175</v>
      </c>
      <c r="E294" s="37">
        <f t="shared" si="33"/>
        <v>70</v>
      </c>
      <c r="F294" s="37" t="str">
        <f t="shared" si="33"/>
        <v>-</v>
      </c>
      <c r="G294" s="37" t="str">
        <f t="shared" si="33"/>
        <v>-</v>
      </c>
      <c r="H294" s="37">
        <f t="shared" si="33"/>
        <v>435</v>
      </c>
      <c r="I294" s="148"/>
      <c r="J294" s="148"/>
      <c r="K294" s="148"/>
      <c r="L294" s="148"/>
      <c r="M294" s="148"/>
    </row>
    <row r="295" spans="1:13" s="342" customFormat="1" ht="11.25" customHeight="1" x14ac:dyDescent="0.2">
      <c r="A295" s="157">
        <v>2014</v>
      </c>
      <c r="B295" s="37">
        <f t="shared" si="33"/>
        <v>291</v>
      </c>
      <c r="C295" s="37">
        <f t="shared" si="33"/>
        <v>84</v>
      </c>
      <c r="D295" s="37">
        <f t="shared" si="33"/>
        <v>169</v>
      </c>
      <c r="E295" s="37">
        <f t="shared" si="33"/>
        <v>140</v>
      </c>
      <c r="F295" s="37">
        <f t="shared" si="33"/>
        <v>32</v>
      </c>
      <c r="G295" s="37" t="str">
        <f t="shared" si="33"/>
        <v>-</v>
      </c>
      <c r="H295" s="37">
        <f t="shared" si="33"/>
        <v>716</v>
      </c>
      <c r="I295" s="148"/>
      <c r="J295" s="148"/>
      <c r="K295" s="148"/>
      <c r="L295" s="148"/>
      <c r="M295" s="148"/>
    </row>
    <row r="296" spans="1:13" s="342" customFormat="1" ht="11.25" customHeight="1" x14ac:dyDescent="0.2">
      <c r="A296" s="308">
        <v>2015</v>
      </c>
      <c r="B296" s="37">
        <f t="shared" si="33"/>
        <v>227</v>
      </c>
      <c r="C296" s="37" t="str">
        <f t="shared" si="33"/>
        <v>-</v>
      </c>
      <c r="D296" s="37">
        <f t="shared" si="33"/>
        <v>194</v>
      </c>
      <c r="E296" s="37">
        <f t="shared" si="33"/>
        <v>174</v>
      </c>
      <c r="F296" s="37">
        <f t="shared" si="33"/>
        <v>62</v>
      </c>
      <c r="G296" s="37" t="str">
        <f t="shared" si="33"/>
        <v>-</v>
      </c>
      <c r="H296" s="37">
        <f t="shared" si="33"/>
        <v>657</v>
      </c>
      <c r="I296" s="148"/>
      <c r="J296" s="148"/>
      <c r="K296" s="148"/>
      <c r="L296" s="148"/>
      <c r="M296" s="148"/>
    </row>
    <row r="297" spans="1:13" s="342" customFormat="1" ht="11.25" customHeight="1" x14ac:dyDescent="0.2">
      <c r="A297" s="308">
        <v>2016</v>
      </c>
      <c r="B297" s="37">
        <f t="shared" si="33"/>
        <v>213</v>
      </c>
      <c r="C297" s="37">
        <f t="shared" si="33"/>
        <v>56</v>
      </c>
      <c r="D297" s="37">
        <f t="shared" si="33"/>
        <v>111</v>
      </c>
      <c r="E297" s="37">
        <f t="shared" si="33"/>
        <v>31</v>
      </c>
      <c r="F297" s="37" t="str">
        <f t="shared" si="33"/>
        <v>-</v>
      </c>
      <c r="G297" s="37" t="str">
        <f t="shared" si="33"/>
        <v>-</v>
      </c>
      <c r="H297" s="37">
        <f t="shared" si="33"/>
        <v>411</v>
      </c>
      <c r="I297" s="148"/>
      <c r="J297" s="148"/>
      <c r="K297" s="148"/>
      <c r="L297" s="148"/>
      <c r="M297" s="148"/>
    </row>
    <row r="298" spans="1:13" s="342" customFormat="1" ht="11.25" customHeight="1" x14ac:dyDescent="0.2">
      <c r="A298" s="308">
        <v>2017</v>
      </c>
      <c r="B298" s="37">
        <f t="shared" si="33"/>
        <v>194</v>
      </c>
      <c r="C298" s="37">
        <f t="shared" si="33"/>
        <v>89</v>
      </c>
      <c r="D298" s="37">
        <f t="shared" si="33"/>
        <v>33</v>
      </c>
      <c r="E298" s="37">
        <f t="shared" si="33"/>
        <v>129</v>
      </c>
      <c r="F298" s="37">
        <f t="shared" si="33"/>
        <v>57</v>
      </c>
      <c r="G298" s="37" t="str">
        <f t="shared" si="33"/>
        <v>-</v>
      </c>
      <c r="H298" s="37">
        <f t="shared" si="33"/>
        <v>502</v>
      </c>
      <c r="I298" s="148"/>
      <c r="J298" s="148"/>
      <c r="K298" s="148"/>
      <c r="L298" s="148"/>
      <c r="M298" s="148"/>
    </row>
    <row r="299" spans="1:13" s="347" customFormat="1" ht="12" customHeight="1" x14ac:dyDescent="0.2">
      <c r="A299" s="308">
        <v>2018</v>
      </c>
      <c r="B299" s="37">
        <f t="shared" si="33"/>
        <v>160</v>
      </c>
      <c r="C299" s="37">
        <f t="shared" si="33"/>
        <v>14</v>
      </c>
      <c r="D299" s="37">
        <f t="shared" si="33"/>
        <v>36</v>
      </c>
      <c r="E299" s="37">
        <f t="shared" si="33"/>
        <v>103</v>
      </c>
      <c r="F299" s="37">
        <f t="shared" si="33"/>
        <v>47</v>
      </c>
      <c r="G299" s="37" t="str">
        <f t="shared" si="33"/>
        <v>-</v>
      </c>
      <c r="H299" s="37">
        <f t="shared" si="33"/>
        <v>360</v>
      </c>
      <c r="I299" s="148"/>
      <c r="J299" s="148"/>
      <c r="K299" s="148"/>
      <c r="L299" s="148"/>
      <c r="M299" s="148"/>
    </row>
    <row r="300" spans="1:13" s="487" customFormat="1" ht="12" customHeight="1" x14ac:dyDescent="0.2">
      <c r="A300" s="492">
        <v>2019</v>
      </c>
      <c r="B300" s="37">
        <f t="shared" ref="B300:H301" si="34">+B95</f>
        <v>52</v>
      </c>
      <c r="C300" s="37">
        <f t="shared" si="34"/>
        <v>12</v>
      </c>
      <c r="D300" s="37">
        <f t="shared" si="34"/>
        <v>133</v>
      </c>
      <c r="E300" s="37">
        <f t="shared" si="34"/>
        <v>152</v>
      </c>
      <c r="F300" s="37">
        <f t="shared" si="34"/>
        <v>80</v>
      </c>
      <c r="G300" s="37" t="str">
        <f>+G95</f>
        <v>-</v>
      </c>
      <c r="H300" s="37">
        <f t="shared" si="34"/>
        <v>429</v>
      </c>
      <c r="I300" s="148"/>
      <c r="J300" s="148"/>
      <c r="K300" s="148"/>
      <c r="L300" s="148"/>
      <c r="M300" s="148"/>
    </row>
    <row r="301" spans="1:13" ht="12" customHeight="1" x14ac:dyDescent="0.2">
      <c r="A301" s="488" t="s">
        <v>394</v>
      </c>
      <c r="B301" s="37">
        <f t="shared" si="34"/>
        <v>25</v>
      </c>
      <c r="C301" s="37">
        <f t="shared" si="34"/>
        <v>43</v>
      </c>
      <c r="D301" s="37">
        <f t="shared" si="34"/>
        <v>147</v>
      </c>
      <c r="E301" s="37">
        <f t="shared" si="34"/>
        <v>108</v>
      </c>
      <c r="F301" s="37">
        <f t="shared" si="34"/>
        <v>13</v>
      </c>
      <c r="G301" s="37" t="str">
        <f>+G96</f>
        <v>-</v>
      </c>
      <c r="H301" s="37">
        <f t="shared" si="34"/>
        <v>336</v>
      </c>
    </row>
    <row r="302" spans="1:13" ht="7.5" customHeight="1" x14ac:dyDescent="0.2">
      <c r="A302" s="361"/>
    </row>
    <row r="303" spans="1:13" ht="11.25" customHeight="1" x14ac:dyDescent="0.2">
      <c r="A303" s="126" t="s">
        <v>64</v>
      </c>
    </row>
    <row r="304" spans="1:13" ht="11.25" customHeight="1" x14ac:dyDescent="0.2">
      <c r="A304" s="361" t="s">
        <v>30</v>
      </c>
      <c r="B304" s="24">
        <f t="shared" ref="B304:H304" si="35">AVERAGE(B104:B108)</f>
        <v>2109.1999999999998</v>
      </c>
      <c r="C304" s="24">
        <f t="shared" si="35"/>
        <v>250.25</v>
      </c>
      <c r="D304" s="24">
        <f t="shared" si="35"/>
        <v>2790</v>
      </c>
      <c r="E304" s="24">
        <f t="shared" si="35"/>
        <v>1087.3333333333333</v>
      </c>
      <c r="F304" s="24" t="str">
        <f>+F112</f>
        <v>-</v>
      </c>
      <c r="G304" s="24" t="str">
        <f>+G112</f>
        <v>-</v>
      </c>
      <c r="H304" s="24">
        <f t="shared" si="35"/>
        <v>5193.8</v>
      </c>
      <c r="I304" s="200"/>
    </row>
    <row r="305" spans="1:13" ht="11.25" customHeight="1" x14ac:dyDescent="0.2">
      <c r="A305" s="361" t="s">
        <v>87</v>
      </c>
      <c r="B305" s="24">
        <f t="shared" ref="B305:H305" si="36">AVERAGE(B109:B113)</f>
        <v>1722.6</v>
      </c>
      <c r="C305" s="24">
        <f t="shared" si="36"/>
        <v>614.25</v>
      </c>
      <c r="D305" s="24">
        <f t="shared" si="36"/>
        <v>855</v>
      </c>
      <c r="E305" s="24">
        <f t="shared" si="36"/>
        <v>390</v>
      </c>
      <c r="F305" s="24" t="str">
        <f>+F113</f>
        <v>-</v>
      </c>
      <c r="G305" s="24" t="str">
        <f>+G113</f>
        <v>-</v>
      </c>
      <c r="H305" s="24">
        <f t="shared" si="36"/>
        <v>2619</v>
      </c>
      <c r="I305" s="200"/>
    </row>
    <row r="306" spans="1:13" ht="11.25" customHeight="1" x14ac:dyDescent="0.2">
      <c r="A306" s="361" t="s">
        <v>14</v>
      </c>
      <c r="B306" s="24">
        <f>AVERAGE(B114:B118)</f>
        <v>852</v>
      </c>
      <c r="C306" s="24">
        <f>AVERAGE(C114:C118)</f>
        <v>552</v>
      </c>
      <c r="D306" s="24">
        <f>AVERAGE(D114:D118)</f>
        <v>351.5</v>
      </c>
      <c r="E306" s="24">
        <f>AVERAGE(E114:E118)</f>
        <v>235.33333333333334</v>
      </c>
      <c r="F306" s="24">
        <f>AVERAGE(F114:F118)</f>
        <v>308.5</v>
      </c>
      <c r="G306" s="24" t="str">
        <f>+G114</f>
        <v>-</v>
      </c>
      <c r="H306" s="24">
        <f>AVERAGE(H114:H118)</f>
        <v>2079.3333333333335</v>
      </c>
      <c r="I306" s="200"/>
    </row>
    <row r="307" spans="1:13" ht="11.25" customHeight="1" x14ac:dyDescent="0.2">
      <c r="A307" s="361" t="s">
        <v>207</v>
      </c>
      <c r="B307" s="24">
        <f>AVERAGE(B119:B123)</f>
        <v>46</v>
      </c>
      <c r="C307" s="24">
        <f>AVERAGE(C119:C123)</f>
        <v>39</v>
      </c>
      <c r="D307" s="24">
        <f>AVERAGE(D119:D123)</f>
        <v>50.5</v>
      </c>
      <c r="E307" s="24">
        <f>AVERAGE(E119:E123)</f>
        <v>65.333333333333329</v>
      </c>
      <c r="F307" s="24">
        <f>AVERAGE(F119:F123)</f>
        <v>2</v>
      </c>
      <c r="G307" s="24" t="str">
        <f>+G119</f>
        <v>-</v>
      </c>
      <c r="H307" s="24">
        <f>AVERAGE(H119:H123)</f>
        <v>128.19999999999999</v>
      </c>
      <c r="I307" s="200"/>
    </row>
    <row r="308" spans="1:13" ht="11.25" customHeight="1" x14ac:dyDescent="0.2">
      <c r="A308" s="361" t="s">
        <v>238</v>
      </c>
      <c r="B308" s="24">
        <f>AVERAGE(B124:B128)</f>
        <v>206.8</v>
      </c>
      <c r="C308" s="24">
        <f>AVERAGE(C124:C128)</f>
        <v>73.400000000000006</v>
      </c>
      <c r="D308" s="24">
        <f>AVERAGE(D124:D128)</f>
        <v>151.19999999999999</v>
      </c>
      <c r="E308" s="24">
        <f>AVERAGE(E124:E128)</f>
        <v>128.80000000000001</v>
      </c>
      <c r="F308" s="24">
        <f>AVERAGE(F124:F128)</f>
        <v>54.666666666666664</v>
      </c>
      <c r="G308" s="24" t="str">
        <f>+G124</f>
        <v>-</v>
      </c>
      <c r="H308" s="24">
        <f>AVERAGE(H124:H128)</f>
        <v>593</v>
      </c>
    </row>
    <row r="309" spans="1:13" ht="11.25" customHeight="1" x14ac:dyDescent="0.2">
      <c r="A309" s="361">
        <v>2006</v>
      </c>
      <c r="B309" s="24">
        <f t="shared" ref="B309:H321" si="37">+B129</f>
        <v>176</v>
      </c>
      <c r="C309" s="24">
        <f t="shared" si="37"/>
        <v>113</v>
      </c>
      <c r="D309" s="24">
        <f t="shared" si="37"/>
        <v>21</v>
      </c>
      <c r="E309" s="24">
        <f t="shared" si="37"/>
        <v>33</v>
      </c>
      <c r="F309" s="24">
        <f t="shared" si="37"/>
        <v>24</v>
      </c>
      <c r="G309" s="24" t="str">
        <f t="shared" si="37"/>
        <v>-</v>
      </c>
      <c r="H309" s="24">
        <f t="shared" si="37"/>
        <v>367</v>
      </c>
    </row>
    <row r="310" spans="1:13" s="342" customFormat="1" ht="11.25" customHeight="1" x14ac:dyDescent="0.2">
      <c r="A310" s="308">
        <v>2007</v>
      </c>
      <c r="B310" s="37">
        <f t="shared" si="37"/>
        <v>367</v>
      </c>
      <c r="C310" s="37">
        <f t="shared" si="37"/>
        <v>63</v>
      </c>
      <c r="D310" s="37">
        <f t="shared" si="37"/>
        <v>149</v>
      </c>
      <c r="E310" s="37">
        <f t="shared" si="37"/>
        <v>55</v>
      </c>
      <c r="F310" s="37">
        <f t="shared" si="37"/>
        <v>4</v>
      </c>
      <c r="G310" s="37" t="str">
        <f t="shared" si="37"/>
        <v>-</v>
      </c>
      <c r="H310" s="37">
        <f t="shared" si="37"/>
        <v>638</v>
      </c>
      <c r="I310" s="148"/>
      <c r="J310" s="148"/>
      <c r="K310" s="148"/>
      <c r="L310" s="148"/>
      <c r="M310" s="148"/>
    </row>
    <row r="311" spans="1:13" s="342" customFormat="1" ht="11.25" customHeight="1" x14ac:dyDescent="0.2">
      <c r="A311" s="308">
        <v>2008</v>
      </c>
      <c r="B311" s="37">
        <f t="shared" si="37"/>
        <v>202</v>
      </c>
      <c r="C311" s="37">
        <f t="shared" si="37"/>
        <v>170</v>
      </c>
      <c r="D311" s="37">
        <f t="shared" si="37"/>
        <v>103</v>
      </c>
      <c r="E311" s="37">
        <f t="shared" si="37"/>
        <v>131</v>
      </c>
      <c r="F311" s="37">
        <f t="shared" si="37"/>
        <v>49</v>
      </c>
      <c r="G311" s="37" t="str">
        <f t="shared" si="37"/>
        <v>-</v>
      </c>
      <c r="H311" s="37">
        <f t="shared" si="37"/>
        <v>655</v>
      </c>
      <c r="I311" s="148"/>
      <c r="J311" s="148"/>
      <c r="K311" s="148"/>
      <c r="L311" s="148"/>
      <c r="M311" s="148"/>
    </row>
    <row r="312" spans="1:13" s="342" customFormat="1" ht="11.25" customHeight="1" x14ac:dyDescent="0.2">
      <c r="A312" s="308">
        <v>2009</v>
      </c>
      <c r="B312" s="37">
        <f t="shared" si="37"/>
        <v>276</v>
      </c>
      <c r="C312" s="37">
        <f t="shared" si="37"/>
        <v>363</v>
      </c>
      <c r="D312" s="37">
        <f t="shared" si="37"/>
        <v>209</v>
      </c>
      <c r="E312" s="37">
        <f t="shared" si="37"/>
        <v>194</v>
      </c>
      <c r="F312" s="37">
        <f t="shared" si="37"/>
        <v>102</v>
      </c>
      <c r="G312" s="37" t="str">
        <f t="shared" si="37"/>
        <v>-</v>
      </c>
      <c r="H312" s="37">
        <f t="shared" si="37"/>
        <v>1144</v>
      </c>
      <c r="I312" s="148"/>
      <c r="J312" s="148"/>
      <c r="K312" s="148"/>
      <c r="L312" s="148"/>
      <c r="M312" s="148"/>
    </row>
    <row r="313" spans="1:13" s="342" customFormat="1" ht="11.25" customHeight="1" x14ac:dyDescent="0.2">
      <c r="A313" s="308">
        <v>2010</v>
      </c>
      <c r="B313" s="37">
        <f t="shared" si="37"/>
        <v>218</v>
      </c>
      <c r="C313" s="37">
        <f t="shared" si="37"/>
        <v>668</v>
      </c>
      <c r="D313" s="37">
        <f t="shared" si="37"/>
        <v>362</v>
      </c>
      <c r="E313" s="37">
        <f t="shared" si="37"/>
        <v>329</v>
      </c>
      <c r="F313" s="37">
        <f t="shared" si="37"/>
        <v>43</v>
      </c>
      <c r="G313" s="37" t="str">
        <f t="shared" si="37"/>
        <v>-</v>
      </c>
      <c r="H313" s="37">
        <f t="shared" si="37"/>
        <v>1620</v>
      </c>
      <c r="I313" s="148"/>
      <c r="J313" s="148"/>
      <c r="K313" s="148"/>
      <c r="L313" s="148"/>
      <c r="M313" s="148"/>
    </row>
    <row r="314" spans="1:13" s="342" customFormat="1" ht="11.25" customHeight="1" x14ac:dyDescent="0.2">
      <c r="A314" s="308">
        <v>2011</v>
      </c>
      <c r="B314" s="37">
        <f t="shared" si="37"/>
        <v>300</v>
      </c>
      <c r="C314" s="37">
        <f t="shared" si="37"/>
        <v>386</v>
      </c>
      <c r="D314" s="37">
        <f t="shared" si="37"/>
        <v>292</v>
      </c>
      <c r="E314" s="37">
        <f t="shared" si="37"/>
        <v>135</v>
      </c>
      <c r="F314" s="37">
        <f t="shared" si="37"/>
        <v>20</v>
      </c>
      <c r="G314" s="37" t="str">
        <f t="shared" si="37"/>
        <v>-</v>
      </c>
      <c r="H314" s="37">
        <f t="shared" si="37"/>
        <v>1133</v>
      </c>
      <c r="I314" s="148"/>
      <c r="J314" s="148"/>
      <c r="K314" s="148"/>
      <c r="L314" s="148"/>
      <c r="M314" s="148"/>
    </row>
    <row r="315" spans="1:13" s="342" customFormat="1" ht="11.25" customHeight="1" x14ac:dyDescent="0.2">
      <c r="A315" s="157">
        <v>2012</v>
      </c>
      <c r="B315" s="37">
        <f t="shared" si="37"/>
        <v>126</v>
      </c>
      <c r="C315" s="37">
        <f t="shared" si="37"/>
        <v>264</v>
      </c>
      <c r="D315" s="37">
        <f t="shared" si="37"/>
        <v>202</v>
      </c>
      <c r="E315" s="37">
        <f t="shared" si="37"/>
        <v>39</v>
      </c>
      <c r="F315" s="37">
        <f t="shared" si="37"/>
        <v>23</v>
      </c>
      <c r="G315" s="37" t="str">
        <f t="shared" si="37"/>
        <v>-</v>
      </c>
      <c r="H315" s="37">
        <f t="shared" si="37"/>
        <v>654</v>
      </c>
      <c r="I315" s="148"/>
      <c r="J315" s="148"/>
      <c r="K315" s="148"/>
      <c r="L315" s="148"/>
      <c r="M315" s="148"/>
    </row>
    <row r="316" spans="1:13" s="342" customFormat="1" ht="11.25" customHeight="1" x14ac:dyDescent="0.2">
      <c r="A316" s="157">
        <v>2013</v>
      </c>
      <c r="B316" s="37">
        <f t="shared" si="37"/>
        <v>380</v>
      </c>
      <c r="C316" s="37">
        <f t="shared" si="37"/>
        <v>498</v>
      </c>
      <c r="D316" s="37">
        <f t="shared" si="37"/>
        <v>206</v>
      </c>
      <c r="E316" s="37">
        <f t="shared" si="37"/>
        <v>331</v>
      </c>
      <c r="F316" s="37">
        <f t="shared" si="37"/>
        <v>83</v>
      </c>
      <c r="G316" s="37" t="str">
        <f t="shared" si="37"/>
        <v>-</v>
      </c>
      <c r="H316" s="37">
        <f t="shared" si="37"/>
        <v>1498</v>
      </c>
      <c r="I316" s="148"/>
      <c r="J316" s="148"/>
      <c r="K316" s="148"/>
      <c r="L316" s="148"/>
      <c r="M316" s="148"/>
    </row>
    <row r="317" spans="1:13" s="342" customFormat="1" ht="11.25" customHeight="1" x14ac:dyDescent="0.2">
      <c r="A317" s="157">
        <v>2014</v>
      </c>
      <c r="B317" s="37">
        <f t="shared" si="37"/>
        <v>189</v>
      </c>
      <c r="C317" s="37">
        <f t="shared" si="37"/>
        <v>103</v>
      </c>
      <c r="D317" s="37">
        <f t="shared" si="37"/>
        <v>222</v>
      </c>
      <c r="E317" s="37">
        <f t="shared" si="37"/>
        <v>192</v>
      </c>
      <c r="F317" s="37">
        <f t="shared" si="37"/>
        <v>85</v>
      </c>
      <c r="G317" s="37" t="str">
        <f t="shared" si="37"/>
        <v>-</v>
      </c>
      <c r="H317" s="37">
        <f t="shared" si="37"/>
        <v>791</v>
      </c>
      <c r="I317" s="148"/>
      <c r="J317" s="148"/>
      <c r="K317" s="148"/>
      <c r="L317" s="148"/>
      <c r="M317" s="148"/>
    </row>
    <row r="318" spans="1:13" s="342" customFormat="1" ht="11.25" customHeight="1" x14ac:dyDescent="0.2">
      <c r="A318" s="308">
        <v>2015</v>
      </c>
      <c r="B318" s="37">
        <f t="shared" si="37"/>
        <v>411</v>
      </c>
      <c r="C318" s="37">
        <f t="shared" si="37"/>
        <v>418</v>
      </c>
      <c r="D318" s="37">
        <f t="shared" si="37"/>
        <v>283</v>
      </c>
      <c r="E318" s="37">
        <f t="shared" si="37"/>
        <v>273</v>
      </c>
      <c r="F318" s="37">
        <f t="shared" si="37"/>
        <v>62</v>
      </c>
      <c r="G318" s="37" t="str">
        <f t="shared" si="37"/>
        <v>-</v>
      </c>
      <c r="H318" s="37">
        <f t="shared" si="37"/>
        <v>1447</v>
      </c>
      <c r="I318" s="148"/>
      <c r="J318" s="148"/>
      <c r="K318" s="148"/>
      <c r="L318" s="148"/>
      <c r="M318" s="148"/>
    </row>
    <row r="319" spans="1:13" s="342" customFormat="1" ht="11.25" customHeight="1" x14ac:dyDescent="0.2">
      <c r="A319" s="308">
        <v>2016</v>
      </c>
      <c r="B319" s="37">
        <f t="shared" si="37"/>
        <v>349</v>
      </c>
      <c r="C319" s="37">
        <f t="shared" si="37"/>
        <v>247</v>
      </c>
      <c r="D319" s="37">
        <f t="shared" si="37"/>
        <v>134</v>
      </c>
      <c r="E319" s="37">
        <f t="shared" si="37"/>
        <v>151</v>
      </c>
      <c r="F319" s="37" t="str">
        <f t="shared" si="37"/>
        <v>-</v>
      </c>
      <c r="G319" s="37" t="str">
        <f t="shared" si="37"/>
        <v>-</v>
      </c>
      <c r="H319" s="37">
        <f t="shared" si="37"/>
        <v>881</v>
      </c>
      <c r="I319" s="148"/>
      <c r="J319" s="148"/>
      <c r="K319" s="148"/>
      <c r="L319" s="148"/>
      <c r="M319" s="148"/>
    </row>
    <row r="320" spans="1:13" s="342" customFormat="1" ht="11.25" customHeight="1" x14ac:dyDescent="0.2">
      <c r="A320" s="308">
        <v>2017</v>
      </c>
      <c r="B320" s="37">
        <f t="shared" si="37"/>
        <v>527</v>
      </c>
      <c r="C320" s="37">
        <f t="shared" si="37"/>
        <v>477</v>
      </c>
      <c r="D320" s="37">
        <f t="shared" si="37"/>
        <v>207</v>
      </c>
      <c r="E320" s="37">
        <f t="shared" si="37"/>
        <v>170</v>
      </c>
      <c r="F320" s="37">
        <f t="shared" si="37"/>
        <v>30</v>
      </c>
      <c r="G320" s="37" t="str">
        <f t="shared" si="37"/>
        <v>-</v>
      </c>
      <c r="H320" s="37">
        <f t="shared" si="37"/>
        <v>1411</v>
      </c>
      <c r="I320" s="148"/>
      <c r="J320" s="148"/>
      <c r="K320" s="148"/>
      <c r="L320" s="148"/>
      <c r="M320" s="148"/>
    </row>
    <row r="321" spans="1:13" s="347" customFormat="1" ht="12" customHeight="1" x14ac:dyDescent="0.2">
      <c r="A321" s="308">
        <v>2018</v>
      </c>
      <c r="B321" s="37">
        <f t="shared" si="37"/>
        <v>347</v>
      </c>
      <c r="C321" s="37">
        <f t="shared" si="37"/>
        <v>539</v>
      </c>
      <c r="D321" s="37">
        <f t="shared" si="37"/>
        <v>237</v>
      </c>
      <c r="E321" s="37">
        <f t="shared" si="37"/>
        <v>64</v>
      </c>
      <c r="F321" s="37">
        <f t="shared" si="37"/>
        <v>7</v>
      </c>
      <c r="G321" s="37" t="str">
        <f t="shared" si="37"/>
        <v>-</v>
      </c>
      <c r="H321" s="37">
        <f t="shared" si="37"/>
        <v>1194</v>
      </c>
      <c r="I321" s="148"/>
      <c r="J321" s="148"/>
      <c r="K321" s="148"/>
      <c r="L321" s="148"/>
      <c r="M321" s="148"/>
    </row>
    <row r="322" spans="1:13" s="487" customFormat="1" ht="12" customHeight="1" x14ac:dyDescent="0.2">
      <c r="A322" s="492">
        <v>2019</v>
      </c>
      <c r="B322" s="37">
        <f t="shared" ref="B322:H323" si="38">+B142</f>
        <v>171</v>
      </c>
      <c r="C322" s="37">
        <f t="shared" si="38"/>
        <v>52</v>
      </c>
      <c r="D322" s="37">
        <f t="shared" si="38"/>
        <v>30</v>
      </c>
      <c r="E322" s="37">
        <f t="shared" si="38"/>
        <v>14</v>
      </c>
      <c r="F322" s="37">
        <f t="shared" si="38"/>
        <v>23</v>
      </c>
      <c r="G322" s="37" t="str">
        <f>+G142</f>
        <v>-</v>
      </c>
      <c r="H322" s="37">
        <f t="shared" si="38"/>
        <v>290</v>
      </c>
      <c r="I322" s="148"/>
      <c r="J322" s="148"/>
      <c r="K322" s="148"/>
      <c r="L322" s="148"/>
      <c r="M322" s="148"/>
    </row>
    <row r="323" spans="1:13" ht="12" customHeight="1" x14ac:dyDescent="0.2">
      <c r="A323" s="488" t="s">
        <v>394</v>
      </c>
      <c r="B323" s="37">
        <f t="shared" si="38"/>
        <v>23</v>
      </c>
      <c r="C323" s="37">
        <f t="shared" si="38"/>
        <v>44</v>
      </c>
      <c r="D323" s="37">
        <f t="shared" si="38"/>
        <v>270</v>
      </c>
      <c r="E323" s="37">
        <f t="shared" si="38"/>
        <v>103</v>
      </c>
      <c r="F323" s="37">
        <f t="shared" si="38"/>
        <v>6</v>
      </c>
      <c r="G323" s="37" t="str">
        <f>+G143</f>
        <v>-</v>
      </c>
      <c r="H323" s="37">
        <f t="shared" si="38"/>
        <v>446</v>
      </c>
    </row>
    <row r="324" spans="1:13" ht="11.25" customHeight="1" x14ac:dyDescent="0.2">
      <c r="A324" s="171"/>
    </row>
    <row r="325" spans="1:13" x14ac:dyDescent="0.2">
      <c r="A325" s="171"/>
    </row>
    <row r="326" spans="1:13" x14ac:dyDescent="0.2">
      <c r="A326" s="361"/>
    </row>
    <row r="327" spans="1:13" ht="23.25" customHeight="1" x14ac:dyDescent="0.2">
      <c r="A327" s="570" t="s">
        <v>341</v>
      </c>
      <c r="B327" s="570"/>
      <c r="C327" s="570"/>
      <c r="D327" s="570"/>
      <c r="E327" s="570"/>
      <c r="F327" s="570"/>
      <c r="G327" s="570"/>
      <c r="H327" s="570"/>
    </row>
    <row r="328" spans="1:13" ht="11.25" customHeight="1" x14ac:dyDescent="0.2">
      <c r="A328" s="2" t="s">
        <v>33</v>
      </c>
      <c r="B328" s="369" t="s">
        <v>35</v>
      </c>
      <c r="C328" s="369" t="s">
        <v>36</v>
      </c>
      <c r="D328" s="369" t="s">
        <v>37</v>
      </c>
      <c r="E328" s="369" t="s">
        <v>38</v>
      </c>
      <c r="F328" s="125" t="s">
        <v>329</v>
      </c>
      <c r="G328" s="369" t="s">
        <v>40</v>
      </c>
      <c r="H328" s="369" t="s">
        <v>28</v>
      </c>
    </row>
    <row r="329" spans="1:13" x14ac:dyDescent="0.2">
      <c r="A329" s="126" t="s">
        <v>63</v>
      </c>
    </row>
    <row r="330" spans="1:13" ht="11.25" customHeight="1" x14ac:dyDescent="0.2">
      <c r="A330" s="361" t="s">
        <v>30</v>
      </c>
      <c r="B330" s="24">
        <f t="shared" ref="B330:H330" si="39">AVERAGE(B151:B155)</f>
        <v>566.4</v>
      </c>
      <c r="C330" s="24">
        <f t="shared" si="39"/>
        <v>97</v>
      </c>
      <c r="D330" s="24">
        <f t="shared" si="39"/>
        <v>1091.6666666666667</v>
      </c>
      <c r="E330" s="24">
        <f t="shared" si="39"/>
        <v>710.25</v>
      </c>
      <c r="F330" s="24">
        <f t="shared" si="39"/>
        <v>568</v>
      </c>
      <c r="G330" s="24" t="str">
        <f>+G149</f>
        <v>-</v>
      </c>
      <c r="H330" s="24">
        <f t="shared" si="39"/>
        <v>1961.4</v>
      </c>
      <c r="I330" s="200"/>
    </row>
    <row r="331" spans="1:13" ht="11.25" customHeight="1" x14ac:dyDescent="0.2">
      <c r="A331" s="361" t="s">
        <v>87</v>
      </c>
      <c r="B331" s="24">
        <f t="shared" ref="B331:H331" si="40">AVERAGE(B156:B160)</f>
        <v>196.8</v>
      </c>
      <c r="C331" s="24">
        <f t="shared" si="40"/>
        <v>60.666666666666664</v>
      </c>
      <c r="D331" s="24">
        <f t="shared" si="40"/>
        <v>284</v>
      </c>
      <c r="E331" s="24">
        <f t="shared" si="40"/>
        <v>583.33333333333337</v>
      </c>
      <c r="F331" s="24">
        <f t="shared" si="40"/>
        <v>577.5</v>
      </c>
      <c r="G331" s="24" t="str">
        <f>+G150</f>
        <v>-</v>
      </c>
      <c r="H331" s="24">
        <f t="shared" si="40"/>
        <v>871</v>
      </c>
      <c r="I331" s="200"/>
    </row>
    <row r="332" spans="1:13" ht="11.25" customHeight="1" x14ac:dyDescent="0.2">
      <c r="A332" s="361" t="s">
        <v>14</v>
      </c>
      <c r="B332" s="24">
        <f>AVERAGE(B161:B165)</f>
        <v>94.666666666666671</v>
      </c>
      <c r="C332" s="24">
        <f>AVERAGE(C161:C165)</f>
        <v>9.3333333333333339</v>
      </c>
      <c r="D332" s="24">
        <f>AVERAGE(D161:D165)</f>
        <v>63</v>
      </c>
      <c r="E332" s="24">
        <f>AVERAGE(E161:E165)</f>
        <v>160</v>
      </c>
      <c r="F332" s="24">
        <f>AVERAGE(F161:F165)</f>
        <v>43.5</v>
      </c>
      <c r="G332" s="24" t="str">
        <f>+G151</f>
        <v>-</v>
      </c>
      <c r="H332" s="24">
        <f>AVERAGE(H161:H165)</f>
        <v>335</v>
      </c>
      <c r="I332" s="200"/>
    </row>
    <row r="333" spans="1:13" ht="11.25" customHeight="1" x14ac:dyDescent="0.2">
      <c r="A333" s="361" t="s">
        <v>207</v>
      </c>
      <c r="B333" s="24">
        <f>AVERAGE(B166:B170)</f>
        <v>0</v>
      </c>
      <c r="C333" s="24">
        <f>AVERAGE(C166:C170)</f>
        <v>0</v>
      </c>
      <c r="D333" s="24" t="s">
        <v>29</v>
      </c>
      <c r="E333" s="24">
        <f>AVERAGE(E166:E170)</f>
        <v>48</v>
      </c>
      <c r="F333" s="24">
        <f>AVERAGE(F166:F170)</f>
        <v>11</v>
      </c>
      <c r="G333" s="24" t="str">
        <f>+G156</f>
        <v>-</v>
      </c>
      <c r="H333" s="24">
        <f>AVERAGE(H166:H170)</f>
        <v>19.666666666666668</v>
      </c>
      <c r="I333" s="200"/>
    </row>
    <row r="334" spans="1:13" ht="11.25" customHeight="1" x14ac:dyDescent="0.2">
      <c r="A334" s="361" t="s">
        <v>238</v>
      </c>
      <c r="B334" s="24">
        <f>AVERAGE(B171:B175)</f>
        <v>15</v>
      </c>
      <c r="C334" s="24">
        <f>AVERAGE(C171:C175)</f>
        <v>4.8</v>
      </c>
      <c r="D334" s="24">
        <f>AVERAGE(D171:D175)</f>
        <v>24.2</v>
      </c>
      <c r="E334" s="24">
        <f>AVERAGE(E171:E175)</f>
        <v>29.4</v>
      </c>
      <c r="F334" s="24">
        <f>AVERAGE(F171:F175)</f>
        <v>14.333333333333334</v>
      </c>
      <c r="G334" s="24" t="str">
        <f>+G171</f>
        <v>-</v>
      </c>
      <c r="H334" s="24">
        <f>AVERAGE(H171:H175)</f>
        <v>82</v>
      </c>
    </row>
    <row r="335" spans="1:13" ht="11.25" customHeight="1" x14ac:dyDescent="0.2">
      <c r="A335" s="361">
        <v>2006</v>
      </c>
      <c r="B335" s="24">
        <f t="shared" ref="B335:H347" si="41">+B176</f>
        <v>71</v>
      </c>
      <c r="C335" s="24">
        <f t="shared" si="41"/>
        <v>54</v>
      </c>
      <c r="D335" s="24">
        <f t="shared" si="41"/>
        <v>1</v>
      </c>
      <c r="E335" s="24">
        <f t="shared" si="41"/>
        <v>2</v>
      </c>
      <c r="F335" s="24">
        <f t="shared" si="41"/>
        <v>6</v>
      </c>
      <c r="G335" s="24" t="str">
        <f t="shared" si="41"/>
        <v>-</v>
      </c>
      <c r="H335" s="24">
        <f t="shared" si="41"/>
        <v>134</v>
      </c>
    </row>
    <row r="336" spans="1:13" s="342" customFormat="1" ht="11.25" customHeight="1" x14ac:dyDescent="0.2">
      <c r="A336" s="308">
        <v>2007</v>
      </c>
      <c r="B336" s="37">
        <f t="shared" si="41"/>
        <v>22</v>
      </c>
      <c r="C336" s="37">
        <f t="shared" si="41"/>
        <v>27</v>
      </c>
      <c r="D336" s="37">
        <f t="shared" si="41"/>
        <v>10</v>
      </c>
      <c r="E336" s="37">
        <f t="shared" si="41"/>
        <v>31</v>
      </c>
      <c r="F336" s="37">
        <f t="shared" si="41"/>
        <v>10</v>
      </c>
      <c r="G336" s="37" t="str">
        <f t="shared" si="41"/>
        <v>-</v>
      </c>
      <c r="H336" s="37">
        <f t="shared" si="41"/>
        <v>100</v>
      </c>
      <c r="I336" s="148"/>
      <c r="J336" s="148"/>
      <c r="K336" s="148"/>
      <c r="L336" s="148"/>
      <c r="M336" s="148"/>
    </row>
    <row r="337" spans="1:13" s="342" customFormat="1" ht="11.25" customHeight="1" x14ac:dyDescent="0.2">
      <c r="A337" s="308">
        <v>2008</v>
      </c>
      <c r="B337" s="37">
        <f t="shared" si="41"/>
        <v>34</v>
      </c>
      <c r="C337" s="37">
        <f t="shared" si="41"/>
        <v>80</v>
      </c>
      <c r="D337" s="37">
        <f t="shared" si="41"/>
        <v>3</v>
      </c>
      <c r="E337" s="37">
        <f t="shared" si="41"/>
        <v>8</v>
      </c>
      <c r="F337" s="37">
        <f t="shared" si="41"/>
        <v>3</v>
      </c>
      <c r="G337" s="37" t="str">
        <f t="shared" si="41"/>
        <v>-</v>
      </c>
      <c r="H337" s="37">
        <f t="shared" si="41"/>
        <v>128</v>
      </c>
      <c r="I337" s="148"/>
      <c r="J337" s="148"/>
      <c r="K337" s="148"/>
      <c r="L337" s="148"/>
      <c r="M337" s="148"/>
    </row>
    <row r="338" spans="1:13" s="342" customFormat="1" ht="11.25" customHeight="1" x14ac:dyDescent="0.2">
      <c r="A338" s="308">
        <v>2009</v>
      </c>
      <c r="B338" s="37">
        <f t="shared" si="41"/>
        <v>7</v>
      </c>
      <c r="C338" s="37">
        <f t="shared" si="41"/>
        <v>13</v>
      </c>
      <c r="D338" s="37">
        <f t="shared" si="41"/>
        <v>20</v>
      </c>
      <c r="E338" s="37">
        <f t="shared" si="41"/>
        <v>43</v>
      </c>
      <c r="F338" s="37">
        <f t="shared" si="41"/>
        <v>4</v>
      </c>
      <c r="G338" s="37" t="str">
        <f t="shared" si="41"/>
        <v>-</v>
      </c>
      <c r="H338" s="37">
        <f t="shared" si="41"/>
        <v>87</v>
      </c>
      <c r="I338" s="148"/>
      <c r="J338" s="148"/>
      <c r="K338" s="148"/>
      <c r="L338" s="148"/>
      <c r="M338" s="148"/>
    </row>
    <row r="339" spans="1:13" s="342" customFormat="1" ht="11.25" customHeight="1" x14ac:dyDescent="0.2">
      <c r="A339" s="308">
        <v>2010</v>
      </c>
      <c r="B339" s="37">
        <f t="shared" si="41"/>
        <v>23</v>
      </c>
      <c r="C339" s="37">
        <f t="shared" si="41"/>
        <v>22</v>
      </c>
      <c r="D339" s="37">
        <f t="shared" si="41"/>
        <v>23</v>
      </c>
      <c r="E339" s="37">
        <f t="shared" si="41"/>
        <v>17</v>
      </c>
      <c r="F339" s="37">
        <f t="shared" si="41"/>
        <v>7</v>
      </c>
      <c r="G339" s="37" t="str">
        <f t="shared" si="41"/>
        <v>-</v>
      </c>
      <c r="H339" s="37">
        <f t="shared" si="41"/>
        <v>92</v>
      </c>
      <c r="I339" s="148"/>
      <c r="J339" s="148"/>
      <c r="K339" s="148"/>
      <c r="L339" s="148"/>
      <c r="M339" s="148"/>
    </row>
    <row r="340" spans="1:13" s="342" customFormat="1" ht="11.25" customHeight="1" x14ac:dyDescent="0.2">
      <c r="A340" s="308">
        <v>2011</v>
      </c>
      <c r="B340" s="37">
        <f t="shared" si="41"/>
        <v>42</v>
      </c>
      <c r="C340" s="37">
        <f t="shared" si="41"/>
        <v>43</v>
      </c>
      <c r="D340" s="37">
        <f t="shared" si="41"/>
        <v>1</v>
      </c>
      <c r="E340" s="37">
        <f t="shared" si="41"/>
        <v>3</v>
      </c>
      <c r="F340" s="37">
        <f t="shared" si="41"/>
        <v>3</v>
      </c>
      <c r="G340" s="37" t="str">
        <f t="shared" si="41"/>
        <v>-</v>
      </c>
      <c r="H340" s="37">
        <f t="shared" si="41"/>
        <v>92</v>
      </c>
      <c r="I340" s="148"/>
      <c r="J340" s="148"/>
      <c r="K340" s="148"/>
      <c r="L340" s="148"/>
      <c r="M340" s="148"/>
    </row>
    <row r="341" spans="1:13" s="342" customFormat="1" ht="11.25" customHeight="1" x14ac:dyDescent="0.2">
      <c r="A341" s="157">
        <v>2012</v>
      </c>
      <c r="B341" s="37">
        <f t="shared" si="41"/>
        <v>5</v>
      </c>
      <c r="C341" s="37">
        <f t="shared" si="41"/>
        <v>76</v>
      </c>
      <c r="D341" s="37">
        <f t="shared" si="41"/>
        <v>14</v>
      </c>
      <c r="E341" s="37">
        <f t="shared" si="41"/>
        <v>2</v>
      </c>
      <c r="F341" s="37">
        <f t="shared" si="41"/>
        <v>10</v>
      </c>
      <c r="G341" s="37" t="str">
        <f t="shared" si="41"/>
        <v>-</v>
      </c>
      <c r="H341" s="37">
        <f t="shared" si="41"/>
        <v>107</v>
      </c>
      <c r="I341" s="148"/>
      <c r="J341" s="148"/>
      <c r="K341" s="148"/>
      <c r="L341" s="148"/>
      <c r="M341" s="148"/>
    </row>
    <row r="342" spans="1:13" s="342" customFormat="1" ht="11.25" customHeight="1" x14ac:dyDescent="0.2">
      <c r="A342" s="157">
        <v>2013</v>
      </c>
      <c r="B342" s="37">
        <f t="shared" si="41"/>
        <v>47</v>
      </c>
      <c r="C342" s="37">
        <f t="shared" si="41"/>
        <v>51</v>
      </c>
      <c r="D342" s="37">
        <f t="shared" si="41"/>
        <v>15</v>
      </c>
      <c r="E342" s="37">
        <f t="shared" si="41"/>
        <v>10</v>
      </c>
      <c r="F342" s="37">
        <f t="shared" si="41"/>
        <v>7</v>
      </c>
      <c r="G342" s="37" t="str">
        <f t="shared" si="41"/>
        <v>-</v>
      </c>
      <c r="H342" s="37">
        <f t="shared" si="41"/>
        <v>130</v>
      </c>
      <c r="I342" s="148"/>
      <c r="J342" s="148"/>
      <c r="K342" s="148"/>
      <c r="L342" s="148"/>
      <c r="M342" s="148"/>
    </row>
    <row r="343" spans="1:13" s="342" customFormat="1" ht="11.25" customHeight="1" x14ac:dyDescent="0.2">
      <c r="A343" s="157">
        <v>2014</v>
      </c>
      <c r="B343" s="37">
        <f t="shared" si="41"/>
        <v>250</v>
      </c>
      <c r="C343" s="37">
        <f t="shared" si="41"/>
        <v>49</v>
      </c>
      <c r="D343" s="37">
        <f t="shared" si="41"/>
        <v>42</v>
      </c>
      <c r="E343" s="37">
        <f t="shared" si="41"/>
        <v>35</v>
      </c>
      <c r="F343" s="37">
        <f t="shared" si="41"/>
        <v>18</v>
      </c>
      <c r="G343" s="37" t="str">
        <f t="shared" si="41"/>
        <v>-</v>
      </c>
      <c r="H343" s="37">
        <f t="shared" si="41"/>
        <v>394</v>
      </c>
      <c r="I343" s="148"/>
      <c r="J343" s="148"/>
      <c r="K343" s="148"/>
      <c r="L343" s="148"/>
      <c r="M343" s="148"/>
    </row>
    <row r="344" spans="1:13" s="342" customFormat="1" ht="11.25" customHeight="1" x14ac:dyDescent="0.2">
      <c r="A344" s="308">
        <v>2015</v>
      </c>
      <c r="B344" s="37">
        <f t="shared" si="41"/>
        <v>177</v>
      </c>
      <c r="C344" s="37">
        <f t="shared" si="41"/>
        <v>26</v>
      </c>
      <c r="D344" s="37">
        <f t="shared" si="41"/>
        <v>11</v>
      </c>
      <c r="E344" s="37">
        <f t="shared" si="41"/>
        <v>26</v>
      </c>
      <c r="F344" s="37">
        <f t="shared" si="41"/>
        <v>35</v>
      </c>
      <c r="G344" s="37" t="str">
        <f t="shared" si="41"/>
        <v>-</v>
      </c>
      <c r="H344" s="37">
        <f t="shared" si="41"/>
        <v>275</v>
      </c>
      <c r="I344" s="148"/>
      <c r="J344" s="148"/>
      <c r="K344" s="148"/>
      <c r="L344" s="148"/>
      <c r="M344" s="148"/>
    </row>
    <row r="345" spans="1:13" s="342" customFormat="1" ht="11.25" customHeight="1" x14ac:dyDescent="0.2">
      <c r="A345" s="308">
        <v>2016</v>
      </c>
      <c r="B345" s="37">
        <f t="shared" si="41"/>
        <v>78</v>
      </c>
      <c r="C345" s="37">
        <f t="shared" si="41"/>
        <v>48</v>
      </c>
      <c r="D345" s="37">
        <f t="shared" si="41"/>
        <v>30</v>
      </c>
      <c r="E345" s="37">
        <f t="shared" si="41"/>
        <v>32</v>
      </c>
      <c r="F345" s="37" t="str">
        <f t="shared" si="41"/>
        <v>-</v>
      </c>
      <c r="G345" s="37" t="str">
        <f t="shared" si="41"/>
        <v>-</v>
      </c>
      <c r="H345" s="37">
        <f t="shared" si="41"/>
        <v>188</v>
      </c>
      <c r="I345" s="148"/>
      <c r="J345" s="148"/>
      <c r="K345" s="148"/>
      <c r="L345" s="148"/>
      <c r="M345" s="148"/>
    </row>
    <row r="346" spans="1:13" s="342" customFormat="1" x14ac:dyDescent="0.2">
      <c r="A346" s="308">
        <v>2017</v>
      </c>
      <c r="B346" s="37">
        <f t="shared" si="41"/>
        <v>16</v>
      </c>
      <c r="C346" s="37">
        <f t="shared" si="41"/>
        <v>24</v>
      </c>
      <c r="D346" s="37">
        <f t="shared" si="41"/>
        <v>15</v>
      </c>
      <c r="E346" s="37">
        <f t="shared" si="41"/>
        <v>15</v>
      </c>
      <c r="F346" s="37">
        <f t="shared" si="41"/>
        <v>23</v>
      </c>
      <c r="G346" s="37" t="str">
        <f t="shared" si="41"/>
        <v>-</v>
      </c>
      <c r="H346" s="37">
        <f t="shared" si="41"/>
        <v>93</v>
      </c>
      <c r="I346" s="148"/>
      <c r="J346" s="148"/>
      <c r="K346" s="148"/>
      <c r="L346" s="148"/>
      <c r="M346" s="148"/>
    </row>
    <row r="347" spans="1:13" s="347" customFormat="1" ht="12" customHeight="1" x14ac:dyDescent="0.2">
      <c r="A347" s="308">
        <v>2018</v>
      </c>
      <c r="B347" s="37">
        <f t="shared" si="41"/>
        <v>13</v>
      </c>
      <c r="C347" s="37">
        <f t="shared" si="41"/>
        <v>17</v>
      </c>
      <c r="D347" s="37">
        <f t="shared" si="41"/>
        <v>15</v>
      </c>
      <c r="E347" s="37">
        <f t="shared" si="41"/>
        <v>7</v>
      </c>
      <c r="F347" s="37">
        <f t="shared" si="41"/>
        <v>2</v>
      </c>
      <c r="G347" s="37" t="str">
        <f t="shared" si="41"/>
        <v>-</v>
      </c>
      <c r="H347" s="37">
        <f t="shared" si="41"/>
        <v>54</v>
      </c>
      <c r="I347" s="148"/>
      <c r="J347" s="148"/>
      <c r="K347" s="148"/>
      <c r="L347" s="148"/>
      <c r="M347" s="148"/>
    </row>
    <row r="348" spans="1:13" s="487" customFormat="1" ht="12" customHeight="1" x14ac:dyDescent="0.2">
      <c r="A348" s="492">
        <v>2019</v>
      </c>
      <c r="B348" s="37">
        <f t="shared" ref="B348:H349" si="42">+B189</f>
        <v>42</v>
      </c>
      <c r="C348" s="37">
        <f t="shared" si="42"/>
        <v>9</v>
      </c>
      <c r="D348" s="37">
        <f t="shared" si="42"/>
        <v>12</v>
      </c>
      <c r="E348" s="37">
        <f t="shared" si="42"/>
        <v>14</v>
      </c>
      <c r="F348" s="37">
        <f t="shared" si="42"/>
        <v>0</v>
      </c>
      <c r="G348" s="37" t="str">
        <f>+G189</f>
        <v>-</v>
      </c>
      <c r="H348" s="37">
        <f t="shared" si="42"/>
        <v>77</v>
      </c>
      <c r="I348" s="148"/>
      <c r="J348" s="148"/>
      <c r="K348" s="148"/>
      <c r="L348" s="148"/>
      <c r="M348" s="148"/>
    </row>
    <row r="349" spans="1:13" ht="12" customHeight="1" x14ac:dyDescent="0.2">
      <c r="A349" s="488" t="s">
        <v>394</v>
      </c>
      <c r="B349" s="24">
        <f t="shared" si="42"/>
        <v>17</v>
      </c>
      <c r="C349" s="24">
        <f t="shared" si="42"/>
        <v>25</v>
      </c>
      <c r="D349" s="24">
        <f t="shared" si="42"/>
        <v>0</v>
      </c>
      <c r="E349" s="24">
        <f t="shared" si="42"/>
        <v>10</v>
      </c>
      <c r="F349" s="24">
        <f t="shared" si="42"/>
        <v>5</v>
      </c>
      <c r="G349" s="24" t="str">
        <f>+G190</f>
        <v>-</v>
      </c>
      <c r="H349" s="24">
        <f t="shared" si="42"/>
        <v>57</v>
      </c>
    </row>
    <row r="350" spans="1:13" ht="6.75" customHeight="1" x14ac:dyDescent="0.2">
      <c r="A350" s="361"/>
    </row>
    <row r="351" spans="1:13" ht="11.25" customHeight="1" x14ac:dyDescent="0.2">
      <c r="A351" s="127" t="s">
        <v>111</v>
      </c>
    </row>
    <row r="352" spans="1:13" ht="11.25" customHeight="1" x14ac:dyDescent="0.2">
      <c r="A352" s="361" t="s">
        <v>30</v>
      </c>
      <c r="B352" s="24">
        <f>AVERAGE(B198:B202)</f>
        <v>3266.4</v>
      </c>
      <c r="C352" s="24">
        <f>AVERAGE(C198:C202)</f>
        <v>381.5</v>
      </c>
      <c r="D352" s="24">
        <f>AVERAGE(D198:D202)</f>
        <v>6468.75</v>
      </c>
      <c r="E352" s="24">
        <f>AVERAGE(E198:E202)</f>
        <v>2956.2</v>
      </c>
      <c r="F352" s="24">
        <f>AVERAGE(F198:F202)</f>
        <v>291</v>
      </c>
      <c r="G352" s="24" t="str">
        <f>+G206</f>
        <v>-</v>
      </c>
      <c r="H352" s="24">
        <f>AVERAGE(H198:H202)</f>
        <v>11819.2</v>
      </c>
      <c r="I352" s="200"/>
    </row>
    <row r="353" spans="1:13" ht="11.25" customHeight="1" x14ac:dyDescent="0.2">
      <c r="A353" s="361" t="s">
        <v>87</v>
      </c>
      <c r="B353" s="24">
        <f t="shared" ref="B353:H353" si="43">AVERAGE(B203:B207)</f>
        <v>2452.1999999999998</v>
      </c>
      <c r="C353" s="24">
        <f t="shared" si="43"/>
        <v>875.5</v>
      </c>
      <c r="D353" s="24">
        <f t="shared" si="43"/>
        <v>579.5</v>
      </c>
      <c r="E353" s="24">
        <f t="shared" si="43"/>
        <v>1100</v>
      </c>
      <c r="F353" s="24">
        <f t="shared" si="43"/>
        <v>585</v>
      </c>
      <c r="G353" s="24" t="str">
        <f>+G207</f>
        <v>-</v>
      </c>
      <c r="H353" s="24">
        <f t="shared" si="43"/>
        <v>4718.3999999999996</v>
      </c>
      <c r="I353" s="200"/>
    </row>
    <row r="354" spans="1:13" ht="11.25" customHeight="1" x14ac:dyDescent="0.2">
      <c r="A354" s="361" t="s">
        <v>14</v>
      </c>
      <c r="B354" s="24">
        <f>AVERAGE(B208:B212)</f>
        <v>1673</v>
      </c>
      <c r="C354" s="24">
        <f>AVERAGE(C208:C212)</f>
        <v>1063</v>
      </c>
      <c r="D354" s="24">
        <f>AVERAGE(D208:D212)</f>
        <v>837.5</v>
      </c>
      <c r="E354" s="24">
        <f>AVERAGE(E208:E212)</f>
        <v>754.5</v>
      </c>
      <c r="F354" s="24">
        <f>AVERAGE(F208:F212)</f>
        <v>332.66666666666669</v>
      </c>
      <c r="G354" s="24" t="str">
        <f>+G208</f>
        <v>-</v>
      </c>
      <c r="H354" s="24">
        <f>AVERAGE(H208:H212)</f>
        <v>3474.75</v>
      </c>
      <c r="I354" s="200"/>
    </row>
    <row r="355" spans="1:13" ht="11.25" customHeight="1" x14ac:dyDescent="0.2">
      <c r="A355" s="361" t="s">
        <v>207</v>
      </c>
      <c r="B355" s="24">
        <f>AVERAGE(B213:B217)</f>
        <v>221.25</v>
      </c>
      <c r="C355" s="24">
        <f>AVERAGE(C213:C217)</f>
        <v>124</v>
      </c>
      <c r="D355" s="24">
        <f>AVERAGE(D213:D217)</f>
        <v>158</v>
      </c>
      <c r="E355" s="24">
        <f>AVERAGE(E213:E217)</f>
        <v>145.33333333333334</v>
      </c>
      <c r="F355" s="24">
        <f>AVERAGE(F213:F217)</f>
        <v>10</v>
      </c>
      <c r="G355" s="24" t="str">
        <f>+G213</f>
        <v>-</v>
      </c>
      <c r="H355" s="24">
        <f>AVERAGE(H213:H217)</f>
        <v>430.6</v>
      </c>
      <c r="I355" s="200"/>
    </row>
    <row r="356" spans="1:13" ht="11.25" customHeight="1" x14ac:dyDescent="0.2">
      <c r="A356" s="361" t="s">
        <v>238</v>
      </c>
      <c r="B356" s="24">
        <f>AVERAGE(B218:B222)</f>
        <v>417</v>
      </c>
      <c r="C356" s="24">
        <f>AVERAGE(C218:C222)</f>
        <v>145.6</v>
      </c>
      <c r="D356" s="24">
        <f>AVERAGE(D218:D222)</f>
        <v>381</v>
      </c>
      <c r="E356" s="24">
        <f>AVERAGE(E218:E222)</f>
        <v>323.60000000000002</v>
      </c>
      <c r="F356" s="24">
        <f>AVERAGE(F218:F222)</f>
        <v>94.333333333333329</v>
      </c>
      <c r="G356" s="24" t="str">
        <f>+G218</f>
        <v>-</v>
      </c>
      <c r="H356" s="24">
        <f>AVERAGE(H218:H222)</f>
        <v>1323.8</v>
      </c>
    </row>
    <row r="357" spans="1:13" s="342" customFormat="1" ht="11.25" customHeight="1" x14ac:dyDescent="0.2">
      <c r="A357" s="361">
        <v>2006</v>
      </c>
      <c r="B357" s="37">
        <f t="shared" ref="B357:H369" si="44">+B223</f>
        <v>430</v>
      </c>
      <c r="C357" s="37">
        <f t="shared" si="44"/>
        <v>435</v>
      </c>
      <c r="D357" s="37">
        <f t="shared" si="44"/>
        <v>100</v>
      </c>
      <c r="E357" s="37">
        <f t="shared" si="44"/>
        <v>298</v>
      </c>
      <c r="F357" s="37">
        <f t="shared" si="44"/>
        <v>175</v>
      </c>
      <c r="G357" s="37" t="str">
        <f t="shared" si="44"/>
        <v>-</v>
      </c>
      <c r="H357" s="37">
        <f t="shared" si="44"/>
        <v>1438</v>
      </c>
      <c r="I357" s="148"/>
      <c r="J357" s="148"/>
      <c r="K357" s="148"/>
      <c r="L357" s="148"/>
      <c r="M357" s="148"/>
    </row>
    <row r="358" spans="1:13" s="342" customFormat="1" ht="11.25" customHeight="1" x14ac:dyDescent="0.2">
      <c r="A358" s="308">
        <v>2007</v>
      </c>
      <c r="B358" s="37">
        <f t="shared" si="44"/>
        <v>467</v>
      </c>
      <c r="C358" s="37">
        <f t="shared" si="44"/>
        <v>280</v>
      </c>
      <c r="D358" s="37">
        <f t="shared" si="44"/>
        <v>364</v>
      </c>
      <c r="E358" s="37">
        <f t="shared" si="44"/>
        <v>145</v>
      </c>
      <c r="F358" s="37">
        <f t="shared" si="44"/>
        <v>18</v>
      </c>
      <c r="G358" s="37" t="str">
        <f t="shared" si="44"/>
        <v>-</v>
      </c>
      <c r="H358" s="37">
        <f t="shared" si="44"/>
        <v>1274</v>
      </c>
      <c r="I358" s="148"/>
      <c r="J358" s="148"/>
      <c r="K358" s="148"/>
      <c r="L358" s="148"/>
      <c r="M358" s="148"/>
    </row>
    <row r="359" spans="1:13" s="342" customFormat="1" ht="11.25" customHeight="1" x14ac:dyDescent="0.2">
      <c r="A359" s="308">
        <v>2008</v>
      </c>
      <c r="B359" s="37">
        <f t="shared" si="44"/>
        <v>280</v>
      </c>
      <c r="C359" s="37">
        <f t="shared" si="44"/>
        <v>433</v>
      </c>
      <c r="D359" s="37">
        <f t="shared" si="44"/>
        <v>226</v>
      </c>
      <c r="E359" s="37">
        <f t="shared" si="44"/>
        <v>221</v>
      </c>
      <c r="F359" s="37">
        <f t="shared" si="44"/>
        <v>63</v>
      </c>
      <c r="G359" s="37" t="str">
        <f t="shared" si="44"/>
        <v>-</v>
      </c>
      <c r="H359" s="37">
        <f t="shared" si="44"/>
        <v>1223</v>
      </c>
      <c r="I359" s="148"/>
      <c r="J359" s="148"/>
      <c r="K359" s="148"/>
      <c r="L359" s="148"/>
      <c r="M359" s="148"/>
    </row>
    <row r="360" spans="1:13" s="342" customFormat="1" ht="11.25" customHeight="1" x14ac:dyDescent="0.2">
      <c r="A360" s="308">
        <v>2009</v>
      </c>
      <c r="B360" s="37">
        <f t="shared" si="44"/>
        <v>474</v>
      </c>
      <c r="C360" s="37">
        <f t="shared" si="44"/>
        <v>564</v>
      </c>
      <c r="D360" s="37">
        <f t="shared" si="44"/>
        <v>452</v>
      </c>
      <c r="E360" s="37">
        <f t="shared" si="44"/>
        <v>363</v>
      </c>
      <c r="F360" s="37">
        <f t="shared" si="44"/>
        <v>138</v>
      </c>
      <c r="G360" s="37" t="str">
        <f t="shared" si="44"/>
        <v>-</v>
      </c>
      <c r="H360" s="37">
        <f t="shared" si="44"/>
        <v>1991</v>
      </c>
      <c r="I360" s="148"/>
      <c r="J360" s="148"/>
      <c r="K360" s="148"/>
      <c r="L360" s="148"/>
      <c r="M360" s="148"/>
    </row>
    <row r="361" spans="1:13" s="342" customFormat="1" ht="11.25" customHeight="1" x14ac:dyDescent="0.2">
      <c r="A361" s="308">
        <v>2010</v>
      </c>
      <c r="B361" s="37">
        <f t="shared" si="44"/>
        <v>534</v>
      </c>
      <c r="C361" s="37">
        <f t="shared" si="44"/>
        <v>880</v>
      </c>
      <c r="D361" s="37">
        <f t="shared" si="44"/>
        <v>524</v>
      </c>
      <c r="E361" s="37">
        <f t="shared" si="44"/>
        <v>445</v>
      </c>
      <c r="F361" s="37">
        <f t="shared" si="44"/>
        <v>53</v>
      </c>
      <c r="G361" s="37" t="str">
        <f t="shared" si="44"/>
        <v>-</v>
      </c>
      <c r="H361" s="37">
        <f t="shared" si="44"/>
        <v>2436</v>
      </c>
      <c r="I361" s="148"/>
      <c r="J361" s="148"/>
      <c r="K361" s="148"/>
      <c r="L361" s="148"/>
      <c r="M361" s="148"/>
    </row>
    <row r="362" spans="1:13" s="342" customFormat="1" ht="11.25" customHeight="1" x14ac:dyDescent="0.2">
      <c r="A362" s="308">
        <v>2011</v>
      </c>
      <c r="B362" s="37">
        <f t="shared" si="44"/>
        <v>648</v>
      </c>
      <c r="C362" s="37">
        <f t="shared" si="44"/>
        <v>699</v>
      </c>
      <c r="D362" s="37">
        <f t="shared" si="44"/>
        <v>449</v>
      </c>
      <c r="E362" s="37">
        <f t="shared" si="44"/>
        <v>211</v>
      </c>
      <c r="F362" s="37">
        <f t="shared" si="44"/>
        <v>57</v>
      </c>
      <c r="G362" s="37" t="str">
        <f t="shared" si="44"/>
        <v>-</v>
      </c>
      <c r="H362" s="37">
        <f t="shared" si="44"/>
        <v>2064</v>
      </c>
      <c r="I362" s="148"/>
      <c r="J362" s="148"/>
      <c r="K362" s="148"/>
      <c r="L362" s="148"/>
      <c r="M362" s="148"/>
    </row>
    <row r="363" spans="1:13" s="342" customFormat="1" ht="11.25" customHeight="1" x14ac:dyDescent="0.2">
      <c r="A363" s="157">
        <v>2012</v>
      </c>
      <c r="B363" s="37">
        <f t="shared" si="44"/>
        <v>369</v>
      </c>
      <c r="C363" s="37">
        <f t="shared" si="44"/>
        <v>709</v>
      </c>
      <c r="D363" s="37">
        <f t="shared" si="44"/>
        <v>466</v>
      </c>
      <c r="E363" s="37">
        <f t="shared" si="44"/>
        <v>308</v>
      </c>
      <c r="F363" s="37">
        <f t="shared" si="44"/>
        <v>208</v>
      </c>
      <c r="G363" s="37" t="str">
        <f t="shared" si="44"/>
        <v>-</v>
      </c>
      <c r="H363" s="37">
        <f t="shared" si="44"/>
        <v>2060</v>
      </c>
      <c r="I363" s="148"/>
      <c r="J363" s="148"/>
      <c r="K363" s="148"/>
      <c r="L363" s="148"/>
      <c r="M363" s="148"/>
    </row>
    <row r="364" spans="1:13" s="342" customFormat="1" ht="11.25" customHeight="1" x14ac:dyDescent="0.2">
      <c r="A364" s="157">
        <v>2013</v>
      </c>
      <c r="B364" s="37">
        <f t="shared" si="44"/>
        <v>768</v>
      </c>
      <c r="C364" s="37">
        <f t="shared" si="44"/>
        <v>549</v>
      </c>
      <c r="D364" s="37">
        <f t="shared" si="44"/>
        <v>486</v>
      </c>
      <c r="E364" s="37">
        <f t="shared" si="44"/>
        <v>415</v>
      </c>
      <c r="F364" s="37">
        <f t="shared" si="44"/>
        <v>90</v>
      </c>
      <c r="G364" s="37" t="str">
        <f t="shared" si="44"/>
        <v>-</v>
      </c>
      <c r="H364" s="37">
        <f t="shared" si="44"/>
        <v>2308</v>
      </c>
      <c r="I364" s="148"/>
      <c r="J364" s="148"/>
      <c r="K364" s="148"/>
      <c r="L364" s="148"/>
      <c r="M364" s="148"/>
    </row>
    <row r="365" spans="1:13" s="342" customFormat="1" ht="11.25" customHeight="1" x14ac:dyDescent="0.2">
      <c r="A365" s="157">
        <v>2014</v>
      </c>
      <c r="B365" s="37">
        <f t="shared" si="44"/>
        <v>839</v>
      </c>
      <c r="C365" s="37">
        <f t="shared" si="44"/>
        <v>237</v>
      </c>
      <c r="D365" s="37">
        <f t="shared" si="44"/>
        <v>439</v>
      </c>
      <c r="E365" s="37">
        <f t="shared" si="44"/>
        <v>372</v>
      </c>
      <c r="F365" s="37">
        <f t="shared" si="44"/>
        <v>135</v>
      </c>
      <c r="G365" s="37" t="str">
        <f t="shared" si="44"/>
        <v>-</v>
      </c>
      <c r="H365" s="37">
        <f t="shared" si="44"/>
        <v>2022</v>
      </c>
      <c r="I365" s="148"/>
      <c r="J365" s="148"/>
      <c r="K365" s="148"/>
      <c r="L365" s="148"/>
      <c r="M365" s="148"/>
    </row>
    <row r="366" spans="1:13" s="342" customFormat="1" ht="11.25" customHeight="1" x14ac:dyDescent="0.2">
      <c r="A366" s="308">
        <v>2015</v>
      </c>
      <c r="B366" s="37">
        <f t="shared" si="44"/>
        <v>995</v>
      </c>
      <c r="C366" s="37">
        <f t="shared" si="44"/>
        <v>510</v>
      </c>
      <c r="D366" s="37">
        <f t="shared" si="44"/>
        <v>502</v>
      </c>
      <c r="E366" s="37">
        <f t="shared" si="44"/>
        <v>476</v>
      </c>
      <c r="F366" s="37">
        <f t="shared" si="44"/>
        <v>162</v>
      </c>
      <c r="G366" s="37" t="str">
        <f t="shared" si="44"/>
        <v>-</v>
      </c>
      <c r="H366" s="37">
        <f t="shared" si="44"/>
        <v>2645</v>
      </c>
      <c r="I366" s="148"/>
      <c r="J366" s="148"/>
      <c r="K366" s="148"/>
      <c r="L366" s="148"/>
      <c r="M366" s="148"/>
    </row>
    <row r="367" spans="1:13" s="342" customFormat="1" ht="11.25" customHeight="1" x14ac:dyDescent="0.2">
      <c r="A367" s="308">
        <v>2016</v>
      </c>
      <c r="B367" s="37">
        <f t="shared" si="44"/>
        <v>725</v>
      </c>
      <c r="C367" s="37">
        <f t="shared" si="44"/>
        <v>407</v>
      </c>
      <c r="D367" s="37">
        <f t="shared" si="44"/>
        <v>278</v>
      </c>
      <c r="E367" s="37">
        <f t="shared" si="44"/>
        <v>218</v>
      </c>
      <c r="F367" s="37" t="str">
        <f t="shared" si="44"/>
        <v>-</v>
      </c>
      <c r="G367" s="37" t="str">
        <f t="shared" si="44"/>
        <v>-</v>
      </c>
      <c r="H367" s="37">
        <f t="shared" si="44"/>
        <v>1628</v>
      </c>
      <c r="I367" s="148"/>
      <c r="J367" s="148"/>
      <c r="K367" s="148"/>
      <c r="L367" s="148"/>
      <c r="M367" s="148"/>
    </row>
    <row r="368" spans="1:13" s="342" customFormat="1" x14ac:dyDescent="0.2">
      <c r="A368" s="308">
        <v>2017</v>
      </c>
      <c r="B368" s="37">
        <f t="shared" si="44"/>
        <v>778</v>
      </c>
      <c r="C368" s="37">
        <f t="shared" si="44"/>
        <v>630</v>
      </c>
      <c r="D368" s="37">
        <f t="shared" si="44"/>
        <v>395</v>
      </c>
      <c r="E368" s="37">
        <f t="shared" si="44"/>
        <v>426</v>
      </c>
      <c r="F368" s="37">
        <f t="shared" si="44"/>
        <v>144</v>
      </c>
      <c r="G368" s="37" t="str">
        <f t="shared" si="44"/>
        <v>-</v>
      </c>
      <c r="H368" s="37">
        <f t="shared" si="44"/>
        <v>2373</v>
      </c>
      <c r="I368" s="148"/>
      <c r="J368" s="148"/>
      <c r="K368" s="148"/>
      <c r="L368" s="148"/>
      <c r="M368" s="148"/>
    </row>
    <row r="369" spans="1:13" s="347" customFormat="1" ht="12" customHeight="1" x14ac:dyDescent="0.2">
      <c r="A369" s="308">
        <v>2018</v>
      </c>
      <c r="B369" s="37">
        <f t="shared" si="44"/>
        <v>754</v>
      </c>
      <c r="C369" s="37">
        <f t="shared" si="44"/>
        <v>691</v>
      </c>
      <c r="D369" s="37">
        <f t="shared" si="44"/>
        <v>437</v>
      </c>
      <c r="E369" s="37">
        <f t="shared" si="44"/>
        <v>196</v>
      </c>
      <c r="F369" s="37">
        <f t="shared" si="44"/>
        <v>71</v>
      </c>
      <c r="G369" s="37" t="str">
        <f t="shared" si="44"/>
        <v>-</v>
      </c>
      <c r="H369" s="37">
        <f t="shared" si="44"/>
        <v>2149</v>
      </c>
      <c r="I369" s="148"/>
      <c r="J369" s="148"/>
      <c r="K369" s="148"/>
      <c r="L369" s="148"/>
      <c r="M369" s="148"/>
    </row>
    <row r="370" spans="1:13" s="487" customFormat="1" ht="12" customHeight="1" x14ac:dyDescent="0.2">
      <c r="A370" s="492">
        <v>2019</v>
      </c>
      <c r="B370" s="37">
        <f t="shared" ref="B370:H371" si="45">+B236</f>
        <v>403</v>
      </c>
      <c r="C370" s="37">
        <f t="shared" si="45"/>
        <v>344</v>
      </c>
      <c r="D370" s="37">
        <f t="shared" si="45"/>
        <v>673</v>
      </c>
      <c r="E370" s="37">
        <f t="shared" si="45"/>
        <v>205</v>
      </c>
      <c r="F370" s="37">
        <f t="shared" si="45"/>
        <v>113</v>
      </c>
      <c r="G370" s="37" t="str">
        <f>+G236</f>
        <v>-</v>
      </c>
      <c r="H370" s="37">
        <f t="shared" si="45"/>
        <v>1738</v>
      </c>
      <c r="I370" s="148"/>
      <c r="J370" s="148"/>
      <c r="K370" s="148"/>
      <c r="L370" s="148"/>
      <c r="M370" s="148"/>
    </row>
    <row r="371" spans="1:13" ht="12" customHeight="1" x14ac:dyDescent="0.2">
      <c r="A371" s="361" t="s">
        <v>394</v>
      </c>
      <c r="B371" s="38">
        <f t="shared" si="45"/>
        <v>90</v>
      </c>
      <c r="C371" s="38">
        <f t="shared" si="45"/>
        <v>161</v>
      </c>
      <c r="D371" s="38">
        <f t="shared" si="45"/>
        <v>464</v>
      </c>
      <c r="E371" s="38">
        <f t="shared" si="45"/>
        <v>237</v>
      </c>
      <c r="F371" s="38">
        <f t="shared" si="45"/>
        <v>24</v>
      </c>
      <c r="G371" s="38" t="str">
        <f>+G237</f>
        <v>-</v>
      </c>
      <c r="H371" s="38">
        <f t="shared" si="45"/>
        <v>976</v>
      </c>
    </row>
    <row r="372" spans="1:13" ht="11.25" customHeight="1" x14ac:dyDescent="0.2">
      <c r="A372" s="571" t="str">
        <f>A238</f>
        <v>a/  Summary of Washington Department of Fish and Wildlife fish receiving ticket information by statistical month, excluding Washington landings from Oregon, California, and Alaska.</v>
      </c>
      <c r="B372" s="571"/>
      <c r="C372" s="571"/>
      <c r="D372" s="571"/>
      <c r="E372" s="571"/>
      <c r="F372" s="571"/>
      <c r="G372" s="571"/>
      <c r="H372" s="571"/>
    </row>
    <row r="373" spans="1:13" ht="11.25" customHeight="1" x14ac:dyDescent="0.2">
      <c r="A373" s="572"/>
      <c r="B373" s="572"/>
      <c r="C373" s="572"/>
      <c r="D373" s="572"/>
      <c r="E373" s="572"/>
      <c r="F373" s="572"/>
      <c r="G373" s="572"/>
      <c r="H373" s="572"/>
    </row>
    <row r="374" spans="1:13" ht="11.25" customHeight="1" x14ac:dyDescent="0.2">
      <c r="A374" s="573" t="str">
        <f>A240</f>
        <v>b/  Data for September include any effort after September.</v>
      </c>
      <c r="B374" s="573"/>
      <c r="C374" s="573"/>
      <c r="D374" s="573"/>
      <c r="E374" s="573"/>
      <c r="F374" s="573"/>
      <c r="G374" s="573"/>
      <c r="H374" s="573"/>
    </row>
    <row r="375" spans="1:13" ht="11.25" customHeight="1" x14ac:dyDescent="0.2">
      <c r="A375" s="573" t="str">
        <f>A241</f>
        <v>c/  Neah Bay area includes effort and catches from Strait of Juan de Fuca Area 4B.</v>
      </c>
      <c r="B375" s="573"/>
      <c r="C375" s="573"/>
      <c r="D375" s="573"/>
      <c r="E375" s="573"/>
      <c r="F375" s="573"/>
      <c r="G375" s="573"/>
      <c r="H375" s="573"/>
    </row>
    <row r="376" spans="1:13" ht="11.25" customHeight="1" x14ac:dyDescent="0.2">
      <c r="A376" s="573" t="str">
        <f>A242</f>
        <v>d/  Preliminary.</v>
      </c>
      <c r="B376" s="573"/>
      <c r="C376" s="573"/>
      <c r="D376" s="573"/>
      <c r="E376" s="573"/>
      <c r="F376" s="573"/>
      <c r="G376" s="573"/>
      <c r="H376" s="573"/>
    </row>
    <row r="377" spans="1:13" ht="12" customHeight="1" x14ac:dyDescent="0.2">
      <c r="A377" s="361"/>
    </row>
    <row r="378" spans="1:13" ht="12" customHeight="1" x14ac:dyDescent="0.2">
      <c r="A378" s="356"/>
      <c r="B378" s="354"/>
      <c r="C378" s="354"/>
      <c r="D378" s="354"/>
      <c r="E378" s="354"/>
      <c r="F378" s="354"/>
      <c r="G378" s="354"/>
      <c r="H378" s="354"/>
    </row>
    <row r="379" spans="1:13" ht="12" customHeight="1" x14ac:dyDescent="0.2">
      <c r="A379" s="356"/>
      <c r="B379" s="354"/>
      <c r="C379" s="354"/>
      <c r="D379" s="354"/>
      <c r="E379" s="354"/>
      <c r="F379" s="354"/>
      <c r="G379" s="354"/>
      <c r="H379" s="354"/>
    </row>
    <row r="380" spans="1:13" ht="12" customHeight="1" x14ac:dyDescent="0.2">
      <c r="A380" s="356"/>
      <c r="B380" s="354"/>
      <c r="C380" s="354"/>
      <c r="D380" s="354"/>
      <c r="E380" s="354"/>
      <c r="F380" s="354"/>
      <c r="G380" s="354"/>
      <c r="H380" s="354"/>
    </row>
    <row r="381" spans="1:13" ht="12" customHeight="1" x14ac:dyDescent="0.2">
      <c r="A381" s="356"/>
      <c r="B381" s="354"/>
      <c r="C381" s="354"/>
      <c r="D381" s="354"/>
      <c r="E381" s="354"/>
      <c r="F381" s="354"/>
      <c r="G381" s="354"/>
      <c r="H381" s="354"/>
    </row>
    <row r="382" spans="1:13" ht="12" customHeight="1" x14ac:dyDescent="0.2">
      <c r="A382" s="356"/>
      <c r="B382" s="354"/>
      <c r="C382" s="354"/>
      <c r="D382" s="354"/>
      <c r="E382" s="354"/>
      <c r="F382" s="354"/>
      <c r="G382" s="354"/>
      <c r="H382" s="354"/>
    </row>
    <row r="383" spans="1:13" ht="12" customHeight="1" x14ac:dyDescent="0.2">
      <c r="A383" s="356"/>
      <c r="B383" s="354"/>
      <c r="C383" s="354"/>
      <c r="D383" s="354"/>
      <c r="E383" s="354"/>
      <c r="F383" s="354"/>
      <c r="G383" s="354"/>
      <c r="H383" s="354"/>
    </row>
    <row r="384" spans="1:13" ht="12" customHeight="1" x14ac:dyDescent="0.2">
      <c r="A384" s="356"/>
      <c r="B384" s="354"/>
      <c r="C384" s="354"/>
      <c r="D384" s="354"/>
      <c r="E384" s="354"/>
      <c r="F384" s="354"/>
      <c r="G384" s="354"/>
      <c r="H384" s="354"/>
    </row>
    <row r="385" spans="1:8" ht="12" customHeight="1" x14ac:dyDescent="0.2">
      <c r="A385" s="356"/>
      <c r="B385" s="354"/>
      <c r="C385" s="354"/>
      <c r="D385" s="354"/>
      <c r="E385" s="354"/>
      <c r="F385" s="354"/>
      <c r="G385" s="354"/>
      <c r="H385" s="354"/>
    </row>
    <row r="386" spans="1:8" ht="12" customHeight="1" x14ac:dyDescent="0.2">
      <c r="A386" s="356"/>
      <c r="B386" s="354"/>
      <c r="C386" s="354"/>
      <c r="D386" s="354"/>
      <c r="E386" s="354"/>
      <c r="F386" s="354"/>
      <c r="G386" s="354"/>
      <c r="H386" s="354"/>
    </row>
    <row r="387" spans="1:8" ht="12" customHeight="1" x14ac:dyDescent="0.2">
      <c r="A387" s="356"/>
      <c r="B387" s="354"/>
      <c r="C387" s="354"/>
      <c r="D387" s="354"/>
      <c r="E387" s="354"/>
      <c r="F387" s="354"/>
      <c r="G387" s="354"/>
      <c r="H387" s="354"/>
    </row>
    <row r="388" spans="1:8" ht="12" customHeight="1" x14ac:dyDescent="0.2">
      <c r="A388" s="356"/>
      <c r="B388" s="354"/>
      <c r="C388" s="354"/>
      <c r="D388" s="354"/>
      <c r="E388" s="354"/>
      <c r="F388" s="354"/>
      <c r="G388" s="354"/>
      <c r="H388" s="354"/>
    </row>
    <row r="389" spans="1:8" ht="12" customHeight="1" x14ac:dyDescent="0.2">
      <c r="A389" s="356"/>
      <c r="B389" s="354"/>
      <c r="C389" s="354"/>
      <c r="D389" s="354"/>
      <c r="E389" s="354"/>
      <c r="F389" s="354"/>
      <c r="G389" s="354"/>
      <c r="H389" s="354"/>
    </row>
    <row r="390" spans="1:8" ht="12" customHeight="1" x14ac:dyDescent="0.2">
      <c r="A390" s="356"/>
      <c r="B390" s="354"/>
      <c r="C390" s="354"/>
      <c r="D390" s="354"/>
      <c r="E390" s="354"/>
      <c r="F390" s="354"/>
      <c r="G390" s="354"/>
      <c r="H390" s="354"/>
    </row>
    <row r="391" spans="1:8" ht="12" customHeight="1" x14ac:dyDescent="0.2">
      <c r="A391" s="356"/>
      <c r="B391" s="354"/>
      <c r="C391" s="354"/>
      <c r="D391" s="354"/>
      <c r="E391" s="354"/>
      <c r="F391" s="354"/>
      <c r="G391" s="354"/>
      <c r="H391" s="354"/>
    </row>
    <row r="392" spans="1:8" ht="12" customHeight="1" x14ac:dyDescent="0.2">
      <c r="A392" s="356"/>
      <c r="B392" s="354"/>
      <c r="C392" s="354"/>
      <c r="D392" s="354"/>
      <c r="E392" s="354"/>
      <c r="F392" s="354"/>
      <c r="G392" s="354"/>
      <c r="H392" s="354"/>
    </row>
    <row r="393" spans="1:8" ht="12" customHeight="1" x14ac:dyDescent="0.2">
      <c r="A393" s="356"/>
      <c r="B393" s="354"/>
      <c r="C393" s="354"/>
      <c r="D393" s="354"/>
      <c r="E393" s="354"/>
      <c r="F393" s="354"/>
      <c r="G393" s="354"/>
      <c r="H393" s="354"/>
    </row>
    <row r="394" spans="1:8" ht="12" customHeight="1" x14ac:dyDescent="0.2">
      <c r="A394" s="356"/>
      <c r="B394" s="354"/>
      <c r="C394" s="354"/>
      <c r="D394" s="354"/>
      <c r="E394" s="354"/>
      <c r="F394" s="354"/>
      <c r="G394" s="354"/>
      <c r="H394" s="354"/>
    </row>
    <row r="395" spans="1:8" ht="12" customHeight="1" x14ac:dyDescent="0.2">
      <c r="A395" s="356"/>
      <c r="B395" s="354"/>
      <c r="C395" s="354"/>
      <c r="D395" s="354"/>
      <c r="E395" s="354"/>
      <c r="F395" s="354"/>
      <c r="G395" s="354"/>
      <c r="H395" s="354"/>
    </row>
    <row r="396" spans="1:8" ht="12" customHeight="1" x14ac:dyDescent="0.2">
      <c r="A396" s="356"/>
      <c r="B396" s="354"/>
      <c r="C396" s="354"/>
      <c r="D396" s="354"/>
      <c r="E396" s="354"/>
      <c r="F396" s="354"/>
      <c r="G396" s="354"/>
      <c r="H396" s="354"/>
    </row>
    <row r="397" spans="1:8" ht="12" customHeight="1" x14ac:dyDescent="0.2">
      <c r="A397" s="356"/>
      <c r="B397" s="354"/>
      <c r="C397" s="354"/>
      <c r="D397" s="354"/>
      <c r="E397" s="354"/>
      <c r="F397" s="354"/>
      <c r="G397" s="354"/>
      <c r="H397" s="354"/>
    </row>
    <row r="398" spans="1:8" ht="12" customHeight="1" x14ac:dyDescent="0.2">
      <c r="A398" s="356"/>
      <c r="B398" s="354"/>
      <c r="C398" s="354"/>
      <c r="D398" s="354"/>
      <c r="E398" s="354"/>
      <c r="F398" s="354"/>
      <c r="G398" s="354"/>
      <c r="H398" s="354"/>
    </row>
    <row r="399" spans="1:8" ht="12" customHeight="1" x14ac:dyDescent="0.2">
      <c r="A399" s="356"/>
      <c r="B399" s="354"/>
      <c r="C399" s="354"/>
      <c r="D399" s="354"/>
      <c r="E399" s="354"/>
      <c r="F399" s="354"/>
      <c r="G399" s="354"/>
      <c r="H399" s="354"/>
    </row>
    <row r="400" spans="1:8" ht="12" customHeight="1" x14ac:dyDescent="0.2">
      <c r="A400" s="356"/>
      <c r="B400" s="354"/>
      <c r="C400" s="354"/>
      <c r="D400" s="354"/>
      <c r="E400" s="354"/>
      <c r="F400" s="354"/>
      <c r="G400" s="354"/>
      <c r="H400" s="354"/>
    </row>
    <row r="401" spans="1:8" ht="12" customHeight="1" x14ac:dyDescent="0.2">
      <c r="A401" s="356"/>
      <c r="B401" s="354"/>
      <c r="C401" s="354"/>
      <c r="D401" s="354"/>
      <c r="E401" s="354"/>
      <c r="F401" s="354"/>
      <c r="G401" s="354"/>
      <c r="H401" s="354"/>
    </row>
    <row r="402" spans="1:8" ht="12" customHeight="1" x14ac:dyDescent="0.2">
      <c r="A402" s="356"/>
      <c r="B402" s="354"/>
      <c r="C402" s="354"/>
      <c r="D402" s="354"/>
      <c r="E402" s="354"/>
      <c r="F402" s="354"/>
      <c r="G402" s="354"/>
      <c r="H402" s="354"/>
    </row>
    <row r="403" spans="1:8" ht="12" customHeight="1" x14ac:dyDescent="0.2">
      <c r="A403" s="356"/>
      <c r="B403" s="354"/>
      <c r="C403" s="354"/>
      <c r="D403" s="354"/>
      <c r="E403" s="354"/>
      <c r="F403" s="354"/>
      <c r="G403" s="354"/>
      <c r="H403" s="354"/>
    </row>
    <row r="404" spans="1:8" ht="12" customHeight="1" x14ac:dyDescent="0.2">
      <c r="A404" s="356"/>
      <c r="B404" s="354"/>
      <c r="C404" s="354"/>
      <c r="D404" s="354"/>
      <c r="E404" s="354"/>
      <c r="F404" s="354"/>
      <c r="G404" s="354"/>
      <c r="H404" s="354"/>
    </row>
    <row r="405" spans="1:8" ht="12" customHeight="1" x14ac:dyDescent="0.2">
      <c r="A405" s="356"/>
      <c r="B405" s="354"/>
      <c r="C405" s="354"/>
      <c r="D405" s="354"/>
      <c r="E405" s="354"/>
      <c r="F405" s="354"/>
      <c r="G405" s="354"/>
      <c r="H405" s="354"/>
    </row>
    <row r="406" spans="1:8" ht="12" customHeight="1" x14ac:dyDescent="0.2">
      <c r="A406" s="356"/>
      <c r="B406" s="354"/>
      <c r="C406" s="354"/>
      <c r="D406" s="354"/>
      <c r="E406" s="354"/>
      <c r="F406" s="354"/>
      <c r="G406" s="354"/>
      <c r="H406" s="354"/>
    </row>
    <row r="407" spans="1:8" ht="12" customHeight="1" x14ac:dyDescent="0.2">
      <c r="A407" s="356"/>
      <c r="B407" s="354"/>
      <c r="C407" s="354"/>
      <c r="D407" s="354"/>
      <c r="E407" s="354"/>
      <c r="F407" s="354"/>
      <c r="G407" s="354"/>
      <c r="H407" s="354"/>
    </row>
    <row r="408" spans="1:8" ht="12" customHeight="1" x14ac:dyDescent="0.2">
      <c r="A408" s="356"/>
      <c r="B408" s="354"/>
      <c r="C408" s="354"/>
      <c r="D408" s="354"/>
      <c r="E408" s="354"/>
      <c r="F408" s="354"/>
      <c r="G408" s="354"/>
      <c r="H408" s="354"/>
    </row>
    <row r="409" spans="1:8" ht="12" customHeight="1" x14ac:dyDescent="0.2">
      <c r="A409" s="356"/>
      <c r="B409" s="354"/>
      <c r="C409" s="354"/>
      <c r="D409" s="354"/>
      <c r="E409" s="354"/>
      <c r="F409" s="354"/>
      <c r="G409" s="354"/>
      <c r="H409" s="354"/>
    </row>
    <row r="410" spans="1:8" ht="12" customHeight="1" x14ac:dyDescent="0.2">
      <c r="A410" s="356"/>
      <c r="B410" s="354"/>
      <c r="C410" s="354"/>
      <c r="D410" s="354"/>
      <c r="E410" s="354"/>
      <c r="F410" s="354"/>
      <c r="G410" s="354"/>
      <c r="H410" s="354"/>
    </row>
    <row r="411" spans="1:8" ht="12" customHeight="1" x14ac:dyDescent="0.2">
      <c r="A411" s="356"/>
      <c r="B411" s="354"/>
      <c r="C411" s="354"/>
      <c r="D411" s="354"/>
      <c r="E411" s="354"/>
      <c r="F411" s="354"/>
      <c r="G411" s="354"/>
      <c r="H411" s="354"/>
    </row>
    <row r="412" spans="1:8" ht="12" customHeight="1" x14ac:dyDescent="0.2">
      <c r="A412" s="356"/>
      <c r="B412" s="354"/>
      <c r="C412" s="354"/>
      <c r="D412" s="354"/>
      <c r="E412" s="354"/>
      <c r="F412" s="354"/>
      <c r="G412" s="354"/>
      <c r="H412" s="354"/>
    </row>
    <row r="413" spans="1:8" ht="12" customHeight="1" x14ac:dyDescent="0.2">
      <c r="A413" s="356"/>
      <c r="B413" s="354"/>
      <c r="C413" s="354"/>
      <c r="D413" s="354"/>
      <c r="E413" s="354"/>
      <c r="F413" s="354"/>
      <c r="G413" s="354"/>
      <c r="H413" s="354"/>
    </row>
    <row r="414" spans="1:8" ht="12" customHeight="1" x14ac:dyDescent="0.2">
      <c r="A414" s="356"/>
      <c r="B414" s="354"/>
      <c r="C414" s="354"/>
      <c r="D414" s="354"/>
      <c r="E414" s="354"/>
      <c r="F414" s="354"/>
      <c r="G414" s="354"/>
      <c r="H414" s="354"/>
    </row>
    <row r="415" spans="1:8" ht="12" customHeight="1" x14ac:dyDescent="0.2">
      <c r="A415" s="356"/>
      <c r="B415" s="354"/>
      <c r="C415" s="354"/>
      <c r="D415" s="354"/>
      <c r="E415" s="354"/>
      <c r="F415" s="354"/>
      <c r="G415" s="354"/>
      <c r="H415" s="354"/>
    </row>
    <row r="416" spans="1:8" ht="12" customHeight="1" x14ac:dyDescent="0.2">
      <c r="A416" s="356"/>
      <c r="B416" s="354"/>
      <c r="C416" s="354"/>
      <c r="D416" s="354"/>
      <c r="E416" s="354"/>
      <c r="F416" s="354"/>
      <c r="G416" s="354"/>
      <c r="H416" s="354"/>
    </row>
    <row r="417" spans="1:8" ht="12" customHeight="1" x14ac:dyDescent="0.2">
      <c r="A417" s="356"/>
      <c r="B417" s="354"/>
      <c r="C417" s="354"/>
      <c r="D417" s="354"/>
      <c r="E417" s="354"/>
      <c r="F417" s="354"/>
      <c r="G417" s="354"/>
      <c r="H417" s="354"/>
    </row>
    <row r="418" spans="1:8" ht="12" customHeight="1" x14ac:dyDescent="0.2">
      <c r="A418" s="356"/>
      <c r="B418" s="354"/>
      <c r="C418" s="354"/>
      <c r="D418" s="354"/>
      <c r="E418" s="354"/>
      <c r="F418" s="354"/>
      <c r="G418" s="354"/>
      <c r="H418" s="354"/>
    </row>
    <row r="419" spans="1:8" ht="12" customHeight="1" x14ac:dyDescent="0.2"/>
    <row r="420" spans="1:8" ht="12" customHeight="1" x14ac:dyDescent="0.2"/>
    <row r="421" spans="1:8" ht="12" customHeight="1" x14ac:dyDescent="0.2"/>
    <row r="422" spans="1:8" ht="12" customHeight="1" x14ac:dyDescent="0.2"/>
    <row r="423" spans="1:8" ht="12" customHeight="1" x14ac:dyDescent="0.2"/>
    <row r="424" spans="1:8" ht="12" customHeight="1" x14ac:dyDescent="0.2"/>
    <row r="425" spans="1:8" ht="12" customHeight="1" x14ac:dyDescent="0.2"/>
    <row r="426" spans="1:8" ht="12" customHeight="1" x14ac:dyDescent="0.2"/>
    <row r="427" spans="1:8" ht="12" customHeight="1" x14ac:dyDescent="0.2"/>
    <row r="428" spans="1:8" ht="12" customHeight="1" x14ac:dyDescent="0.2"/>
    <row r="429" spans="1:8" ht="12" customHeight="1" x14ac:dyDescent="0.2"/>
    <row r="430" spans="1:8" ht="12" customHeight="1" x14ac:dyDescent="0.2"/>
    <row r="431" spans="1:8" ht="12" customHeight="1" x14ac:dyDescent="0.2"/>
    <row r="432" spans="1:8" ht="12" customHeight="1" x14ac:dyDescent="0.2"/>
    <row r="433" ht="12" customHeight="1" x14ac:dyDescent="0.2"/>
    <row r="434" ht="12" customHeight="1" x14ac:dyDescent="0.2"/>
    <row r="435" ht="12" customHeight="1" x14ac:dyDescent="0.2"/>
    <row r="436" ht="12" customHeight="1" x14ac:dyDescent="0.2"/>
    <row r="437" ht="12" customHeight="1" x14ac:dyDescent="0.2"/>
    <row r="438" ht="12" customHeight="1" x14ac:dyDescent="0.2"/>
    <row r="439" ht="12" customHeight="1" x14ac:dyDescent="0.2"/>
    <row r="440" ht="12" customHeight="1" x14ac:dyDescent="0.2"/>
    <row r="441" ht="12" customHeight="1" x14ac:dyDescent="0.2"/>
    <row r="442" ht="12" customHeight="1" x14ac:dyDescent="0.2"/>
    <row r="443" ht="12" customHeight="1" x14ac:dyDescent="0.2"/>
    <row r="444" ht="12" customHeight="1" x14ac:dyDescent="0.2"/>
    <row r="445" ht="12" customHeight="1" x14ac:dyDescent="0.2"/>
    <row r="446" ht="12" customHeight="1" x14ac:dyDescent="0.2"/>
    <row r="447" ht="12" customHeight="1" x14ac:dyDescent="0.2"/>
    <row r="448" ht="12" customHeight="1" x14ac:dyDescent="0.2"/>
    <row r="449" ht="12" customHeight="1" x14ac:dyDescent="0.2"/>
    <row r="450" ht="12" customHeight="1" x14ac:dyDescent="0.2"/>
    <row r="451" ht="12" customHeight="1" x14ac:dyDescent="0.2"/>
    <row r="452" ht="12" customHeight="1" x14ac:dyDescent="0.2"/>
    <row r="453" ht="12" customHeight="1" x14ac:dyDescent="0.2"/>
    <row r="454" ht="12" customHeight="1" x14ac:dyDescent="0.2"/>
    <row r="455" ht="12" customHeight="1" x14ac:dyDescent="0.2"/>
    <row r="456" ht="12" customHeight="1" x14ac:dyDescent="0.2"/>
    <row r="457" ht="12" customHeight="1" x14ac:dyDescent="0.2"/>
    <row r="458" ht="12" customHeight="1" x14ac:dyDescent="0.2"/>
    <row r="459" ht="12" customHeight="1" x14ac:dyDescent="0.2"/>
    <row r="460" ht="12" customHeight="1" x14ac:dyDescent="0.2"/>
    <row r="461" ht="12" customHeight="1" x14ac:dyDescent="0.2"/>
  </sheetData>
  <mergeCells count="11">
    <mergeCell ref="A257:H257"/>
    <mergeCell ref="A2:H2"/>
    <mergeCell ref="A238:H239"/>
    <mergeCell ref="A240:H240"/>
    <mergeCell ref="A241:H241"/>
    <mergeCell ref="A242:H242"/>
    <mergeCell ref="A327:H327"/>
    <mergeCell ref="A372:H373"/>
    <mergeCell ref="A374:H374"/>
    <mergeCell ref="A375:H375"/>
    <mergeCell ref="A376:H376"/>
  </mergeCells>
  <pageMargins left="0.7" right="0.7" top="0.75" bottom="0.75" header="0.3" footer="0.3"/>
  <pageSetup scale="93" orientation="portrait" r:id="rId1"/>
  <rowBreaks count="1" manualBreakCount="1">
    <brk id="326" max="7" man="1"/>
  </rowBreak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6"/>
  <dimension ref="A1:AO374"/>
  <sheetViews>
    <sheetView showGridLines="0" zoomScaleNormal="100" workbookViewId="0">
      <pane xSplit="1" ySplit="4" topLeftCell="B313" activePane="bottomRight" state="frozen"/>
      <selection sqref="A1:J2"/>
      <selection pane="topRight" sqref="A1:J2"/>
      <selection pane="bottomLeft" sqref="A1:J2"/>
      <selection pane="bottomRight" activeCell="Y342" sqref="Y342"/>
    </sheetView>
  </sheetViews>
  <sheetFormatPr defaultColWidth="9" defaultRowHeight="11.25" x14ac:dyDescent="0.2"/>
  <cols>
    <col min="1" max="1" width="8.125" style="371" customWidth="1"/>
    <col min="2" max="7" width="5.625" style="8" customWidth="1"/>
    <col min="8" max="8" width="1.625" style="8" customWidth="1"/>
    <col min="9" max="9" width="5.5" style="200" customWidth="1"/>
    <col min="10" max="13" width="5.625" style="200" customWidth="1"/>
    <col min="14" max="14" width="6.625" style="200" customWidth="1"/>
    <col min="15" max="15" width="1.625" style="200" customWidth="1"/>
    <col min="16" max="20" width="5.625" style="200" customWidth="1"/>
    <col min="21" max="21" width="6.125" style="200" bestFit="1" customWidth="1"/>
    <col min="22" max="16384" width="9" style="1"/>
  </cols>
  <sheetData>
    <row r="1" spans="1:23" ht="4.5" customHeight="1" x14ac:dyDescent="0.2"/>
    <row r="2" spans="1:23" s="312" customFormat="1" x14ac:dyDescent="0.2">
      <c r="A2" s="579" t="s">
        <v>332</v>
      </c>
      <c r="B2" s="579"/>
      <c r="C2" s="579"/>
      <c r="D2" s="579"/>
      <c r="E2" s="579"/>
      <c r="F2" s="579"/>
      <c r="G2" s="579"/>
      <c r="H2" s="579"/>
      <c r="I2" s="579"/>
      <c r="J2" s="579"/>
      <c r="K2" s="579"/>
      <c r="L2" s="579"/>
      <c r="M2" s="579"/>
      <c r="N2" s="579"/>
      <c r="O2" s="579"/>
      <c r="P2" s="579"/>
      <c r="Q2" s="579"/>
      <c r="R2" s="579"/>
      <c r="S2" s="579"/>
      <c r="T2" s="579"/>
      <c r="U2" s="579"/>
    </row>
    <row r="3" spans="1:23" s="313" customFormat="1" ht="12.75" customHeight="1" x14ac:dyDescent="0.2">
      <c r="A3" s="5" t="s">
        <v>33</v>
      </c>
      <c r="B3" s="169" t="s">
        <v>35</v>
      </c>
      <c r="C3" s="169" t="s">
        <v>36</v>
      </c>
      <c r="D3" s="169" t="s">
        <v>37</v>
      </c>
      <c r="E3" s="169" t="s">
        <v>38</v>
      </c>
      <c r="F3" s="191" t="s">
        <v>329</v>
      </c>
      <c r="G3" s="169" t="s">
        <v>28</v>
      </c>
      <c r="H3" s="169"/>
      <c r="I3" s="170" t="s">
        <v>35</v>
      </c>
      <c r="J3" s="170" t="s">
        <v>36</v>
      </c>
      <c r="K3" s="170" t="s">
        <v>37</v>
      </c>
      <c r="L3" s="170" t="s">
        <v>38</v>
      </c>
      <c r="M3" s="191" t="s">
        <v>329</v>
      </c>
      <c r="N3" s="170" t="s">
        <v>28</v>
      </c>
      <c r="O3" s="170"/>
      <c r="P3" s="170" t="s">
        <v>35</v>
      </c>
      <c r="Q3" s="170" t="s">
        <v>36</v>
      </c>
      <c r="R3" s="170" t="s">
        <v>37</v>
      </c>
      <c r="S3" s="170" t="s">
        <v>38</v>
      </c>
      <c r="T3" s="191" t="s">
        <v>329</v>
      </c>
      <c r="U3" s="170" t="s">
        <v>28</v>
      </c>
    </row>
    <row r="4" spans="1:23" ht="9.75" customHeight="1" x14ac:dyDescent="0.2">
      <c r="A4" s="116"/>
      <c r="B4" s="580" t="s">
        <v>67</v>
      </c>
      <c r="C4" s="580"/>
      <c r="D4" s="580"/>
      <c r="E4" s="580"/>
      <c r="F4" s="580"/>
      <c r="G4" s="580"/>
      <c r="H4" s="34"/>
      <c r="I4" s="532" t="s">
        <v>68</v>
      </c>
      <c r="J4" s="532"/>
      <c r="K4" s="532"/>
      <c r="L4" s="532"/>
      <c r="M4" s="532"/>
      <c r="N4" s="532"/>
      <c r="O4" s="19"/>
      <c r="P4" s="532" t="s">
        <v>122</v>
      </c>
      <c r="Q4" s="532"/>
      <c r="R4" s="532"/>
      <c r="S4" s="532"/>
      <c r="T4" s="532"/>
      <c r="U4" s="532"/>
    </row>
    <row r="5" spans="1:23" x14ac:dyDescent="0.2">
      <c r="A5" s="116" t="s">
        <v>267</v>
      </c>
      <c r="B5" s="200"/>
      <c r="C5" s="200"/>
      <c r="D5" s="200"/>
      <c r="E5" s="200"/>
      <c r="F5" s="200"/>
      <c r="G5" s="200"/>
    </row>
    <row r="6" spans="1:23" x14ac:dyDescent="0.2">
      <c r="A6" s="371">
        <v>1976</v>
      </c>
      <c r="B6" s="21">
        <f>8+2082</f>
        <v>2090</v>
      </c>
      <c r="C6" s="21">
        <v>8120</v>
      </c>
      <c r="D6" s="21">
        <v>22032</v>
      </c>
      <c r="E6" s="21">
        <v>15232</v>
      </c>
      <c r="F6" s="21">
        <f>2548+1411+13</f>
        <v>3972</v>
      </c>
      <c r="G6" s="21">
        <f t="shared" ref="G6:G23" si="0">SUM(B6:F6)</f>
        <v>51446</v>
      </c>
      <c r="H6" s="69"/>
      <c r="I6" s="21" t="s">
        <v>29</v>
      </c>
      <c r="J6" s="21">
        <v>19014</v>
      </c>
      <c r="K6" s="21">
        <v>99568</v>
      </c>
      <c r="L6" s="21">
        <v>62017</v>
      </c>
      <c r="M6" s="21">
        <f>25350+9909+90</f>
        <v>35349</v>
      </c>
      <c r="N6" s="21">
        <f t="shared" ref="N6:N23" si="1">SUM(I6:M6)</f>
        <v>215948</v>
      </c>
      <c r="O6" s="21"/>
      <c r="P6" s="198"/>
      <c r="Q6" s="198"/>
      <c r="R6" s="198"/>
      <c r="S6" s="198"/>
      <c r="T6" s="198"/>
      <c r="U6" s="70"/>
    </row>
    <row r="7" spans="1:23" x14ac:dyDescent="0.2">
      <c r="A7" s="371">
        <v>1977</v>
      </c>
      <c r="B7" s="21">
        <f>10+4072</f>
        <v>4082</v>
      </c>
      <c r="C7" s="21">
        <v>4269</v>
      </c>
      <c r="D7" s="21">
        <v>13463</v>
      </c>
      <c r="E7" s="21">
        <v>12474</v>
      </c>
      <c r="F7" s="21">
        <f>4598+60</f>
        <v>4658</v>
      </c>
      <c r="G7" s="21">
        <f t="shared" si="0"/>
        <v>38946</v>
      </c>
      <c r="H7" s="69"/>
      <c r="I7" s="21" t="s">
        <v>29</v>
      </c>
      <c r="J7" s="21" t="s">
        <v>29</v>
      </c>
      <c r="K7" s="21">
        <v>62622</v>
      </c>
      <c r="L7" s="21">
        <v>74215</v>
      </c>
      <c r="M7" s="21">
        <f>51020+45</f>
        <v>51065</v>
      </c>
      <c r="N7" s="21">
        <f t="shared" si="1"/>
        <v>187902</v>
      </c>
      <c r="O7" s="21"/>
      <c r="P7" s="200">
        <v>61</v>
      </c>
      <c r="Q7" s="200">
        <v>449</v>
      </c>
      <c r="R7" s="200">
        <v>35419</v>
      </c>
      <c r="S7" s="200">
        <v>111756</v>
      </c>
      <c r="T7" s="200">
        <v>7670</v>
      </c>
      <c r="U7" s="21">
        <f>SUM(P7:T7)</f>
        <v>155355</v>
      </c>
      <c r="W7" s="359"/>
    </row>
    <row r="8" spans="1:23" x14ac:dyDescent="0.2">
      <c r="A8" s="371">
        <v>1978</v>
      </c>
      <c r="B8" s="21">
        <v>2932</v>
      </c>
      <c r="C8" s="21">
        <v>4618</v>
      </c>
      <c r="D8" s="21">
        <v>13418</v>
      </c>
      <c r="E8" s="21">
        <v>7352</v>
      </c>
      <c r="F8" s="21">
        <f>1942+3</f>
        <v>1945</v>
      </c>
      <c r="G8" s="21">
        <f t="shared" si="0"/>
        <v>30265</v>
      </c>
      <c r="H8" s="69"/>
      <c r="I8" s="21" t="s">
        <v>29</v>
      </c>
      <c r="J8" s="21" t="s">
        <v>29</v>
      </c>
      <c r="K8" s="21">
        <v>67026</v>
      </c>
      <c r="L8" s="21">
        <v>51430</v>
      </c>
      <c r="M8" s="21">
        <f>45591+23</f>
        <v>45614</v>
      </c>
      <c r="N8" s="21">
        <f t="shared" si="1"/>
        <v>164070</v>
      </c>
      <c r="O8" s="21"/>
      <c r="P8" s="198"/>
      <c r="Q8" s="198"/>
      <c r="R8" s="198"/>
      <c r="S8" s="198"/>
      <c r="T8" s="198"/>
      <c r="U8" s="70"/>
    </row>
    <row r="9" spans="1:23" x14ac:dyDescent="0.2">
      <c r="A9" s="371">
        <v>1979</v>
      </c>
      <c r="B9" s="21">
        <f>685+13122</f>
        <v>13807</v>
      </c>
      <c r="C9" s="21">
        <v>71</v>
      </c>
      <c r="D9" s="21">
        <v>7473</v>
      </c>
      <c r="E9" s="21">
        <v>5353</v>
      </c>
      <c r="F9" s="21">
        <v>59</v>
      </c>
      <c r="G9" s="21">
        <f t="shared" si="0"/>
        <v>26763</v>
      </c>
      <c r="H9" s="69"/>
      <c r="I9" s="21" t="s">
        <v>29</v>
      </c>
      <c r="J9" s="21" t="s">
        <v>29</v>
      </c>
      <c r="K9" s="21">
        <v>74852</v>
      </c>
      <c r="L9" s="21">
        <v>69570</v>
      </c>
      <c r="M9" s="70">
        <v>1050</v>
      </c>
      <c r="N9" s="21">
        <f t="shared" si="1"/>
        <v>145472</v>
      </c>
      <c r="O9" s="21"/>
      <c r="P9" s="200">
        <v>28</v>
      </c>
      <c r="Q9" s="200">
        <v>21</v>
      </c>
      <c r="R9" s="200">
        <v>48586</v>
      </c>
      <c r="S9" s="200">
        <v>272581</v>
      </c>
      <c r="T9" s="200">
        <f>416+586</f>
        <v>1002</v>
      </c>
      <c r="U9" s="21">
        <f>SUM(P9:T9)</f>
        <v>322218</v>
      </c>
    </row>
    <row r="10" spans="1:23" x14ac:dyDescent="0.2">
      <c r="A10" s="371">
        <v>1980</v>
      </c>
      <c r="B10" s="21">
        <f>19+10976</f>
        <v>10995</v>
      </c>
      <c r="C10" s="21">
        <v>1947</v>
      </c>
      <c r="D10" s="21">
        <v>5813</v>
      </c>
      <c r="E10" s="21">
        <v>3497</v>
      </c>
      <c r="F10" s="21" t="s">
        <v>29</v>
      </c>
      <c r="G10" s="21">
        <f t="shared" si="0"/>
        <v>22252</v>
      </c>
      <c r="H10" s="69"/>
      <c r="I10" s="21" t="s">
        <v>29</v>
      </c>
      <c r="J10" s="21" t="s">
        <v>29</v>
      </c>
      <c r="K10" s="21">
        <v>32418</v>
      </c>
      <c r="L10" s="21">
        <v>36701</v>
      </c>
      <c r="M10" s="21" t="s">
        <v>29</v>
      </c>
      <c r="N10" s="21">
        <f t="shared" si="1"/>
        <v>69119</v>
      </c>
      <c r="O10" s="21"/>
      <c r="P10" s="198"/>
      <c r="Q10" s="198"/>
      <c r="R10" s="198"/>
      <c r="S10" s="198"/>
      <c r="T10" s="198"/>
      <c r="U10" s="70"/>
    </row>
    <row r="11" spans="1:23" x14ac:dyDescent="0.2">
      <c r="A11" s="371">
        <v>1981</v>
      </c>
      <c r="B11" s="21">
        <v>7183</v>
      </c>
      <c r="C11" s="21">
        <v>976</v>
      </c>
      <c r="D11" s="21">
        <v>6092</v>
      </c>
      <c r="E11" s="21">
        <v>3018</v>
      </c>
      <c r="F11" s="21" t="s">
        <v>29</v>
      </c>
      <c r="G11" s="21">
        <f t="shared" si="0"/>
        <v>17269</v>
      </c>
      <c r="H11" s="69"/>
      <c r="I11" s="21" t="s">
        <v>29</v>
      </c>
      <c r="J11" s="21" t="s">
        <v>29</v>
      </c>
      <c r="K11" s="21">
        <v>46005</v>
      </c>
      <c r="L11" s="21">
        <v>48512</v>
      </c>
      <c r="M11" s="21" t="s">
        <v>29</v>
      </c>
      <c r="N11" s="21">
        <f t="shared" si="1"/>
        <v>94517</v>
      </c>
      <c r="O11" s="21"/>
      <c r="P11" s="200">
        <v>339</v>
      </c>
      <c r="Q11" s="200">
        <v>39</v>
      </c>
      <c r="R11" s="200">
        <v>34726</v>
      </c>
      <c r="S11" s="200">
        <v>119037</v>
      </c>
      <c r="T11" s="21" t="s">
        <v>29</v>
      </c>
      <c r="U11" s="21">
        <f>SUM(P11:T11)</f>
        <v>154141</v>
      </c>
    </row>
    <row r="12" spans="1:23" x14ac:dyDescent="0.2">
      <c r="A12" s="371">
        <v>1982</v>
      </c>
      <c r="B12" s="21">
        <v>2767</v>
      </c>
      <c r="C12" s="21">
        <v>527</v>
      </c>
      <c r="D12" s="21">
        <v>13215</v>
      </c>
      <c r="E12" s="21">
        <v>293</v>
      </c>
      <c r="F12" s="21" t="s">
        <v>29</v>
      </c>
      <c r="G12" s="21">
        <f t="shared" si="0"/>
        <v>16802</v>
      </c>
      <c r="H12" s="69"/>
      <c r="I12" s="21" t="s">
        <v>29</v>
      </c>
      <c r="J12" s="21" t="s">
        <v>29</v>
      </c>
      <c r="K12" s="21">
        <v>84110</v>
      </c>
      <c r="L12" s="21">
        <v>13678</v>
      </c>
      <c r="M12" s="70">
        <v>159</v>
      </c>
      <c r="N12" s="21">
        <f t="shared" si="1"/>
        <v>97947</v>
      </c>
      <c r="O12" s="21"/>
      <c r="R12" s="198"/>
      <c r="S12" s="198"/>
      <c r="T12" s="198"/>
      <c r="U12" s="70"/>
    </row>
    <row r="13" spans="1:23" x14ac:dyDescent="0.2">
      <c r="A13" s="371">
        <v>1983</v>
      </c>
      <c r="B13" s="21">
        <f>15+3763</f>
        <v>3778</v>
      </c>
      <c r="C13" s="21">
        <v>94</v>
      </c>
      <c r="D13" s="21">
        <v>5620</v>
      </c>
      <c r="E13" s="21">
        <v>63</v>
      </c>
      <c r="F13" s="21" t="s">
        <v>29</v>
      </c>
      <c r="G13" s="21">
        <f t="shared" si="0"/>
        <v>9555</v>
      </c>
      <c r="H13" s="69"/>
      <c r="I13" s="21" t="s">
        <v>29</v>
      </c>
      <c r="J13" s="21" t="s">
        <v>29</v>
      </c>
      <c r="K13" s="21">
        <v>1780</v>
      </c>
      <c r="L13" s="21">
        <f>575+6</f>
        <v>581</v>
      </c>
      <c r="M13" s="21" t="s">
        <v>29</v>
      </c>
      <c r="N13" s="21">
        <f t="shared" si="1"/>
        <v>2361</v>
      </c>
      <c r="O13" s="21"/>
      <c r="P13" s="200">
        <v>1</v>
      </c>
      <c r="Q13" s="21">
        <v>0</v>
      </c>
      <c r="R13" s="200">
        <v>79078</v>
      </c>
      <c r="S13" s="21" t="s">
        <v>29</v>
      </c>
      <c r="T13" s="83">
        <v>300</v>
      </c>
      <c r="U13" s="21">
        <f>SUM(P13:T13)</f>
        <v>79379</v>
      </c>
    </row>
    <row r="14" spans="1:23" x14ac:dyDescent="0.2">
      <c r="A14" s="371">
        <v>1984</v>
      </c>
      <c r="B14" s="21">
        <v>1093</v>
      </c>
      <c r="C14" s="21" t="s">
        <v>29</v>
      </c>
      <c r="D14" s="21" t="s">
        <v>29</v>
      </c>
      <c r="E14" s="21">
        <v>1236</v>
      </c>
      <c r="F14" s="21" t="s">
        <v>29</v>
      </c>
      <c r="G14" s="21">
        <f t="shared" si="0"/>
        <v>2329</v>
      </c>
      <c r="H14" s="69"/>
      <c r="I14" s="21" t="s">
        <v>29</v>
      </c>
      <c r="J14" s="21" t="s">
        <v>29</v>
      </c>
      <c r="K14" s="21" t="s">
        <v>29</v>
      </c>
      <c r="L14" s="21">
        <v>16441</v>
      </c>
      <c r="M14" s="21" t="s">
        <v>29</v>
      </c>
      <c r="N14" s="21">
        <f t="shared" si="1"/>
        <v>16441</v>
      </c>
      <c r="O14" s="21"/>
      <c r="S14" s="198"/>
      <c r="T14" s="198"/>
      <c r="U14" s="70"/>
    </row>
    <row r="15" spans="1:23" x14ac:dyDescent="0.2">
      <c r="A15" s="371">
        <v>1985</v>
      </c>
      <c r="B15" s="21">
        <f>105+1540</f>
        <v>1645</v>
      </c>
      <c r="C15" s="21" t="s">
        <v>29</v>
      </c>
      <c r="D15" s="21">
        <v>229</v>
      </c>
      <c r="E15" s="21">
        <v>2511</v>
      </c>
      <c r="F15" s="21">
        <v>31</v>
      </c>
      <c r="G15" s="21">
        <f t="shared" si="0"/>
        <v>4416</v>
      </c>
      <c r="H15" s="69"/>
      <c r="I15" s="21" t="s">
        <v>29</v>
      </c>
      <c r="J15" s="21" t="s">
        <v>29</v>
      </c>
      <c r="K15" s="21" t="s">
        <v>29</v>
      </c>
      <c r="L15" s="70">
        <v>54</v>
      </c>
      <c r="M15" s="70">
        <v>40</v>
      </c>
      <c r="N15" s="21">
        <f t="shared" si="1"/>
        <v>94</v>
      </c>
      <c r="O15" s="21"/>
      <c r="P15" s="200">
        <v>0</v>
      </c>
      <c r="Q15" s="21" t="s">
        <v>29</v>
      </c>
      <c r="R15" s="200">
        <v>1593</v>
      </c>
      <c r="S15" s="200">
        <v>87216</v>
      </c>
      <c r="T15" s="200">
        <v>530</v>
      </c>
      <c r="U15" s="21">
        <f>SUM(P15:T15)</f>
        <v>89339</v>
      </c>
    </row>
    <row r="16" spans="1:23" x14ac:dyDescent="0.2">
      <c r="A16" s="371">
        <v>1986</v>
      </c>
      <c r="B16" s="21">
        <f>27+3432</f>
        <v>3459</v>
      </c>
      <c r="C16" s="21">
        <v>50</v>
      </c>
      <c r="D16" s="21" t="s">
        <v>29</v>
      </c>
      <c r="E16" s="21">
        <v>1147</v>
      </c>
      <c r="F16" s="21" t="s">
        <v>29</v>
      </c>
      <c r="G16" s="21">
        <f t="shared" si="0"/>
        <v>4656</v>
      </c>
      <c r="H16" s="69"/>
      <c r="I16" s="21" t="s">
        <v>29</v>
      </c>
      <c r="J16" s="21" t="s">
        <v>29</v>
      </c>
      <c r="K16" s="21" t="s">
        <v>29</v>
      </c>
      <c r="L16" s="21">
        <v>19040</v>
      </c>
      <c r="M16" s="21" t="s">
        <v>29</v>
      </c>
      <c r="N16" s="21">
        <f t="shared" si="1"/>
        <v>19040</v>
      </c>
      <c r="O16" s="21"/>
      <c r="R16" s="198"/>
      <c r="S16" s="198"/>
      <c r="T16" s="198"/>
      <c r="U16" s="70"/>
    </row>
    <row r="17" spans="1:41" x14ac:dyDescent="0.2">
      <c r="A17" s="371">
        <v>1987</v>
      </c>
      <c r="B17" s="21">
        <f>343+4404</f>
        <v>4747</v>
      </c>
      <c r="C17" s="21" t="s">
        <v>29</v>
      </c>
      <c r="D17" s="70">
        <v>91</v>
      </c>
      <c r="E17" s="21" t="s">
        <v>29</v>
      </c>
      <c r="F17" s="21" t="s">
        <v>29</v>
      </c>
      <c r="G17" s="21">
        <f t="shared" si="0"/>
        <v>4838</v>
      </c>
      <c r="H17" s="69"/>
      <c r="I17" s="21" t="s">
        <v>29</v>
      </c>
      <c r="J17" s="21" t="s">
        <v>29</v>
      </c>
      <c r="K17" s="70">
        <f>848+323</f>
        <v>1171</v>
      </c>
      <c r="L17" s="21" t="s">
        <v>29</v>
      </c>
      <c r="M17" s="21" t="s">
        <v>29</v>
      </c>
      <c r="N17" s="21">
        <f t="shared" si="1"/>
        <v>1171</v>
      </c>
      <c r="O17" s="21"/>
      <c r="P17" s="200">
        <v>0</v>
      </c>
      <c r="Q17" s="21" t="s">
        <v>29</v>
      </c>
      <c r="R17" s="198">
        <f>781+743</f>
        <v>1524</v>
      </c>
      <c r="S17" s="21" t="s">
        <v>29</v>
      </c>
      <c r="T17" s="21" t="s">
        <v>29</v>
      </c>
      <c r="U17" s="21">
        <f>SUM(P17:T17)</f>
        <v>1524</v>
      </c>
    </row>
    <row r="18" spans="1:41" x14ac:dyDescent="0.2">
      <c r="A18" s="371">
        <v>1988</v>
      </c>
      <c r="B18" s="21">
        <f>5+10035</f>
        <v>10040</v>
      </c>
      <c r="C18" s="21">
        <v>11602</v>
      </c>
      <c r="D18" s="70">
        <v>57</v>
      </c>
      <c r="E18" s="70">
        <v>242</v>
      </c>
      <c r="F18" s="21" t="s">
        <v>29</v>
      </c>
      <c r="G18" s="21">
        <f t="shared" si="0"/>
        <v>21941</v>
      </c>
      <c r="H18" s="69"/>
      <c r="I18" s="21" t="s">
        <v>29</v>
      </c>
      <c r="J18" s="21" t="s">
        <v>29</v>
      </c>
      <c r="K18" s="70">
        <v>381</v>
      </c>
      <c r="L18" s="70">
        <v>1848</v>
      </c>
      <c r="M18" s="70" t="s">
        <v>29</v>
      </c>
      <c r="N18" s="21">
        <f t="shared" si="1"/>
        <v>2229</v>
      </c>
      <c r="O18" s="21"/>
      <c r="P18" s="198"/>
      <c r="Q18" s="198"/>
      <c r="R18" s="198"/>
      <c r="S18" s="198"/>
      <c r="T18" s="198"/>
      <c r="U18" s="70"/>
    </row>
    <row r="19" spans="1:41" x14ac:dyDescent="0.2">
      <c r="A19" s="371">
        <v>1989</v>
      </c>
      <c r="B19" s="21" t="s">
        <v>29</v>
      </c>
      <c r="C19" s="21" t="s">
        <v>29</v>
      </c>
      <c r="D19" s="21" t="s">
        <v>29</v>
      </c>
      <c r="E19" s="21">
        <f>268+14</f>
        <v>282</v>
      </c>
      <c r="F19" s="21" t="s">
        <v>29</v>
      </c>
      <c r="G19" s="21">
        <f t="shared" si="0"/>
        <v>282</v>
      </c>
      <c r="H19" s="69"/>
      <c r="I19" s="21" t="s">
        <v>29</v>
      </c>
      <c r="J19" s="21" t="s">
        <v>29</v>
      </c>
      <c r="K19" s="21" t="s">
        <v>29</v>
      </c>
      <c r="L19" s="21">
        <f>41070+19</f>
        <v>41089</v>
      </c>
      <c r="M19" s="21" t="s">
        <v>29</v>
      </c>
      <c r="N19" s="21">
        <f t="shared" si="1"/>
        <v>41089</v>
      </c>
      <c r="O19" s="21"/>
      <c r="P19" s="21" t="s">
        <v>29</v>
      </c>
      <c r="Q19" s="21" t="s">
        <v>29</v>
      </c>
      <c r="R19" s="21" t="s">
        <v>29</v>
      </c>
      <c r="S19" s="200">
        <v>36263</v>
      </c>
      <c r="T19" s="21" t="s">
        <v>29</v>
      </c>
      <c r="U19" s="21">
        <f>SUM(P19:T19)</f>
        <v>36263</v>
      </c>
    </row>
    <row r="20" spans="1:41" x14ac:dyDescent="0.2">
      <c r="A20" s="371">
        <v>1990</v>
      </c>
      <c r="B20" s="21">
        <f>6054+8327</f>
        <v>14381</v>
      </c>
      <c r="C20" s="21">
        <v>888</v>
      </c>
      <c r="D20" s="21" t="s">
        <v>29</v>
      </c>
      <c r="E20" s="21">
        <v>1017</v>
      </c>
      <c r="F20" s="21" t="s">
        <v>29</v>
      </c>
      <c r="G20" s="21">
        <f t="shared" si="0"/>
        <v>16286</v>
      </c>
      <c r="H20" s="69"/>
      <c r="I20" s="21" t="s">
        <v>29</v>
      </c>
      <c r="J20" s="21" t="s">
        <v>29</v>
      </c>
      <c r="K20" s="21" t="s">
        <v>29</v>
      </c>
      <c r="L20" s="21">
        <v>34287</v>
      </c>
      <c r="M20" s="21" t="s">
        <v>29</v>
      </c>
      <c r="N20" s="21">
        <f t="shared" si="1"/>
        <v>34287</v>
      </c>
      <c r="O20" s="21"/>
      <c r="P20" s="198"/>
      <c r="Q20" s="198"/>
      <c r="R20" s="198"/>
      <c r="S20" s="198"/>
      <c r="T20" s="198"/>
      <c r="U20" s="70"/>
    </row>
    <row r="21" spans="1:41" x14ac:dyDescent="0.2">
      <c r="A21" s="371">
        <v>1991</v>
      </c>
      <c r="B21" s="21">
        <v>8814</v>
      </c>
      <c r="C21" s="21">
        <f>5470+9</f>
        <v>5479</v>
      </c>
      <c r="D21" s="21" t="s">
        <v>29</v>
      </c>
      <c r="E21" s="21">
        <v>579</v>
      </c>
      <c r="F21" s="21">
        <v>366</v>
      </c>
      <c r="G21" s="21">
        <f t="shared" si="0"/>
        <v>15238</v>
      </c>
      <c r="H21" s="69"/>
      <c r="I21" s="70" t="s">
        <v>29</v>
      </c>
      <c r="J21" s="70" t="s">
        <v>29</v>
      </c>
      <c r="K21" s="21" t="s">
        <v>29</v>
      </c>
      <c r="L21" s="21">
        <v>18750</v>
      </c>
      <c r="M21" s="21">
        <v>5374</v>
      </c>
      <c r="N21" s="21">
        <f t="shared" si="1"/>
        <v>24124</v>
      </c>
      <c r="O21" s="21"/>
      <c r="P21" s="21">
        <v>3</v>
      </c>
      <c r="Q21" s="21">
        <v>16</v>
      </c>
      <c r="R21" s="21" t="s">
        <v>29</v>
      </c>
      <c r="S21" s="21">
        <f>40636+6</f>
        <v>40642</v>
      </c>
      <c r="T21" s="21">
        <v>282</v>
      </c>
      <c r="U21" s="21">
        <f>SUM(P21:T21)</f>
        <v>40943</v>
      </c>
      <c r="AJ21" s="1">
        <v>3.0000000000000001E-3</v>
      </c>
      <c r="AK21" s="1">
        <v>1.6E-2</v>
      </c>
      <c r="AL21" s="1">
        <v>6.0000000000000001E-3</v>
      </c>
      <c r="AM21" s="1">
        <v>40.636000000000003</v>
      </c>
      <c r="AN21" s="1">
        <v>0.28199999999999997</v>
      </c>
      <c r="AO21" s="1">
        <v>40.942999999999998</v>
      </c>
    </row>
    <row r="22" spans="1:41" x14ac:dyDescent="0.2">
      <c r="A22" s="371">
        <v>1992</v>
      </c>
      <c r="B22" s="21">
        <v>9073</v>
      </c>
      <c r="C22" s="21">
        <v>6191</v>
      </c>
      <c r="D22" s="21">
        <v>979</v>
      </c>
      <c r="E22" s="21">
        <v>833</v>
      </c>
      <c r="F22" s="21" t="s">
        <v>29</v>
      </c>
      <c r="G22" s="21">
        <f t="shared" si="0"/>
        <v>17076</v>
      </c>
      <c r="H22" s="69"/>
      <c r="I22" s="70" t="s">
        <v>29</v>
      </c>
      <c r="J22" s="70" t="s">
        <v>29</v>
      </c>
      <c r="K22" s="21">
        <v>4571</v>
      </c>
      <c r="L22" s="21">
        <v>3093</v>
      </c>
      <c r="M22" s="21" t="s">
        <v>29</v>
      </c>
      <c r="N22" s="21">
        <f t="shared" si="1"/>
        <v>7664</v>
      </c>
      <c r="O22" s="21"/>
      <c r="P22" s="21"/>
      <c r="Q22" s="21"/>
      <c r="R22" s="21"/>
      <c r="S22" s="21"/>
      <c r="T22" s="21"/>
      <c r="U22" s="21"/>
    </row>
    <row r="23" spans="1:41" x14ac:dyDescent="0.2">
      <c r="A23" s="371">
        <v>1993</v>
      </c>
      <c r="B23" s="21">
        <v>8566</v>
      </c>
      <c r="C23" s="21">
        <v>5366</v>
      </c>
      <c r="D23" s="21">
        <v>1797</v>
      </c>
      <c r="E23" s="21">
        <v>281</v>
      </c>
      <c r="F23" s="21" t="s">
        <v>29</v>
      </c>
      <c r="G23" s="21">
        <f t="shared" si="0"/>
        <v>16010</v>
      </c>
      <c r="H23" s="69"/>
      <c r="I23" s="70" t="s">
        <v>29</v>
      </c>
      <c r="J23" s="70" t="s">
        <v>29</v>
      </c>
      <c r="K23" s="21">
        <v>2184</v>
      </c>
      <c r="L23" s="21">
        <v>979</v>
      </c>
      <c r="M23" s="70" t="s">
        <v>29</v>
      </c>
      <c r="N23" s="21">
        <f t="shared" si="1"/>
        <v>3163</v>
      </c>
      <c r="O23" s="21"/>
      <c r="P23" s="21">
        <v>14</v>
      </c>
      <c r="Q23" s="21">
        <v>1</v>
      </c>
      <c r="R23" s="21">
        <v>64</v>
      </c>
      <c r="S23" s="21">
        <f>2726+11</f>
        <v>2737</v>
      </c>
      <c r="T23" s="21" t="s">
        <v>29</v>
      </c>
      <c r="U23" s="21">
        <f>SUM(P23:T23)</f>
        <v>2816</v>
      </c>
      <c r="AJ23" s="1">
        <v>1.4E-2</v>
      </c>
      <c r="AK23" s="1">
        <v>1E-3</v>
      </c>
      <c r="AL23" s="1">
        <v>6.4000000000000001E-2</v>
      </c>
      <c r="AM23" s="1">
        <v>2.726</v>
      </c>
      <c r="AN23" s="1">
        <v>1.0999999999999999E-2</v>
      </c>
      <c r="AO23" s="1">
        <v>2.8159999999999998</v>
      </c>
    </row>
    <row r="24" spans="1:41" x14ac:dyDescent="0.2">
      <c r="A24" s="371">
        <v>1994</v>
      </c>
      <c r="B24" s="21" t="s">
        <v>29</v>
      </c>
      <c r="C24" s="21" t="s">
        <v>29</v>
      </c>
      <c r="D24" s="21" t="s">
        <v>29</v>
      </c>
      <c r="E24" s="21" t="s">
        <v>29</v>
      </c>
      <c r="F24" s="21" t="s">
        <v>29</v>
      </c>
      <c r="G24" s="21" t="s">
        <v>29</v>
      </c>
      <c r="H24" s="69"/>
      <c r="I24" s="70" t="s">
        <v>29</v>
      </c>
      <c r="J24" s="70" t="s">
        <v>29</v>
      </c>
      <c r="K24" s="21" t="s">
        <v>29</v>
      </c>
      <c r="L24" s="21" t="s">
        <v>29</v>
      </c>
      <c r="M24" s="21" t="s">
        <v>29</v>
      </c>
      <c r="N24" s="21" t="s">
        <v>29</v>
      </c>
      <c r="O24" s="21"/>
      <c r="P24" s="21"/>
      <c r="Q24" s="21"/>
      <c r="R24" s="21"/>
      <c r="S24" s="21"/>
      <c r="T24" s="21"/>
      <c r="U24" s="21"/>
    </row>
    <row r="25" spans="1:41" x14ac:dyDescent="0.2">
      <c r="A25" s="371">
        <v>1995</v>
      </c>
      <c r="B25" s="21" t="s">
        <v>29</v>
      </c>
      <c r="C25" s="21" t="s">
        <v>29</v>
      </c>
      <c r="D25" s="21" t="s">
        <v>29</v>
      </c>
      <c r="E25" s="70">
        <v>3</v>
      </c>
      <c r="F25" s="21" t="s">
        <v>29</v>
      </c>
      <c r="G25" s="21">
        <f>SUM(B25:F25)</f>
        <v>3</v>
      </c>
      <c r="H25" s="69"/>
      <c r="I25" s="70" t="s">
        <v>29</v>
      </c>
      <c r="J25" s="70" t="s">
        <v>29</v>
      </c>
      <c r="K25" s="21" t="s">
        <v>29</v>
      </c>
      <c r="L25" s="21">
        <v>15593</v>
      </c>
      <c r="M25" s="21">
        <v>5212</v>
      </c>
      <c r="N25" s="21">
        <f>SUM(I25:M25)</f>
        <v>20805</v>
      </c>
      <c r="O25" s="21"/>
      <c r="P25" s="21" t="s">
        <v>29</v>
      </c>
      <c r="Q25" s="21" t="s">
        <v>29</v>
      </c>
      <c r="R25" s="21" t="s">
        <v>29</v>
      </c>
      <c r="S25" s="21">
        <v>27429</v>
      </c>
      <c r="T25" s="21">
        <v>788</v>
      </c>
      <c r="U25" s="21">
        <f>SUM(P25:T25)</f>
        <v>28217</v>
      </c>
      <c r="AJ25" s="1">
        <v>0</v>
      </c>
      <c r="AK25" s="1">
        <v>0</v>
      </c>
      <c r="AL25" s="1">
        <v>0</v>
      </c>
      <c r="AM25" s="1">
        <v>27.428999999999998</v>
      </c>
      <c r="AN25" s="1">
        <v>0.78800000000000003</v>
      </c>
      <c r="AO25" s="1">
        <v>28.216999999999999</v>
      </c>
    </row>
    <row r="26" spans="1:41" x14ac:dyDescent="0.2">
      <c r="A26" s="371">
        <v>1996</v>
      </c>
      <c r="B26" s="21" t="s">
        <v>29</v>
      </c>
      <c r="C26" s="21" t="s">
        <v>29</v>
      </c>
      <c r="D26" s="21" t="s">
        <v>29</v>
      </c>
      <c r="E26" s="21" t="s">
        <v>29</v>
      </c>
      <c r="F26" s="21" t="s">
        <v>29</v>
      </c>
      <c r="G26" s="21" t="s">
        <v>29</v>
      </c>
      <c r="H26" s="69"/>
      <c r="I26" s="70" t="s">
        <v>29</v>
      </c>
      <c r="J26" s="70" t="s">
        <v>29</v>
      </c>
      <c r="K26" s="21">
        <v>5516</v>
      </c>
      <c r="L26" s="21">
        <v>7526</v>
      </c>
      <c r="M26" s="21" t="s">
        <v>29</v>
      </c>
      <c r="N26" s="21">
        <f>SUM(I26:M26)</f>
        <v>13042</v>
      </c>
      <c r="O26" s="21"/>
      <c r="P26" s="21"/>
      <c r="Q26" s="21"/>
      <c r="R26" s="21"/>
      <c r="S26" s="21"/>
      <c r="T26" s="21"/>
      <c r="U26" s="21"/>
    </row>
    <row r="27" spans="1:41" x14ac:dyDescent="0.2">
      <c r="A27" s="371">
        <v>1997</v>
      </c>
      <c r="B27" s="21">
        <v>3236</v>
      </c>
      <c r="C27" s="21">
        <v>549</v>
      </c>
      <c r="D27" s="21" t="s">
        <v>29</v>
      </c>
      <c r="E27" s="21" t="s">
        <v>29</v>
      </c>
      <c r="F27" s="21" t="s">
        <v>29</v>
      </c>
      <c r="G27" s="21">
        <f t="shared" ref="G27:G50" si="2">SUM(B27:F27)</f>
        <v>3785</v>
      </c>
      <c r="H27" s="69"/>
      <c r="I27" s="70" t="s">
        <v>29</v>
      </c>
      <c r="J27" s="70" t="s">
        <v>29</v>
      </c>
      <c r="K27" s="21" t="s">
        <v>29</v>
      </c>
      <c r="L27" s="21" t="s">
        <v>29</v>
      </c>
      <c r="M27" s="21" t="s">
        <v>29</v>
      </c>
      <c r="N27" s="21" t="s">
        <v>29</v>
      </c>
      <c r="O27" s="21"/>
      <c r="P27" s="21">
        <v>2</v>
      </c>
      <c r="Q27" s="21">
        <v>2</v>
      </c>
      <c r="R27" s="21" t="s">
        <v>29</v>
      </c>
      <c r="S27" s="21" t="s">
        <v>29</v>
      </c>
      <c r="T27" s="21" t="s">
        <v>29</v>
      </c>
      <c r="U27" s="21">
        <f>SUM(P27:T27)</f>
        <v>4</v>
      </c>
      <c r="AJ27" s="1">
        <v>2E-3</v>
      </c>
      <c r="AK27" s="1">
        <v>2E-3</v>
      </c>
      <c r="AL27" s="1">
        <v>0</v>
      </c>
      <c r="AM27" s="1">
        <v>0</v>
      </c>
      <c r="AN27" s="1">
        <v>0</v>
      </c>
      <c r="AO27" s="1">
        <v>4.0000000000000001E-3</v>
      </c>
    </row>
    <row r="28" spans="1:41" x14ac:dyDescent="0.2">
      <c r="A28" s="371">
        <v>1998</v>
      </c>
      <c r="B28" s="21">
        <v>4043</v>
      </c>
      <c r="C28" s="21">
        <v>117</v>
      </c>
      <c r="D28" s="21" t="s">
        <v>29</v>
      </c>
      <c r="E28" s="21" t="s">
        <v>29</v>
      </c>
      <c r="F28" s="21" t="s">
        <v>29</v>
      </c>
      <c r="G28" s="21">
        <f t="shared" si="2"/>
        <v>4160</v>
      </c>
      <c r="H28" s="69"/>
      <c r="I28" s="70" t="s">
        <v>29</v>
      </c>
      <c r="J28" s="70" t="s">
        <v>29</v>
      </c>
      <c r="K28" s="21" t="s">
        <v>29</v>
      </c>
      <c r="L28" s="21" t="s">
        <v>29</v>
      </c>
      <c r="M28" s="21" t="s">
        <v>29</v>
      </c>
      <c r="N28" s="21" t="s">
        <v>29</v>
      </c>
      <c r="O28" s="21"/>
      <c r="P28" s="21"/>
      <c r="Q28" s="21"/>
      <c r="R28" s="21"/>
      <c r="S28" s="21"/>
      <c r="T28" s="21"/>
      <c r="U28" s="21"/>
    </row>
    <row r="29" spans="1:41" x14ac:dyDescent="0.2">
      <c r="A29" s="371">
        <v>1999</v>
      </c>
      <c r="B29" s="21">
        <v>2808</v>
      </c>
      <c r="C29" s="21">
        <v>4938</v>
      </c>
      <c r="D29" s="21">
        <v>3428</v>
      </c>
      <c r="E29" s="21">
        <v>1524</v>
      </c>
      <c r="F29" s="21" t="s">
        <v>29</v>
      </c>
      <c r="G29" s="21">
        <f t="shared" si="2"/>
        <v>12698</v>
      </c>
      <c r="H29" s="69"/>
      <c r="I29" s="70" t="s">
        <v>29</v>
      </c>
      <c r="J29" s="70" t="s">
        <v>29</v>
      </c>
      <c r="K29" s="21">
        <v>477</v>
      </c>
      <c r="L29" s="21">
        <v>1436</v>
      </c>
      <c r="M29" s="21" t="s">
        <v>29</v>
      </c>
      <c r="N29" s="21">
        <f>SUM(I29:M29)</f>
        <v>1913</v>
      </c>
      <c r="O29" s="21"/>
      <c r="P29" s="21">
        <v>0</v>
      </c>
      <c r="Q29" s="21">
        <v>0</v>
      </c>
      <c r="R29" s="21">
        <v>30</v>
      </c>
      <c r="S29" s="21">
        <v>8</v>
      </c>
      <c r="T29" s="21" t="s">
        <v>29</v>
      </c>
      <c r="U29" s="21">
        <f>SUM(P29:T29)</f>
        <v>38</v>
      </c>
      <c r="AJ29" s="1">
        <v>0</v>
      </c>
      <c r="AK29" s="1">
        <v>0</v>
      </c>
      <c r="AL29" s="1">
        <v>0.03</v>
      </c>
      <c r="AM29" s="1">
        <v>8.0000000000000002E-3</v>
      </c>
      <c r="AN29" s="1">
        <v>0</v>
      </c>
      <c r="AO29" s="1">
        <v>3.7999999999999999E-2</v>
      </c>
    </row>
    <row r="30" spans="1:41" x14ac:dyDescent="0.2">
      <c r="A30" s="371">
        <v>2000</v>
      </c>
      <c r="B30" s="70">
        <v>5462</v>
      </c>
      <c r="C30" s="70">
        <v>2086</v>
      </c>
      <c r="D30" s="70" t="s">
        <v>29</v>
      </c>
      <c r="E30" s="70" t="s">
        <v>29</v>
      </c>
      <c r="F30" s="70" t="s">
        <v>29</v>
      </c>
      <c r="G30" s="70">
        <f t="shared" si="2"/>
        <v>7548</v>
      </c>
      <c r="H30" s="84"/>
      <c r="I30" s="70" t="s">
        <v>29</v>
      </c>
      <c r="J30" s="70" t="s">
        <v>29</v>
      </c>
      <c r="K30" s="70" t="s">
        <v>29</v>
      </c>
      <c r="L30" s="70"/>
      <c r="M30" s="70" t="s">
        <v>29</v>
      </c>
      <c r="N30" s="70" t="s">
        <v>29</v>
      </c>
      <c r="O30" s="70"/>
      <c r="P30" s="70"/>
      <c r="Q30" s="70"/>
      <c r="R30" s="70"/>
      <c r="S30" s="70"/>
      <c r="T30" s="70"/>
      <c r="U30" s="70"/>
    </row>
    <row r="31" spans="1:41" x14ac:dyDescent="0.2">
      <c r="A31" s="371">
        <v>2001</v>
      </c>
      <c r="B31" s="21">
        <v>2072</v>
      </c>
      <c r="C31" s="21">
        <v>2284</v>
      </c>
      <c r="D31" s="21">
        <v>1897</v>
      </c>
      <c r="E31" s="21" t="s">
        <v>29</v>
      </c>
      <c r="F31" s="21" t="s">
        <v>29</v>
      </c>
      <c r="G31" s="21">
        <f t="shared" si="2"/>
        <v>6253</v>
      </c>
      <c r="H31" s="69"/>
      <c r="I31" s="70" t="s">
        <v>29</v>
      </c>
      <c r="J31" s="70" t="s">
        <v>29</v>
      </c>
      <c r="K31" s="21">
        <v>280</v>
      </c>
      <c r="L31" s="21" t="s">
        <v>29</v>
      </c>
      <c r="M31" s="21" t="s">
        <v>29</v>
      </c>
      <c r="N31" s="21">
        <f>SUM(I31:M31)</f>
        <v>280</v>
      </c>
      <c r="O31" s="21"/>
      <c r="P31" s="21">
        <v>1</v>
      </c>
      <c r="Q31" s="21">
        <v>8</v>
      </c>
      <c r="R31" s="21">
        <v>7</v>
      </c>
      <c r="S31" s="21" t="s">
        <v>29</v>
      </c>
      <c r="T31" s="21" t="s">
        <v>29</v>
      </c>
      <c r="U31" s="21">
        <f>SUM(P31:T31)</f>
        <v>16</v>
      </c>
      <c r="AJ31" s="1">
        <v>1E-3</v>
      </c>
      <c r="AK31" s="1">
        <v>8.0000000000000002E-3</v>
      </c>
      <c r="AL31" s="1">
        <v>7.0000000000000001E-3</v>
      </c>
      <c r="AM31" s="1">
        <v>0</v>
      </c>
      <c r="AN31" s="1">
        <v>0</v>
      </c>
      <c r="AO31" s="1">
        <v>1.6E-2</v>
      </c>
    </row>
    <row r="32" spans="1:41" x14ac:dyDescent="0.2">
      <c r="A32" s="371">
        <v>2002</v>
      </c>
      <c r="B32" s="21">
        <v>5626</v>
      </c>
      <c r="C32" s="21">
        <v>4680</v>
      </c>
      <c r="D32" s="21">
        <v>5589</v>
      </c>
      <c r="E32" s="21">
        <v>2813</v>
      </c>
      <c r="F32" s="21" t="s">
        <v>29</v>
      </c>
      <c r="G32" s="21">
        <f t="shared" si="2"/>
        <v>18708</v>
      </c>
      <c r="H32" s="69"/>
      <c r="I32" s="70" t="s">
        <v>29</v>
      </c>
      <c r="J32" s="70" t="s">
        <v>29</v>
      </c>
      <c r="K32" s="70" t="s">
        <v>29</v>
      </c>
      <c r="L32" s="70" t="s">
        <v>29</v>
      </c>
      <c r="M32" s="21" t="s">
        <v>29</v>
      </c>
      <c r="N32" s="70" t="s">
        <v>29</v>
      </c>
      <c r="O32" s="21"/>
      <c r="P32" s="21"/>
      <c r="Q32" s="21"/>
      <c r="R32" s="21"/>
      <c r="S32" s="21"/>
      <c r="T32" s="21"/>
      <c r="U32" s="21"/>
    </row>
    <row r="33" spans="1:41" x14ac:dyDescent="0.2">
      <c r="A33" s="371">
        <v>2003</v>
      </c>
      <c r="B33" s="21">
        <v>13364</v>
      </c>
      <c r="C33" s="21">
        <v>4385</v>
      </c>
      <c r="D33" s="21">
        <v>6554</v>
      </c>
      <c r="E33" s="21">
        <v>5848</v>
      </c>
      <c r="F33" s="21">
        <v>363</v>
      </c>
      <c r="G33" s="21">
        <f t="shared" si="2"/>
        <v>30514</v>
      </c>
      <c r="H33" s="69"/>
      <c r="I33" s="70" t="s">
        <v>29</v>
      </c>
      <c r="J33" s="70" t="s">
        <v>29</v>
      </c>
      <c r="K33" s="21">
        <v>706</v>
      </c>
      <c r="L33" s="21">
        <v>866</v>
      </c>
      <c r="M33" s="21">
        <v>111</v>
      </c>
      <c r="N33" s="21">
        <f t="shared" ref="N33:N45" si="3">SUM(I33:M33)</f>
        <v>1683</v>
      </c>
      <c r="O33" s="21"/>
      <c r="P33" s="21">
        <v>0</v>
      </c>
      <c r="Q33" s="21">
        <v>0</v>
      </c>
      <c r="R33" s="21">
        <v>47</v>
      </c>
      <c r="S33" s="21">
        <v>23</v>
      </c>
      <c r="T33" s="21">
        <v>0</v>
      </c>
      <c r="U33" s="21">
        <f>SUM(P33:T33)</f>
        <v>70</v>
      </c>
      <c r="AJ33" s="1">
        <v>0</v>
      </c>
      <c r="AK33" s="1">
        <v>0</v>
      </c>
      <c r="AL33" s="1">
        <v>4.7E-2</v>
      </c>
      <c r="AM33" s="1">
        <v>2.3E-2</v>
      </c>
      <c r="AN33" s="1">
        <v>0</v>
      </c>
      <c r="AO33" s="1">
        <v>7.0000000000000007E-2</v>
      </c>
    </row>
    <row r="34" spans="1:41" x14ac:dyDescent="0.2">
      <c r="A34" s="371">
        <v>2004</v>
      </c>
      <c r="B34" s="21">
        <v>7128</v>
      </c>
      <c r="C34" s="21">
        <v>510</v>
      </c>
      <c r="D34" s="21">
        <v>4685</v>
      </c>
      <c r="E34" s="21">
        <v>5727</v>
      </c>
      <c r="F34" s="21">
        <v>1034</v>
      </c>
      <c r="G34" s="70">
        <f t="shared" si="2"/>
        <v>19084</v>
      </c>
      <c r="H34" s="69"/>
      <c r="I34" s="70" t="s">
        <v>29</v>
      </c>
      <c r="J34" s="70" t="s">
        <v>29</v>
      </c>
      <c r="K34" s="21">
        <v>647</v>
      </c>
      <c r="L34" s="21">
        <v>1745</v>
      </c>
      <c r="M34" s="21">
        <v>231</v>
      </c>
      <c r="N34" s="70">
        <f t="shared" si="3"/>
        <v>2623</v>
      </c>
      <c r="O34" s="21"/>
      <c r="P34" s="21"/>
      <c r="Q34" s="21"/>
      <c r="R34" s="21"/>
      <c r="S34" s="21"/>
      <c r="T34" s="21"/>
      <c r="U34" s="21"/>
    </row>
    <row r="35" spans="1:41" x14ac:dyDescent="0.2">
      <c r="A35" s="348">
        <v>2005</v>
      </c>
      <c r="B35" s="21">
        <v>4929</v>
      </c>
      <c r="C35" s="21">
        <v>595</v>
      </c>
      <c r="D35" s="21">
        <v>3285</v>
      </c>
      <c r="E35" s="21">
        <v>3182</v>
      </c>
      <c r="F35" s="21" t="s">
        <v>29</v>
      </c>
      <c r="G35" s="21">
        <f t="shared" si="2"/>
        <v>11991</v>
      </c>
      <c r="H35" s="69"/>
      <c r="I35" s="70" t="s">
        <v>29</v>
      </c>
      <c r="J35" s="70" t="s">
        <v>29</v>
      </c>
      <c r="K35" s="21">
        <v>62</v>
      </c>
      <c r="L35" s="21">
        <v>275</v>
      </c>
      <c r="M35" s="21" t="s">
        <v>29</v>
      </c>
      <c r="N35" s="21">
        <f t="shared" si="3"/>
        <v>337</v>
      </c>
      <c r="O35" s="21"/>
      <c r="P35" s="21">
        <v>0</v>
      </c>
      <c r="Q35" s="21">
        <v>0</v>
      </c>
      <c r="R35" s="21">
        <v>0</v>
      </c>
      <c r="S35" s="21">
        <v>0</v>
      </c>
      <c r="T35" s="21" t="s">
        <v>29</v>
      </c>
      <c r="U35" s="21">
        <f>SUM(P35:T35)</f>
        <v>0</v>
      </c>
    </row>
    <row r="36" spans="1:41" x14ac:dyDescent="0.2">
      <c r="A36" s="348">
        <v>2006</v>
      </c>
      <c r="B36" s="21">
        <v>2434</v>
      </c>
      <c r="C36" s="21">
        <v>545</v>
      </c>
      <c r="D36" s="21">
        <v>109</v>
      </c>
      <c r="E36" s="21">
        <v>662</v>
      </c>
      <c r="F36" s="21">
        <v>461</v>
      </c>
      <c r="G36" s="21">
        <f t="shared" si="2"/>
        <v>4211</v>
      </c>
      <c r="H36" s="69"/>
      <c r="I36" s="70" t="s">
        <v>29</v>
      </c>
      <c r="J36" s="70" t="s">
        <v>29</v>
      </c>
      <c r="K36" s="21">
        <v>12</v>
      </c>
      <c r="L36" s="21">
        <v>206</v>
      </c>
      <c r="M36" s="21">
        <v>23</v>
      </c>
      <c r="N36" s="21">
        <f t="shared" si="3"/>
        <v>241</v>
      </c>
      <c r="O36" s="21"/>
      <c r="P36" s="21"/>
      <c r="Q36" s="21"/>
      <c r="R36" s="21"/>
      <c r="S36" s="21"/>
      <c r="T36" s="21"/>
      <c r="U36" s="21"/>
    </row>
    <row r="37" spans="1:41" s="359" customFormat="1" x14ac:dyDescent="0.2">
      <c r="A37" s="348">
        <v>2007</v>
      </c>
      <c r="B37" s="72">
        <v>223</v>
      </c>
      <c r="C37" s="72">
        <v>122</v>
      </c>
      <c r="D37" s="72">
        <v>171</v>
      </c>
      <c r="E37" s="72">
        <v>20</v>
      </c>
      <c r="F37" s="72">
        <v>18</v>
      </c>
      <c r="G37" s="72">
        <f t="shared" si="2"/>
        <v>554</v>
      </c>
      <c r="H37" s="71"/>
      <c r="I37" s="97" t="s">
        <v>29</v>
      </c>
      <c r="J37" s="97" t="s">
        <v>29</v>
      </c>
      <c r="K37" s="72">
        <v>143</v>
      </c>
      <c r="L37" s="72">
        <v>0</v>
      </c>
      <c r="M37" s="72">
        <v>4</v>
      </c>
      <c r="N37" s="72">
        <f t="shared" si="3"/>
        <v>147</v>
      </c>
      <c r="O37" s="72"/>
      <c r="P37" s="72">
        <v>8</v>
      </c>
      <c r="Q37" s="72">
        <v>0</v>
      </c>
      <c r="R37" s="72">
        <v>16</v>
      </c>
      <c r="S37" s="72">
        <v>0</v>
      </c>
      <c r="T37" s="72">
        <v>0</v>
      </c>
      <c r="U37" s="72">
        <f>SUM(P37:T37)</f>
        <v>24</v>
      </c>
    </row>
    <row r="38" spans="1:41" s="359" customFormat="1" x14ac:dyDescent="0.2">
      <c r="A38" s="157">
        <v>2008</v>
      </c>
      <c r="B38" s="72">
        <v>47</v>
      </c>
      <c r="C38" s="72">
        <v>434</v>
      </c>
      <c r="D38" s="72">
        <v>1</v>
      </c>
      <c r="E38" s="72">
        <v>17</v>
      </c>
      <c r="F38" s="72">
        <v>0</v>
      </c>
      <c r="G38" s="72">
        <f t="shared" si="2"/>
        <v>499</v>
      </c>
      <c r="H38" s="71"/>
      <c r="I38" s="97" t="s">
        <v>29</v>
      </c>
      <c r="J38" s="97" t="s">
        <v>29</v>
      </c>
      <c r="K38" s="72">
        <v>0</v>
      </c>
      <c r="L38" s="72">
        <v>7</v>
      </c>
      <c r="M38" s="72">
        <v>0</v>
      </c>
      <c r="N38" s="72">
        <f t="shared" si="3"/>
        <v>7</v>
      </c>
      <c r="O38" s="72"/>
      <c r="P38" s="72"/>
      <c r="Q38" s="72"/>
      <c r="R38" s="72"/>
      <c r="S38" s="72"/>
      <c r="T38" s="72"/>
      <c r="U38" s="72"/>
    </row>
    <row r="39" spans="1:41" s="359" customFormat="1" x14ac:dyDescent="0.2">
      <c r="A39" s="157">
        <v>2009</v>
      </c>
      <c r="B39" s="72">
        <v>597</v>
      </c>
      <c r="C39" s="72">
        <v>461</v>
      </c>
      <c r="D39" s="72">
        <v>138</v>
      </c>
      <c r="E39" s="72">
        <v>3</v>
      </c>
      <c r="F39" s="72">
        <v>2</v>
      </c>
      <c r="G39" s="72">
        <f t="shared" si="2"/>
        <v>1201</v>
      </c>
      <c r="H39" s="71"/>
      <c r="I39" s="97" t="s">
        <v>29</v>
      </c>
      <c r="J39" s="97" t="s">
        <v>29</v>
      </c>
      <c r="K39" s="72">
        <v>458</v>
      </c>
      <c r="L39" s="72">
        <v>102</v>
      </c>
      <c r="M39" s="72">
        <v>24</v>
      </c>
      <c r="N39" s="72">
        <f t="shared" si="3"/>
        <v>584</v>
      </c>
      <c r="O39" s="72"/>
      <c r="P39" s="72">
        <v>1</v>
      </c>
      <c r="Q39" s="72">
        <v>8</v>
      </c>
      <c r="R39" s="72">
        <v>0</v>
      </c>
      <c r="S39" s="72">
        <v>0</v>
      </c>
      <c r="T39" s="72">
        <v>0</v>
      </c>
      <c r="U39" s="72">
        <f>SUM(P39:T39)</f>
        <v>9</v>
      </c>
    </row>
    <row r="40" spans="1:41" s="359" customFormat="1" x14ac:dyDescent="0.2">
      <c r="A40" s="157">
        <v>2010</v>
      </c>
      <c r="B40" s="72">
        <v>1902</v>
      </c>
      <c r="C40" s="72">
        <v>1529</v>
      </c>
      <c r="D40" s="72">
        <v>368</v>
      </c>
      <c r="E40" s="72">
        <v>332</v>
      </c>
      <c r="F40" s="72">
        <v>0</v>
      </c>
      <c r="G40" s="72">
        <f t="shared" si="2"/>
        <v>4131</v>
      </c>
      <c r="H40" s="71"/>
      <c r="I40" s="97" t="s">
        <v>29</v>
      </c>
      <c r="J40" s="97" t="s">
        <v>29</v>
      </c>
      <c r="K40" s="72">
        <v>69</v>
      </c>
      <c r="L40" s="72">
        <v>18</v>
      </c>
      <c r="M40" s="72">
        <v>0</v>
      </c>
      <c r="N40" s="72">
        <f t="shared" si="3"/>
        <v>87</v>
      </c>
      <c r="O40" s="72"/>
      <c r="P40" s="72"/>
      <c r="Q40" s="72"/>
      <c r="R40" s="72"/>
      <c r="S40" s="72"/>
      <c r="T40" s="72"/>
      <c r="U40" s="72"/>
    </row>
    <row r="41" spans="1:41" s="359" customFormat="1" x14ac:dyDescent="0.2">
      <c r="A41" s="157">
        <v>2011</v>
      </c>
      <c r="B41" s="72">
        <v>2022</v>
      </c>
      <c r="C41" s="72">
        <v>513</v>
      </c>
      <c r="D41" s="72">
        <v>276</v>
      </c>
      <c r="E41" s="72">
        <v>30</v>
      </c>
      <c r="F41" s="72">
        <v>93</v>
      </c>
      <c r="G41" s="72">
        <f t="shared" si="2"/>
        <v>2934</v>
      </c>
      <c r="H41" s="71"/>
      <c r="I41" s="97" t="s">
        <v>29</v>
      </c>
      <c r="J41" s="97" t="s">
        <v>29</v>
      </c>
      <c r="K41" s="72">
        <v>1</v>
      </c>
      <c r="L41" s="72">
        <v>0</v>
      </c>
      <c r="M41" s="72">
        <v>139</v>
      </c>
      <c r="N41" s="72">
        <f t="shared" si="3"/>
        <v>140</v>
      </c>
      <c r="O41" s="72"/>
      <c r="P41" s="72">
        <v>0</v>
      </c>
      <c r="Q41" s="72">
        <v>0</v>
      </c>
      <c r="R41" s="72">
        <v>7</v>
      </c>
      <c r="S41" s="72">
        <v>0</v>
      </c>
      <c r="T41" s="72">
        <v>0</v>
      </c>
      <c r="U41" s="72">
        <f>SUM(P41:T41)</f>
        <v>7</v>
      </c>
    </row>
    <row r="42" spans="1:41" s="359" customFormat="1" x14ac:dyDescent="0.2">
      <c r="A42" s="157">
        <v>2012</v>
      </c>
      <c r="B42" s="72">
        <v>4511</v>
      </c>
      <c r="C42" s="72">
        <v>788</v>
      </c>
      <c r="D42" s="72">
        <v>157</v>
      </c>
      <c r="E42" s="72">
        <v>421</v>
      </c>
      <c r="F42" s="72">
        <v>225</v>
      </c>
      <c r="G42" s="72">
        <f t="shared" si="2"/>
        <v>6102</v>
      </c>
      <c r="H42" s="71"/>
      <c r="I42" s="97" t="s">
        <v>29</v>
      </c>
      <c r="J42" s="97" t="s">
        <v>29</v>
      </c>
      <c r="K42" s="72">
        <v>0</v>
      </c>
      <c r="L42" s="72">
        <v>125</v>
      </c>
      <c r="M42" s="72">
        <v>79</v>
      </c>
      <c r="N42" s="72">
        <f t="shared" si="3"/>
        <v>204</v>
      </c>
      <c r="O42" s="72"/>
      <c r="P42" s="72"/>
      <c r="Q42" s="72"/>
      <c r="R42" s="72"/>
      <c r="S42" s="72"/>
      <c r="T42" s="72"/>
      <c r="U42" s="72"/>
    </row>
    <row r="43" spans="1:41" s="359" customFormat="1" x14ac:dyDescent="0.2">
      <c r="A43" s="157">
        <v>2013</v>
      </c>
      <c r="B43" s="72">
        <v>3984</v>
      </c>
      <c r="C43" s="97" t="s">
        <v>29</v>
      </c>
      <c r="D43" s="72">
        <v>1900</v>
      </c>
      <c r="E43" s="72">
        <v>87</v>
      </c>
      <c r="F43" s="97" t="s">
        <v>29</v>
      </c>
      <c r="G43" s="72">
        <f t="shared" si="2"/>
        <v>5971</v>
      </c>
      <c r="H43" s="71"/>
      <c r="I43" s="97" t="s">
        <v>29</v>
      </c>
      <c r="J43" s="97" t="s">
        <v>29</v>
      </c>
      <c r="K43" s="72">
        <v>279</v>
      </c>
      <c r="L43" s="72">
        <v>30</v>
      </c>
      <c r="M43" s="72" t="s">
        <v>29</v>
      </c>
      <c r="N43" s="72">
        <f t="shared" si="3"/>
        <v>309</v>
      </c>
      <c r="O43" s="72"/>
      <c r="P43" s="72">
        <v>2</v>
      </c>
      <c r="Q43" s="97" t="s">
        <v>29</v>
      </c>
      <c r="R43" s="72">
        <v>2</v>
      </c>
      <c r="S43" s="72">
        <v>23</v>
      </c>
      <c r="T43" s="97" t="s">
        <v>29</v>
      </c>
      <c r="U43" s="72">
        <f>SUM(P43:T43)</f>
        <v>27</v>
      </c>
    </row>
    <row r="44" spans="1:41" s="359" customFormat="1" x14ac:dyDescent="0.2">
      <c r="A44" s="157">
        <v>2014</v>
      </c>
      <c r="B44" s="72">
        <v>3075</v>
      </c>
      <c r="C44" s="97">
        <v>27</v>
      </c>
      <c r="D44" s="72">
        <v>168</v>
      </c>
      <c r="E44" s="72">
        <v>56</v>
      </c>
      <c r="F44" s="97" t="s">
        <v>29</v>
      </c>
      <c r="G44" s="72">
        <f t="shared" si="2"/>
        <v>3326</v>
      </c>
      <c r="H44" s="71"/>
      <c r="I44" s="97" t="s">
        <v>29</v>
      </c>
      <c r="J44" s="97" t="s">
        <v>29</v>
      </c>
      <c r="K44" s="72">
        <v>19</v>
      </c>
      <c r="L44" s="72">
        <v>22</v>
      </c>
      <c r="M44" s="72" t="s">
        <v>29</v>
      </c>
      <c r="N44" s="72">
        <f t="shared" si="3"/>
        <v>41</v>
      </c>
      <c r="O44" s="72"/>
      <c r="P44" s="203"/>
      <c r="Q44" s="203"/>
      <c r="R44" s="203"/>
      <c r="S44" s="203"/>
      <c r="T44" s="203"/>
      <c r="U44" s="72"/>
    </row>
    <row r="45" spans="1:41" s="359" customFormat="1" x14ac:dyDescent="0.2">
      <c r="A45" s="157">
        <v>2015</v>
      </c>
      <c r="B45" s="72">
        <v>3274</v>
      </c>
      <c r="C45" s="97">
        <v>839</v>
      </c>
      <c r="D45" s="72">
        <v>402</v>
      </c>
      <c r="E45" s="72">
        <v>104</v>
      </c>
      <c r="F45" s="97">
        <v>79</v>
      </c>
      <c r="G45" s="72">
        <f t="shared" si="2"/>
        <v>4698</v>
      </c>
      <c r="H45" s="71"/>
      <c r="I45" s="97" t="s">
        <v>29</v>
      </c>
      <c r="J45" s="97" t="s">
        <v>29</v>
      </c>
      <c r="K45" s="72">
        <v>15</v>
      </c>
      <c r="L45" s="72">
        <v>13</v>
      </c>
      <c r="M45" s="72">
        <v>6</v>
      </c>
      <c r="N45" s="72">
        <f t="shared" si="3"/>
        <v>34</v>
      </c>
      <c r="O45" s="72"/>
      <c r="P45" s="203">
        <v>0</v>
      </c>
      <c r="Q45" s="203">
        <v>20</v>
      </c>
      <c r="R45" s="203">
        <v>0</v>
      </c>
      <c r="S45" s="203">
        <v>0</v>
      </c>
      <c r="T45" s="203">
        <v>0</v>
      </c>
      <c r="U45" s="72">
        <f>SUM(P45:T45)</f>
        <v>20</v>
      </c>
    </row>
    <row r="46" spans="1:41" s="359" customFormat="1" x14ac:dyDescent="0.2">
      <c r="A46" s="157">
        <v>2016</v>
      </c>
      <c r="B46" s="72">
        <v>948</v>
      </c>
      <c r="C46" s="97">
        <v>794</v>
      </c>
      <c r="D46" s="72">
        <v>39</v>
      </c>
      <c r="E46" s="72">
        <v>7</v>
      </c>
      <c r="F46" s="97" t="s">
        <v>29</v>
      </c>
      <c r="G46" s="72">
        <f>SUM(B46:F46)</f>
        <v>1788</v>
      </c>
      <c r="H46" s="71"/>
      <c r="I46" s="97" t="s">
        <v>29</v>
      </c>
      <c r="J46" s="97" t="s">
        <v>29</v>
      </c>
      <c r="K46" s="97" t="s">
        <v>29</v>
      </c>
      <c r="L46" s="97" t="s">
        <v>29</v>
      </c>
      <c r="M46" s="97" t="s">
        <v>29</v>
      </c>
      <c r="N46" s="97" t="s">
        <v>29</v>
      </c>
      <c r="O46" s="72"/>
      <c r="P46" s="203"/>
      <c r="Q46" s="203"/>
      <c r="R46" s="203"/>
      <c r="S46" s="203"/>
      <c r="T46" s="203"/>
      <c r="U46" s="72"/>
    </row>
    <row r="47" spans="1:41" s="359" customFormat="1" x14ac:dyDescent="0.2">
      <c r="A47" s="157">
        <v>2017</v>
      </c>
      <c r="B47" s="72">
        <v>451</v>
      </c>
      <c r="C47" s="97">
        <v>374</v>
      </c>
      <c r="D47" s="72">
        <v>3058</v>
      </c>
      <c r="E47" s="72">
        <v>2158</v>
      </c>
      <c r="F47" s="97">
        <v>310</v>
      </c>
      <c r="G47" s="72">
        <f>SUM(B47:F47)</f>
        <v>6351</v>
      </c>
      <c r="H47" s="71"/>
      <c r="I47" s="97" t="s">
        <v>29</v>
      </c>
      <c r="J47" s="97" t="s">
        <v>29</v>
      </c>
      <c r="K47" s="97">
        <v>49</v>
      </c>
      <c r="L47" s="97">
        <v>182</v>
      </c>
      <c r="M47" s="97">
        <v>80</v>
      </c>
      <c r="N47" s="72">
        <f>SUM(I47:M47)</f>
        <v>311</v>
      </c>
      <c r="O47" s="72"/>
      <c r="P47" s="203">
        <v>0</v>
      </c>
      <c r="Q47" s="203">
        <v>0</v>
      </c>
      <c r="R47" s="203">
        <v>10</v>
      </c>
      <c r="S47" s="203">
        <v>1</v>
      </c>
      <c r="T47" s="203">
        <v>0</v>
      </c>
      <c r="U47" s="72">
        <f>SUM(P47:T47)</f>
        <v>11</v>
      </c>
    </row>
    <row r="48" spans="1:41" s="359" customFormat="1" x14ac:dyDescent="0.2">
      <c r="A48" s="157">
        <v>2018</v>
      </c>
      <c r="B48" s="72">
        <v>2797</v>
      </c>
      <c r="C48" s="97">
        <v>1330</v>
      </c>
      <c r="D48" s="72">
        <v>2684</v>
      </c>
      <c r="E48" s="72">
        <v>283</v>
      </c>
      <c r="F48" s="97">
        <v>182</v>
      </c>
      <c r="G48" s="72">
        <f>SUM(B48:F48)</f>
        <v>7276</v>
      </c>
      <c r="H48" s="71"/>
      <c r="I48" s="97" t="s">
        <v>29</v>
      </c>
      <c r="J48" s="97" t="s">
        <v>29</v>
      </c>
      <c r="K48" s="97">
        <v>249</v>
      </c>
      <c r="L48" s="97">
        <v>50</v>
      </c>
      <c r="M48" s="97">
        <v>106</v>
      </c>
      <c r="N48" s="72">
        <f>SUM(I48:M48)</f>
        <v>405</v>
      </c>
      <c r="O48" s="72"/>
      <c r="P48" s="203"/>
      <c r="Q48" s="203"/>
      <c r="R48" s="203"/>
      <c r="S48" s="203"/>
      <c r="T48" s="203"/>
      <c r="U48" s="72"/>
    </row>
    <row r="49" spans="1:21" s="487" customFormat="1" x14ac:dyDescent="0.2">
      <c r="A49" s="157">
        <v>2019</v>
      </c>
      <c r="B49" s="72">
        <v>1430</v>
      </c>
      <c r="C49" s="97">
        <v>2616</v>
      </c>
      <c r="D49" s="72">
        <v>9491</v>
      </c>
      <c r="E49" s="72">
        <v>219</v>
      </c>
      <c r="F49" s="97">
        <v>67</v>
      </c>
      <c r="G49" s="72">
        <f t="shared" ref="G49" si="4">SUM(B49:F49)</f>
        <v>13823</v>
      </c>
      <c r="H49" s="71"/>
      <c r="I49" s="97" t="s">
        <v>29</v>
      </c>
      <c r="J49" s="97" t="s">
        <v>29</v>
      </c>
      <c r="K49" s="97">
        <v>938</v>
      </c>
      <c r="L49" s="97">
        <v>59</v>
      </c>
      <c r="M49" s="97">
        <v>120</v>
      </c>
      <c r="N49" s="72">
        <f t="shared" ref="N49" si="5">SUM(I49:M49)</f>
        <v>1117</v>
      </c>
      <c r="O49" s="72"/>
      <c r="P49" s="203">
        <v>0</v>
      </c>
      <c r="Q49" s="203">
        <v>0</v>
      </c>
      <c r="R49" s="203">
        <v>230</v>
      </c>
      <c r="S49" s="203">
        <v>0</v>
      </c>
      <c r="T49" s="203">
        <v>0</v>
      </c>
      <c r="U49" s="72">
        <f>SUM(P49:T49)</f>
        <v>230</v>
      </c>
    </row>
    <row r="50" spans="1:21" x14ac:dyDescent="0.2">
      <c r="A50" s="171" t="s">
        <v>394</v>
      </c>
      <c r="B50" s="21">
        <v>135</v>
      </c>
      <c r="C50" s="70">
        <v>389</v>
      </c>
      <c r="D50" s="21">
        <v>692</v>
      </c>
      <c r="E50" s="21">
        <v>202</v>
      </c>
      <c r="F50" s="70">
        <v>0</v>
      </c>
      <c r="G50" s="21">
        <f t="shared" si="2"/>
        <v>1418</v>
      </c>
      <c r="H50" s="69"/>
      <c r="I50" s="70" t="s">
        <v>29</v>
      </c>
      <c r="J50" s="70" t="s">
        <v>29</v>
      </c>
      <c r="K50" s="70">
        <v>29</v>
      </c>
      <c r="L50" s="70">
        <v>16</v>
      </c>
      <c r="M50" s="70">
        <v>0</v>
      </c>
      <c r="N50" s="21">
        <v>45</v>
      </c>
      <c r="O50" s="21"/>
      <c r="U50" s="72"/>
    </row>
    <row r="51" spans="1:21" x14ac:dyDescent="0.2">
      <c r="B51" s="21"/>
      <c r="C51" s="21"/>
      <c r="D51" s="21"/>
      <c r="E51" s="21"/>
      <c r="F51" s="21"/>
      <c r="G51" s="21"/>
      <c r="H51" s="69"/>
      <c r="I51" s="21"/>
      <c r="J51" s="21"/>
      <c r="K51" s="21"/>
      <c r="L51" s="21"/>
      <c r="M51" s="21"/>
      <c r="N51" s="21"/>
      <c r="O51" s="21"/>
    </row>
    <row r="52" spans="1:21" x14ac:dyDescent="0.2">
      <c r="A52" s="116" t="s">
        <v>66</v>
      </c>
      <c r="B52" s="21"/>
      <c r="C52" s="21"/>
      <c r="D52" s="21"/>
      <c r="E52" s="21"/>
      <c r="F52" s="21"/>
      <c r="G52" s="21"/>
      <c r="H52" s="69"/>
      <c r="I52" s="21"/>
      <c r="J52" s="21"/>
      <c r="K52" s="21"/>
      <c r="L52" s="21"/>
      <c r="M52" s="21"/>
      <c r="N52" s="21"/>
      <c r="O52" s="21"/>
    </row>
    <row r="53" spans="1:21" x14ac:dyDescent="0.2">
      <c r="A53" s="371">
        <v>1976</v>
      </c>
      <c r="B53" s="21">
        <f>24+5716</f>
        <v>5740</v>
      </c>
      <c r="C53" s="21">
        <v>19917</v>
      </c>
      <c r="D53" s="21">
        <v>32272</v>
      </c>
      <c r="E53" s="21">
        <v>21615</v>
      </c>
      <c r="F53" s="21">
        <f>4166+599+1</f>
        <v>4766</v>
      </c>
      <c r="G53" s="21">
        <f t="shared" ref="G53:G70" si="6">SUM(B53:F53)</f>
        <v>84310</v>
      </c>
      <c r="H53" s="69"/>
      <c r="I53" s="70" t="s">
        <v>29</v>
      </c>
      <c r="J53" s="21">
        <v>46357</v>
      </c>
      <c r="K53" s="21">
        <v>207955</v>
      </c>
      <c r="L53" s="21">
        <v>110244</v>
      </c>
      <c r="M53" s="21">
        <f>37231+2011+6</f>
        <v>39248</v>
      </c>
      <c r="N53" s="21">
        <f t="shared" ref="N53:N60" si="7">SUM(I53:M53)</f>
        <v>403804</v>
      </c>
      <c r="O53" s="21"/>
      <c r="P53" s="198"/>
      <c r="Q53" s="198"/>
      <c r="R53" s="198"/>
      <c r="S53" s="198"/>
      <c r="T53" s="198"/>
      <c r="U53" s="70"/>
    </row>
    <row r="54" spans="1:21" x14ac:dyDescent="0.2">
      <c r="A54" s="371">
        <v>1977</v>
      </c>
      <c r="B54" s="21">
        <f>122+9882</f>
        <v>10004</v>
      </c>
      <c r="C54" s="21">
        <v>4530</v>
      </c>
      <c r="D54" s="21">
        <v>19014</v>
      </c>
      <c r="E54" s="21">
        <v>7775</v>
      </c>
      <c r="F54" s="21">
        <f>2763+18</f>
        <v>2781</v>
      </c>
      <c r="G54" s="21">
        <f t="shared" si="6"/>
        <v>44104</v>
      </c>
      <c r="H54" s="69"/>
      <c r="I54" s="70" t="s">
        <v>29</v>
      </c>
      <c r="J54" s="70" t="s">
        <v>29</v>
      </c>
      <c r="K54" s="21">
        <f>106108+16+6</f>
        <v>106130</v>
      </c>
      <c r="L54" s="21">
        <v>53667</v>
      </c>
      <c r="M54" s="21">
        <f>19414+4</f>
        <v>19418</v>
      </c>
      <c r="N54" s="21">
        <f t="shared" si="7"/>
        <v>179215</v>
      </c>
      <c r="O54" s="21"/>
      <c r="P54" s="200">
        <v>512</v>
      </c>
      <c r="Q54" s="200">
        <v>311</v>
      </c>
      <c r="R54" s="200">
        <v>45630</v>
      </c>
      <c r="S54" s="200">
        <v>44251</v>
      </c>
      <c r="T54" s="200">
        <v>465</v>
      </c>
      <c r="U54" s="21">
        <f>SUM(P54:T54)</f>
        <v>91169</v>
      </c>
    </row>
    <row r="55" spans="1:21" x14ac:dyDescent="0.2">
      <c r="A55" s="371">
        <v>1978</v>
      </c>
      <c r="B55" s="21">
        <v>3191</v>
      </c>
      <c r="C55" s="21">
        <v>4138</v>
      </c>
      <c r="D55" s="21">
        <v>16998</v>
      </c>
      <c r="E55" s="21">
        <v>12376</v>
      </c>
      <c r="F55" s="21">
        <v>2545</v>
      </c>
      <c r="G55" s="21">
        <f t="shared" si="6"/>
        <v>39248</v>
      </c>
      <c r="H55" s="69"/>
      <c r="I55" s="70" t="s">
        <v>29</v>
      </c>
      <c r="J55" s="70" t="s">
        <v>29</v>
      </c>
      <c r="K55" s="21">
        <v>96918</v>
      </c>
      <c r="L55" s="21">
        <v>34910</v>
      </c>
      <c r="M55" s="21">
        <v>30389</v>
      </c>
      <c r="N55" s="21">
        <f t="shared" si="7"/>
        <v>162217</v>
      </c>
      <c r="O55" s="21"/>
      <c r="P55" s="198"/>
      <c r="Q55" s="198"/>
      <c r="R55" s="198"/>
      <c r="S55" s="198"/>
      <c r="T55" s="198"/>
      <c r="U55" s="70"/>
    </row>
    <row r="56" spans="1:21" x14ac:dyDescent="0.2">
      <c r="A56" s="371">
        <v>1979</v>
      </c>
      <c r="B56" s="21">
        <f>1036+8851</f>
        <v>9887</v>
      </c>
      <c r="C56" s="21">
        <v>209</v>
      </c>
      <c r="D56" s="21">
        <v>11589</v>
      </c>
      <c r="E56" s="21">
        <v>6767</v>
      </c>
      <c r="F56" s="21">
        <v>99</v>
      </c>
      <c r="G56" s="21">
        <f t="shared" si="6"/>
        <v>28551</v>
      </c>
      <c r="H56" s="69"/>
      <c r="I56" s="70" t="s">
        <v>29</v>
      </c>
      <c r="J56" s="70" t="s">
        <v>29</v>
      </c>
      <c r="K56" s="21">
        <f>81028+505</f>
        <v>81533</v>
      </c>
      <c r="L56" s="21">
        <v>74158</v>
      </c>
      <c r="M56" s="21">
        <v>758</v>
      </c>
      <c r="N56" s="21">
        <f t="shared" si="7"/>
        <v>156449</v>
      </c>
      <c r="O56" s="21"/>
      <c r="P56" s="200">
        <f>2+48</f>
        <v>50</v>
      </c>
      <c r="Q56" s="70">
        <v>0</v>
      </c>
      <c r="R56" s="200">
        <v>33513</v>
      </c>
      <c r="S56" s="200">
        <v>161702</v>
      </c>
      <c r="T56" s="200">
        <v>120</v>
      </c>
      <c r="U56" s="21">
        <f>SUM(P56:T56)</f>
        <v>195385</v>
      </c>
    </row>
    <row r="57" spans="1:21" x14ac:dyDescent="0.2">
      <c r="A57" s="371">
        <v>1980</v>
      </c>
      <c r="B57" s="21">
        <f>32+3579</f>
        <v>3611</v>
      </c>
      <c r="C57" s="21">
        <v>91</v>
      </c>
      <c r="D57" s="21">
        <v>18498</v>
      </c>
      <c r="E57" s="21">
        <v>6445</v>
      </c>
      <c r="F57" s="21" t="s">
        <v>29</v>
      </c>
      <c r="G57" s="21">
        <f t="shared" si="6"/>
        <v>28645</v>
      </c>
      <c r="H57" s="69"/>
      <c r="I57" s="70" t="s">
        <v>29</v>
      </c>
      <c r="J57" s="70" t="s">
        <v>29</v>
      </c>
      <c r="K57" s="21">
        <v>71079</v>
      </c>
      <c r="L57" s="21">
        <v>43884</v>
      </c>
      <c r="M57" s="70" t="s">
        <v>29</v>
      </c>
      <c r="N57" s="21">
        <f t="shared" si="7"/>
        <v>114963</v>
      </c>
      <c r="O57" s="21"/>
      <c r="R57" s="198"/>
      <c r="S57" s="198"/>
      <c r="T57" s="198"/>
      <c r="U57" s="70"/>
    </row>
    <row r="58" spans="1:21" x14ac:dyDescent="0.2">
      <c r="A58" s="371">
        <v>1981</v>
      </c>
      <c r="B58" s="21">
        <f>1+6001</f>
        <v>6002</v>
      </c>
      <c r="C58" s="21">
        <v>102</v>
      </c>
      <c r="D58" s="21">
        <v>4203</v>
      </c>
      <c r="E58" s="21">
        <v>4042</v>
      </c>
      <c r="F58" s="21" t="s">
        <v>29</v>
      </c>
      <c r="G58" s="21">
        <f t="shared" si="6"/>
        <v>14349</v>
      </c>
      <c r="H58" s="69"/>
      <c r="I58" s="70" t="s">
        <v>29</v>
      </c>
      <c r="J58" s="70" t="s">
        <v>29</v>
      </c>
      <c r="K58" s="21">
        <v>38230</v>
      </c>
      <c r="L58" s="21">
        <v>17380</v>
      </c>
      <c r="M58" s="70" t="s">
        <v>29</v>
      </c>
      <c r="N58" s="21">
        <f t="shared" si="7"/>
        <v>55610</v>
      </c>
      <c r="O58" s="21"/>
      <c r="P58" s="200">
        <v>113</v>
      </c>
      <c r="Q58" s="70">
        <v>0</v>
      </c>
      <c r="R58" s="200">
        <v>18651</v>
      </c>
      <c r="S58" s="200">
        <v>34958</v>
      </c>
      <c r="T58" s="70" t="s">
        <v>29</v>
      </c>
      <c r="U58" s="21">
        <f>SUM(P58:T58)</f>
        <v>53722</v>
      </c>
    </row>
    <row r="59" spans="1:21" x14ac:dyDescent="0.2">
      <c r="A59" s="371">
        <v>1982</v>
      </c>
      <c r="B59" s="21">
        <v>1241</v>
      </c>
      <c r="C59" s="21">
        <v>590</v>
      </c>
      <c r="D59" s="21">
        <v>10695</v>
      </c>
      <c r="E59" s="21" t="s">
        <v>29</v>
      </c>
      <c r="F59" s="21" t="s">
        <v>29</v>
      </c>
      <c r="G59" s="21">
        <f t="shared" si="6"/>
        <v>12526</v>
      </c>
      <c r="H59" s="69"/>
      <c r="I59" s="70" t="s">
        <v>29</v>
      </c>
      <c r="J59" s="70" t="s">
        <v>29</v>
      </c>
      <c r="K59" s="21">
        <v>46684</v>
      </c>
      <c r="L59" s="70" t="s">
        <v>29</v>
      </c>
      <c r="M59" s="70" t="s">
        <v>29</v>
      </c>
      <c r="N59" s="21">
        <f t="shared" si="7"/>
        <v>46684</v>
      </c>
      <c r="O59" s="21"/>
      <c r="R59" s="198"/>
      <c r="S59" s="198"/>
      <c r="T59" s="198"/>
      <c r="U59" s="70"/>
    </row>
    <row r="60" spans="1:21" x14ac:dyDescent="0.2">
      <c r="A60" s="371">
        <v>1983</v>
      </c>
      <c r="B60" s="21">
        <f>10+1536</f>
        <v>1546</v>
      </c>
      <c r="C60" s="21">
        <v>80</v>
      </c>
      <c r="D60" s="21">
        <v>3136</v>
      </c>
      <c r="E60" s="21">
        <v>119</v>
      </c>
      <c r="F60" s="21" t="s">
        <v>29</v>
      </c>
      <c r="G60" s="21">
        <f t="shared" si="6"/>
        <v>4881</v>
      </c>
      <c r="H60" s="69"/>
      <c r="I60" s="70" t="s">
        <v>29</v>
      </c>
      <c r="J60" s="70" t="s">
        <v>29</v>
      </c>
      <c r="K60" s="21">
        <v>1006</v>
      </c>
      <c r="L60" s="21">
        <v>259</v>
      </c>
      <c r="M60" s="70" t="s">
        <v>29</v>
      </c>
      <c r="N60" s="21">
        <f t="shared" si="7"/>
        <v>1265</v>
      </c>
      <c r="O60" s="21"/>
      <c r="P60" s="200">
        <v>0</v>
      </c>
      <c r="Q60" s="70">
        <v>0</v>
      </c>
      <c r="R60" s="200">
        <v>39</v>
      </c>
      <c r="S60" s="198">
        <v>6033</v>
      </c>
      <c r="T60" s="70" t="s">
        <v>29</v>
      </c>
      <c r="U60" s="21">
        <f>SUM(P60:T60)</f>
        <v>6072</v>
      </c>
    </row>
    <row r="61" spans="1:21" x14ac:dyDescent="0.2">
      <c r="A61" s="371">
        <v>1984</v>
      </c>
      <c r="B61" s="21">
        <v>265</v>
      </c>
      <c r="C61" s="21" t="s">
        <v>29</v>
      </c>
      <c r="D61" s="21" t="s">
        <v>29</v>
      </c>
      <c r="E61" s="21">
        <v>8</v>
      </c>
      <c r="F61" s="21" t="s">
        <v>29</v>
      </c>
      <c r="G61" s="21">
        <f t="shared" si="6"/>
        <v>273</v>
      </c>
      <c r="H61" s="69"/>
      <c r="I61" s="70" t="s">
        <v>29</v>
      </c>
      <c r="J61" s="70" t="s">
        <v>29</v>
      </c>
      <c r="K61" s="70" t="s">
        <v>29</v>
      </c>
      <c r="L61" s="70" t="s">
        <v>29</v>
      </c>
      <c r="M61" s="70" t="s">
        <v>29</v>
      </c>
      <c r="N61" s="70" t="s">
        <v>29</v>
      </c>
      <c r="O61" s="21"/>
      <c r="U61" s="21"/>
    </row>
    <row r="62" spans="1:21" x14ac:dyDescent="0.2">
      <c r="A62" s="371">
        <v>1985</v>
      </c>
      <c r="B62" s="21">
        <f>1+342</f>
        <v>343</v>
      </c>
      <c r="C62" s="21" t="s">
        <v>29</v>
      </c>
      <c r="D62" s="21">
        <v>1851</v>
      </c>
      <c r="E62" s="21">
        <v>1082</v>
      </c>
      <c r="F62" s="21" t="s">
        <v>29</v>
      </c>
      <c r="G62" s="21">
        <f t="shared" si="6"/>
        <v>3276</v>
      </c>
      <c r="H62" s="69"/>
      <c r="I62" s="70" t="s">
        <v>29</v>
      </c>
      <c r="J62" s="70" t="s">
        <v>29</v>
      </c>
      <c r="K62" s="21">
        <v>32519</v>
      </c>
      <c r="L62" s="70" t="s">
        <v>29</v>
      </c>
      <c r="M62" s="70" t="s">
        <v>29</v>
      </c>
      <c r="N62" s="21">
        <f>SUM(I62:M62)</f>
        <v>32519</v>
      </c>
      <c r="O62" s="21"/>
      <c r="P62" s="200">
        <v>5</v>
      </c>
      <c r="Q62" s="70" t="s">
        <v>29</v>
      </c>
      <c r="R62" s="200">
        <v>2760</v>
      </c>
      <c r="S62" s="200">
        <v>6184</v>
      </c>
      <c r="T62" s="70" t="s">
        <v>29</v>
      </c>
      <c r="U62" s="21">
        <f>SUM(P62:T62)</f>
        <v>8949</v>
      </c>
    </row>
    <row r="63" spans="1:21" x14ac:dyDescent="0.2">
      <c r="A63" s="371">
        <v>1986</v>
      </c>
      <c r="B63" s="21">
        <f>1+1909</f>
        <v>1910</v>
      </c>
      <c r="C63" s="21">
        <v>85</v>
      </c>
      <c r="D63" s="21" t="s">
        <v>29</v>
      </c>
      <c r="E63" s="21">
        <v>990</v>
      </c>
      <c r="F63" s="21" t="s">
        <v>29</v>
      </c>
      <c r="G63" s="21">
        <f t="shared" si="6"/>
        <v>2985</v>
      </c>
      <c r="H63" s="69"/>
      <c r="I63" s="70" t="s">
        <v>29</v>
      </c>
      <c r="J63" s="70" t="s">
        <v>29</v>
      </c>
      <c r="K63" s="70" t="s">
        <v>29</v>
      </c>
      <c r="L63" s="21">
        <v>7806</v>
      </c>
      <c r="M63" s="70" t="s">
        <v>29</v>
      </c>
      <c r="N63" s="21">
        <f>SUM(I63:M63)</f>
        <v>7806</v>
      </c>
      <c r="O63" s="21"/>
      <c r="R63" s="198"/>
      <c r="S63" s="198"/>
      <c r="T63" s="198"/>
      <c r="U63" s="70"/>
    </row>
    <row r="64" spans="1:21" x14ac:dyDescent="0.2">
      <c r="A64" s="371">
        <v>1987</v>
      </c>
      <c r="B64" s="21">
        <f>66+2262</f>
        <v>2328</v>
      </c>
      <c r="C64" s="21" t="s">
        <v>29</v>
      </c>
      <c r="D64" s="21">
        <v>40</v>
      </c>
      <c r="E64" s="21" t="s">
        <v>29</v>
      </c>
      <c r="F64" s="21" t="s">
        <v>29</v>
      </c>
      <c r="G64" s="21">
        <f t="shared" si="6"/>
        <v>2368</v>
      </c>
      <c r="H64" s="69"/>
      <c r="I64" s="70" t="s">
        <v>29</v>
      </c>
      <c r="J64" s="70" t="s">
        <v>29</v>
      </c>
      <c r="K64" s="21">
        <v>350</v>
      </c>
      <c r="L64" s="70" t="s">
        <v>29</v>
      </c>
      <c r="M64" s="70" t="s">
        <v>29</v>
      </c>
      <c r="N64" s="21">
        <f>SUM(I64:M64)</f>
        <v>350</v>
      </c>
      <c r="O64" s="21"/>
      <c r="P64" s="200">
        <v>0</v>
      </c>
      <c r="Q64" s="70" t="s">
        <v>29</v>
      </c>
      <c r="R64" s="200">
        <v>728</v>
      </c>
      <c r="S64" s="70" t="s">
        <v>29</v>
      </c>
      <c r="T64" s="70" t="s">
        <v>29</v>
      </c>
      <c r="U64" s="21">
        <f>SUM(P64:T64)</f>
        <v>728</v>
      </c>
    </row>
    <row r="65" spans="1:21" x14ac:dyDescent="0.2">
      <c r="A65" s="371">
        <v>1988</v>
      </c>
      <c r="B65" s="21">
        <v>7753</v>
      </c>
      <c r="C65" s="21">
        <v>6480</v>
      </c>
      <c r="D65" s="21" t="s">
        <v>29</v>
      </c>
      <c r="E65" s="21" t="s">
        <v>29</v>
      </c>
      <c r="F65" s="21" t="s">
        <v>29</v>
      </c>
      <c r="G65" s="21">
        <f t="shared" si="6"/>
        <v>14233</v>
      </c>
      <c r="H65" s="69"/>
      <c r="I65" s="70" t="s">
        <v>29</v>
      </c>
      <c r="J65" s="70" t="s">
        <v>29</v>
      </c>
      <c r="K65" s="70" t="s">
        <v>29</v>
      </c>
      <c r="L65" s="70" t="s">
        <v>29</v>
      </c>
      <c r="M65" s="70" t="s">
        <v>29</v>
      </c>
      <c r="N65" s="70" t="s">
        <v>29</v>
      </c>
      <c r="O65" s="21"/>
      <c r="P65" s="198"/>
      <c r="Q65" s="198"/>
      <c r="R65" s="198"/>
      <c r="S65" s="198"/>
      <c r="T65" s="198"/>
      <c r="U65" s="70"/>
    </row>
    <row r="66" spans="1:21" x14ac:dyDescent="0.2">
      <c r="A66" s="371">
        <v>1989</v>
      </c>
      <c r="B66" s="21" t="s">
        <v>29</v>
      </c>
      <c r="C66" s="21" t="s">
        <v>29</v>
      </c>
      <c r="D66" s="21" t="s">
        <v>29</v>
      </c>
      <c r="E66" s="21">
        <v>0</v>
      </c>
      <c r="F66" s="21" t="s">
        <v>29</v>
      </c>
      <c r="G66" s="21">
        <f t="shared" si="6"/>
        <v>0</v>
      </c>
      <c r="H66" s="69"/>
      <c r="I66" s="70" t="s">
        <v>29</v>
      </c>
      <c r="J66" s="70" t="s">
        <v>29</v>
      </c>
      <c r="K66" s="70" t="s">
        <v>29</v>
      </c>
      <c r="L66" s="70">
        <v>0</v>
      </c>
      <c r="M66" s="70" t="s">
        <v>29</v>
      </c>
      <c r="N66" s="21">
        <f>SUM(I66:M66)</f>
        <v>0</v>
      </c>
      <c r="O66" s="21"/>
      <c r="P66" s="70" t="s">
        <v>29</v>
      </c>
      <c r="Q66" s="70" t="s">
        <v>29</v>
      </c>
      <c r="R66" s="70" t="s">
        <v>29</v>
      </c>
      <c r="S66" s="70">
        <v>0</v>
      </c>
      <c r="T66" s="70" t="s">
        <v>29</v>
      </c>
      <c r="U66" s="21">
        <f>SUM(P66:T66)</f>
        <v>0</v>
      </c>
    </row>
    <row r="67" spans="1:21" x14ac:dyDescent="0.2">
      <c r="A67" s="371">
        <v>1990</v>
      </c>
      <c r="B67" s="21">
        <f>634+276</f>
        <v>910</v>
      </c>
      <c r="C67" s="21">
        <v>158</v>
      </c>
      <c r="D67" s="21" t="s">
        <v>29</v>
      </c>
      <c r="E67" s="21">
        <v>590</v>
      </c>
      <c r="F67" s="21">
        <f>7+4</f>
        <v>11</v>
      </c>
      <c r="G67" s="21">
        <f t="shared" si="6"/>
        <v>1669</v>
      </c>
      <c r="H67" s="69"/>
      <c r="I67" s="70" t="s">
        <v>29</v>
      </c>
      <c r="J67" s="70" t="s">
        <v>29</v>
      </c>
      <c r="K67" s="70" t="s">
        <v>29</v>
      </c>
      <c r="L67" s="21">
        <v>8385</v>
      </c>
      <c r="M67" s="21">
        <f>15+1</f>
        <v>16</v>
      </c>
      <c r="N67" s="21">
        <f>SUM(I67:M67)</f>
        <v>8401</v>
      </c>
      <c r="O67" s="21"/>
    </row>
    <row r="68" spans="1:21" x14ac:dyDescent="0.2">
      <c r="A68" s="371">
        <v>1991</v>
      </c>
      <c r="B68" s="21">
        <v>414</v>
      </c>
      <c r="C68" s="21">
        <v>399</v>
      </c>
      <c r="D68" s="21" t="s">
        <v>29</v>
      </c>
      <c r="E68" s="21">
        <v>104</v>
      </c>
      <c r="F68" s="21">
        <v>11</v>
      </c>
      <c r="G68" s="21">
        <f t="shared" si="6"/>
        <v>928</v>
      </c>
      <c r="H68" s="69"/>
      <c r="I68" s="21" t="s">
        <v>29</v>
      </c>
      <c r="J68" s="21" t="s">
        <v>29</v>
      </c>
      <c r="K68" s="21" t="s">
        <v>29</v>
      </c>
      <c r="L68" s="21">
        <v>1154</v>
      </c>
      <c r="M68" s="21">
        <v>251</v>
      </c>
      <c r="N68" s="21">
        <f>SUM(I68:M68)</f>
        <v>1405</v>
      </c>
      <c r="O68" s="21"/>
      <c r="P68" s="21">
        <v>0</v>
      </c>
      <c r="Q68" s="21">
        <v>0</v>
      </c>
      <c r="R68" s="21" t="s">
        <v>29</v>
      </c>
      <c r="S68" s="21">
        <v>2566</v>
      </c>
      <c r="T68" s="21">
        <v>8</v>
      </c>
      <c r="U68" s="21">
        <f>SUM(P68:T68)</f>
        <v>2574</v>
      </c>
    </row>
    <row r="69" spans="1:21" x14ac:dyDescent="0.2">
      <c r="A69" s="371">
        <v>1992</v>
      </c>
      <c r="B69" s="21">
        <v>1543</v>
      </c>
      <c r="C69" s="21">
        <v>2027</v>
      </c>
      <c r="D69" s="21">
        <v>1136</v>
      </c>
      <c r="E69" s="21">
        <v>838</v>
      </c>
      <c r="F69" s="21" t="s">
        <v>29</v>
      </c>
      <c r="G69" s="21">
        <f t="shared" si="6"/>
        <v>5544</v>
      </c>
      <c r="H69" s="69"/>
      <c r="I69" s="21" t="s">
        <v>29</v>
      </c>
      <c r="J69" s="21" t="s">
        <v>29</v>
      </c>
      <c r="K69" s="21">
        <v>2202</v>
      </c>
      <c r="L69" s="21">
        <v>1576</v>
      </c>
      <c r="M69" s="21" t="s">
        <v>29</v>
      </c>
      <c r="N69" s="21">
        <f>SUM(I69:M69)</f>
        <v>3778</v>
      </c>
      <c r="O69" s="21"/>
      <c r="U69" s="21"/>
    </row>
    <row r="70" spans="1:21" x14ac:dyDescent="0.2">
      <c r="A70" s="371">
        <v>1993</v>
      </c>
      <c r="B70" s="21">
        <v>805</v>
      </c>
      <c r="C70" s="21">
        <v>635</v>
      </c>
      <c r="D70" s="21">
        <v>332</v>
      </c>
      <c r="E70" s="21">
        <v>63</v>
      </c>
      <c r="F70" s="21" t="s">
        <v>29</v>
      </c>
      <c r="G70" s="21">
        <f t="shared" si="6"/>
        <v>1835</v>
      </c>
      <c r="H70" s="69"/>
      <c r="I70" s="70" t="s">
        <v>29</v>
      </c>
      <c r="J70" s="70" t="s">
        <v>29</v>
      </c>
      <c r="K70" s="21">
        <v>1344</v>
      </c>
      <c r="L70" s="21">
        <v>357</v>
      </c>
      <c r="M70" s="21" t="s">
        <v>29</v>
      </c>
      <c r="N70" s="21">
        <f>SUM(I70:M70)</f>
        <v>1701</v>
      </c>
      <c r="O70" s="21"/>
      <c r="P70" s="21">
        <v>0</v>
      </c>
      <c r="Q70" s="21">
        <v>0</v>
      </c>
      <c r="R70" s="21">
        <v>20</v>
      </c>
      <c r="S70" s="21">
        <v>10</v>
      </c>
      <c r="T70" s="21" t="s">
        <v>29</v>
      </c>
      <c r="U70" s="21">
        <f>SUM(P70:T70)</f>
        <v>30</v>
      </c>
    </row>
    <row r="71" spans="1:21" x14ac:dyDescent="0.2">
      <c r="A71" s="371">
        <v>1994</v>
      </c>
      <c r="B71" s="21" t="s">
        <v>29</v>
      </c>
      <c r="C71" s="21" t="s">
        <v>29</v>
      </c>
      <c r="D71" s="21" t="s">
        <v>29</v>
      </c>
      <c r="E71" s="21" t="s">
        <v>29</v>
      </c>
      <c r="F71" s="21" t="s">
        <v>29</v>
      </c>
      <c r="G71" s="21" t="s">
        <v>29</v>
      </c>
      <c r="H71" s="69"/>
      <c r="I71" s="21" t="s">
        <v>29</v>
      </c>
      <c r="J71" s="21" t="s">
        <v>29</v>
      </c>
      <c r="K71" s="21" t="s">
        <v>29</v>
      </c>
      <c r="L71" s="21" t="s">
        <v>29</v>
      </c>
      <c r="M71" s="21" t="s">
        <v>29</v>
      </c>
      <c r="N71" s="21" t="s">
        <v>29</v>
      </c>
      <c r="O71" s="21"/>
      <c r="U71" s="21"/>
    </row>
    <row r="72" spans="1:21" x14ac:dyDescent="0.2">
      <c r="A72" s="371">
        <v>1995</v>
      </c>
      <c r="B72" s="21" t="s">
        <v>29</v>
      </c>
      <c r="C72" s="21" t="s">
        <v>29</v>
      </c>
      <c r="D72" s="21" t="s">
        <v>29</v>
      </c>
      <c r="E72" s="21" t="s">
        <v>29</v>
      </c>
      <c r="F72" s="21" t="s">
        <v>29</v>
      </c>
      <c r="G72" s="21" t="s">
        <v>29</v>
      </c>
      <c r="H72" s="69"/>
      <c r="I72" s="21" t="s">
        <v>29</v>
      </c>
      <c r="J72" s="21" t="s">
        <v>29</v>
      </c>
      <c r="K72" s="21" t="s">
        <v>29</v>
      </c>
      <c r="L72" s="21">
        <v>2773</v>
      </c>
      <c r="M72" s="21">
        <v>1848</v>
      </c>
      <c r="N72" s="21">
        <f>SUM(I72:M72)</f>
        <v>4621</v>
      </c>
      <c r="O72" s="21"/>
      <c r="P72" s="21" t="s">
        <v>29</v>
      </c>
      <c r="Q72" s="21" t="s">
        <v>29</v>
      </c>
      <c r="R72" s="21" t="s">
        <v>29</v>
      </c>
      <c r="S72" s="21">
        <v>2631</v>
      </c>
      <c r="T72" s="21">
        <v>84</v>
      </c>
      <c r="U72" s="21">
        <f>SUM(P72:T72)</f>
        <v>2715</v>
      </c>
    </row>
    <row r="73" spans="1:21" x14ac:dyDescent="0.2">
      <c r="A73" s="371">
        <v>1996</v>
      </c>
      <c r="B73" s="21" t="s">
        <v>29</v>
      </c>
      <c r="C73" s="21" t="s">
        <v>29</v>
      </c>
      <c r="D73" s="21" t="s">
        <v>29</v>
      </c>
      <c r="E73" s="21" t="s">
        <v>29</v>
      </c>
      <c r="F73" s="21" t="s">
        <v>29</v>
      </c>
      <c r="G73" s="21" t="s">
        <v>29</v>
      </c>
      <c r="H73" s="69"/>
      <c r="I73" s="21" t="s">
        <v>29</v>
      </c>
      <c r="J73" s="21" t="s">
        <v>29</v>
      </c>
      <c r="K73" s="21">
        <v>245</v>
      </c>
      <c r="L73" s="21">
        <v>164</v>
      </c>
      <c r="M73" s="21" t="s">
        <v>29</v>
      </c>
      <c r="N73" s="21">
        <f>SUM(I73:M73)</f>
        <v>409</v>
      </c>
      <c r="O73" s="21"/>
      <c r="U73" s="21"/>
    </row>
    <row r="74" spans="1:21" x14ac:dyDescent="0.2">
      <c r="A74" s="371">
        <v>1997</v>
      </c>
      <c r="B74" s="21">
        <v>1037</v>
      </c>
      <c r="C74" s="21">
        <v>1257</v>
      </c>
      <c r="D74" s="21" t="s">
        <v>29</v>
      </c>
      <c r="E74" s="21" t="s">
        <v>29</v>
      </c>
      <c r="F74" s="21" t="s">
        <v>29</v>
      </c>
      <c r="G74" s="21">
        <f t="shared" ref="G74:G97" si="8">SUM(B74:F74)</f>
        <v>2294</v>
      </c>
      <c r="H74" s="69"/>
      <c r="I74" s="21" t="s">
        <v>29</v>
      </c>
      <c r="J74" s="21" t="s">
        <v>29</v>
      </c>
      <c r="K74" s="21" t="s">
        <v>29</v>
      </c>
      <c r="L74" s="21" t="s">
        <v>29</v>
      </c>
      <c r="M74" s="21" t="s">
        <v>29</v>
      </c>
      <c r="N74" s="21" t="s">
        <v>29</v>
      </c>
      <c r="O74" s="21"/>
      <c r="P74" s="21">
        <v>0</v>
      </c>
      <c r="Q74" s="21">
        <v>0</v>
      </c>
      <c r="R74" s="21" t="s">
        <v>29</v>
      </c>
      <c r="S74" s="21" t="s">
        <v>29</v>
      </c>
      <c r="T74" s="21" t="s">
        <v>29</v>
      </c>
      <c r="U74" s="21">
        <f>SUM(P74:T74)</f>
        <v>0</v>
      </c>
    </row>
    <row r="75" spans="1:21" x14ac:dyDescent="0.2">
      <c r="A75" s="371">
        <v>1998</v>
      </c>
      <c r="B75" s="21">
        <v>1625</v>
      </c>
      <c r="C75" s="21">
        <v>65</v>
      </c>
      <c r="D75" s="21" t="s">
        <v>29</v>
      </c>
      <c r="E75" s="21" t="s">
        <v>29</v>
      </c>
      <c r="F75" s="21" t="s">
        <v>29</v>
      </c>
      <c r="G75" s="21">
        <f t="shared" si="8"/>
        <v>1690</v>
      </c>
      <c r="H75" s="69"/>
      <c r="I75" s="21" t="s">
        <v>29</v>
      </c>
      <c r="J75" s="21" t="s">
        <v>29</v>
      </c>
      <c r="K75" s="21" t="s">
        <v>29</v>
      </c>
      <c r="L75" s="21" t="s">
        <v>29</v>
      </c>
      <c r="M75" s="21" t="s">
        <v>29</v>
      </c>
      <c r="N75" s="21" t="s">
        <v>29</v>
      </c>
      <c r="O75" s="21"/>
      <c r="U75" s="21"/>
    </row>
    <row r="76" spans="1:21" x14ac:dyDescent="0.2">
      <c r="A76" s="371">
        <v>1999</v>
      </c>
      <c r="B76" s="21">
        <v>128</v>
      </c>
      <c r="C76" s="70">
        <v>0</v>
      </c>
      <c r="D76" s="21">
        <v>336</v>
      </c>
      <c r="E76" s="21">
        <v>150</v>
      </c>
      <c r="F76" s="21" t="s">
        <v>29</v>
      </c>
      <c r="G76" s="21">
        <f t="shared" si="8"/>
        <v>614</v>
      </c>
      <c r="H76" s="69"/>
      <c r="I76" s="21" t="s">
        <v>29</v>
      </c>
      <c r="J76" s="21" t="s">
        <v>29</v>
      </c>
      <c r="K76" s="70">
        <v>35</v>
      </c>
      <c r="L76" s="21">
        <v>929</v>
      </c>
      <c r="M76" s="21">
        <v>328</v>
      </c>
      <c r="N76" s="21">
        <f>SUM(I76:M76)</f>
        <v>1292</v>
      </c>
      <c r="O76" s="21"/>
      <c r="P76" s="21">
        <v>0</v>
      </c>
      <c r="Q76" s="21">
        <v>0</v>
      </c>
      <c r="R76" s="21">
        <v>0</v>
      </c>
      <c r="S76" s="21">
        <v>13</v>
      </c>
      <c r="T76" s="21">
        <v>0</v>
      </c>
      <c r="U76" s="21">
        <f>SUM(P76:T76)</f>
        <v>13</v>
      </c>
    </row>
    <row r="77" spans="1:21" x14ac:dyDescent="0.2">
      <c r="A77" s="371">
        <v>2000</v>
      </c>
      <c r="B77" s="21">
        <v>1072</v>
      </c>
      <c r="C77" s="21">
        <v>341</v>
      </c>
      <c r="D77" s="21" t="s">
        <v>29</v>
      </c>
      <c r="E77" s="21" t="s">
        <v>29</v>
      </c>
      <c r="F77" s="21" t="s">
        <v>29</v>
      </c>
      <c r="G77" s="21">
        <f t="shared" si="8"/>
        <v>1413</v>
      </c>
      <c r="H77" s="69"/>
      <c r="I77" s="21" t="s">
        <v>29</v>
      </c>
      <c r="J77" s="21" t="s">
        <v>29</v>
      </c>
      <c r="K77" s="21" t="s">
        <v>29</v>
      </c>
      <c r="L77" s="21" t="s">
        <v>29</v>
      </c>
      <c r="M77" s="21" t="s">
        <v>29</v>
      </c>
      <c r="N77" s="21" t="s">
        <v>29</v>
      </c>
      <c r="O77" s="21"/>
      <c r="U77" s="21"/>
    </row>
    <row r="78" spans="1:21" x14ac:dyDescent="0.2">
      <c r="A78" s="371">
        <v>2001</v>
      </c>
      <c r="B78" s="21">
        <v>843</v>
      </c>
      <c r="C78" s="21">
        <v>106</v>
      </c>
      <c r="D78" s="21">
        <v>180</v>
      </c>
      <c r="E78" s="21" t="s">
        <v>29</v>
      </c>
      <c r="F78" s="21" t="s">
        <v>29</v>
      </c>
      <c r="G78" s="21">
        <f t="shared" si="8"/>
        <v>1129</v>
      </c>
      <c r="H78" s="69"/>
      <c r="I78" s="21" t="s">
        <v>29</v>
      </c>
      <c r="J78" s="21" t="s">
        <v>29</v>
      </c>
      <c r="K78" s="21">
        <v>165</v>
      </c>
      <c r="L78" s="21" t="s">
        <v>29</v>
      </c>
      <c r="M78" s="21" t="s">
        <v>29</v>
      </c>
      <c r="N78" s="21">
        <f>SUM(I78:M78)</f>
        <v>165</v>
      </c>
      <c r="O78" s="21"/>
      <c r="P78" s="21">
        <v>0</v>
      </c>
      <c r="Q78" s="21">
        <v>0</v>
      </c>
      <c r="R78" s="21">
        <v>0</v>
      </c>
      <c r="S78" s="21" t="s">
        <v>29</v>
      </c>
      <c r="T78" s="21" t="s">
        <v>29</v>
      </c>
      <c r="U78" s="21">
        <f>SUM(P78:T78)</f>
        <v>0</v>
      </c>
    </row>
    <row r="79" spans="1:21" x14ac:dyDescent="0.2">
      <c r="A79" s="371">
        <v>2002</v>
      </c>
      <c r="B79" s="70">
        <v>0</v>
      </c>
      <c r="C79" s="21">
        <v>72</v>
      </c>
      <c r="D79" s="21">
        <v>1803</v>
      </c>
      <c r="E79" s="21">
        <v>1151</v>
      </c>
      <c r="F79" s="21" t="s">
        <v>29</v>
      </c>
      <c r="G79" s="21">
        <f t="shared" si="8"/>
        <v>3026</v>
      </c>
      <c r="H79" s="69"/>
      <c r="I79" s="21" t="s">
        <v>29</v>
      </c>
      <c r="J79" s="21" t="s">
        <v>29</v>
      </c>
      <c r="K79" s="21" t="s">
        <v>29</v>
      </c>
      <c r="L79" s="21" t="s">
        <v>29</v>
      </c>
      <c r="M79" s="21" t="s">
        <v>29</v>
      </c>
      <c r="N79" s="21" t="s">
        <v>29</v>
      </c>
      <c r="O79" s="21"/>
      <c r="U79" s="21"/>
    </row>
    <row r="80" spans="1:21" x14ac:dyDescent="0.2">
      <c r="A80" s="371">
        <v>2003</v>
      </c>
      <c r="B80" s="21">
        <v>964</v>
      </c>
      <c r="C80" s="21">
        <v>787</v>
      </c>
      <c r="D80" s="21">
        <v>3564</v>
      </c>
      <c r="E80" s="21">
        <v>1631</v>
      </c>
      <c r="F80" s="21">
        <v>49</v>
      </c>
      <c r="G80" s="21">
        <f t="shared" si="8"/>
        <v>6995</v>
      </c>
      <c r="H80" s="69"/>
      <c r="I80" s="21" t="s">
        <v>29</v>
      </c>
      <c r="J80" s="21" t="s">
        <v>29</v>
      </c>
      <c r="K80" s="21">
        <v>1752</v>
      </c>
      <c r="L80" s="21">
        <v>928</v>
      </c>
      <c r="M80" s="21">
        <v>104</v>
      </c>
      <c r="N80" s="21">
        <f t="shared" ref="N80:N97" si="9">SUM(I80:M80)</f>
        <v>2784</v>
      </c>
      <c r="O80" s="21"/>
      <c r="P80" s="21">
        <v>0</v>
      </c>
      <c r="Q80" s="21">
        <v>0</v>
      </c>
      <c r="R80" s="21">
        <v>63</v>
      </c>
      <c r="S80" s="21">
        <v>35</v>
      </c>
      <c r="T80" s="21">
        <v>10</v>
      </c>
      <c r="U80" s="21">
        <f>SUM(P80:T80)</f>
        <v>108</v>
      </c>
    </row>
    <row r="81" spans="1:21" x14ac:dyDescent="0.2">
      <c r="A81" s="371">
        <v>2004</v>
      </c>
      <c r="B81" s="21">
        <v>237</v>
      </c>
      <c r="C81" s="21">
        <v>273</v>
      </c>
      <c r="D81" s="21">
        <v>1974</v>
      </c>
      <c r="E81" s="21">
        <v>2056</v>
      </c>
      <c r="F81" s="21">
        <v>302</v>
      </c>
      <c r="G81" s="21">
        <f t="shared" si="8"/>
        <v>4842</v>
      </c>
      <c r="H81" s="69"/>
      <c r="I81" s="21" t="s">
        <v>29</v>
      </c>
      <c r="J81" s="21" t="s">
        <v>29</v>
      </c>
      <c r="K81" s="21">
        <v>1059</v>
      </c>
      <c r="L81" s="21">
        <v>1847</v>
      </c>
      <c r="M81" s="21">
        <v>269</v>
      </c>
      <c r="N81" s="21">
        <f t="shared" si="9"/>
        <v>3175</v>
      </c>
      <c r="O81" s="21"/>
      <c r="U81" s="21"/>
    </row>
    <row r="82" spans="1:21" x14ac:dyDescent="0.2">
      <c r="A82" s="348">
        <v>2005</v>
      </c>
      <c r="B82" s="21">
        <f>35+1904</f>
        <v>1939</v>
      </c>
      <c r="C82" s="21">
        <v>450</v>
      </c>
      <c r="D82" s="21">
        <v>1469</v>
      </c>
      <c r="E82" s="21">
        <v>2553</v>
      </c>
      <c r="F82" s="21" t="s">
        <v>29</v>
      </c>
      <c r="G82" s="21">
        <f t="shared" si="8"/>
        <v>6411</v>
      </c>
      <c r="H82" s="69"/>
      <c r="I82" s="70" t="s">
        <v>29</v>
      </c>
      <c r="J82" s="70" t="s">
        <v>29</v>
      </c>
      <c r="K82" s="21">
        <v>2</v>
      </c>
      <c r="L82" s="21">
        <v>92</v>
      </c>
      <c r="M82" s="21" t="s">
        <v>29</v>
      </c>
      <c r="N82" s="21">
        <f t="shared" si="9"/>
        <v>94</v>
      </c>
      <c r="O82" s="21"/>
      <c r="P82" s="21">
        <v>4</v>
      </c>
      <c r="Q82" s="21">
        <v>0</v>
      </c>
      <c r="R82" s="21">
        <v>0</v>
      </c>
      <c r="S82" s="21">
        <v>1</v>
      </c>
      <c r="T82" s="21" t="s">
        <v>29</v>
      </c>
      <c r="U82" s="21">
        <f>SUM(P82:T82)</f>
        <v>5</v>
      </c>
    </row>
    <row r="83" spans="1:21" x14ac:dyDescent="0.2">
      <c r="A83" s="348">
        <v>2006</v>
      </c>
      <c r="B83" s="21">
        <v>723</v>
      </c>
      <c r="C83" s="21">
        <v>2371</v>
      </c>
      <c r="D83" s="21">
        <v>844</v>
      </c>
      <c r="E83" s="21">
        <v>2658</v>
      </c>
      <c r="F83" s="21">
        <v>1281</v>
      </c>
      <c r="G83" s="21">
        <f t="shared" si="8"/>
        <v>7877</v>
      </c>
      <c r="H83" s="69"/>
      <c r="I83" s="70" t="s">
        <v>29</v>
      </c>
      <c r="J83" s="70" t="s">
        <v>29</v>
      </c>
      <c r="K83" s="21">
        <v>100</v>
      </c>
      <c r="L83" s="21">
        <v>551</v>
      </c>
      <c r="M83" s="21">
        <v>115</v>
      </c>
      <c r="N83" s="21">
        <f t="shared" si="9"/>
        <v>766</v>
      </c>
      <c r="O83" s="21"/>
      <c r="P83" s="21"/>
      <c r="Q83" s="21"/>
      <c r="R83" s="21"/>
      <c r="S83" s="21"/>
      <c r="T83" s="21"/>
      <c r="U83" s="21"/>
    </row>
    <row r="84" spans="1:21" s="359" customFormat="1" x14ac:dyDescent="0.2">
      <c r="A84" s="348">
        <v>2007</v>
      </c>
      <c r="B84" s="72">
        <v>144</v>
      </c>
      <c r="C84" s="72">
        <v>2932</v>
      </c>
      <c r="D84" s="72">
        <v>1588</v>
      </c>
      <c r="E84" s="72">
        <v>437</v>
      </c>
      <c r="F84" s="72">
        <v>2</v>
      </c>
      <c r="G84" s="72">
        <f t="shared" si="8"/>
        <v>5103</v>
      </c>
      <c r="H84" s="71"/>
      <c r="I84" s="97" t="s">
        <v>29</v>
      </c>
      <c r="J84" s="97" t="s">
        <v>29</v>
      </c>
      <c r="K84" s="72">
        <v>803</v>
      </c>
      <c r="L84" s="72">
        <v>286</v>
      </c>
      <c r="M84" s="72">
        <v>2</v>
      </c>
      <c r="N84" s="72">
        <f t="shared" si="9"/>
        <v>1091</v>
      </c>
      <c r="O84" s="72"/>
      <c r="P84" s="72">
        <v>0</v>
      </c>
      <c r="Q84" s="72">
        <v>19</v>
      </c>
      <c r="R84" s="72">
        <v>103</v>
      </c>
      <c r="S84" s="72">
        <v>0</v>
      </c>
      <c r="T84" s="72">
        <v>0</v>
      </c>
      <c r="U84" s="72">
        <f>SUM(P84:T84)</f>
        <v>122</v>
      </c>
    </row>
    <row r="85" spans="1:21" s="359" customFormat="1" x14ac:dyDescent="0.2">
      <c r="A85" s="157">
        <v>2008</v>
      </c>
      <c r="B85" s="72">
        <v>24</v>
      </c>
      <c r="C85" s="72">
        <v>1259</v>
      </c>
      <c r="D85" s="72">
        <v>501</v>
      </c>
      <c r="E85" s="72">
        <v>380</v>
      </c>
      <c r="F85" s="72">
        <v>58</v>
      </c>
      <c r="G85" s="72">
        <f t="shared" si="8"/>
        <v>2222</v>
      </c>
      <c r="H85" s="71"/>
      <c r="I85" s="97" t="s">
        <v>29</v>
      </c>
      <c r="J85" s="97" t="s">
        <v>29</v>
      </c>
      <c r="K85" s="72">
        <v>186</v>
      </c>
      <c r="L85" s="72">
        <v>265</v>
      </c>
      <c r="M85" s="72">
        <v>39</v>
      </c>
      <c r="N85" s="72">
        <f t="shared" si="9"/>
        <v>490</v>
      </c>
      <c r="O85" s="72"/>
      <c r="P85" s="72"/>
      <c r="Q85" s="72"/>
      <c r="R85" s="72"/>
      <c r="S85" s="72"/>
      <c r="T85" s="72"/>
      <c r="U85" s="72"/>
    </row>
    <row r="86" spans="1:21" s="359" customFormat="1" x14ac:dyDescent="0.2">
      <c r="A86" s="157">
        <v>2009</v>
      </c>
      <c r="B86" s="72">
        <v>1372</v>
      </c>
      <c r="C86" s="72">
        <v>523</v>
      </c>
      <c r="D86" s="72">
        <v>522</v>
      </c>
      <c r="E86" s="72">
        <v>272</v>
      </c>
      <c r="F86" s="72">
        <v>33</v>
      </c>
      <c r="G86" s="72">
        <f t="shared" si="8"/>
        <v>2722</v>
      </c>
      <c r="H86" s="71"/>
      <c r="I86" s="97" t="s">
        <v>29</v>
      </c>
      <c r="J86" s="97" t="s">
        <v>29</v>
      </c>
      <c r="K86" s="72">
        <v>2466</v>
      </c>
      <c r="L86" s="72">
        <v>3888</v>
      </c>
      <c r="M86" s="72">
        <v>803</v>
      </c>
      <c r="N86" s="72">
        <f t="shared" si="9"/>
        <v>7157</v>
      </c>
      <c r="O86" s="72"/>
      <c r="P86" s="72">
        <v>0</v>
      </c>
      <c r="Q86" s="72">
        <v>2</v>
      </c>
      <c r="R86" s="72">
        <v>80</v>
      </c>
      <c r="S86" s="72">
        <v>34</v>
      </c>
      <c r="T86" s="72">
        <v>1</v>
      </c>
      <c r="U86" s="72">
        <f>SUM(P86:T86)</f>
        <v>117</v>
      </c>
    </row>
    <row r="87" spans="1:21" s="359" customFormat="1" x14ac:dyDescent="0.2">
      <c r="A87" s="157">
        <v>2010</v>
      </c>
      <c r="B87" s="72">
        <v>2125</v>
      </c>
      <c r="C87" s="72">
        <v>1632</v>
      </c>
      <c r="D87" s="72">
        <v>984</v>
      </c>
      <c r="E87" s="72">
        <v>1147</v>
      </c>
      <c r="F87" s="72">
        <v>23</v>
      </c>
      <c r="G87" s="72">
        <f t="shared" si="8"/>
        <v>5911</v>
      </c>
      <c r="H87" s="71"/>
      <c r="I87" s="97" t="s">
        <v>29</v>
      </c>
      <c r="J87" s="97" t="s">
        <v>29</v>
      </c>
      <c r="K87" s="72">
        <v>121</v>
      </c>
      <c r="L87" s="72">
        <v>87</v>
      </c>
      <c r="M87" s="72">
        <v>1</v>
      </c>
      <c r="N87" s="72">
        <f t="shared" si="9"/>
        <v>209</v>
      </c>
      <c r="O87" s="72"/>
      <c r="P87" s="72"/>
      <c r="Q87" s="72"/>
      <c r="R87" s="72"/>
      <c r="S87" s="72"/>
      <c r="T87" s="72"/>
      <c r="U87" s="72"/>
    </row>
    <row r="88" spans="1:21" s="359" customFormat="1" x14ac:dyDescent="0.2">
      <c r="A88" s="157">
        <v>2011</v>
      </c>
      <c r="B88" s="72">
        <v>2700</v>
      </c>
      <c r="C88" s="72">
        <v>4075</v>
      </c>
      <c r="D88" s="72">
        <v>2683</v>
      </c>
      <c r="E88" s="72">
        <v>781</v>
      </c>
      <c r="F88" s="72">
        <v>179</v>
      </c>
      <c r="G88" s="72">
        <f t="shared" si="8"/>
        <v>10418</v>
      </c>
      <c r="H88" s="71"/>
      <c r="I88" s="97" t="s">
        <v>29</v>
      </c>
      <c r="J88" s="97" t="s">
        <v>29</v>
      </c>
      <c r="K88" s="72">
        <v>574</v>
      </c>
      <c r="L88" s="72">
        <v>436</v>
      </c>
      <c r="M88" s="72">
        <v>157</v>
      </c>
      <c r="N88" s="72">
        <f t="shared" si="9"/>
        <v>1167</v>
      </c>
      <c r="O88" s="72"/>
      <c r="P88" s="72">
        <v>0</v>
      </c>
      <c r="Q88" s="72">
        <v>2</v>
      </c>
      <c r="R88" s="72">
        <v>58</v>
      </c>
      <c r="S88" s="72">
        <v>37</v>
      </c>
      <c r="T88" s="72">
        <v>1</v>
      </c>
      <c r="U88" s="72">
        <f>SUM(P88:T88)</f>
        <v>98</v>
      </c>
    </row>
    <row r="89" spans="1:21" s="359" customFormat="1" x14ac:dyDescent="0.2">
      <c r="A89" s="157">
        <v>2012</v>
      </c>
      <c r="B89" s="72">
        <v>4242</v>
      </c>
      <c r="C89" s="72">
        <v>4341</v>
      </c>
      <c r="D89" s="72">
        <v>3524</v>
      </c>
      <c r="E89" s="72">
        <v>5868</v>
      </c>
      <c r="F89" s="72">
        <v>1747</v>
      </c>
      <c r="G89" s="72">
        <f t="shared" si="8"/>
        <v>19722</v>
      </c>
      <c r="H89" s="71"/>
      <c r="I89" s="97" t="s">
        <v>29</v>
      </c>
      <c r="J89" s="97" t="s">
        <v>29</v>
      </c>
      <c r="K89" s="72">
        <v>256</v>
      </c>
      <c r="L89" s="72">
        <v>839</v>
      </c>
      <c r="M89" s="72">
        <v>1024</v>
      </c>
      <c r="N89" s="72">
        <f t="shared" si="9"/>
        <v>2119</v>
      </c>
      <c r="O89" s="72"/>
      <c r="P89" s="72"/>
      <c r="Q89" s="72"/>
      <c r="R89" s="72"/>
      <c r="S89" s="72"/>
      <c r="T89" s="72"/>
      <c r="U89" s="72"/>
    </row>
    <row r="90" spans="1:21" s="359" customFormat="1" x14ac:dyDescent="0.2">
      <c r="A90" s="157">
        <v>2013</v>
      </c>
      <c r="B90" s="72">
        <v>4186</v>
      </c>
      <c r="C90" s="72" t="s">
        <v>29</v>
      </c>
      <c r="D90" s="72">
        <v>2396</v>
      </c>
      <c r="E90" s="72">
        <v>1806</v>
      </c>
      <c r="F90" s="72" t="s">
        <v>29</v>
      </c>
      <c r="G90" s="72">
        <f t="shared" si="8"/>
        <v>8388</v>
      </c>
      <c r="H90" s="71"/>
      <c r="I90" s="97" t="s">
        <v>29</v>
      </c>
      <c r="J90" s="97" t="s">
        <v>29</v>
      </c>
      <c r="K90" s="72">
        <v>1054</v>
      </c>
      <c r="L90" s="72">
        <v>792</v>
      </c>
      <c r="M90" s="97" t="s">
        <v>29</v>
      </c>
      <c r="N90" s="72">
        <f t="shared" si="9"/>
        <v>1846</v>
      </c>
      <c r="O90" s="72"/>
      <c r="P90" s="72">
        <v>0</v>
      </c>
      <c r="Q90" s="72">
        <v>0</v>
      </c>
      <c r="R90" s="72">
        <v>93</v>
      </c>
      <c r="S90" s="72">
        <v>6</v>
      </c>
      <c r="T90" s="72">
        <v>0</v>
      </c>
      <c r="U90" s="72">
        <f>SUM(P90:T90)</f>
        <v>99</v>
      </c>
    </row>
    <row r="91" spans="1:21" s="359" customFormat="1" x14ac:dyDescent="0.2">
      <c r="A91" s="157">
        <v>2014</v>
      </c>
      <c r="B91" s="72">
        <v>7553</v>
      </c>
      <c r="C91" s="72">
        <v>1217</v>
      </c>
      <c r="D91" s="72">
        <v>3208</v>
      </c>
      <c r="E91" s="72">
        <v>1672</v>
      </c>
      <c r="F91" s="72">
        <v>201</v>
      </c>
      <c r="G91" s="72">
        <f t="shared" si="8"/>
        <v>13851</v>
      </c>
      <c r="H91" s="71"/>
      <c r="I91" s="97" t="s">
        <v>29</v>
      </c>
      <c r="J91" s="97" t="s">
        <v>29</v>
      </c>
      <c r="K91" s="72">
        <v>1149</v>
      </c>
      <c r="L91" s="72">
        <v>3069</v>
      </c>
      <c r="M91" s="97">
        <v>384</v>
      </c>
      <c r="N91" s="72">
        <f t="shared" si="9"/>
        <v>4602</v>
      </c>
      <c r="O91" s="72"/>
      <c r="P91" s="203"/>
      <c r="Q91" s="203"/>
      <c r="R91" s="203"/>
      <c r="S91" s="203"/>
      <c r="T91" s="203"/>
      <c r="U91" s="72"/>
    </row>
    <row r="92" spans="1:21" s="359" customFormat="1" x14ac:dyDescent="0.2">
      <c r="A92" s="157">
        <v>2015</v>
      </c>
      <c r="B92" s="72">
        <v>4288</v>
      </c>
      <c r="C92" s="72" t="s">
        <v>29</v>
      </c>
      <c r="D92" s="72">
        <v>4292</v>
      </c>
      <c r="E92" s="72">
        <v>3619</v>
      </c>
      <c r="F92" s="72">
        <v>981</v>
      </c>
      <c r="G92" s="72">
        <f t="shared" si="8"/>
        <v>13180</v>
      </c>
      <c r="H92" s="71"/>
      <c r="I92" s="97" t="s">
        <v>29</v>
      </c>
      <c r="J92" s="97" t="s">
        <v>29</v>
      </c>
      <c r="K92" s="72">
        <v>133</v>
      </c>
      <c r="L92" s="72">
        <v>114</v>
      </c>
      <c r="M92" s="97">
        <v>62</v>
      </c>
      <c r="N92" s="72">
        <f t="shared" si="9"/>
        <v>309</v>
      </c>
      <c r="O92" s="72"/>
      <c r="P92" s="203">
        <v>0</v>
      </c>
      <c r="Q92" s="203">
        <v>0</v>
      </c>
      <c r="R92" s="203">
        <v>36</v>
      </c>
      <c r="S92" s="203">
        <v>0</v>
      </c>
      <c r="T92" s="203">
        <v>0</v>
      </c>
      <c r="U92" s="72">
        <f>SUM(P92:T92)</f>
        <v>36</v>
      </c>
    </row>
    <row r="93" spans="1:21" s="359" customFormat="1" x14ac:dyDescent="0.2">
      <c r="A93" s="157">
        <v>2016</v>
      </c>
      <c r="B93" s="72">
        <v>2228</v>
      </c>
      <c r="C93" s="72">
        <v>551</v>
      </c>
      <c r="D93" s="72">
        <v>1305</v>
      </c>
      <c r="E93" s="72">
        <v>89</v>
      </c>
      <c r="F93" s="72" t="s">
        <v>29</v>
      </c>
      <c r="G93" s="72">
        <f>SUM(B93:F93)</f>
        <v>4173</v>
      </c>
      <c r="H93" s="71"/>
      <c r="I93" s="97" t="s">
        <v>29</v>
      </c>
      <c r="J93" s="97" t="s">
        <v>29</v>
      </c>
      <c r="K93" s="97" t="s">
        <v>29</v>
      </c>
      <c r="L93" s="97" t="s">
        <v>29</v>
      </c>
      <c r="M93" s="97" t="s">
        <v>29</v>
      </c>
      <c r="N93" s="97" t="s">
        <v>29</v>
      </c>
      <c r="O93" s="72"/>
      <c r="P93" s="203"/>
      <c r="Q93" s="203"/>
      <c r="R93" s="203"/>
      <c r="S93" s="203"/>
      <c r="T93" s="203"/>
      <c r="U93" s="72"/>
    </row>
    <row r="94" spans="1:21" s="359" customFormat="1" x14ac:dyDescent="0.2">
      <c r="A94" s="157">
        <v>2017</v>
      </c>
      <c r="B94" s="72">
        <v>2112</v>
      </c>
      <c r="C94" s="72">
        <v>780</v>
      </c>
      <c r="D94" s="72">
        <v>308</v>
      </c>
      <c r="E94" s="72">
        <v>1275</v>
      </c>
      <c r="F94" s="72">
        <v>356</v>
      </c>
      <c r="G94" s="72">
        <f>SUM(B94:F94)</f>
        <v>4831</v>
      </c>
      <c r="H94" s="71"/>
      <c r="I94" s="97" t="s">
        <v>29</v>
      </c>
      <c r="J94" s="97" t="s">
        <v>29</v>
      </c>
      <c r="K94" s="97">
        <v>34</v>
      </c>
      <c r="L94" s="97">
        <v>228</v>
      </c>
      <c r="M94" s="97">
        <v>140</v>
      </c>
      <c r="N94" s="72">
        <f>SUM(I94:M94)</f>
        <v>402</v>
      </c>
      <c r="O94" s="72"/>
      <c r="P94" s="203">
        <v>0</v>
      </c>
      <c r="Q94" s="203">
        <v>0</v>
      </c>
      <c r="R94" s="203">
        <v>0</v>
      </c>
      <c r="S94" s="203">
        <v>2</v>
      </c>
      <c r="T94" s="203">
        <v>0</v>
      </c>
      <c r="U94" s="72">
        <f>SUM(P94:T94)</f>
        <v>2</v>
      </c>
    </row>
    <row r="95" spans="1:21" s="359" customFormat="1" x14ac:dyDescent="0.2">
      <c r="A95" s="157">
        <v>2018</v>
      </c>
      <c r="B95" s="72">
        <v>1174</v>
      </c>
      <c r="C95" s="72">
        <v>94</v>
      </c>
      <c r="D95" s="72">
        <v>297</v>
      </c>
      <c r="E95" s="72">
        <v>1119</v>
      </c>
      <c r="F95" s="72">
        <v>524</v>
      </c>
      <c r="G95" s="72">
        <f>SUM(B95:F95)</f>
        <v>3208</v>
      </c>
      <c r="H95" s="71"/>
      <c r="I95" s="97" t="s">
        <v>29</v>
      </c>
      <c r="J95" s="97" t="s">
        <v>29</v>
      </c>
      <c r="K95" s="97">
        <v>41</v>
      </c>
      <c r="L95" s="97">
        <v>181</v>
      </c>
      <c r="M95" s="97">
        <v>266</v>
      </c>
      <c r="N95" s="72">
        <f>SUM(I95:M95)</f>
        <v>488</v>
      </c>
      <c r="O95" s="72"/>
      <c r="P95" s="203"/>
      <c r="Q95" s="203"/>
      <c r="R95" s="203"/>
      <c r="S95" s="203"/>
      <c r="T95" s="203"/>
      <c r="U95" s="72"/>
    </row>
    <row r="96" spans="1:21" s="487" customFormat="1" x14ac:dyDescent="0.2">
      <c r="A96" s="157">
        <v>2019</v>
      </c>
      <c r="B96" s="72">
        <v>529</v>
      </c>
      <c r="C96" s="72">
        <v>61</v>
      </c>
      <c r="D96" s="72">
        <v>1838</v>
      </c>
      <c r="E96" s="72">
        <v>2373</v>
      </c>
      <c r="F96" s="72">
        <v>1584</v>
      </c>
      <c r="G96" s="72">
        <f t="shared" ref="G96" si="10">SUM(B96:F96)</f>
        <v>6385</v>
      </c>
      <c r="H96" s="71"/>
      <c r="I96" s="97" t="s">
        <v>29</v>
      </c>
      <c r="J96" s="97" t="s">
        <v>29</v>
      </c>
      <c r="K96" s="97">
        <v>313</v>
      </c>
      <c r="L96" s="97">
        <v>633</v>
      </c>
      <c r="M96" s="97">
        <v>344</v>
      </c>
      <c r="N96" s="72">
        <f t="shared" ref="N96" si="11">SUM(I96:M96)</f>
        <v>1290</v>
      </c>
      <c r="O96" s="72"/>
      <c r="P96" s="203">
        <v>0</v>
      </c>
      <c r="Q96" s="203">
        <v>0</v>
      </c>
      <c r="R96" s="203">
        <v>27</v>
      </c>
      <c r="S96" s="203">
        <v>29</v>
      </c>
      <c r="T96" s="203">
        <v>0</v>
      </c>
      <c r="U96" s="72">
        <f>SUM(P96:T96)</f>
        <v>56</v>
      </c>
    </row>
    <row r="97" spans="1:21" x14ac:dyDescent="0.2">
      <c r="A97" s="171" t="s">
        <v>394</v>
      </c>
      <c r="B97" s="21">
        <v>207</v>
      </c>
      <c r="C97" s="72">
        <v>535</v>
      </c>
      <c r="D97" s="21">
        <v>2386</v>
      </c>
      <c r="E97" s="21">
        <v>1402</v>
      </c>
      <c r="F97" s="21">
        <v>117</v>
      </c>
      <c r="G97" s="21">
        <f t="shared" si="8"/>
        <v>4647</v>
      </c>
      <c r="H97" s="69"/>
      <c r="I97" s="70" t="s">
        <v>29</v>
      </c>
      <c r="J97" s="70" t="s">
        <v>29</v>
      </c>
      <c r="K97" s="70">
        <v>29</v>
      </c>
      <c r="L97" s="70">
        <v>126</v>
      </c>
      <c r="M97" s="70">
        <v>49</v>
      </c>
      <c r="N97" s="21">
        <f t="shared" si="9"/>
        <v>204</v>
      </c>
      <c r="O97" s="21"/>
      <c r="U97" s="72"/>
    </row>
    <row r="98" spans="1:21" x14ac:dyDescent="0.2">
      <c r="B98" s="21"/>
      <c r="C98" s="21"/>
      <c r="D98" s="21"/>
      <c r="E98" s="21"/>
      <c r="F98" s="21"/>
      <c r="G98" s="21"/>
      <c r="H98" s="69"/>
      <c r="I98" s="21"/>
      <c r="J98" s="21"/>
      <c r="K98" s="21"/>
      <c r="L98" s="21"/>
      <c r="M98" s="21"/>
      <c r="N98" s="21"/>
      <c r="O98" s="21"/>
    </row>
    <row r="99" spans="1:21" x14ac:dyDescent="0.2">
      <c r="A99" s="116" t="s">
        <v>64</v>
      </c>
      <c r="B99" s="21"/>
      <c r="C99" s="21"/>
      <c r="D99" s="21"/>
      <c r="E99" s="21"/>
      <c r="F99" s="21"/>
      <c r="G99" s="21"/>
      <c r="H99" s="69"/>
      <c r="I99" s="21"/>
      <c r="J99" s="21"/>
      <c r="K99" s="21"/>
      <c r="L99" s="21"/>
      <c r="M99" s="21"/>
      <c r="N99" s="21"/>
      <c r="O99" s="21"/>
    </row>
    <row r="100" spans="1:21" x14ac:dyDescent="0.2">
      <c r="A100" s="371">
        <v>1976</v>
      </c>
      <c r="B100" s="21">
        <f>775+48825</f>
        <v>49600</v>
      </c>
      <c r="C100" s="21">
        <v>48285</v>
      </c>
      <c r="D100" s="21">
        <v>27550</v>
      </c>
      <c r="E100" s="21">
        <v>16801</v>
      </c>
      <c r="F100" s="21">
        <f>7939+3020</f>
        <v>10959</v>
      </c>
      <c r="G100" s="21">
        <f t="shared" ref="G100:G117" si="12">SUM(B100:F100)</f>
        <v>153195</v>
      </c>
      <c r="H100" s="69"/>
      <c r="I100" s="70" t="s">
        <v>29</v>
      </c>
      <c r="J100" s="21">
        <f>69481+4</f>
        <v>69485</v>
      </c>
      <c r="K100" s="21">
        <v>191929</v>
      </c>
      <c r="L100" s="21">
        <v>86514</v>
      </c>
      <c r="M100" s="21">
        <f>42714+10709</f>
        <v>53423</v>
      </c>
      <c r="N100" s="21">
        <f t="shared" ref="N100:N107" si="13">SUM(I100:M100)</f>
        <v>401351</v>
      </c>
      <c r="O100" s="21"/>
      <c r="Q100" s="198"/>
      <c r="R100" s="198"/>
      <c r="S100" s="198"/>
      <c r="T100" s="198"/>
      <c r="U100" s="70"/>
    </row>
    <row r="101" spans="1:21" x14ac:dyDescent="0.2">
      <c r="A101" s="371">
        <v>1977</v>
      </c>
      <c r="B101" s="21">
        <f>535+32101</f>
        <v>32636</v>
      </c>
      <c r="C101" s="21">
        <v>16654</v>
      </c>
      <c r="D101" s="21">
        <v>23856</v>
      </c>
      <c r="E101" s="21">
        <v>9723</v>
      </c>
      <c r="F101" s="21">
        <f>7083+4167</f>
        <v>11250</v>
      </c>
      <c r="G101" s="21">
        <f t="shared" si="12"/>
        <v>94119</v>
      </c>
      <c r="H101" s="69"/>
      <c r="I101" s="70" t="s">
        <v>29</v>
      </c>
      <c r="J101" s="70" t="s">
        <v>29</v>
      </c>
      <c r="K101" s="21">
        <v>137696</v>
      </c>
      <c r="L101" s="21">
        <v>39714</v>
      </c>
      <c r="M101" s="21">
        <f>9018+3242</f>
        <v>12260</v>
      </c>
      <c r="N101" s="21">
        <f t="shared" si="13"/>
        <v>189670</v>
      </c>
      <c r="O101" s="21"/>
      <c r="P101" s="200">
        <v>473</v>
      </c>
      <c r="Q101" s="200">
        <v>106</v>
      </c>
      <c r="R101" s="200">
        <v>17455</v>
      </c>
      <c r="S101" s="200">
        <v>6976</v>
      </c>
      <c r="T101" s="200">
        <f>206+2</f>
        <v>208</v>
      </c>
      <c r="U101" s="21">
        <f>SUM(P101:T101)</f>
        <v>25218</v>
      </c>
    </row>
    <row r="102" spans="1:21" x14ac:dyDescent="0.2">
      <c r="A102" s="371">
        <v>1978</v>
      </c>
      <c r="B102" s="21">
        <v>17755</v>
      </c>
      <c r="C102" s="21">
        <v>10417</v>
      </c>
      <c r="D102" s="21">
        <v>12017</v>
      </c>
      <c r="E102" s="21">
        <v>5266</v>
      </c>
      <c r="F102" s="21">
        <f>2853+1093+82</f>
        <v>4028</v>
      </c>
      <c r="G102" s="21">
        <f t="shared" si="12"/>
        <v>49483</v>
      </c>
      <c r="H102" s="69"/>
      <c r="I102" s="21" t="s">
        <v>29</v>
      </c>
      <c r="J102" s="21" t="s">
        <v>29</v>
      </c>
      <c r="K102" s="21">
        <v>92777</v>
      </c>
      <c r="L102" s="21">
        <v>13975</v>
      </c>
      <c r="M102" s="21">
        <f>18959+2551+298</f>
        <v>21808</v>
      </c>
      <c r="N102" s="21">
        <f t="shared" si="13"/>
        <v>128560</v>
      </c>
      <c r="O102" s="21"/>
      <c r="P102" s="198"/>
      <c r="Q102" s="198"/>
      <c r="R102" s="198"/>
      <c r="S102" s="198"/>
      <c r="T102" s="198"/>
      <c r="U102" s="70"/>
    </row>
    <row r="103" spans="1:21" x14ac:dyDescent="0.2">
      <c r="A103" s="371">
        <v>1979</v>
      </c>
      <c r="B103" s="21">
        <f>4041+15644</f>
        <v>19685</v>
      </c>
      <c r="C103" s="21">
        <v>19</v>
      </c>
      <c r="D103" s="21">
        <v>14741</v>
      </c>
      <c r="E103" s="21">
        <v>22958</v>
      </c>
      <c r="F103" s="21">
        <v>200</v>
      </c>
      <c r="G103" s="21">
        <f t="shared" si="12"/>
        <v>57603</v>
      </c>
      <c r="H103" s="69"/>
      <c r="I103" s="21" t="s">
        <v>29</v>
      </c>
      <c r="J103" s="21" t="s">
        <v>29</v>
      </c>
      <c r="K103" s="21">
        <v>128848</v>
      </c>
      <c r="L103" s="21">
        <v>85759</v>
      </c>
      <c r="M103" s="21">
        <v>747</v>
      </c>
      <c r="N103" s="21">
        <f t="shared" si="13"/>
        <v>215354</v>
      </c>
      <c r="O103" s="21"/>
      <c r="P103" s="200">
        <v>5</v>
      </c>
      <c r="Q103" s="21">
        <v>0</v>
      </c>
      <c r="R103" s="200">
        <v>9141</v>
      </c>
      <c r="S103" s="200">
        <v>20044</v>
      </c>
      <c r="T103" s="200">
        <v>29</v>
      </c>
      <c r="U103" s="21">
        <f>SUM(P103:T103)</f>
        <v>29219</v>
      </c>
    </row>
    <row r="104" spans="1:21" x14ac:dyDescent="0.2">
      <c r="A104" s="371">
        <v>1980</v>
      </c>
      <c r="B104" s="21">
        <f>1630+21161</f>
        <v>22791</v>
      </c>
      <c r="C104" s="21">
        <v>59</v>
      </c>
      <c r="D104" s="21">
        <v>16452</v>
      </c>
      <c r="E104" s="21">
        <v>11780</v>
      </c>
      <c r="F104" s="21">
        <v>17</v>
      </c>
      <c r="G104" s="21">
        <f t="shared" si="12"/>
        <v>51099</v>
      </c>
      <c r="H104" s="69"/>
      <c r="I104" s="70">
        <v>97</v>
      </c>
      <c r="J104" s="21" t="s">
        <v>29</v>
      </c>
      <c r="K104" s="21">
        <v>65284</v>
      </c>
      <c r="L104" s="21">
        <v>37240</v>
      </c>
      <c r="M104" s="21">
        <v>18</v>
      </c>
      <c r="N104" s="21">
        <f t="shared" si="13"/>
        <v>102639</v>
      </c>
      <c r="O104" s="21"/>
      <c r="P104" s="198"/>
      <c r="Q104" s="198"/>
      <c r="R104" s="198"/>
      <c r="S104" s="198"/>
      <c r="T104" s="198"/>
      <c r="U104" s="70"/>
    </row>
    <row r="105" spans="1:21" x14ac:dyDescent="0.2">
      <c r="A105" s="371">
        <v>1981</v>
      </c>
      <c r="B105" s="21">
        <f>691+22997</f>
        <v>23688</v>
      </c>
      <c r="C105" s="21">
        <v>1462</v>
      </c>
      <c r="D105" s="21">
        <v>12785</v>
      </c>
      <c r="E105" s="21">
        <v>10257</v>
      </c>
      <c r="F105" s="21" t="s">
        <v>29</v>
      </c>
      <c r="G105" s="21">
        <f t="shared" si="12"/>
        <v>48192</v>
      </c>
      <c r="H105" s="69"/>
      <c r="I105" s="21" t="s">
        <v>29</v>
      </c>
      <c r="J105" s="21" t="s">
        <v>29</v>
      </c>
      <c r="K105" s="21">
        <v>89642</v>
      </c>
      <c r="L105" s="21">
        <v>32581</v>
      </c>
      <c r="M105" s="21" t="s">
        <v>29</v>
      </c>
      <c r="N105" s="21">
        <f t="shared" si="13"/>
        <v>122223</v>
      </c>
      <c r="O105" s="21"/>
      <c r="P105" s="200">
        <f>33+102</f>
        <v>135</v>
      </c>
      <c r="Q105" s="200">
        <v>60</v>
      </c>
      <c r="R105" s="200">
        <v>12449</v>
      </c>
      <c r="S105" s="200">
        <v>7546</v>
      </c>
      <c r="T105" s="21" t="s">
        <v>29</v>
      </c>
      <c r="U105" s="21">
        <f>SUM(P105:T105)</f>
        <v>20190</v>
      </c>
    </row>
    <row r="106" spans="1:21" x14ac:dyDescent="0.2">
      <c r="A106" s="371">
        <v>1982</v>
      </c>
      <c r="B106" s="21">
        <f>2078+37633</f>
        <v>39711</v>
      </c>
      <c r="C106" s="21">
        <v>5988</v>
      </c>
      <c r="D106" s="21">
        <v>27981</v>
      </c>
      <c r="E106" s="21">
        <v>54</v>
      </c>
      <c r="F106" s="21" t="s">
        <v>29</v>
      </c>
      <c r="G106" s="21">
        <f t="shared" si="12"/>
        <v>73734</v>
      </c>
      <c r="H106" s="69"/>
      <c r="I106" s="21" t="s">
        <v>29</v>
      </c>
      <c r="J106" s="21" t="s">
        <v>29</v>
      </c>
      <c r="K106" s="21">
        <v>48858</v>
      </c>
      <c r="L106" s="21">
        <v>240</v>
      </c>
      <c r="M106" s="21" t="s">
        <v>29</v>
      </c>
      <c r="N106" s="21">
        <f t="shared" si="13"/>
        <v>49098</v>
      </c>
      <c r="O106" s="21"/>
      <c r="R106" s="198"/>
      <c r="S106" s="198"/>
      <c r="T106" s="198"/>
      <c r="U106" s="70"/>
    </row>
    <row r="107" spans="1:21" x14ac:dyDescent="0.2">
      <c r="A107" s="371">
        <v>1983</v>
      </c>
      <c r="B107" s="21">
        <f>206+18713</f>
        <v>18919</v>
      </c>
      <c r="C107" s="21">
        <v>3718</v>
      </c>
      <c r="D107" s="21">
        <v>4138</v>
      </c>
      <c r="E107" s="21">
        <v>672</v>
      </c>
      <c r="F107" s="21" t="s">
        <v>29</v>
      </c>
      <c r="G107" s="21">
        <f t="shared" si="12"/>
        <v>27447</v>
      </c>
      <c r="H107" s="69"/>
      <c r="I107" s="21" t="s">
        <v>29</v>
      </c>
      <c r="J107" s="21" t="s">
        <v>29</v>
      </c>
      <c r="K107" s="21">
        <v>1081</v>
      </c>
      <c r="L107" s="21">
        <v>244</v>
      </c>
      <c r="M107" s="21" t="s">
        <v>29</v>
      </c>
      <c r="N107" s="21">
        <f t="shared" si="13"/>
        <v>1325</v>
      </c>
      <c r="O107" s="21"/>
      <c r="P107" s="200">
        <v>0</v>
      </c>
      <c r="Q107" s="21">
        <v>0</v>
      </c>
      <c r="R107" s="200">
        <v>0</v>
      </c>
      <c r="S107" s="21">
        <v>0</v>
      </c>
      <c r="T107" s="21" t="s">
        <v>29</v>
      </c>
      <c r="U107" s="21">
        <f>SUM(P107:T107)</f>
        <v>0</v>
      </c>
    </row>
    <row r="108" spans="1:21" x14ac:dyDescent="0.2">
      <c r="A108" s="371">
        <v>1984</v>
      </c>
      <c r="B108" s="21">
        <v>5822</v>
      </c>
      <c r="C108" s="21" t="s">
        <v>29</v>
      </c>
      <c r="D108" s="21" t="s">
        <v>29</v>
      </c>
      <c r="E108" s="21" t="s">
        <v>29</v>
      </c>
      <c r="F108" s="21" t="s">
        <v>29</v>
      </c>
      <c r="G108" s="21">
        <f t="shared" si="12"/>
        <v>5822</v>
      </c>
      <c r="H108" s="69"/>
      <c r="I108" s="21" t="s">
        <v>29</v>
      </c>
      <c r="J108" s="21" t="s">
        <v>29</v>
      </c>
      <c r="K108" s="21" t="s">
        <v>29</v>
      </c>
      <c r="L108" s="21" t="s">
        <v>29</v>
      </c>
      <c r="M108" s="21" t="s">
        <v>29</v>
      </c>
      <c r="N108" s="70" t="s">
        <v>29</v>
      </c>
      <c r="O108" s="21"/>
      <c r="U108" s="21"/>
    </row>
    <row r="109" spans="1:21" x14ac:dyDescent="0.2">
      <c r="A109" s="371">
        <v>1985</v>
      </c>
      <c r="B109" s="21">
        <f>1861+10111</f>
        <v>11972</v>
      </c>
      <c r="C109" s="21">
        <v>230</v>
      </c>
      <c r="D109" s="21">
        <v>7580</v>
      </c>
      <c r="E109" s="21" t="s">
        <v>29</v>
      </c>
      <c r="F109" s="21" t="s">
        <v>29</v>
      </c>
      <c r="G109" s="21">
        <f t="shared" si="12"/>
        <v>19782</v>
      </c>
      <c r="H109" s="69"/>
      <c r="I109" s="21" t="s">
        <v>29</v>
      </c>
      <c r="J109" s="21" t="s">
        <v>29</v>
      </c>
      <c r="K109" s="70">
        <v>81884</v>
      </c>
      <c r="L109" s="21" t="s">
        <v>29</v>
      </c>
      <c r="M109" s="21" t="s">
        <v>29</v>
      </c>
      <c r="N109" s="21">
        <f>SUM(I109:M109)</f>
        <v>81884</v>
      </c>
      <c r="O109" s="21"/>
      <c r="P109" s="200">
        <f>1+97</f>
        <v>98</v>
      </c>
      <c r="Q109" s="21">
        <v>0</v>
      </c>
      <c r="R109" s="200">
        <v>2478</v>
      </c>
      <c r="S109" s="21" t="s">
        <v>29</v>
      </c>
      <c r="T109" s="21" t="s">
        <v>29</v>
      </c>
      <c r="U109" s="21">
        <f>SUM(P109:T109)</f>
        <v>2576</v>
      </c>
    </row>
    <row r="110" spans="1:21" x14ac:dyDescent="0.2">
      <c r="A110" s="371">
        <v>1986</v>
      </c>
      <c r="B110" s="21">
        <f>959+12223</f>
        <v>13182</v>
      </c>
      <c r="C110" s="21">
        <v>28</v>
      </c>
      <c r="D110" s="21" t="s">
        <v>29</v>
      </c>
      <c r="E110" s="21">
        <v>418</v>
      </c>
      <c r="F110" s="21" t="s">
        <v>29</v>
      </c>
      <c r="G110" s="21">
        <f t="shared" si="12"/>
        <v>13628</v>
      </c>
      <c r="H110" s="69"/>
      <c r="I110" s="21" t="s">
        <v>29</v>
      </c>
      <c r="J110" s="21" t="s">
        <v>29</v>
      </c>
      <c r="K110" s="21" t="s">
        <v>29</v>
      </c>
      <c r="L110" s="21">
        <v>2588</v>
      </c>
      <c r="M110" s="21" t="s">
        <v>29</v>
      </c>
      <c r="N110" s="21">
        <f>SUM(I110:M110)</f>
        <v>2588</v>
      </c>
      <c r="O110" s="21"/>
      <c r="S110" s="198"/>
      <c r="T110" s="198"/>
      <c r="U110" s="70"/>
    </row>
    <row r="111" spans="1:21" x14ac:dyDescent="0.2">
      <c r="A111" s="371">
        <v>1987</v>
      </c>
      <c r="B111" s="21">
        <f>425+24118</f>
        <v>24543</v>
      </c>
      <c r="C111" s="21" t="s">
        <v>29</v>
      </c>
      <c r="D111" s="21">
        <v>17639</v>
      </c>
      <c r="E111" s="21" t="s">
        <v>29</v>
      </c>
      <c r="F111" s="21" t="s">
        <v>29</v>
      </c>
      <c r="G111" s="21">
        <f t="shared" si="12"/>
        <v>42182</v>
      </c>
      <c r="H111" s="69"/>
      <c r="I111" s="21" t="s">
        <v>29</v>
      </c>
      <c r="J111" s="21" t="s">
        <v>29</v>
      </c>
      <c r="K111" s="21">
        <v>34992</v>
      </c>
      <c r="L111" s="21" t="s">
        <v>29</v>
      </c>
      <c r="M111" s="21" t="s">
        <v>29</v>
      </c>
      <c r="N111" s="21">
        <f>SUM(I111:M111)</f>
        <v>34992</v>
      </c>
      <c r="O111" s="21"/>
      <c r="P111" s="200">
        <v>0</v>
      </c>
      <c r="Q111" s="21" t="s">
        <v>29</v>
      </c>
      <c r="R111" s="200">
        <v>390</v>
      </c>
      <c r="S111" s="21" t="s">
        <v>29</v>
      </c>
      <c r="T111" s="21" t="s">
        <v>29</v>
      </c>
      <c r="U111" s="21">
        <f>SUM(P111:T111)</f>
        <v>390</v>
      </c>
    </row>
    <row r="112" spans="1:21" x14ac:dyDescent="0.2">
      <c r="A112" s="371">
        <v>1988</v>
      </c>
      <c r="B112" s="21">
        <f>129+22090</f>
        <v>22219</v>
      </c>
      <c r="C112" s="21">
        <v>10550</v>
      </c>
      <c r="D112" s="21" t="s">
        <v>29</v>
      </c>
      <c r="E112" s="21" t="s">
        <v>29</v>
      </c>
      <c r="F112" s="21" t="s">
        <v>29</v>
      </c>
      <c r="G112" s="21">
        <f t="shared" si="12"/>
        <v>32769</v>
      </c>
      <c r="H112" s="69"/>
      <c r="I112" s="21" t="s">
        <v>29</v>
      </c>
      <c r="J112" s="21" t="s">
        <v>29</v>
      </c>
      <c r="K112" s="21" t="s">
        <v>29</v>
      </c>
      <c r="L112" s="21" t="s">
        <v>29</v>
      </c>
      <c r="M112" s="21" t="s">
        <v>29</v>
      </c>
      <c r="N112" s="70" t="s">
        <v>29</v>
      </c>
      <c r="O112" s="21"/>
      <c r="P112" s="198"/>
      <c r="Q112" s="198"/>
      <c r="R112" s="198"/>
      <c r="S112" s="198"/>
      <c r="T112" s="198"/>
      <c r="U112" s="70"/>
    </row>
    <row r="113" spans="1:21" x14ac:dyDescent="0.2">
      <c r="A113" s="371">
        <v>1989</v>
      </c>
      <c r="B113" s="21">
        <v>22220</v>
      </c>
      <c r="C113" s="21">
        <v>14553</v>
      </c>
      <c r="D113" s="21" t="s">
        <v>29</v>
      </c>
      <c r="E113" s="21" t="s">
        <v>29</v>
      </c>
      <c r="F113" s="21" t="s">
        <v>29</v>
      </c>
      <c r="G113" s="21">
        <f t="shared" si="12"/>
        <v>36773</v>
      </c>
      <c r="H113" s="69"/>
      <c r="I113" s="21" t="s">
        <v>29</v>
      </c>
      <c r="J113" s="21" t="s">
        <v>29</v>
      </c>
      <c r="K113" s="21" t="s">
        <v>29</v>
      </c>
      <c r="L113" s="21">
        <v>20</v>
      </c>
      <c r="M113" s="21" t="s">
        <v>29</v>
      </c>
      <c r="N113" s="21">
        <f>SUM(I113:M113)</f>
        <v>20</v>
      </c>
      <c r="O113" s="21"/>
      <c r="P113" s="200">
        <v>229</v>
      </c>
      <c r="Q113" s="200">
        <v>182</v>
      </c>
      <c r="R113" s="21" t="s">
        <v>29</v>
      </c>
      <c r="S113" s="200">
        <v>23</v>
      </c>
      <c r="T113" s="21" t="s">
        <v>29</v>
      </c>
      <c r="U113" s="21">
        <f>SUM(P113:T113)</f>
        <v>434</v>
      </c>
    </row>
    <row r="114" spans="1:21" x14ac:dyDescent="0.2">
      <c r="A114" s="371">
        <v>1990</v>
      </c>
      <c r="B114" s="21">
        <f>1667+6047</f>
        <v>7714</v>
      </c>
      <c r="C114" s="21">
        <v>781</v>
      </c>
      <c r="D114" s="21" t="s">
        <v>29</v>
      </c>
      <c r="E114" s="21">
        <v>2559</v>
      </c>
      <c r="F114" s="21" t="s">
        <v>29</v>
      </c>
      <c r="G114" s="21">
        <f t="shared" si="12"/>
        <v>11054</v>
      </c>
      <c r="H114" s="69"/>
      <c r="I114" s="21" t="s">
        <v>29</v>
      </c>
      <c r="J114" s="21" t="s">
        <v>29</v>
      </c>
      <c r="K114" s="21" t="s">
        <v>29</v>
      </c>
      <c r="L114" s="21">
        <v>24862</v>
      </c>
      <c r="M114" s="21" t="s">
        <v>29</v>
      </c>
      <c r="N114" s="21">
        <f>SUM(I114:M114)</f>
        <v>24862</v>
      </c>
      <c r="O114" s="21"/>
      <c r="U114" s="21"/>
    </row>
    <row r="115" spans="1:21" x14ac:dyDescent="0.2">
      <c r="A115" s="371">
        <v>1991</v>
      </c>
      <c r="B115" s="21">
        <v>4414</v>
      </c>
      <c r="C115" s="21">
        <v>6483</v>
      </c>
      <c r="D115" s="21" t="s">
        <v>29</v>
      </c>
      <c r="E115" s="21" t="s">
        <v>29</v>
      </c>
      <c r="F115" s="21">
        <v>374</v>
      </c>
      <c r="G115" s="21">
        <f t="shared" si="12"/>
        <v>11271</v>
      </c>
      <c r="H115" s="69"/>
      <c r="I115" s="21" t="s">
        <v>29</v>
      </c>
      <c r="J115" s="21" t="s">
        <v>29</v>
      </c>
      <c r="K115" s="21" t="s">
        <v>29</v>
      </c>
      <c r="L115" s="70">
        <v>5526</v>
      </c>
      <c r="M115" s="21">
        <v>6867</v>
      </c>
      <c r="N115" s="21">
        <f>SUM(I115:M115)</f>
        <v>12393</v>
      </c>
      <c r="O115" s="21"/>
      <c r="P115" s="21">
        <v>1</v>
      </c>
      <c r="Q115" s="21">
        <v>1</v>
      </c>
      <c r="R115" s="21" t="s">
        <v>29</v>
      </c>
      <c r="S115" s="21" t="s">
        <v>29</v>
      </c>
      <c r="T115" s="21">
        <v>5</v>
      </c>
      <c r="U115" s="21">
        <f>SUM(P115:T115)</f>
        <v>7</v>
      </c>
    </row>
    <row r="116" spans="1:21" x14ac:dyDescent="0.2">
      <c r="A116" s="371">
        <v>1992</v>
      </c>
      <c r="B116" s="21">
        <v>8961</v>
      </c>
      <c r="C116" s="21">
        <v>4375</v>
      </c>
      <c r="D116" s="21">
        <v>3130</v>
      </c>
      <c r="E116" s="21">
        <v>1812</v>
      </c>
      <c r="F116" s="21" t="s">
        <v>29</v>
      </c>
      <c r="G116" s="21">
        <f t="shared" si="12"/>
        <v>18278</v>
      </c>
      <c r="H116" s="69"/>
      <c r="I116" s="21" t="s">
        <v>29</v>
      </c>
      <c r="J116" s="21" t="s">
        <v>29</v>
      </c>
      <c r="K116" s="21">
        <v>2716</v>
      </c>
      <c r="L116" s="21">
        <v>2437</v>
      </c>
      <c r="M116" s="21" t="s">
        <v>29</v>
      </c>
      <c r="N116" s="21">
        <f>SUM(I116:M116)</f>
        <v>5153</v>
      </c>
      <c r="O116" s="21"/>
      <c r="P116" s="21"/>
      <c r="Q116" s="21"/>
      <c r="R116" s="21"/>
      <c r="S116" s="21"/>
      <c r="T116" s="21"/>
      <c r="U116" s="21"/>
    </row>
    <row r="117" spans="1:21" x14ac:dyDescent="0.2">
      <c r="A117" s="371">
        <v>1993</v>
      </c>
      <c r="B117" s="21">
        <v>4980</v>
      </c>
      <c r="C117" s="21">
        <v>4622</v>
      </c>
      <c r="D117" s="21">
        <v>483</v>
      </c>
      <c r="E117" s="21">
        <v>602</v>
      </c>
      <c r="F117" s="21">
        <v>1484</v>
      </c>
      <c r="G117" s="21">
        <f t="shared" si="12"/>
        <v>12171</v>
      </c>
      <c r="H117" s="69"/>
      <c r="I117" s="70" t="s">
        <v>29</v>
      </c>
      <c r="J117" s="70" t="s">
        <v>29</v>
      </c>
      <c r="K117" s="21">
        <v>1220</v>
      </c>
      <c r="L117" s="21">
        <v>2128</v>
      </c>
      <c r="M117" s="21">
        <v>5173</v>
      </c>
      <c r="N117" s="21">
        <f>SUM(I117:M117)</f>
        <v>8521</v>
      </c>
      <c r="O117" s="21"/>
      <c r="P117" s="21">
        <v>2</v>
      </c>
      <c r="Q117" s="21">
        <v>0</v>
      </c>
      <c r="R117" s="21">
        <v>4</v>
      </c>
      <c r="S117" s="21">
        <v>6</v>
      </c>
      <c r="T117" s="21">
        <v>3</v>
      </c>
      <c r="U117" s="21">
        <f>SUM(P117:T117)</f>
        <v>15</v>
      </c>
    </row>
    <row r="118" spans="1:21" x14ac:dyDescent="0.2">
      <c r="A118" s="371">
        <v>1994</v>
      </c>
      <c r="B118" s="21" t="s">
        <v>29</v>
      </c>
      <c r="C118" s="21" t="s">
        <v>29</v>
      </c>
      <c r="D118" s="21" t="s">
        <v>29</v>
      </c>
      <c r="E118" s="21" t="s">
        <v>29</v>
      </c>
      <c r="F118" s="21" t="s">
        <v>29</v>
      </c>
      <c r="G118" s="21" t="s">
        <v>29</v>
      </c>
      <c r="H118" s="69"/>
      <c r="I118" s="21" t="s">
        <v>29</v>
      </c>
      <c r="J118" s="21" t="s">
        <v>29</v>
      </c>
      <c r="K118" s="21" t="s">
        <v>29</v>
      </c>
      <c r="L118" s="21" t="s">
        <v>29</v>
      </c>
      <c r="M118" s="21" t="s">
        <v>29</v>
      </c>
      <c r="N118" s="21" t="s">
        <v>29</v>
      </c>
      <c r="O118" s="21"/>
      <c r="P118" s="21"/>
      <c r="Q118" s="21"/>
      <c r="R118" s="21"/>
      <c r="S118" s="21"/>
      <c r="T118" s="21"/>
      <c r="U118" s="21"/>
    </row>
    <row r="119" spans="1:21" x14ac:dyDescent="0.2">
      <c r="A119" s="371">
        <v>1995</v>
      </c>
      <c r="B119" s="21" t="s">
        <v>29</v>
      </c>
      <c r="C119" s="21" t="s">
        <v>29</v>
      </c>
      <c r="D119" s="21" t="s">
        <v>29</v>
      </c>
      <c r="E119" s="21" t="s">
        <v>29</v>
      </c>
      <c r="F119" s="21" t="s">
        <v>29</v>
      </c>
      <c r="G119" s="21" t="s">
        <v>29</v>
      </c>
      <c r="H119" s="69"/>
      <c r="I119" s="21" t="s">
        <v>29</v>
      </c>
      <c r="J119" s="21" t="s">
        <v>29</v>
      </c>
      <c r="K119" s="21" t="s">
        <v>29</v>
      </c>
      <c r="L119" s="21" t="s">
        <v>29</v>
      </c>
      <c r="M119" s="21" t="s">
        <v>29</v>
      </c>
      <c r="N119" s="21" t="s">
        <v>29</v>
      </c>
      <c r="O119" s="21"/>
      <c r="P119" s="21" t="s">
        <v>29</v>
      </c>
      <c r="Q119" s="21" t="s">
        <v>29</v>
      </c>
      <c r="R119" s="21" t="s">
        <v>29</v>
      </c>
      <c r="S119" s="21" t="s">
        <v>29</v>
      </c>
      <c r="T119" s="21" t="s">
        <v>29</v>
      </c>
      <c r="U119" s="21" t="s">
        <v>29</v>
      </c>
    </row>
    <row r="120" spans="1:21" x14ac:dyDescent="0.2">
      <c r="A120" s="371">
        <v>1996</v>
      </c>
      <c r="B120" s="21" t="s">
        <v>29</v>
      </c>
      <c r="C120" s="21" t="s">
        <v>29</v>
      </c>
      <c r="D120" s="21" t="s">
        <v>29</v>
      </c>
      <c r="E120" s="21" t="s">
        <v>29</v>
      </c>
      <c r="F120" s="21" t="s">
        <v>29</v>
      </c>
      <c r="G120" s="21" t="s">
        <v>29</v>
      </c>
      <c r="H120" s="69"/>
      <c r="I120" s="21" t="s">
        <v>29</v>
      </c>
      <c r="J120" s="21" t="s">
        <v>29</v>
      </c>
      <c r="K120" s="21">
        <v>1376</v>
      </c>
      <c r="L120" s="21">
        <v>2699</v>
      </c>
      <c r="M120" s="21" t="s">
        <v>29</v>
      </c>
      <c r="N120" s="21">
        <f>SUM(I120:M120)</f>
        <v>4075</v>
      </c>
      <c r="O120" s="21"/>
      <c r="P120" s="21"/>
      <c r="Q120" s="21"/>
      <c r="R120" s="21"/>
      <c r="S120" s="21"/>
      <c r="T120" s="21"/>
      <c r="U120" s="21"/>
    </row>
    <row r="121" spans="1:21" x14ac:dyDescent="0.2">
      <c r="A121" s="371">
        <v>1997</v>
      </c>
      <c r="B121" s="21">
        <v>241</v>
      </c>
      <c r="C121" s="21">
        <v>98</v>
      </c>
      <c r="D121" s="21" t="s">
        <v>29</v>
      </c>
      <c r="E121" s="21" t="s">
        <v>29</v>
      </c>
      <c r="F121" s="21" t="s">
        <v>29</v>
      </c>
      <c r="G121" s="21">
        <f t="shared" ref="G121:G144" si="14">SUM(B121:F121)</f>
        <v>339</v>
      </c>
      <c r="H121" s="69"/>
      <c r="I121" s="21" t="s">
        <v>29</v>
      </c>
      <c r="J121" s="21" t="s">
        <v>29</v>
      </c>
      <c r="K121" s="21" t="s">
        <v>29</v>
      </c>
      <c r="L121" s="21" t="s">
        <v>29</v>
      </c>
      <c r="M121" s="21" t="s">
        <v>29</v>
      </c>
      <c r="N121" s="21" t="s">
        <v>29</v>
      </c>
      <c r="O121" s="21"/>
      <c r="P121" s="21">
        <v>0</v>
      </c>
      <c r="Q121" s="21">
        <v>1</v>
      </c>
      <c r="R121" s="21" t="s">
        <v>29</v>
      </c>
      <c r="S121" s="21" t="s">
        <v>29</v>
      </c>
      <c r="T121" s="21" t="s">
        <v>29</v>
      </c>
      <c r="U121" s="21">
        <f>SUM(P121:T121)</f>
        <v>1</v>
      </c>
    </row>
    <row r="122" spans="1:21" x14ac:dyDescent="0.2">
      <c r="A122" s="371">
        <v>1998</v>
      </c>
      <c r="B122" s="70">
        <v>79</v>
      </c>
      <c r="C122" s="70">
        <v>0</v>
      </c>
      <c r="D122" s="21" t="s">
        <v>29</v>
      </c>
      <c r="E122" s="21" t="s">
        <v>29</v>
      </c>
      <c r="F122" s="21" t="s">
        <v>29</v>
      </c>
      <c r="G122" s="21">
        <f t="shared" si="14"/>
        <v>79</v>
      </c>
      <c r="H122" s="69"/>
      <c r="I122" s="21" t="s">
        <v>29</v>
      </c>
      <c r="J122" s="21" t="s">
        <v>29</v>
      </c>
      <c r="K122" s="21" t="s">
        <v>29</v>
      </c>
      <c r="L122" s="21" t="s">
        <v>29</v>
      </c>
      <c r="M122" s="21" t="s">
        <v>29</v>
      </c>
      <c r="N122" s="21" t="s">
        <v>29</v>
      </c>
      <c r="O122" s="21"/>
      <c r="P122" s="21"/>
      <c r="Q122" s="21"/>
      <c r="R122" s="21"/>
      <c r="S122" s="21"/>
      <c r="T122" s="21"/>
      <c r="U122" s="21"/>
    </row>
    <row r="123" spans="1:21" x14ac:dyDescent="0.2">
      <c r="A123" s="371">
        <v>1999</v>
      </c>
      <c r="B123" s="70">
        <v>1255</v>
      </c>
      <c r="C123" s="70">
        <v>2137</v>
      </c>
      <c r="D123" s="21">
        <v>266</v>
      </c>
      <c r="E123" s="21">
        <v>486</v>
      </c>
      <c r="F123" s="21" t="s">
        <v>29</v>
      </c>
      <c r="G123" s="21">
        <f t="shared" si="14"/>
        <v>4144</v>
      </c>
      <c r="H123" s="69"/>
      <c r="I123" s="21" t="s">
        <v>29</v>
      </c>
      <c r="J123" s="21" t="s">
        <v>29</v>
      </c>
      <c r="K123" s="21">
        <v>161</v>
      </c>
      <c r="L123" s="21">
        <v>448</v>
      </c>
      <c r="M123" s="21">
        <v>9</v>
      </c>
      <c r="N123" s="21">
        <f t="shared" ref="N123:N144" si="15">SUM(I123:M123)</f>
        <v>618</v>
      </c>
      <c r="O123" s="21"/>
      <c r="P123" s="21">
        <v>0</v>
      </c>
      <c r="Q123" s="21">
        <v>1</v>
      </c>
      <c r="R123" s="21">
        <v>1</v>
      </c>
      <c r="S123" s="21">
        <v>0</v>
      </c>
      <c r="T123" s="21">
        <v>0</v>
      </c>
      <c r="U123" s="21">
        <f>SUM(P123:T123)</f>
        <v>2</v>
      </c>
    </row>
    <row r="124" spans="1:21" x14ac:dyDescent="0.2">
      <c r="A124" s="371">
        <v>2000</v>
      </c>
      <c r="B124" s="70">
        <v>0</v>
      </c>
      <c r="C124" s="70">
        <v>0</v>
      </c>
      <c r="D124" s="21" t="s">
        <v>29</v>
      </c>
      <c r="E124" s="21">
        <v>752</v>
      </c>
      <c r="F124" s="21">
        <v>3</v>
      </c>
      <c r="G124" s="21">
        <f t="shared" si="14"/>
        <v>755</v>
      </c>
      <c r="H124" s="69"/>
      <c r="I124" s="21" t="s">
        <v>29</v>
      </c>
      <c r="J124" s="21" t="s">
        <v>29</v>
      </c>
      <c r="K124" s="21" t="s">
        <v>29</v>
      </c>
      <c r="L124" s="21">
        <v>2419</v>
      </c>
      <c r="M124" s="21">
        <v>49</v>
      </c>
      <c r="N124" s="21">
        <f t="shared" si="15"/>
        <v>2468</v>
      </c>
      <c r="O124" s="21"/>
      <c r="P124" s="21"/>
      <c r="Q124" s="21"/>
      <c r="R124" s="21"/>
      <c r="S124" s="21"/>
      <c r="T124" s="21"/>
      <c r="U124" s="21"/>
    </row>
    <row r="125" spans="1:21" x14ac:dyDescent="0.2">
      <c r="A125" s="371">
        <v>2001</v>
      </c>
      <c r="B125" s="21">
        <v>4177</v>
      </c>
      <c r="C125" s="21">
        <v>4798</v>
      </c>
      <c r="D125" s="21">
        <v>2863</v>
      </c>
      <c r="E125" s="21">
        <f>751+95</f>
        <v>846</v>
      </c>
      <c r="F125" s="21">
        <v>219</v>
      </c>
      <c r="G125" s="21">
        <f t="shared" si="14"/>
        <v>12903</v>
      </c>
      <c r="H125" s="69"/>
      <c r="I125" s="21" t="s">
        <v>29</v>
      </c>
      <c r="J125" s="21" t="s">
        <v>29</v>
      </c>
      <c r="K125" s="21">
        <v>1524</v>
      </c>
      <c r="L125" s="21">
        <f>1818+252</f>
        <v>2070</v>
      </c>
      <c r="M125" s="21">
        <v>2615</v>
      </c>
      <c r="N125" s="21">
        <f t="shared" si="15"/>
        <v>6209</v>
      </c>
      <c r="O125" s="21"/>
      <c r="P125" s="21">
        <v>0</v>
      </c>
      <c r="Q125" s="21">
        <v>1</v>
      </c>
      <c r="R125" s="21">
        <v>13</v>
      </c>
      <c r="S125" s="21">
        <v>0</v>
      </c>
      <c r="T125" s="21">
        <v>0</v>
      </c>
      <c r="U125" s="21">
        <f>SUM(P125:T125)</f>
        <v>14</v>
      </c>
    </row>
    <row r="126" spans="1:21" x14ac:dyDescent="0.2">
      <c r="A126" s="371">
        <v>2002</v>
      </c>
      <c r="B126" s="21">
        <v>12384</v>
      </c>
      <c r="C126" s="21">
        <v>6249</v>
      </c>
      <c r="D126" s="21">
        <v>7879</v>
      </c>
      <c r="E126" s="21">
        <v>3817</v>
      </c>
      <c r="F126" s="21" t="s">
        <v>29</v>
      </c>
      <c r="G126" s="21">
        <f t="shared" si="14"/>
        <v>30329</v>
      </c>
      <c r="H126" s="69"/>
      <c r="I126" s="21" t="s">
        <v>29</v>
      </c>
      <c r="J126" s="21" t="s">
        <v>29</v>
      </c>
      <c r="K126" s="21" t="s">
        <v>29</v>
      </c>
      <c r="L126" s="21">
        <v>53</v>
      </c>
      <c r="M126" s="21" t="s">
        <v>29</v>
      </c>
      <c r="N126" s="21">
        <f t="shared" si="15"/>
        <v>53</v>
      </c>
      <c r="O126" s="21"/>
      <c r="P126" s="21"/>
      <c r="Q126" s="21"/>
      <c r="R126" s="21"/>
      <c r="S126" s="21"/>
      <c r="T126" s="21"/>
      <c r="U126" s="21"/>
    </row>
    <row r="127" spans="1:21" x14ac:dyDescent="0.2">
      <c r="A127" s="371">
        <v>2003</v>
      </c>
      <c r="B127" s="21">
        <v>3592</v>
      </c>
      <c r="C127" s="21">
        <v>3636</v>
      </c>
      <c r="D127" s="21">
        <v>4254</v>
      </c>
      <c r="E127" s="21">
        <v>4577</v>
      </c>
      <c r="F127" s="21">
        <v>714</v>
      </c>
      <c r="G127" s="21">
        <f t="shared" si="14"/>
        <v>16773</v>
      </c>
      <c r="H127" s="69"/>
      <c r="I127" s="21" t="s">
        <v>29</v>
      </c>
      <c r="J127" s="21" t="s">
        <v>29</v>
      </c>
      <c r="K127" s="21">
        <v>821</v>
      </c>
      <c r="L127" s="21">
        <v>1961</v>
      </c>
      <c r="M127" s="21">
        <v>418</v>
      </c>
      <c r="N127" s="21">
        <f t="shared" si="15"/>
        <v>3200</v>
      </c>
      <c r="O127" s="21"/>
      <c r="P127" s="21">
        <v>0</v>
      </c>
      <c r="Q127" s="21">
        <v>0</v>
      </c>
      <c r="R127" s="21">
        <v>32</v>
      </c>
      <c r="S127" s="21">
        <v>5</v>
      </c>
      <c r="T127" s="21">
        <v>0</v>
      </c>
      <c r="U127" s="21">
        <f>SUM(P127:T127)</f>
        <v>37</v>
      </c>
    </row>
    <row r="128" spans="1:21" x14ac:dyDescent="0.2">
      <c r="A128" s="371">
        <v>2004</v>
      </c>
      <c r="B128" s="21">
        <v>7889</v>
      </c>
      <c r="C128" s="21">
        <v>374</v>
      </c>
      <c r="D128" s="21">
        <v>1232</v>
      </c>
      <c r="E128" s="21">
        <v>1102</v>
      </c>
      <c r="F128" s="21">
        <v>491</v>
      </c>
      <c r="G128" s="21">
        <f t="shared" si="14"/>
        <v>11088</v>
      </c>
      <c r="H128" s="69"/>
      <c r="I128" s="21" t="s">
        <v>29</v>
      </c>
      <c r="J128" s="21" t="s">
        <v>29</v>
      </c>
      <c r="K128" s="21">
        <v>336</v>
      </c>
      <c r="L128" s="21">
        <v>1060</v>
      </c>
      <c r="M128" s="21">
        <v>4969</v>
      </c>
      <c r="N128" s="21">
        <f t="shared" si="15"/>
        <v>6365</v>
      </c>
      <c r="O128" s="21"/>
      <c r="P128" s="21"/>
      <c r="Q128" s="21"/>
      <c r="R128" s="21"/>
      <c r="S128" s="21"/>
      <c r="T128" s="21"/>
      <c r="U128" s="21"/>
    </row>
    <row r="129" spans="1:21" x14ac:dyDescent="0.2">
      <c r="A129" s="348">
        <v>2005</v>
      </c>
      <c r="B129" s="21">
        <f>99+11327</f>
        <v>11426</v>
      </c>
      <c r="C129" s="21">
        <v>1159</v>
      </c>
      <c r="D129" s="21">
        <v>1255</v>
      </c>
      <c r="E129" s="21">
        <v>1338</v>
      </c>
      <c r="F129" s="21" t="s">
        <v>29</v>
      </c>
      <c r="G129" s="21">
        <f t="shared" si="14"/>
        <v>15178</v>
      </c>
      <c r="H129" s="69"/>
      <c r="I129" s="70" t="s">
        <v>29</v>
      </c>
      <c r="J129" s="70" t="s">
        <v>29</v>
      </c>
      <c r="K129" s="21">
        <v>102</v>
      </c>
      <c r="L129" s="21">
        <v>271</v>
      </c>
      <c r="M129" s="70" t="s">
        <v>29</v>
      </c>
      <c r="N129" s="21">
        <f t="shared" si="15"/>
        <v>373</v>
      </c>
      <c r="O129" s="21"/>
      <c r="P129" s="21">
        <v>0</v>
      </c>
      <c r="Q129" s="21">
        <v>0</v>
      </c>
      <c r="R129" s="21">
        <v>2</v>
      </c>
      <c r="S129" s="21">
        <v>1</v>
      </c>
      <c r="T129" s="21" t="s">
        <v>29</v>
      </c>
      <c r="U129" s="21">
        <f>SUM(P129:T129)</f>
        <v>3</v>
      </c>
    </row>
    <row r="130" spans="1:21" x14ac:dyDescent="0.2">
      <c r="A130" s="348">
        <v>2006</v>
      </c>
      <c r="B130" s="21">
        <v>1578</v>
      </c>
      <c r="C130" s="21">
        <v>632</v>
      </c>
      <c r="D130" s="21">
        <v>120</v>
      </c>
      <c r="E130" s="21">
        <v>138</v>
      </c>
      <c r="F130" s="21">
        <v>89</v>
      </c>
      <c r="G130" s="21">
        <f t="shared" si="14"/>
        <v>2557</v>
      </c>
      <c r="H130" s="69"/>
      <c r="I130" s="70" t="s">
        <v>29</v>
      </c>
      <c r="J130" s="70" t="s">
        <v>29</v>
      </c>
      <c r="K130" s="21">
        <v>10</v>
      </c>
      <c r="L130" s="21">
        <v>59</v>
      </c>
      <c r="M130" s="70">
        <v>115</v>
      </c>
      <c r="N130" s="21">
        <f t="shared" si="15"/>
        <v>184</v>
      </c>
      <c r="O130" s="21"/>
      <c r="P130" s="21"/>
      <c r="Q130" s="21"/>
      <c r="R130" s="21"/>
      <c r="S130" s="21"/>
      <c r="T130" s="21"/>
      <c r="U130" s="21"/>
    </row>
    <row r="131" spans="1:21" s="359" customFormat="1" x14ac:dyDescent="0.2">
      <c r="A131" s="348">
        <v>2007</v>
      </c>
      <c r="B131" s="72">
        <v>5326</v>
      </c>
      <c r="C131" s="72">
        <v>814</v>
      </c>
      <c r="D131" s="72">
        <v>1700</v>
      </c>
      <c r="E131" s="72">
        <v>264</v>
      </c>
      <c r="F131" s="72">
        <v>7</v>
      </c>
      <c r="G131" s="72">
        <f t="shared" si="14"/>
        <v>8111</v>
      </c>
      <c r="H131" s="71"/>
      <c r="I131" s="97" t="s">
        <v>29</v>
      </c>
      <c r="J131" s="97" t="s">
        <v>29</v>
      </c>
      <c r="K131" s="72">
        <v>998</v>
      </c>
      <c r="L131" s="72">
        <v>757</v>
      </c>
      <c r="M131" s="97">
        <v>28</v>
      </c>
      <c r="N131" s="72">
        <f t="shared" si="15"/>
        <v>1783</v>
      </c>
      <c r="O131" s="72"/>
      <c r="P131" s="72">
        <v>0</v>
      </c>
      <c r="Q131" s="72">
        <v>0</v>
      </c>
      <c r="R131" s="72">
        <v>0</v>
      </c>
      <c r="S131" s="72">
        <v>1</v>
      </c>
      <c r="T131" s="72">
        <v>0</v>
      </c>
      <c r="U131" s="72">
        <f>SUM(P131:T131)</f>
        <v>1</v>
      </c>
    </row>
    <row r="132" spans="1:21" s="359" customFormat="1" x14ac:dyDescent="0.2">
      <c r="A132" s="157">
        <v>2008</v>
      </c>
      <c r="B132" s="72">
        <v>1380</v>
      </c>
      <c r="C132" s="72">
        <v>1657</v>
      </c>
      <c r="D132" s="72">
        <v>671</v>
      </c>
      <c r="E132" s="72">
        <v>764</v>
      </c>
      <c r="F132" s="72">
        <v>201</v>
      </c>
      <c r="G132" s="72">
        <f t="shared" si="14"/>
        <v>4673</v>
      </c>
      <c r="H132" s="71"/>
      <c r="I132" s="97" t="s">
        <v>29</v>
      </c>
      <c r="J132" s="97" t="s">
        <v>29</v>
      </c>
      <c r="K132" s="72">
        <v>165</v>
      </c>
      <c r="L132" s="72">
        <v>645</v>
      </c>
      <c r="M132" s="97">
        <v>322</v>
      </c>
      <c r="N132" s="72">
        <f t="shared" si="15"/>
        <v>1132</v>
      </c>
      <c r="O132" s="72"/>
      <c r="P132" s="72"/>
      <c r="Q132" s="72"/>
      <c r="R132" s="72"/>
      <c r="S132" s="72"/>
      <c r="T132" s="72"/>
      <c r="U132" s="72"/>
    </row>
    <row r="133" spans="1:21" s="359" customFormat="1" x14ac:dyDescent="0.2">
      <c r="A133" s="157">
        <v>2009</v>
      </c>
      <c r="B133" s="72">
        <v>3576</v>
      </c>
      <c r="C133" s="72">
        <v>3111</v>
      </c>
      <c r="D133" s="72">
        <v>955</v>
      </c>
      <c r="E133" s="72">
        <v>405</v>
      </c>
      <c r="F133" s="72">
        <v>85</v>
      </c>
      <c r="G133" s="72">
        <f t="shared" si="14"/>
        <v>8132</v>
      </c>
      <c r="H133" s="71"/>
      <c r="I133" s="97" t="s">
        <v>29</v>
      </c>
      <c r="J133" s="97" t="s">
        <v>29</v>
      </c>
      <c r="K133" s="72">
        <v>1933</v>
      </c>
      <c r="L133" s="72">
        <v>5291</v>
      </c>
      <c r="M133" s="97">
        <v>2836</v>
      </c>
      <c r="N133" s="72">
        <f t="shared" si="15"/>
        <v>10060</v>
      </c>
      <c r="O133" s="72"/>
      <c r="P133" s="72">
        <v>0</v>
      </c>
      <c r="Q133" s="72">
        <v>4</v>
      </c>
      <c r="R133" s="72">
        <v>2</v>
      </c>
      <c r="S133" s="72">
        <v>3</v>
      </c>
      <c r="T133" s="72">
        <v>0</v>
      </c>
      <c r="U133" s="72">
        <f>SUM(P133:T133)</f>
        <v>9</v>
      </c>
    </row>
    <row r="134" spans="1:21" s="359" customFormat="1" x14ac:dyDescent="0.2">
      <c r="A134" s="157">
        <v>2010</v>
      </c>
      <c r="B134" s="72">
        <v>4192</v>
      </c>
      <c r="C134" s="72">
        <v>19171</v>
      </c>
      <c r="D134" s="72">
        <v>4761</v>
      </c>
      <c r="E134" s="72">
        <v>5788</v>
      </c>
      <c r="F134" s="72">
        <v>259</v>
      </c>
      <c r="G134" s="72">
        <f t="shared" si="14"/>
        <v>34171</v>
      </c>
      <c r="H134" s="71"/>
      <c r="I134" s="97" t="s">
        <v>29</v>
      </c>
      <c r="J134" s="97" t="s">
        <v>29</v>
      </c>
      <c r="K134" s="72">
        <v>895</v>
      </c>
      <c r="L134" s="72">
        <v>639</v>
      </c>
      <c r="M134" s="97">
        <v>123</v>
      </c>
      <c r="N134" s="72">
        <f t="shared" si="15"/>
        <v>1657</v>
      </c>
      <c r="O134" s="72"/>
      <c r="P134" s="72"/>
      <c r="Q134" s="72"/>
      <c r="R134" s="72"/>
      <c r="S134" s="72"/>
      <c r="T134" s="72"/>
      <c r="U134" s="72"/>
    </row>
    <row r="135" spans="1:21" s="359" customFormat="1" x14ac:dyDescent="0.2">
      <c r="A135" s="157">
        <v>2011</v>
      </c>
      <c r="B135" s="72">
        <v>2960</v>
      </c>
      <c r="C135" s="72">
        <v>4727</v>
      </c>
      <c r="D135" s="72">
        <v>3056</v>
      </c>
      <c r="E135" s="72">
        <v>1709</v>
      </c>
      <c r="F135" s="72">
        <v>66</v>
      </c>
      <c r="G135" s="72">
        <f t="shared" si="14"/>
        <v>12518</v>
      </c>
      <c r="H135" s="71"/>
      <c r="I135" s="97" t="s">
        <v>29</v>
      </c>
      <c r="J135" s="97" t="s">
        <v>29</v>
      </c>
      <c r="K135" s="72">
        <v>1055</v>
      </c>
      <c r="L135" s="72">
        <v>456</v>
      </c>
      <c r="M135" s="97">
        <v>197</v>
      </c>
      <c r="N135" s="72">
        <f t="shared" si="15"/>
        <v>1708</v>
      </c>
      <c r="O135" s="72"/>
      <c r="P135" s="72">
        <v>0</v>
      </c>
      <c r="Q135" s="72">
        <v>1</v>
      </c>
      <c r="R135" s="72">
        <v>53</v>
      </c>
      <c r="S135" s="72">
        <v>56</v>
      </c>
      <c r="T135" s="72">
        <v>0</v>
      </c>
      <c r="U135" s="72">
        <f>SUM(P135:T135)</f>
        <v>110</v>
      </c>
    </row>
    <row r="136" spans="1:21" s="359" customFormat="1" x14ac:dyDescent="0.2">
      <c r="A136" s="157">
        <v>2012</v>
      </c>
      <c r="B136" s="72">
        <v>1613</v>
      </c>
      <c r="C136" s="72">
        <v>5242</v>
      </c>
      <c r="D136" s="72">
        <v>1631</v>
      </c>
      <c r="E136" s="72">
        <v>109</v>
      </c>
      <c r="F136" s="72">
        <v>186</v>
      </c>
      <c r="G136" s="72">
        <f t="shared" si="14"/>
        <v>8781</v>
      </c>
      <c r="H136" s="71"/>
      <c r="I136" s="97" t="s">
        <v>29</v>
      </c>
      <c r="J136" s="97" t="s">
        <v>29</v>
      </c>
      <c r="K136" s="72">
        <v>490</v>
      </c>
      <c r="L136" s="72">
        <v>152</v>
      </c>
      <c r="M136" s="97">
        <v>214</v>
      </c>
      <c r="N136" s="72">
        <f t="shared" si="15"/>
        <v>856</v>
      </c>
      <c r="O136" s="72"/>
      <c r="P136" s="72"/>
      <c r="Q136" s="72"/>
      <c r="R136" s="72"/>
      <c r="S136" s="72"/>
      <c r="T136" s="72"/>
      <c r="U136" s="72"/>
    </row>
    <row r="137" spans="1:21" s="359" customFormat="1" x14ac:dyDescent="0.2">
      <c r="A137" s="157">
        <v>2013</v>
      </c>
      <c r="B137" s="72">
        <v>2317</v>
      </c>
      <c r="C137" s="72">
        <v>11848</v>
      </c>
      <c r="D137" s="72">
        <v>3520</v>
      </c>
      <c r="E137" s="72">
        <v>6796</v>
      </c>
      <c r="F137" s="72">
        <v>690</v>
      </c>
      <c r="G137" s="72">
        <f t="shared" si="14"/>
        <v>25171</v>
      </c>
      <c r="H137" s="71"/>
      <c r="I137" s="97" t="s">
        <v>29</v>
      </c>
      <c r="J137" s="97" t="s">
        <v>29</v>
      </c>
      <c r="K137" s="72">
        <v>559</v>
      </c>
      <c r="L137" s="72">
        <v>2942</v>
      </c>
      <c r="M137" s="97">
        <v>258</v>
      </c>
      <c r="N137" s="72">
        <f t="shared" si="15"/>
        <v>3759</v>
      </c>
      <c r="O137" s="72"/>
      <c r="P137" s="72">
        <v>0</v>
      </c>
      <c r="Q137" s="72">
        <v>0</v>
      </c>
      <c r="R137" s="72">
        <v>6</v>
      </c>
      <c r="S137" s="72">
        <v>8</v>
      </c>
      <c r="T137" s="72">
        <v>1</v>
      </c>
      <c r="U137" s="72">
        <f>SUM(P137:T137)</f>
        <v>15</v>
      </c>
    </row>
    <row r="138" spans="1:21" s="359" customFormat="1" x14ac:dyDescent="0.2">
      <c r="A138" s="157">
        <v>2014</v>
      </c>
      <c r="B138" s="72">
        <v>2160</v>
      </c>
      <c r="C138" s="72">
        <v>1313</v>
      </c>
      <c r="D138" s="72">
        <v>4722</v>
      </c>
      <c r="E138" s="72">
        <v>3936</v>
      </c>
      <c r="F138" s="72">
        <v>419</v>
      </c>
      <c r="G138" s="72">
        <f t="shared" si="14"/>
        <v>12550</v>
      </c>
      <c r="H138" s="71"/>
      <c r="I138" s="97" t="s">
        <v>29</v>
      </c>
      <c r="J138" s="97" t="s">
        <v>29</v>
      </c>
      <c r="K138" s="72">
        <v>1739</v>
      </c>
      <c r="L138" s="72">
        <v>2959</v>
      </c>
      <c r="M138" s="97">
        <v>3827</v>
      </c>
      <c r="N138" s="72">
        <f t="shared" si="15"/>
        <v>8525</v>
      </c>
      <c r="O138" s="72"/>
      <c r="P138" s="203"/>
      <c r="Q138" s="203"/>
      <c r="R138" s="203"/>
      <c r="S138" s="203"/>
      <c r="T138" s="203"/>
      <c r="U138" s="72"/>
    </row>
    <row r="139" spans="1:21" s="359" customFormat="1" x14ac:dyDescent="0.2">
      <c r="A139" s="157">
        <v>2015</v>
      </c>
      <c r="B139" s="72">
        <v>5360</v>
      </c>
      <c r="C139" s="72">
        <v>13569</v>
      </c>
      <c r="D139" s="72">
        <v>7916</v>
      </c>
      <c r="E139" s="72">
        <v>6108</v>
      </c>
      <c r="F139" s="72">
        <v>457</v>
      </c>
      <c r="G139" s="72">
        <f t="shared" si="14"/>
        <v>33410</v>
      </c>
      <c r="H139" s="71"/>
      <c r="I139" s="97" t="s">
        <v>29</v>
      </c>
      <c r="J139" s="97" t="s">
        <v>29</v>
      </c>
      <c r="K139" s="72">
        <v>539</v>
      </c>
      <c r="L139" s="72">
        <v>871</v>
      </c>
      <c r="M139" s="97">
        <v>429</v>
      </c>
      <c r="N139" s="72">
        <f t="shared" si="15"/>
        <v>1839</v>
      </c>
      <c r="O139" s="72"/>
      <c r="P139" s="203">
        <v>1</v>
      </c>
      <c r="Q139" s="203">
        <v>0</v>
      </c>
      <c r="R139" s="203">
        <v>11</v>
      </c>
      <c r="S139" s="203">
        <v>0</v>
      </c>
      <c r="T139" s="203">
        <v>0</v>
      </c>
      <c r="U139" s="72">
        <f>SUM(P139:T139)</f>
        <v>12</v>
      </c>
    </row>
    <row r="140" spans="1:21" s="359" customFormat="1" x14ac:dyDescent="0.2">
      <c r="A140" s="157">
        <v>2016</v>
      </c>
      <c r="B140" s="72">
        <v>3258</v>
      </c>
      <c r="C140" s="72">
        <v>2619</v>
      </c>
      <c r="D140" s="72">
        <v>1981</v>
      </c>
      <c r="E140" s="72">
        <v>1866</v>
      </c>
      <c r="F140" s="72" t="s">
        <v>29</v>
      </c>
      <c r="G140" s="72">
        <f>SUM(B140:F140)</f>
        <v>9724</v>
      </c>
      <c r="H140" s="71"/>
      <c r="I140" s="97" t="s">
        <v>29</v>
      </c>
      <c r="J140" s="97" t="s">
        <v>29</v>
      </c>
      <c r="K140" s="72" t="s">
        <v>29</v>
      </c>
      <c r="L140" s="72" t="s">
        <v>29</v>
      </c>
      <c r="M140" s="97" t="s">
        <v>29</v>
      </c>
      <c r="N140" s="97" t="s">
        <v>29</v>
      </c>
      <c r="O140" s="72"/>
      <c r="P140" s="203"/>
      <c r="Q140" s="203"/>
      <c r="R140" s="203"/>
      <c r="S140" s="203"/>
      <c r="T140" s="203"/>
      <c r="U140" s="72"/>
    </row>
    <row r="141" spans="1:21" s="359" customFormat="1" x14ac:dyDescent="0.2">
      <c r="A141" s="157">
        <v>2017</v>
      </c>
      <c r="B141" s="72">
        <v>10793</v>
      </c>
      <c r="C141" s="72">
        <v>6092</v>
      </c>
      <c r="D141" s="72">
        <v>2340</v>
      </c>
      <c r="E141" s="72">
        <v>1852</v>
      </c>
      <c r="F141" s="72">
        <v>100</v>
      </c>
      <c r="G141" s="72">
        <f>SUM(B141:F141)</f>
        <v>21177</v>
      </c>
      <c r="H141" s="71"/>
      <c r="I141" s="97" t="s">
        <v>29</v>
      </c>
      <c r="J141" s="97" t="s">
        <v>29</v>
      </c>
      <c r="K141" s="72">
        <v>134</v>
      </c>
      <c r="L141" s="72">
        <v>309</v>
      </c>
      <c r="M141" s="97">
        <v>81</v>
      </c>
      <c r="N141" s="72">
        <f>SUM(I141:M141)</f>
        <v>524</v>
      </c>
      <c r="O141" s="72"/>
      <c r="P141" s="203">
        <v>0</v>
      </c>
      <c r="Q141" s="203">
        <v>0</v>
      </c>
      <c r="R141" s="203">
        <v>0</v>
      </c>
      <c r="S141" s="203">
        <v>0</v>
      </c>
      <c r="T141" s="203">
        <v>0</v>
      </c>
      <c r="U141" s="72">
        <f>SUM(P141:T141)</f>
        <v>0</v>
      </c>
    </row>
    <row r="142" spans="1:21" s="359" customFormat="1" x14ac:dyDescent="0.2">
      <c r="A142" s="157">
        <v>2018</v>
      </c>
      <c r="B142" s="72">
        <v>2682</v>
      </c>
      <c r="C142" s="72">
        <v>7518</v>
      </c>
      <c r="D142" s="72">
        <v>2457</v>
      </c>
      <c r="E142" s="72">
        <v>281</v>
      </c>
      <c r="F142" s="72">
        <v>3</v>
      </c>
      <c r="G142" s="72">
        <f>SUM(B142:F142)</f>
        <v>12941</v>
      </c>
      <c r="H142" s="71"/>
      <c r="I142" s="97" t="s">
        <v>29</v>
      </c>
      <c r="J142" s="97" t="s">
        <v>29</v>
      </c>
      <c r="K142" s="72">
        <v>125</v>
      </c>
      <c r="L142" s="72">
        <v>225</v>
      </c>
      <c r="M142" s="97">
        <v>16</v>
      </c>
      <c r="N142" s="72">
        <f>SUM(I142:M142)</f>
        <v>366</v>
      </c>
      <c r="O142" s="72"/>
      <c r="P142" s="203"/>
      <c r="Q142" s="203"/>
      <c r="R142" s="203"/>
      <c r="S142" s="203"/>
      <c r="T142" s="203"/>
      <c r="U142" s="72"/>
    </row>
    <row r="143" spans="1:21" s="487" customFormat="1" x14ac:dyDescent="0.2">
      <c r="A143" s="157">
        <v>2019</v>
      </c>
      <c r="B143" s="72">
        <v>1803</v>
      </c>
      <c r="C143" s="72">
        <v>341</v>
      </c>
      <c r="D143" s="72">
        <v>65</v>
      </c>
      <c r="E143" s="72">
        <v>49</v>
      </c>
      <c r="F143" s="72">
        <v>81</v>
      </c>
      <c r="G143" s="72">
        <f t="shared" ref="G143" si="16">SUM(B143:F143)</f>
        <v>2339</v>
      </c>
      <c r="H143" s="71"/>
      <c r="I143" s="97" t="s">
        <v>29</v>
      </c>
      <c r="J143" s="97" t="s">
        <v>29</v>
      </c>
      <c r="K143" s="72">
        <v>226</v>
      </c>
      <c r="L143" s="72">
        <v>368</v>
      </c>
      <c r="M143" s="97">
        <v>737</v>
      </c>
      <c r="N143" s="72">
        <f t="shared" ref="N143" si="17">SUM(I143:M143)</f>
        <v>1331</v>
      </c>
      <c r="O143" s="72"/>
      <c r="P143" s="203">
        <v>0</v>
      </c>
      <c r="Q143" s="203">
        <v>0</v>
      </c>
      <c r="R143" s="203">
        <v>23</v>
      </c>
      <c r="S143" s="203">
        <v>0</v>
      </c>
      <c r="T143" s="203">
        <v>0</v>
      </c>
      <c r="U143" s="72">
        <f>SUM(P143:T143)</f>
        <v>23</v>
      </c>
    </row>
    <row r="144" spans="1:21" x14ac:dyDescent="0.2">
      <c r="A144" s="171" t="s">
        <v>394</v>
      </c>
      <c r="B144" s="21">
        <v>136</v>
      </c>
      <c r="C144" s="21">
        <v>251</v>
      </c>
      <c r="D144" s="21">
        <v>4191</v>
      </c>
      <c r="E144" s="21">
        <v>1257</v>
      </c>
      <c r="F144" s="21">
        <v>32</v>
      </c>
      <c r="G144" s="21">
        <f t="shared" si="14"/>
        <v>5867</v>
      </c>
      <c r="H144" s="69"/>
      <c r="I144" s="70" t="s">
        <v>29</v>
      </c>
      <c r="J144" s="70" t="s">
        <v>29</v>
      </c>
      <c r="K144" s="21">
        <v>164</v>
      </c>
      <c r="L144" s="21">
        <v>172</v>
      </c>
      <c r="M144" s="70">
        <v>37</v>
      </c>
      <c r="N144" s="21">
        <f t="shared" si="15"/>
        <v>373</v>
      </c>
      <c r="O144" s="21"/>
      <c r="U144" s="72"/>
    </row>
    <row r="145" spans="1:21" x14ac:dyDescent="0.2">
      <c r="B145" s="21"/>
      <c r="C145" s="21"/>
      <c r="D145" s="21"/>
      <c r="E145" s="21"/>
      <c r="F145" s="21"/>
      <c r="G145" s="21"/>
      <c r="H145" s="69"/>
      <c r="I145" s="21"/>
      <c r="J145" s="21"/>
      <c r="K145" s="21"/>
      <c r="L145" s="21"/>
      <c r="M145" s="21"/>
      <c r="N145" s="21"/>
      <c r="O145" s="21"/>
    </row>
    <row r="146" spans="1:21" x14ac:dyDescent="0.2">
      <c r="A146" s="116" t="s">
        <v>63</v>
      </c>
      <c r="B146" s="21"/>
      <c r="C146" s="21"/>
      <c r="D146" s="21"/>
      <c r="E146" s="21"/>
      <c r="F146" s="21"/>
      <c r="G146" s="21"/>
      <c r="H146" s="69"/>
      <c r="I146" s="21"/>
      <c r="J146" s="21"/>
      <c r="K146" s="21"/>
      <c r="L146" s="21"/>
      <c r="M146" s="21"/>
      <c r="N146" s="21"/>
      <c r="O146" s="21"/>
    </row>
    <row r="147" spans="1:21" x14ac:dyDescent="0.2">
      <c r="A147" s="371">
        <v>1976</v>
      </c>
      <c r="B147" s="21">
        <f>409+13143</f>
        <v>13552</v>
      </c>
      <c r="C147" s="21">
        <v>19736</v>
      </c>
      <c r="D147" s="21">
        <v>5122</v>
      </c>
      <c r="E147" s="21">
        <v>4371</v>
      </c>
      <c r="F147" s="21">
        <f>2860+558</f>
        <v>3418</v>
      </c>
      <c r="G147" s="21">
        <f t="shared" ref="G147:G164" si="18">SUM(B147:F147)</f>
        <v>46199</v>
      </c>
      <c r="H147" s="69"/>
      <c r="I147" s="70" t="s">
        <v>29</v>
      </c>
      <c r="J147" s="21">
        <v>92879</v>
      </c>
      <c r="K147" s="21">
        <v>130115</v>
      </c>
      <c r="L147" s="21">
        <v>62875</v>
      </c>
      <c r="M147" s="21">
        <f>33682+6577</f>
        <v>40259</v>
      </c>
      <c r="N147" s="21">
        <f t="shared" ref="N147:N158" si="19">SUM(I147:M147)</f>
        <v>326128</v>
      </c>
      <c r="O147" s="21"/>
      <c r="Q147" s="198"/>
      <c r="R147" s="198"/>
      <c r="S147" s="198"/>
      <c r="T147" s="198"/>
      <c r="U147" s="70"/>
    </row>
    <row r="148" spans="1:21" x14ac:dyDescent="0.2">
      <c r="A148" s="371">
        <v>1977</v>
      </c>
      <c r="B148" s="21">
        <f>112+15316</f>
        <v>15428</v>
      </c>
      <c r="C148" s="21">
        <v>3496</v>
      </c>
      <c r="D148" s="21">
        <v>6524</v>
      </c>
      <c r="E148" s="21">
        <v>4924</v>
      </c>
      <c r="F148" s="21">
        <f>3001+7071</f>
        <v>10072</v>
      </c>
      <c r="G148" s="21">
        <f t="shared" si="18"/>
        <v>40444</v>
      </c>
      <c r="H148" s="69"/>
      <c r="I148" s="70">
        <v>4</v>
      </c>
      <c r="J148" s="70" t="s">
        <v>29</v>
      </c>
      <c r="K148" s="21">
        <v>64538</v>
      </c>
      <c r="L148" s="21">
        <v>18265</v>
      </c>
      <c r="M148" s="21">
        <f>10424+5795</f>
        <v>16219</v>
      </c>
      <c r="N148" s="21">
        <f t="shared" si="19"/>
        <v>99026</v>
      </c>
      <c r="O148" s="21"/>
      <c r="P148" s="200">
        <v>10</v>
      </c>
      <c r="Q148" s="200">
        <v>10</v>
      </c>
      <c r="R148" s="200">
        <v>2094</v>
      </c>
      <c r="S148" s="200">
        <v>1060</v>
      </c>
      <c r="T148" s="200">
        <f>696+90</f>
        <v>786</v>
      </c>
      <c r="U148" s="21">
        <f>SUM(P148:T148)</f>
        <v>3960</v>
      </c>
    </row>
    <row r="149" spans="1:21" x14ac:dyDescent="0.2">
      <c r="A149" s="371">
        <v>1978</v>
      </c>
      <c r="B149" s="21">
        <v>788</v>
      </c>
      <c r="C149" s="21">
        <v>2234</v>
      </c>
      <c r="D149" s="21">
        <v>4494</v>
      </c>
      <c r="E149" s="21">
        <v>1438</v>
      </c>
      <c r="F149" s="21">
        <f>765+806+6</f>
        <v>1577</v>
      </c>
      <c r="G149" s="21">
        <f t="shared" si="18"/>
        <v>10531</v>
      </c>
      <c r="H149" s="69"/>
      <c r="I149" s="70" t="s">
        <v>29</v>
      </c>
      <c r="J149" s="70" t="s">
        <v>29</v>
      </c>
      <c r="K149" s="21">
        <v>56234</v>
      </c>
      <c r="L149" s="21">
        <v>12116</v>
      </c>
      <c r="M149" s="21">
        <f>17090+6356+11</f>
        <v>23457</v>
      </c>
      <c r="N149" s="21">
        <f t="shared" si="19"/>
        <v>91807</v>
      </c>
      <c r="O149" s="21"/>
      <c r="R149" s="198"/>
      <c r="S149" s="198"/>
      <c r="T149" s="198"/>
      <c r="U149" s="70"/>
    </row>
    <row r="150" spans="1:21" x14ac:dyDescent="0.2">
      <c r="A150" s="371">
        <v>1979</v>
      </c>
      <c r="B150" s="21">
        <f>646+2411</f>
        <v>3057</v>
      </c>
      <c r="C150" s="21">
        <v>10</v>
      </c>
      <c r="D150" s="21">
        <v>2561</v>
      </c>
      <c r="E150" s="21">
        <v>3601</v>
      </c>
      <c r="F150" s="21">
        <v>429</v>
      </c>
      <c r="G150" s="21">
        <f t="shared" si="18"/>
        <v>9658</v>
      </c>
      <c r="H150" s="69"/>
      <c r="I150" s="70">
        <v>7</v>
      </c>
      <c r="J150" s="70" t="s">
        <v>29</v>
      </c>
      <c r="K150" s="21">
        <v>79358</v>
      </c>
      <c r="L150" s="21">
        <v>31548</v>
      </c>
      <c r="M150" s="21">
        <v>1666</v>
      </c>
      <c r="N150" s="21">
        <f t="shared" si="19"/>
        <v>112579</v>
      </c>
      <c r="O150" s="21"/>
      <c r="P150" s="200">
        <v>0</v>
      </c>
      <c r="Q150" s="70">
        <v>0</v>
      </c>
      <c r="R150" s="200">
        <v>1540</v>
      </c>
      <c r="S150" s="200">
        <v>1636</v>
      </c>
      <c r="T150" s="200">
        <v>60</v>
      </c>
      <c r="U150" s="21">
        <f>SUM(P150:T150)</f>
        <v>3236</v>
      </c>
    </row>
    <row r="151" spans="1:21" x14ac:dyDescent="0.2">
      <c r="A151" s="371">
        <v>1980</v>
      </c>
      <c r="B151" s="21">
        <f>12+7113</f>
        <v>7125</v>
      </c>
      <c r="C151" s="21" t="s">
        <v>29</v>
      </c>
      <c r="D151" s="21">
        <v>963</v>
      </c>
      <c r="E151" s="21">
        <v>2226</v>
      </c>
      <c r="F151" s="21">
        <v>446</v>
      </c>
      <c r="G151" s="21">
        <f t="shared" si="18"/>
        <v>10760</v>
      </c>
      <c r="H151" s="69"/>
      <c r="I151" s="70" t="s">
        <v>29</v>
      </c>
      <c r="J151" s="70" t="s">
        <v>29</v>
      </c>
      <c r="K151" s="21">
        <v>30259</v>
      </c>
      <c r="L151" s="21">
        <v>20173</v>
      </c>
      <c r="M151" s="21">
        <v>4656</v>
      </c>
      <c r="N151" s="21">
        <f t="shared" si="19"/>
        <v>55088</v>
      </c>
      <c r="O151" s="21"/>
      <c r="R151" s="198"/>
      <c r="S151" s="198"/>
      <c r="T151" s="198"/>
      <c r="U151" s="70"/>
    </row>
    <row r="152" spans="1:21" x14ac:dyDescent="0.2">
      <c r="A152" s="371">
        <v>1981</v>
      </c>
      <c r="B152" s="21">
        <f>267+9019</f>
        <v>9286</v>
      </c>
      <c r="C152" s="21">
        <v>28</v>
      </c>
      <c r="D152" s="21">
        <v>1147</v>
      </c>
      <c r="E152" s="21">
        <v>1289</v>
      </c>
      <c r="F152" s="21" t="s">
        <v>29</v>
      </c>
      <c r="G152" s="21">
        <f t="shared" si="18"/>
        <v>11750</v>
      </c>
      <c r="H152" s="69"/>
      <c r="I152" s="70" t="s">
        <v>29</v>
      </c>
      <c r="J152" s="70" t="s">
        <v>29</v>
      </c>
      <c r="K152" s="21">
        <v>45195</v>
      </c>
      <c r="L152" s="21">
        <f>29905+1866</f>
        <v>31771</v>
      </c>
      <c r="M152" s="70" t="s">
        <v>29</v>
      </c>
      <c r="N152" s="21">
        <f t="shared" si="19"/>
        <v>76966</v>
      </c>
      <c r="O152" s="21"/>
      <c r="P152" s="200">
        <v>8</v>
      </c>
      <c r="Q152" s="70">
        <v>0</v>
      </c>
      <c r="R152" s="200">
        <v>1862</v>
      </c>
      <c r="S152" s="200">
        <v>933</v>
      </c>
      <c r="T152" s="70" t="s">
        <v>29</v>
      </c>
      <c r="U152" s="21">
        <f>SUM(P152:T152)</f>
        <v>2803</v>
      </c>
    </row>
    <row r="153" spans="1:21" x14ac:dyDescent="0.2">
      <c r="A153" s="371">
        <v>1982</v>
      </c>
      <c r="B153" s="21">
        <f>476+11406</f>
        <v>11882</v>
      </c>
      <c r="C153" s="21">
        <v>1577</v>
      </c>
      <c r="D153" s="21">
        <v>5501</v>
      </c>
      <c r="E153" s="21" t="s">
        <v>29</v>
      </c>
      <c r="F153" s="21" t="s">
        <v>29</v>
      </c>
      <c r="G153" s="21">
        <f t="shared" si="18"/>
        <v>18960</v>
      </c>
      <c r="H153" s="69"/>
      <c r="I153" s="70" t="s">
        <v>29</v>
      </c>
      <c r="J153" s="70" t="s">
        <v>29</v>
      </c>
      <c r="K153" s="21">
        <v>44104</v>
      </c>
      <c r="L153" s="70" t="s">
        <v>29</v>
      </c>
      <c r="M153" s="70" t="s">
        <v>29</v>
      </c>
      <c r="N153" s="21">
        <f t="shared" si="19"/>
        <v>44104</v>
      </c>
      <c r="O153" s="21"/>
      <c r="R153" s="198"/>
      <c r="S153" s="198"/>
      <c r="T153" s="198"/>
      <c r="U153" s="70"/>
    </row>
    <row r="154" spans="1:21" x14ac:dyDescent="0.2">
      <c r="A154" s="371">
        <v>1983</v>
      </c>
      <c r="B154" s="21">
        <f>31+3863</f>
        <v>3894</v>
      </c>
      <c r="C154" s="21">
        <v>2185</v>
      </c>
      <c r="D154" s="21">
        <v>278</v>
      </c>
      <c r="E154" s="70">
        <v>357</v>
      </c>
      <c r="F154" s="70">
        <v>418</v>
      </c>
      <c r="G154" s="21">
        <f t="shared" si="18"/>
        <v>7132</v>
      </c>
      <c r="H154" s="69"/>
      <c r="I154" s="70" t="s">
        <v>29</v>
      </c>
      <c r="J154" s="70" t="s">
        <v>29</v>
      </c>
      <c r="K154" s="70">
        <v>103</v>
      </c>
      <c r="L154" s="70">
        <v>4900</v>
      </c>
      <c r="M154" s="85">
        <v>13373</v>
      </c>
      <c r="N154" s="21">
        <f t="shared" si="19"/>
        <v>18376</v>
      </c>
      <c r="O154" s="21"/>
      <c r="P154" s="200">
        <v>0</v>
      </c>
      <c r="Q154" s="70">
        <v>0</v>
      </c>
      <c r="R154" s="200">
        <v>0</v>
      </c>
      <c r="S154" s="200">
        <v>8</v>
      </c>
      <c r="T154" s="70" t="s">
        <v>29</v>
      </c>
      <c r="U154" s="21">
        <f>SUM(P154:T154)</f>
        <v>8</v>
      </c>
    </row>
    <row r="155" spans="1:21" x14ac:dyDescent="0.2">
      <c r="A155" s="371">
        <v>1984</v>
      </c>
      <c r="B155" s="21">
        <v>896</v>
      </c>
      <c r="C155" s="21" t="s">
        <v>29</v>
      </c>
      <c r="D155" s="21" t="s">
        <v>29</v>
      </c>
      <c r="E155" s="70">
        <v>312</v>
      </c>
      <c r="F155" s="70" t="s">
        <v>29</v>
      </c>
      <c r="G155" s="21">
        <f t="shared" si="18"/>
        <v>1208</v>
      </c>
      <c r="H155" s="69"/>
      <c r="I155" s="70" t="s">
        <v>29</v>
      </c>
      <c r="J155" s="70" t="s">
        <v>29</v>
      </c>
      <c r="K155" s="70" t="s">
        <v>29</v>
      </c>
      <c r="L155" s="85">
        <v>6649</v>
      </c>
      <c r="M155" s="70" t="s">
        <v>29</v>
      </c>
      <c r="N155" s="21">
        <f t="shared" si="19"/>
        <v>6649</v>
      </c>
      <c r="O155" s="21"/>
      <c r="U155" s="21"/>
    </row>
    <row r="156" spans="1:21" x14ac:dyDescent="0.2">
      <c r="A156" s="371">
        <v>1985</v>
      </c>
      <c r="B156" s="21">
        <f>270+6090</f>
        <v>6360</v>
      </c>
      <c r="C156" s="21" t="s">
        <v>29</v>
      </c>
      <c r="D156" s="21" t="s">
        <v>29</v>
      </c>
      <c r="E156" s="70">
        <v>452</v>
      </c>
      <c r="F156" s="70" t="s">
        <v>29</v>
      </c>
      <c r="G156" s="21">
        <f t="shared" si="18"/>
        <v>6812</v>
      </c>
      <c r="H156" s="69"/>
      <c r="I156" s="70" t="s">
        <v>29</v>
      </c>
      <c r="J156" s="70" t="s">
        <v>29</v>
      </c>
      <c r="K156" s="70" t="s">
        <v>29</v>
      </c>
      <c r="L156" s="85">
        <v>14339</v>
      </c>
      <c r="M156" s="70" t="s">
        <v>29</v>
      </c>
      <c r="N156" s="21">
        <f t="shared" si="19"/>
        <v>14339</v>
      </c>
      <c r="O156" s="21"/>
      <c r="P156" s="200">
        <v>3</v>
      </c>
      <c r="Q156" s="70" t="s">
        <v>29</v>
      </c>
      <c r="R156" s="70" t="s">
        <v>29</v>
      </c>
      <c r="S156" s="83">
        <v>1001</v>
      </c>
      <c r="T156" s="70" t="s">
        <v>29</v>
      </c>
      <c r="U156" s="21">
        <f>SUM(P156:T156)</f>
        <v>1004</v>
      </c>
    </row>
    <row r="157" spans="1:21" x14ac:dyDescent="0.2">
      <c r="A157" s="371">
        <v>1986</v>
      </c>
      <c r="B157" s="21">
        <f>229+7906</f>
        <v>8135</v>
      </c>
      <c r="C157" s="21" t="s">
        <v>29</v>
      </c>
      <c r="D157" s="21" t="s">
        <v>29</v>
      </c>
      <c r="E157" s="21">
        <v>3436</v>
      </c>
      <c r="F157" s="21" t="s">
        <v>29</v>
      </c>
      <c r="G157" s="21">
        <f t="shared" si="18"/>
        <v>11571</v>
      </c>
      <c r="H157" s="69"/>
      <c r="I157" s="70" t="s">
        <v>29</v>
      </c>
      <c r="J157" s="70" t="s">
        <v>29</v>
      </c>
      <c r="K157" s="70" t="s">
        <v>29</v>
      </c>
      <c r="L157" s="21">
        <v>45602</v>
      </c>
      <c r="M157" s="70" t="s">
        <v>29</v>
      </c>
      <c r="N157" s="21">
        <f t="shared" si="19"/>
        <v>45602</v>
      </c>
      <c r="O157" s="21"/>
      <c r="U157" s="21"/>
    </row>
    <row r="158" spans="1:21" x14ac:dyDescent="0.2">
      <c r="A158" s="371">
        <v>1987</v>
      </c>
      <c r="B158" s="21">
        <f>15+3999</f>
        <v>4014</v>
      </c>
      <c r="C158" s="21" t="s">
        <v>29</v>
      </c>
      <c r="D158" s="21">
        <v>1324</v>
      </c>
      <c r="E158" s="21" t="s">
        <v>29</v>
      </c>
      <c r="F158" s="21" t="s">
        <v>29</v>
      </c>
      <c r="G158" s="21">
        <f t="shared" si="18"/>
        <v>5338</v>
      </c>
      <c r="H158" s="69"/>
      <c r="I158" s="70" t="s">
        <v>29</v>
      </c>
      <c r="J158" s="70" t="s">
        <v>29</v>
      </c>
      <c r="K158" s="21">
        <v>10844</v>
      </c>
      <c r="L158" s="70" t="s">
        <v>29</v>
      </c>
      <c r="M158" s="70" t="s">
        <v>29</v>
      </c>
      <c r="N158" s="21">
        <f t="shared" si="19"/>
        <v>10844</v>
      </c>
      <c r="O158" s="21"/>
      <c r="P158" s="200">
        <v>0</v>
      </c>
      <c r="Q158" s="70" t="s">
        <v>29</v>
      </c>
      <c r="R158" s="200">
        <v>87</v>
      </c>
      <c r="S158" s="70" t="s">
        <v>29</v>
      </c>
      <c r="T158" s="70" t="s">
        <v>29</v>
      </c>
      <c r="U158" s="21">
        <f>SUM(P158:T158)</f>
        <v>87</v>
      </c>
    </row>
    <row r="159" spans="1:21" x14ac:dyDescent="0.2">
      <c r="A159" s="371">
        <v>1988</v>
      </c>
      <c r="B159" s="21">
        <f>19+1643</f>
        <v>1662</v>
      </c>
      <c r="C159" s="21">
        <v>1620</v>
      </c>
      <c r="D159" s="21" t="s">
        <v>29</v>
      </c>
      <c r="E159" s="21" t="s">
        <v>29</v>
      </c>
      <c r="F159" s="21" t="s">
        <v>29</v>
      </c>
      <c r="G159" s="21">
        <f t="shared" si="18"/>
        <v>3282</v>
      </c>
      <c r="H159" s="69"/>
      <c r="I159" s="70" t="s">
        <v>29</v>
      </c>
      <c r="J159" s="70" t="s">
        <v>29</v>
      </c>
      <c r="K159" s="70" t="s">
        <v>29</v>
      </c>
      <c r="L159" s="70" t="s">
        <v>29</v>
      </c>
      <c r="M159" s="70" t="s">
        <v>29</v>
      </c>
      <c r="N159" s="70" t="s">
        <v>29</v>
      </c>
      <c r="O159" s="21"/>
      <c r="U159" s="21"/>
    </row>
    <row r="160" spans="1:21" x14ac:dyDescent="0.2">
      <c r="A160" s="371">
        <v>1989</v>
      </c>
      <c r="B160" s="21">
        <v>1044</v>
      </c>
      <c r="C160" s="21">
        <v>917</v>
      </c>
      <c r="D160" s="21" t="s">
        <v>29</v>
      </c>
      <c r="E160" s="21">
        <v>496</v>
      </c>
      <c r="F160" s="21">
        <v>703</v>
      </c>
      <c r="G160" s="21">
        <f t="shared" si="18"/>
        <v>3160</v>
      </c>
      <c r="H160" s="71"/>
      <c r="I160" s="70" t="s">
        <v>29</v>
      </c>
      <c r="J160" s="70" t="s">
        <v>29</v>
      </c>
      <c r="K160" s="70" t="s">
        <v>29</v>
      </c>
      <c r="L160" s="72">
        <v>5398</v>
      </c>
      <c r="M160" s="72">
        <v>10638</v>
      </c>
      <c r="N160" s="21">
        <f>SUM(I160:M160)</f>
        <v>16036</v>
      </c>
      <c r="O160" s="72"/>
      <c r="P160" s="203">
        <v>0</v>
      </c>
      <c r="Q160" s="203">
        <v>0</v>
      </c>
      <c r="R160" s="70" t="s">
        <v>29</v>
      </c>
      <c r="S160" s="203">
        <v>1</v>
      </c>
      <c r="T160" s="203">
        <v>1</v>
      </c>
      <c r="U160" s="21">
        <f>SUM(P160:T160)</f>
        <v>2</v>
      </c>
    </row>
    <row r="161" spans="1:21" x14ac:dyDescent="0.2">
      <c r="A161" s="371">
        <v>1990</v>
      </c>
      <c r="B161" s="21">
        <f>94+41</f>
        <v>135</v>
      </c>
      <c r="C161" s="21">
        <v>166</v>
      </c>
      <c r="D161" s="21" t="s">
        <v>29</v>
      </c>
      <c r="E161" s="21">
        <v>623</v>
      </c>
      <c r="F161" s="21">
        <f>1096+75</f>
        <v>1171</v>
      </c>
      <c r="G161" s="21">
        <f t="shared" si="18"/>
        <v>2095</v>
      </c>
      <c r="H161" s="71"/>
      <c r="I161" s="70" t="s">
        <v>29</v>
      </c>
      <c r="J161" s="70" t="s">
        <v>29</v>
      </c>
      <c r="K161" s="70" t="s">
        <v>29</v>
      </c>
      <c r="L161" s="72">
        <v>7163</v>
      </c>
      <c r="M161" s="72">
        <f>14639+774</f>
        <v>15413</v>
      </c>
      <c r="N161" s="21">
        <f>SUM(I161:M161)</f>
        <v>22576</v>
      </c>
      <c r="O161" s="72"/>
      <c r="P161" s="203"/>
      <c r="Q161" s="203"/>
      <c r="R161" s="203"/>
      <c r="S161" s="203"/>
      <c r="T161" s="203"/>
      <c r="U161" s="203"/>
    </row>
    <row r="162" spans="1:21" x14ac:dyDescent="0.2">
      <c r="A162" s="371">
        <v>1991</v>
      </c>
      <c r="B162" s="21">
        <v>848</v>
      </c>
      <c r="C162" s="21">
        <v>66</v>
      </c>
      <c r="D162" s="21" t="s">
        <v>29</v>
      </c>
      <c r="E162" s="21">
        <v>447</v>
      </c>
      <c r="F162" s="70">
        <v>11</v>
      </c>
      <c r="G162" s="21">
        <f t="shared" si="18"/>
        <v>1372</v>
      </c>
      <c r="H162" s="39"/>
      <c r="I162" s="21" t="s">
        <v>29</v>
      </c>
      <c r="J162" s="21" t="s">
        <v>29</v>
      </c>
      <c r="K162" s="21" t="s">
        <v>29</v>
      </c>
      <c r="L162" s="200">
        <v>14595</v>
      </c>
      <c r="M162" s="198">
        <v>1653</v>
      </c>
      <c r="N162" s="21">
        <f>SUM(I162:M162)</f>
        <v>16248</v>
      </c>
      <c r="P162" s="200">
        <v>0</v>
      </c>
      <c r="Q162" s="200">
        <v>0</v>
      </c>
      <c r="R162" s="70" t="s">
        <v>29</v>
      </c>
      <c r="S162" s="200">
        <v>59</v>
      </c>
      <c r="T162" s="70">
        <v>0</v>
      </c>
      <c r="U162" s="21">
        <f>SUM(P162:T162)</f>
        <v>59</v>
      </c>
    </row>
    <row r="163" spans="1:21" x14ac:dyDescent="0.2">
      <c r="A163" s="371">
        <v>1992</v>
      </c>
      <c r="B163" s="21">
        <v>2584</v>
      </c>
      <c r="C163" s="21">
        <v>38</v>
      </c>
      <c r="D163" s="21">
        <v>93</v>
      </c>
      <c r="E163" s="21">
        <v>15</v>
      </c>
      <c r="F163" s="21" t="s">
        <v>29</v>
      </c>
      <c r="G163" s="21">
        <f t="shared" si="18"/>
        <v>2730</v>
      </c>
      <c r="I163" s="21" t="s">
        <v>29</v>
      </c>
      <c r="J163" s="21" t="s">
        <v>29</v>
      </c>
      <c r="K163" s="200">
        <v>783</v>
      </c>
      <c r="L163" s="200">
        <v>301</v>
      </c>
      <c r="M163" s="21" t="s">
        <v>29</v>
      </c>
      <c r="N163" s="21">
        <f>SUM(I163:M163)</f>
        <v>1084</v>
      </c>
    </row>
    <row r="164" spans="1:21" x14ac:dyDescent="0.2">
      <c r="A164" s="371">
        <v>1993</v>
      </c>
      <c r="B164" s="21">
        <v>8</v>
      </c>
      <c r="C164" s="21">
        <v>3</v>
      </c>
      <c r="D164" s="21">
        <v>20</v>
      </c>
      <c r="E164" s="21">
        <v>7</v>
      </c>
      <c r="F164" s="21">
        <v>18</v>
      </c>
      <c r="G164" s="21">
        <f t="shared" si="18"/>
        <v>56</v>
      </c>
      <c r="I164" s="21" t="s">
        <v>29</v>
      </c>
      <c r="J164" s="21" t="s">
        <v>29</v>
      </c>
      <c r="K164" s="200">
        <v>170</v>
      </c>
      <c r="L164" s="200">
        <v>161</v>
      </c>
      <c r="M164" s="200">
        <v>207</v>
      </c>
      <c r="N164" s="21">
        <f>SUM(I164:M164)</f>
        <v>538</v>
      </c>
      <c r="P164" s="200">
        <v>0</v>
      </c>
      <c r="Q164" s="200">
        <v>0</v>
      </c>
      <c r="R164" s="200">
        <v>0</v>
      </c>
      <c r="S164" s="200">
        <v>0</v>
      </c>
      <c r="T164" s="200">
        <v>0</v>
      </c>
      <c r="U164" s="21">
        <f>SUM(P164:T164)</f>
        <v>0</v>
      </c>
    </row>
    <row r="165" spans="1:21" x14ac:dyDescent="0.2">
      <c r="A165" s="371">
        <v>1994</v>
      </c>
      <c r="B165" s="21" t="s">
        <v>29</v>
      </c>
      <c r="C165" s="21" t="s">
        <v>29</v>
      </c>
      <c r="D165" s="21" t="s">
        <v>29</v>
      </c>
      <c r="E165" s="21" t="s">
        <v>29</v>
      </c>
      <c r="F165" s="21" t="s">
        <v>29</v>
      </c>
      <c r="G165" s="21" t="s">
        <v>29</v>
      </c>
      <c r="I165" s="21" t="s">
        <v>29</v>
      </c>
      <c r="J165" s="21" t="s">
        <v>29</v>
      </c>
      <c r="K165" s="21" t="s">
        <v>29</v>
      </c>
      <c r="L165" s="21" t="s">
        <v>29</v>
      </c>
      <c r="M165" s="21" t="s">
        <v>29</v>
      </c>
      <c r="N165" s="21" t="s">
        <v>29</v>
      </c>
    </row>
    <row r="166" spans="1:21" x14ac:dyDescent="0.2">
      <c r="A166" s="371">
        <v>1995</v>
      </c>
      <c r="B166" s="21" t="s">
        <v>29</v>
      </c>
      <c r="C166" s="21" t="s">
        <v>29</v>
      </c>
      <c r="D166" s="21" t="s">
        <v>29</v>
      </c>
      <c r="E166" s="21" t="s">
        <v>29</v>
      </c>
      <c r="F166" s="21" t="s">
        <v>29</v>
      </c>
      <c r="G166" s="21" t="s">
        <v>29</v>
      </c>
      <c r="I166" s="21" t="s">
        <v>29</v>
      </c>
      <c r="J166" s="21" t="s">
        <v>29</v>
      </c>
      <c r="K166" s="21" t="s">
        <v>29</v>
      </c>
      <c r="L166" s="21" t="s">
        <v>29</v>
      </c>
      <c r="M166" s="21" t="s">
        <v>29</v>
      </c>
      <c r="N166" s="21" t="s">
        <v>29</v>
      </c>
      <c r="P166" s="70" t="s">
        <v>29</v>
      </c>
      <c r="Q166" s="70" t="s">
        <v>29</v>
      </c>
      <c r="R166" s="70" t="s">
        <v>29</v>
      </c>
      <c r="S166" s="70" t="s">
        <v>29</v>
      </c>
      <c r="T166" s="70" t="s">
        <v>29</v>
      </c>
      <c r="U166" s="70" t="s">
        <v>29</v>
      </c>
    </row>
    <row r="167" spans="1:21" x14ac:dyDescent="0.2">
      <c r="A167" s="371">
        <v>1996</v>
      </c>
      <c r="B167" s="21" t="s">
        <v>29</v>
      </c>
      <c r="C167" s="21" t="s">
        <v>29</v>
      </c>
      <c r="D167" s="21" t="s">
        <v>29</v>
      </c>
      <c r="E167" s="21" t="s">
        <v>29</v>
      </c>
      <c r="F167" s="21" t="s">
        <v>29</v>
      </c>
      <c r="G167" s="21" t="s">
        <v>29</v>
      </c>
      <c r="I167" s="21" t="s">
        <v>29</v>
      </c>
      <c r="J167" s="21" t="s">
        <v>29</v>
      </c>
      <c r="K167" s="21" t="s">
        <v>29</v>
      </c>
      <c r="L167" s="21" t="s">
        <v>29</v>
      </c>
      <c r="M167" s="21" t="s">
        <v>29</v>
      </c>
      <c r="N167" s="21" t="s">
        <v>29</v>
      </c>
    </row>
    <row r="168" spans="1:21" x14ac:dyDescent="0.2">
      <c r="A168" s="371">
        <v>1997</v>
      </c>
      <c r="B168" s="21">
        <v>0</v>
      </c>
      <c r="C168" s="21">
        <v>0</v>
      </c>
      <c r="D168" s="21" t="s">
        <v>29</v>
      </c>
      <c r="E168" s="21" t="s">
        <v>29</v>
      </c>
      <c r="F168" s="21" t="s">
        <v>29</v>
      </c>
      <c r="G168" s="21">
        <f>SUM(B168:F168)</f>
        <v>0</v>
      </c>
      <c r="I168" s="21" t="s">
        <v>29</v>
      </c>
      <c r="J168" s="21" t="s">
        <v>29</v>
      </c>
      <c r="K168" s="21" t="s">
        <v>29</v>
      </c>
      <c r="L168" s="21" t="s">
        <v>29</v>
      </c>
      <c r="M168" s="21" t="s">
        <v>29</v>
      </c>
      <c r="N168" s="21" t="s">
        <v>29</v>
      </c>
      <c r="P168" s="200">
        <v>0</v>
      </c>
      <c r="Q168" s="200">
        <v>0</v>
      </c>
      <c r="R168" s="70" t="s">
        <v>29</v>
      </c>
      <c r="S168" s="70" t="s">
        <v>29</v>
      </c>
      <c r="T168" s="70" t="s">
        <v>29</v>
      </c>
      <c r="U168" s="21">
        <f>SUM(P168:T168)</f>
        <v>0</v>
      </c>
    </row>
    <row r="169" spans="1:21" x14ac:dyDescent="0.2">
      <c r="A169" s="371">
        <v>1998</v>
      </c>
      <c r="B169" s="21">
        <v>0</v>
      </c>
      <c r="C169" s="21">
        <v>0</v>
      </c>
      <c r="D169" s="21" t="s">
        <v>29</v>
      </c>
      <c r="E169" s="21" t="s">
        <v>29</v>
      </c>
      <c r="F169" s="21" t="s">
        <v>29</v>
      </c>
      <c r="G169" s="21" t="s">
        <v>29</v>
      </c>
      <c r="I169" s="21" t="s">
        <v>29</v>
      </c>
      <c r="J169" s="21" t="s">
        <v>29</v>
      </c>
      <c r="K169" s="21" t="s">
        <v>29</v>
      </c>
      <c r="L169" s="21" t="s">
        <v>29</v>
      </c>
      <c r="M169" s="21" t="s">
        <v>29</v>
      </c>
      <c r="N169" s="21" t="s">
        <v>29</v>
      </c>
    </row>
    <row r="170" spans="1:21" x14ac:dyDescent="0.2">
      <c r="A170" s="371">
        <v>1999</v>
      </c>
      <c r="B170" s="21">
        <v>0</v>
      </c>
      <c r="C170" s="21">
        <v>0</v>
      </c>
      <c r="D170" s="21" t="s">
        <v>29</v>
      </c>
      <c r="E170" s="21" t="s">
        <v>29</v>
      </c>
      <c r="F170" s="21" t="s">
        <v>29</v>
      </c>
      <c r="G170" s="21">
        <f t="shared" ref="G170:G191" si="20">SUM(B170:F170)</f>
        <v>0</v>
      </c>
      <c r="I170" s="21" t="s">
        <v>29</v>
      </c>
      <c r="J170" s="21" t="s">
        <v>29</v>
      </c>
      <c r="K170" s="21" t="s">
        <v>29</v>
      </c>
      <c r="L170" s="198">
        <v>27</v>
      </c>
      <c r="M170" s="21" t="s">
        <v>29</v>
      </c>
      <c r="N170" s="21">
        <f t="shared" ref="N170:N191" si="21">SUM(I170:M170)</f>
        <v>27</v>
      </c>
      <c r="P170" s="200">
        <v>0</v>
      </c>
      <c r="Q170" s="200">
        <v>0</v>
      </c>
      <c r="R170" s="21" t="s">
        <v>29</v>
      </c>
      <c r="S170" s="21" t="s">
        <v>29</v>
      </c>
      <c r="T170" s="21" t="s">
        <v>29</v>
      </c>
      <c r="U170" s="21">
        <v>0</v>
      </c>
    </row>
    <row r="171" spans="1:21" x14ac:dyDescent="0.2">
      <c r="A171" s="371">
        <v>2000</v>
      </c>
      <c r="B171" s="21">
        <v>0</v>
      </c>
      <c r="C171" s="21">
        <v>0</v>
      </c>
      <c r="D171" s="21" t="s">
        <v>29</v>
      </c>
      <c r="E171" s="21">
        <v>513</v>
      </c>
      <c r="F171" s="21">
        <v>40</v>
      </c>
      <c r="G171" s="21">
        <f t="shared" si="20"/>
        <v>553</v>
      </c>
      <c r="I171" s="21" t="s">
        <v>29</v>
      </c>
      <c r="J171" s="21" t="s">
        <v>29</v>
      </c>
      <c r="K171" s="21" t="s">
        <v>29</v>
      </c>
      <c r="L171" s="200">
        <v>2414</v>
      </c>
      <c r="M171" s="200">
        <v>385</v>
      </c>
      <c r="N171" s="21">
        <f t="shared" si="21"/>
        <v>2799</v>
      </c>
    </row>
    <row r="172" spans="1:21" x14ac:dyDescent="0.2">
      <c r="A172" s="371">
        <v>2001</v>
      </c>
      <c r="B172" s="21">
        <v>518</v>
      </c>
      <c r="C172" s="21">
        <v>9</v>
      </c>
      <c r="D172" s="21">
        <v>111</v>
      </c>
      <c r="E172" s="21">
        <v>148</v>
      </c>
      <c r="F172" s="21">
        <v>158</v>
      </c>
      <c r="G172" s="21">
        <f t="shared" si="20"/>
        <v>944</v>
      </c>
      <c r="I172" s="21" t="s">
        <v>29</v>
      </c>
      <c r="J172" s="21" t="s">
        <v>29</v>
      </c>
      <c r="K172" s="200">
        <v>351</v>
      </c>
      <c r="L172" s="200">
        <v>594</v>
      </c>
      <c r="M172" s="200">
        <v>513</v>
      </c>
      <c r="N172" s="21">
        <f t="shared" si="21"/>
        <v>1458</v>
      </c>
      <c r="P172" s="200">
        <v>0</v>
      </c>
      <c r="Q172" s="200">
        <v>0</v>
      </c>
      <c r="R172" s="200">
        <v>0</v>
      </c>
      <c r="S172" s="200">
        <v>2</v>
      </c>
      <c r="T172" s="200">
        <v>0</v>
      </c>
      <c r="U172" s="21">
        <f>SUM(P172:T172)</f>
        <v>2</v>
      </c>
    </row>
    <row r="173" spans="1:21" x14ac:dyDescent="0.2">
      <c r="A173" s="371">
        <v>2002</v>
      </c>
      <c r="B173" s="21">
        <v>371</v>
      </c>
      <c r="C173" s="21">
        <v>48</v>
      </c>
      <c r="D173" s="21">
        <v>855</v>
      </c>
      <c r="E173" s="21">
        <v>482</v>
      </c>
      <c r="F173" s="21" t="s">
        <v>29</v>
      </c>
      <c r="G173" s="21">
        <f t="shared" si="20"/>
        <v>1756</v>
      </c>
      <c r="I173" s="21" t="s">
        <v>29</v>
      </c>
      <c r="J173" s="21" t="s">
        <v>29</v>
      </c>
      <c r="K173" s="21" t="s">
        <v>29</v>
      </c>
      <c r="L173" s="200">
        <v>127</v>
      </c>
      <c r="M173" s="21" t="s">
        <v>29</v>
      </c>
      <c r="N173" s="21">
        <f t="shared" si="21"/>
        <v>127</v>
      </c>
    </row>
    <row r="174" spans="1:21" x14ac:dyDescent="0.2">
      <c r="A174" s="371">
        <v>2003</v>
      </c>
      <c r="B174" s="21">
        <v>790</v>
      </c>
      <c r="C174" s="21">
        <v>110</v>
      </c>
      <c r="D174" s="21">
        <v>486</v>
      </c>
      <c r="E174" s="21">
        <v>383</v>
      </c>
      <c r="F174" s="21">
        <v>151</v>
      </c>
      <c r="G174" s="21">
        <f t="shared" si="20"/>
        <v>1920</v>
      </c>
      <c r="I174" s="21" t="s">
        <v>29</v>
      </c>
      <c r="J174" s="21" t="s">
        <v>29</v>
      </c>
      <c r="K174" s="200">
        <v>417</v>
      </c>
      <c r="L174" s="200">
        <v>512</v>
      </c>
      <c r="M174" s="200">
        <v>361</v>
      </c>
      <c r="N174" s="21">
        <f t="shared" si="21"/>
        <v>1290</v>
      </c>
      <c r="P174" s="200">
        <v>0</v>
      </c>
      <c r="Q174" s="200">
        <v>0</v>
      </c>
      <c r="R174" s="200">
        <v>34</v>
      </c>
      <c r="S174" s="200">
        <v>2</v>
      </c>
      <c r="T174" s="200">
        <v>0</v>
      </c>
      <c r="U174" s="21">
        <f>SUM(P174:T174)</f>
        <v>36</v>
      </c>
    </row>
    <row r="175" spans="1:21" x14ac:dyDescent="0.2">
      <c r="A175" s="371">
        <v>2004</v>
      </c>
      <c r="B175" s="21">
        <v>56</v>
      </c>
      <c r="C175" s="21">
        <v>77</v>
      </c>
      <c r="D175" s="21">
        <v>72</v>
      </c>
      <c r="E175" s="21">
        <v>99</v>
      </c>
      <c r="F175" s="21">
        <v>54</v>
      </c>
      <c r="G175" s="21">
        <f t="shared" si="20"/>
        <v>358</v>
      </c>
      <c r="I175" s="21" t="s">
        <v>29</v>
      </c>
      <c r="J175" s="21" t="s">
        <v>29</v>
      </c>
      <c r="K175" s="200">
        <v>188</v>
      </c>
      <c r="L175" s="200">
        <v>309</v>
      </c>
      <c r="M175" s="200">
        <v>633</v>
      </c>
      <c r="N175" s="21">
        <f t="shared" si="21"/>
        <v>1130</v>
      </c>
    </row>
    <row r="176" spans="1:21" x14ac:dyDescent="0.2">
      <c r="A176" s="348">
        <v>2005</v>
      </c>
      <c r="B176" s="21">
        <f>19+235</f>
        <v>254</v>
      </c>
      <c r="C176" s="21">
        <v>308</v>
      </c>
      <c r="D176" s="21">
        <v>262</v>
      </c>
      <c r="E176" s="21">
        <v>662</v>
      </c>
      <c r="F176" s="21" t="s">
        <v>29</v>
      </c>
      <c r="G176" s="21">
        <f t="shared" si="20"/>
        <v>1486</v>
      </c>
      <c r="H176" s="69"/>
      <c r="I176" s="70" t="s">
        <v>29</v>
      </c>
      <c r="J176" s="70" t="s">
        <v>29</v>
      </c>
      <c r="K176" s="21">
        <v>154</v>
      </c>
      <c r="L176" s="21">
        <v>484</v>
      </c>
      <c r="M176" s="70" t="s">
        <v>29</v>
      </c>
      <c r="N176" s="21">
        <f t="shared" si="21"/>
        <v>638</v>
      </c>
      <c r="O176" s="21"/>
      <c r="P176" s="21">
        <v>0</v>
      </c>
      <c r="Q176" s="21">
        <v>0</v>
      </c>
      <c r="R176" s="21">
        <v>0</v>
      </c>
      <c r="S176" s="21">
        <v>0</v>
      </c>
      <c r="T176" s="21" t="s">
        <v>29</v>
      </c>
      <c r="U176" s="21">
        <f>SUM(P176:T176)</f>
        <v>0</v>
      </c>
    </row>
    <row r="177" spans="1:21" x14ac:dyDescent="0.2">
      <c r="A177" s="348">
        <v>2006</v>
      </c>
      <c r="B177" s="21">
        <v>1746</v>
      </c>
      <c r="C177" s="21">
        <v>364</v>
      </c>
      <c r="D177" s="21">
        <v>0</v>
      </c>
      <c r="E177" s="21">
        <v>1</v>
      </c>
      <c r="F177" s="21">
        <v>13</v>
      </c>
      <c r="G177" s="21">
        <f t="shared" si="20"/>
        <v>2124</v>
      </c>
      <c r="H177" s="69"/>
      <c r="I177" s="70" t="s">
        <v>29</v>
      </c>
      <c r="J177" s="70" t="s">
        <v>29</v>
      </c>
      <c r="K177" s="21">
        <v>7</v>
      </c>
      <c r="L177" s="21">
        <v>29</v>
      </c>
      <c r="M177" s="70">
        <v>38</v>
      </c>
      <c r="N177" s="21">
        <f t="shared" si="21"/>
        <v>74</v>
      </c>
      <c r="O177" s="21"/>
      <c r="P177" s="21"/>
      <c r="Q177" s="21"/>
      <c r="R177" s="21"/>
      <c r="S177" s="21"/>
      <c r="T177" s="21"/>
      <c r="U177" s="21"/>
    </row>
    <row r="178" spans="1:21" s="359" customFormat="1" x14ac:dyDescent="0.2">
      <c r="A178" s="348">
        <v>2007</v>
      </c>
      <c r="B178" s="72">
        <v>173</v>
      </c>
      <c r="C178" s="72">
        <v>226</v>
      </c>
      <c r="D178" s="72">
        <v>43</v>
      </c>
      <c r="E178" s="72">
        <v>50</v>
      </c>
      <c r="F178" s="72">
        <v>8</v>
      </c>
      <c r="G178" s="72">
        <f t="shared" si="20"/>
        <v>500</v>
      </c>
      <c r="H178" s="71"/>
      <c r="I178" s="97" t="s">
        <v>29</v>
      </c>
      <c r="J178" s="97" t="s">
        <v>29</v>
      </c>
      <c r="K178" s="72">
        <v>338</v>
      </c>
      <c r="L178" s="72">
        <v>2401</v>
      </c>
      <c r="M178" s="97">
        <v>126</v>
      </c>
      <c r="N178" s="72">
        <f t="shared" si="21"/>
        <v>2865</v>
      </c>
      <c r="O178" s="72"/>
      <c r="P178" s="72">
        <v>0</v>
      </c>
      <c r="Q178" s="72">
        <v>0</v>
      </c>
      <c r="R178" s="72">
        <v>0</v>
      </c>
      <c r="S178" s="72">
        <v>0</v>
      </c>
      <c r="T178" s="72">
        <v>0</v>
      </c>
      <c r="U178" s="72">
        <f>SUM(P178:T178)</f>
        <v>0</v>
      </c>
    </row>
    <row r="179" spans="1:21" s="359" customFormat="1" x14ac:dyDescent="0.2">
      <c r="A179" s="157">
        <v>2008</v>
      </c>
      <c r="B179" s="72">
        <v>361</v>
      </c>
      <c r="C179" s="72">
        <v>847</v>
      </c>
      <c r="D179" s="72">
        <v>7</v>
      </c>
      <c r="E179" s="72">
        <v>24</v>
      </c>
      <c r="F179" s="72">
        <v>3</v>
      </c>
      <c r="G179" s="72">
        <f t="shared" si="20"/>
        <v>1242</v>
      </c>
      <c r="H179" s="71"/>
      <c r="I179" s="97" t="s">
        <v>29</v>
      </c>
      <c r="J179" s="97" t="s">
        <v>29</v>
      </c>
      <c r="K179" s="72">
        <v>4</v>
      </c>
      <c r="L179" s="72">
        <v>65</v>
      </c>
      <c r="M179" s="97">
        <v>8</v>
      </c>
      <c r="N179" s="72">
        <f t="shared" si="21"/>
        <v>77</v>
      </c>
      <c r="O179" s="72"/>
      <c r="P179" s="72"/>
      <c r="Q179" s="72"/>
      <c r="R179" s="72"/>
      <c r="S179" s="72"/>
      <c r="T179" s="72"/>
      <c r="U179" s="72"/>
    </row>
    <row r="180" spans="1:21" s="359" customFormat="1" x14ac:dyDescent="0.2">
      <c r="A180" s="157">
        <v>2009</v>
      </c>
      <c r="B180" s="72">
        <v>146</v>
      </c>
      <c r="C180" s="72">
        <v>49</v>
      </c>
      <c r="D180" s="72">
        <v>20</v>
      </c>
      <c r="E180" s="72">
        <v>46</v>
      </c>
      <c r="F180" s="72"/>
      <c r="G180" s="72">
        <f t="shared" si="20"/>
        <v>261</v>
      </c>
      <c r="H180" s="71"/>
      <c r="I180" s="97" t="s">
        <v>29</v>
      </c>
      <c r="J180" s="97" t="s">
        <v>29</v>
      </c>
      <c r="K180" s="72">
        <v>587</v>
      </c>
      <c r="L180" s="72">
        <v>1667</v>
      </c>
      <c r="M180" s="97">
        <v>0</v>
      </c>
      <c r="N180" s="72">
        <f t="shared" si="21"/>
        <v>2254</v>
      </c>
      <c r="O180" s="72"/>
      <c r="P180" s="72">
        <v>0</v>
      </c>
      <c r="Q180" s="72">
        <v>0</v>
      </c>
      <c r="R180" s="72">
        <v>0</v>
      </c>
      <c r="S180" s="72">
        <v>0</v>
      </c>
      <c r="T180" s="72">
        <v>0</v>
      </c>
      <c r="U180" s="72">
        <f>SUM(P180:T180)</f>
        <v>0</v>
      </c>
    </row>
    <row r="181" spans="1:21" s="359" customFormat="1" x14ac:dyDescent="0.2">
      <c r="A181" s="157">
        <v>2010</v>
      </c>
      <c r="B181" s="72">
        <v>210</v>
      </c>
      <c r="C181" s="72">
        <v>230</v>
      </c>
      <c r="D181" s="72">
        <v>168</v>
      </c>
      <c r="E181" s="72">
        <v>237</v>
      </c>
      <c r="F181" s="72">
        <v>41</v>
      </c>
      <c r="G181" s="72">
        <f t="shared" si="20"/>
        <v>886</v>
      </c>
      <c r="H181" s="71"/>
      <c r="I181" s="97" t="s">
        <v>29</v>
      </c>
      <c r="J181" s="97" t="s">
        <v>29</v>
      </c>
      <c r="K181" s="72">
        <v>99</v>
      </c>
      <c r="L181" s="72">
        <v>38</v>
      </c>
      <c r="M181" s="97">
        <v>14</v>
      </c>
      <c r="N181" s="72">
        <f t="shared" si="21"/>
        <v>151</v>
      </c>
      <c r="O181" s="72"/>
      <c r="P181" s="72"/>
      <c r="Q181" s="72"/>
      <c r="R181" s="72"/>
      <c r="S181" s="72"/>
      <c r="T181" s="72"/>
      <c r="U181" s="72"/>
    </row>
    <row r="182" spans="1:21" s="359" customFormat="1" x14ac:dyDescent="0.2">
      <c r="A182" s="157">
        <v>2011</v>
      </c>
      <c r="B182" s="72">
        <v>472</v>
      </c>
      <c r="C182" s="72">
        <v>543</v>
      </c>
      <c r="D182" s="72">
        <v>1</v>
      </c>
      <c r="E182" s="72">
        <v>12</v>
      </c>
      <c r="F182" s="72">
        <v>4</v>
      </c>
      <c r="G182" s="72">
        <f t="shared" si="20"/>
        <v>1032</v>
      </c>
      <c r="H182" s="71"/>
      <c r="I182" s="97" t="s">
        <v>29</v>
      </c>
      <c r="J182" s="97" t="s">
        <v>29</v>
      </c>
      <c r="K182" s="72">
        <v>1</v>
      </c>
      <c r="L182" s="72">
        <v>25</v>
      </c>
      <c r="M182" s="97">
        <v>12</v>
      </c>
      <c r="N182" s="72">
        <f t="shared" si="21"/>
        <v>38</v>
      </c>
      <c r="O182" s="72"/>
      <c r="P182" s="72">
        <v>0</v>
      </c>
      <c r="Q182" s="72">
        <v>0</v>
      </c>
      <c r="R182" s="72">
        <v>0</v>
      </c>
      <c r="S182" s="72">
        <v>0</v>
      </c>
      <c r="T182" s="72">
        <v>0</v>
      </c>
      <c r="U182" s="72">
        <f>SUM(P182:T182)</f>
        <v>0</v>
      </c>
    </row>
    <row r="183" spans="1:21" s="359" customFormat="1" x14ac:dyDescent="0.2">
      <c r="A183" s="157">
        <v>2012</v>
      </c>
      <c r="B183" s="72">
        <v>263</v>
      </c>
      <c r="C183" s="72">
        <v>1687</v>
      </c>
      <c r="D183" s="72">
        <v>66</v>
      </c>
      <c r="E183" s="72">
        <v>0</v>
      </c>
      <c r="F183" s="72">
        <v>234</v>
      </c>
      <c r="G183" s="72">
        <f t="shared" si="20"/>
        <v>2250</v>
      </c>
      <c r="H183" s="71"/>
      <c r="I183" s="97" t="s">
        <v>29</v>
      </c>
      <c r="J183" s="97" t="s">
        <v>29</v>
      </c>
      <c r="K183" s="72">
        <v>23</v>
      </c>
      <c r="L183" s="72">
        <v>2</v>
      </c>
      <c r="M183" s="97">
        <v>64</v>
      </c>
      <c r="N183" s="72">
        <f t="shared" si="21"/>
        <v>89</v>
      </c>
      <c r="O183" s="72"/>
      <c r="P183" s="72"/>
      <c r="Q183" s="72"/>
      <c r="R183" s="72"/>
      <c r="S183" s="72"/>
      <c r="T183" s="72"/>
      <c r="U183" s="72"/>
    </row>
    <row r="184" spans="1:21" s="359" customFormat="1" x14ac:dyDescent="0.2">
      <c r="A184" s="157">
        <v>2013</v>
      </c>
      <c r="B184" s="72">
        <v>102</v>
      </c>
      <c r="C184" s="72">
        <v>358</v>
      </c>
      <c r="D184" s="72">
        <v>42</v>
      </c>
      <c r="E184" s="72">
        <v>19</v>
      </c>
      <c r="F184" s="72">
        <v>39</v>
      </c>
      <c r="G184" s="72">
        <f t="shared" si="20"/>
        <v>560</v>
      </c>
      <c r="H184" s="71"/>
      <c r="I184" s="97" t="s">
        <v>29</v>
      </c>
      <c r="J184" s="97" t="s">
        <v>29</v>
      </c>
      <c r="K184" s="72">
        <v>28</v>
      </c>
      <c r="L184" s="72">
        <v>80</v>
      </c>
      <c r="M184" s="97">
        <v>19</v>
      </c>
      <c r="N184" s="72">
        <f t="shared" si="21"/>
        <v>127</v>
      </c>
      <c r="O184" s="72"/>
      <c r="P184" s="72">
        <v>0</v>
      </c>
      <c r="Q184" s="72">
        <v>0</v>
      </c>
      <c r="R184" s="72">
        <v>0</v>
      </c>
      <c r="S184" s="72">
        <v>0</v>
      </c>
      <c r="T184" s="72">
        <v>0</v>
      </c>
      <c r="U184" s="72">
        <f>SUM(P184:T184)</f>
        <v>0</v>
      </c>
    </row>
    <row r="185" spans="1:21" s="359" customFormat="1" x14ac:dyDescent="0.2">
      <c r="A185" s="157">
        <v>2014</v>
      </c>
      <c r="B185" s="72">
        <v>7438</v>
      </c>
      <c r="C185" s="72">
        <v>553</v>
      </c>
      <c r="D185" s="72">
        <v>598</v>
      </c>
      <c r="E185" s="72">
        <v>297</v>
      </c>
      <c r="F185" s="72">
        <v>94</v>
      </c>
      <c r="G185" s="72">
        <f t="shared" si="20"/>
        <v>8980</v>
      </c>
      <c r="H185" s="71"/>
      <c r="I185" s="97" t="s">
        <v>29</v>
      </c>
      <c r="J185" s="97" t="s">
        <v>29</v>
      </c>
      <c r="K185" s="72">
        <v>534</v>
      </c>
      <c r="L185" s="72">
        <v>822</v>
      </c>
      <c r="M185" s="97">
        <v>883</v>
      </c>
      <c r="N185" s="72">
        <f t="shared" si="21"/>
        <v>2239</v>
      </c>
      <c r="O185" s="72"/>
      <c r="P185" s="203"/>
      <c r="Q185" s="203"/>
      <c r="R185" s="203"/>
      <c r="S185" s="203"/>
      <c r="T185" s="203"/>
      <c r="U185" s="72"/>
    </row>
    <row r="186" spans="1:21" s="359" customFormat="1" x14ac:dyDescent="0.2">
      <c r="A186" s="157">
        <v>2015</v>
      </c>
      <c r="B186" s="72">
        <v>2681</v>
      </c>
      <c r="C186" s="72">
        <v>650</v>
      </c>
      <c r="D186" s="72">
        <v>96</v>
      </c>
      <c r="E186" s="72">
        <v>337</v>
      </c>
      <c r="F186" s="72">
        <v>261</v>
      </c>
      <c r="G186" s="72">
        <f t="shared" si="20"/>
        <v>4025</v>
      </c>
      <c r="H186" s="71"/>
      <c r="I186" s="97" t="s">
        <v>29</v>
      </c>
      <c r="J186" s="97" t="s">
        <v>29</v>
      </c>
      <c r="K186" s="72">
        <v>41</v>
      </c>
      <c r="L186" s="72">
        <v>171</v>
      </c>
      <c r="M186" s="97">
        <v>478</v>
      </c>
      <c r="N186" s="72">
        <f t="shared" si="21"/>
        <v>690</v>
      </c>
      <c r="O186" s="72"/>
      <c r="P186" s="72">
        <v>0</v>
      </c>
      <c r="Q186" s="72">
        <v>0</v>
      </c>
      <c r="R186" s="72">
        <v>0</v>
      </c>
      <c r="S186" s="72">
        <v>0</v>
      </c>
      <c r="T186" s="72">
        <v>0</v>
      </c>
      <c r="U186" s="72">
        <f>SUM(P186:T186)</f>
        <v>0</v>
      </c>
    </row>
    <row r="187" spans="1:21" s="359" customFormat="1" x14ac:dyDescent="0.2">
      <c r="A187" s="157">
        <v>2016</v>
      </c>
      <c r="B187" s="72">
        <v>656</v>
      </c>
      <c r="C187" s="72">
        <v>346</v>
      </c>
      <c r="D187" s="72">
        <v>259</v>
      </c>
      <c r="E187" s="72">
        <v>398</v>
      </c>
      <c r="F187" s="72" t="s">
        <v>29</v>
      </c>
      <c r="G187" s="72">
        <f>SUM(B187:F187)</f>
        <v>1659</v>
      </c>
      <c r="H187" s="71"/>
      <c r="I187" s="97" t="s">
        <v>29</v>
      </c>
      <c r="J187" s="97" t="s">
        <v>29</v>
      </c>
      <c r="K187" s="97" t="s">
        <v>29</v>
      </c>
      <c r="L187" s="97" t="s">
        <v>29</v>
      </c>
      <c r="M187" s="97" t="s">
        <v>29</v>
      </c>
      <c r="N187" s="97" t="s">
        <v>29</v>
      </c>
      <c r="O187" s="72"/>
      <c r="P187" s="72"/>
      <c r="Q187" s="72"/>
      <c r="R187" s="72"/>
      <c r="S187" s="72"/>
      <c r="T187" s="72"/>
      <c r="U187" s="72"/>
    </row>
    <row r="188" spans="1:21" s="359" customFormat="1" x14ac:dyDescent="0.2">
      <c r="A188" s="157">
        <v>2017</v>
      </c>
      <c r="B188" s="72">
        <v>148</v>
      </c>
      <c r="C188" s="72">
        <v>222</v>
      </c>
      <c r="D188" s="72">
        <v>74</v>
      </c>
      <c r="E188" s="72">
        <v>21</v>
      </c>
      <c r="F188" s="72">
        <v>109</v>
      </c>
      <c r="G188" s="72">
        <f>SUM(B188:F188)</f>
        <v>574</v>
      </c>
      <c r="H188" s="71"/>
      <c r="I188" s="97" t="s">
        <v>29</v>
      </c>
      <c r="J188" s="97" t="s">
        <v>29</v>
      </c>
      <c r="K188" s="97">
        <v>14</v>
      </c>
      <c r="L188" s="97">
        <v>50</v>
      </c>
      <c r="M188" s="97">
        <v>67</v>
      </c>
      <c r="N188" s="72">
        <f>SUM(I188:M188)</f>
        <v>131</v>
      </c>
      <c r="O188" s="72"/>
      <c r="P188" s="72">
        <v>0</v>
      </c>
      <c r="Q188" s="72">
        <v>0</v>
      </c>
      <c r="R188" s="72">
        <v>0</v>
      </c>
      <c r="S188" s="72">
        <v>0</v>
      </c>
      <c r="T188" s="72">
        <v>0</v>
      </c>
      <c r="U188" s="72">
        <f>SUM(P188:T188)</f>
        <v>0</v>
      </c>
    </row>
    <row r="189" spans="1:21" s="359" customFormat="1" x14ac:dyDescent="0.2">
      <c r="A189" s="157">
        <v>2018</v>
      </c>
      <c r="B189" s="72">
        <v>20</v>
      </c>
      <c r="C189" s="72">
        <v>68</v>
      </c>
      <c r="D189" s="72">
        <v>20</v>
      </c>
      <c r="E189" s="72">
        <v>19</v>
      </c>
      <c r="F189" s="72">
        <v>4</v>
      </c>
      <c r="G189" s="72">
        <f>SUM(B189:F189)</f>
        <v>131</v>
      </c>
      <c r="H189" s="71"/>
      <c r="I189" s="97" t="s">
        <v>29</v>
      </c>
      <c r="J189" s="97" t="s">
        <v>29</v>
      </c>
      <c r="K189" s="97">
        <v>32</v>
      </c>
      <c r="L189" s="97">
        <v>1</v>
      </c>
      <c r="M189" s="97" t="s">
        <v>29</v>
      </c>
      <c r="N189" s="72">
        <f>SUM(I189:M189)</f>
        <v>33</v>
      </c>
      <c r="O189" s="72"/>
      <c r="P189" s="72"/>
      <c r="Q189" s="72"/>
      <c r="R189" s="72"/>
      <c r="S189" s="72"/>
      <c r="T189" s="72"/>
      <c r="U189" s="72"/>
    </row>
    <row r="190" spans="1:21" s="487" customFormat="1" x14ac:dyDescent="0.2">
      <c r="A190" s="157">
        <v>2019</v>
      </c>
      <c r="B190" s="72">
        <v>139</v>
      </c>
      <c r="C190" s="72">
        <v>26</v>
      </c>
      <c r="D190" s="72">
        <v>36</v>
      </c>
      <c r="E190" s="72">
        <v>28</v>
      </c>
      <c r="F190" s="72">
        <v>0</v>
      </c>
      <c r="G190" s="72">
        <f t="shared" ref="G190" si="22">SUM(B190:F190)</f>
        <v>229</v>
      </c>
      <c r="H190" s="71"/>
      <c r="I190" s="97" t="s">
        <v>29</v>
      </c>
      <c r="J190" s="97" t="s">
        <v>29</v>
      </c>
      <c r="K190" s="97">
        <v>161</v>
      </c>
      <c r="L190" s="97">
        <v>98</v>
      </c>
      <c r="M190" s="97">
        <v>0</v>
      </c>
      <c r="N190" s="72">
        <f t="shared" ref="N190" si="23">SUM(I190:M190)</f>
        <v>259</v>
      </c>
      <c r="O190" s="72"/>
      <c r="P190" s="72">
        <v>0</v>
      </c>
      <c r="Q190" s="72">
        <v>0</v>
      </c>
      <c r="R190" s="72">
        <v>0</v>
      </c>
      <c r="S190" s="72">
        <v>2</v>
      </c>
      <c r="T190" s="72">
        <v>0</v>
      </c>
      <c r="U190" s="72">
        <f>SUM(P190:T190)</f>
        <v>2</v>
      </c>
    </row>
    <row r="191" spans="1:21" x14ac:dyDescent="0.2">
      <c r="A191" s="171" t="s">
        <v>394</v>
      </c>
      <c r="B191" s="21">
        <v>147</v>
      </c>
      <c r="C191" s="21">
        <v>132</v>
      </c>
      <c r="D191" s="21">
        <v>0</v>
      </c>
      <c r="E191" s="21">
        <v>88</v>
      </c>
      <c r="F191" s="21">
        <v>11</v>
      </c>
      <c r="G191" s="21">
        <f t="shared" si="20"/>
        <v>378</v>
      </c>
      <c r="H191" s="69"/>
      <c r="I191" s="70" t="s">
        <v>29</v>
      </c>
      <c r="J191" s="70" t="s">
        <v>29</v>
      </c>
      <c r="K191" s="70">
        <v>0</v>
      </c>
      <c r="L191" s="70">
        <v>0</v>
      </c>
      <c r="M191" s="70">
        <v>15</v>
      </c>
      <c r="N191" s="72">
        <f t="shared" si="21"/>
        <v>15</v>
      </c>
      <c r="O191" s="21"/>
      <c r="P191" s="72"/>
      <c r="Q191" s="72"/>
      <c r="R191" s="72"/>
      <c r="S191" s="72"/>
      <c r="T191" s="72"/>
      <c r="U191" s="72"/>
    </row>
    <row r="192" spans="1:21" x14ac:dyDescent="0.2">
      <c r="B192" s="21"/>
      <c r="C192" s="21"/>
      <c r="D192" s="21"/>
      <c r="E192" s="21"/>
      <c r="F192" s="21"/>
      <c r="G192" s="21"/>
    </row>
    <row r="193" spans="1:21" x14ac:dyDescent="0.2">
      <c r="A193" s="120" t="s">
        <v>111</v>
      </c>
      <c r="B193" s="21"/>
      <c r="C193" s="21"/>
      <c r="D193" s="21"/>
      <c r="E193" s="21"/>
      <c r="F193" s="21"/>
      <c r="G193" s="21"/>
    </row>
    <row r="194" spans="1:21" x14ac:dyDescent="0.2">
      <c r="A194" s="371">
        <v>1976</v>
      </c>
      <c r="B194" s="72">
        <f t="shared" ref="B194:G203" si="24">IF(AND(B147="-",B100="-",B53="-",B6="-"),"-",SUM(B147,B100,B53,B6))</f>
        <v>70982</v>
      </c>
      <c r="C194" s="72">
        <f t="shared" si="24"/>
        <v>96058</v>
      </c>
      <c r="D194" s="72">
        <f t="shared" si="24"/>
        <v>86976</v>
      </c>
      <c r="E194" s="72">
        <f t="shared" si="24"/>
        <v>58019</v>
      </c>
      <c r="F194" s="72">
        <f t="shared" si="24"/>
        <v>23115</v>
      </c>
      <c r="G194" s="72">
        <f t="shared" si="24"/>
        <v>335150</v>
      </c>
      <c r="I194" s="72" t="str">
        <f t="shared" ref="I194:N203" si="25">IF(AND(I147="-",I100="-",I53="-",I6="-"),"-",SUM(I147,I100,I53,I6))</f>
        <v>-</v>
      </c>
      <c r="J194" s="72">
        <f t="shared" si="25"/>
        <v>227735</v>
      </c>
      <c r="K194" s="72">
        <f t="shared" si="25"/>
        <v>629567</v>
      </c>
      <c r="L194" s="72">
        <f t="shared" si="25"/>
        <v>321650</v>
      </c>
      <c r="M194" s="72">
        <f t="shared" si="25"/>
        <v>168279</v>
      </c>
      <c r="N194" s="72">
        <f t="shared" si="25"/>
        <v>1347231</v>
      </c>
      <c r="P194" s="72"/>
      <c r="Q194" s="72"/>
      <c r="R194" s="72"/>
      <c r="S194" s="72"/>
      <c r="T194" s="72"/>
      <c r="U194" s="72"/>
    </row>
    <row r="195" spans="1:21" x14ac:dyDescent="0.2">
      <c r="A195" s="371">
        <v>1977</v>
      </c>
      <c r="B195" s="72">
        <f t="shared" si="24"/>
        <v>62150</v>
      </c>
      <c r="C195" s="72">
        <f t="shared" si="24"/>
        <v>28949</v>
      </c>
      <c r="D195" s="72">
        <f t="shared" si="24"/>
        <v>62857</v>
      </c>
      <c r="E195" s="72">
        <f t="shared" si="24"/>
        <v>34896</v>
      </c>
      <c r="F195" s="72">
        <f t="shared" si="24"/>
        <v>28761</v>
      </c>
      <c r="G195" s="72">
        <f t="shared" si="24"/>
        <v>217613</v>
      </c>
      <c r="I195" s="72">
        <f t="shared" si="25"/>
        <v>4</v>
      </c>
      <c r="J195" s="72" t="str">
        <f t="shared" si="25"/>
        <v>-</v>
      </c>
      <c r="K195" s="72">
        <f t="shared" si="25"/>
        <v>370986</v>
      </c>
      <c r="L195" s="72">
        <f t="shared" si="25"/>
        <v>185861</v>
      </c>
      <c r="M195" s="72">
        <f t="shared" si="25"/>
        <v>98962</v>
      </c>
      <c r="N195" s="72">
        <f t="shared" si="25"/>
        <v>655813</v>
      </c>
      <c r="P195" s="72">
        <f t="shared" ref="P195:U195" si="26">IF(AND(P148="-",P101="-",P54="-",P7="-"),"-",SUM(P148,P101,P54,P7))</f>
        <v>1056</v>
      </c>
      <c r="Q195" s="72">
        <f t="shared" si="26"/>
        <v>876</v>
      </c>
      <c r="R195" s="72">
        <f t="shared" si="26"/>
        <v>100598</v>
      </c>
      <c r="S195" s="72">
        <f t="shared" si="26"/>
        <v>164043</v>
      </c>
      <c r="T195" s="72">
        <f t="shared" si="26"/>
        <v>9129</v>
      </c>
      <c r="U195" s="72">
        <f t="shared" si="26"/>
        <v>275702</v>
      </c>
    </row>
    <row r="196" spans="1:21" x14ac:dyDescent="0.2">
      <c r="A196" s="371">
        <v>1978</v>
      </c>
      <c r="B196" s="72">
        <f t="shared" si="24"/>
        <v>24666</v>
      </c>
      <c r="C196" s="72">
        <f t="shared" si="24"/>
        <v>21407</v>
      </c>
      <c r="D196" s="72">
        <f t="shared" si="24"/>
        <v>46927</v>
      </c>
      <c r="E196" s="72">
        <f t="shared" si="24"/>
        <v>26432</v>
      </c>
      <c r="F196" s="72">
        <f t="shared" si="24"/>
        <v>10095</v>
      </c>
      <c r="G196" s="72">
        <f t="shared" si="24"/>
        <v>129527</v>
      </c>
      <c r="I196" s="72" t="str">
        <f t="shared" si="25"/>
        <v>-</v>
      </c>
      <c r="J196" s="72" t="str">
        <f t="shared" si="25"/>
        <v>-</v>
      </c>
      <c r="K196" s="72">
        <f t="shared" si="25"/>
        <v>312955</v>
      </c>
      <c r="L196" s="72">
        <f t="shared" si="25"/>
        <v>112431</v>
      </c>
      <c r="M196" s="72">
        <f t="shared" si="25"/>
        <v>121268</v>
      </c>
      <c r="N196" s="72">
        <f t="shared" si="25"/>
        <v>546654</v>
      </c>
      <c r="P196" s="72"/>
      <c r="Q196" s="72"/>
      <c r="R196" s="72"/>
      <c r="S196" s="72"/>
      <c r="T196" s="72"/>
      <c r="U196" s="72"/>
    </row>
    <row r="197" spans="1:21" x14ac:dyDescent="0.2">
      <c r="A197" s="371">
        <v>1979</v>
      </c>
      <c r="B197" s="72">
        <f t="shared" si="24"/>
        <v>46436</v>
      </c>
      <c r="C197" s="72">
        <f t="shared" si="24"/>
        <v>309</v>
      </c>
      <c r="D197" s="72">
        <f t="shared" si="24"/>
        <v>36364</v>
      </c>
      <c r="E197" s="72">
        <f t="shared" si="24"/>
        <v>38679</v>
      </c>
      <c r="F197" s="72">
        <f t="shared" si="24"/>
        <v>787</v>
      </c>
      <c r="G197" s="72">
        <f t="shared" si="24"/>
        <v>122575</v>
      </c>
      <c r="I197" s="72">
        <f t="shared" si="25"/>
        <v>7</v>
      </c>
      <c r="J197" s="72" t="str">
        <f t="shared" si="25"/>
        <v>-</v>
      </c>
      <c r="K197" s="72">
        <f t="shared" si="25"/>
        <v>364591</v>
      </c>
      <c r="L197" s="72">
        <f t="shared" si="25"/>
        <v>261035</v>
      </c>
      <c r="M197" s="72">
        <f t="shared" si="25"/>
        <v>4221</v>
      </c>
      <c r="N197" s="72">
        <f t="shared" si="25"/>
        <v>629854</v>
      </c>
      <c r="P197" s="72">
        <f t="shared" ref="P197:U197" si="27">IF(AND(P150="-",P103="-",P56="-",P9="-"),"-",SUM(P150,P103,P56,P9))</f>
        <v>83</v>
      </c>
      <c r="Q197" s="72">
        <f t="shared" si="27"/>
        <v>21</v>
      </c>
      <c r="R197" s="72">
        <f t="shared" si="27"/>
        <v>92780</v>
      </c>
      <c r="S197" s="72">
        <f t="shared" si="27"/>
        <v>455963</v>
      </c>
      <c r="T197" s="72">
        <f t="shared" si="27"/>
        <v>1211</v>
      </c>
      <c r="U197" s="72">
        <f t="shared" si="27"/>
        <v>550058</v>
      </c>
    </row>
    <row r="198" spans="1:21" x14ac:dyDescent="0.2">
      <c r="A198" s="371">
        <v>1980</v>
      </c>
      <c r="B198" s="72">
        <f t="shared" si="24"/>
        <v>44522</v>
      </c>
      <c r="C198" s="72">
        <f t="shared" si="24"/>
        <v>2097</v>
      </c>
      <c r="D198" s="72">
        <f t="shared" si="24"/>
        <v>41726</v>
      </c>
      <c r="E198" s="72">
        <f t="shared" si="24"/>
        <v>23948</v>
      </c>
      <c r="F198" s="72">
        <f t="shared" si="24"/>
        <v>463</v>
      </c>
      <c r="G198" s="72">
        <f t="shared" si="24"/>
        <v>112756</v>
      </c>
      <c r="I198" s="72">
        <f t="shared" si="25"/>
        <v>97</v>
      </c>
      <c r="J198" s="72" t="str">
        <f t="shared" si="25"/>
        <v>-</v>
      </c>
      <c r="K198" s="72">
        <f t="shared" si="25"/>
        <v>199040</v>
      </c>
      <c r="L198" s="72">
        <f t="shared" si="25"/>
        <v>137998</v>
      </c>
      <c r="M198" s="72">
        <f t="shared" si="25"/>
        <v>4674</v>
      </c>
      <c r="N198" s="72">
        <f t="shared" si="25"/>
        <v>341809</v>
      </c>
      <c r="P198" s="72"/>
      <c r="Q198" s="72"/>
      <c r="R198" s="72"/>
      <c r="S198" s="72"/>
      <c r="T198" s="72"/>
      <c r="U198" s="72"/>
    </row>
    <row r="199" spans="1:21" x14ac:dyDescent="0.2">
      <c r="A199" s="371">
        <v>1981</v>
      </c>
      <c r="B199" s="72">
        <f t="shared" si="24"/>
        <v>46159</v>
      </c>
      <c r="C199" s="72">
        <f t="shared" si="24"/>
        <v>2568</v>
      </c>
      <c r="D199" s="72">
        <f t="shared" si="24"/>
        <v>24227</v>
      </c>
      <c r="E199" s="72">
        <f t="shared" si="24"/>
        <v>18606</v>
      </c>
      <c r="F199" s="72" t="str">
        <f t="shared" si="24"/>
        <v>-</v>
      </c>
      <c r="G199" s="72">
        <f t="shared" si="24"/>
        <v>91560</v>
      </c>
      <c r="I199" s="72" t="str">
        <f t="shared" si="25"/>
        <v>-</v>
      </c>
      <c r="J199" s="72" t="str">
        <f t="shared" si="25"/>
        <v>-</v>
      </c>
      <c r="K199" s="72">
        <f t="shared" si="25"/>
        <v>219072</v>
      </c>
      <c r="L199" s="72">
        <f t="shared" si="25"/>
        <v>130244</v>
      </c>
      <c r="M199" s="72" t="str">
        <f t="shared" si="25"/>
        <v>-</v>
      </c>
      <c r="N199" s="72">
        <f t="shared" si="25"/>
        <v>349316</v>
      </c>
      <c r="P199" s="72">
        <f t="shared" ref="P199:U199" si="28">IF(AND(P152="-",P105="-",P58="-",P11="-"),"-",SUM(P152,P105,P58,P11))</f>
        <v>595</v>
      </c>
      <c r="Q199" s="72">
        <f t="shared" si="28"/>
        <v>99</v>
      </c>
      <c r="R199" s="72">
        <f t="shared" si="28"/>
        <v>67688</v>
      </c>
      <c r="S199" s="72">
        <f t="shared" si="28"/>
        <v>162474</v>
      </c>
      <c r="T199" s="72" t="str">
        <f t="shared" si="28"/>
        <v>-</v>
      </c>
      <c r="U199" s="72">
        <f t="shared" si="28"/>
        <v>230856</v>
      </c>
    </row>
    <row r="200" spans="1:21" x14ac:dyDescent="0.2">
      <c r="A200" s="371">
        <v>1982</v>
      </c>
      <c r="B200" s="72">
        <f t="shared" si="24"/>
        <v>55601</v>
      </c>
      <c r="C200" s="72">
        <f t="shared" si="24"/>
        <v>8682</v>
      </c>
      <c r="D200" s="72">
        <f t="shared" si="24"/>
        <v>57392</v>
      </c>
      <c r="E200" s="72">
        <f t="shared" si="24"/>
        <v>347</v>
      </c>
      <c r="F200" s="72" t="str">
        <f t="shared" si="24"/>
        <v>-</v>
      </c>
      <c r="G200" s="72">
        <f t="shared" si="24"/>
        <v>122022</v>
      </c>
      <c r="I200" s="72" t="str">
        <f t="shared" si="25"/>
        <v>-</v>
      </c>
      <c r="J200" s="72" t="str">
        <f t="shared" si="25"/>
        <v>-</v>
      </c>
      <c r="K200" s="72">
        <f t="shared" si="25"/>
        <v>223756</v>
      </c>
      <c r="L200" s="72">
        <f t="shared" si="25"/>
        <v>13918</v>
      </c>
      <c r="M200" s="72">
        <f t="shared" si="25"/>
        <v>159</v>
      </c>
      <c r="N200" s="72">
        <f t="shared" si="25"/>
        <v>237833</v>
      </c>
      <c r="P200" s="72"/>
      <c r="Q200" s="72"/>
      <c r="R200" s="72"/>
      <c r="S200" s="72"/>
      <c r="T200" s="72"/>
      <c r="U200" s="72"/>
    </row>
    <row r="201" spans="1:21" x14ac:dyDescent="0.2">
      <c r="A201" s="371">
        <v>1983</v>
      </c>
      <c r="B201" s="72">
        <f t="shared" si="24"/>
        <v>28137</v>
      </c>
      <c r="C201" s="72">
        <f t="shared" si="24"/>
        <v>6077</v>
      </c>
      <c r="D201" s="72">
        <f t="shared" si="24"/>
        <v>13172</v>
      </c>
      <c r="E201" s="72">
        <f t="shared" si="24"/>
        <v>1211</v>
      </c>
      <c r="F201" s="72">
        <f t="shared" si="24"/>
        <v>418</v>
      </c>
      <c r="G201" s="72">
        <f t="shared" si="24"/>
        <v>49015</v>
      </c>
      <c r="I201" s="72" t="str">
        <f t="shared" si="25"/>
        <v>-</v>
      </c>
      <c r="J201" s="72" t="str">
        <f t="shared" si="25"/>
        <v>-</v>
      </c>
      <c r="K201" s="72">
        <f t="shared" si="25"/>
        <v>3970</v>
      </c>
      <c r="L201" s="72">
        <f t="shared" si="25"/>
        <v>5984</v>
      </c>
      <c r="M201" s="72">
        <f t="shared" si="25"/>
        <v>13373</v>
      </c>
      <c r="N201" s="72">
        <f t="shared" si="25"/>
        <v>23327</v>
      </c>
      <c r="P201" s="72">
        <f t="shared" ref="P201:U201" si="29">IF(AND(P154="-",P107="-",P60="-",P13="-"),"-",SUM(P154,P107,P60,P13))</f>
        <v>1</v>
      </c>
      <c r="Q201" s="72">
        <f t="shared" si="29"/>
        <v>0</v>
      </c>
      <c r="R201" s="72">
        <f t="shared" si="29"/>
        <v>79117</v>
      </c>
      <c r="S201" s="72">
        <f t="shared" si="29"/>
        <v>6041</v>
      </c>
      <c r="T201" s="72">
        <f t="shared" si="29"/>
        <v>300</v>
      </c>
      <c r="U201" s="72">
        <f t="shared" si="29"/>
        <v>85459</v>
      </c>
    </row>
    <row r="202" spans="1:21" x14ac:dyDescent="0.2">
      <c r="A202" s="371">
        <v>1984</v>
      </c>
      <c r="B202" s="72">
        <f t="shared" si="24"/>
        <v>8076</v>
      </c>
      <c r="C202" s="72" t="str">
        <f t="shared" si="24"/>
        <v>-</v>
      </c>
      <c r="D202" s="72" t="str">
        <f t="shared" si="24"/>
        <v>-</v>
      </c>
      <c r="E202" s="72">
        <f t="shared" si="24"/>
        <v>1556</v>
      </c>
      <c r="F202" s="72" t="str">
        <f t="shared" si="24"/>
        <v>-</v>
      </c>
      <c r="G202" s="72">
        <f t="shared" si="24"/>
        <v>9632</v>
      </c>
      <c r="I202" s="72" t="str">
        <f t="shared" si="25"/>
        <v>-</v>
      </c>
      <c r="J202" s="72" t="str">
        <f t="shared" si="25"/>
        <v>-</v>
      </c>
      <c r="K202" s="72" t="str">
        <f t="shared" si="25"/>
        <v>-</v>
      </c>
      <c r="L202" s="72">
        <f t="shared" si="25"/>
        <v>23090</v>
      </c>
      <c r="M202" s="72" t="str">
        <f t="shared" si="25"/>
        <v>-</v>
      </c>
      <c r="N202" s="72">
        <f t="shared" si="25"/>
        <v>23090</v>
      </c>
      <c r="P202" s="72"/>
      <c r="Q202" s="72"/>
      <c r="R202" s="72"/>
      <c r="S202" s="72"/>
      <c r="T202" s="72"/>
      <c r="U202" s="72"/>
    </row>
    <row r="203" spans="1:21" x14ac:dyDescent="0.2">
      <c r="A203" s="371">
        <v>1985</v>
      </c>
      <c r="B203" s="72">
        <f t="shared" si="24"/>
        <v>20320</v>
      </c>
      <c r="C203" s="72">
        <f t="shared" si="24"/>
        <v>230</v>
      </c>
      <c r="D203" s="72">
        <f t="shared" si="24"/>
        <v>9660</v>
      </c>
      <c r="E203" s="72">
        <f t="shared" si="24"/>
        <v>4045</v>
      </c>
      <c r="F203" s="72">
        <f t="shared" si="24"/>
        <v>31</v>
      </c>
      <c r="G203" s="72">
        <f t="shared" si="24"/>
        <v>34286</v>
      </c>
      <c r="I203" s="72" t="str">
        <f t="shared" si="25"/>
        <v>-</v>
      </c>
      <c r="J203" s="72" t="str">
        <f t="shared" si="25"/>
        <v>-</v>
      </c>
      <c r="K203" s="72">
        <f t="shared" si="25"/>
        <v>114403</v>
      </c>
      <c r="L203" s="72">
        <f t="shared" si="25"/>
        <v>14393</v>
      </c>
      <c r="M203" s="72">
        <f t="shared" si="25"/>
        <v>40</v>
      </c>
      <c r="N203" s="72">
        <f t="shared" si="25"/>
        <v>128836</v>
      </c>
      <c r="P203" s="72">
        <f t="shared" ref="P203:U203" si="30">IF(AND(P156="-",P109="-",P62="-",P15="-"),"-",SUM(P156,P109,P62,P15))</f>
        <v>106</v>
      </c>
      <c r="Q203" s="72">
        <f t="shared" si="30"/>
        <v>0</v>
      </c>
      <c r="R203" s="72">
        <f t="shared" si="30"/>
        <v>6831</v>
      </c>
      <c r="S203" s="72">
        <f t="shared" si="30"/>
        <v>94401</v>
      </c>
      <c r="T203" s="72">
        <f t="shared" si="30"/>
        <v>530</v>
      </c>
      <c r="U203" s="72">
        <f t="shared" si="30"/>
        <v>101868</v>
      </c>
    </row>
    <row r="204" spans="1:21" x14ac:dyDescent="0.2">
      <c r="A204" s="371">
        <v>1986</v>
      </c>
      <c r="B204" s="72">
        <f t="shared" ref="B204:G213" si="31">IF(AND(B157="-",B110="-",B63="-",B16="-"),"-",SUM(B157,B110,B63,B16))</f>
        <v>26686</v>
      </c>
      <c r="C204" s="72">
        <f t="shared" si="31"/>
        <v>163</v>
      </c>
      <c r="D204" s="72" t="str">
        <f t="shared" si="31"/>
        <v>-</v>
      </c>
      <c r="E204" s="72">
        <f t="shared" si="31"/>
        <v>5991</v>
      </c>
      <c r="F204" s="72" t="str">
        <f t="shared" si="31"/>
        <v>-</v>
      </c>
      <c r="G204" s="72">
        <f t="shared" si="31"/>
        <v>32840</v>
      </c>
      <c r="I204" s="72" t="str">
        <f t="shared" ref="I204:N213" si="32">IF(AND(I157="-",I110="-",I63="-",I16="-"),"-",SUM(I157,I110,I63,I16))</f>
        <v>-</v>
      </c>
      <c r="J204" s="72" t="str">
        <f t="shared" si="32"/>
        <v>-</v>
      </c>
      <c r="K204" s="72" t="str">
        <f t="shared" si="32"/>
        <v>-</v>
      </c>
      <c r="L204" s="72">
        <f t="shared" si="32"/>
        <v>75036</v>
      </c>
      <c r="M204" s="72" t="str">
        <f t="shared" si="32"/>
        <v>-</v>
      </c>
      <c r="N204" s="72">
        <f t="shared" si="32"/>
        <v>75036</v>
      </c>
      <c r="P204" s="72"/>
      <c r="Q204" s="72"/>
      <c r="R204" s="72"/>
      <c r="S204" s="72"/>
      <c r="T204" s="72"/>
      <c r="U204" s="72"/>
    </row>
    <row r="205" spans="1:21" x14ac:dyDescent="0.2">
      <c r="A205" s="371">
        <v>1987</v>
      </c>
      <c r="B205" s="72">
        <f t="shared" si="31"/>
        <v>35632</v>
      </c>
      <c r="C205" s="72" t="str">
        <f t="shared" si="31"/>
        <v>-</v>
      </c>
      <c r="D205" s="72">
        <f t="shared" si="31"/>
        <v>19094</v>
      </c>
      <c r="E205" s="72" t="str">
        <f t="shared" si="31"/>
        <v>-</v>
      </c>
      <c r="F205" s="72" t="str">
        <f t="shared" si="31"/>
        <v>-</v>
      </c>
      <c r="G205" s="72">
        <f t="shared" si="31"/>
        <v>54726</v>
      </c>
      <c r="I205" s="72" t="str">
        <f t="shared" si="32"/>
        <v>-</v>
      </c>
      <c r="J205" s="72" t="str">
        <f t="shared" si="32"/>
        <v>-</v>
      </c>
      <c r="K205" s="72">
        <f t="shared" si="32"/>
        <v>47357</v>
      </c>
      <c r="L205" s="72" t="str">
        <f t="shared" si="32"/>
        <v>-</v>
      </c>
      <c r="M205" s="72" t="str">
        <f t="shared" si="32"/>
        <v>-</v>
      </c>
      <c r="N205" s="72">
        <f t="shared" si="32"/>
        <v>47357</v>
      </c>
      <c r="P205" s="72">
        <f t="shared" ref="P205:U205" si="33">IF(AND(P158="-",P111="-",P64="-",P17="-"),"-",SUM(P158,P111,P64,P17))</f>
        <v>0</v>
      </c>
      <c r="Q205" s="72" t="str">
        <f t="shared" si="33"/>
        <v>-</v>
      </c>
      <c r="R205" s="72">
        <f t="shared" si="33"/>
        <v>2729</v>
      </c>
      <c r="S205" s="72" t="str">
        <f t="shared" si="33"/>
        <v>-</v>
      </c>
      <c r="T205" s="72" t="str">
        <f t="shared" si="33"/>
        <v>-</v>
      </c>
      <c r="U205" s="72">
        <f t="shared" si="33"/>
        <v>2729</v>
      </c>
    </row>
    <row r="206" spans="1:21" x14ac:dyDescent="0.2">
      <c r="A206" s="371">
        <v>1988</v>
      </c>
      <c r="B206" s="72">
        <f t="shared" si="31"/>
        <v>41674</v>
      </c>
      <c r="C206" s="72">
        <f t="shared" si="31"/>
        <v>30252</v>
      </c>
      <c r="D206" s="72">
        <f t="shared" si="31"/>
        <v>57</v>
      </c>
      <c r="E206" s="72">
        <f t="shared" si="31"/>
        <v>242</v>
      </c>
      <c r="F206" s="72" t="str">
        <f t="shared" si="31"/>
        <v>-</v>
      </c>
      <c r="G206" s="72">
        <f t="shared" si="31"/>
        <v>72225</v>
      </c>
      <c r="I206" s="72" t="str">
        <f t="shared" si="32"/>
        <v>-</v>
      </c>
      <c r="J206" s="72" t="str">
        <f t="shared" si="32"/>
        <v>-</v>
      </c>
      <c r="K206" s="72">
        <f t="shared" si="32"/>
        <v>381</v>
      </c>
      <c r="L206" s="72">
        <f t="shared" si="32"/>
        <v>1848</v>
      </c>
      <c r="M206" s="72" t="str">
        <f t="shared" si="32"/>
        <v>-</v>
      </c>
      <c r="N206" s="72">
        <f t="shared" si="32"/>
        <v>2229</v>
      </c>
      <c r="P206" s="72"/>
      <c r="Q206" s="72"/>
      <c r="R206" s="72"/>
      <c r="S206" s="72"/>
      <c r="T206" s="72"/>
      <c r="U206" s="72"/>
    </row>
    <row r="207" spans="1:21" x14ac:dyDescent="0.2">
      <c r="A207" s="371">
        <v>1989</v>
      </c>
      <c r="B207" s="72">
        <f t="shared" si="31"/>
        <v>23264</v>
      </c>
      <c r="C207" s="72">
        <f t="shared" si="31"/>
        <v>15470</v>
      </c>
      <c r="D207" s="72" t="str">
        <f t="shared" si="31"/>
        <v>-</v>
      </c>
      <c r="E207" s="72">
        <f t="shared" si="31"/>
        <v>778</v>
      </c>
      <c r="F207" s="72">
        <f t="shared" si="31"/>
        <v>703</v>
      </c>
      <c r="G207" s="72">
        <f t="shared" si="31"/>
        <v>40215</v>
      </c>
      <c r="I207" s="72" t="str">
        <f t="shared" si="32"/>
        <v>-</v>
      </c>
      <c r="J207" s="72" t="str">
        <f t="shared" si="32"/>
        <v>-</v>
      </c>
      <c r="K207" s="72" t="str">
        <f t="shared" si="32"/>
        <v>-</v>
      </c>
      <c r="L207" s="72">
        <f t="shared" si="32"/>
        <v>46507</v>
      </c>
      <c r="M207" s="72">
        <f t="shared" si="32"/>
        <v>10638</v>
      </c>
      <c r="N207" s="72">
        <f t="shared" si="32"/>
        <v>57145</v>
      </c>
      <c r="P207" s="72">
        <f t="shared" ref="P207:U207" si="34">IF(AND(P160="-",P113="-",P66="-",P19="-"),"-",SUM(P160,P113,P66,P19))</f>
        <v>229</v>
      </c>
      <c r="Q207" s="72">
        <f t="shared" si="34"/>
        <v>182</v>
      </c>
      <c r="R207" s="72" t="str">
        <f t="shared" si="34"/>
        <v>-</v>
      </c>
      <c r="S207" s="72">
        <f t="shared" si="34"/>
        <v>36287</v>
      </c>
      <c r="T207" s="72">
        <f t="shared" si="34"/>
        <v>1</v>
      </c>
      <c r="U207" s="72">
        <f t="shared" si="34"/>
        <v>36699</v>
      </c>
    </row>
    <row r="208" spans="1:21" x14ac:dyDescent="0.2">
      <c r="A208" s="371">
        <v>1990</v>
      </c>
      <c r="B208" s="72">
        <f t="shared" si="31"/>
        <v>23140</v>
      </c>
      <c r="C208" s="72">
        <f t="shared" si="31"/>
        <v>1993</v>
      </c>
      <c r="D208" s="72" t="str">
        <f t="shared" si="31"/>
        <v>-</v>
      </c>
      <c r="E208" s="72">
        <f t="shared" si="31"/>
        <v>4789</v>
      </c>
      <c r="F208" s="72">
        <f t="shared" si="31"/>
        <v>1182</v>
      </c>
      <c r="G208" s="72">
        <f t="shared" si="31"/>
        <v>31104</v>
      </c>
      <c r="I208" s="72" t="str">
        <f t="shared" si="32"/>
        <v>-</v>
      </c>
      <c r="J208" s="72" t="str">
        <f t="shared" si="32"/>
        <v>-</v>
      </c>
      <c r="K208" s="72" t="str">
        <f t="shared" si="32"/>
        <v>-</v>
      </c>
      <c r="L208" s="72">
        <f t="shared" si="32"/>
        <v>74697</v>
      </c>
      <c r="M208" s="72">
        <f t="shared" si="32"/>
        <v>15429</v>
      </c>
      <c r="N208" s="72">
        <f t="shared" si="32"/>
        <v>90126</v>
      </c>
      <c r="P208" s="72"/>
      <c r="Q208" s="72"/>
      <c r="R208" s="72"/>
      <c r="S208" s="72"/>
      <c r="T208" s="72"/>
      <c r="U208" s="72"/>
    </row>
    <row r="209" spans="1:21" x14ac:dyDescent="0.2">
      <c r="A209" s="371">
        <v>1991</v>
      </c>
      <c r="B209" s="72">
        <f t="shared" si="31"/>
        <v>14490</v>
      </c>
      <c r="C209" s="72">
        <f t="shared" si="31"/>
        <v>12427</v>
      </c>
      <c r="D209" s="72" t="str">
        <f t="shared" si="31"/>
        <v>-</v>
      </c>
      <c r="E209" s="72">
        <f t="shared" si="31"/>
        <v>1130</v>
      </c>
      <c r="F209" s="72">
        <f t="shared" si="31"/>
        <v>762</v>
      </c>
      <c r="G209" s="72">
        <f t="shared" si="31"/>
        <v>28809</v>
      </c>
      <c r="I209" s="72" t="str">
        <f t="shared" si="32"/>
        <v>-</v>
      </c>
      <c r="J209" s="72" t="str">
        <f t="shared" si="32"/>
        <v>-</v>
      </c>
      <c r="K209" s="72" t="str">
        <f t="shared" si="32"/>
        <v>-</v>
      </c>
      <c r="L209" s="72">
        <f t="shared" si="32"/>
        <v>40025</v>
      </c>
      <c r="M209" s="72">
        <f t="shared" si="32"/>
        <v>14145</v>
      </c>
      <c r="N209" s="72">
        <f t="shared" si="32"/>
        <v>54170</v>
      </c>
      <c r="P209" s="72">
        <f t="shared" ref="P209:U209" si="35">IF(AND(P162="-",P115="-",P68="-",P21="-"),"-",SUM(P162,P115,P68,P21))</f>
        <v>4</v>
      </c>
      <c r="Q209" s="72">
        <f t="shared" si="35"/>
        <v>17</v>
      </c>
      <c r="R209" s="72" t="str">
        <f t="shared" si="35"/>
        <v>-</v>
      </c>
      <c r="S209" s="72">
        <f t="shared" si="35"/>
        <v>43267</v>
      </c>
      <c r="T209" s="72">
        <f t="shared" si="35"/>
        <v>295</v>
      </c>
      <c r="U209" s="72">
        <f t="shared" si="35"/>
        <v>43583</v>
      </c>
    </row>
    <row r="210" spans="1:21" x14ac:dyDescent="0.2">
      <c r="A210" s="371">
        <v>1992</v>
      </c>
      <c r="B210" s="72">
        <f t="shared" si="31"/>
        <v>22161</v>
      </c>
      <c r="C210" s="72">
        <f t="shared" si="31"/>
        <v>12631</v>
      </c>
      <c r="D210" s="72">
        <f t="shared" si="31"/>
        <v>5338</v>
      </c>
      <c r="E210" s="72">
        <f t="shared" si="31"/>
        <v>3498</v>
      </c>
      <c r="F210" s="72" t="str">
        <f t="shared" si="31"/>
        <v>-</v>
      </c>
      <c r="G210" s="72">
        <f t="shared" si="31"/>
        <v>43628</v>
      </c>
      <c r="I210" s="72" t="str">
        <f t="shared" si="32"/>
        <v>-</v>
      </c>
      <c r="J210" s="72" t="str">
        <f t="shared" si="32"/>
        <v>-</v>
      </c>
      <c r="K210" s="72">
        <f t="shared" si="32"/>
        <v>10272</v>
      </c>
      <c r="L210" s="72">
        <f t="shared" si="32"/>
        <v>7407</v>
      </c>
      <c r="M210" s="72" t="str">
        <f t="shared" si="32"/>
        <v>-</v>
      </c>
      <c r="N210" s="72">
        <f t="shared" si="32"/>
        <v>17679</v>
      </c>
      <c r="P210" s="72"/>
      <c r="Q210" s="72"/>
      <c r="R210" s="72"/>
      <c r="S210" s="72"/>
      <c r="T210" s="72"/>
      <c r="U210" s="72"/>
    </row>
    <row r="211" spans="1:21" x14ac:dyDescent="0.2">
      <c r="A211" s="371">
        <v>1993</v>
      </c>
      <c r="B211" s="72">
        <f t="shared" si="31"/>
        <v>14359</v>
      </c>
      <c r="C211" s="72">
        <f t="shared" si="31"/>
        <v>10626</v>
      </c>
      <c r="D211" s="72">
        <f t="shared" si="31"/>
        <v>2632</v>
      </c>
      <c r="E211" s="72">
        <f t="shared" si="31"/>
        <v>953</v>
      </c>
      <c r="F211" s="72">
        <f t="shared" si="31"/>
        <v>1502</v>
      </c>
      <c r="G211" s="72">
        <f t="shared" si="31"/>
        <v>30072</v>
      </c>
      <c r="I211" s="72" t="str">
        <f t="shared" si="32"/>
        <v>-</v>
      </c>
      <c r="J211" s="72" t="str">
        <f t="shared" si="32"/>
        <v>-</v>
      </c>
      <c r="K211" s="72">
        <f t="shared" si="32"/>
        <v>4918</v>
      </c>
      <c r="L211" s="72">
        <f t="shared" si="32"/>
        <v>3625</v>
      </c>
      <c r="M211" s="72">
        <f t="shared" si="32"/>
        <v>5380</v>
      </c>
      <c r="N211" s="72">
        <f t="shared" si="32"/>
        <v>13923</v>
      </c>
      <c r="P211" s="72">
        <f t="shared" ref="P211:U211" si="36">IF(AND(P164="-",P117="-",P70="-",P23="-"),"-",SUM(P164,P117,P70,P23))</f>
        <v>16</v>
      </c>
      <c r="Q211" s="72">
        <f t="shared" si="36"/>
        <v>1</v>
      </c>
      <c r="R211" s="72">
        <f t="shared" si="36"/>
        <v>88</v>
      </c>
      <c r="S211" s="72">
        <f t="shared" si="36"/>
        <v>2753</v>
      </c>
      <c r="T211" s="72">
        <f t="shared" si="36"/>
        <v>3</v>
      </c>
      <c r="U211" s="72">
        <f t="shared" si="36"/>
        <v>2861</v>
      </c>
    </row>
    <row r="212" spans="1:21" x14ac:dyDescent="0.2">
      <c r="A212" s="371">
        <v>1994</v>
      </c>
      <c r="B212" s="72" t="str">
        <f t="shared" si="31"/>
        <v>-</v>
      </c>
      <c r="C212" s="72" t="str">
        <f t="shared" si="31"/>
        <v>-</v>
      </c>
      <c r="D212" s="72" t="str">
        <f t="shared" si="31"/>
        <v>-</v>
      </c>
      <c r="E212" s="72" t="str">
        <f t="shared" si="31"/>
        <v>-</v>
      </c>
      <c r="F212" s="72" t="str">
        <f t="shared" si="31"/>
        <v>-</v>
      </c>
      <c r="G212" s="72" t="str">
        <f t="shared" si="31"/>
        <v>-</v>
      </c>
      <c r="I212" s="72" t="str">
        <f t="shared" si="32"/>
        <v>-</v>
      </c>
      <c r="J212" s="72" t="str">
        <f t="shared" si="32"/>
        <v>-</v>
      </c>
      <c r="K212" s="72" t="str">
        <f t="shared" si="32"/>
        <v>-</v>
      </c>
      <c r="L212" s="72" t="str">
        <f t="shared" si="32"/>
        <v>-</v>
      </c>
      <c r="M212" s="72" t="str">
        <f t="shared" si="32"/>
        <v>-</v>
      </c>
      <c r="N212" s="72" t="str">
        <f t="shared" si="32"/>
        <v>-</v>
      </c>
      <c r="P212" s="72"/>
      <c r="Q212" s="72"/>
      <c r="R212" s="72"/>
      <c r="S212" s="72"/>
      <c r="T212" s="72"/>
      <c r="U212" s="72"/>
    </row>
    <row r="213" spans="1:21" x14ac:dyDescent="0.2">
      <c r="A213" s="371">
        <v>1995</v>
      </c>
      <c r="B213" s="72" t="str">
        <f t="shared" si="31"/>
        <v>-</v>
      </c>
      <c r="C213" s="72" t="str">
        <f t="shared" si="31"/>
        <v>-</v>
      </c>
      <c r="D213" s="72" t="str">
        <f t="shared" si="31"/>
        <v>-</v>
      </c>
      <c r="E213" s="72">
        <f t="shared" si="31"/>
        <v>3</v>
      </c>
      <c r="F213" s="72" t="str">
        <f t="shared" si="31"/>
        <v>-</v>
      </c>
      <c r="G213" s="72">
        <f t="shared" si="31"/>
        <v>3</v>
      </c>
      <c r="I213" s="72" t="str">
        <f t="shared" si="32"/>
        <v>-</v>
      </c>
      <c r="J213" s="72" t="str">
        <f t="shared" si="32"/>
        <v>-</v>
      </c>
      <c r="K213" s="72" t="str">
        <f t="shared" si="32"/>
        <v>-</v>
      </c>
      <c r="L213" s="72">
        <f t="shared" si="32"/>
        <v>18366</v>
      </c>
      <c r="M213" s="72">
        <f t="shared" si="32"/>
        <v>7060</v>
      </c>
      <c r="N213" s="72">
        <f t="shared" si="32"/>
        <v>25426</v>
      </c>
      <c r="P213" s="72" t="str">
        <f t="shared" ref="P213:U213" si="37">IF(AND(P166="-",P119="-",P72="-",P25="-"),"-",SUM(P166,P119,P72,P25))</f>
        <v>-</v>
      </c>
      <c r="Q213" s="72" t="str">
        <f t="shared" si="37"/>
        <v>-</v>
      </c>
      <c r="R213" s="72" t="str">
        <f t="shared" si="37"/>
        <v>-</v>
      </c>
      <c r="S213" s="72">
        <f t="shared" si="37"/>
        <v>30060</v>
      </c>
      <c r="T213" s="72">
        <f t="shared" si="37"/>
        <v>872</v>
      </c>
      <c r="U213" s="72">
        <f t="shared" si="37"/>
        <v>30932</v>
      </c>
    </row>
    <row r="214" spans="1:21" x14ac:dyDescent="0.2">
      <c r="A214" s="371">
        <v>1996</v>
      </c>
      <c r="B214" s="72" t="str">
        <f t="shared" ref="B214:G223" si="38">IF(AND(B167="-",B120="-",B73="-",B26="-"),"-",SUM(B167,B120,B73,B26))</f>
        <v>-</v>
      </c>
      <c r="C214" s="72" t="str">
        <f t="shared" si="38"/>
        <v>-</v>
      </c>
      <c r="D214" s="72" t="str">
        <f t="shared" si="38"/>
        <v>-</v>
      </c>
      <c r="E214" s="72" t="str">
        <f t="shared" si="38"/>
        <v>-</v>
      </c>
      <c r="F214" s="72" t="str">
        <f t="shared" si="38"/>
        <v>-</v>
      </c>
      <c r="G214" s="72" t="str">
        <f t="shared" si="38"/>
        <v>-</v>
      </c>
      <c r="I214" s="72" t="str">
        <f t="shared" ref="I214:N223" si="39">IF(AND(I167="-",I120="-",I73="-",I26="-"),"-",SUM(I167,I120,I73,I26))</f>
        <v>-</v>
      </c>
      <c r="J214" s="72" t="str">
        <f t="shared" si="39"/>
        <v>-</v>
      </c>
      <c r="K214" s="72">
        <f t="shared" si="39"/>
        <v>7137</v>
      </c>
      <c r="L214" s="72">
        <f t="shared" si="39"/>
        <v>10389</v>
      </c>
      <c r="M214" s="72" t="str">
        <f t="shared" si="39"/>
        <v>-</v>
      </c>
      <c r="N214" s="72">
        <f t="shared" si="39"/>
        <v>17526</v>
      </c>
      <c r="P214" s="72"/>
      <c r="Q214" s="72"/>
      <c r="R214" s="72"/>
      <c r="S214" s="72"/>
      <c r="T214" s="72"/>
      <c r="U214" s="72"/>
    </row>
    <row r="215" spans="1:21" x14ac:dyDescent="0.2">
      <c r="A215" s="371">
        <v>1997</v>
      </c>
      <c r="B215" s="72">
        <f t="shared" si="38"/>
        <v>4514</v>
      </c>
      <c r="C215" s="72">
        <f t="shared" si="38"/>
        <v>1904</v>
      </c>
      <c r="D215" s="72" t="str">
        <f t="shared" si="38"/>
        <v>-</v>
      </c>
      <c r="E215" s="72" t="str">
        <f t="shared" si="38"/>
        <v>-</v>
      </c>
      <c r="F215" s="72" t="str">
        <f t="shared" si="38"/>
        <v>-</v>
      </c>
      <c r="G215" s="72">
        <f t="shared" si="38"/>
        <v>6418</v>
      </c>
      <c r="I215" s="72" t="str">
        <f t="shared" si="39"/>
        <v>-</v>
      </c>
      <c r="J215" s="72" t="str">
        <f t="shared" si="39"/>
        <v>-</v>
      </c>
      <c r="K215" s="72" t="str">
        <f t="shared" si="39"/>
        <v>-</v>
      </c>
      <c r="L215" s="72" t="str">
        <f t="shared" si="39"/>
        <v>-</v>
      </c>
      <c r="M215" s="72" t="str">
        <f t="shared" si="39"/>
        <v>-</v>
      </c>
      <c r="N215" s="72" t="str">
        <f t="shared" si="39"/>
        <v>-</v>
      </c>
      <c r="P215" s="72">
        <f t="shared" ref="P215:U215" si="40">IF(AND(P168="-",P121="-",P74="-",P27="-"),"-",SUM(P168,P121,P74,P27))</f>
        <v>2</v>
      </c>
      <c r="Q215" s="72">
        <f t="shared" si="40"/>
        <v>3</v>
      </c>
      <c r="R215" s="72" t="str">
        <f t="shared" si="40"/>
        <v>-</v>
      </c>
      <c r="S215" s="72" t="str">
        <f t="shared" si="40"/>
        <v>-</v>
      </c>
      <c r="T215" s="72" t="str">
        <f t="shared" si="40"/>
        <v>-</v>
      </c>
      <c r="U215" s="72">
        <f t="shared" si="40"/>
        <v>5</v>
      </c>
    </row>
    <row r="216" spans="1:21" x14ac:dyDescent="0.2">
      <c r="A216" s="371">
        <v>1998</v>
      </c>
      <c r="B216" s="72">
        <f t="shared" si="38"/>
        <v>5747</v>
      </c>
      <c r="C216" s="72">
        <f t="shared" si="38"/>
        <v>182</v>
      </c>
      <c r="D216" s="72" t="str">
        <f t="shared" si="38"/>
        <v>-</v>
      </c>
      <c r="E216" s="72" t="str">
        <f t="shared" si="38"/>
        <v>-</v>
      </c>
      <c r="F216" s="72" t="str">
        <f t="shared" si="38"/>
        <v>-</v>
      </c>
      <c r="G216" s="72">
        <f t="shared" si="38"/>
        <v>5929</v>
      </c>
      <c r="I216" s="72" t="str">
        <f t="shared" si="39"/>
        <v>-</v>
      </c>
      <c r="J216" s="72" t="str">
        <f t="shared" si="39"/>
        <v>-</v>
      </c>
      <c r="K216" s="72" t="str">
        <f t="shared" si="39"/>
        <v>-</v>
      </c>
      <c r="L216" s="72" t="str">
        <f t="shared" si="39"/>
        <v>-</v>
      </c>
      <c r="M216" s="72" t="str">
        <f t="shared" si="39"/>
        <v>-</v>
      </c>
      <c r="N216" s="72" t="str">
        <f t="shared" si="39"/>
        <v>-</v>
      </c>
      <c r="P216" s="72"/>
      <c r="Q216" s="72"/>
      <c r="R216" s="72"/>
      <c r="S216" s="72"/>
      <c r="T216" s="72"/>
      <c r="U216" s="72"/>
    </row>
    <row r="217" spans="1:21" x14ac:dyDescent="0.2">
      <c r="A217" s="371">
        <v>1999</v>
      </c>
      <c r="B217" s="72">
        <f t="shared" si="38"/>
        <v>4191</v>
      </c>
      <c r="C217" s="72">
        <f t="shared" si="38"/>
        <v>7075</v>
      </c>
      <c r="D217" s="72">
        <f t="shared" si="38"/>
        <v>4030</v>
      </c>
      <c r="E217" s="72">
        <f t="shared" si="38"/>
        <v>2160</v>
      </c>
      <c r="F217" s="72" t="str">
        <f t="shared" si="38"/>
        <v>-</v>
      </c>
      <c r="G217" s="72">
        <f t="shared" si="38"/>
        <v>17456</v>
      </c>
      <c r="I217" s="72" t="str">
        <f t="shared" si="39"/>
        <v>-</v>
      </c>
      <c r="J217" s="72" t="str">
        <f t="shared" si="39"/>
        <v>-</v>
      </c>
      <c r="K217" s="72">
        <f t="shared" si="39"/>
        <v>673</v>
      </c>
      <c r="L217" s="72">
        <f t="shared" si="39"/>
        <v>2840</v>
      </c>
      <c r="M217" s="72">
        <f t="shared" si="39"/>
        <v>337</v>
      </c>
      <c r="N217" s="72">
        <f t="shared" si="39"/>
        <v>3850</v>
      </c>
      <c r="P217" s="72">
        <f t="shared" ref="P217:U217" si="41">IF(AND(P170="-",P123="-",P76="-",P29="-"),"-",SUM(P170,P123,P76,P29))</f>
        <v>0</v>
      </c>
      <c r="Q217" s="72">
        <f t="shared" si="41"/>
        <v>1</v>
      </c>
      <c r="R217" s="72">
        <f t="shared" si="41"/>
        <v>31</v>
      </c>
      <c r="S217" s="72">
        <f t="shared" si="41"/>
        <v>21</v>
      </c>
      <c r="T217" s="72">
        <f t="shared" si="41"/>
        <v>0</v>
      </c>
      <c r="U217" s="72">
        <f t="shared" si="41"/>
        <v>53</v>
      </c>
    </row>
    <row r="218" spans="1:21" x14ac:dyDescent="0.2">
      <c r="A218" s="371">
        <v>2000</v>
      </c>
      <c r="B218" s="72">
        <f t="shared" si="38"/>
        <v>6534</v>
      </c>
      <c r="C218" s="72">
        <f t="shared" si="38"/>
        <v>2427</v>
      </c>
      <c r="D218" s="72" t="str">
        <f t="shared" si="38"/>
        <v>-</v>
      </c>
      <c r="E218" s="72">
        <f t="shared" si="38"/>
        <v>1265</v>
      </c>
      <c r="F218" s="72">
        <f t="shared" si="38"/>
        <v>43</v>
      </c>
      <c r="G218" s="72">
        <f t="shared" si="38"/>
        <v>10269</v>
      </c>
      <c r="I218" s="72" t="str">
        <f t="shared" si="39"/>
        <v>-</v>
      </c>
      <c r="J218" s="72" t="str">
        <f t="shared" si="39"/>
        <v>-</v>
      </c>
      <c r="K218" s="72" t="str">
        <f t="shared" si="39"/>
        <v>-</v>
      </c>
      <c r="L218" s="72">
        <f t="shared" si="39"/>
        <v>4833</v>
      </c>
      <c r="M218" s="72">
        <f t="shared" si="39"/>
        <v>434</v>
      </c>
      <c r="N218" s="72">
        <f t="shared" si="39"/>
        <v>5267</v>
      </c>
      <c r="P218" s="72"/>
      <c r="Q218" s="72"/>
      <c r="R218" s="72"/>
      <c r="S218" s="72"/>
      <c r="T218" s="72"/>
      <c r="U218" s="72"/>
    </row>
    <row r="219" spans="1:21" x14ac:dyDescent="0.2">
      <c r="A219" s="371">
        <v>2001</v>
      </c>
      <c r="B219" s="72">
        <f t="shared" si="38"/>
        <v>7610</v>
      </c>
      <c r="C219" s="72">
        <f t="shared" si="38"/>
        <v>7197</v>
      </c>
      <c r="D219" s="72">
        <f t="shared" si="38"/>
        <v>5051</v>
      </c>
      <c r="E219" s="72">
        <f t="shared" si="38"/>
        <v>994</v>
      </c>
      <c r="F219" s="72">
        <f t="shared" si="38"/>
        <v>377</v>
      </c>
      <c r="G219" s="72">
        <f t="shared" si="38"/>
        <v>21229</v>
      </c>
      <c r="I219" s="72" t="str">
        <f t="shared" si="39"/>
        <v>-</v>
      </c>
      <c r="J219" s="72" t="str">
        <f t="shared" si="39"/>
        <v>-</v>
      </c>
      <c r="K219" s="72">
        <f t="shared" si="39"/>
        <v>2320</v>
      </c>
      <c r="L219" s="72">
        <f t="shared" si="39"/>
        <v>2664</v>
      </c>
      <c r="M219" s="72">
        <f t="shared" si="39"/>
        <v>3128</v>
      </c>
      <c r="N219" s="72">
        <f t="shared" si="39"/>
        <v>8112</v>
      </c>
      <c r="P219" s="72">
        <f t="shared" ref="P219:U219" si="42">IF(AND(P172="-",P125="-",P78="-",P31="-"),"-",SUM(P172,P125,P78,P31))</f>
        <v>1</v>
      </c>
      <c r="Q219" s="72">
        <f t="shared" si="42"/>
        <v>9</v>
      </c>
      <c r="R219" s="72">
        <f t="shared" si="42"/>
        <v>20</v>
      </c>
      <c r="S219" s="72">
        <f t="shared" si="42"/>
        <v>2</v>
      </c>
      <c r="T219" s="72">
        <f t="shared" si="42"/>
        <v>0</v>
      </c>
      <c r="U219" s="72">
        <f t="shared" si="42"/>
        <v>32</v>
      </c>
    </row>
    <row r="220" spans="1:21" x14ac:dyDescent="0.2">
      <c r="A220" s="371">
        <v>2002</v>
      </c>
      <c r="B220" s="72">
        <f t="shared" si="38"/>
        <v>18381</v>
      </c>
      <c r="C220" s="72">
        <f t="shared" si="38"/>
        <v>11049</v>
      </c>
      <c r="D220" s="72">
        <f t="shared" si="38"/>
        <v>16126</v>
      </c>
      <c r="E220" s="72">
        <f t="shared" si="38"/>
        <v>8263</v>
      </c>
      <c r="F220" s="72" t="str">
        <f t="shared" si="38"/>
        <v>-</v>
      </c>
      <c r="G220" s="72">
        <f t="shared" si="38"/>
        <v>53819</v>
      </c>
      <c r="I220" s="72" t="str">
        <f t="shared" si="39"/>
        <v>-</v>
      </c>
      <c r="J220" s="72" t="str">
        <f t="shared" si="39"/>
        <v>-</v>
      </c>
      <c r="K220" s="72" t="str">
        <f t="shared" si="39"/>
        <v>-</v>
      </c>
      <c r="L220" s="72">
        <f t="shared" si="39"/>
        <v>180</v>
      </c>
      <c r="M220" s="72" t="str">
        <f t="shared" si="39"/>
        <v>-</v>
      </c>
      <c r="N220" s="72">
        <f t="shared" si="39"/>
        <v>180</v>
      </c>
      <c r="P220" s="72"/>
      <c r="Q220" s="72"/>
      <c r="R220" s="72"/>
      <c r="S220" s="72"/>
      <c r="T220" s="72"/>
      <c r="U220" s="72"/>
    </row>
    <row r="221" spans="1:21" x14ac:dyDescent="0.2">
      <c r="A221" s="348">
        <v>2003</v>
      </c>
      <c r="B221" s="72">
        <f t="shared" si="38"/>
        <v>18710</v>
      </c>
      <c r="C221" s="72">
        <f t="shared" si="38"/>
        <v>8918</v>
      </c>
      <c r="D221" s="72">
        <f t="shared" si="38"/>
        <v>14858</v>
      </c>
      <c r="E221" s="72">
        <f t="shared" si="38"/>
        <v>12439</v>
      </c>
      <c r="F221" s="72">
        <f t="shared" si="38"/>
        <v>1277</v>
      </c>
      <c r="G221" s="72">
        <f t="shared" si="38"/>
        <v>56202</v>
      </c>
      <c r="I221" s="72" t="str">
        <f t="shared" si="39"/>
        <v>-</v>
      </c>
      <c r="J221" s="72" t="str">
        <f t="shared" si="39"/>
        <v>-</v>
      </c>
      <c r="K221" s="72">
        <f t="shared" si="39"/>
        <v>3696</v>
      </c>
      <c r="L221" s="72">
        <f t="shared" si="39"/>
        <v>4267</v>
      </c>
      <c r="M221" s="72">
        <f t="shared" si="39"/>
        <v>994</v>
      </c>
      <c r="N221" s="72">
        <f t="shared" si="39"/>
        <v>8957</v>
      </c>
      <c r="P221" s="72">
        <f t="shared" ref="P221:U221" si="43">IF(AND(P174="-",P127="-",P80="-",P33="-"),"-",SUM(P174,P127,P80,P33))</f>
        <v>0</v>
      </c>
      <c r="Q221" s="72">
        <f t="shared" si="43"/>
        <v>0</v>
      </c>
      <c r="R221" s="72">
        <f t="shared" si="43"/>
        <v>176</v>
      </c>
      <c r="S221" s="72">
        <f t="shared" si="43"/>
        <v>65</v>
      </c>
      <c r="T221" s="72">
        <f t="shared" si="43"/>
        <v>10</v>
      </c>
      <c r="U221" s="72">
        <f t="shared" si="43"/>
        <v>251</v>
      </c>
    </row>
    <row r="222" spans="1:21" x14ac:dyDescent="0.2">
      <c r="A222" s="348">
        <v>2004</v>
      </c>
      <c r="B222" s="72">
        <f t="shared" si="38"/>
        <v>15310</v>
      </c>
      <c r="C222" s="72">
        <f t="shared" si="38"/>
        <v>1234</v>
      </c>
      <c r="D222" s="72">
        <f t="shared" si="38"/>
        <v>7963</v>
      </c>
      <c r="E222" s="72">
        <f t="shared" si="38"/>
        <v>8984</v>
      </c>
      <c r="F222" s="72">
        <f t="shared" si="38"/>
        <v>1881</v>
      </c>
      <c r="G222" s="72">
        <f t="shared" si="38"/>
        <v>35372</v>
      </c>
      <c r="H222" s="9"/>
      <c r="I222" s="72" t="str">
        <f t="shared" si="39"/>
        <v>-</v>
      </c>
      <c r="J222" s="72" t="str">
        <f t="shared" si="39"/>
        <v>-</v>
      </c>
      <c r="K222" s="72">
        <f t="shared" si="39"/>
        <v>2230</v>
      </c>
      <c r="L222" s="72">
        <f t="shared" si="39"/>
        <v>4961</v>
      </c>
      <c r="M222" s="72">
        <f t="shared" si="39"/>
        <v>6102</v>
      </c>
      <c r="N222" s="72">
        <f t="shared" si="39"/>
        <v>13293</v>
      </c>
      <c r="O222" s="203"/>
      <c r="P222" s="72"/>
      <c r="Q222" s="72"/>
      <c r="R222" s="72"/>
      <c r="S222" s="72"/>
      <c r="T222" s="72"/>
      <c r="U222" s="72"/>
    </row>
    <row r="223" spans="1:21" x14ac:dyDescent="0.2">
      <c r="A223" s="348">
        <v>2005</v>
      </c>
      <c r="B223" s="72">
        <f t="shared" si="38"/>
        <v>18548</v>
      </c>
      <c r="C223" s="72">
        <f t="shared" si="38"/>
        <v>2512</v>
      </c>
      <c r="D223" s="72">
        <f t="shared" si="38"/>
        <v>6271</v>
      </c>
      <c r="E223" s="72">
        <f t="shared" si="38"/>
        <v>7735</v>
      </c>
      <c r="F223" s="72" t="str">
        <f t="shared" si="38"/>
        <v>-</v>
      </c>
      <c r="G223" s="72">
        <f t="shared" si="38"/>
        <v>35066</v>
      </c>
      <c r="I223" s="72" t="str">
        <f t="shared" si="39"/>
        <v>-</v>
      </c>
      <c r="J223" s="72" t="str">
        <f t="shared" si="39"/>
        <v>-</v>
      </c>
      <c r="K223" s="72">
        <f t="shared" si="39"/>
        <v>320</v>
      </c>
      <c r="L223" s="72">
        <f t="shared" si="39"/>
        <v>1122</v>
      </c>
      <c r="M223" s="72" t="str">
        <f t="shared" si="39"/>
        <v>-</v>
      </c>
      <c r="N223" s="72">
        <f t="shared" si="39"/>
        <v>1442</v>
      </c>
      <c r="P223" s="72">
        <f t="shared" ref="P223:U223" si="44">IF(AND(P176="-",P129="-",P82="-",P35="-"),"-",SUM(P176,P129,P82,P35))</f>
        <v>4</v>
      </c>
      <c r="Q223" s="72">
        <f t="shared" si="44"/>
        <v>0</v>
      </c>
      <c r="R223" s="72">
        <f t="shared" si="44"/>
        <v>2</v>
      </c>
      <c r="S223" s="72">
        <f t="shared" si="44"/>
        <v>2</v>
      </c>
      <c r="T223" s="72" t="str">
        <f t="shared" si="44"/>
        <v>-</v>
      </c>
      <c r="U223" s="72">
        <f t="shared" si="44"/>
        <v>8</v>
      </c>
    </row>
    <row r="224" spans="1:21" s="359" customFormat="1" x14ac:dyDescent="0.2">
      <c r="A224" s="348">
        <v>2006</v>
      </c>
      <c r="B224" s="72">
        <f t="shared" ref="B224:G233" si="45">IF(AND(B177="-",B130="-",B83="-",B36="-"),"-",SUM(B177,B130,B83,B36))</f>
        <v>6481</v>
      </c>
      <c r="C224" s="72">
        <f t="shared" si="45"/>
        <v>3912</v>
      </c>
      <c r="D224" s="72">
        <f t="shared" si="45"/>
        <v>1073</v>
      </c>
      <c r="E224" s="72">
        <f t="shared" si="45"/>
        <v>3459</v>
      </c>
      <c r="F224" s="72">
        <f t="shared" si="45"/>
        <v>1844</v>
      </c>
      <c r="G224" s="72">
        <f t="shared" si="45"/>
        <v>16769</v>
      </c>
      <c r="H224" s="9"/>
      <c r="I224" s="72" t="str">
        <f t="shared" ref="I224:N233" si="46">IF(AND(I177="-",I130="-",I83="-",I36="-"),"-",SUM(I177,I130,I83,I36))</f>
        <v>-</v>
      </c>
      <c r="J224" s="72" t="str">
        <f t="shared" si="46"/>
        <v>-</v>
      </c>
      <c r="K224" s="72">
        <f t="shared" si="46"/>
        <v>129</v>
      </c>
      <c r="L224" s="72">
        <f t="shared" si="46"/>
        <v>845</v>
      </c>
      <c r="M224" s="72">
        <f t="shared" si="46"/>
        <v>291</v>
      </c>
      <c r="N224" s="72">
        <f t="shared" si="46"/>
        <v>1265</v>
      </c>
      <c r="O224" s="203"/>
      <c r="P224" s="72"/>
      <c r="Q224" s="72"/>
      <c r="R224" s="72"/>
      <c r="S224" s="72"/>
      <c r="T224" s="72"/>
      <c r="U224" s="72"/>
    </row>
    <row r="225" spans="1:21" s="359" customFormat="1" x14ac:dyDescent="0.2">
      <c r="A225" s="348">
        <v>2007</v>
      </c>
      <c r="B225" s="72">
        <f t="shared" si="45"/>
        <v>5866</v>
      </c>
      <c r="C225" s="72">
        <f t="shared" si="45"/>
        <v>4094</v>
      </c>
      <c r="D225" s="72">
        <f t="shared" si="45"/>
        <v>3502</v>
      </c>
      <c r="E225" s="72">
        <f t="shared" si="45"/>
        <v>771</v>
      </c>
      <c r="F225" s="72">
        <f t="shared" si="45"/>
        <v>35</v>
      </c>
      <c r="G225" s="72">
        <f t="shared" si="45"/>
        <v>14268</v>
      </c>
      <c r="H225" s="9"/>
      <c r="I225" s="72" t="str">
        <f t="shared" si="46"/>
        <v>-</v>
      </c>
      <c r="J225" s="72" t="str">
        <f t="shared" si="46"/>
        <v>-</v>
      </c>
      <c r="K225" s="72">
        <f t="shared" si="46"/>
        <v>2282</v>
      </c>
      <c r="L225" s="72">
        <f t="shared" si="46"/>
        <v>3444</v>
      </c>
      <c r="M225" s="72">
        <f t="shared" si="46"/>
        <v>160</v>
      </c>
      <c r="N225" s="72">
        <f t="shared" si="46"/>
        <v>5886</v>
      </c>
      <c r="O225" s="203"/>
      <c r="P225" s="72">
        <f t="shared" ref="P225:U225" si="47">IF(AND(P178="-",P131="-",P84="-",P37="-"),"-",SUM(P178,P131,P84,P37))</f>
        <v>8</v>
      </c>
      <c r="Q225" s="72">
        <f t="shared" si="47"/>
        <v>19</v>
      </c>
      <c r="R225" s="72">
        <f t="shared" si="47"/>
        <v>119</v>
      </c>
      <c r="S225" s="72">
        <f t="shared" si="47"/>
        <v>1</v>
      </c>
      <c r="T225" s="72">
        <f t="shared" si="47"/>
        <v>0</v>
      </c>
      <c r="U225" s="72">
        <f t="shared" si="47"/>
        <v>147</v>
      </c>
    </row>
    <row r="226" spans="1:21" s="359" customFormat="1" x14ac:dyDescent="0.2">
      <c r="A226" s="157">
        <v>2008</v>
      </c>
      <c r="B226" s="72">
        <f t="shared" si="45"/>
        <v>1812</v>
      </c>
      <c r="C226" s="72">
        <f t="shared" si="45"/>
        <v>4197</v>
      </c>
      <c r="D226" s="72">
        <f t="shared" si="45"/>
        <v>1180</v>
      </c>
      <c r="E226" s="72">
        <f t="shared" si="45"/>
        <v>1185</v>
      </c>
      <c r="F226" s="72">
        <f t="shared" si="45"/>
        <v>262</v>
      </c>
      <c r="G226" s="72">
        <f t="shared" si="45"/>
        <v>8636</v>
      </c>
      <c r="H226" s="9"/>
      <c r="I226" s="72" t="str">
        <f t="shared" si="46"/>
        <v>-</v>
      </c>
      <c r="J226" s="72" t="str">
        <f t="shared" si="46"/>
        <v>-</v>
      </c>
      <c r="K226" s="72">
        <f t="shared" si="46"/>
        <v>355</v>
      </c>
      <c r="L226" s="72">
        <f t="shared" si="46"/>
        <v>982</v>
      </c>
      <c r="M226" s="72">
        <f t="shared" si="46"/>
        <v>369</v>
      </c>
      <c r="N226" s="72">
        <f t="shared" si="46"/>
        <v>1706</v>
      </c>
      <c r="O226" s="203"/>
      <c r="P226" s="72"/>
      <c r="Q226" s="72"/>
      <c r="R226" s="72"/>
      <c r="S226" s="72"/>
      <c r="T226" s="72"/>
      <c r="U226" s="72"/>
    </row>
    <row r="227" spans="1:21" s="359" customFormat="1" x14ac:dyDescent="0.2">
      <c r="A227" s="157">
        <v>2009</v>
      </c>
      <c r="B227" s="72">
        <f t="shared" si="45"/>
        <v>5691</v>
      </c>
      <c r="C227" s="72">
        <f t="shared" si="45"/>
        <v>4144</v>
      </c>
      <c r="D227" s="72">
        <f t="shared" si="45"/>
        <v>1635</v>
      </c>
      <c r="E227" s="72">
        <f t="shared" si="45"/>
        <v>726</v>
      </c>
      <c r="F227" s="72">
        <f t="shared" si="45"/>
        <v>120</v>
      </c>
      <c r="G227" s="72">
        <f t="shared" si="45"/>
        <v>12316</v>
      </c>
      <c r="H227" s="9"/>
      <c r="I227" s="72" t="str">
        <f t="shared" si="46"/>
        <v>-</v>
      </c>
      <c r="J227" s="72" t="str">
        <f t="shared" si="46"/>
        <v>-</v>
      </c>
      <c r="K227" s="72">
        <f t="shared" si="46"/>
        <v>5444</v>
      </c>
      <c r="L227" s="72">
        <f t="shared" si="46"/>
        <v>10948</v>
      </c>
      <c r="M227" s="72">
        <f t="shared" si="46"/>
        <v>3663</v>
      </c>
      <c r="N227" s="72">
        <f t="shared" si="46"/>
        <v>20055</v>
      </c>
      <c r="O227" s="203"/>
      <c r="P227" s="72">
        <f t="shared" ref="P227:U227" si="48">IF(AND(P180="-",P133="-",P86="-",P39="-"),"-",SUM(P180,P133,P86,P39))</f>
        <v>1</v>
      </c>
      <c r="Q227" s="72">
        <f t="shared" si="48"/>
        <v>14</v>
      </c>
      <c r="R227" s="72">
        <f t="shared" si="48"/>
        <v>82</v>
      </c>
      <c r="S227" s="72">
        <f t="shared" si="48"/>
        <v>37</v>
      </c>
      <c r="T227" s="72">
        <f t="shared" si="48"/>
        <v>1</v>
      </c>
      <c r="U227" s="72">
        <f t="shared" si="48"/>
        <v>135</v>
      </c>
    </row>
    <row r="228" spans="1:21" s="359" customFormat="1" x14ac:dyDescent="0.2">
      <c r="A228" s="157">
        <v>2010</v>
      </c>
      <c r="B228" s="72">
        <f t="shared" si="45"/>
        <v>8429</v>
      </c>
      <c r="C228" s="72">
        <f t="shared" si="45"/>
        <v>22562</v>
      </c>
      <c r="D228" s="72">
        <f t="shared" si="45"/>
        <v>6281</v>
      </c>
      <c r="E228" s="72">
        <f t="shared" si="45"/>
        <v>7504</v>
      </c>
      <c r="F228" s="72">
        <f t="shared" si="45"/>
        <v>323</v>
      </c>
      <c r="G228" s="72">
        <f t="shared" si="45"/>
        <v>45099</v>
      </c>
      <c r="H228" s="9"/>
      <c r="I228" s="72" t="str">
        <f t="shared" si="46"/>
        <v>-</v>
      </c>
      <c r="J228" s="72" t="str">
        <f t="shared" si="46"/>
        <v>-</v>
      </c>
      <c r="K228" s="72">
        <f t="shared" si="46"/>
        <v>1184</v>
      </c>
      <c r="L228" s="72">
        <f t="shared" si="46"/>
        <v>782</v>
      </c>
      <c r="M228" s="72">
        <f t="shared" si="46"/>
        <v>138</v>
      </c>
      <c r="N228" s="72">
        <f t="shared" si="46"/>
        <v>2104</v>
      </c>
      <c r="O228" s="203"/>
      <c r="P228" s="72"/>
      <c r="Q228" s="72"/>
      <c r="R228" s="72"/>
      <c r="S228" s="72"/>
      <c r="T228" s="72"/>
      <c r="U228" s="72"/>
    </row>
    <row r="229" spans="1:21" s="359" customFormat="1" x14ac:dyDescent="0.2">
      <c r="A229" s="157">
        <v>2011</v>
      </c>
      <c r="B229" s="72">
        <f t="shared" si="45"/>
        <v>8154</v>
      </c>
      <c r="C229" s="72">
        <f t="shared" si="45"/>
        <v>9858</v>
      </c>
      <c r="D229" s="72">
        <f t="shared" si="45"/>
        <v>6016</v>
      </c>
      <c r="E229" s="72">
        <f t="shared" si="45"/>
        <v>2532</v>
      </c>
      <c r="F229" s="72">
        <f t="shared" si="45"/>
        <v>342</v>
      </c>
      <c r="G229" s="72">
        <f t="shared" si="45"/>
        <v>26902</v>
      </c>
      <c r="H229" s="9"/>
      <c r="I229" s="72" t="str">
        <f t="shared" si="46"/>
        <v>-</v>
      </c>
      <c r="J229" s="72" t="str">
        <f t="shared" si="46"/>
        <v>-</v>
      </c>
      <c r="K229" s="72">
        <f t="shared" si="46"/>
        <v>1631</v>
      </c>
      <c r="L229" s="72">
        <f t="shared" si="46"/>
        <v>917</v>
      </c>
      <c r="M229" s="72">
        <f t="shared" si="46"/>
        <v>505</v>
      </c>
      <c r="N229" s="72">
        <f t="shared" si="46"/>
        <v>3053</v>
      </c>
      <c r="O229" s="203"/>
      <c r="P229" s="72">
        <f t="shared" ref="P229:U229" si="49">IF(AND(P182="-",P135="-",P88="-",P41="-"),"-",SUM(P182,P135,P88,P41))</f>
        <v>0</v>
      </c>
      <c r="Q229" s="72">
        <f t="shared" si="49"/>
        <v>3</v>
      </c>
      <c r="R229" s="72">
        <f t="shared" si="49"/>
        <v>118</v>
      </c>
      <c r="S229" s="72">
        <f t="shared" si="49"/>
        <v>93</v>
      </c>
      <c r="T229" s="72">
        <f t="shared" si="49"/>
        <v>1</v>
      </c>
      <c r="U229" s="72">
        <f t="shared" si="49"/>
        <v>215</v>
      </c>
    </row>
    <row r="230" spans="1:21" s="359" customFormat="1" x14ac:dyDescent="0.2">
      <c r="A230" s="157">
        <v>2012</v>
      </c>
      <c r="B230" s="72">
        <f t="shared" si="45"/>
        <v>10629</v>
      </c>
      <c r="C230" s="72">
        <f t="shared" si="45"/>
        <v>12058</v>
      </c>
      <c r="D230" s="72">
        <f t="shared" si="45"/>
        <v>5378</v>
      </c>
      <c r="E230" s="72">
        <f t="shared" si="45"/>
        <v>6398</v>
      </c>
      <c r="F230" s="72">
        <f t="shared" si="45"/>
        <v>2392</v>
      </c>
      <c r="G230" s="72">
        <f t="shared" si="45"/>
        <v>36855</v>
      </c>
      <c r="H230" s="9"/>
      <c r="I230" s="72" t="str">
        <f t="shared" si="46"/>
        <v>-</v>
      </c>
      <c r="J230" s="72" t="str">
        <f t="shared" si="46"/>
        <v>-</v>
      </c>
      <c r="K230" s="72">
        <f t="shared" si="46"/>
        <v>769</v>
      </c>
      <c r="L230" s="72">
        <f t="shared" si="46"/>
        <v>1118</v>
      </c>
      <c r="M230" s="72">
        <f t="shared" si="46"/>
        <v>1381</v>
      </c>
      <c r="N230" s="72">
        <f t="shared" si="46"/>
        <v>3268</v>
      </c>
      <c r="O230" s="203"/>
      <c r="P230" s="72"/>
      <c r="Q230" s="72"/>
      <c r="R230" s="72"/>
      <c r="S230" s="72"/>
      <c r="T230" s="72"/>
      <c r="U230" s="72"/>
    </row>
    <row r="231" spans="1:21" s="359" customFormat="1" x14ac:dyDescent="0.2">
      <c r="A231" s="157">
        <v>2013</v>
      </c>
      <c r="B231" s="72">
        <f t="shared" si="45"/>
        <v>10589</v>
      </c>
      <c r="C231" s="72">
        <f t="shared" si="45"/>
        <v>12206</v>
      </c>
      <c r="D231" s="72">
        <f t="shared" si="45"/>
        <v>7858</v>
      </c>
      <c r="E231" s="72">
        <f t="shared" si="45"/>
        <v>8708</v>
      </c>
      <c r="F231" s="72">
        <f t="shared" si="45"/>
        <v>729</v>
      </c>
      <c r="G231" s="72">
        <f t="shared" si="45"/>
        <v>40090</v>
      </c>
      <c r="H231" s="9"/>
      <c r="I231" s="72" t="str">
        <f t="shared" si="46"/>
        <v>-</v>
      </c>
      <c r="J231" s="72" t="str">
        <f t="shared" si="46"/>
        <v>-</v>
      </c>
      <c r="K231" s="72">
        <f t="shared" si="46"/>
        <v>1920</v>
      </c>
      <c r="L231" s="72">
        <f t="shared" si="46"/>
        <v>3844</v>
      </c>
      <c r="M231" s="72">
        <f t="shared" si="46"/>
        <v>277</v>
      </c>
      <c r="N231" s="72">
        <f t="shared" si="46"/>
        <v>6041</v>
      </c>
      <c r="O231" s="203"/>
      <c r="P231" s="72">
        <f t="shared" ref="P231:U231" si="50">IF(AND(P184="-",P137="-",P90="-",P43="-"),"-",SUM(P184,P137,P90,P43))</f>
        <v>2</v>
      </c>
      <c r="Q231" s="72">
        <f t="shared" si="50"/>
        <v>0</v>
      </c>
      <c r="R231" s="72">
        <f t="shared" si="50"/>
        <v>101</v>
      </c>
      <c r="S231" s="72">
        <f t="shared" si="50"/>
        <v>37</v>
      </c>
      <c r="T231" s="72">
        <f t="shared" si="50"/>
        <v>1</v>
      </c>
      <c r="U231" s="72">
        <f t="shared" si="50"/>
        <v>141</v>
      </c>
    </row>
    <row r="232" spans="1:21" s="359" customFormat="1" x14ac:dyDescent="0.2">
      <c r="A232" s="157">
        <v>2014</v>
      </c>
      <c r="B232" s="72">
        <f t="shared" si="45"/>
        <v>20226</v>
      </c>
      <c r="C232" s="72">
        <f t="shared" si="45"/>
        <v>3110</v>
      </c>
      <c r="D232" s="72">
        <f t="shared" si="45"/>
        <v>8696</v>
      </c>
      <c r="E232" s="72">
        <f t="shared" si="45"/>
        <v>5961</v>
      </c>
      <c r="F232" s="72">
        <f t="shared" si="45"/>
        <v>714</v>
      </c>
      <c r="G232" s="72">
        <f t="shared" si="45"/>
        <v>38707</v>
      </c>
      <c r="H232" s="9"/>
      <c r="I232" s="72" t="str">
        <f t="shared" si="46"/>
        <v>-</v>
      </c>
      <c r="J232" s="72" t="str">
        <f t="shared" si="46"/>
        <v>-</v>
      </c>
      <c r="K232" s="72">
        <f t="shared" si="46"/>
        <v>3441</v>
      </c>
      <c r="L232" s="72">
        <f t="shared" si="46"/>
        <v>6872</v>
      </c>
      <c r="M232" s="72">
        <f t="shared" si="46"/>
        <v>5094</v>
      </c>
      <c r="N232" s="72">
        <f t="shared" si="46"/>
        <v>15407</v>
      </c>
      <c r="O232" s="203"/>
      <c r="P232" s="203"/>
      <c r="Q232" s="203"/>
      <c r="R232" s="203"/>
      <c r="S232" s="203"/>
      <c r="T232" s="203"/>
      <c r="U232" s="72"/>
    </row>
    <row r="233" spans="1:21" s="359" customFormat="1" x14ac:dyDescent="0.2">
      <c r="A233" s="157">
        <v>2015</v>
      </c>
      <c r="B233" s="72">
        <f t="shared" si="45"/>
        <v>15603</v>
      </c>
      <c r="C233" s="72">
        <f t="shared" si="45"/>
        <v>15058</v>
      </c>
      <c r="D233" s="72">
        <f t="shared" si="45"/>
        <v>12706</v>
      </c>
      <c r="E233" s="72">
        <f t="shared" si="45"/>
        <v>10168</v>
      </c>
      <c r="F233" s="72">
        <f t="shared" si="45"/>
        <v>1778</v>
      </c>
      <c r="G233" s="72">
        <f t="shared" si="45"/>
        <v>55313</v>
      </c>
      <c r="H233" s="9"/>
      <c r="I233" s="72" t="str">
        <f t="shared" si="46"/>
        <v>-</v>
      </c>
      <c r="J233" s="72" t="str">
        <f t="shared" si="46"/>
        <v>-</v>
      </c>
      <c r="K233" s="72">
        <f t="shared" si="46"/>
        <v>728</v>
      </c>
      <c r="L233" s="72">
        <f t="shared" si="46"/>
        <v>1169</v>
      </c>
      <c r="M233" s="72">
        <f t="shared" si="46"/>
        <v>975</v>
      </c>
      <c r="N233" s="72">
        <f t="shared" si="46"/>
        <v>2872</v>
      </c>
      <c r="O233" s="203"/>
      <c r="P233" s="72">
        <f t="shared" ref="P233:U233" si="51">IF(AND(P186="-",P139="-",P92="-",P45="-"),"-",SUM(P186,P139,P92,P45))</f>
        <v>1</v>
      </c>
      <c r="Q233" s="72">
        <f t="shared" si="51"/>
        <v>20</v>
      </c>
      <c r="R233" s="72">
        <f t="shared" si="51"/>
        <v>47</v>
      </c>
      <c r="S233" s="72">
        <f t="shared" si="51"/>
        <v>0</v>
      </c>
      <c r="T233" s="72">
        <f t="shared" si="51"/>
        <v>0</v>
      </c>
      <c r="U233" s="72">
        <f t="shared" si="51"/>
        <v>68</v>
      </c>
    </row>
    <row r="234" spans="1:21" s="359" customFormat="1" x14ac:dyDescent="0.2">
      <c r="A234" s="157">
        <v>2016</v>
      </c>
      <c r="B234" s="72">
        <f t="shared" ref="B234:G234" si="52">IF(AND(B187="-",B140="-",B93="-",B46="-"),"-",SUM(B187,B140,B93,B46))</f>
        <v>7090</v>
      </c>
      <c r="C234" s="72">
        <f t="shared" si="52"/>
        <v>4310</v>
      </c>
      <c r="D234" s="72">
        <f t="shared" si="52"/>
        <v>3584</v>
      </c>
      <c r="E234" s="72">
        <f t="shared" si="52"/>
        <v>2360</v>
      </c>
      <c r="F234" s="72" t="str">
        <f t="shared" si="52"/>
        <v>-</v>
      </c>
      <c r="G234" s="72">
        <f t="shared" si="52"/>
        <v>17344</v>
      </c>
      <c r="H234" s="9"/>
      <c r="I234" s="72" t="str">
        <f t="shared" ref="I234:N234" si="53">IF(AND(I187="-",I140="-",I93="-",I46="-"),"-",SUM(I187,I140,I93,I46))</f>
        <v>-</v>
      </c>
      <c r="J234" s="72" t="str">
        <f t="shared" si="53"/>
        <v>-</v>
      </c>
      <c r="K234" s="72" t="str">
        <f t="shared" si="53"/>
        <v>-</v>
      </c>
      <c r="L234" s="72" t="str">
        <f t="shared" si="53"/>
        <v>-</v>
      </c>
      <c r="M234" s="72" t="str">
        <f t="shared" si="53"/>
        <v>-</v>
      </c>
      <c r="N234" s="72" t="str">
        <f t="shared" si="53"/>
        <v>-</v>
      </c>
      <c r="O234" s="203"/>
      <c r="P234" s="72"/>
      <c r="Q234" s="72"/>
      <c r="R234" s="72"/>
      <c r="S234" s="72"/>
      <c r="T234" s="72"/>
      <c r="U234" s="72"/>
    </row>
    <row r="235" spans="1:21" s="359" customFormat="1" x14ac:dyDescent="0.2">
      <c r="A235" s="157">
        <v>2017</v>
      </c>
      <c r="B235" s="72">
        <f t="shared" ref="B235:G235" si="54">IF(AND(B188="-",B141="-",B94="-",B47="-"),"-",SUM(B188,B141,B94,B47))</f>
        <v>13504</v>
      </c>
      <c r="C235" s="72">
        <f t="shared" si="54"/>
        <v>7468</v>
      </c>
      <c r="D235" s="72">
        <f t="shared" si="54"/>
        <v>5780</v>
      </c>
      <c r="E235" s="72">
        <f t="shared" si="54"/>
        <v>5306</v>
      </c>
      <c r="F235" s="72">
        <f t="shared" si="54"/>
        <v>875</v>
      </c>
      <c r="G235" s="72">
        <f t="shared" si="54"/>
        <v>32933</v>
      </c>
      <c r="H235" s="9"/>
      <c r="I235" s="72" t="str">
        <f t="shared" ref="I235:N235" si="55">IF(AND(I188="-",I141="-",I94="-",I47="-"),"-",SUM(I188,I141,I94,I47))</f>
        <v>-</v>
      </c>
      <c r="J235" s="72" t="str">
        <f t="shared" si="55"/>
        <v>-</v>
      </c>
      <c r="K235" s="72">
        <f t="shared" si="55"/>
        <v>231</v>
      </c>
      <c r="L235" s="72">
        <f t="shared" si="55"/>
        <v>769</v>
      </c>
      <c r="M235" s="72">
        <f t="shared" si="55"/>
        <v>368</v>
      </c>
      <c r="N235" s="72">
        <f t="shared" si="55"/>
        <v>1368</v>
      </c>
      <c r="O235" s="203"/>
      <c r="P235" s="72">
        <f t="shared" ref="P235:U235" si="56">IF(AND(P188="-",P141="-",P94="-",P47="-"),"-",SUM(P188,P141,P94,P47))</f>
        <v>0</v>
      </c>
      <c r="Q235" s="72">
        <f t="shared" si="56"/>
        <v>0</v>
      </c>
      <c r="R235" s="72">
        <f t="shared" si="56"/>
        <v>10</v>
      </c>
      <c r="S235" s="72">
        <f t="shared" si="56"/>
        <v>3</v>
      </c>
      <c r="T235" s="72">
        <f t="shared" si="56"/>
        <v>0</v>
      </c>
      <c r="U235" s="72">
        <f t="shared" si="56"/>
        <v>13</v>
      </c>
    </row>
    <row r="236" spans="1:21" s="359" customFormat="1" x14ac:dyDescent="0.2">
      <c r="A236" s="157">
        <v>2018</v>
      </c>
      <c r="B236" s="72">
        <f t="shared" ref="B236:G236" si="57">IF(AND(B189="-",B142="-",B95="-",B48="-"),"-",SUM(B189,B142,B95,B48))</f>
        <v>6673</v>
      </c>
      <c r="C236" s="72">
        <f t="shared" si="57"/>
        <v>9010</v>
      </c>
      <c r="D236" s="72">
        <f t="shared" si="57"/>
        <v>5458</v>
      </c>
      <c r="E236" s="72">
        <f t="shared" si="57"/>
        <v>1702</v>
      </c>
      <c r="F236" s="72">
        <f t="shared" si="57"/>
        <v>713</v>
      </c>
      <c r="G236" s="72">
        <f t="shared" si="57"/>
        <v>23556</v>
      </c>
      <c r="H236" s="9"/>
      <c r="I236" s="72" t="str">
        <f t="shared" ref="I236:N236" si="58">IF(AND(I189="-",I142="-",I95="-",I48="-"),"-",SUM(I189,I142,I95,I48))</f>
        <v>-</v>
      </c>
      <c r="J236" s="72" t="str">
        <f t="shared" si="58"/>
        <v>-</v>
      </c>
      <c r="K236" s="72">
        <f t="shared" si="58"/>
        <v>447</v>
      </c>
      <c r="L236" s="72">
        <f t="shared" si="58"/>
        <v>457</v>
      </c>
      <c r="M236" s="72">
        <f t="shared" si="58"/>
        <v>388</v>
      </c>
      <c r="N236" s="72">
        <f t="shared" si="58"/>
        <v>1292</v>
      </c>
      <c r="O236" s="203"/>
      <c r="P236" s="72"/>
      <c r="Q236" s="72"/>
      <c r="R236" s="72"/>
      <c r="S236" s="72"/>
      <c r="T236" s="72"/>
      <c r="U236" s="72"/>
    </row>
    <row r="237" spans="1:21" s="487" customFormat="1" x14ac:dyDescent="0.2">
      <c r="A237" s="157">
        <v>2019</v>
      </c>
      <c r="B237" s="72">
        <f t="shared" ref="B237:G238" si="59">IF(AND(B190="-",B143="-",B96="-",B49="-"),"-",SUM(B190,B143,B96,B49))</f>
        <v>3901</v>
      </c>
      <c r="C237" s="72">
        <f t="shared" si="59"/>
        <v>3044</v>
      </c>
      <c r="D237" s="72">
        <f t="shared" si="59"/>
        <v>11430</v>
      </c>
      <c r="E237" s="72">
        <f t="shared" si="59"/>
        <v>2669</v>
      </c>
      <c r="F237" s="72">
        <f t="shared" si="59"/>
        <v>1732</v>
      </c>
      <c r="G237" s="72">
        <f t="shared" si="59"/>
        <v>22776</v>
      </c>
      <c r="H237" s="9"/>
      <c r="I237" s="72" t="str">
        <f t="shared" ref="I237:N238" si="60">IF(AND(I190="-",I143="-",I96="-",I49="-"),"-",SUM(I190,I143,I96,I49))</f>
        <v>-</v>
      </c>
      <c r="J237" s="72" t="str">
        <f t="shared" si="60"/>
        <v>-</v>
      </c>
      <c r="K237" s="72">
        <f t="shared" si="60"/>
        <v>1638</v>
      </c>
      <c r="L237" s="72">
        <f t="shared" si="60"/>
        <v>1158</v>
      </c>
      <c r="M237" s="72">
        <f t="shared" si="60"/>
        <v>1201</v>
      </c>
      <c r="N237" s="72">
        <f t="shared" si="60"/>
        <v>3997</v>
      </c>
      <c r="O237" s="203"/>
      <c r="P237" s="72">
        <f t="shared" ref="P237:U237" si="61">IF(AND(P190="-",P143="-",P96="-",P49="-"),"-",SUM(P190,P143,P96,P49))</f>
        <v>0</v>
      </c>
      <c r="Q237" s="72">
        <f t="shared" si="61"/>
        <v>0</v>
      </c>
      <c r="R237" s="72">
        <f t="shared" si="61"/>
        <v>280</v>
      </c>
      <c r="S237" s="72">
        <f t="shared" si="61"/>
        <v>31</v>
      </c>
      <c r="T237" s="72">
        <f t="shared" si="61"/>
        <v>0</v>
      </c>
      <c r="U237" s="72">
        <f t="shared" si="61"/>
        <v>311</v>
      </c>
    </row>
    <row r="238" spans="1:21" x14ac:dyDescent="0.2">
      <c r="A238" s="171" t="s">
        <v>394</v>
      </c>
      <c r="B238" s="72">
        <f t="shared" si="59"/>
        <v>625</v>
      </c>
      <c r="C238" s="72">
        <f t="shared" si="59"/>
        <v>1307</v>
      </c>
      <c r="D238" s="72">
        <f t="shared" si="59"/>
        <v>7269</v>
      </c>
      <c r="E238" s="72">
        <f t="shared" si="59"/>
        <v>2949</v>
      </c>
      <c r="F238" s="72">
        <f t="shared" si="59"/>
        <v>160</v>
      </c>
      <c r="G238" s="72">
        <f t="shared" si="59"/>
        <v>12310</v>
      </c>
      <c r="I238" s="72" t="str">
        <f t="shared" si="60"/>
        <v>-</v>
      </c>
      <c r="J238" s="72" t="str">
        <f t="shared" si="60"/>
        <v>-</v>
      </c>
      <c r="K238" s="72">
        <f t="shared" si="60"/>
        <v>222</v>
      </c>
      <c r="L238" s="72">
        <f t="shared" si="60"/>
        <v>314</v>
      </c>
      <c r="M238" s="72">
        <f t="shared" si="60"/>
        <v>101</v>
      </c>
      <c r="N238" s="72">
        <f t="shared" si="60"/>
        <v>637</v>
      </c>
      <c r="P238" s="72"/>
      <c r="Q238" s="72"/>
      <c r="R238" s="72"/>
      <c r="S238" s="72"/>
      <c r="T238" s="72"/>
      <c r="U238" s="72"/>
    </row>
    <row r="239" spans="1:21" ht="12.75" customHeight="1" x14ac:dyDescent="0.2">
      <c r="A239" s="578" t="s">
        <v>69</v>
      </c>
      <c r="B239" s="578"/>
      <c r="C239" s="578"/>
      <c r="D239" s="578"/>
      <c r="E239" s="578"/>
      <c r="F239" s="578"/>
      <c r="G239" s="578"/>
      <c r="H239" s="578"/>
      <c r="I239" s="578"/>
      <c r="J239" s="578"/>
      <c r="K239" s="578"/>
      <c r="L239" s="578"/>
      <c r="M239" s="578"/>
      <c r="N239" s="578"/>
      <c r="O239" s="578"/>
      <c r="P239" s="578"/>
      <c r="Q239" s="578"/>
      <c r="R239" s="578"/>
      <c r="S239" s="578"/>
      <c r="T239" s="578"/>
      <c r="U239" s="578"/>
    </row>
    <row r="240" spans="1:21" x14ac:dyDescent="0.2">
      <c r="A240" s="574" t="s">
        <v>70</v>
      </c>
      <c r="B240" s="574"/>
      <c r="C240" s="574"/>
      <c r="D240" s="574"/>
      <c r="E240" s="574"/>
      <c r="F240" s="574"/>
      <c r="G240" s="574"/>
      <c r="H240" s="574"/>
      <c r="I240" s="574"/>
      <c r="J240" s="574"/>
      <c r="K240" s="574"/>
      <c r="L240" s="574"/>
      <c r="M240" s="574"/>
      <c r="N240" s="574"/>
      <c r="O240" s="574"/>
      <c r="P240" s="574"/>
      <c r="Q240" s="574"/>
      <c r="R240" s="574"/>
      <c r="S240" s="574"/>
      <c r="T240" s="574"/>
      <c r="U240" s="574"/>
    </row>
    <row r="241" spans="1:21" x14ac:dyDescent="0.2">
      <c r="A241" s="574" t="s">
        <v>77</v>
      </c>
      <c r="B241" s="574"/>
      <c r="C241" s="574"/>
      <c r="D241" s="574"/>
      <c r="E241" s="574"/>
      <c r="F241" s="574"/>
      <c r="G241" s="574"/>
      <c r="H241" s="574"/>
      <c r="I241" s="574"/>
      <c r="J241" s="574"/>
      <c r="K241" s="574"/>
      <c r="L241" s="574"/>
      <c r="M241" s="574"/>
      <c r="N241" s="574"/>
      <c r="O241" s="574"/>
      <c r="P241" s="574"/>
      <c r="Q241" s="574"/>
      <c r="R241" s="574"/>
      <c r="S241" s="574"/>
      <c r="T241" s="574"/>
      <c r="U241" s="574"/>
    </row>
    <row r="242" spans="1:21" x14ac:dyDescent="0.2">
      <c r="A242" s="574" t="s">
        <v>46</v>
      </c>
      <c r="B242" s="574"/>
      <c r="C242" s="574"/>
      <c r="D242" s="574"/>
      <c r="E242" s="574"/>
      <c r="F242" s="574"/>
      <c r="G242" s="574"/>
      <c r="H242" s="574"/>
      <c r="I242" s="574"/>
      <c r="J242" s="574"/>
      <c r="K242" s="574"/>
      <c r="L242" s="574"/>
      <c r="M242" s="574"/>
      <c r="N242" s="574"/>
      <c r="O242" s="574"/>
      <c r="P242" s="574"/>
      <c r="Q242" s="574"/>
      <c r="R242" s="574"/>
      <c r="S242" s="574"/>
      <c r="T242" s="574"/>
      <c r="U242" s="574"/>
    </row>
    <row r="243" spans="1:21" x14ac:dyDescent="0.2">
      <c r="A243" s="574"/>
      <c r="B243" s="574"/>
      <c r="C243" s="574"/>
      <c r="D243" s="574"/>
      <c r="E243" s="574"/>
      <c r="F243" s="574"/>
      <c r="G243" s="574"/>
      <c r="H243" s="574"/>
      <c r="I243" s="574"/>
      <c r="J243" s="574"/>
      <c r="K243" s="574"/>
      <c r="L243" s="574"/>
      <c r="M243" s="574"/>
      <c r="N243" s="574"/>
      <c r="O243" s="574"/>
      <c r="P243" s="574"/>
      <c r="Q243" s="574"/>
      <c r="R243" s="574"/>
      <c r="S243" s="574"/>
      <c r="T243" s="574"/>
      <c r="U243" s="574"/>
    </row>
    <row r="244" spans="1:21" x14ac:dyDescent="0.2">
      <c r="A244" s="581"/>
      <c r="B244" s="581"/>
      <c r="C244" s="581"/>
      <c r="D244" s="581"/>
      <c r="E244" s="581"/>
      <c r="F244" s="581"/>
      <c r="G244" s="581"/>
      <c r="H244" s="581"/>
      <c r="I244" s="581"/>
      <c r="J244" s="581"/>
      <c r="K244" s="581"/>
      <c r="L244" s="581"/>
      <c r="M244" s="581"/>
      <c r="N244" s="581"/>
      <c r="O244" s="581"/>
      <c r="P244" s="581"/>
      <c r="Q244" s="581"/>
      <c r="R244" s="581"/>
      <c r="S244" s="581"/>
      <c r="T244" s="581"/>
      <c r="U244" s="581"/>
    </row>
    <row r="245" spans="1:21" s="310" customFormat="1" x14ac:dyDescent="0.2">
      <c r="A245" s="240"/>
      <c r="B245" s="253"/>
      <c r="C245" s="253"/>
      <c r="D245" s="253"/>
      <c r="E245" s="253"/>
      <c r="F245" s="253"/>
      <c r="G245" s="253"/>
      <c r="H245" s="254"/>
      <c r="I245" s="241"/>
      <c r="J245" s="241"/>
      <c r="K245" s="241"/>
      <c r="L245" s="241"/>
      <c r="M245" s="241"/>
      <c r="N245" s="241"/>
      <c r="O245" s="241"/>
      <c r="P245" s="241"/>
      <c r="Q245" s="241"/>
      <c r="R245" s="241"/>
      <c r="S245" s="241"/>
      <c r="T245" s="241"/>
      <c r="U245" s="241"/>
    </row>
    <row r="246" spans="1:21" x14ac:dyDescent="0.2">
      <c r="B246" s="21"/>
      <c r="C246" s="21"/>
      <c r="D246" s="21"/>
      <c r="E246" s="21"/>
      <c r="F246" s="21"/>
      <c r="G246" s="21"/>
    </row>
    <row r="247" spans="1:21" x14ac:dyDescent="0.2">
      <c r="B247" s="21"/>
      <c r="C247" s="21"/>
      <c r="D247" s="21"/>
      <c r="E247" s="21"/>
      <c r="F247" s="21"/>
      <c r="G247" s="21"/>
    </row>
    <row r="248" spans="1:21" x14ac:dyDescent="0.2">
      <c r="B248" s="21"/>
      <c r="C248" s="21"/>
      <c r="D248" s="21"/>
      <c r="E248" s="21"/>
      <c r="F248" s="21"/>
      <c r="G248" s="21"/>
    </row>
    <row r="249" spans="1:21" x14ac:dyDescent="0.2">
      <c r="B249" s="21"/>
      <c r="C249" s="21"/>
      <c r="D249" s="21"/>
      <c r="E249" s="21"/>
      <c r="F249" s="21"/>
      <c r="G249" s="21"/>
    </row>
    <row r="250" spans="1:21" x14ac:dyDescent="0.2">
      <c r="B250" s="200"/>
      <c r="C250" s="200"/>
      <c r="D250" s="200"/>
      <c r="E250" s="200"/>
      <c r="F250" s="200"/>
      <c r="G250" s="200"/>
    </row>
    <row r="251" spans="1:21" x14ac:dyDescent="0.2">
      <c r="A251" s="577" t="s">
        <v>342</v>
      </c>
      <c r="B251" s="577"/>
      <c r="C251" s="577"/>
      <c r="D251" s="577"/>
      <c r="E251" s="577"/>
      <c r="F251" s="577"/>
      <c r="G251" s="577"/>
      <c r="H251" s="577"/>
      <c r="I251" s="577"/>
      <c r="J251" s="577"/>
      <c r="K251" s="577"/>
      <c r="L251" s="577"/>
      <c r="M251" s="577"/>
      <c r="N251" s="577"/>
      <c r="O251" s="577"/>
      <c r="P251" s="577"/>
      <c r="Q251" s="577"/>
      <c r="R251" s="577"/>
      <c r="S251" s="577"/>
      <c r="T251" s="577"/>
      <c r="U251" s="577"/>
    </row>
    <row r="252" spans="1:21" s="367" customFormat="1" ht="12" customHeight="1" x14ac:dyDescent="0.2">
      <c r="A252" s="2" t="s">
        <v>33</v>
      </c>
      <c r="B252" s="390" t="s">
        <v>35</v>
      </c>
      <c r="C252" s="390" t="s">
        <v>36</v>
      </c>
      <c r="D252" s="390" t="s">
        <v>37</v>
      </c>
      <c r="E252" s="390" t="s">
        <v>38</v>
      </c>
      <c r="F252" s="191" t="s">
        <v>329</v>
      </c>
      <c r="G252" s="390" t="s">
        <v>28</v>
      </c>
      <c r="H252" s="390"/>
      <c r="I252" s="499" t="s">
        <v>35</v>
      </c>
      <c r="J252" s="499" t="s">
        <v>36</v>
      </c>
      <c r="K252" s="499" t="s">
        <v>37</v>
      </c>
      <c r="L252" s="499" t="s">
        <v>38</v>
      </c>
      <c r="M252" s="191" t="s">
        <v>329</v>
      </c>
      <c r="N252" s="499" t="s">
        <v>28</v>
      </c>
      <c r="O252" s="499"/>
      <c r="P252" s="499" t="s">
        <v>35</v>
      </c>
      <c r="Q252" s="499" t="s">
        <v>36</v>
      </c>
      <c r="R252" s="499" t="s">
        <v>37</v>
      </c>
      <c r="S252" s="499" t="s">
        <v>38</v>
      </c>
      <c r="T252" s="191" t="s">
        <v>329</v>
      </c>
      <c r="U252" s="499" t="s">
        <v>28</v>
      </c>
    </row>
    <row r="253" spans="1:21" ht="12" customHeight="1" x14ac:dyDescent="0.2">
      <c r="A253" s="159"/>
      <c r="B253" s="582" t="s">
        <v>67</v>
      </c>
      <c r="C253" s="582"/>
      <c r="D253" s="582"/>
      <c r="E253" s="582"/>
      <c r="F253" s="582"/>
      <c r="G253" s="582"/>
      <c r="H253" s="391"/>
      <c r="I253" s="583" t="s">
        <v>68</v>
      </c>
      <c r="J253" s="583"/>
      <c r="K253" s="583"/>
      <c r="L253" s="583"/>
      <c r="M253" s="583"/>
      <c r="N253" s="583"/>
      <c r="O253" s="23"/>
      <c r="P253" s="583" t="s">
        <v>122</v>
      </c>
      <c r="Q253" s="583"/>
      <c r="R253" s="583"/>
      <c r="S253" s="583"/>
      <c r="T253" s="583"/>
      <c r="U253" s="583"/>
    </row>
    <row r="254" spans="1:21" ht="12" customHeight="1" x14ac:dyDescent="0.2">
      <c r="A254" s="116" t="s">
        <v>267</v>
      </c>
      <c r="B254" s="203"/>
      <c r="C254" s="203"/>
      <c r="D254" s="203"/>
      <c r="E254" s="203"/>
      <c r="F254" s="203"/>
      <c r="G254" s="203"/>
      <c r="H254" s="9"/>
      <c r="I254" s="203"/>
      <c r="J254" s="203"/>
      <c r="K254" s="203"/>
      <c r="L254" s="203"/>
      <c r="M254" s="203"/>
      <c r="N254" s="203"/>
      <c r="O254" s="203"/>
      <c r="P254" s="203"/>
      <c r="Q254" s="203"/>
      <c r="R254" s="203"/>
      <c r="S254" s="203"/>
      <c r="T254" s="203"/>
      <c r="U254" s="203"/>
    </row>
    <row r="255" spans="1:21" ht="12" customHeight="1" x14ac:dyDescent="0.2">
      <c r="A255" s="500" t="s">
        <v>30</v>
      </c>
      <c r="B255" s="203">
        <f t="shared" ref="B255:G255" si="62">AVERAGE(B11:B15)</f>
        <v>3293.2</v>
      </c>
      <c r="C255" s="203">
        <f t="shared" si="62"/>
        <v>532.33333333333337</v>
      </c>
      <c r="D255" s="203">
        <f t="shared" si="62"/>
        <v>6289</v>
      </c>
      <c r="E255" s="203">
        <f t="shared" si="62"/>
        <v>1424.2</v>
      </c>
      <c r="F255" s="203">
        <f t="shared" si="62"/>
        <v>31</v>
      </c>
      <c r="G255" s="203">
        <f t="shared" si="62"/>
        <v>10074.200000000001</v>
      </c>
      <c r="H255" s="9"/>
      <c r="I255" s="203" t="s">
        <v>29</v>
      </c>
      <c r="J255" s="203" t="s">
        <v>29</v>
      </c>
      <c r="K255" s="203">
        <f>AVERAGE(K11:K15)</f>
        <v>43965</v>
      </c>
      <c r="L255" s="203">
        <f>AVERAGE(L11:L15)</f>
        <v>15853.2</v>
      </c>
      <c r="M255" s="203">
        <f>AVERAGE(M11:M15)</f>
        <v>99.5</v>
      </c>
      <c r="N255" s="203">
        <f>AVERAGE(N11:N15)</f>
        <v>42272</v>
      </c>
      <c r="O255" s="203"/>
      <c r="P255" s="203">
        <f t="shared" ref="P255:U255" si="63">AVERAGE(P11:P15)</f>
        <v>113.33333333333333</v>
      </c>
      <c r="Q255" s="203">
        <f t="shared" si="63"/>
        <v>19.5</v>
      </c>
      <c r="R255" s="203">
        <f t="shared" si="63"/>
        <v>38465.666666666664</v>
      </c>
      <c r="S255" s="203">
        <f t="shared" si="63"/>
        <v>103126.5</v>
      </c>
      <c r="T255" s="203">
        <f t="shared" si="63"/>
        <v>415</v>
      </c>
      <c r="U255" s="203">
        <f t="shared" si="63"/>
        <v>107619.66666666667</v>
      </c>
    </row>
    <row r="256" spans="1:21" ht="12" customHeight="1" x14ac:dyDescent="0.2">
      <c r="A256" s="500" t="s">
        <v>87</v>
      </c>
      <c r="B256" s="203">
        <f>AVERAGE(B16:B20)</f>
        <v>8156.75</v>
      </c>
      <c r="C256" s="203">
        <f>AVERAGE(C16:C20)</f>
        <v>4180</v>
      </c>
      <c r="D256" s="203">
        <f>AVERAGE(D16:D20)</f>
        <v>74</v>
      </c>
      <c r="E256" s="203">
        <f>AVERAGE(E16:E20)</f>
        <v>672</v>
      </c>
      <c r="F256" s="203" t="s">
        <v>29</v>
      </c>
      <c r="G256" s="203">
        <f>AVERAGE(G16:G20)</f>
        <v>9600.6</v>
      </c>
      <c r="H256" s="9"/>
      <c r="I256" s="203" t="s">
        <v>29</v>
      </c>
      <c r="J256" s="203" t="s">
        <v>29</v>
      </c>
      <c r="K256" s="203">
        <f>AVERAGE(K16:K20)</f>
        <v>776</v>
      </c>
      <c r="L256" s="203">
        <f>AVERAGE(L16:L20)</f>
        <v>24066</v>
      </c>
      <c r="M256" s="203" t="s">
        <v>29</v>
      </c>
      <c r="N256" s="203">
        <f>AVERAGE(N16:N20)</f>
        <v>19563.2</v>
      </c>
      <c r="O256" s="203"/>
      <c r="P256" s="203">
        <f>AVERAGE(P16:P20)</f>
        <v>0</v>
      </c>
      <c r="Q256" s="203" t="s">
        <v>29</v>
      </c>
      <c r="R256" s="203">
        <f>AVERAGE(R16:R20)</f>
        <v>1524</v>
      </c>
      <c r="S256" s="203">
        <f>AVERAGE(S16:S20)</f>
        <v>36263</v>
      </c>
      <c r="T256" s="203" t="s">
        <v>29</v>
      </c>
      <c r="U256" s="203">
        <f>AVERAGE(U16:U20)</f>
        <v>18893.5</v>
      </c>
    </row>
    <row r="257" spans="1:24" ht="12" customHeight="1" x14ac:dyDescent="0.2">
      <c r="A257" s="500" t="s">
        <v>14</v>
      </c>
      <c r="B257" s="203">
        <f t="shared" ref="B257:G257" si="64">AVERAGE(B21:B25)</f>
        <v>8817.6666666666661</v>
      </c>
      <c r="C257" s="203">
        <f t="shared" si="64"/>
        <v>5678.666666666667</v>
      </c>
      <c r="D257" s="203">
        <f t="shared" si="64"/>
        <v>1388</v>
      </c>
      <c r="E257" s="203">
        <f t="shared" si="64"/>
        <v>424</v>
      </c>
      <c r="F257" s="203">
        <f t="shared" si="64"/>
        <v>366</v>
      </c>
      <c r="G257" s="203">
        <f t="shared" si="64"/>
        <v>12081.75</v>
      </c>
      <c r="H257" s="9"/>
      <c r="I257" s="203" t="s">
        <v>29</v>
      </c>
      <c r="J257" s="203" t="s">
        <v>29</v>
      </c>
      <c r="K257" s="203">
        <f>AVERAGE(K21:K25)</f>
        <v>3377.5</v>
      </c>
      <c r="L257" s="203">
        <f>AVERAGE(L21:L25)</f>
        <v>9603.75</v>
      </c>
      <c r="M257" s="203">
        <f>AVERAGE(M21:M25)</f>
        <v>5293</v>
      </c>
      <c r="N257" s="203">
        <f>AVERAGE(N21:N25)</f>
        <v>13939</v>
      </c>
      <c r="O257" s="203"/>
      <c r="P257" s="203">
        <f t="shared" ref="P257:U257" si="65">AVERAGE(P21:P25)</f>
        <v>8.5</v>
      </c>
      <c r="Q257" s="203">
        <f t="shared" si="65"/>
        <v>8.5</v>
      </c>
      <c r="R257" s="203">
        <f t="shared" si="65"/>
        <v>64</v>
      </c>
      <c r="S257" s="203">
        <f t="shared" si="65"/>
        <v>23602.666666666668</v>
      </c>
      <c r="T257" s="203">
        <f t="shared" si="65"/>
        <v>535</v>
      </c>
      <c r="U257" s="203">
        <f t="shared" si="65"/>
        <v>23992</v>
      </c>
    </row>
    <row r="258" spans="1:24" ht="12" customHeight="1" x14ac:dyDescent="0.2">
      <c r="A258" s="500" t="s">
        <v>207</v>
      </c>
      <c r="B258" s="203">
        <f>AVERAGE(B26:B30)</f>
        <v>3887.25</v>
      </c>
      <c r="C258" s="203">
        <f>AVERAGE(C26:C30)</f>
        <v>1922.5</v>
      </c>
      <c r="D258" s="203">
        <f>AVERAGE(D26:D30)</f>
        <v>3428</v>
      </c>
      <c r="E258" s="203">
        <f>AVERAGE(E26:E30)</f>
        <v>1524</v>
      </c>
      <c r="F258" s="203" t="s">
        <v>29</v>
      </c>
      <c r="G258" s="203">
        <f>AVERAGE(G26:G30)</f>
        <v>7047.75</v>
      </c>
      <c r="H258" s="9"/>
      <c r="I258" s="203" t="s">
        <v>29</v>
      </c>
      <c r="J258" s="203" t="s">
        <v>29</v>
      </c>
      <c r="K258" s="203">
        <f>AVERAGE(K26:K30)</f>
        <v>2996.5</v>
      </c>
      <c r="L258" s="203">
        <f>AVERAGE(L26:L30)</f>
        <v>4481</v>
      </c>
      <c r="M258" s="203" t="s">
        <v>29</v>
      </c>
      <c r="N258" s="203">
        <f>AVERAGE(N26:N30)</f>
        <v>7477.5</v>
      </c>
      <c r="O258" s="203"/>
      <c r="P258" s="203">
        <f>AVERAGE(P26:P30)</f>
        <v>1</v>
      </c>
      <c r="Q258" s="203">
        <f>AVERAGE(Q26:Q30)</f>
        <v>1</v>
      </c>
      <c r="R258" s="203">
        <f>AVERAGE(R26:R30)</f>
        <v>30</v>
      </c>
      <c r="S258" s="203">
        <f>AVERAGE(S26:S30)</f>
        <v>8</v>
      </c>
      <c r="T258" s="203" t="s">
        <v>29</v>
      </c>
      <c r="U258" s="203">
        <f>AVERAGE(U26:U30)</f>
        <v>21</v>
      </c>
    </row>
    <row r="259" spans="1:24" ht="12" customHeight="1" x14ac:dyDescent="0.2">
      <c r="A259" s="500" t="s">
        <v>238</v>
      </c>
      <c r="B259" s="203">
        <f t="shared" ref="B259:G259" si="66">AVERAGE(B31:B35)</f>
        <v>6623.8</v>
      </c>
      <c r="C259" s="203">
        <f t="shared" si="66"/>
        <v>2490.8000000000002</v>
      </c>
      <c r="D259" s="203">
        <f t="shared" si="66"/>
        <v>4402</v>
      </c>
      <c r="E259" s="203">
        <f t="shared" si="66"/>
        <v>4392.5</v>
      </c>
      <c r="F259" s="203">
        <f t="shared" si="66"/>
        <v>698.5</v>
      </c>
      <c r="G259" s="203">
        <f t="shared" si="66"/>
        <v>17310</v>
      </c>
      <c r="H259" s="9"/>
      <c r="I259" s="203" t="str">
        <f>I31</f>
        <v>-</v>
      </c>
      <c r="J259" s="203" t="str">
        <f>J31</f>
        <v>-</v>
      </c>
      <c r="K259" s="203">
        <f>AVERAGE(K31:K35)</f>
        <v>423.75</v>
      </c>
      <c r="L259" s="203">
        <f>AVERAGE(L31:L35)</f>
        <v>962</v>
      </c>
      <c r="M259" s="203">
        <f>AVERAGE(M31:M35)</f>
        <v>171</v>
      </c>
      <c r="N259" s="203">
        <f>AVERAGE(N31:N35)</f>
        <v>1230.75</v>
      </c>
      <c r="O259" s="203"/>
      <c r="P259" s="203">
        <f t="shared" ref="P259:U259" si="67">AVERAGE(P31:P35)</f>
        <v>0.33333333333333331</v>
      </c>
      <c r="Q259" s="203">
        <f t="shared" si="67"/>
        <v>2.6666666666666665</v>
      </c>
      <c r="R259" s="203">
        <f t="shared" si="67"/>
        <v>18</v>
      </c>
      <c r="S259" s="203">
        <f t="shared" si="67"/>
        <v>11.5</v>
      </c>
      <c r="T259" s="203">
        <f t="shared" si="67"/>
        <v>0</v>
      </c>
      <c r="U259" s="203">
        <f t="shared" si="67"/>
        <v>28.666666666666668</v>
      </c>
    </row>
    <row r="260" spans="1:24" ht="12" customHeight="1" x14ac:dyDescent="0.2">
      <c r="A260" s="500">
        <v>2006</v>
      </c>
      <c r="B260" s="203">
        <f t="shared" ref="B260:G274" si="68">B36</f>
        <v>2434</v>
      </c>
      <c r="C260" s="203">
        <f t="shared" si="68"/>
        <v>545</v>
      </c>
      <c r="D260" s="203">
        <f t="shared" si="68"/>
        <v>109</v>
      </c>
      <c r="E260" s="203">
        <f t="shared" si="68"/>
        <v>662</v>
      </c>
      <c r="F260" s="203">
        <f t="shared" si="68"/>
        <v>461</v>
      </c>
      <c r="G260" s="203">
        <f t="shared" si="68"/>
        <v>4211</v>
      </c>
      <c r="H260" s="9"/>
      <c r="I260" s="203" t="str">
        <f t="shared" ref="I260:N274" si="69">I36</f>
        <v>-</v>
      </c>
      <c r="J260" s="203" t="str">
        <f t="shared" si="69"/>
        <v>-</v>
      </c>
      <c r="K260" s="203">
        <f t="shared" si="69"/>
        <v>12</v>
      </c>
      <c r="L260" s="203">
        <f t="shared" si="69"/>
        <v>206</v>
      </c>
      <c r="M260" s="203">
        <f t="shared" si="69"/>
        <v>23</v>
      </c>
      <c r="N260" s="203">
        <f t="shared" si="69"/>
        <v>241</v>
      </c>
      <c r="O260" s="203"/>
      <c r="P260" s="203"/>
      <c r="Q260" s="203"/>
      <c r="R260" s="203"/>
      <c r="S260" s="203"/>
      <c r="T260" s="203"/>
      <c r="U260" s="203"/>
    </row>
    <row r="261" spans="1:24" s="359" customFormat="1" ht="12" customHeight="1" x14ac:dyDescent="0.2">
      <c r="A261" s="500">
        <v>2007</v>
      </c>
      <c r="B261" s="203">
        <f t="shared" si="68"/>
        <v>223</v>
      </c>
      <c r="C261" s="203">
        <f t="shared" si="68"/>
        <v>122</v>
      </c>
      <c r="D261" s="203">
        <f t="shared" si="68"/>
        <v>171</v>
      </c>
      <c r="E261" s="203">
        <f t="shared" si="68"/>
        <v>20</v>
      </c>
      <c r="F261" s="203">
        <f t="shared" si="68"/>
        <v>18</v>
      </c>
      <c r="G261" s="203">
        <f t="shared" si="68"/>
        <v>554</v>
      </c>
      <c r="H261" s="9"/>
      <c r="I261" s="203" t="str">
        <f t="shared" si="69"/>
        <v>-</v>
      </c>
      <c r="J261" s="203" t="str">
        <f t="shared" si="69"/>
        <v>-</v>
      </c>
      <c r="K261" s="203">
        <f t="shared" si="69"/>
        <v>143</v>
      </c>
      <c r="L261" s="203">
        <f t="shared" si="69"/>
        <v>0</v>
      </c>
      <c r="M261" s="203">
        <f t="shared" si="69"/>
        <v>4</v>
      </c>
      <c r="N261" s="203">
        <f t="shared" si="69"/>
        <v>147</v>
      </c>
      <c r="O261" s="203"/>
      <c r="P261" s="203">
        <f t="shared" ref="P261:U261" si="70">P37</f>
        <v>8</v>
      </c>
      <c r="Q261" s="203">
        <f t="shared" si="70"/>
        <v>0</v>
      </c>
      <c r="R261" s="203">
        <f t="shared" si="70"/>
        <v>16</v>
      </c>
      <c r="S261" s="203">
        <f t="shared" si="70"/>
        <v>0</v>
      </c>
      <c r="T261" s="203">
        <f t="shared" si="70"/>
        <v>0</v>
      </c>
      <c r="U261" s="203">
        <f t="shared" si="70"/>
        <v>24</v>
      </c>
    </row>
    <row r="262" spans="1:24" s="359" customFormat="1" ht="12" customHeight="1" x14ac:dyDescent="0.2">
      <c r="A262" s="500">
        <v>2008</v>
      </c>
      <c r="B262" s="203">
        <f t="shared" si="68"/>
        <v>47</v>
      </c>
      <c r="C262" s="203">
        <f t="shared" si="68"/>
        <v>434</v>
      </c>
      <c r="D262" s="203">
        <f t="shared" si="68"/>
        <v>1</v>
      </c>
      <c r="E262" s="203">
        <f t="shared" si="68"/>
        <v>17</v>
      </c>
      <c r="F262" s="203">
        <f t="shared" si="68"/>
        <v>0</v>
      </c>
      <c r="G262" s="203">
        <f t="shared" si="68"/>
        <v>499</v>
      </c>
      <c r="H262" s="9"/>
      <c r="I262" s="203" t="str">
        <f t="shared" si="69"/>
        <v>-</v>
      </c>
      <c r="J262" s="203" t="str">
        <f t="shared" si="69"/>
        <v>-</v>
      </c>
      <c r="K262" s="203">
        <f t="shared" si="69"/>
        <v>0</v>
      </c>
      <c r="L262" s="203">
        <f t="shared" si="69"/>
        <v>7</v>
      </c>
      <c r="M262" s="203">
        <f t="shared" si="69"/>
        <v>0</v>
      </c>
      <c r="N262" s="203">
        <f t="shared" si="69"/>
        <v>7</v>
      </c>
      <c r="O262" s="203"/>
      <c r="P262" s="203"/>
      <c r="Q262" s="203"/>
      <c r="R262" s="203"/>
      <c r="S262" s="203"/>
      <c r="T262" s="203"/>
      <c r="U262" s="203"/>
    </row>
    <row r="263" spans="1:24" s="359" customFormat="1" ht="12" customHeight="1" x14ac:dyDescent="0.2">
      <c r="A263" s="500">
        <v>2009</v>
      </c>
      <c r="B263" s="203">
        <f t="shared" si="68"/>
        <v>597</v>
      </c>
      <c r="C263" s="203">
        <f t="shared" si="68"/>
        <v>461</v>
      </c>
      <c r="D263" s="203">
        <f t="shared" si="68"/>
        <v>138</v>
      </c>
      <c r="E263" s="203">
        <f t="shared" si="68"/>
        <v>3</v>
      </c>
      <c r="F263" s="203">
        <f t="shared" si="68"/>
        <v>2</v>
      </c>
      <c r="G263" s="203">
        <f t="shared" si="68"/>
        <v>1201</v>
      </c>
      <c r="H263" s="9"/>
      <c r="I263" s="203" t="str">
        <f t="shared" si="69"/>
        <v>-</v>
      </c>
      <c r="J263" s="203" t="str">
        <f t="shared" si="69"/>
        <v>-</v>
      </c>
      <c r="K263" s="203">
        <f t="shared" si="69"/>
        <v>458</v>
      </c>
      <c r="L263" s="203">
        <f t="shared" si="69"/>
        <v>102</v>
      </c>
      <c r="M263" s="203">
        <f t="shared" si="69"/>
        <v>24</v>
      </c>
      <c r="N263" s="203">
        <f t="shared" si="69"/>
        <v>584</v>
      </c>
      <c r="O263" s="203"/>
      <c r="P263" s="203">
        <f t="shared" ref="P263:U263" si="71">P39</f>
        <v>1</v>
      </c>
      <c r="Q263" s="203">
        <f t="shared" si="71"/>
        <v>8</v>
      </c>
      <c r="R263" s="203">
        <f t="shared" si="71"/>
        <v>0</v>
      </c>
      <c r="S263" s="203">
        <f t="shared" si="71"/>
        <v>0</v>
      </c>
      <c r="T263" s="203">
        <f t="shared" si="71"/>
        <v>0</v>
      </c>
      <c r="U263" s="203">
        <f t="shared" si="71"/>
        <v>9</v>
      </c>
    </row>
    <row r="264" spans="1:24" s="359" customFormat="1" ht="12" customHeight="1" x14ac:dyDescent="0.2">
      <c r="A264" s="157">
        <v>2010</v>
      </c>
      <c r="B264" s="203">
        <f t="shared" si="68"/>
        <v>1902</v>
      </c>
      <c r="C264" s="203">
        <f t="shared" si="68"/>
        <v>1529</v>
      </c>
      <c r="D264" s="203">
        <f t="shared" si="68"/>
        <v>368</v>
      </c>
      <c r="E264" s="203">
        <f t="shared" si="68"/>
        <v>332</v>
      </c>
      <c r="F264" s="203">
        <f t="shared" si="68"/>
        <v>0</v>
      </c>
      <c r="G264" s="203">
        <f t="shared" si="68"/>
        <v>4131</v>
      </c>
      <c r="H264" s="9"/>
      <c r="I264" s="203" t="str">
        <f t="shared" si="69"/>
        <v>-</v>
      </c>
      <c r="J264" s="203" t="str">
        <f t="shared" si="69"/>
        <v>-</v>
      </c>
      <c r="K264" s="203">
        <f t="shared" si="69"/>
        <v>69</v>
      </c>
      <c r="L264" s="203">
        <f t="shared" si="69"/>
        <v>18</v>
      </c>
      <c r="M264" s="203">
        <f t="shared" si="69"/>
        <v>0</v>
      </c>
      <c r="N264" s="203">
        <f t="shared" si="69"/>
        <v>87</v>
      </c>
      <c r="O264" s="203"/>
      <c r="P264" s="203"/>
      <c r="Q264" s="203"/>
      <c r="R264" s="203"/>
      <c r="S264" s="203"/>
      <c r="T264" s="203"/>
      <c r="U264" s="203"/>
    </row>
    <row r="265" spans="1:24" s="359" customFormat="1" ht="12" customHeight="1" x14ac:dyDescent="0.2">
      <c r="A265" s="500">
        <v>2011</v>
      </c>
      <c r="B265" s="203">
        <f t="shared" si="68"/>
        <v>2022</v>
      </c>
      <c r="C265" s="203">
        <f t="shared" si="68"/>
        <v>513</v>
      </c>
      <c r="D265" s="203">
        <f t="shared" si="68"/>
        <v>276</v>
      </c>
      <c r="E265" s="203">
        <f t="shared" si="68"/>
        <v>30</v>
      </c>
      <c r="F265" s="203">
        <f t="shared" si="68"/>
        <v>93</v>
      </c>
      <c r="G265" s="203">
        <f t="shared" si="68"/>
        <v>2934</v>
      </c>
      <c r="H265" s="9"/>
      <c r="I265" s="203" t="str">
        <f t="shared" si="69"/>
        <v>-</v>
      </c>
      <c r="J265" s="203" t="str">
        <f t="shared" si="69"/>
        <v>-</v>
      </c>
      <c r="K265" s="203">
        <f t="shared" si="69"/>
        <v>1</v>
      </c>
      <c r="L265" s="203">
        <f t="shared" si="69"/>
        <v>0</v>
      </c>
      <c r="M265" s="203">
        <f t="shared" si="69"/>
        <v>139</v>
      </c>
      <c r="N265" s="203">
        <f t="shared" si="69"/>
        <v>140</v>
      </c>
      <c r="O265" s="203"/>
      <c r="P265" s="203">
        <f t="shared" ref="P265:U265" si="72">P41</f>
        <v>0</v>
      </c>
      <c r="Q265" s="203">
        <f t="shared" si="72"/>
        <v>0</v>
      </c>
      <c r="R265" s="203">
        <f t="shared" si="72"/>
        <v>7</v>
      </c>
      <c r="S265" s="203">
        <f t="shared" si="72"/>
        <v>0</v>
      </c>
      <c r="T265" s="203">
        <f t="shared" si="72"/>
        <v>0</v>
      </c>
      <c r="U265" s="203">
        <f t="shared" si="72"/>
        <v>7</v>
      </c>
    </row>
    <row r="266" spans="1:24" s="359" customFormat="1" ht="12" customHeight="1" x14ac:dyDescent="0.2">
      <c r="A266" s="500">
        <v>2012</v>
      </c>
      <c r="B266" s="203">
        <f t="shared" si="68"/>
        <v>4511</v>
      </c>
      <c r="C266" s="203">
        <f t="shared" si="68"/>
        <v>788</v>
      </c>
      <c r="D266" s="203">
        <f t="shared" si="68"/>
        <v>157</v>
      </c>
      <c r="E266" s="203">
        <f t="shared" si="68"/>
        <v>421</v>
      </c>
      <c r="F266" s="203">
        <f t="shared" si="68"/>
        <v>225</v>
      </c>
      <c r="G266" s="203">
        <f t="shared" si="68"/>
        <v>6102</v>
      </c>
      <c r="H266" s="9"/>
      <c r="I266" s="203" t="str">
        <f t="shared" si="69"/>
        <v>-</v>
      </c>
      <c r="J266" s="203" t="str">
        <f t="shared" si="69"/>
        <v>-</v>
      </c>
      <c r="K266" s="203">
        <f t="shared" si="69"/>
        <v>0</v>
      </c>
      <c r="L266" s="203">
        <f t="shared" si="69"/>
        <v>125</v>
      </c>
      <c r="M266" s="203">
        <f t="shared" si="69"/>
        <v>79</v>
      </c>
      <c r="N266" s="203">
        <f t="shared" si="69"/>
        <v>204</v>
      </c>
      <c r="O266" s="203"/>
      <c r="P266" s="72"/>
      <c r="Q266" s="72"/>
      <c r="R266" s="72"/>
      <c r="S266" s="72"/>
      <c r="T266" s="72"/>
      <c r="U266" s="72"/>
    </row>
    <row r="267" spans="1:24" s="359" customFormat="1" ht="12" customHeight="1" x14ac:dyDescent="0.2">
      <c r="A267" s="500">
        <v>2013</v>
      </c>
      <c r="B267" s="203">
        <f t="shared" si="68"/>
        <v>3984</v>
      </c>
      <c r="C267" s="203" t="str">
        <f t="shared" si="68"/>
        <v>-</v>
      </c>
      <c r="D267" s="203">
        <f t="shared" si="68"/>
        <v>1900</v>
      </c>
      <c r="E267" s="203">
        <f t="shared" si="68"/>
        <v>87</v>
      </c>
      <c r="F267" s="203" t="str">
        <f t="shared" si="68"/>
        <v>-</v>
      </c>
      <c r="G267" s="203">
        <f t="shared" si="68"/>
        <v>5971</v>
      </c>
      <c r="H267" s="9"/>
      <c r="I267" s="203" t="str">
        <f t="shared" si="69"/>
        <v>-</v>
      </c>
      <c r="J267" s="203" t="str">
        <f t="shared" si="69"/>
        <v>-</v>
      </c>
      <c r="K267" s="203">
        <f t="shared" si="69"/>
        <v>279</v>
      </c>
      <c r="L267" s="203">
        <f t="shared" si="69"/>
        <v>30</v>
      </c>
      <c r="M267" s="203" t="str">
        <f t="shared" si="69"/>
        <v>-</v>
      </c>
      <c r="N267" s="203">
        <f t="shared" si="69"/>
        <v>309</v>
      </c>
      <c r="O267" s="203"/>
      <c r="P267" s="203">
        <f t="shared" ref="P267:U267" si="73">P43</f>
        <v>2</v>
      </c>
      <c r="Q267" s="203" t="str">
        <f t="shared" si="73"/>
        <v>-</v>
      </c>
      <c r="R267" s="203">
        <f t="shared" si="73"/>
        <v>2</v>
      </c>
      <c r="S267" s="203">
        <f t="shared" si="73"/>
        <v>23</v>
      </c>
      <c r="T267" s="203" t="str">
        <f t="shared" si="73"/>
        <v>-</v>
      </c>
      <c r="U267" s="203">
        <f t="shared" si="73"/>
        <v>27</v>
      </c>
    </row>
    <row r="268" spans="1:24" s="359" customFormat="1" ht="12" customHeight="1" x14ac:dyDescent="0.2">
      <c r="A268" s="500">
        <v>2014</v>
      </c>
      <c r="B268" s="203">
        <f t="shared" si="68"/>
        <v>3075</v>
      </c>
      <c r="C268" s="203">
        <f t="shared" si="68"/>
        <v>27</v>
      </c>
      <c r="D268" s="203">
        <f t="shared" si="68"/>
        <v>168</v>
      </c>
      <c r="E268" s="203">
        <f t="shared" si="68"/>
        <v>56</v>
      </c>
      <c r="F268" s="203" t="str">
        <f t="shared" si="68"/>
        <v>-</v>
      </c>
      <c r="G268" s="203">
        <f t="shared" si="68"/>
        <v>3326</v>
      </c>
      <c r="H268" s="9"/>
      <c r="I268" s="203" t="str">
        <f t="shared" si="69"/>
        <v>-</v>
      </c>
      <c r="J268" s="203" t="str">
        <f t="shared" si="69"/>
        <v>-</v>
      </c>
      <c r="K268" s="203">
        <f t="shared" si="69"/>
        <v>19</v>
      </c>
      <c r="L268" s="203">
        <f t="shared" si="69"/>
        <v>22</v>
      </c>
      <c r="M268" s="203" t="str">
        <f t="shared" si="69"/>
        <v>-</v>
      </c>
      <c r="N268" s="203">
        <f t="shared" si="69"/>
        <v>41</v>
      </c>
      <c r="O268" s="203"/>
      <c r="P268" s="72"/>
      <c r="Q268" s="72"/>
      <c r="R268" s="72"/>
      <c r="S268" s="72"/>
      <c r="T268" s="72"/>
      <c r="U268" s="72"/>
    </row>
    <row r="269" spans="1:24" s="359" customFormat="1" ht="12" customHeight="1" x14ac:dyDescent="0.2">
      <c r="A269" s="157">
        <v>2015</v>
      </c>
      <c r="B269" s="203">
        <f t="shared" si="68"/>
        <v>3274</v>
      </c>
      <c r="C269" s="203">
        <f t="shared" si="68"/>
        <v>839</v>
      </c>
      <c r="D269" s="203">
        <f t="shared" si="68"/>
        <v>402</v>
      </c>
      <c r="E269" s="203">
        <f t="shared" si="68"/>
        <v>104</v>
      </c>
      <c r="F269" s="203">
        <f t="shared" si="68"/>
        <v>79</v>
      </c>
      <c r="G269" s="203">
        <f t="shared" si="68"/>
        <v>4698</v>
      </c>
      <c r="H269" s="9"/>
      <c r="I269" s="203" t="str">
        <f t="shared" si="69"/>
        <v>-</v>
      </c>
      <c r="J269" s="203" t="str">
        <f t="shared" si="69"/>
        <v>-</v>
      </c>
      <c r="K269" s="203">
        <f t="shared" si="69"/>
        <v>15</v>
      </c>
      <c r="L269" s="203">
        <f t="shared" si="69"/>
        <v>13</v>
      </c>
      <c r="M269" s="203">
        <f t="shared" si="69"/>
        <v>6</v>
      </c>
      <c r="N269" s="203">
        <f t="shared" si="69"/>
        <v>34</v>
      </c>
      <c r="O269" s="203"/>
      <c r="P269" s="203">
        <f t="shared" ref="P269:U269" si="74">P45</f>
        <v>0</v>
      </c>
      <c r="Q269" s="203">
        <f t="shared" si="74"/>
        <v>20</v>
      </c>
      <c r="R269" s="203">
        <f t="shared" si="74"/>
        <v>0</v>
      </c>
      <c r="S269" s="203">
        <f t="shared" si="74"/>
        <v>0</v>
      </c>
      <c r="T269" s="203">
        <f t="shared" si="74"/>
        <v>0</v>
      </c>
      <c r="U269" s="203">
        <f t="shared" si="74"/>
        <v>20</v>
      </c>
    </row>
    <row r="270" spans="1:24" s="359" customFormat="1" ht="12" customHeight="1" x14ac:dyDescent="0.2">
      <c r="A270" s="157">
        <v>2016</v>
      </c>
      <c r="B270" s="203">
        <f t="shared" si="68"/>
        <v>948</v>
      </c>
      <c r="C270" s="203">
        <f t="shared" si="68"/>
        <v>794</v>
      </c>
      <c r="D270" s="203">
        <f t="shared" si="68"/>
        <v>39</v>
      </c>
      <c r="E270" s="203">
        <f t="shared" si="68"/>
        <v>7</v>
      </c>
      <c r="F270" s="203" t="str">
        <f t="shared" si="68"/>
        <v>-</v>
      </c>
      <c r="G270" s="203">
        <f t="shared" si="68"/>
        <v>1788</v>
      </c>
      <c r="H270" s="9"/>
      <c r="I270" s="203" t="str">
        <f t="shared" si="69"/>
        <v>-</v>
      </c>
      <c r="J270" s="203" t="str">
        <f t="shared" si="69"/>
        <v>-</v>
      </c>
      <c r="K270" s="203" t="str">
        <f t="shared" si="69"/>
        <v>-</v>
      </c>
      <c r="L270" s="203" t="str">
        <f t="shared" si="69"/>
        <v>-</v>
      </c>
      <c r="M270" s="203" t="str">
        <f t="shared" si="69"/>
        <v>-</v>
      </c>
      <c r="N270" s="203" t="str">
        <f t="shared" si="69"/>
        <v>-</v>
      </c>
      <c r="O270" s="203"/>
      <c r="P270" s="203"/>
      <c r="Q270" s="203"/>
      <c r="R270" s="203"/>
      <c r="S270" s="203"/>
      <c r="T270" s="203"/>
      <c r="U270" s="203"/>
      <c r="X270" s="157"/>
    </row>
    <row r="271" spans="1:24" s="359" customFormat="1" ht="12" customHeight="1" x14ac:dyDescent="0.2">
      <c r="A271" s="157">
        <v>2017</v>
      </c>
      <c r="B271" s="203">
        <f t="shared" si="68"/>
        <v>451</v>
      </c>
      <c r="C271" s="203">
        <f t="shared" si="68"/>
        <v>374</v>
      </c>
      <c r="D271" s="203">
        <f t="shared" si="68"/>
        <v>3058</v>
      </c>
      <c r="E271" s="203">
        <f t="shared" si="68"/>
        <v>2158</v>
      </c>
      <c r="F271" s="203">
        <f t="shared" si="68"/>
        <v>310</v>
      </c>
      <c r="G271" s="203">
        <f t="shared" si="68"/>
        <v>6351</v>
      </c>
      <c r="H271" s="9"/>
      <c r="I271" s="203" t="str">
        <f t="shared" si="69"/>
        <v>-</v>
      </c>
      <c r="J271" s="203" t="str">
        <f t="shared" si="69"/>
        <v>-</v>
      </c>
      <c r="K271" s="203">
        <f t="shared" si="69"/>
        <v>49</v>
      </c>
      <c r="L271" s="203">
        <f t="shared" si="69"/>
        <v>182</v>
      </c>
      <c r="M271" s="203">
        <f t="shared" si="69"/>
        <v>80</v>
      </c>
      <c r="N271" s="203">
        <f t="shared" si="69"/>
        <v>311</v>
      </c>
      <c r="O271" s="203"/>
      <c r="P271" s="203">
        <f t="shared" ref="P271:U271" si="75">P47</f>
        <v>0</v>
      </c>
      <c r="Q271" s="203">
        <f t="shared" si="75"/>
        <v>0</v>
      </c>
      <c r="R271" s="203">
        <f t="shared" si="75"/>
        <v>10</v>
      </c>
      <c r="S271" s="203">
        <f t="shared" si="75"/>
        <v>1</v>
      </c>
      <c r="T271" s="203">
        <f t="shared" si="75"/>
        <v>0</v>
      </c>
      <c r="U271" s="203">
        <f t="shared" si="75"/>
        <v>11</v>
      </c>
    </row>
    <row r="272" spans="1:24" s="359" customFormat="1" ht="12" customHeight="1" x14ac:dyDescent="0.2">
      <c r="A272" s="157">
        <v>2018</v>
      </c>
      <c r="B272" s="203">
        <f t="shared" si="68"/>
        <v>2797</v>
      </c>
      <c r="C272" s="203">
        <f t="shared" si="68"/>
        <v>1330</v>
      </c>
      <c r="D272" s="203">
        <f t="shared" si="68"/>
        <v>2684</v>
      </c>
      <c r="E272" s="203">
        <f t="shared" si="68"/>
        <v>283</v>
      </c>
      <c r="F272" s="203">
        <f t="shared" si="68"/>
        <v>182</v>
      </c>
      <c r="G272" s="203">
        <f t="shared" si="68"/>
        <v>7276</v>
      </c>
      <c r="H272" s="9"/>
      <c r="I272" s="203" t="str">
        <f t="shared" si="69"/>
        <v>-</v>
      </c>
      <c r="J272" s="203" t="str">
        <f t="shared" si="69"/>
        <v>-</v>
      </c>
      <c r="K272" s="203">
        <f t="shared" si="69"/>
        <v>249</v>
      </c>
      <c r="L272" s="203">
        <f t="shared" si="69"/>
        <v>50</v>
      </c>
      <c r="M272" s="203">
        <f t="shared" si="69"/>
        <v>106</v>
      </c>
      <c r="N272" s="203">
        <f t="shared" si="69"/>
        <v>405</v>
      </c>
      <c r="O272" s="203"/>
      <c r="P272" s="203"/>
      <c r="Q272" s="203"/>
      <c r="R272" s="203"/>
      <c r="S272" s="203"/>
      <c r="T272" s="203"/>
      <c r="U272" s="203"/>
    </row>
    <row r="273" spans="1:21" s="487" customFormat="1" ht="12" customHeight="1" x14ac:dyDescent="0.2">
      <c r="A273" s="157">
        <v>2019</v>
      </c>
      <c r="B273" s="203">
        <f t="shared" si="68"/>
        <v>1430</v>
      </c>
      <c r="C273" s="203">
        <f t="shared" si="68"/>
        <v>2616</v>
      </c>
      <c r="D273" s="203">
        <f t="shared" si="68"/>
        <v>9491</v>
      </c>
      <c r="E273" s="203">
        <f t="shared" si="68"/>
        <v>219</v>
      </c>
      <c r="F273" s="203">
        <f t="shared" si="68"/>
        <v>67</v>
      </c>
      <c r="G273" s="203">
        <f t="shared" si="68"/>
        <v>13823</v>
      </c>
      <c r="H273" s="9"/>
      <c r="I273" s="203" t="str">
        <f t="shared" si="69"/>
        <v>-</v>
      </c>
      <c r="J273" s="203" t="str">
        <f t="shared" si="69"/>
        <v>-</v>
      </c>
      <c r="K273" s="203">
        <f t="shared" si="69"/>
        <v>938</v>
      </c>
      <c r="L273" s="203">
        <f t="shared" si="69"/>
        <v>59</v>
      </c>
      <c r="M273" s="203">
        <f t="shared" si="69"/>
        <v>120</v>
      </c>
      <c r="N273" s="203">
        <f t="shared" si="69"/>
        <v>1117</v>
      </c>
      <c r="O273" s="203"/>
      <c r="P273" s="203">
        <f t="shared" ref="P273:U273" si="76">P49</f>
        <v>0</v>
      </c>
      <c r="Q273" s="203">
        <f t="shared" si="76"/>
        <v>0</v>
      </c>
      <c r="R273" s="203">
        <f t="shared" si="76"/>
        <v>230</v>
      </c>
      <c r="S273" s="203">
        <f t="shared" si="76"/>
        <v>0</v>
      </c>
      <c r="T273" s="203">
        <f t="shared" si="76"/>
        <v>0</v>
      </c>
      <c r="U273" s="203">
        <f t="shared" si="76"/>
        <v>230</v>
      </c>
    </row>
    <row r="274" spans="1:21" ht="12" customHeight="1" x14ac:dyDescent="0.2">
      <c r="A274" s="171" t="s">
        <v>394</v>
      </c>
      <c r="B274" s="203">
        <f t="shared" si="68"/>
        <v>135</v>
      </c>
      <c r="C274" s="203">
        <f t="shared" si="68"/>
        <v>389</v>
      </c>
      <c r="D274" s="203">
        <f t="shared" si="68"/>
        <v>692</v>
      </c>
      <c r="E274" s="203">
        <f t="shared" si="68"/>
        <v>202</v>
      </c>
      <c r="F274" s="203">
        <f t="shared" si="68"/>
        <v>0</v>
      </c>
      <c r="G274" s="203">
        <f t="shared" si="68"/>
        <v>1418</v>
      </c>
      <c r="H274" s="9"/>
      <c r="I274" s="203" t="str">
        <f t="shared" si="69"/>
        <v>-</v>
      </c>
      <c r="J274" s="203" t="str">
        <f t="shared" si="69"/>
        <v>-</v>
      </c>
      <c r="K274" s="203">
        <f t="shared" si="69"/>
        <v>29</v>
      </c>
      <c r="L274" s="203">
        <f t="shared" si="69"/>
        <v>16</v>
      </c>
      <c r="M274" s="203">
        <f t="shared" si="69"/>
        <v>0</v>
      </c>
      <c r="N274" s="203">
        <f t="shared" si="69"/>
        <v>45</v>
      </c>
      <c r="O274" s="203"/>
      <c r="P274" s="203"/>
      <c r="Q274" s="203"/>
      <c r="R274" s="203"/>
      <c r="S274" s="203"/>
      <c r="T274" s="203"/>
      <c r="U274" s="203"/>
    </row>
    <row r="275" spans="1:21" ht="12" customHeight="1" x14ac:dyDescent="0.2">
      <c r="A275" s="348"/>
      <c r="B275" s="203"/>
      <c r="C275" s="203"/>
      <c r="D275" s="203"/>
      <c r="E275" s="203"/>
      <c r="F275" s="203"/>
      <c r="G275" s="203"/>
      <c r="H275" s="9"/>
      <c r="I275" s="203"/>
      <c r="J275" s="203"/>
      <c r="K275" s="203"/>
      <c r="L275" s="203"/>
      <c r="M275" s="203"/>
      <c r="N275" s="203"/>
      <c r="O275" s="203"/>
      <c r="P275" s="203"/>
      <c r="Q275" s="203"/>
      <c r="R275" s="203"/>
      <c r="S275" s="203"/>
      <c r="T275" s="203"/>
      <c r="U275" s="203"/>
    </row>
    <row r="276" spans="1:21" ht="12" customHeight="1" x14ac:dyDescent="0.2">
      <c r="A276" s="159" t="s">
        <v>66</v>
      </c>
      <c r="B276" s="203"/>
      <c r="C276" s="203"/>
      <c r="D276" s="203"/>
      <c r="E276" s="203"/>
      <c r="F276" s="203"/>
      <c r="G276" s="203"/>
      <c r="H276" s="9"/>
      <c r="I276" s="203"/>
      <c r="J276" s="203"/>
      <c r="K276" s="203"/>
      <c r="L276" s="203"/>
      <c r="M276" s="203"/>
      <c r="N276" s="203"/>
      <c r="O276" s="203"/>
      <c r="P276" s="203"/>
      <c r="Q276" s="203"/>
      <c r="R276" s="203"/>
      <c r="S276" s="203"/>
      <c r="T276" s="203"/>
      <c r="U276" s="203"/>
    </row>
    <row r="277" spans="1:21" ht="12" customHeight="1" x14ac:dyDescent="0.2">
      <c r="A277" s="348" t="s">
        <v>30</v>
      </c>
      <c r="B277" s="203">
        <f>AVERAGE(B58:B62)</f>
        <v>1879.4</v>
      </c>
      <c r="C277" s="203">
        <f>AVERAGE(C58:C62)</f>
        <v>257.33333333333331</v>
      </c>
      <c r="D277" s="203">
        <f>AVERAGE(D58:D62)</f>
        <v>4971.25</v>
      </c>
      <c r="E277" s="203">
        <f>AVERAGE(E58:E62)</f>
        <v>1312.75</v>
      </c>
      <c r="F277" s="203" t="s">
        <v>29</v>
      </c>
      <c r="G277" s="203">
        <f>AVERAGE(G58:G62)</f>
        <v>7061</v>
      </c>
      <c r="H277" s="9"/>
      <c r="I277" s="203" t="s">
        <v>29</v>
      </c>
      <c r="J277" s="203" t="s">
        <v>29</v>
      </c>
      <c r="K277" s="203">
        <f>AVERAGE(K58:K62)</f>
        <v>29609.75</v>
      </c>
      <c r="L277" s="203">
        <f>AVERAGE(L58:L62)</f>
        <v>8819.5</v>
      </c>
      <c r="M277" s="203" t="s">
        <v>29</v>
      </c>
      <c r="N277" s="203">
        <f>AVERAGE(N58:N62)</f>
        <v>34019.5</v>
      </c>
      <c r="O277" s="203"/>
      <c r="P277" s="203">
        <f>AVERAGE(P58:P62)</f>
        <v>39.333333333333336</v>
      </c>
      <c r="Q277" s="203" t="s">
        <v>29</v>
      </c>
      <c r="R277" s="203">
        <f>AVERAGE(R58:R62)</f>
        <v>7150</v>
      </c>
      <c r="S277" s="203">
        <f>AVERAGE(S58:S62)</f>
        <v>15725</v>
      </c>
      <c r="T277" s="203" t="s">
        <v>29</v>
      </c>
      <c r="U277" s="203">
        <f>AVERAGE(U58:U62)</f>
        <v>22914.333333333332</v>
      </c>
    </row>
    <row r="278" spans="1:21" ht="12" customHeight="1" x14ac:dyDescent="0.2">
      <c r="A278" s="348" t="s">
        <v>87</v>
      </c>
      <c r="B278" s="203">
        <f t="shared" ref="B278:G278" si="77">AVERAGE(B63:B67)</f>
        <v>3225.25</v>
      </c>
      <c r="C278" s="203">
        <f t="shared" si="77"/>
        <v>2241</v>
      </c>
      <c r="D278" s="203">
        <f t="shared" si="77"/>
        <v>40</v>
      </c>
      <c r="E278" s="203">
        <f t="shared" si="77"/>
        <v>526.66666666666663</v>
      </c>
      <c r="F278" s="203">
        <f t="shared" si="77"/>
        <v>11</v>
      </c>
      <c r="G278" s="203">
        <f t="shared" si="77"/>
        <v>4251</v>
      </c>
      <c r="H278" s="9"/>
      <c r="I278" s="203" t="s">
        <v>29</v>
      </c>
      <c r="J278" s="203" t="s">
        <v>29</v>
      </c>
      <c r="K278" s="203">
        <f>AVERAGE(K63:K67)</f>
        <v>350</v>
      </c>
      <c r="L278" s="203">
        <f>AVERAGE(L63:L67)</f>
        <v>5397</v>
      </c>
      <c r="M278" s="203">
        <f>AVERAGE(M63:M67)</f>
        <v>16</v>
      </c>
      <c r="N278" s="203">
        <f>AVERAGE(N63:N67)</f>
        <v>4139.25</v>
      </c>
      <c r="O278" s="203"/>
      <c r="P278" s="203">
        <f>AVERAGE(P63:P67)</f>
        <v>0</v>
      </c>
      <c r="Q278" s="203" t="s">
        <v>29</v>
      </c>
      <c r="R278" s="203">
        <f>AVERAGE(R63:R67)</f>
        <v>728</v>
      </c>
      <c r="S278" s="203">
        <f>AVERAGE(S63:S67)</f>
        <v>0</v>
      </c>
      <c r="T278" s="203" t="s">
        <v>29</v>
      </c>
      <c r="U278" s="203">
        <f>AVERAGE(U63:U67)</f>
        <v>364</v>
      </c>
    </row>
    <row r="279" spans="1:21" ht="12" customHeight="1" x14ac:dyDescent="0.2">
      <c r="A279" s="348" t="s">
        <v>14</v>
      </c>
      <c r="B279" s="203">
        <f t="shared" ref="B279:G279" si="78">AVERAGE(B68:B72)</f>
        <v>920.66666666666663</v>
      </c>
      <c r="C279" s="203">
        <f t="shared" si="78"/>
        <v>1020.3333333333334</v>
      </c>
      <c r="D279" s="203">
        <f t="shared" si="78"/>
        <v>734</v>
      </c>
      <c r="E279" s="203">
        <f t="shared" si="78"/>
        <v>335</v>
      </c>
      <c r="F279" s="203">
        <f t="shared" si="78"/>
        <v>11</v>
      </c>
      <c r="G279" s="203">
        <f t="shared" si="78"/>
        <v>2769</v>
      </c>
      <c r="H279" s="9"/>
      <c r="I279" s="203" t="s">
        <v>29</v>
      </c>
      <c r="J279" s="203" t="s">
        <v>29</v>
      </c>
      <c r="K279" s="203">
        <f>AVERAGE(K68:K72)</f>
        <v>1773</v>
      </c>
      <c r="L279" s="203">
        <f>AVERAGE(L68:L72)</f>
        <v>1465</v>
      </c>
      <c r="M279" s="203">
        <f>AVERAGE(M68:M72)</f>
        <v>1049.5</v>
      </c>
      <c r="N279" s="203">
        <f>AVERAGE(N68:N72)</f>
        <v>2876.25</v>
      </c>
      <c r="O279" s="203"/>
      <c r="P279" s="203">
        <f t="shared" ref="P279:U279" si="79">AVERAGE(P68:P72)</f>
        <v>0</v>
      </c>
      <c r="Q279" s="203">
        <f t="shared" si="79"/>
        <v>0</v>
      </c>
      <c r="R279" s="203">
        <f t="shared" si="79"/>
        <v>20</v>
      </c>
      <c r="S279" s="203">
        <f t="shared" si="79"/>
        <v>1735.6666666666667</v>
      </c>
      <c r="T279" s="203">
        <f t="shared" si="79"/>
        <v>46</v>
      </c>
      <c r="U279" s="203">
        <f t="shared" si="79"/>
        <v>1773</v>
      </c>
    </row>
    <row r="280" spans="1:21" ht="12" customHeight="1" x14ac:dyDescent="0.2">
      <c r="A280" s="348" t="s">
        <v>207</v>
      </c>
      <c r="B280" s="203">
        <f>AVERAGE(B73:B77)</f>
        <v>965.5</v>
      </c>
      <c r="C280" s="203">
        <f>AVERAGE(C73:C77)</f>
        <v>415.75</v>
      </c>
      <c r="D280" s="203">
        <f>AVERAGE(D73:D77)</f>
        <v>336</v>
      </c>
      <c r="E280" s="203">
        <f>AVERAGE(E73:E77)</f>
        <v>150</v>
      </c>
      <c r="F280" s="203" t="s">
        <v>29</v>
      </c>
      <c r="G280" s="203">
        <f>AVERAGE(G73:G77)</f>
        <v>1502.75</v>
      </c>
      <c r="H280" s="9"/>
      <c r="I280" s="203" t="s">
        <v>29</v>
      </c>
      <c r="J280" s="203" t="s">
        <v>29</v>
      </c>
      <c r="K280" s="203">
        <f>AVERAGE(K73:K77)</f>
        <v>140</v>
      </c>
      <c r="L280" s="203">
        <f>AVERAGE(L73:L77)</f>
        <v>546.5</v>
      </c>
      <c r="M280" s="203">
        <f>AVERAGE(M73:M77)</f>
        <v>328</v>
      </c>
      <c r="N280" s="203">
        <f>AVERAGE(N73:N77)</f>
        <v>850.5</v>
      </c>
      <c r="O280" s="203"/>
      <c r="P280" s="203">
        <f t="shared" ref="P280:U280" si="80">AVERAGE(P73:P77)</f>
        <v>0</v>
      </c>
      <c r="Q280" s="203">
        <f t="shared" si="80"/>
        <v>0</v>
      </c>
      <c r="R280" s="203">
        <f t="shared" si="80"/>
        <v>0</v>
      </c>
      <c r="S280" s="203">
        <f t="shared" si="80"/>
        <v>13</v>
      </c>
      <c r="T280" s="203">
        <f t="shared" si="80"/>
        <v>0</v>
      </c>
      <c r="U280" s="203">
        <f t="shared" si="80"/>
        <v>6.5</v>
      </c>
    </row>
    <row r="281" spans="1:21" ht="12" customHeight="1" x14ac:dyDescent="0.2">
      <c r="A281" s="348" t="s">
        <v>238</v>
      </c>
      <c r="B281" s="203">
        <f t="shared" ref="B281:G281" si="81">AVERAGE(B78:B82)</f>
        <v>796.6</v>
      </c>
      <c r="C281" s="203">
        <f t="shared" si="81"/>
        <v>337.6</v>
      </c>
      <c r="D281" s="203">
        <f t="shared" si="81"/>
        <v>1798</v>
      </c>
      <c r="E281" s="203">
        <f t="shared" si="81"/>
        <v>1847.75</v>
      </c>
      <c r="F281" s="203">
        <f t="shared" si="81"/>
        <v>175.5</v>
      </c>
      <c r="G281" s="203">
        <f t="shared" si="81"/>
        <v>4480.6000000000004</v>
      </c>
      <c r="H281" s="9"/>
      <c r="I281" s="203" t="str">
        <f>+I78</f>
        <v>-</v>
      </c>
      <c r="J281" s="203" t="str">
        <f>+J78</f>
        <v>-</v>
      </c>
      <c r="K281" s="203">
        <f>AVERAGE(K78:K82)</f>
        <v>744.5</v>
      </c>
      <c r="L281" s="203">
        <f>AVERAGE(L78:L82)</f>
        <v>955.66666666666663</v>
      </c>
      <c r="M281" s="203">
        <f>AVERAGE(M78:M82)</f>
        <v>186.5</v>
      </c>
      <c r="N281" s="203">
        <f>AVERAGE(N78:N82)</f>
        <v>1554.5</v>
      </c>
      <c r="O281" s="203"/>
      <c r="P281" s="203">
        <f t="shared" ref="P281:U281" si="82">AVERAGE(P78:P82)</f>
        <v>1.3333333333333333</v>
      </c>
      <c r="Q281" s="203">
        <f t="shared" si="82"/>
        <v>0</v>
      </c>
      <c r="R281" s="203">
        <f t="shared" si="82"/>
        <v>21</v>
      </c>
      <c r="S281" s="203">
        <f t="shared" si="82"/>
        <v>18</v>
      </c>
      <c r="T281" s="203">
        <f t="shared" si="82"/>
        <v>10</v>
      </c>
      <c r="U281" s="203">
        <f t="shared" si="82"/>
        <v>37.666666666666664</v>
      </c>
    </row>
    <row r="282" spans="1:21" ht="12" customHeight="1" x14ac:dyDescent="0.2">
      <c r="A282" s="348">
        <v>2006</v>
      </c>
      <c r="B282" s="203">
        <f t="shared" ref="B282:G296" si="83">+B83</f>
        <v>723</v>
      </c>
      <c r="C282" s="203">
        <f t="shared" si="83"/>
        <v>2371</v>
      </c>
      <c r="D282" s="203">
        <f t="shared" si="83"/>
        <v>844</v>
      </c>
      <c r="E282" s="203">
        <f t="shared" si="83"/>
        <v>2658</v>
      </c>
      <c r="F282" s="203">
        <f t="shared" si="83"/>
        <v>1281</v>
      </c>
      <c r="G282" s="203">
        <f t="shared" si="83"/>
        <v>7877</v>
      </c>
      <c r="H282" s="9"/>
      <c r="I282" s="203" t="str">
        <f t="shared" ref="I282:N296" si="84">+I83</f>
        <v>-</v>
      </c>
      <c r="J282" s="203" t="str">
        <f t="shared" si="84"/>
        <v>-</v>
      </c>
      <c r="K282" s="203">
        <f t="shared" si="84"/>
        <v>100</v>
      </c>
      <c r="L282" s="203">
        <f t="shared" si="84"/>
        <v>551</v>
      </c>
      <c r="M282" s="203">
        <f t="shared" si="84"/>
        <v>115</v>
      </c>
      <c r="N282" s="203">
        <f t="shared" si="84"/>
        <v>766</v>
      </c>
      <c r="O282" s="203"/>
      <c r="P282" s="203"/>
      <c r="Q282" s="203"/>
      <c r="R282" s="203"/>
      <c r="S282" s="203"/>
      <c r="T282" s="203"/>
      <c r="U282" s="203"/>
    </row>
    <row r="283" spans="1:21" s="359" customFormat="1" ht="12" customHeight="1" x14ac:dyDescent="0.2">
      <c r="A283" s="348">
        <v>2007</v>
      </c>
      <c r="B283" s="203">
        <f t="shared" si="83"/>
        <v>144</v>
      </c>
      <c r="C283" s="203">
        <f t="shared" si="83"/>
        <v>2932</v>
      </c>
      <c r="D283" s="203">
        <f t="shared" si="83"/>
        <v>1588</v>
      </c>
      <c r="E283" s="203">
        <f t="shared" si="83"/>
        <v>437</v>
      </c>
      <c r="F283" s="203">
        <f t="shared" si="83"/>
        <v>2</v>
      </c>
      <c r="G283" s="203">
        <f t="shared" si="83"/>
        <v>5103</v>
      </c>
      <c r="H283" s="9"/>
      <c r="I283" s="203" t="str">
        <f t="shared" si="84"/>
        <v>-</v>
      </c>
      <c r="J283" s="203" t="str">
        <f t="shared" si="84"/>
        <v>-</v>
      </c>
      <c r="K283" s="203">
        <f t="shared" si="84"/>
        <v>803</v>
      </c>
      <c r="L283" s="203">
        <f t="shared" si="84"/>
        <v>286</v>
      </c>
      <c r="M283" s="203">
        <f t="shared" si="84"/>
        <v>2</v>
      </c>
      <c r="N283" s="203">
        <f t="shared" si="84"/>
        <v>1091</v>
      </c>
      <c r="O283" s="203"/>
      <c r="P283" s="203">
        <f t="shared" ref="P283:U283" si="85">+P84</f>
        <v>0</v>
      </c>
      <c r="Q283" s="203">
        <f t="shared" si="85"/>
        <v>19</v>
      </c>
      <c r="R283" s="203">
        <f t="shared" si="85"/>
        <v>103</v>
      </c>
      <c r="S283" s="203">
        <f t="shared" si="85"/>
        <v>0</v>
      </c>
      <c r="T283" s="203">
        <f t="shared" si="85"/>
        <v>0</v>
      </c>
      <c r="U283" s="203">
        <f t="shared" si="85"/>
        <v>122</v>
      </c>
    </row>
    <row r="284" spans="1:21" s="359" customFormat="1" ht="12" customHeight="1" x14ac:dyDescent="0.2">
      <c r="A284" s="348">
        <v>2008</v>
      </c>
      <c r="B284" s="203">
        <f t="shared" si="83"/>
        <v>24</v>
      </c>
      <c r="C284" s="203">
        <f t="shared" si="83"/>
        <v>1259</v>
      </c>
      <c r="D284" s="203">
        <f t="shared" si="83"/>
        <v>501</v>
      </c>
      <c r="E284" s="203">
        <f t="shared" si="83"/>
        <v>380</v>
      </c>
      <c r="F284" s="203">
        <f t="shared" si="83"/>
        <v>58</v>
      </c>
      <c r="G284" s="203">
        <f t="shared" si="83"/>
        <v>2222</v>
      </c>
      <c r="H284" s="9"/>
      <c r="I284" s="203" t="str">
        <f t="shared" si="84"/>
        <v>-</v>
      </c>
      <c r="J284" s="203" t="str">
        <f t="shared" si="84"/>
        <v>-</v>
      </c>
      <c r="K284" s="203">
        <f t="shared" si="84"/>
        <v>186</v>
      </c>
      <c r="L284" s="203">
        <f t="shared" si="84"/>
        <v>265</v>
      </c>
      <c r="M284" s="203">
        <f t="shared" si="84"/>
        <v>39</v>
      </c>
      <c r="N284" s="203">
        <f t="shared" si="84"/>
        <v>490</v>
      </c>
      <c r="O284" s="203"/>
      <c r="P284" s="203"/>
      <c r="Q284" s="203"/>
      <c r="R284" s="203"/>
      <c r="S284" s="203"/>
      <c r="T284" s="203"/>
      <c r="U284" s="203"/>
    </row>
    <row r="285" spans="1:21" s="359" customFormat="1" ht="12" customHeight="1" x14ac:dyDescent="0.2">
      <c r="A285" s="348">
        <v>2009</v>
      </c>
      <c r="B285" s="203">
        <f t="shared" si="83"/>
        <v>1372</v>
      </c>
      <c r="C285" s="203">
        <f t="shared" si="83"/>
        <v>523</v>
      </c>
      <c r="D285" s="203">
        <f t="shared" si="83"/>
        <v>522</v>
      </c>
      <c r="E285" s="203">
        <f t="shared" si="83"/>
        <v>272</v>
      </c>
      <c r="F285" s="203">
        <f t="shared" si="83"/>
        <v>33</v>
      </c>
      <c r="G285" s="203">
        <f t="shared" si="83"/>
        <v>2722</v>
      </c>
      <c r="H285" s="9"/>
      <c r="I285" s="203" t="str">
        <f t="shared" si="84"/>
        <v>-</v>
      </c>
      <c r="J285" s="203" t="str">
        <f t="shared" si="84"/>
        <v>-</v>
      </c>
      <c r="K285" s="203">
        <f t="shared" si="84"/>
        <v>2466</v>
      </c>
      <c r="L285" s="203">
        <f t="shared" si="84"/>
        <v>3888</v>
      </c>
      <c r="M285" s="203">
        <f t="shared" si="84"/>
        <v>803</v>
      </c>
      <c r="N285" s="203">
        <f t="shared" si="84"/>
        <v>7157</v>
      </c>
      <c r="O285" s="203"/>
      <c r="P285" s="203">
        <f t="shared" ref="P285:U285" si="86">+P86</f>
        <v>0</v>
      </c>
      <c r="Q285" s="203">
        <f t="shared" si="86"/>
        <v>2</v>
      </c>
      <c r="R285" s="203">
        <f t="shared" si="86"/>
        <v>80</v>
      </c>
      <c r="S285" s="203">
        <f t="shared" si="86"/>
        <v>34</v>
      </c>
      <c r="T285" s="203">
        <f t="shared" si="86"/>
        <v>1</v>
      </c>
      <c r="U285" s="203">
        <f t="shared" si="86"/>
        <v>117</v>
      </c>
    </row>
    <row r="286" spans="1:21" s="359" customFormat="1" ht="12" customHeight="1" x14ac:dyDescent="0.2">
      <c r="A286" s="157">
        <v>2010</v>
      </c>
      <c r="B286" s="203">
        <f t="shared" si="83"/>
        <v>2125</v>
      </c>
      <c r="C286" s="203">
        <f t="shared" si="83"/>
        <v>1632</v>
      </c>
      <c r="D286" s="203">
        <f t="shared" si="83"/>
        <v>984</v>
      </c>
      <c r="E286" s="203">
        <f t="shared" si="83"/>
        <v>1147</v>
      </c>
      <c r="F286" s="203">
        <f t="shared" si="83"/>
        <v>23</v>
      </c>
      <c r="G286" s="203">
        <f t="shared" si="83"/>
        <v>5911</v>
      </c>
      <c r="H286" s="9"/>
      <c r="I286" s="203" t="str">
        <f t="shared" si="84"/>
        <v>-</v>
      </c>
      <c r="J286" s="203" t="str">
        <f t="shared" si="84"/>
        <v>-</v>
      </c>
      <c r="K286" s="203">
        <f t="shared" si="84"/>
        <v>121</v>
      </c>
      <c r="L286" s="203">
        <f t="shared" si="84"/>
        <v>87</v>
      </c>
      <c r="M286" s="203">
        <f t="shared" si="84"/>
        <v>1</v>
      </c>
      <c r="N286" s="203">
        <f t="shared" si="84"/>
        <v>209</v>
      </c>
      <c r="O286" s="203"/>
      <c r="P286" s="203"/>
      <c r="Q286" s="203"/>
      <c r="R286" s="203"/>
      <c r="S286" s="203"/>
      <c r="T286" s="203"/>
      <c r="U286" s="203"/>
    </row>
    <row r="287" spans="1:21" s="359" customFormat="1" ht="12" customHeight="1" x14ac:dyDescent="0.2">
      <c r="A287" s="348">
        <v>2011</v>
      </c>
      <c r="B287" s="203">
        <f t="shared" si="83"/>
        <v>2700</v>
      </c>
      <c r="C287" s="203">
        <f t="shared" si="83"/>
        <v>4075</v>
      </c>
      <c r="D287" s="203">
        <f t="shared" si="83"/>
        <v>2683</v>
      </c>
      <c r="E287" s="203">
        <f t="shared" si="83"/>
        <v>781</v>
      </c>
      <c r="F287" s="203">
        <f t="shared" si="83"/>
        <v>179</v>
      </c>
      <c r="G287" s="203">
        <f t="shared" si="83"/>
        <v>10418</v>
      </c>
      <c r="H287" s="9"/>
      <c r="I287" s="203" t="str">
        <f t="shared" si="84"/>
        <v>-</v>
      </c>
      <c r="J287" s="203" t="str">
        <f t="shared" si="84"/>
        <v>-</v>
      </c>
      <c r="K287" s="203">
        <f t="shared" si="84"/>
        <v>574</v>
      </c>
      <c r="L287" s="203">
        <f t="shared" si="84"/>
        <v>436</v>
      </c>
      <c r="M287" s="203">
        <f t="shared" si="84"/>
        <v>157</v>
      </c>
      <c r="N287" s="203">
        <f t="shared" si="84"/>
        <v>1167</v>
      </c>
      <c r="O287" s="203"/>
      <c r="P287" s="203">
        <f t="shared" ref="P287:U287" si="87">+P88</f>
        <v>0</v>
      </c>
      <c r="Q287" s="203">
        <f t="shared" si="87"/>
        <v>2</v>
      </c>
      <c r="R287" s="203">
        <f t="shared" si="87"/>
        <v>58</v>
      </c>
      <c r="S287" s="203">
        <f t="shared" si="87"/>
        <v>37</v>
      </c>
      <c r="T287" s="203">
        <f t="shared" si="87"/>
        <v>1</v>
      </c>
      <c r="U287" s="203">
        <f t="shared" si="87"/>
        <v>98</v>
      </c>
    </row>
    <row r="288" spans="1:21" s="359" customFormat="1" ht="12" customHeight="1" x14ac:dyDescent="0.2">
      <c r="A288" s="348">
        <v>2012</v>
      </c>
      <c r="B288" s="203">
        <f t="shared" si="83"/>
        <v>4242</v>
      </c>
      <c r="C288" s="203">
        <f t="shared" si="83"/>
        <v>4341</v>
      </c>
      <c r="D288" s="203">
        <f t="shared" si="83"/>
        <v>3524</v>
      </c>
      <c r="E288" s="203">
        <f t="shared" si="83"/>
        <v>5868</v>
      </c>
      <c r="F288" s="203">
        <f t="shared" si="83"/>
        <v>1747</v>
      </c>
      <c r="G288" s="203">
        <f t="shared" si="83"/>
        <v>19722</v>
      </c>
      <c r="H288" s="9"/>
      <c r="I288" s="203" t="str">
        <f t="shared" si="84"/>
        <v>-</v>
      </c>
      <c r="J288" s="203" t="str">
        <f t="shared" si="84"/>
        <v>-</v>
      </c>
      <c r="K288" s="203">
        <f t="shared" si="84"/>
        <v>256</v>
      </c>
      <c r="L288" s="203">
        <f t="shared" si="84"/>
        <v>839</v>
      </c>
      <c r="M288" s="203">
        <f t="shared" si="84"/>
        <v>1024</v>
      </c>
      <c r="N288" s="203">
        <f t="shared" si="84"/>
        <v>2119</v>
      </c>
      <c r="O288" s="203"/>
      <c r="P288" s="203"/>
      <c r="Q288" s="203"/>
      <c r="R288" s="203"/>
      <c r="S288" s="203"/>
      <c r="T288" s="203"/>
      <c r="U288" s="203"/>
    </row>
    <row r="289" spans="1:21" s="359" customFormat="1" ht="12" customHeight="1" x14ac:dyDescent="0.2">
      <c r="A289" s="348">
        <v>2013</v>
      </c>
      <c r="B289" s="203">
        <f t="shared" si="83"/>
        <v>4186</v>
      </c>
      <c r="C289" s="203" t="str">
        <f t="shared" si="83"/>
        <v>-</v>
      </c>
      <c r="D289" s="203">
        <f t="shared" si="83"/>
        <v>2396</v>
      </c>
      <c r="E289" s="203">
        <f t="shared" si="83"/>
        <v>1806</v>
      </c>
      <c r="F289" s="203" t="str">
        <f t="shared" si="83"/>
        <v>-</v>
      </c>
      <c r="G289" s="203">
        <f t="shared" si="83"/>
        <v>8388</v>
      </c>
      <c r="H289" s="9"/>
      <c r="I289" s="203" t="str">
        <f t="shared" si="84"/>
        <v>-</v>
      </c>
      <c r="J289" s="203" t="str">
        <f t="shared" si="84"/>
        <v>-</v>
      </c>
      <c r="K289" s="203">
        <f t="shared" si="84"/>
        <v>1054</v>
      </c>
      <c r="L289" s="203">
        <f t="shared" si="84"/>
        <v>792</v>
      </c>
      <c r="M289" s="203" t="str">
        <f t="shared" si="84"/>
        <v>-</v>
      </c>
      <c r="N289" s="203">
        <f t="shared" si="84"/>
        <v>1846</v>
      </c>
      <c r="O289" s="203"/>
      <c r="P289" s="203">
        <f t="shared" ref="P289:U289" si="88">+P90</f>
        <v>0</v>
      </c>
      <c r="Q289" s="203">
        <f t="shared" si="88"/>
        <v>0</v>
      </c>
      <c r="R289" s="203">
        <f t="shared" si="88"/>
        <v>93</v>
      </c>
      <c r="S289" s="203">
        <f t="shared" si="88"/>
        <v>6</v>
      </c>
      <c r="T289" s="203">
        <f t="shared" si="88"/>
        <v>0</v>
      </c>
      <c r="U289" s="203">
        <f t="shared" si="88"/>
        <v>99</v>
      </c>
    </row>
    <row r="290" spans="1:21" s="359" customFormat="1" ht="12" customHeight="1" x14ac:dyDescent="0.2">
      <c r="A290" s="348">
        <v>2014</v>
      </c>
      <c r="B290" s="203">
        <f t="shared" si="83"/>
        <v>7553</v>
      </c>
      <c r="C290" s="203">
        <f t="shared" si="83"/>
        <v>1217</v>
      </c>
      <c r="D290" s="203">
        <f t="shared" si="83"/>
        <v>3208</v>
      </c>
      <c r="E290" s="203">
        <f t="shared" si="83"/>
        <v>1672</v>
      </c>
      <c r="F290" s="203">
        <f t="shared" si="83"/>
        <v>201</v>
      </c>
      <c r="G290" s="203">
        <f t="shared" si="83"/>
        <v>13851</v>
      </c>
      <c r="H290" s="9"/>
      <c r="I290" s="203" t="str">
        <f t="shared" si="84"/>
        <v>-</v>
      </c>
      <c r="J290" s="203" t="str">
        <f t="shared" si="84"/>
        <v>-</v>
      </c>
      <c r="K290" s="203">
        <f t="shared" si="84"/>
        <v>1149</v>
      </c>
      <c r="L290" s="203">
        <f t="shared" si="84"/>
        <v>3069</v>
      </c>
      <c r="M290" s="203">
        <f t="shared" si="84"/>
        <v>384</v>
      </c>
      <c r="N290" s="203">
        <f t="shared" si="84"/>
        <v>4602</v>
      </c>
      <c r="O290" s="203"/>
      <c r="P290" s="72"/>
      <c r="Q290" s="72"/>
      <c r="R290" s="72"/>
      <c r="S290" s="72"/>
      <c r="T290" s="72"/>
      <c r="U290" s="72"/>
    </row>
    <row r="291" spans="1:21" s="359" customFormat="1" ht="12" customHeight="1" x14ac:dyDescent="0.2">
      <c r="A291" s="157">
        <v>2015</v>
      </c>
      <c r="B291" s="203">
        <f t="shared" si="83"/>
        <v>4288</v>
      </c>
      <c r="C291" s="203" t="str">
        <f t="shared" si="83"/>
        <v>-</v>
      </c>
      <c r="D291" s="203">
        <f t="shared" si="83"/>
        <v>4292</v>
      </c>
      <c r="E291" s="203">
        <f t="shared" si="83"/>
        <v>3619</v>
      </c>
      <c r="F291" s="203">
        <f t="shared" si="83"/>
        <v>981</v>
      </c>
      <c r="G291" s="203">
        <f t="shared" si="83"/>
        <v>13180</v>
      </c>
      <c r="H291" s="9"/>
      <c r="I291" s="203" t="str">
        <f t="shared" si="84"/>
        <v>-</v>
      </c>
      <c r="J291" s="203" t="str">
        <f t="shared" si="84"/>
        <v>-</v>
      </c>
      <c r="K291" s="203">
        <f t="shared" si="84"/>
        <v>133</v>
      </c>
      <c r="L291" s="203">
        <f t="shared" si="84"/>
        <v>114</v>
      </c>
      <c r="M291" s="203">
        <f t="shared" si="84"/>
        <v>62</v>
      </c>
      <c r="N291" s="203">
        <f t="shared" si="84"/>
        <v>309</v>
      </c>
      <c r="O291" s="203"/>
      <c r="P291" s="203">
        <f t="shared" ref="P291:U291" si="89">+P92</f>
        <v>0</v>
      </c>
      <c r="Q291" s="203">
        <f t="shared" si="89"/>
        <v>0</v>
      </c>
      <c r="R291" s="203">
        <f t="shared" si="89"/>
        <v>36</v>
      </c>
      <c r="S291" s="203">
        <f t="shared" si="89"/>
        <v>0</v>
      </c>
      <c r="T291" s="203">
        <f t="shared" si="89"/>
        <v>0</v>
      </c>
      <c r="U291" s="203">
        <f t="shared" si="89"/>
        <v>36</v>
      </c>
    </row>
    <row r="292" spans="1:21" s="359" customFormat="1" ht="12" customHeight="1" x14ac:dyDescent="0.2">
      <c r="A292" s="157">
        <v>2016</v>
      </c>
      <c r="B292" s="203">
        <f t="shared" si="83"/>
        <v>2228</v>
      </c>
      <c r="C292" s="203">
        <f t="shared" si="83"/>
        <v>551</v>
      </c>
      <c r="D292" s="203">
        <f t="shared" si="83"/>
        <v>1305</v>
      </c>
      <c r="E292" s="203">
        <f t="shared" si="83"/>
        <v>89</v>
      </c>
      <c r="F292" s="203" t="str">
        <f t="shared" si="83"/>
        <v>-</v>
      </c>
      <c r="G292" s="203">
        <f t="shared" si="83"/>
        <v>4173</v>
      </c>
      <c r="H292" s="9"/>
      <c r="I292" s="203" t="str">
        <f t="shared" si="84"/>
        <v>-</v>
      </c>
      <c r="J292" s="203" t="str">
        <f t="shared" si="84"/>
        <v>-</v>
      </c>
      <c r="K292" s="203" t="str">
        <f t="shared" si="84"/>
        <v>-</v>
      </c>
      <c r="L292" s="203" t="str">
        <f t="shared" si="84"/>
        <v>-</v>
      </c>
      <c r="M292" s="203" t="str">
        <f t="shared" si="84"/>
        <v>-</v>
      </c>
      <c r="N292" s="203" t="str">
        <f t="shared" si="84"/>
        <v>-</v>
      </c>
      <c r="O292" s="203"/>
      <c r="P292" s="203"/>
      <c r="Q292" s="203"/>
      <c r="R292" s="203"/>
      <c r="S292" s="203"/>
      <c r="T292" s="203"/>
      <c r="U292" s="203"/>
    </row>
    <row r="293" spans="1:21" s="359" customFormat="1" ht="12" customHeight="1" x14ac:dyDescent="0.2">
      <c r="A293" s="157">
        <v>2017</v>
      </c>
      <c r="B293" s="203">
        <f t="shared" si="83"/>
        <v>2112</v>
      </c>
      <c r="C293" s="203">
        <f t="shared" si="83"/>
        <v>780</v>
      </c>
      <c r="D293" s="203">
        <f t="shared" si="83"/>
        <v>308</v>
      </c>
      <c r="E293" s="203">
        <f t="shared" si="83"/>
        <v>1275</v>
      </c>
      <c r="F293" s="203">
        <f t="shared" si="83"/>
        <v>356</v>
      </c>
      <c r="G293" s="203">
        <f t="shared" si="83"/>
        <v>4831</v>
      </c>
      <c r="H293" s="9"/>
      <c r="I293" s="203" t="str">
        <f t="shared" si="84"/>
        <v>-</v>
      </c>
      <c r="J293" s="203" t="str">
        <f t="shared" si="84"/>
        <v>-</v>
      </c>
      <c r="K293" s="203">
        <f t="shared" si="84"/>
        <v>34</v>
      </c>
      <c r="L293" s="203">
        <f t="shared" si="84"/>
        <v>228</v>
      </c>
      <c r="M293" s="203">
        <f t="shared" si="84"/>
        <v>140</v>
      </c>
      <c r="N293" s="203">
        <f t="shared" si="84"/>
        <v>402</v>
      </c>
      <c r="O293" s="203"/>
      <c r="P293" s="203">
        <f t="shared" ref="P293:U293" si="90">+P94</f>
        <v>0</v>
      </c>
      <c r="Q293" s="203">
        <f t="shared" si="90"/>
        <v>0</v>
      </c>
      <c r="R293" s="203">
        <f t="shared" si="90"/>
        <v>0</v>
      </c>
      <c r="S293" s="203">
        <f t="shared" si="90"/>
        <v>2</v>
      </c>
      <c r="T293" s="203">
        <f t="shared" si="90"/>
        <v>0</v>
      </c>
      <c r="U293" s="203">
        <f t="shared" si="90"/>
        <v>2</v>
      </c>
    </row>
    <row r="294" spans="1:21" s="359" customFormat="1" ht="12" customHeight="1" x14ac:dyDescent="0.2">
      <c r="A294" s="157">
        <v>2018</v>
      </c>
      <c r="B294" s="203">
        <f t="shared" si="83"/>
        <v>1174</v>
      </c>
      <c r="C294" s="203">
        <f t="shared" si="83"/>
        <v>94</v>
      </c>
      <c r="D294" s="203">
        <f t="shared" si="83"/>
        <v>297</v>
      </c>
      <c r="E294" s="203">
        <f t="shared" si="83"/>
        <v>1119</v>
      </c>
      <c r="F294" s="203">
        <f t="shared" si="83"/>
        <v>524</v>
      </c>
      <c r="G294" s="203">
        <f t="shared" si="83"/>
        <v>3208</v>
      </c>
      <c r="H294" s="9"/>
      <c r="I294" s="203" t="str">
        <f t="shared" si="84"/>
        <v>-</v>
      </c>
      <c r="J294" s="203" t="str">
        <f t="shared" si="84"/>
        <v>-</v>
      </c>
      <c r="K294" s="203">
        <f t="shared" si="84"/>
        <v>41</v>
      </c>
      <c r="L294" s="203">
        <f t="shared" si="84"/>
        <v>181</v>
      </c>
      <c r="M294" s="203">
        <f t="shared" si="84"/>
        <v>266</v>
      </c>
      <c r="N294" s="203">
        <f t="shared" si="84"/>
        <v>488</v>
      </c>
      <c r="O294" s="203"/>
      <c r="P294" s="203"/>
      <c r="Q294" s="203"/>
      <c r="R294" s="203"/>
      <c r="S294" s="203"/>
      <c r="T294" s="203"/>
      <c r="U294" s="203"/>
    </row>
    <row r="295" spans="1:21" s="487" customFormat="1" ht="12" customHeight="1" x14ac:dyDescent="0.2">
      <c r="A295" s="157">
        <v>2019</v>
      </c>
      <c r="B295" s="203">
        <f t="shared" si="83"/>
        <v>529</v>
      </c>
      <c r="C295" s="203">
        <f t="shared" si="83"/>
        <v>61</v>
      </c>
      <c r="D295" s="203">
        <f t="shared" si="83"/>
        <v>1838</v>
      </c>
      <c r="E295" s="203">
        <f t="shared" si="83"/>
        <v>2373</v>
      </c>
      <c r="F295" s="203">
        <f t="shared" si="83"/>
        <v>1584</v>
      </c>
      <c r="G295" s="203">
        <f t="shared" si="83"/>
        <v>6385</v>
      </c>
      <c r="H295" s="9"/>
      <c r="I295" s="203" t="str">
        <f t="shared" si="84"/>
        <v>-</v>
      </c>
      <c r="J295" s="203" t="str">
        <f t="shared" si="84"/>
        <v>-</v>
      </c>
      <c r="K295" s="203">
        <f t="shared" si="84"/>
        <v>313</v>
      </c>
      <c r="L295" s="203">
        <f t="shared" si="84"/>
        <v>633</v>
      </c>
      <c r="M295" s="203">
        <f t="shared" si="84"/>
        <v>344</v>
      </c>
      <c r="N295" s="203">
        <f t="shared" si="84"/>
        <v>1290</v>
      </c>
      <c r="O295" s="203"/>
      <c r="P295" s="203">
        <f t="shared" ref="P295:U295" si="91">+P96</f>
        <v>0</v>
      </c>
      <c r="Q295" s="203">
        <f t="shared" si="91"/>
        <v>0</v>
      </c>
      <c r="R295" s="203">
        <f t="shared" si="91"/>
        <v>27</v>
      </c>
      <c r="S295" s="203">
        <f t="shared" si="91"/>
        <v>29</v>
      </c>
      <c r="T295" s="203">
        <f t="shared" si="91"/>
        <v>0</v>
      </c>
      <c r="U295" s="203">
        <f t="shared" si="91"/>
        <v>56</v>
      </c>
    </row>
    <row r="296" spans="1:21" ht="12" customHeight="1" x14ac:dyDescent="0.2">
      <c r="A296" s="171" t="s">
        <v>394</v>
      </c>
      <c r="B296" s="203">
        <f t="shared" si="83"/>
        <v>207</v>
      </c>
      <c r="C296" s="203">
        <f t="shared" si="83"/>
        <v>535</v>
      </c>
      <c r="D296" s="203">
        <f t="shared" si="83"/>
        <v>2386</v>
      </c>
      <c r="E296" s="203">
        <f t="shared" si="83"/>
        <v>1402</v>
      </c>
      <c r="F296" s="203">
        <f t="shared" si="83"/>
        <v>117</v>
      </c>
      <c r="G296" s="203">
        <f t="shared" si="83"/>
        <v>4647</v>
      </c>
      <c r="H296" s="9"/>
      <c r="I296" s="203" t="str">
        <f t="shared" si="84"/>
        <v>-</v>
      </c>
      <c r="J296" s="203" t="str">
        <f t="shared" si="84"/>
        <v>-</v>
      </c>
      <c r="K296" s="203">
        <f t="shared" si="84"/>
        <v>29</v>
      </c>
      <c r="L296" s="203">
        <f t="shared" si="84"/>
        <v>126</v>
      </c>
      <c r="M296" s="203">
        <f t="shared" si="84"/>
        <v>49</v>
      </c>
      <c r="N296" s="203">
        <f t="shared" si="84"/>
        <v>204</v>
      </c>
      <c r="O296" s="203"/>
      <c r="P296" s="203"/>
      <c r="Q296" s="203"/>
      <c r="R296" s="203"/>
      <c r="S296" s="203"/>
      <c r="T296" s="203"/>
      <c r="U296" s="203"/>
    </row>
    <row r="297" spans="1:21" ht="12" customHeight="1" x14ac:dyDescent="0.2">
      <c r="A297" s="348"/>
      <c r="B297" s="203"/>
      <c r="C297" s="203"/>
      <c r="D297" s="203"/>
      <c r="E297" s="203"/>
      <c r="F297" s="203"/>
      <c r="G297" s="203"/>
      <c r="H297" s="9"/>
      <c r="I297" s="203"/>
      <c r="J297" s="203"/>
      <c r="K297" s="203"/>
      <c r="L297" s="203"/>
      <c r="M297" s="203"/>
      <c r="N297" s="203"/>
      <c r="O297" s="203"/>
      <c r="P297" s="72"/>
      <c r="Q297" s="72"/>
      <c r="R297" s="72"/>
      <c r="S297" s="72"/>
      <c r="T297" s="72"/>
      <c r="U297" s="72"/>
    </row>
    <row r="298" spans="1:21" ht="12" customHeight="1" x14ac:dyDescent="0.2">
      <c r="A298" s="577" t="s">
        <v>343</v>
      </c>
      <c r="B298" s="577"/>
      <c r="C298" s="577"/>
      <c r="D298" s="577"/>
      <c r="E298" s="577"/>
      <c r="F298" s="577"/>
      <c r="G298" s="577"/>
      <c r="H298" s="577"/>
      <c r="I298" s="577"/>
      <c r="J298" s="577"/>
      <c r="K298" s="577"/>
      <c r="L298" s="577"/>
      <c r="M298" s="577"/>
      <c r="N298" s="577"/>
      <c r="O298" s="577"/>
      <c r="P298" s="577"/>
      <c r="Q298" s="577"/>
      <c r="R298" s="577"/>
      <c r="S298" s="577"/>
      <c r="T298" s="577"/>
      <c r="U298" s="577"/>
    </row>
    <row r="299" spans="1:21" s="367" customFormat="1" ht="12.75" customHeight="1" x14ac:dyDescent="0.2">
      <c r="A299" s="2" t="s">
        <v>33</v>
      </c>
      <c r="B299" s="390" t="s">
        <v>35</v>
      </c>
      <c r="C299" s="390" t="s">
        <v>36</v>
      </c>
      <c r="D299" s="390" t="s">
        <v>37</v>
      </c>
      <c r="E299" s="390" t="s">
        <v>38</v>
      </c>
      <c r="F299" s="191" t="s">
        <v>329</v>
      </c>
      <c r="G299" s="390" t="s">
        <v>28</v>
      </c>
      <c r="H299" s="390"/>
      <c r="I299" s="369" t="s">
        <v>35</v>
      </c>
      <c r="J299" s="369" t="s">
        <v>36</v>
      </c>
      <c r="K299" s="369" t="s">
        <v>37</v>
      </c>
      <c r="L299" s="369" t="s">
        <v>38</v>
      </c>
      <c r="M299" s="191" t="s">
        <v>329</v>
      </c>
      <c r="N299" s="369" t="s">
        <v>28</v>
      </c>
      <c r="O299" s="369"/>
      <c r="P299" s="369" t="s">
        <v>35</v>
      </c>
      <c r="Q299" s="369" t="s">
        <v>36</v>
      </c>
      <c r="R299" s="369" t="s">
        <v>37</v>
      </c>
      <c r="S299" s="369" t="s">
        <v>38</v>
      </c>
      <c r="T299" s="191" t="s">
        <v>329</v>
      </c>
      <c r="U299" s="369" t="s">
        <v>28</v>
      </c>
    </row>
    <row r="300" spans="1:21" ht="12" customHeight="1" x14ac:dyDescent="0.2">
      <c r="A300" s="116"/>
      <c r="B300" s="575" t="s">
        <v>67</v>
      </c>
      <c r="C300" s="575"/>
      <c r="D300" s="575"/>
      <c r="E300" s="575"/>
      <c r="F300" s="575"/>
      <c r="G300" s="575"/>
      <c r="H300" s="391"/>
      <c r="I300" s="576" t="s">
        <v>68</v>
      </c>
      <c r="J300" s="576"/>
      <c r="K300" s="576"/>
      <c r="L300" s="576"/>
      <c r="M300" s="576"/>
      <c r="N300" s="576"/>
      <c r="O300" s="23"/>
      <c r="P300" s="576" t="s">
        <v>122</v>
      </c>
      <c r="Q300" s="576"/>
      <c r="R300" s="576"/>
      <c r="S300" s="576"/>
      <c r="T300" s="576"/>
      <c r="U300" s="576"/>
    </row>
    <row r="301" spans="1:21" ht="12" customHeight="1" x14ac:dyDescent="0.2">
      <c r="A301" s="116" t="s">
        <v>64</v>
      </c>
      <c r="B301" s="200"/>
      <c r="C301" s="200"/>
      <c r="D301" s="200"/>
      <c r="E301" s="200"/>
      <c r="F301" s="200"/>
      <c r="G301" s="200"/>
    </row>
    <row r="302" spans="1:21" ht="12" customHeight="1" x14ac:dyDescent="0.2">
      <c r="A302" s="371" t="s">
        <v>30</v>
      </c>
      <c r="B302" s="200">
        <f>AVERAGE(B105:B109)</f>
        <v>20022.400000000001</v>
      </c>
      <c r="C302" s="200">
        <f t="shared" ref="C302:U302" si="92">AVERAGE(C105:C109)</f>
        <v>2849.5</v>
      </c>
      <c r="D302" s="200">
        <f t="shared" si="92"/>
        <v>13121</v>
      </c>
      <c r="E302" s="200">
        <f t="shared" si="92"/>
        <v>3661</v>
      </c>
      <c r="F302" s="200" t="s">
        <v>29</v>
      </c>
      <c r="G302" s="200">
        <f t="shared" si="92"/>
        <v>34995.4</v>
      </c>
      <c r="I302" s="200" t="s">
        <v>29</v>
      </c>
      <c r="J302" s="200" t="s">
        <v>29</v>
      </c>
      <c r="K302" s="200">
        <f t="shared" si="92"/>
        <v>55366.25</v>
      </c>
      <c r="L302" s="200">
        <f t="shared" si="92"/>
        <v>11021.666666666666</v>
      </c>
      <c r="M302" s="200" t="s">
        <v>29</v>
      </c>
      <c r="N302" s="200">
        <f>AVERAGE(N105:N109)</f>
        <v>63632.5</v>
      </c>
      <c r="P302" s="200">
        <f t="shared" si="92"/>
        <v>77.666666666666671</v>
      </c>
      <c r="Q302" s="200">
        <f t="shared" si="92"/>
        <v>20</v>
      </c>
      <c r="R302" s="200">
        <f t="shared" si="92"/>
        <v>4975.666666666667</v>
      </c>
      <c r="S302" s="200">
        <f t="shared" si="92"/>
        <v>3773</v>
      </c>
      <c r="T302" s="200" t="s">
        <v>29</v>
      </c>
      <c r="U302" s="200">
        <f t="shared" si="92"/>
        <v>7588.666666666667</v>
      </c>
    </row>
    <row r="303" spans="1:21" ht="12" customHeight="1" x14ac:dyDescent="0.2">
      <c r="A303" s="371" t="s">
        <v>87</v>
      </c>
      <c r="B303" s="200">
        <f>AVERAGE(B110:B114)</f>
        <v>17975.599999999999</v>
      </c>
      <c r="C303" s="200">
        <f>AVERAGE(C110:C114)</f>
        <v>6478</v>
      </c>
      <c r="D303" s="200">
        <f>AVERAGE(D110:D114)</f>
        <v>17639</v>
      </c>
      <c r="E303" s="200">
        <f>AVERAGE(E110:E114)</f>
        <v>1488.5</v>
      </c>
      <c r="F303" s="200" t="s">
        <v>29</v>
      </c>
      <c r="G303" s="200">
        <f>AVERAGE(G110:G114)</f>
        <v>27281.200000000001</v>
      </c>
      <c r="I303" s="200" t="s">
        <v>29</v>
      </c>
      <c r="J303" s="200" t="s">
        <v>29</v>
      </c>
      <c r="K303" s="200">
        <f>AVERAGE(K110:K114)</f>
        <v>34992</v>
      </c>
      <c r="L303" s="200">
        <f>AVERAGE(L110:L114)</f>
        <v>9156.6666666666661</v>
      </c>
      <c r="M303" s="200" t="s">
        <v>29</v>
      </c>
      <c r="N303" s="200">
        <f>AVERAGE(N110:N114)</f>
        <v>15615.5</v>
      </c>
      <c r="P303" s="200">
        <f>AVERAGE(P110:P114)</f>
        <v>114.5</v>
      </c>
      <c r="Q303" s="200">
        <f>AVERAGE(Q110:Q114)</f>
        <v>182</v>
      </c>
      <c r="R303" s="200">
        <f>AVERAGE(R110:R114)</f>
        <v>390</v>
      </c>
      <c r="S303" s="200">
        <f>AVERAGE(S110:S114)</f>
        <v>23</v>
      </c>
      <c r="T303" s="200" t="s">
        <v>29</v>
      </c>
      <c r="U303" s="200">
        <f>AVERAGE(U110:U114)</f>
        <v>412</v>
      </c>
    </row>
    <row r="304" spans="1:21" ht="12" customHeight="1" x14ac:dyDescent="0.2">
      <c r="A304" s="371" t="s">
        <v>14</v>
      </c>
      <c r="B304" s="200">
        <f t="shared" ref="B304:G304" si="93">AVERAGE(B115:B119)</f>
        <v>6118.333333333333</v>
      </c>
      <c r="C304" s="200">
        <f t="shared" si="93"/>
        <v>5160</v>
      </c>
      <c r="D304" s="200">
        <f t="shared" si="93"/>
        <v>1806.5</v>
      </c>
      <c r="E304" s="200">
        <f t="shared" si="93"/>
        <v>1207</v>
      </c>
      <c r="F304" s="200">
        <f t="shared" si="93"/>
        <v>929</v>
      </c>
      <c r="G304" s="200">
        <f t="shared" si="93"/>
        <v>13906.666666666666</v>
      </c>
      <c r="I304" s="200" t="s">
        <v>29</v>
      </c>
      <c r="J304" s="200" t="s">
        <v>29</v>
      </c>
      <c r="K304" s="200">
        <f>AVERAGE(K115:K119)</f>
        <v>1968</v>
      </c>
      <c r="L304" s="200">
        <f>AVERAGE(L115:L119)</f>
        <v>3363.6666666666665</v>
      </c>
      <c r="M304" s="200">
        <f>AVERAGE(M115:M119)</f>
        <v>6020</v>
      </c>
      <c r="N304" s="200">
        <f>AVERAGE(N115:N119)</f>
        <v>8689</v>
      </c>
      <c r="P304" s="200">
        <f t="shared" ref="P304:U304" si="94">AVERAGE(P115:P119)</f>
        <v>1.5</v>
      </c>
      <c r="Q304" s="200">
        <f t="shared" si="94"/>
        <v>0.5</v>
      </c>
      <c r="R304" s="200">
        <f t="shared" si="94"/>
        <v>4</v>
      </c>
      <c r="S304" s="200">
        <f t="shared" si="94"/>
        <v>6</v>
      </c>
      <c r="T304" s="200">
        <f t="shared" si="94"/>
        <v>4</v>
      </c>
      <c r="U304" s="200">
        <f t="shared" si="94"/>
        <v>11</v>
      </c>
    </row>
    <row r="305" spans="1:21" ht="12" customHeight="1" x14ac:dyDescent="0.2">
      <c r="A305" s="371" t="s">
        <v>207</v>
      </c>
      <c r="B305" s="200">
        <f t="shared" ref="B305:G305" si="95">AVERAGE(B120:B124)</f>
        <v>393.75</v>
      </c>
      <c r="C305" s="200">
        <f t="shared" si="95"/>
        <v>558.75</v>
      </c>
      <c r="D305" s="200">
        <f t="shared" si="95"/>
        <v>266</v>
      </c>
      <c r="E305" s="200">
        <f t="shared" si="95"/>
        <v>619</v>
      </c>
      <c r="F305" s="200">
        <f t="shared" si="95"/>
        <v>3</v>
      </c>
      <c r="G305" s="200">
        <f t="shared" si="95"/>
        <v>1329.25</v>
      </c>
      <c r="I305" s="200" t="s">
        <v>29</v>
      </c>
      <c r="J305" s="200" t="s">
        <v>29</v>
      </c>
      <c r="K305" s="200">
        <f>AVERAGE(K120:K124)</f>
        <v>768.5</v>
      </c>
      <c r="L305" s="200">
        <f>AVERAGE(L120:L124)</f>
        <v>1855.3333333333333</v>
      </c>
      <c r="M305" s="200">
        <f>AVERAGE(M120:M124)</f>
        <v>29</v>
      </c>
      <c r="N305" s="200">
        <f>AVERAGE(N120:N124)</f>
        <v>2387</v>
      </c>
      <c r="P305" s="200">
        <f t="shared" ref="P305:U305" si="96">AVERAGE(P120:P124)</f>
        <v>0</v>
      </c>
      <c r="Q305" s="200">
        <f t="shared" si="96"/>
        <v>1</v>
      </c>
      <c r="R305" s="200">
        <f t="shared" si="96"/>
        <v>1</v>
      </c>
      <c r="S305" s="200">
        <f t="shared" si="96"/>
        <v>0</v>
      </c>
      <c r="T305" s="200">
        <f t="shared" si="96"/>
        <v>0</v>
      </c>
      <c r="U305" s="200">
        <f t="shared" si="96"/>
        <v>1.5</v>
      </c>
    </row>
    <row r="306" spans="1:21" ht="12" customHeight="1" x14ac:dyDescent="0.2">
      <c r="A306" s="371" t="s">
        <v>238</v>
      </c>
      <c r="B306" s="200">
        <f t="shared" ref="B306:G306" si="97">AVERAGE(B125:B129)</f>
        <v>7893.6</v>
      </c>
      <c r="C306" s="200">
        <f t="shared" si="97"/>
        <v>3243.2</v>
      </c>
      <c r="D306" s="200">
        <f t="shared" si="97"/>
        <v>3496.6</v>
      </c>
      <c r="E306" s="200">
        <f t="shared" si="97"/>
        <v>2336</v>
      </c>
      <c r="F306" s="200">
        <f t="shared" si="97"/>
        <v>474.66666666666669</v>
      </c>
      <c r="G306" s="200">
        <f t="shared" si="97"/>
        <v>17254.2</v>
      </c>
      <c r="I306" s="200" t="str">
        <f>+I125</f>
        <v>-</v>
      </c>
      <c r="J306" s="200" t="str">
        <f>+J125</f>
        <v>-</v>
      </c>
      <c r="K306" s="200">
        <f>AVERAGE(K125:K129)</f>
        <v>695.75</v>
      </c>
      <c r="L306" s="200">
        <f>AVERAGE(L125:L129)</f>
        <v>1083</v>
      </c>
      <c r="M306" s="200">
        <f>AVERAGE(M125:M129)</f>
        <v>2667.3333333333335</v>
      </c>
      <c r="N306" s="200">
        <f>AVERAGE(N125:N129)</f>
        <v>3240</v>
      </c>
      <c r="P306" s="200">
        <f t="shared" ref="P306:U306" si="98">AVERAGE(P125:P129)</f>
        <v>0</v>
      </c>
      <c r="Q306" s="200">
        <f t="shared" si="98"/>
        <v>0.33333333333333331</v>
      </c>
      <c r="R306" s="200">
        <f t="shared" si="98"/>
        <v>15.666666666666666</v>
      </c>
      <c r="S306" s="200">
        <f t="shared" si="98"/>
        <v>2</v>
      </c>
      <c r="T306" s="200">
        <f t="shared" si="98"/>
        <v>0</v>
      </c>
      <c r="U306" s="200">
        <f t="shared" si="98"/>
        <v>18</v>
      </c>
    </row>
    <row r="307" spans="1:21" ht="12" customHeight="1" x14ac:dyDescent="0.2">
      <c r="A307" s="348">
        <v>2006</v>
      </c>
      <c r="B307" s="200">
        <f t="shared" ref="B307:G321" si="99">+B130</f>
        <v>1578</v>
      </c>
      <c r="C307" s="200">
        <f t="shared" si="99"/>
        <v>632</v>
      </c>
      <c r="D307" s="200">
        <f t="shared" si="99"/>
        <v>120</v>
      </c>
      <c r="E307" s="200">
        <f t="shared" si="99"/>
        <v>138</v>
      </c>
      <c r="F307" s="200">
        <f t="shared" si="99"/>
        <v>89</v>
      </c>
      <c r="G307" s="200">
        <f t="shared" si="99"/>
        <v>2557</v>
      </c>
      <c r="I307" s="200" t="str">
        <f t="shared" ref="I307:N321" si="100">+I130</f>
        <v>-</v>
      </c>
      <c r="J307" s="200" t="str">
        <f t="shared" si="100"/>
        <v>-</v>
      </c>
      <c r="K307" s="200">
        <f t="shared" si="100"/>
        <v>10</v>
      </c>
      <c r="L307" s="200">
        <f t="shared" si="100"/>
        <v>59</v>
      </c>
      <c r="M307" s="200">
        <f t="shared" si="100"/>
        <v>115</v>
      </c>
      <c r="N307" s="200">
        <f t="shared" si="100"/>
        <v>184</v>
      </c>
    </row>
    <row r="308" spans="1:21" s="359" customFormat="1" ht="12" customHeight="1" x14ac:dyDescent="0.2">
      <c r="A308" s="348">
        <v>2007</v>
      </c>
      <c r="B308" s="203">
        <f t="shared" si="99"/>
        <v>5326</v>
      </c>
      <c r="C308" s="203">
        <f t="shared" si="99"/>
        <v>814</v>
      </c>
      <c r="D308" s="203">
        <f t="shared" si="99"/>
        <v>1700</v>
      </c>
      <c r="E308" s="203">
        <f t="shared" si="99"/>
        <v>264</v>
      </c>
      <c r="F308" s="203">
        <f t="shared" si="99"/>
        <v>7</v>
      </c>
      <c r="G308" s="203">
        <f t="shared" si="99"/>
        <v>8111</v>
      </c>
      <c r="H308" s="9"/>
      <c r="I308" s="203" t="str">
        <f t="shared" si="100"/>
        <v>-</v>
      </c>
      <c r="J308" s="203" t="str">
        <f t="shared" si="100"/>
        <v>-</v>
      </c>
      <c r="K308" s="203">
        <f t="shared" si="100"/>
        <v>998</v>
      </c>
      <c r="L308" s="203">
        <f t="shared" si="100"/>
        <v>757</v>
      </c>
      <c r="M308" s="203">
        <f t="shared" si="100"/>
        <v>28</v>
      </c>
      <c r="N308" s="203">
        <f t="shared" si="100"/>
        <v>1783</v>
      </c>
      <c r="O308" s="203"/>
      <c r="P308" s="203">
        <f t="shared" ref="P308:U308" si="101">+P131</f>
        <v>0</v>
      </c>
      <c r="Q308" s="203">
        <f t="shared" si="101"/>
        <v>0</v>
      </c>
      <c r="R308" s="203">
        <f t="shared" si="101"/>
        <v>0</v>
      </c>
      <c r="S308" s="203">
        <f t="shared" si="101"/>
        <v>1</v>
      </c>
      <c r="T308" s="203">
        <f t="shared" si="101"/>
        <v>0</v>
      </c>
      <c r="U308" s="203">
        <f t="shared" si="101"/>
        <v>1</v>
      </c>
    </row>
    <row r="309" spans="1:21" s="359" customFormat="1" ht="12" customHeight="1" x14ac:dyDescent="0.2">
      <c r="A309" s="348">
        <v>2008</v>
      </c>
      <c r="B309" s="203">
        <f t="shared" si="99"/>
        <v>1380</v>
      </c>
      <c r="C309" s="203">
        <f t="shared" si="99"/>
        <v>1657</v>
      </c>
      <c r="D309" s="203">
        <f t="shared" si="99"/>
        <v>671</v>
      </c>
      <c r="E309" s="203">
        <f t="shared" si="99"/>
        <v>764</v>
      </c>
      <c r="F309" s="203">
        <f t="shared" si="99"/>
        <v>201</v>
      </c>
      <c r="G309" s="203">
        <f t="shared" si="99"/>
        <v>4673</v>
      </c>
      <c r="H309" s="9"/>
      <c r="I309" s="203" t="str">
        <f t="shared" si="100"/>
        <v>-</v>
      </c>
      <c r="J309" s="203" t="str">
        <f t="shared" si="100"/>
        <v>-</v>
      </c>
      <c r="K309" s="203">
        <f t="shared" si="100"/>
        <v>165</v>
      </c>
      <c r="L309" s="203">
        <f t="shared" si="100"/>
        <v>645</v>
      </c>
      <c r="M309" s="203">
        <f t="shared" si="100"/>
        <v>322</v>
      </c>
      <c r="N309" s="203">
        <f t="shared" si="100"/>
        <v>1132</v>
      </c>
      <c r="O309" s="203"/>
      <c r="P309" s="203"/>
      <c r="Q309" s="203"/>
      <c r="R309" s="203"/>
      <c r="S309" s="203"/>
      <c r="T309" s="203"/>
      <c r="U309" s="203"/>
    </row>
    <row r="310" spans="1:21" s="359" customFormat="1" ht="12" customHeight="1" x14ac:dyDescent="0.2">
      <c r="A310" s="348">
        <v>2009</v>
      </c>
      <c r="B310" s="203">
        <f t="shared" si="99"/>
        <v>3576</v>
      </c>
      <c r="C310" s="203">
        <f t="shared" si="99"/>
        <v>3111</v>
      </c>
      <c r="D310" s="203">
        <f t="shared" si="99"/>
        <v>955</v>
      </c>
      <c r="E310" s="203">
        <f t="shared" si="99"/>
        <v>405</v>
      </c>
      <c r="F310" s="203">
        <f t="shared" si="99"/>
        <v>85</v>
      </c>
      <c r="G310" s="203">
        <f t="shared" si="99"/>
        <v>8132</v>
      </c>
      <c r="H310" s="9"/>
      <c r="I310" s="203" t="str">
        <f t="shared" si="100"/>
        <v>-</v>
      </c>
      <c r="J310" s="203" t="str">
        <f t="shared" si="100"/>
        <v>-</v>
      </c>
      <c r="K310" s="203">
        <f t="shared" si="100"/>
        <v>1933</v>
      </c>
      <c r="L310" s="203">
        <f t="shared" si="100"/>
        <v>5291</v>
      </c>
      <c r="M310" s="203">
        <f t="shared" si="100"/>
        <v>2836</v>
      </c>
      <c r="N310" s="203">
        <f t="shared" si="100"/>
        <v>10060</v>
      </c>
      <c r="O310" s="203"/>
      <c r="P310" s="203">
        <f t="shared" ref="P310:U310" si="102">+P133</f>
        <v>0</v>
      </c>
      <c r="Q310" s="203">
        <f t="shared" si="102"/>
        <v>4</v>
      </c>
      <c r="R310" s="203">
        <f t="shared" si="102"/>
        <v>2</v>
      </c>
      <c r="S310" s="203">
        <f t="shared" si="102"/>
        <v>3</v>
      </c>
      <c r="T310" s="203">
        <f t="shared" si="102"/>
        <v>0</v>
      </c>
      <c r="U310" s="203">
        <f t="shared" si="102"/>
        <v>9</v>
      </c>
    </row>
    <row r="311" spans="1:21" s="359" customFormat="1" ht="12" customHeight="1" x14ac:dyDescent="0.2">
      <c r="A311" s="157">
        <v>2010</v>
      </c>
      <c r="B311" s="203">
        <f t="shared" si="99"/>
        <v>4192</v>
      </c>
      <c r="C311" s="203">
        <f t="shared" si="99"/>
        <v>19171</v>
      </c>
      <c r="D311" s="203">
        <f t="shared" si="99"/>
        <v>4761</v>
      </c>
      <c r="E311" s="203">
        <f t="shared" si="99"/>
        <v>5788</v>
      </c>
      <c r="F311" s="203">
        <f t="shared" si="99"/>
        <v>259</v>
      </c>
      <c r="G311" s="203">
        <f t="shared" si="99"/>
        <v>34171</v>
      </c>
      <c r="H311" s="9"/>
      <c r="I311" s="203" t="str">
        <f t="shared" si="100"/>
        <v>-</v>
      </c>
      <c r="J311" s="203" t="str">
        <f t="shared" si="100"/>
        <v>-</v>
      </c>
      <c r="K311" s="203">
        <f t="shared" si="100"/>
        <v>895</v>
      </c>
      <c r="L311" s="203">
        <f t="shared" si="100"/>
        <v>639</v>
      </c>
      <c r="M311" s="203">
        <f t="shared" si="100"/>
        <v>123</v>
      </c>
      <c r="N311" s="203">
        <f t="shared" si="100"/>
        <v>1657</v>
      </c>
      <c r="O311" s="203"/>
      <c r="P311" s="203"/>
      <c r="Q311" s="203"/>
      <c r="R311" s="203"/>
      <c r="S311" s="203"/>
      <c r="T311" s="203"/>
      <c r="U311" s="203"/>
    </row>
    <row r="312" spans="1:21" s="359" customFormat="1" ht="12" customHeight="1" x14ac:dyDescent="0.2">
      <c r="A312" s="348">
        <v>2011</v>
      </c>
      <c r="B312" s="203">
        <f t="shared" si="99"/>
        <v>2960</v>
      </c>
      <c r="C312" s="203">
        <f t="shared" si="99"/>
        <v>4727</v>
      </c>
      <c r="D312" s="203">
        <f t="shared" si="99"/>
        <v>3056</v>
      </c>
      <c r="E312" s="203">
        <f t="shared" si="99"/>
        <v>1709</v>
      </c>
      <c r="F312" s="203">
        <f t="shared" si="99"/>
        <v>66</v>
      </c>
      <c r="G312" s="203">
        <f t="shared" si="99"/>
        <v>12518</v>
      </c>
      <c r="H312" s="9"/>
      <c r="I312" s="203" t="str">
        <f t="shared" si="100"/>
        <v>-</v>
      </c>
      <c r="J312" s="203" t="str">
        <f t="shared" si="100"/>
        <v>-</v>
      </c>
      <c r="K312" s="203">
        <f t="shared" si="100"/>
        <v>1055</v>
      </c>
      <c r="L312" s="203">
        <f t="shared" si="100"/>
        <v>456</v>
      </c>
      <c r="M312" s="203">
        <f t="shared" si="100"/>
        <v>197</v>
      </c>
      <c r="N312" s="203">
        <f t="shared" si="100"/>
        <v>1708</v>
      </c>
      <c r="O312" s="203"/>
      <c r="P312" s="203">
        <f t="shared" ref="P312:U312" si="103">+P135</f>
        <v>0</v>
      </c>
      <c r="Q312" s="203">
        <f t="shared" si="103"/>
        <v>1</v>
      </c>
      <c r="R312" s="203">
        <f t="shared" si="103"/>
        <v>53</v>
      </c>
      <c r="S312" s="203">
        <f t="shared" si="103"/>
        <v>56</v>
      </c>
      <c r="T312" s="203">
        <f t="shared" si="103"/>
        <v>0</v>
      </c>
      <c r="U312" s="203">
        <f t="shared" si="103"/>
        <v>110</v>
      </c>
    </row>
    <row r="313" spans="1:21" s="359" customFormat="1" ht="12" customHeight="1" x14ac:dyDescent="0.2">
      <c r="A313" s="348">
        <v>2012</v>
      </c>
      <c r="B313" s="203">
        <f t="shared" si="99"/>
        <v>1613</v>
      </c>
      <c r="C313" s="203">
        <f t="shared" si="99"/>
        <v>5242</v>
      </c>
      <c r="D313" s="203">
        <f t="shared" si="99"/>
        <v>1631</v>
      </c>
      <c r="E313" s="203">
        <f t="shared" si="99"/>
        <v>109</v>
      </c>
      <c r="F313" s="203">
        <f t="shared" si="99"/>
        <v>186</v>
      </c>
      <c r="G313" s="203">
        <f t="shared" si="99"/>
        <v>8781</v>
      </c>
      <c r="H313" s="9"/>
      <c r="I313" s="203" t="str">
        <f t="shared" si="100"/>
        <v>-</v>
      </c>
      <c r="J313" s="203" t="str">
        <f t="shared" si="100"/>
        <v>-</v>
      </c>
      <c r="K313" s="203">
        <f t="shared" si="100"/>
        <v>490</v>
      </c>
      <c r="L313" s="203">
        <f t="shared" si="100"/>
        <v>152</v>
      </c>
      <c r="M313" s="203">
        <f t="shared" si="100"/>
        <v>214</v>
      </c>
      <c r="N313" s="203">
        <f t="shared" si="100"/>
        <v>856</v>
      </c>
      <c r="O313" s="203"/>
      <c r="P313" s="203"/>
      <c r="Q313" s="203"/>
      <c r="R313" s="203"/>
      <c r="S313" s="203"/>
      <c r="T313" s="203"/>
      <c r="U313" s="203"/>
    </row>
    <row r="314" spans="1:21" s="359" customFormat="1" ht="12" customHeight="1" x14ac:dyDescent="0.2">
      <c r="A314" s="348">
        <v>2013</v>
      </c>
      <c r="B314" s="203">
        <f t="shared" si="99"/>
        <v>2317</v>
      </c>
      <c r="C314" s="203">
        <f t="shared" si="99"/>
        <v>11848</v>
      </c>
      <c r="D314" s="203">
        <f t="shared" si="99"/>
        <v>3520</v>
      </c>
      <c r="E314" s="203">
        <f t="shared" si="99"/>
        <v>6796</v>
      </c>
      <c r="F314" s="203">
        <f t="shared" si="99"/>
        <v>690</v>
      </c>
      <c r="G314" s="203">
        <f t="shared" si="99"/>
        <v>25171</v>
      </c>
      <c r="H314" s="9"/>
      <c r="I314" s="203" t="str">
        <f t="shared" si="100"/>
        <v>-</v>
      </c>
      <c r="J314" s="203" t="str">
        <f t="shared" si="100"/>
        <v>-</v>
      </c>
      <c r="K314" s="203">
        <f t="shared" si="100"/>
        <v>559</v>
      </c>
      <c r="L314" s="203">
        <f t="shared" si="100"/>
        <v>2942</v>
      </c>
      <c r="M314" s="203">
        <f t="shared" si="100"/>
        <v>258</v>
      </c>
      <c r="N314" s="203">
        <f t="shared" si="100"/>
        <v>3759</v>
      </c>
      <c r="O314" s="203"/>
      <c r="P314" s="203">
        <f t="shared" ref="P314:U314" si="104">+P137</f>
        <v>0</v>
      </c>
      <c r="Q314" s="203">
        <f t="shared" si="104"/>
        <v>0</v>
      </c>
      <c r="R314" s="203">
        <f t="shared" si="104"/>
        <v>6</v>
      </c>
      <c r="S314" s="203">
        <f t="shared" si="104"/>
        <v>8</v>
      </c>
      <c r="T314" s="203">
        <f t="shared" si="104"/>
        <v>1</v>
      </c>
      <c r="U314" s="203">
        <f t="shared" si="104"/>
        <v>15</v>
      </c>
    </row>
    <row r="315" spans="1:21" s="359" customFormat="1" ht="12" customHeight="1" x14ac:dyDescent="0.2">
      <c r="A315" s="348">
        <v>2014</v>
      </c>
      <c r="B315" s="203">
        <f t="shared" si="99"/>
        <v>2160</v>
      </c>
      <c r="C315" s="203">
        <f t="shared" si="99"/>
        <v>1313</v>
      </c>
      <c r="D315" s="203">
        <f t="shared" si="99"/>
        <v>4722</v>
      </c>
      <c r="E315" s="203">
        <f t="shared" si="99"/>
        <v>3936</v>
      </c>
      <c r="F315" s="203">
        <f t="shared" si="99"/>
        <v>419</v>
      </c>
      <c r="G315" s="203">
        <f t="shared" si="99"/>
        <v>12550</v>
      </c>
      <c r="H315" s="9"/>
      <c r="I315" s="203" t="str">
        <f t="shared" si="100"/>
        <v>-</v>
      </c>
      <c r="J315" s="203" t="str">
        <f t="shared" si="100"/>
        <v>-</v>
      </c>
      <c r="K315" s="203">
        <f t="shared" si="100"/>
        <v>1739</v>
      </c>
      <c r="L315" s="203">
        <f t="shared" si="100"/>
        <v>2959</v>
      </c>
      <c r="M315" s="203">
        <f t="shared" si="100"/>
        <v>3827</v>
      </c>
      <c r="N315" s="203">
        <f t="shared" si="100"/>
        <v>8525</v>
      </c>
      <c r="O315" s="203"/>
      <c r="P315" s="72"/>
      <c r="Q315" s="72"/>
      <c r="R315" s="72"/>
      <c r="S315" s="72"/>
      <c r="T315" s="72"/>
      <c r="U315" s="72"/>
    </row>
    <row r="316" spans="1:21" s="359" customFormat="1" ht="12" customHeight="1" x14ac:dyDescent="0.2">
      <c r="A316" s="157">
        <v>2015</v>
      </c>
      <c r="B316" s="203">
        <f t="shared" si="99"/>
        <v>5360</v>
      </c>
      <c r="C316" s="203">
        <f t="shared" si="99"/>
        <v>13569</v>
      </c>
      <c r="D316" s="203">
        <f t="shared" si="99"/>
        <v>7916</v>
      </c>
      <c r="E316" s="203">
        <f t="shared" si="99"/>
        <v>6108</v>
      </c>
      <c r="F316" s="203">
        <f t="shared" si="99"/>
        <v>457</v>
      </c>
      <c r="G316" s="203">
        <f t="shared" si="99"/>
        <v>33410</v>
      </c>
      <c r="H316" s="9"/>
      <c r="I316" s="203" t="str">
        <f t="shared" si="100"/>
        <v>-</v>
      </c>
      <c r="J316" s="203" t="str">
        <f t="shared" si="100"/>
        <v>-</v>
      </c>
      <c r="K316" s="203">
        <f t="shared" si="100"/>
        <v>539</v>
      </c>
      <c r="L316" s="203">
        <f t="shared" si="100"/>
        <v>871</v>
      </c>
      <c r="M316" s="203">
        <f t="shared" si="100"/>
        <v>429</v>
      </c>
      <c r="N316" s="203">
        <f t="shared" si="100"/>
        <v>1839</v>
      </c>
      <c r="O316" s="203"/>
      <c r="P316" s="203">
        <f t="shared" ref="P316:U316" si="105">+P139</f>
        <v>1</v>
      </c>
      <c r="Q316" s="203">
        <f t="shared" si="105"/>
        <v>0</v>
      </c>
      <c r="R316" s="203">
        <f t="shared" si="105"/>
        <v>11</v>
      </c>
      <c r="S316" s="203">
        <f t="shared" si="105"/>
        <v>0</v>
      </c>
      <c r="T316" s="203">
        <f t="shared" si="105"/>
        <v>0</v>
      </c>
      <c r="U316" s="203">
        <f t="shared" si="105"/>
        <v>12</v>
      </c>
    </row>
    <row r="317" spans="1:21" s="359" customFormat="1" ht="12" customHeight="1" x14ac:dyDescent="0.2">
      <c r="A317" s="157">
        <v>2016</v>
      </c>
      <c r="B317" s="203">
        <f t="shared" si="99"/>
        <v>3258</v>
      </c>
      <c r="C317" s="203">
        <f t="shared" si="99"/>
        <v>2619</v>
      </c>
      <c r="D317" s="203">
        <f t="shared" si="99"/>
        <v>1981</v>
      </c>
      <c r="E317" s="203">
        <f t="shared" si="99"/>
        <v>1866</v>
      </c>
      <c r="F317" s="203" t="str">
        <f t="shared" si="99"/>
        <v>-</v>
      </c>
      <c r="G317" s="203">
        <f t="shared" si="99"/>
        <v>9724</v>
      </c>
      <c r="H317" s="9"/>
      <c r="I317" s="203" t="str">
        <f t="shared" si="100"/>
        <v>-</v>
      </c>
      <c r="J317" s="203" t="str">
        <f t="shared" si="100"/>
        <v>-</v>
      </c>
      <c r="K317" s="203" t="str">
        <f t="shared" si="100"/>
        <v>-</v>
      </c>
      <c r="L317" s="203" t="str">
        <f t="shared" si="100"/>
        <v>-</v>
      </c>
      <c r="M317" s="203" t="str">
        <f t="shared" si="100"/>
        <v>-</v>
      </c>
      <c r="N317" s="203" t="str">
        <f t="shared" si="100"/>
        <v>-</v>
      </c>
      <c r="O317" s="203"/>
      <c r="P317" s="203"/>
      <c r="Q317" s="203"/>
      <c r="R317" s="203"/>
      <c r="S317" s="203"/>
      <c r="T317" s="203"/>
      <c r="U317" s="203"/>
    </row>
    <row r="318" spans="1:21" s="359" customFormat="1" ht="12" customHeight="1" x14ac:dyDescent="0.2">
      <c r="A318" s="157">
        <v>2017</v>
      </c>
      <c r="B318" s="203">
        <f t="shared" si="99"/>
        <v>10793</v>
      </c>
      <c r="C318" s="203">
        <f t="shared" si="99"/>
        <v>6092</v>
      </c>
      <c r="D318" s="203">
        <f t="shared" si="99"/>
        <v>2340</v>
      </c>
      <c r="E318" s="203">
        <f t="shared" si="99"/>
        <v>1852</v>
      </c>
      <c r="F318" s="203">
        <f t="shared" si="99"/>
        <v>100</v>
      </c>
      <c r="G318" s="203">
        <f t="shared" si="99"/>
        <v>21177</v>
      </c>
      <c r="H318" s="9"/>
      <c r="I318" s="203" t="str">
        <f t="shared" si="100"/>
        <v>-</v>
      </c>
      <c r="J318" s="203" t="str">
        <f t="shared" si="100"/>
        <v>-</v>
      </c>
      <c r="K318" s="203">
        <f t="shared" si="100"/>
        <v>134</v>
      </c>
      <c r="L318" s="203">
        <f t="shared" si="100"/>
        <v>309</v>
      </c>
      <c r="M318" s="203">
        <f t="shared" si="100"/>
        <v>81</v>
      </c>
      <c r="N318" s="203">
        <f t="shared" si="100"/>
        <v>524</v>
      </c>
      <c r="O318" s="203"/>
      <c r="P318" s="203">
        <f t="shared" ref="P318:U318" si="106">+P141</f>
        <v>0</v>
      </c>
      <c r="Q318" s="203">
        <f t="shared" si="106"/>
        <v>0</v>
      </c>
      <c r="R318" s="203">
        <f t="shared" si="106"/>
        <v>0</v>
      </c>
      <c r="S318" s="203">
        <f t="shared" si="106"/>
        <v>0</v>
      </c>
      <c r="T318" s="203">
        <f t="shared" si="106"/>
        <v>0</v>
      </c>
      <c r="U318" s="203">
        <f t="shared" si="106"/>
        <v>0</v>
      </c>
    </row>
    <row r="319" spans="1:21" s="359" customFormat="1" ht="12" customHeight="1" x14ac:dyDescent="0.2">
      <c r="A319" s="157">
        <v>2018</v>
      </c>
      <c r="B319" s="203">
        <f t="shared" si="99"/>
        <v>2682</v>
      </c>
      <c r="C319" s="203">
        <f t="shared" si="99"/>
        <v>7518</v>
      </c>
      <c r="D319" s="203">
        <f t="shared" si="99"/>
        <v>2457</v>
      </c>
      <c r="E319" s="203">
        <f t="shared" si="99"/>
        <v>281</v>
      </c>
      <c r="F319" s="203">
        <f t="shared" si="99"/>
        <v>3</v>
      </c>
      <c r="G319" s="203">
        <f t="shared" si="99"/>
        <v>12941</v>
      </c>
      <c r="H319" s="9"/>
      <c r="I319" s="203" t="str">
        <f t="shared" si="100"/>
        <v>-</v>
      </c>
      <c r="J319" s="203" t="str">
        <f t="shared" si="100"/>
        <v>-</v>
      </c>
      <c r="K319" s="203">
        <f t="shared" si="100"/>
        <v>125</v>
      </c>
      <c r="L319" s="203">
        <f t="shared" si="100"/>
        <v>225</v>
      </c>
      <c r="M319" s="203">
        <f t="shared" si="100"/>
        <v>16</v>
      </c>
      <c r="N319" s="203">
        <f t="shared" si="100"/>
        <v>366</v>
      </c>
      <c r="O319" s="203"/>
      <c r="P319" s="203"/>
      <c r="Q319" s="203"/>
      <c r="R319" s="203"/>
      <c r="S319" s="203"/>
      <c r="T319" s="203"/>
      <c r="U319" s="203"/>
    </row>
    <row r="320" spans="1:21" s="487" customFormat="1" ht="12" customHeight="1" x14ac:dyDescent="0.2">
      <c r="A320" s="157">
        <v>2019</v>
      </c>
      <c r="B320" s="203">
        <f t="shared" si="99"/>
        <v>1803</v>
      </c>
      <c r="C320" s="203">
        <f t="shared" si="99"/>
        <v>341</v>
      </c>
      <c r="D320" s="203">
        <f t="shared" si="99"/>
        <v>65</v>
      </c>
      <c r="E320" s="203">
        <f t="shared" si="99"/>
        <v>49</v>
      </c>
      <c r="F320" s="203">
        <f t="shared" si="99"/>
        <v>81</v>
      </c>
      <c r="G320" s="203">
        <f t="shared" si="99"/>
        <v>2339</v>
      </c>
      <c r="H320" s="9"/>
      <c r="I320" s="203" t="str">
        <f t="shared" si="100"/>
        <v>-</v>
      </c>
      <c r="J320" s="203" t="str">
        <f t="shared" si="100"/>
        <v>-</v>
      </c>
      <c r="K320" s="203">
        <f t="shared" si="100"/>
        <v>226</v>
      </c>
      <c r="L320" s="203">
        <f t="shared" si="100"/>
        <v>368</v>
      </c>
      <c r="M320" s="203">
        <f t="shared" si="100"/>
        <v>737</v>
      </c>
      <c r="N320" s="203">
        <f t="shared" si="100"/>
        <v>1331</v>
      </c>
      <c r="O320" s="203"/>
      <c r="P320" s="203">
        <f t="shared" ref="P320:U320" si="107">+P143</f>
        <v>0</v>
      </c>
      <c r="Q320" s="203">
        <f t="shared" si="107"/>
        <v>0</v>
      </c>
      <c r="R320" s="203">
        <f t="shared" si="107"/>
        <v>23</v>
      </c>
      <c r="S320" s="203">
        <f t="shared" si="107"/>
        <v>0</v>
      </c>
      <c r="T320" s="203">
        <f t="shared" si="107"/>
        <v>0</v>
      </c>
      <c r="U320" s="203">
        <f t="shared" si="107"/>
        <v>23</v>
      </c>
    </row>
    <row r="321" spans="1:21" ht="12" customHeight="1" x14ac:dyDescent="0.2">
      <c r="A321" s="171" t="s">
        <v>394</v>
      </c>
      <c r="B321" s="200">
        <f t="shared" si="99"/>
        <v>136</v>
      </c>
      <c r="C321" s="200">
        <f t="shared" si="99"/>
        <v>251</v>
      </c>
      <c r="D321" s="200">
        <f t="shared" si="99"/>
        <v>4191</v>
      </c>
      <c r="E321" s="200">
        <f t="shared" si="99"/>
        <v>1257</v>
      </c>
      <c r="F321" s="200">
        <f t="shared" si="99"/>
        <v>32</v>
      </c>
      <c r="G321" s="200">
        <f t="shared" si="99"/>
        <v>5867</v>
      </c>
      <c r="I321" s="200" t="str">
        <f t="shared" si="100"/>
        <v>-</v>
      </c>
      <c r="J321" s="200" t="str">
        <f t="shared" si="100"/>
        <v>-</v>
      </c>
      <c r="K321" s="200">
        <f t="shared" si="100"/>
        <v>164</v>
      </c>
      <c r="L321" s="200">
        <f t="shared" si="100"/>
        <v>172</v>
      </c>
      <c r="M321" s="200">
        <f t="shared" si="100"/>
        <v>37</v>
      </c>
      <c r="N321" s="200">
        <f t="shared" si="100"/>
        <v>373</v>
      </c>
      <c r="P321" s="203"/>
      <c r="Q321" s="203"/>
      <c r="R321" s="203"/>
      <c r="S321" s="203"/>
      <c r="T321" s="203"/>
      <c r="U321" s="203"/>
    </row>
    <row r="322" spans="1:21" ht="12" customHeight="1" x14ac:dyDescent="0.2">
      <c r="B322" s="200"/>
      <c r="C322" s="200"/>
      <c r="D322" s="200"/>
      <c r="E322" s="200"/>
      <c r="F322" s="200"/>
      <c r="G322" s="200"/>
    </row>
    <row r="323" spans="1:21" ht="12" customHeight="1" x14ac:dyDescent="0.2">
      <c r="A323" s="116" t="s">
        <v>63</v>
      </c>
      <c r="B323" s="200"/>
      <c r="C323" s="200"/>
      <c r="D323" s="200"/>
      <c r="E323" s="200"/>
      <c r="F323" s="200"/>
      <c r="G323" s="200"/>
    </row>
    <row r="324" spans="1:21" ht="12" customHeight="1" x14ac:dyDescent="0.2">
      <c r="A324" s="371" t="s">
        <v>30</v>
      </c>
      <c r="B324" s="200">
        <f t="shared" ref="B324:G324" si="108">AVERAGE(B152:B156)</f>
        <v>6463.6</v>
      </c>
      <c r="C324" s="200">
        <f t="shared" si="108"/>
        <v>1263.3333333333333</v>
      </c>
      <c r="D324" s="200">
        <f t="shared" si="108"/>
        <v>2308.6666666666665</v>
      </c>
      <c r="E324" s="200">
        <f t="shared" si="108"/>
        <v>602.5</v>
      </c>
      <c r="F324" s="200">
        <f t="shared" si="108"/>
        <v>418</v>
      </c>
      <c r="G324" s="200">
        <f t="shared" si="108"/>
        <v>9172.4</v>
      </c>
      <c r="I324" s="200" t="s">
        <v>29</v>
      </c>
      <c r="J324" s="200" t="s">
        <v>29</v>
      </c>
      <c r="K324" s="200">
        <f>AVERAGE(K152:K156)</f>
        <v>29800.666666666668</v>
      </c>
      <c r="L324" s="200">
        <f>AVERAGE(L152:L156)</f>
        <v>14414.75</v>
      </c>
      <c r="M324" s="200">
        <f>AVERAGE(M152:M156)</f>
        <v>13373</v>
      </c>
      <c r="N324" s="200">
        <f>AVERAGE(N152:N156)</f>
        <v>32086.799999999999</v>
      </c>
      <c r="P324" s="200">
        <f>AVERAGE(P152:P156)</f>
        <v>3.6666666666666665</v>
      </c>
      <c r="Q324" s="200" t="s">
        <v>29</v>
      </c>
      <c r="R324" s="200">
        <f>AVERAGE(R152:R156)</f>
        <v>931</v>
      </c>
      <c r="S324" s="200">
        <f>AVERAGE(S152:S156)</f>
        <v>647.33333333333337</v>
      </c>
      <c r="T324" s="200" t="s">
        <v>29</v>
      </c>
      <c r="U324" s="200">
        <f>AVERAGE(U152:U156)</f>
        <v>1271.6666666666667</v>
      </c>
    </row>
    <row r="325" spans="1:21" ht="12" customHeight="1" x14ac:dyDescent="0.2">
      <c r="A325" s="371" t="s">
        <v>87</v>
      </c>
      <c r="B325" s="200">
        <f t="shared" ref="B325:G325" si="109">AVERAGE(B157:B161)</f>
        <v>2998</v>
      </c>
      <c r="C325" s="200">
        <f t="shared" si="109"/>
        <v>901</v>
      </c>
      <c r="D325" s="200">
        <f t="shared" si="109"/>
        <v>1324</v>
      </c>
      <c r="E325" s="200">
        <f t="shared" si="109"/>
        <v>1518.3333333333333</v>
      </c>
      <c r="F325" s="200">
        <f t="shared" si="109"/>
        <v>937</v>
      </c>
      <c r="G325" s="200">
        <f t="shared" si="109"/>
        <v>5089.2</v>
      </c>
      <c r="I325" s="200" t="s">
        <v>29</v>
      </c>
      <c r="J325" s="200" t="s">
        <v>29</v>
      </c>
      <c r="K325" s="200">
        <f>AVERAGE(K157:K161)</f>
        <v>10844</v>
      </c>
      <c r="L325" s="200">
        <f>AVERAGE(L157:L161)</f>
        <v>19387.666666666668</v>
      </c>
      <c r="M325" s="200">
        <f>AVERAGE(M157:M161)</f>
        <v>13025.5</v>
      </c>
      <c r="N325" s="200">
        <f>AVERAGE(N157:N161)</f>
        <v>23764.5</v>
      </c>
      <c r="P325" s="200">
        <f t="shared" ref="P325:U325" si="110">AVERAGE(P157:P161)</f>
        <v>0</v>
      </c>
      <c r="Q325" s="200">
        <f t="shared" si="110"/>
        <v>0</v>
      </c>
      <c r="R325" s="200">
        <f t="shared" si="110"/>
        <v>87</v>
      </c>
      <c r="S325" s="200">
        <f t="shared" si="110"/>
        <v>1</v>
      </c>
      <c r="T325" s="200">
        <f t="shared" si="110"/>
        <v>1</v>
      </c>
      <c r="U325" s="200">
        <f t="shared" si="110"/>
        <v>44.5</v>
      </c>
    </row>
    <row r="326" spans="1:21" ht="12" customHeight="1" x14ac:dyDescent="0.2">
      <c r="A326" s="371" t="s">
        <v>14</v>
      </c>
      <c r="B326" s="200">
        <f t="shared" ref="B326:G326" si="111">AVERAGE(B162:B166)</f>
        <v>1146.6666666666667</v>
      </c>
      <c r="C326" s="200">
        <f t="shared" si="111"/>
        <v>35.666666666666664</v>
      </c>
      <c r="D326" s="200">
        <f t="shared" si="111"/>
        <v>56.5</v>
      </c>
      <c r="E326" s="200">
        <f t="shared" si="111"/>
        <v>156.33333333333334</v>
      </c>
      <c r="F326" s="200">
        <f t="shared" si="111"/>
        <v>14.5</v>
      </c>
      <c r="G326" s="200">
        <f t="shared" si="111"/>
        <v>1386</v>
      </c>
      <c r="I326" s="200" t="s">
        <v>29</v>
      </c>
      <c r="J326" s="200" t="s">
        <v>29</v>
      </c>
      <c r="K326" s="200">
        <f>AVERAGE(K162:K166)</f>
        <v>476.5</v>
      </c>
      <c r="L326" s="200">
        <f>AVERAGE(L162:L166)</f>
        <v>5019</v>
      </c>
      <c r="M326" s="200">
        <f>AVERAGE(M162:M166)</f>
        <v>930</v>
      </c>
      <c r="N326" s="200">
        <f>AVERAGE(N162:N166)</f>
        <v>5956.666666666667</v>
      </c>
      <c r="P326" s="200">
        <f t="shared" ref="P326:U326" si="112">AVERAGE(P162:P166)</f>
        <v>0</v>
      </c>
      <c r="Q326" s="200">
        <f t="shared" si="112"/>
        <v>0</v>
      </c>
      <c r="R326" s="200">
        <f t="shared" si="112"/>
        <v>0</v>
      </c>
      <c r="S326" s="200">
        <f t="shared" si="112"/>
        <v>29.5</v>
      </c>
      <c r="T326" s="200">
        <f t="shared" si="112"/>
        <v>0</v>
      </c>
      <c r="U326" s="200">
        <f t="shared" si="112"/>
        <v>29.5</v>
      </c>
    </row>
    <row r="327" spans="1:21" ht="12" customHeight="1" x14ac:dyDescent="0.2">
      <c r="A327" s="371" t="s">
        <v>207</v>
      </c>
      <c r="B327" s="200">
        <f>AVERAGE(B167:B171)</f>
        <v>0</v>
      </c>
      <c r="C327" s="200">
        <f>AVERAGE(C167:C171)</f>
        <v>0</v>
      </c>
      <c r="D327" s="200" t="s">
        <v>29</v>
      </c>
      <c r="E327" s="200">
        <f>AVERAGE(E167:E171)</f>
        <v>513</v>
      </c>
      <c r="F327" s="200">
        <f>AVERAGE(F167:F171)</f>
        <v>40</v>
      </c>
      <c r="G327" s="200">
        <f>AVERAGE(G167:G171)</f>
        <v>184.33333333333334</v>
      </c>
      <c r="I327" s="200" t="s">
        <v>29</v>
      </c>
      <c r="J327" s="200" t="s">
        <v>29</v>
      </c>
      <c r="K327" s="200" t="s">
        <v>29</v>
      </c>
      <c r="L327" s="200">
        <f>AVERAGE(L167:L171)</f>
        <v>1220.5</v>
      </c>
      <c r="M327" s="200">
        <f>AVERAGE(M167:M171)</f>
        <v>385</v>
      </c>
      <c r="N327" s="200">
        <f>AVERAGE(N167:N171)</f>
        <v>1413</v>
      </c>
      <c r="P327" s="200">
        <f>AVERAGE(P167:P171)</f>
        <v>0</v>
      </c>
      <c r="Q327" s="200">
        <f>AVERAGE(Q167:Q171)</f>
        <v>0</v>
      </c>
      <c r="R327" s="200" t="s">
        <v>29</v>
      </c>
      <c r="S327" s="200" t="s">
        <v>29</v>
      </c>
      <c r="T327" s="200" t="s">
        <v>29</v>
      </c>
      <c r="U327" s="200">
        <f>AVERAGE(U167:U171)</f>
        <v>0</v>
      </c>
    </row>
    <row r="328" spans="1:21" ht="12" customHeight="1" x14ac:dyDescent="0.2">
      <c r="A328" s="371" t="s">
        <v>238</v>
      </c>
      <c r="B328" s="200">
        <f t="shared" ref="B328:G328" si="113">AVERAGE(B172:B176)</f>
        <v>397.8</v>
      </c>
      <c r="C328" s="200">
        <f t="shared" si="113"/>
        <v>110.4</v>
      </c>
      <c r="D328" s="200">
        <f t="shared" si="113"/>
        <v>357.2</v>
      </c>
      <c r="E328" s="200">
        <f t="shared" si="113"/>
        <v>354.8</v>
      </c>
      <c r="F328" s="200">
        <f t="shared" si="113"/>
        <v>121</v>
      </c>
      <c r="G328" s="200">
        <f t="shared" si="113"/>
        <v>1292.8</v>
      </c>
      <c r="I328" s="200" t="str">
        <f>+I172</f>
        <v>-</v>
      </c>
      <c r="J328" s="200" t="str">
        <f>+J172</f>
        <v>-</v>
      </c>
      <c r="K328" s="200">
        <f>AVERAGE(K172:K176)</f>
        <v>277.5</v>
      </c>
      <c r="L328" s="200">
        <f>AVERAGE(L172:L176)</f>
        <v>405.2</v>
      </c>
      <c r="M328" s="200">
        <f>AVERAGE(M172:M176)</f>
        <v>502.33333333333331</v>
      </c>
      <c r="N328" s="200">
        <f>AVERAGE(N172:N176)</f>
        <v>928.6</v>
      </c>
      <c r="P328" s="200">
        <f t="shared" ref="P328:U328" si="114">AVERAGE(P172:P176)</f>
        <v>0</v>
      </c>
      <c r="Q328" s="200">
        <f t="shared" si="114"/>
        <v>0</v>
      </c>
      <c r="R328" s="200">
        <f t="shared" si="114"/>
        <v>11.333333333333334</v>
      </c>
      <c r="S328" s="200">
        <f t="shared" si="114"/>
        <v>1.3333333333333333</v>
      </c>
      <c r="T328" s="200">
        <f t="shared" si="114"/>
        <v>0</v>
      </c>
      <c r="U328" s="200">
        <f t="shared" si="114"/>
        <v>12.666666666666666</v>
      </c>
    </row>
    <row r="329" spans="1:21" ht="12" customHeight="1" x14ac:dyDescent="0.2">
      <c r="A329" s="348">
        <v>2006</v>
      </c>
      <c r="B329" s="200">
        <f t="shared" ref="B329:G343" si="115">+B177</f>
        <v>1746</v>
      </c>
      <c r="C329" s="200">
        <f t="shared" si="115"/>
        <v>364</v>
      </c>
      <c r="D329" s="200">
        <f t="shared" si="115"/>
        <v>0</v>
      </c>
      <c r="E329" s="200">
        <f t="shared" si="115"/>
        <v>1</v>
      </c>
      <c r="F329" s="200">
        <f t="shared" si="115"/>
        <v>13</v>
      </c>
      <c r="G329" s="200">
        <f t="shared" si="115"/>
        <v>2124</v>
      </c>
      <c r="I329" s="200" t="str">
        <f t="shared" ref="I329:N343" si="116">+I177</f>
        <v>-</v>
      </c>
      <c r="J329" s="200" t="str">
        <f t="shared" si="116"/>
        <v>-</v>
      </c>
      <c r="K329" s="200">
        <f t="shared" si="116"/>
        <v>7</v>
      </c>
      <c r="L329" s="200">
        <f t="shared" si="116"/>
        <v>29</v>
      </c>
      <c r="M329" s="200">
        <f t="shared" si="116"/>
        <v>38</v>
      </c>
      <c r="N329" s="200">
        <f t="shared" si="116"/>
        <v>74</v>
      </c>
    </row>
    <row r="330" spans="1:21" s="359" customFormat="1" ht="12" customHeight="1" x14ac:dyDescent="0.2">
      <c r="A330" s="348">
        <v>2007</v>
      </c>
      <c r="B330" s="203">
        <f t="shared" si="115"/>
        <v>173</v>
      </c>
      <c r="C330" s="203">
        <f t="shared" si="115"/>
        <v>226</v>
      </c>
      <c r="D330" s="203">
        <f t="shared" si="115"/>
        <v>43</v>
      </c>
      <c r="E330" s="203">
        <f t="shared" si="115"/>
        <v>50</v>
      </c>
      <c r="F330" s="203">
        <f t="shared" si="115"/>
        <v>8</v>
      </c>
      <c r="G330" s="203">
        <f t="shared" si="115"/>
        <v>500</v>
      </c>
      <c r="H330" s="9"/>
      <c r="I330" s="203" t="str">
        <f t="shared" si="116"/>
        <v>-</v>
      </c>
      <c r="J330" s="203" t="str">
        <f t="shared" si="116"/>
        <v>-</v>
      </c>
      <c r="K330" s="203">
        <f t="shared" si="116"/>
        <v>338</v>
      </c>
      <c r="L330" s="203">
        <f t="shared" si="116"/>
        <v>2401</v>
      </c>
      <c r="M330" s="203">
        <f t="shared" si="116"/>
        <v>126</v>
      </c>
      <c r="N330" s="203">
        <f t="shared" si="116"/>
        <v>2865</v>
      </c>
      <c r="O330" s="203"/>
      <c r="P330" s="203">
        <f t="shared" ref="P330:U330" si="117">+P178</f>
        <v>0</v>
      </c>
      <c r="Q330" s="203">
        <f t="shared" si="117"/>
        <v>0</v>
      </c>
      <c r="R330" s="203">
        <f t="shared" si="117"/>
        <v>0</v>
      </c>
      <c r="S330" s="203">
        <f t="shared" si="117"/>
        <v>0</v>
      </c>
      <c r="T330" s="203">
        <f t="shared" si="117"/>
        <v>0</v>
      </c>
      <c r="U330" s="203">
        <f t="shared" si="117"/>
        <v>0</v>
      </c>
    </row>
    <row r="331" spans="1:21" s="359" customFormat="1" ht="12" customHeight="1" x14ac:dyDescent="0.2">
      <c r="A331" s="348">
        <v>2008</v>
      </c>
      <c r="B331" s="203">
        <f t="shared" si="115"/>
        <v>361</v>
      </c>
      <c r="C331" s="203">
        <f t="shared" si="115"/>
        <v>847</v>
      </c>
      <c r="D331" s="203">
        <f t="shared" si="115"/>
        <v>7</v>
      </c>
      <c r="E331" s="203">
        <f t="shared" si="115"/>
        <v>24</v>
      </c>
      <c r="F331" s="203">
        <f t="shared" si="115"/>
        <v>3</v>
      </c>
      <c r="G331" s="203">
        <f t="shared" si="115"/>
        <v>1242</v>
      </c>
      <c r="H331" s="9"/>
      <c r="I331" s="203" t="str">
        <f t="shared" si="116"/>
        <v>-</v>
      </c>
      <c r="J331" s="203" t="str">
        <f t="shared" si="116"/>
        <v>-</v>
      </c>
      <c r="K331" s="203">
        <f t="shared" si="116"/>
        <v>4</v>
      </c>
      <c r="L331" s="203">
        <f t="shared" si="116"/>
        <v>65</v>
      </c>
      <c r="M331" s="203">
        <f t="shared" si="116"/>
        <v>8</v>
      </c>
      <c r="N331" s="203">
        <f t="shared" si="116"/>
        <v>77</v>
      </c>
      <c r="O331" s="203"/>
      <c r="P331" s="203"/>
      <c r="Q331" s="203"/>
      <c r="R331" s="203"/>
      <c r="S331" s="203"/>
      <c r="T331" s="203"/>
      <c r="U331" s="203"/>
    </row>
    <row r="332" spans="1:21" s="359" customFormat="1" ht="12" customHeight="1" x14ac:dyDescent="0.2">
      <c r="A332" s="348">
        <v>2009</v>
      </c>
      <c r="B332" s="203">
        <f t="shared" si="115"/>
        <v>146</v>
      </c>
      <c r="C332" s="203">
        <f t="shared" si="115"/>
        <v>49</v>
      </c>
      <c r="D332" s="203">
        <f t="shared" si="115"/>
        <v>20</v>
      </c>
      <c r="E332" s="203">
        <f t="shared" si="115"/>
        <v>46</v>
      </c>
      <c r="F332" s="203">
        <f t="shared" si="115"/>
        <v>0</v>
      </c>
      <c r="G332" s="203">
        <f t="shared" si="115"/>
        <v>261</v>
      </c>
      <c r="H332" s="9"/>
      <c r="I332" s="203" t="str">
        <f t="shared" si="116"/>
        <v>-</v>
      </c>
      <c r="J332" s="203" t="str">
        <f t="shared" si="116"/>
        <v>-</v>
      </c>
      <c r="K332" s="203">
        <f t="shared" si="116"/>
        <v>587</v>
      </c>
      <c r="L332" s="203">
        <f t="shared" si="116"/>
        <v>1667</v>
      </c>
      <c r="M332" s="203">
        <f t="shared" si="116"/>
        <v>0</v>
      </c>
      <c r="N332" s="203">
        <f t="shared" si="116"/>
        <v>2254</v>
      </c>
      <c r="O332" s="203"/>
      <c r="P332" s="203">
        <f t="shared" ref="P332:U332" si="118">+P180</f>
        <v>0</v>
      </c>
      <c r="Q332" s="203">
        <f t="shared" si="118"/>
        <v>0</v>
      </c>
      <c r="R332" s="203">
        <f t="shared" si="118"/>
        <v>0</v>
      </c>
      <c r="S332" s="203">
        <f t="shared" si="118"/>
        <v>0</v>
      </c>
      <c r="T332" s="203">
        <f t="shared" si="118"/>
        <v>0</v>
      </c>
      <c r="U332" s="203">
        <f t="shared" si="118"/>
        <v>0</v>
      </c>
    </row>
    <row r="333" spans="1:21" s="359" customFormat="1" ht="12" customHeight="1" x14ac:dyDescent="0.2">
      <c r="A333" s="157">
        <v>2010</v>
      </c>
      <c r="B333" s="203">
        <f t="shared" si="115"/>
        <v>210</v>
      </c>
      <c r="C333" s="203">
        <f t="shared" si="115"/>
        <v>230</v>
      </c>
      <c r="D333" s="203">
        <f t="shared" si="115"/>
        <v>168</v>
      </c>
      <c r="E333" s="203">
        <f t="shared" si="115"/>
        <v>237</v>
      </c>
      <c r="F333" s="203">
        <f t="shared" si="115"/>
        <v>41</v>
      </c>
      <c r="G333" s="203">
        <f t="shared" si="115"/>
        <v>886</v>
      </c>
      <c r="H333" s="9"/>
      <c r="I333" s="203" t="str">
        <f t="shared" si="116"/>
        <v>-</v>
      </c>
      <c r="J333" s="203" t="str">
        <f t="shared" si="116"/>
        <v>-</v>
      </c>
      <c r="K333" s="203">
        <f t="shared" si="116"/>
        <v>99</v>
      </c>
      <c r="L333" s="203">
        <f t="shared" si="116"/>
        <v>38</v>
      </c>
      <c r="M333" s="203">
        <f t="shared" si="116"/>
        <v>14</v>
      </c>
      <c r="N333" s="203">
        <f t="shared" si="116"/>
        <v>151</v>
      </c>
      <c r="O333" s="203"/>
      <c r="P333" s="203"/>
      <c r="Q333" s="203"/>
      <c r="R333" s="203"/>
      <c r="S333" s="203"/>
      <c r="T333" s="203"/>
      <c r="U333" s="203"/>
    </row>
    <row r="334" spans="1:21" s="359" customFormat="1" ht="12" customHeight="1" x14ac:dyDescent="0.2">
      <c r="A334" s="348">
        <v>2011</v>
      </c>
      <c r="B334" s="203">
        <f t="shared" si="115"/>
        <v>472</v>
      </c>
      <c r="C334" s="203">
        <f t="shared" si="115"/>
        <v>543</v>
      </c>
      <c r="D334" s="203">
        <f t="shared" si="115"/>
        <v>1</v>
      </c>
      <c r="E334" s="203">
        <f t="shared" si="115"/>
        <v>12</v>
      </c>
      <c r="F334" s="203">
        <f t="shared" si="115"/>
        <v>4</v>
      </c>
      <c r="G334" s="203">
        <f t="shared" si="115"/>
        <v>1032</v>
      </c>
      <c r="H334" s="9"/>
      <c r="I334" s="203" t="str">
        <f t="shared" si="116"/>
        <v>-</v>
      </c>
      <c r="J334" s="203" t="str">
        <f t="shared" si="116"/>
        <v>-</v>
      </c>
      <c r="K334" s="203">
        <f t="shared" si="116"/>
        <v>1</v>
      </c>
      <c r="L334" s="203">
        <f t="shared" si="116"/>
        <v>25</v>
      </c>
      <c r="M334" s="203">
        <f t="shared" si="116"/>
        <v>12</v>
      </c>
      <c r="N334" s="203">
        <f t="shared" si="116"/>
        <v>38</v>
      </c>
      <c r="O334" s="203"/>
      <c r="P334" s="203">
        <f t="shared" ref="P334:U334" si="119">+P182</f>
        <v>0</v>
      </c>
      <c r="Q334" s="203">
        <f t="shared" si="119"/>
        <v>0</v>
      </c>
      <c r="R334" s="203">
        <f t="shared" si="119"/>
        <v>0</v>
      </c>
      <c r="S334" s="203">
        <f t="shared" si="119"/>
        <v>0</v>
      </c>
      <c r="T334" s="203">
        <f t="shared" si="119"/>
        <v>0</v>
      </c>
      <c r="U334" s="203">
        <f t="shared" si="119"/>
        <v>0</v>
      </c>
    </row>
    <row r="335" spans="1:21" s="359" customFormat="1" ht="12" customHeight="1" x14ac:dyDescent="0.2">
      <c r="A335" s="348">
        <v>2012</v>
      </c>
      <c r="B335" s="203">
        <f t="shared" si="115"/>
        <v>263</v>
      </c>
      <c r="C335" s="203">
        <f t="shared" si="115"/>
        <v>1687</v>
      </c>
      <c r="D335" s="203">
        <f t="shared" si="115"/>
        <v>66</v>
      </c>
      <c r="E335" s="203">
        <f t="shared" si="115"/>
        <v>0</v>
      </c>
      <c r="F335" s="203">
        <f t="shared" si="115"/>
        <v>234</v>
      </c>
      <c r="G335" s="203">
        <f t="shared" si="115"/>
        <v>2250</v>
      </c>
      <c r="H335" s="9"/>
      <c r="I335" s="203" t="str">
        <f t="shared" si="116"/>
        <v>-</v>
      </c>
      <c r="J335" s="203" t="str">
        <f t="shared" si="116"/>
        <v>-</v>
      </c>
      <c r="K335" s="203">
        <f t="shared" si="116"/>
        <v>23</v>
      </c>
      <c r="L335" s="203">
        <f t="shared" si="116"/>
        <v>2</v>
      </c>
      <c r="M335" s="203">
        <f t="shared" si="116"/>
        <v>64</v>
      </c>
      <c r="N335" s="203">
        <f t="shared" si="116"/>
        <v>89</v>
      </c>
      <c r="O335" s="203"/>
      <c r="P335" s="203"/>
      <c r="Q335" s="203"/>
      <c r="R335" s="203"/>
      <c r="S335" s="203"/>
      <c r="T335" s="203"/>
      <c r="U335" s="203"/>
    </row>
    <row r="336" spans="1:21" s="359" customFormat="1" ht="12" customHeight="1" x14ac:dyDescent="0.2">
      <c r="A336" s="348">
        <v>2013</v>
      </c>
      <c r="B336" s="203">
        <f t="shared" si="115"/>
        <v>102</v>
      </c>
      <c r="C336" s="203">
        <f t="shared" si="115"/>
        <v>358</v>
      </c>
      <c r="D336" s="203">
        <f t="shared" si="115"/>
        <v>42</v>
      </c>
      <c r="E336" s="203">
        <f t="shared" si="115"/>
        <v>19</v>
      </c>
      <c r="F336" s="203">
        <f t="shared" si="115"/>
        <v>39</v>
      </c>
      <c r="G336" s="203">
        <f t="shared" si="115"/>
        <v>560</v>
      </c>
      <c r="H336" s="9"/>
      <c r="I336" s="203" t="str">
        <f t="shared" si="116"/>
        <v>-</v>
      </c>
      <c r="J336" s="203" t="str">
        <f t="shared" si="116"/>
        <v>-</v>
      </c>
      <c r="K336" s="203">
        <f t="shared" si="116"/>
        <v>28</v>
      </c>
      <c r="L336" s="203">
        <f t="shared" si="116"/>
        <v>80</v>
      </c>
      <c r="M336" s="203">
        <f t="shared" si="116"/>
        <v>19</v>
      </c>
      <c r="N336" s="203">
        <f t="shared" si="116"/>
        <v>127</v>
      </c>
      <c r="O336" s="203"/>
      <c r="P336" s="203">
        <f t="shared" ref="P336:U336" si="120">+P184</f>
        <v>0</v>
      </c>
      <c r="Q336" s="203">
        <f t="shared" si="120"/>
        <v>0</v>
      </c>
      <c r="R336" s="203">
        <f t="shared" si="120"/>
        <v>0</v>
      </c>
      <c r="S336" s="203">
        <f t="shared" si="120"/>
        <v>0</v>
      </c>
      <c r="T336" s="203">
        <f t="shared" si="120"/>
        <v>0</v>
      </c>
      <c r="U336" s="203">
        <f t="shared" si="120"/>
        <v>0</v>
      </c>
    </row>
    <row r="337" spans="1:21" s="359" customFormat="1" ht="12" customHeight="1" x14ac:dyDescent="0.2">
      <c r="A337" s="348">
        <v>2014</v>
      </c>
      <c r="B337" s="203">
        <f t="shared" si="115"/>
        <v>7438</v>
      </c>
      <c r="C337" s="203">
        <f t="shared" si="115"/>
        <v>553</v>
      </c>
      <c r="D337" s="203">
        <f t="shared" si="115"/>
        <v>598</v>
      </c>
      <c r="E337" s="203">
        <f t="shared" si="115"/>
        <v>297</v>
      </c>
      <c r="F337" s="203">
        <f t="shared" si="115"/>
        <v>94</v>
      </c>
      <c r="G337" s="203">
        <f t="shared" si="115"/>
        <v>8980</v>
      </c>
      <c r="H337" s="9"/>
      <c r="I337" s="203" t="str">
        <f t="shared" si="116"/>
        <v>-</v>
      </c>
      <c r="J337" s="203" t="str">
        <f t="shared" si="116"/>
        <v>-</v>
      </c>
      <c r="K337" s="203">
        <f t="shared" si="116"/>
        <v>534</v>
      </c>
      <c r="L337" s="203">
        <f t="shared" si="116"/>
        <v>822</v>
      </c>
      <c r="M337" s="203">
        <f t="shared" si="116"/>
        <v>883</v>
      </c>
      <c r="N337" s="203">
        <f t="shared" si="116"/>
        <v>2239</v>
      </c>
      <c r="O337" s="203"/>
      <c r="P337" s="72"/>
      <c r="Q337" s="72"/>
      <c r="R337" s="72"/>
      <c r="S337" s="72"/>
      <c r="T337" s="72"/>
      <c r="U337" s="72"/>
    </row>
    <row r="338" spans="1:21" s="359" customFormat="1" ht="12" customHeight="1" x14ac:dyDescent="0.2">
      <c r="A338" s="157">
        <v>2015</v>
      </c>
      <c r="B338" s="203">
        <f t="shared" si="115"/>
        <v>2681</v>
      </c>
      <c r="C338" s="203">
        <f t="shared" si="115"/>
        <v>650</v>
      </c>
      <c r="D338" s="203">
        <f t="shared" si="115"/>
        <v>96</v>
      </c>
      <c r="E338" s="203">
        <f t="shared" si="115"/>
        <v>337</v>
      </c>
      <c r="F338" s="203">
        <f t="shared" si="115"/>
        <v>261</v>
      </c>
      <c r="G338" s="203">
        <f t="shared" si="115"/>
        <v>4025</v>
      </c>
      <c r="H338" s="9"/>
      <c r="I338" s="203" t="str">
        <f t="shared" si="116"/>
        <v>-</v>
      </c>
      <c r="J338" s="203" t="str">
        <f t="shared" si="116"/>
        <v>-</v>
      </c>
      <c r="K338" s="203">
        <f t="shared" si="116"/>
        <v>41</v>
      </c>
      <c r="L338" s="203">
        <f t="shared" si="116"/>
        <v>171</v>
      </c>
      <c r="M338" s="203">
        <f t="shared" si="116"/>
        <v>478</v>
      </c>
      <c r="N338" s="203">
        <f t="shared" si="116"/>
        <v>690</v>
      </c>
      <c r="O338" s="203"/>
      <c r="P338" s="203">
        <f t="shared" ref="P338:U338" si="121">+P186</f>
        <v>0</v>
      </c>
      <c r="Q338" s="203">
        <f t="shared" si="121"/>
        <v>0</v>
      </c>
      <c r="R338" s="203">
        <f t="shared" si="121"/>
        <v>0</v>
      </c>
      <c r="S338" s="203">
        <f t="shared" si="121"/>
        <v>0</v>
      </c>
      <c r="T338" s="203">
        <f t="shared" si="121"/>
        <v>0</v>
      </c>
      <c r="U338" s="203">
        <f t="shared" si="121"/>
        <v>0</v>
      </c>
    </row>
    <row r="339" spans="1:21" s="359" customFormat="1" ht="12" customHeight="1" x14ac:dyDescent="0.2">
      <c r="A339" s="157">
        <v>2016</v>
      </c>
      <c r="B339" s="203">
        <f t="shared" si="115"/>
        <v>656</v>
      </c>
      <c r="C339" s="203">
        <f t="shared" si="115"/>
        <v>346</v>
      </c>
      <c r="D339" s="203">
        <f t="shared" si="115"/>
        <v>259</v>
      </c>
      <c r="E339" s="203">
        <f t="shared" si="115"/>
        <v>398</v>
      </c>
      <c r="F339" s="203" t="str">
        <f t="shared" si="115"/>
        <v>-</v>
      </c>
      <c r="G339" s="203">
        <f t="shared" si="115"/>
        <v>1659</v>
      </c>
      <c r="H339" s="9"/>
      <c r="I339" s="203" t="str">
        <f t="shared" si="116"/>
        <v>-</v>
      </c>
      <c r="J339" s="203" t="str">
        <f t="shared" si="116"/>
        <v>-</v>
      </c>
      <c r="K339" s="203" t="str">
        <f t="shared" si="116"/>
        <v>-</v>
      </c>
      <c r="L339" s="203" t="str">
        <f t="shared" si="116"/>
        <v>-</v>
      </c>
      <c r="M339" s="203" t="str">
        <f t="shared" si="116"/>
        <v>-</v>
      </c>
      <c r="N339" s="203" t="str">
        <f t="shared" si="116"/>
        <v>-</v>
      </c>
      <c r="O339" s="203"/>
      <c r="P339" s="203"/>
      <c r="Q339" s="203"/>
      <c r="R339" s="203"/>
      <c r="S339" s="203"/>
      <c r="T339" s="203"/>
      <c r="U339" s="203"/>
    </row>
    <row r="340" spans="1:21" s="359" customFormat="1" ht="12" customHeight="1" x14ac:dyDescent="0.2">
      <c r="A340" s="157">
        <v>2017</v>
      </c>
      <c r="B340" s="203">
        <f t="shared" si="115"/>
        <v>148</v>
      </c>
      <c r="C340" s="203">
        <f t="shared" si="115"/>
        <v>222</v>
      </c>
      <c r="D340" s="203">
        <f t="shared" si="115"/>
        <v>74</v>
      </c>
      <c r="E340" s="203">
        <f t="shared" si="115"/>
        <v>21</v>
      </c>
      <c r="F340" s="203">
        <f t="shared" si="115"/>
        <v>109</v>
      </c>
      <c r="G340" s="203">
        <f t="shared" si="115"/>
        <v>574</v>
      </c>
      <c r="H340" s="9"/>
      <c r="I340" s="203" t="str">
        <f t="shared" si="116"/>
        <v>-</v>
      </c>
      <c r="J340" s="203" t="str">
        <f t="shared" si="116"/>
        <v>-</v>
      </c>
      <c r="K340" s="203">
        <f t="shared" si="116"/>
        <v>14</v>
      </c>
      <c r="L340" s="203">
        <f t="shared" si="116"/>
        <v>50</v>
      </c>
      <c r="M340" s="203">
        <f t="shared" si="116"/>
        <v>67</v>
      </c>
      <c r="N340" s="203">
        <f t="shared" si="116"/>
        <v>131</v>
      </c>
      <c r="O340" s="203"/>
      <c r="P340" s="203">
        <f t="shared" ref="P340:U340" si="122">+P188</f>
        <v>0</v>
      </c>
      <c r="Q340" s="203">
        <f t="shared" si="122"/>
        <v>0</v>
      </c>
      <c r="R340" s="203">
        <f t="shared" si="122"/>
        <v>0</v>
      </c>
      <c r="S340" s="203">
        <f t="shared" si="122"/>
        <v>0</v>
      </c>
      <c r="T340" s="203">
        <f t="shared" si="122"/>
        <v>0</v>
      </c>
      <c r="U340" s="203">
        <f t="shared" si="122"/>
        <v>0</v>
      </c>
    </row>
    <row r="341" spans="1:21" s="359" customFormat="1" ht="12" customHeight="1" x14ac:dyDescent="0.2">
      <c r="A341" s="157">
        <v>2018</v>
      </c>
      <c r="B341" s="203">
        <f t="shared" si="115"/>
        <v>20</v>
      </c>
      <c r="C341" s="203">
        <f t="shared" si="115"/>
        <v>68</v>
      </c>
      <c r="D341" s="203">
        <f t="shared" si="115"/>
        <v>20</v>
      </c>
      <c r="E341" s="203">
        <f t="shared" si="115"/>
        <v>19</v>
      </c>
      <c r="F341" s="203">
        <f t="shared" si="115"/>
        <v>4</v>
      </c>
      <c r="G341" s="203">
        <f t="shared" si="115"/>
        <v>131</v>
      </c>
      <c r="H341" s="9"/>
      <c r="I341" s="203" t="str">
        <f t="shared" si="116"/>
        <v>-</v>
      </c>
      <c r="J341" s="203" t="str">
        <f t="shared" si="116"/>
        <v>-</v>
      </c>
      <c r="K341" s="203">
        <f t="shared" si="116"/>
        <v>32</v>
      </c>
      <c r="L341" s="203">
        <f t="shared" si="116"/>
        <v>1</v>
      </c>
      <c r="M341" s="203" t="str">
        <f t="shared" si="116"/>
        <v>-</v>
      </c>
      <c r="N341" s="203">
        <f t="shared" si="116"/>
        <v>33</v>
      </c>
      <c r="O341" s="203"/>
      <c r="P341" s="203"/>
      <c r="Q341" s="203"/>
      <c r="R341" s="203"/>
      <c r="S341" s="203"/>
      <c r="T341" s="203"/>
      <c r="U341" s="203"/>
    </row>
    <row r="342" spans="1:21" s="487" customFormat="1" ht="12" customHeight="1" x14ac:dyDescent="0.2">
      <c r="A342" s="157">
        <v>2019</v>
      </c>
      <c r="B342" s="203">
        <f t="shared" si="115"/>
        <v>139</v>
      </c>
      <c r="C342" s="203">
        <f t="shared" si="115"/>
        <v>26</v>
      </c>
      <c r="D342" s="203">
        <f t="shared" si="115"/>
        <v>36</v>
      </c>
      <c r="E342" s="203">
        <f t="shared" si="115"/>
        <v>28</v>
      </c>
      <c r="F342" s="203">
        <f t="shared" si="115"/>
        <v>0</v>
      </c>
      <c r="G342" s="203">
        <f t="shared" si="115"/>
        <v>229</v>
      </c>
      <c r="H342" s="9"/>
      <c r="I342" s="203" t="str">
        <f t="shared" si="116"/>
        <v>-</v>
      </c>
      <c r="J342" s="203" t="str">
        <f t="shared" si="116"/>
        <v>-</v>
      </c>
      <c r="K342" s="203">
        <f t="shared" si="116"/>
        <v>161</v>
      </c>
      <c r="L342" s="203">
        <f t="shared" si="116"/>
        <v>98</v>
      </c>
      <c r="M342" s="203">
        <f t="shared" si="116"/>
        <v>0</v>
      </c>
      <c r="N342" s="203">
        <f t="shared" si="116"/>
        <v>259</v>
      </c>
      <c r="O342" s="203"/>
      <c r="P342" s="203">
        <f t="shared" ref="P342:U342" si="123">+P190</f>
        <v>0</v>
      </c>
      <c r="Q342" s="203">
        <f t="shared" si="123"/>
        <v>0</v>
      </c>
      <c r="R342" s="203">
        <f t="shared" si="123"/>
        <v>0</v>
      </c>
      <c r="S342" s="203">
        <f t="shared" si="123"/>
        <v>2</v>
      </c>
      <c r="T342" s="203">
        <f t="shared" si="123"/>
        <v>0</v>
      </c>
      <c r="U342" s="203">
        <f t="shared" si="123"/>
        <v>2</v>
      </c>
    </row>
    <row r="343" spans="1:21" ht="12" customHeight="1" x14ac:dyDescent="0.2">
      <c r="A343" s="171" t="s">
        <v>394</v>
      </c>
      <c r="B343" s="200">
        <f t="shared" si="115"/>
        <v>147</v>
      </c>
      <c r="C343" s="200">
        <f t="shared" si="115"/>
        <v>132</v>
      </c>
      <c r="D343" s="200">
        <f t="shared" si="115"/>
        <v>0</v>
      </c>
      <c r="E343" s="200">
        <f t="shared" si="115"/>
        <v>88</v>
      </c>
      <c r="F343" s="200">
        <f t="shared" si="115"/>
        <v>11</v>
      </c>
      <c r="G343" s="200">
        <f t="shared" si="115"/>
        <v>378</v>
      </c>
      <c r="I343" s="200" t="str">
        <f t="shared" si="116"/>
        <v>-</v>
      </c>
      <c r="J343" s="200" t="str">
        <f t="shared" si="116"/>
        <v>-</v>
      </c>
      <c r="K343" s="200">
        <f t="shared" si="116"/>
        <v>0</v>
      </c>
      <c r="L343" s="200">
        <f t="shared" si="116"/>
        <v>0</v>
      </c>
      <c r="M343" s="200">
        <f t="shared" si="116"/>
        <v>15</v>
      </c>
      <c r="N343" s="200">
        <f t="shared" si="116"/>
        <v>15</v>
      </c>
      <c r="P343" s="203"/>
      <c r="Q343" s="203"/>
      <c r="R343" s="203"/>
      <c r="S343" s="203"/>
      <c r="T343" s="203"/>
      <c r="U343" s="203"/>
    </row>
    <row r="344" spans="1:21" ht="12" customHeight="1" x14ac:dyDescent="0.2">
      <c r="B344" s="200"/>
      <c r="C344" s="200"/>
      <c r="D344" s="200"/>
      <c r="E344" s="200"/>
      <c r="F344" s="200"/>
      <c r="G344" s="200"/>
      <c r="P344" s="72"/>
      <c r="Q344" s="72"/>
      <c r="R344" s="72"/>
      <c r="S344" s="72"/>
      <c r="T344" s="72"/>
      <c r="U344" s="72"/>
    </row>
    <row r="345" spans="1:21" s="483" customFormat="1" ht="12" customHeight="1" x14ac:dyDescent="0.2">
      <c r="A345" s="577" t="s">
        <v>344</v>
      </c>
      <c r="B345" s="577"/>
      <c r="C345" s="577"/>
      <c r="D345" s="577"/>
      <c r="E345" s="577"/>
      <c r="F345" s="577"/>
      <c r="G345" s="577"/>
      <c r="H345" s="577"/>
      <c r="I345" s="577"/>
      <c r="J345" s="577"/>
      <c r="K345" s="577"/>
      <c r="L345" s="577"/>
      <c r="M345" s="577"/>
      <c r="N345" s="577"/>
      <c r="O345" s="577"/>
      <c r="P345" s="577"/>
      <c r="Q345" s="577"/>
      <c r="R345" s="577"/>
      <c r="S345" s="577"/>
      <c r="T345" s="577"/>
      <c r="U345" s="577"/>
    </row>
    <row r="346" spans="1:21" s="367" customFormat="1" ht="12" customHeight="1" x14ac:dyDescent="0.2">
      <c r="A346" s="2" t="s">
        <v>33</v>
      </c>
      <c r="B346" s="390" t="s">
        <v>35</v>
      </c>
      <c r="C346" s="390" t="s">
        <v>36</v>
      </c>
      <c r="D346" s="390" t="s">
        <v>37</v>
      </c>
      <c r="E346" s="390" t="s">
        <v>38</v>
      </c>
      <c r="F346" s="191" t="s">
        <v>329</v>
      </c>
      <c r="G346" s="390" t="s">
        <v>28</v>
      </c>
      <c r="H346" s="390"/>
      <c r="I346" s="369" t="s">
        <v>35</v>
      </c>
      <c r="J346" s="369" t="s">
        <v>36</v>
      </c>
      <c r="K346" s="369" t="s">
        <v>37</v>
      </c>
      <c r="L346" s="369" t="s">
        <v>38</v>
      </c>
      <c r="M346" s="191" t="s">
        <v>329</v>
      </c>
      <c r="N346" s="369" t="s">
        <v>28</v>
      </c>
      <c r="O346" s="369"/>
      <c r="P346" s="369" t="s">
        <v>35</v>
      </c>
      <c r="Q346" s="369" t="s">
        <v>36</v>
      </c>
      <c r="R346" s="369" t="s">
        <v>37</v>
      </c>
      <c r="S346" s="369" t="s">
        <v>38</v>
      </c>
      <c r="T346" s="191" t="s">
        <v>329</v>
      </c>
      <c r="U346" s="369" t="s">
        <v>28</v>
      </c>
    </row>
    <row r="347" spans="1:21" ht="12" customHeight="1" x14ac:dyDescent="0.2">
      <c r="A347" s="116"/>
      <c r="B347" s="575" t="s">
        <v>67</v>
      </c>
      <c r="C347" s="575"/>
      <c r="D347" s="575"/>
      <c r="E347" s="575"/>
      <c r="F347" s="575"/>
      <c r="G347" s="575"/>
      <c r="H347" s="391"/>
      <c r="I347" s="576" t="s">
        <v>68</v>
      </c>
      <c r="J347" s="576"/>
      <c r="K347" s="576"/>
      <c r="L347" s="576"/>
      <c r="M347" s="576"/>
      <c r="N347" s="576"/>
      <c r="O347" s="23"/>
      <c r="P347" s="576" t="s">
        <v>122</v>
      </c>
      <c r="Q347" s="576"/>
      <c r="R347" s="576"/>
      <c r="S347" s="576"/>
      <c r="T347" s="576"/>
      <c r="U347" s="576"/>
    </row>
    <row r="348" spans="1:21" ht="12" customHeight="1" x14ac:dyDescent="0.2">
      <c r="A348" s="120" t="s">
        <v>111</v>
      </c>
      <c r="B348" s="200"/>
      <c r="C348" s="200"/>
      <c r="D348" s="200"/>
      <c r="E348" s="200"/>
      <c r="F348" s="200"/>
      <c r="G348" s="200"/>
    </row>
    <row r="349" spans="1:21" ht="12" customHeight="1" x14ac:dyDescent="0.2">
      <c r="A349" s="371" t="s">
        <v>30</v>
      </c>
      <c r="B349" s="200">
        <f t="shared" ref="B349:G349" si="124">AVERAGE(B199:B203)</f>
        <v>31658.6</v>
      </c>
      <c r="C349" s="200">
        <f t="shared" si="124"/>
        <v>4389.25</v>
      </c>
      <c r="D349" s="200">
        <f t="shared" si="124"/>
        <v>26112.75</v>
      </c>
      <c r="E349" s="200">
        <f t="shared" si="124"/>
        <v>5153</v>
      </c>
      <c r="F349" s="200">
        <f t="shared" si="124"/>
        <v>224.5</v>
      </c>
      <c r="G349" s="200">
        <f t="shared" si="124"/>
        <v>61303</v>
      </c>
      <c r="I349" s="200" t="s">
        <v>29</v>
      </c>
      <c r="J349" s="200" t="s">
        <v>29</v>
      </c>
      <c r="K349" s="200">
        <f>AVERAGE(K199:K203)</f>
        <v>140300.25</v>
      </c>
      <c r="L349" s="200">
        <f>AVERAGE(L199:L203)</f>
        <v>37525.800000000003</v>
      </c>
      <c r="M349" s="200">
        <f>AVERAGE(M199:M203)</f>
        <v>4524</v>
      </c>
      <c r="N349" s="200">
        <f>AVERAGE(N199:N203)</f>
        <v>152480.4</v>
      </c>
      <c r="P349" s="200">
        <f t="shared" ref="P349:U349" si="125">AVERAGE(P199:P203)</f>
        <v>234</v>
      </c>
      <c r="Q349" s="200">
        <f t="shared" si="125"/>
        <v>33</v>
      </c>
      <c r="R349" s="200">
        <f t="shared" si="125"/>
        <v>51212</v>
      </c>
      <c r="S349" s="200">
        <f t="shared" si="125"/>
        <v>87638.666666666672</v>
      </c>
      <c r="T349" s="200">
        <f t="shared" si="125"/>
        <v>415</v>
      </c>
      <c r="U349" s="200">
        <f t="shared" si="125"/>
        <v>139394.33333333334</v>
      </c>
    </row>
    <row r="350" spans="1:21" ht="12" customHeight="1" x14ac:dyDescent="0.2">
      <c r="A350" s="371" t="s">
        <v>87</v>
      </c>
      <c r="B350" s="200">
        <f t="shared" ref="B350:G350" si="126">AVERAGE(B204:B208)</f>
        <v>30079.200000000001</v>
      </c>
      <c r="C350" s="200">
        <f t="shared" si="126"/>
        <v>11969.5</v>
      </c>
      <c r="D350" s="200">
        <f t="shared" si="126"/>
        <v>9575.5</v>
      </c>
      <c r="E350" s="200">
        <f t="shared" si="126"/>
        <v>2950</v>
      </c>
      <c r="F350" s="200">
        <f t="shared" si="126"/>
        <v>942.5</v>
      </c>
      <c r="G350" s="200">
        <f t="shared" si="126"/>
        <v>46222</v>
      </c>
      <c r="I350" s="200" t="s">
        <v>29</v>
      </c>
      <c r="J350" s="200" t="s">
        <v>29</v>
      </c>
      <c r="K350" s="200">
        <f>AVERAGE(K204:K208)</f>
        <v>23869</v>
      </c>
      <c r="L350" s="200">
        <f>AVERAGE(L204:L208)</f>
        <v>49522</v>
      </c>
      <c r="M350" s="200">
        <f>AVERAGE(M204:M208)</f>
        <v>13033.5</v>
      </c>
      <c r="N350" s="200">
        <f>AVERAGE(N204:N208)</f>
        <v>54378.6</v>
      </c>
      <c r="P350" s="200">
        <f t="shared" ref="P350:U350" si="127">AVERAGE(P204:P208)</f>
        <v>114.5</v>
      </c>
      <c r="Q350" s="200">
        <f t="shared" si="127"/>
        <v>182</v>
      </c>
      <c r="R350" s="200">
        <f t="shared" si="127"/>
        <v>2729</v>
      </c>
      <c r="S350" s="200">
        <f t="shared" si="127"/>
        <v>36287</v>
      </c>
      <c r="T350" s="200">
        <f t="shared" si="127"/>
        <v>1</v>
      </c>
      <c r="U350" s="200">
        <f t="shared" si="127"/>
        <v>19714</v>
      </c>
    </row>
    <row r="351" spans="1:21" ht="12" customHeight="1" x14ac:dyDescent="0.2">
      <c r="A351" s="371" t="s">
        <v>14</v>
      </c>
      <c r="B351" s="200">
        <f t="shared" ref="B351:G351" si="128">AVERAGE(B209:B213)</f>
        <v>17003.333333333332</v>
      </c>
      <c r="C351" s="200">
        <f t="shared" si="128"/>
        <v>11894.666666666666</v>
      </c>
      <c r="D351" s="200">
        <f t="shared" si="128"/>
        <v>3985</v>
      </c>
      <c r="E351" s="200">
        <f t="shared" si="128"/>
        <v>1396</v>
      </c>
      <c r="F351" s="200">
        <f t="shared" si="128"/>
        <v>1132</v>
      </c>
      <c r="G351" s="200">
        <f t="shared" si="128"/>
        <v>25628</v>
      </c>
      <c r="I351" s="200" t="s">
        <v>29</v>
      </c>
      <c r="J351" s="200" t="s">
        <v>29</v>
      </c>
      <c r="K351" s="200">
        <f>AVERAGE(K209:K213)</f>
        <v>7595</v>
      </c>
      <c r="L351" s="200">
        <f>AVERAGE(L209:L213)</f>
        <v>17355.75</v>
      </c>
      <c r="M351" s="200">
        <f>AVERAGE(M209:M213)</f>
        <v>8861.6666666666661</v>
      </c>
      <c r="N351" s="200">
        <f>AVERAGE(N209:N213)</f>
        <v>27799.5</v>
      </c>
      <c r="P351" s="200">
        <f t="shared" ref="P351:U351" si="129">AVERAGE(P209:P213)</f>
        <v>10</v>
      </c>
      <c r="Q351" s="200">
        <f t="shared" si="129"/>
        <v>9</v>
      </c>
      <c r="R351" s="200">
        <f t="shared" si="129"/>
        <v>88</v>
      </c>
      <c r="S351" s="200">
        <f t="shared" si="129"/>
        <v>25360</v>
      </c>
      <c r="T351" s="200">
        <f t="shared" si="129"/>
        <v>390</v>
      </c>
      <c r="U351" s="200">
        <f t="shared" si="129"/>
        <v>25792</v>
      </c>
    </row>
    <row r="352" spans="1:21" ht="12" customHeight="1" x14ac:dyDescent="0.2">
      <c r="A352" s="371" t="s">
        <v>207</v>
      </c>
      <c r="B352" s="200">
        <f t="shared" ref="B352:G352" si="130">AVERAGE(B214:B218)</f>
        <v>5246.5</v>
      </c>
      <c r="C352" s="200">
        <f t="shared" si="130"/>
        <v>2897</v>
      </c>
      <c r="D352" s="200">
        <f t="shared" si="130"/>
        <v>4030</v>
      </c>
      <c r="E352" s="200">
        <f t="shared" si="130"/>
        <v>1712.5</v>
      </c>
      <c r="F352" s="200">
        <f t="shared" si="130"/>
        <v>43</v>
      </c>
      <c r="G352" s="200">
        <f t="shared" si="130"/>
        <v>10018</v>
      </c>
      <c r="I352" s="200" t="s">
        <v>29</v>
      </c>
      <c r="J352" s="200" t="s">
        <v>29</v>
      </c>
      <c r="K352" s="200">
        <f>AVERAGE(K214:K218)</f>
        <v>3905</v>
      </c>
      <c r="L352" s="200">
        <f>AVERAGE(L214:L218)</f>
        <v>6020.666666666667</v>
      </c>
      <c r="M352" s="200">
        <f>AVERAGE(M214:M218)</f>
        <v>385.5</v>
      </c>
      <c r="N352" s="200">
        <f>AVERAGE(N214:N218)</f>
        <v>8881</v>
      </c>
      <c r="P352" s="200">
        <f t="shared" ref="P352:U352" si="131">AVERAGE(P214:P218)</f>
        <v>1</v>
      </c>
      <c r="Q352" s="200">
        <f t="shared" si="131"/>
        <v>2</v>
      </c>
      <c r="R352" s="200">
        <f t="shared" si="131"/>
        <v>31</v>
      </c>
      <c r="S352" s="200">
        <f t="shared" si="131"/>
        <v>21</v>
      </c>
      <c r="T352" s="200">
        <f t="shared" si="131"/>
        <v>0</v>
      </c>
      <c r="U352" s="200">
        <f t="shared" si="131"/>
        <v>29</v>
      </c>
    </row>
    <row r="353" spans="1:21" ht="12" customHeight="1" x14ac:dyDescent="0.2">
      <c r="A353" s="371" t="s">
        <v>238</v>
      </c>
      <c r="B353" s="200">
        <f t="shared" ref="B353:G353" si="132">AVERAGE(B219:B223)</f>
        <v>15711.8</v>
      </c>
      <c r="C353" s="200">
        <f t="shared" si="132"/>
        <v>6182</v>
      </c>
      <c r="D353" s="200">
        <f t="shared" si="132"/>
        <v>10053.799999999999</v>
      </c>
      <c r="E353" s="200">
        <f t="shared" si="132"/>
        <v>7683</v>
      </c>
      <c r="F353" s="200">
        <f t="shared" si="132"/>
        <v>1178.3333333333333</v>
      </c>
      <c r="G353" s="200">
        <f t="shared" si="132"/>
        <v>40337.599999999999</v>
      </c>
      <c r="I353" s="200" t="str">
        <f>+I219</f>
        <v>-</v>
      </c>
      <c r="J353" s="200" t="str">
        <f>+J219</f>
        <v>-</v>
      </c>
      <c r="K353" s="200">
        <f>AVERAGE(K219:K223)</f>
        <v>2141.5</v>
      </c>
      <c r="L353" s="200">
        <f>AVERAGE(L219:L223)</f>
        <v>2638.8</v>
      </c>
      <c r="M353" s="200">
        <f>AVERAGE(M219:M223)</f>
        <v>3408</v>
      </c>
      <c r="N353" s="200">
        <f>AVERAGE(N219:N223)</f>
        <v>6396.8</v>
      </c>
      <c r="P353" s="200">
        <f t="shared" ref="P353:U353" si="133">AVERAGE(P219:P223)</f>
        <v>1.6666666666666667</v>
      </c>
      <c r="Q353" s="200">
        <f t="shared" si="133"/>
        <v>3</v>
      </c>
      <c r="R353" s="200">
        <f t="shared" si="133"/>
        <v>66</v>
      </c>
      <c r="S353" s="200">
        <f t="shared" si="133"/>
        <v>23</v>
      </c>
      <c r="T353" s="200">
        <f t="shared" si="133"/>
        <v>5</v>
      </c>
      <c r="U353" s="200">
        <f t="shared" si="133"/>
        <v>97</v>
      </c>
    </row>
    <row r="354" spans="1:21" s="359" customFormat="1" ht="12" customHeight="1" x14ac:dyDescent="0.2">
      <c r="A354" s="348">
        <v>2006</v>
      </c>
      <c r="B354" s="203">
        <f t="shared" ref="B354:G365" si="134">+B224</f>
        <v>6481</v>
      </c>
      <c r="C354" s="203">
        <f t="shared" si="134"/>
        <v>3912</v>
      </c>
      <c r="D354" s="203">
        <f t="shared" si="134"/>
        <v>1073</v>
      </c>
      <c r="E354" s="203">
        <f t="shared" si="134"/>
        <v>3459</v>
      </c>
      <c r="F354" s="203">
        <f t="shared" si="134"/>
        <v>1844</v>
      </c>
      <c r="G354" s="203">
        <f t="shared" si="134"/>
        <v>16769</v>
      </c>
      <c r="H354" s="9"/>
      <c r="I354" s="203" t="str">
        <f t="shared" ref="I354:N365" si="135">+I224</f>
        <v>-</v>
      </c>
      <c r="J354" s="203" t="str">
        <f t="shared" si="135"/>
        <v>-</v>
      </c>
      <c r="K354" s="203">
        <f t="shared" si="135"/>
        <v>129</v>
      </c>
      <c r="L354" s="203">
        <f t="shared" si="135"/>
        <v>845</v>
      </c>
      <c r="M354" s="203">
        <f t="shared" si="135"/>
        <v>291</v>
      </c>
      <c r="N354" s="203">
        <f t="shared" si="135"/>
        <v>1265</v>
      </c>
      <c r="O354" s="203"/>
      <c r="P354" s="203"/>
      <c r="Q354" s="203"/>
      <c r="R354" s="203"/>
      <c r="S354" s="203"/>
      <c r="T354" s="203"/>
      <c r="U354" s="203"/>
    </row>
    <row r="355" spans="1:21" s="359" customFormat="1" ht="12" customHeight="1" x14ac:dyDescent="0.2">
      <c r="A355" s="348">
        <v>2007</v>
      </c>
      <c r="B355" s="203">
        <f t="shared" si="134"/>
        <v>5866</v>
      </c>
      <c r="C355" s="203">
        <f t="shared" si="134"/>
        <v>4094</v>
      </c>
      <c r="D355" s="203">
        <f t="shared" si="134"/>
        <v>3502</v>
      </c>
      <c r="E355" s="203">
        <f t="shared" si="134"/>
        <v>771</v>
      </c>
      <c r="F355" s="203">
        <f t="shared" si="134"/>
        <v>35</v>
      </c>
      <c r="G355" s="203">
        <f t="shared" si="134"/>
        <v>14268</v>
      </c>
      <c r="H355" s="9"/>
      <c r="I355" s="203" t="str">
        <f t="shared" si="135"/>
        <v>-</v>
      </c>
      <c r="J355" s="203" t="str">
        <f t="shared" si="135"/>
        <v>-</v>
      </c>
      <c r="K355" s="203">
        <f t="shared" si="135"/>
        <v>2282</v>
      </c>
      <c r="L355" s="203">
        <f t="shared" si="135"/>
        <v>3444</v>
      </c>
      <c r="M355" s="203">
        <f t="shared" si="135"/>
        <v>160</v>
      </c>
      <c r="N355" s="203">
        <f t="shared" si="135"/>
        <v>5886</v>
      </c>
      <c r="O355" s="203"/>
      <c r="P355" s="203">
        <f t="shared" ref="P355:U355" si="136">+P225</f>
        <v>8</v>
      </c>
      <c r="Q355" s="203">
        <f t="shared" si="136"/>
        <v>19</v>
      </c>
      <c r="R355" s="203">
        <f t="shared" si="136"/>
        <v>119</v>
      </c>
      <c r="S355" s="203">
        <f t="shared" si="136"/>
        <v>1</v>
      </c>
      <c r="T355" s="203">
        <f t="shared" si="136"/>
        <v>0</v>
      </c>
      <c r="U355" s="203">
        <f t="shared" si="136"/>
        <v>147</v>
      </c>
    </row>
    <row r="356" spans="1:21" s="359" customFormat="1" ht="12" customHeight="1" x14ac:dyDescent="0.2">
      <c r="A356" s="348">
        <v>2008</v>
      </c>
      <c r="B356" s="203">
        <f t="shared" si="134"/>
        <v>1812</v>
      </c>
      <c r="C356" s="203">
        <f t="shared" si="134"/>
        <v>4197</v>
      </c>
      <c r="D356" s="203">
        <f t="shared" si="134"/>
        <v>1180</v>
      </c>
      <c r="E356" s="203">
        <f t="shared" si="134"/>
        <v>1185</v>
      </c>
      <c r="F356" s="203">
        <f t="shared" si="134"/>
        <v>262</v>
      </c>
      <c r="G356" s="203">
        <f t="shared" si="134"/>
        <v>8636</v>
      </c>
      <c r="H356" s="9"/>
      <c r="I356" s="203" t="str">
        <f t="shared" si="135"/>
        <v>-</v>
      </c>
      <c r="J356" s="203" t="str">
        <f t="shared" si="135"/>
        <v>-</v>
      </c>
      <c r="K356" s="203">
        <f t="shared" si="135"/>
        <v>355</v>
      </c>
      <c r="L356" s="203">
        <f t="shared" si="135"/>
        <v>982</v>
      </c>
      <c r="M356" s="203">
        <f t="shared" si="135"/>
        <v>369</v>
      </c>
      <c r="N356" s="203">
        <f t="shared" si="135"/>
        <v>1706</v>
      </c>
      <c r="O356" s="203"/>
      <c r="P356" s="203"/>
      <c r="Q356" s="203"/>
      <c r="R356" s="203"/>
      <c r="S356" s="203"/>
      <c r="T356" s="203"/>
      <c r="U356" s="203"/>
    </row>
    <row r="357" spans="1:21" s="359" customFormat="1" ht="12" customHeight="1" x14ac:dyDescent="0.2">
      <c r="A357" s="348">
        <v>2009</v>
      </c>
      <c r="B357" s="203">
        <f t="shared" si="134"/>
        <v>5691</v>
      </c>
      <c r="C357" s="203">
        <f t="shared" si="134"/>
        <v>4144</v>
      </c>
      <c r="D357" s="203">
        <f t="shared" si="134"/>
        <v>1635</v>
      </c>
      <c r="E357" s="203">
        <f t="shared" si="134"/>
        <v>726</v>
      </c>
      <c r="F357" s="203">
        <f t="shared" si="134"/>
        <v>120</v>
      </c>
      <c r="G357" s="203">
        <f t="shared" si="134"/>
        <v>12316</v>
      </c>
      <c r="H357" s="9"/>
      <c r="I357" s="203" t="str">
        <f t="shared" si="135"/>
        <v>-</v>
      </c>
      <c r="J357" s="203" t="str">
        <f t="shared" si="135"/>
        <v>-</v>
      </c>
      <c r="K357" s="203">
        <f t="shared" si="135"/>
        <v>5444</v>
      </c>
      <c r="L357" s="203">
        <f t="shared" si="135"/>
        <v>10948</v>
      </c>
      <c r="M357" s="203">
        <f t="shared" si="135"/>
        <v>3663</v>
      </c>
      <c r="N357" s="203">
        <f t="shared" si="135"/>
        <v>20055</v>
      </c>
      <c r="O357" s="203"/>
      <c r="P357" s="203">
        <f t="shared" ref="P357:U357" si="137">+P227</f>
        <v>1</v>
      </c>
      <c r="Q357" s="203">
        <f t="shared" si="137"/>
        <v>14</v>
      </c>
      <c r="R357" s="203">
        <f t="shared" si="137"/>
        <v>82</v>
      </c>
      <c r="S357" s="203">
        <f t="shared" si="137"/>
        <v>37</v>
      </c>
      <c r="T357" s="203">
        <f t="shared" si="137"/>
        <v>1</v>
      </c>
      <c r="U357" s="203">
        <f t="shared" si="137"/>
        <v>135</v>
      </c>
    </row>
    <row r="358" spans="1:21" s="359" customFormat="1" ht="12" customHeight="1" x14ac:dyDescent="0.2">
      <c r="A358" s="157">
        <v>2010</v>
      </c>
      <c r="B358" s="203">
        <f t="shared" si="134"/>
        <v>8429</v>
      </c>
      <c r="C358" s="203">
        <f t="shared" si="134"/>
        <v>22562</v>
      </c>
      <c r="D358" s="203">
        <f t="shared" si="134"/>
        <v>6281</v>
      </c>
      <c r="E358" s="203">
        <f t="shared" si="134"/>
        <v>7504</v>
      </c>
      <c r="F358" s="203">
        <f t="shared" si="134"/>
        <v>323</v>
      </c>
      <c r="G358" s="203">
        <f t="shared" si="134"/>
        <v>45099</v>
      </c>
      <c r="H358" s="9"/>
      <c r="I358" s="203" t="str">
        <f t="shared" si="135"/>
        <v>-</v>
      </c>
      <c r="J358" s="203" t="str">
        <f t="shared" si="135"/>
        <v>-</v>
      </c>
      <c r="K358" s="203">
        <f t="shared" si="135"/>
        <v>1184</v>
      </c>
      <c r="L358" s="203">
        <f t="shared" si="135"/>
        <v>782</v>
      </c>
      <c r="M358" s="203">
        <f t="shared" si="135"/>
        <v>138</v>
      </c>
      <c r="N358" s="203">
        <f t="shared" si="135"/>
        <v>2104</v>
      </c>
      <c r="O358" s="203"/>
      <c r="P358" s="203"/>
      <c r="Q358" s="203"/>
      <c r="R358" s="203"/>
      <c r="S358" s="203"/>
      <c r="T358" s="203"/>
      <c r="U358" s="203"/>
    </row>
    <row r="359" spans="1:21" s="359" customFormat="1" ht="12" customHeight="1" x14ac:dyDescent="0.2">
      <c r="A359" s="348">
        <v>2011</v>
      </c>
      <c r="B359" s="203">
        <f t="shared" si="134"/>
        <v>8154</v>
      </c>
      <c r="C359" s="203">
        <f t="shared" si="134"/>
        <v>9858</v>
      </c>
      <c r="D359" s="203">
        <f t="shared" si="134"/>
        <v>6016</v>
      </c>
      <c r="E359" s="203">
        <f t="shared" si="134"/>
        <v>2532</v>
      </c>
      <c r="F359" s="203">
        <f t="shared" si="134"/>
        <v>342</v>
      </c>
      <c r="G359" s="203">
        <f t="shared" si="134"/>
        <v>26902</v>
      </c>
      <c r="H359" s="9"/>
      <c r="I359" s="203" t="str">
        <f t="shared" si="135"/>
        <v>-</v>
      </c>
      <c r="J359" s="203" t="str">
        <f t="shared" si="135"/>
        <v>-</v>
      </c>
      <c r="K359" s="203">
        <f t="shared" si="135"/>
        <v>1631</v>
      </c>
      <c r="L359" s="203">
        <f t="shared" si="135"/>
        <v>917</v>
      </c>
      <c r="M359" s="203">
        <f t="shared" si="135"/>
        <v>505</v>
      </c>
      <c r="N359" s="203">
        <f t="shared" si="135"/>
        <v>3053</v>
      </c>
      <c r="O359" s="203"/>
      <c r="P359" s="203">
        <f t="shared" ref="P359:U359" si="138">+P229</f>
        <v>0</v>
      </c>
      <c r="Q359" s="203">
        <f t="shared" si="138"/>
        <v>3</v>
      </c>
      <c r="R359" s="203">
        <f t="shared" si="138"/>
        <v>118</v>
      </c>
      <c r="S359" s="203">
        <f t="shared" si="138"/>
        <v>93</v>
      </c>
      <c r="T359" s="203">
        <f t="shared" si="138"/>
        <v>1</v>
      </c>
      <c r="U359" s="203">
        <f t="shared" si="138"/>
        <v>215</v>
      </c>
    </row>
    <row r="360" spans="1:21" s="359" customFormat="1" ht="12" customHeight="1" x14ac:dyDescent="0.2">
      <c r="A360" s="348">
        <v>2012</v>
      </c>
      <c r="B360" s="203">
        <f t="shared" si="134"/>
        <v>10629</v>
      </c>
      <c r="C360" s="203">
        <f t="shared" si="134"/>
        <v>12058</v>
      </c>
      <c r="D360" s="203">
        <f t="shared" si="134"/>
        <v>5378</v>
      </c>
      <c r="E360" s="203">
        <f t="shared" si="134"/>
        <v>6398</v>
      </c>
      <c r="F360" s="203">
        <f t="shared" si="134"/>
        <v>2392</v>
      </c>
      <c r="G360" s="203">
        <f t="shared" si="134"/>
        <v>36855</v>
      </c>
      <c r="H360" s="9"/>
      <c r="I360" s="203" t="str">
        <f t="shared" si="135"/>
        <v>-</v>
      </c>
      <c r="J360" s="203" t="str">
        <f t="shared" si="135"/>
        <v>-</v>
      </c>
      <c r="K360" s="203">
        <f t="shared" si="135"/>
        <v>769</v>
      </c>
      <c r="L360" s="203">
        <f t="shared" si="135"/>
        <v>1118</v>
      </c>
      <c r="M360" s="203">
        <f t="shared" si="135"/>
        <v>1381</v>
      </c>
      <c r="N360" s="203">
        <f t="shared" si="135"/>
        <v>3268</v>
      </c>
      <c r="O360" s="203"/>
      <c r="P360" s="203"/>
      <c r="Q360" s="203"/>
      <c r="R360" s="203"/>
      <c r="S360" s="203"/>
      <c r="T360" s="203"/>
      <c r="U360" s="203"/>
    </row>
    <row r="361" spans="1:21" s="359" customFormat="1" ht="12" customHeight="1" x14ac:dyDescent="0.2">
      <c r="A361" s="348">
        <v>2013</v>
      </c>
      <c r="B361" s="203">
        <f t="shared" si="134"/>
        <v>10589</v>
      </c>
      <c r="C361" s="203">
        <f t="shared" si="134"/>
        <v>12206</v>
      </c>
      <c r="D361" s="203">
        <f t="shared" si="134"/>
        <v>7858</v>
      </c>
      <c r="E361" s="203">
        <f t="shared" si="134"/>
        <v>8708</v>
      </c>
      <c r="F361" s="203">
        <f t="shared" si="134"/>
        <v>729</v>
      </c>
      <c r="G361" s="203">
        <f t="shared" si="134"/>
        <v>40090</v>
      </c>
      <c r="H361" s="9"/>
      <c r="I361" s="203" t="str">
        <f t="shared" si="135"/>
        <v>-</v>
      </c>
      <c r="J361" s="203" t="str">
        <f t="shared" si="135"/>
        <v>-</v>
      </c>
      <c r="K361" s="203">
        <f t="shared" si="135"/>
        <v>1920</v>
      </c>
      <c r="L361" s="203">
        <f t="shared" si="135"/>
        <v>3844</v>
      </c>
      <c r="M361" s="203">
        <f t="shared" si="135"/>
        <v>277</v>
      </c>
      <c r="N361" s="203">
        <f t="shared" si="135"/>
        <v>6041</v>
      </c>
      <c r="O361" s="203"/>
      <c r="P361" s="203">
        <f t="shared" ref="P361:U361" si="139">+P231</f>
        <v>2</v>
      </c>
      <c r="Q361" s="203">
        <f t="shared" si="139"/>
        <v>0</v>
      </c>
      <c r="R361" s="203">
        <f t="shared" si="139"/>
        <v>101</v>
      </c>
      <c r="S361" s="203">
        <f t="shared" si="139"/>
        <v>37</v>
      </c>
      <c r="T361" s="203">
        <f t="shared" si="139"/>
        <v>1</v>
      </c>
      <c r="U361" s="203">
        <f t="shared" si="139"/>
        <v>141</v>
      </c>
    </row>
    <row r="362" spans="1:21" s="359" customFormat="1" ht="12" customHeight="1" x14ac:dyDescent="0.2">
      <c r="A362" s="348">
        <v>2014</v>
      </c>
      <c r="B362" s="203">
        <f t="shared" si="134"/>
        <v>20226</v>
      </c>
      <c r="C362" s="203">
        <f t="shared" si="134"/>
        <v>3110</v>
      </c>
      <c r="D362" s="203">
        <f t="shared" si="134"/>
        <v>8696</v>
      </c>
      <c r="E362" s="203">
        <f t="shared" si="134"/>
        <v>5961</v>
      </c>
      <c r="F362" s="203">
        <f t="shared" si="134"/>
        <v>714</v>
      </c>
      <c r="G362" s="203">
        <f t="shared" si="134"/>
        <v>38707</v>
      </c>
      <c r="H362" s="9"/>
      <c r="I362" s="203" t="str">
        <f t="shared" si="135"/>
        <v>-</v>
      </c>
      <c r="J362" s="203" t="str">
        <f t="shared" si="135"/>
        <v>-</v>
      </c>
      <c r="K362" s="203">
        <f t="shared" si="135"/>
        <v>3441</v>
      </c>
      <c r="L362" s="203">
        <f t="shared" si="135"/>
        <v>6872</v>
      </c>
      <c r="M362" s="203">
        <f t="shared" si="135"/>
        <v>5094</v>
      </c>
      <c r="N362" s="203">
        <f t="shared" si="135"/>
        <v>15407</v>
      </c>
      <c r="O362" s="203"/>
      <c r="P362" s="72"/>
      <c r="Q362" s="72"/>
      <c r="R362" s="72"/>
      <c r="S362" s="72"/>
      <c r="T362" s="72"/>
      <c r="U362" s="72"/>
    </row>
    <row r="363" spans="1:21" s="359" customFormat="1" ht="12" customHeight="1" x14ac:dyDescent="0.2">
      <c r="A363" s="157">
        <v>2015</v>
      </c>
      <c r="B363" s="203">
        <f t="shared" si="134"/>
        <v>15603</v>
      </c>
      <c r="C363" s="203">
        <f t="shared" si="134"/>
        <v>15058</v>
      </c>
      <c r="D363" s="203">
        <f t="shared" si="134"/>
        <v>12706</v>
      </c>
      <c r="E363" s="203">
        <f t="shared" si="134"/>
        <v>10168</v>
      </c>
      <c r="F363" s="203">
        <f t="shared" si="134"/>
        <v>1778</v>
      </c>
      <c r="G363" s="203">
        <f t="shared" si="134"/>
        <v>55313</v>
      </c>
      <c r="H363" s="9"/>
      <c r="I363" s="203" t="str">
        <f t="shared" si="135"/>
        <v>-</v>
      </c>
      <c r="J363" s="203" t="str">
        <f t="shared" si="135"/>
        <v>-</v>
      </c>
      <c r="K363" s="203">
        <f t="shared" si="135"/>
        <v>728</v>
      </c>
      <c r="L363" s="203">
        <f t="shared" si="135"/>
        <v>1169</v>
      </c>
      <c r="M363" s="203">
        <f t="shared" si="135"/>
        <v>975</v>
      </c>
      <c r="N363" s="203">
        <f t="shared" si="135"/>
        <v>2872</v>
      </c>
      <c r="O363" s="203"/>
      <c r="P363" s="203">
        <f t="shared" ref="P363:U363" si="140">+P233</f>
        <v>1</v>
      </c>
      <c r="Q363" s="203">
        <f t="shared" si="140"/>
        <v>20</v>
      </c>
      <c r="R363" s="203">
        <f t="shared" si="140"/>
        <v>47</v>
      </c>
      <c r="S363" s="203">
        <f t="shared" si="140"/>
        <v>0</v>
      </c>
      <c r="T363" s="203">
        <f t="shared" si="140"/>
        <v>0</v>
      </c>
      <c r="U363" s="203">
        <f t="shared" si="140"/>
        <v>68</v>
      </c>
    </row>
    <row r="364" spans="1:21" s="359" customFormat="1" ht="12" customHeight="1" x14ac:dyDescent="0.2">
      <c r="A364" s="157">
        <v>2016</v>
      </c>
      <c r="B364" s="203">
        <f t="shared" si="134"/>
        <v>7090</v>
      </c>
      <c r="C364" s="203">
        <f t="shared" si="134"/>
        <v>4310</v>
      </c>
      <c r="D364" s="203">
        <f t="shared" si="134"/>
        <v>3584</v>
      </c>
      <c r="E364" s="203">
        <f t="shared" si="134"/>
        <v>2360</v>
      </c>
      <c r="F364" s="203" t="str">
        <f t="shared" si="134"/>
        <v>-</v>
      </c>
      <c r="G364" s="203">
        <f t="shared" si="134"/>
        <v>17344</v>
      </c>
      <c r="H364" s="9"/>
      <c r="I364" s="203" t="str">
        <f t="shared" si="135"/>
        <v>-</v>
      </c>
      <c r="J364" s="203" t="str">
        <f t="shared" si="135"/>
        <v>-</v>
      </c>
      <c r="K364" s="203" t="str">
        <f t="shared" si="135"/>
        <v>-</v>
      </c>
      <c r="L364" s="203" t="str">
        <f t="shared" si="135"/>
        <v>-</v>
      </c>
      <c r="M364" s="203" t="str">
        <f t="shared" si="135"/>
        <v>-</v>
      </c>
      <c r="N364" s="203" t="str">
        <f t="shared" si="135"/>
        <v>-</v>
      </c>
      <c r="O364" s="203"/>
      <c r="P364" s="203"/>
      <c r="Q364" s="203"/>
      <c r="R364" s="203"/>
      <c r="S364" s="203"/>
      <c r="T364" s="203"/>
      <c r="U364" s="203"/>
    </row>
    <row r="365" spans="1:21" s="359" customFormat="1" ht="12" customHeight="1" x14ac:dyDescent="0.2">
      <c r="A365" s="157">
        <v>2017</v>
      </c>
      <c r="B365" s="203">
        <f t="shared" si="134"/>
        <v>13504</v>
      </c>
      <c r="C365" s="203">
        <f t="shared" si="134"/>
        <v>7468</v>
      </c>
      <c r="D365" s="203">
        <f t="shared" si="134"/>
        <v>5780</v>
      </c>
      <c r="E365" s="203">
        <f t="shared" si="134"/>
        <v>5306</v>
      </c>
      <c r="F365" s="203">
        <f t="shared" si="134"/>
        <v>875</v>
      </c>
      <c r="G365" s="203">
        <f t="shared" si="134"/>
        <v>32933</v>
      </c>
      <c r="H365" s="9"/>
      <c r="I365" s="203" t="str">
        <f t="shared" si="135"/>
        <v>-</v>
      </c>
      <c r="J365" s="203" t="str">
        <f t="shared" si="135"/>
        <v>-</v>
      </c>
      <c r="K365" s="203">
        <f t="shared" si="135"/>
        <v>231</v>
      </c>
      <c r="L365" s="203">
        <f t="shared" si="135"/>
        <v>769</v>
      </c>
      <c r="M365" s="203">
        <f t="shared" si="135"/>
        <v>368</v>
      </c>
      <c r="N365" s="203">
        <f t="shared" si="135"/>
        <v>1368</v>
      </c>
      <c r="O365" s="203"/>
      <c r="P365" s="203">
        <f t="shared" ref="P365:U365" si="141">+P235</f>
        <v>0</v>
      </c>
      <c r="Q365" s="203">
        <f t="shared" si="141"/>
        <v>0</v>
      </c>
      <c r="R365" s="203">
        <f t="shared" si="141"/>
        <v>10</v>
      </c>
      <c r="S365" s="203">
        <f t="shared" si="141"/>
        <v>3</v>
      </c>
      <c r="T365" s="203">
        <f t="shared" si="141"/>
        <v>0</v>
      </c>
      <c r="U365" s="203">
        <f t="shared" si="141"/>
        <v>13</v>
      </c>
    </row>
    <row r="366" spans="1:21" s="359" customFormat="1" ht="12" customHeight="1" x14ac:dyDescent="0.2">
      <c r="A366" s="157">
        <v>2018</v>
      </c>
      <c r="B366" s="203">
        <f t="shared" ref="B366:G366" si="142">+B236</f>
        <v>6673</v>
      </c>
      <c r="C366" s="203">
        <f t="shared" si="142"/>
        <v>9010</v>
      </c>
      <c r="D366" s="203">
        <f t="shared" si="142"/>
        <v>5458</v>
      </c>
      <c r="E366" s="203">
        <f t="shared" si="142"/>
        <v>1702</v>
      </c>
      <c r="F366" s="203">
        <f t="shared" si="142"/>
        <v>713</v>
      </c>
      <c r="G366" s="203">
        <f t="shared" si="142"/>
        <v>23556</v>
      </c>
      <c r="H366" s="9"/>
      <c r="I366" s="203" t="str">
        <f t="shared" ref="I366:N366" si="143">+I236</f>
        <v>-</v>
      </c>
      <c r="J366" s="203" t="str">
        <f t="shared" si="143"/>
        <v>-</v>
      </c>
      <c r="K366" s="203">
        <f t="shared" si="143"/>
        <v>447</v>
      </c>
      <c r="L366" s="203">
        <f t="shared" si="143"/>
        <v>457</v>
      </c>
      <c r="M366" s="203">
        <f t="shared" si="143"/>
        <v>388</v>
      </c>
      <c r="N366" s="203">
        <f t="shared" si="143"/>
        <v>1292</v>
      </c>
      <c r="O366" s="203"/>
      <c r="P366" s="203">
        <f t="shared" ref="P366:U366" si="144">+P236</f>
        <v>0</v>
      </c>
      <c r="Q366" s="203">
        <f t="shared" si="144"/>
        <v>0</v>
      </c>
      <c r="R366" s="203">
        <f t="shared" si="144"/>
        <v>0</v>
      </c>
      <c r="S366" s="203">
        <f t="shared" si="144"/>
        <v>0</v>
      </c>
      <c r="T366" s="203">
        <f t="shared" si="144"/>
        <v>0</v>
      </c>
      <c r="U366" s="203">
        <f t="shared" si="144"/>
        <v>0</v>
      </c>
    </row>
    <row r="367" spans="1:21" s="487" customFormat="1" ht="12" customHeight="1" x14ac:dyDescent="0.2">
      <c r="A367" s="157">
        <v>2019</v>
      </c>
      <c r="B367" s="203">
        <f t="shared" ref="B367:G367" si="145">+B237</f>
        <v>3901</v>
      </c>
      <c r="C367" s="203">
        <f t="shared" si="145"/>
        <v>3044</v>
      </c>
      <c r="D367" s="203">
        <f t="shared" si="145"/>
        <v>11430</v>
      </c>
      <c r="E367" s="203">
        <f t="shared" si="145"/>
        <v>2669</v>
      </c>
      <c r="F367" s="203">
        <f t="shared" si="145"/>
        <v>1732</v>
      </c>
      <c r="G367" s="203">
        <f t="shared" si="145"/>
        <v>22776</v>
      </c>
      <c r="H367" s="9"/>
      <c r="I367" s="203" t="str">
        <f t="shared" ref="I367:N367" si="146">+I237</f>
        <v>-</v>
      </c>
      <c r="J367" s="203" t="str">
        <f t="shared" si="146"/>
        <v>-</v>
      </c>
      <c r="K367" s="203">
        <f t="shared" si="146"/>
        <v>1638</v>
      </c>
      <c r="L367" s="203">
        <f t="shared" si="146"/>
        <v>1158</v>
      </c>
      <c r="M367" s="203">
        <f t="shared" si="146"/>
        <v>1201</v>
      </c>
      <c r="N367" s="203">
        <f t="shared" si="146"/>
        <v>3997</v>
      </c>
      <c r="O367" s="203"/>
      <c r="P367" s="203">
        <f t="shared" ref="P367:U367" si="147">+P237</f>
        <v>0</v>
      </c>
      <c r="Q367" s="203">
        <f t="shared" si="147"/>
        <v>0</v>
      </c>
      <c r="R367" s="203">
        <f t="shared" si="147"/>
        <v>280</v>
      </c>
      <c r="S367" s="203">
        <f t="shared" si="147"/>
        <v>31</v>
      </c>
      <c r="T367" s="203">
        <f t="shared" si="147"/>
        <v>0</v>
      </c>
      <c r="U367" s="203">
        <f t="shared" si="147"/>
        <v>311</v>
      </c>
    </row>
    <row r="368" spans="1:21" ht="12" customHeight="1" x14ac:dyDescent="0.2">
      <c r="A368" s="171" t="s">
        <v>394</v>
      </c>
      <c r="B368" s="203">
        <f t="shared" ref="B368:G368" si="148">+B238</f>
        <v>625</v>
      </c>
      <c r="C368" s="203">
        <f t="shared" si="148"/>
        <v>1307</v>
      </c>
      <c r="D368" s="203">
        <f t="shared" si="148"/>
        <v>7269</v>
      </c>
      <c r="E368" s="203">
        <f t="shared" si="148"/>
        <v>2949</v>
      </c>
      <c r="F368" s="203">
        <f t="shared" si="148"/>
        <v>160</v>
      </c>
      <c r="G368" s="203">
        <f t="shared" si="148"/>
        <v>12310</v>
      </c>
      <c r="H368" s="9"/>
      <c r="I368" s="203" t="str">
        <f t="shared" ref="I368:N368" si="149">+I238</f>
        <v>-</v>
      </c>
      <c r="J368" s="203" t="str">
        <f t="shared" si="149"/>
        <v>-</v>
      </c>
      <c r="K368" s="203">
        <f t="shared" si="149"/>
        <v>222</v>
      </c>
      <c r="L368" s="203">
        <f t="shared" si="149"/>
        <v>314</v>
      </c>
      <c r="M368" s="203">
        <f t="shared" si="149"/>
        <v>101</v>
      </c>
      <c r="N368" s="203">
        <f t="shared" si="149"/>
        <v>637</v>
      </c>
      <c r="O368" s="203"/>
      <c r="P368" s="203"/>
      <c r="Q368" s="203"/>
      <c r="R368" s="203"/>
      <c r="S368" s="203"/>
      <c r="T368" s="203"/>
      <c r="U368" s="203"/>
    </row>
    <row r="369" spans="1:21" ht="12" customHeight="1" x14ac:dyDescent="0.2">
      <c r="A369" s="578" t="str">
        <f>A239</f>
        <v>a/  Summary of Washington Department of Fish and Wildlife fish receiving ticket information by statistical month excluding Washington landings from Oregon, California, and Alaska.</v>
      </c>
      <c r="B369" s="578"/>
      <c r="C369" s="578"/>
      <c r="D369" s="578"/>
      <c r="E369" s="578"/>
      <c r="F369" s="578"/>
      <c r="G369" s="578"/>
      <c r="H369" s="578"/>
      <c r="I369" s="578"/>
      <c r="J369" s="578"/>
      <c r="K369" s="578"/>
      <c r="L369" s="578"/>
      <c r="M369" s="578"/>
      <c r="N369" s="578"/>
      <c r="O369" s="578"/>
      <c r="P369" s="578"/>
      <c r="Q369" s="578"/>
      <c r="R369" s="578"/>
      <c r="S369" s="578"/>
      <c r="T369" s="578"/>
      <c r="U369" s="578"/>
    </row>
    <row r="370" spans="1:21" ht="12" customHeight="1" x14ac:dyDescent="0.2">
      <c r="A370" s="574" t="str">
        <f>A240</f>
        <v>b/  Data for September include any catch after September.</v>
      </c>
      <c r="B370" s="574"/>
      <c r="C370" s="574"/>
      <c r="D370" s="574"/>
      <c r="E370" s="574"/>
      <c r="F370" s="574"/>
      <c r="G370" s="574"/>
      <c r="H370" s="574"/>
      <c r="I370" s="574"/>
      <c r="J370" s="574"/>
      <c r="K370" s="574"/>
      <c r="L370" s="574"/>
      <c r="M370" s="574"/>
      <c r="N370" s="574"/>
      <c r="O370" s="574"/>
      <c r="P370" s="574"/>
      <c r="Q370" s="574"/>
      <c r="R370" s="574"/>
      <c r="S370" s="574"/>
      <c r="T370" s="574"/>
      <c r="U370" s="574"/>
    </row>
    <row r="371" spans="1:21" ht="12" customHeight="1" x14ac:dyDescent="0.2">
      <c r="A371" s="574" t="str">
        <f>A241</f>
        <v>c/  Neah Bay area includes effort and catches from Strait of Juan de Fuca Area 4B.</v>
      </c>
      <c r="B371" s="574"/>
      <c r="C371" s="574"/>
      <c r="D371" s="574"/>
      <c r="E371" s="574"/>
      <c r="F371" s="574"/>
      <c r="G371" s="574"/>
      <c r="H371" s="574"/>
      <c r="I371" s="574"/>
      <c r="J371" s="574"/>
      <c r="K371" s="574"/>
      <c r="L371" s="574"/>
      <c r="M371" s="574"/>
      <c r="N371" s="574"/>
      <c r="O371" s="574"/>
      <c r="P371" s="574"/>
      <c r="Q371" s="574"/>
      <c r="R371" s="574"/>
      <c r="S371" s="574"/>
      <c r="T371" s="574"/>
      <c r="U371" s="574"/>
    </row>
    <row r="372" spans="1:21" ht="12" customHeight="1" x14ac:dyDescent="0.2">
      <c r="A372" s="574" t="str">
        <f>A242</f>
        <v>d/  Preliminary.</v>
      </c>
      <c r="B372" s="574"/>
      <c r="C372" s="574"/>
      <c r="D372" s="574"/>
      <c r="E372" s="574"/>
      <c r="F372" s="574"/>
      <c r="G372" s="574"/>
      <c r="H372" s="574"/>
      <c r="I372" s="574"/>
      <c r="J372" s="574"/>
      <c r="K372" s="574"/>
      <c r="L372" s="574"/>
      <c r="M372" s="574"/>
      <c r="N372" s="574"/>
      <c r="O372" s="574"/>
      <c r="P372" s="574"/>
      <c r="Q372" s="574"/>
      <c r="R372" s="574"/>
      <c r="S372" s="574"/>
      <c r="T372" s="574"/>
      <c r="U372" s="574"/>
    </row>
    <row r="373" spans="1:21" ht="12" customHeight="1" x14ac:dyDescent="0.2">
      <c r="A373" s="574"/>
      <c r="B373" s="574"/>
      <c r="C373" s="574"/>
      <c r="D373" s="574"/>
      <c r="E373" s="574"/>
      <c r="F373" s="574"/>
      <c r="G373" s="574"/>
      <c r="H373" s="574"/>
      <c r="I373" s="574"/>
      <c r="J373" s="574"/>
      <c r="K373" s="574"/>
      <c r="L373" s="574"/>
      <c r="M373" s="574"/>
      <c r="N373" s="574"/>
      <c r="O373" s="574"/>
      <c r="P373" s="574"/>
      <c r="Q373" s="574"/>
      <c r="R373" s="574"/>
      <c r="S373" s="574"/>
      <c r="T373" s="574"/>
      <c r="U373" s="574"/>
    </row>
    <row r="374" spans="1:21" ht="12" customHeight="1" x14ac:dyDescent="0.2">
      <c r="A374" s="574"/>
      <c r="B374" s="574"/>
      <c r="C374" s="574"/>
      <c r="D374" s="574"/>
      <c r="E374" s="574"/>
      <c r="F374" s="574"/>
      <c r="G374" s="574"/>
      <c r="H374" s="574"/>
      <c r="I374" s="574"/>
      <c r="J374" s="574"/>
      <c r="K374" s="574"/>
      <c r="L374" s="574"/>
      <c r="M374" s="574"/>
      <c r="N374" s="574"/>
      <c r="O374" s="574"/>
      <c r="P374" s="574"/>
      <c r="Q374" s="574"/>
      <c r="R374" s="574"/>
      <c r="S374" s="574"/>
      <c r="T374" s="574"/>
      <c r="U374" s="574"/>
    </row>
  </sheetData>
  <mergeCells count="28">
    <mergeCell ref="A298:U298"/>
    <mergeCell ref="A2:U2"/>
    <mergeCell ref="B4:G4"/>
    <mergeCell ref="I4:N4"/>
    <mergeCell ref="P4:U4"/>
    <mergeCell ref="A239:U239"/>
    <mergeCell ref="A240:U240"/>
    <mergeCell ref="A241:U241"/>
    <mergeCell ref="A242:U242"/>
    <mergeCell ref="A243:U243"/>
    <mergeCell ref="A244:U244"/>
    <mergeCell ref="A251:U251"/>
    <mergeCell ref="B253:G253"/>
    <mergeCell ref="I253:N253"/>
    <mergeCell ref="P253:U253"/>
    <mergeCell ref="A374:U374"/>
    <mergeCell ref="B300:G300"/>
    <mergeCell ref="I300:N300"/>
    <mergeCell ref="P300:U300"/>
    <mergeCell ref="A345:U345"/>
    <mergeCell ref="B347:G347"/>
    <mergeCell ref="I347:N347"/>
    <mergeCell ref="P347:U347"/>
    <mergeCell ref="A369:U369"/>
    <mergeCell ref="A370:U370"/>
    <mergeCell ref="A371:U371"/>
    <mergeCell ref="A372:U372"/>
    <mergeCell ref="A373:U373"/>
  </mergeCells>
  <pageMargins left="0.7" right="0.7" top="0.75" bottom="0.75" header="0.3" footer="0.3"/>
  <pageSetup scale="93" orientation="landscape" r:id="rId1"/>
  <rowBreaks count="2" manualBreakCount="2">
    <brk id="297" max="20" man="1"/>
    <brk id="344" max="20" man="1"/>
  </row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7"/>
  <dimension ref="A1:L372"/>
  <sheetViews>
    <sheetView showGridLines="0" topLeftCell="A320" zoomScaleNormal="100" workbookViewId="0">
      <selection sqref="A1:J2"/>
    </sheetView>
  </sheetViews>
  <sheetFormatPr defaultColWidth="9" defaultRowHeight="11.25" x14ac:dyDescent="0.2"/>
  <cols>
    <col min="1" max="1" width="8.25" style="465" customWidth="1"/>
    <col min="2" max="2" width="6.5" style="24" customWidth="1"/>
    <col min="3" max="7" width="4.625" style="24" bestFit="1" customWidth="1"/>
    <col min="8" max="8" width="3.875" style="24" bestFit="1" customWidth="1"/>
    <col min="9" max="9" width="6.875" style="24" bestFit="1" customWidth="1"/>
    <col min="10" max="10" width="7.375" style="24" bestFit="1" customWidth="1"/>
    <col min="11" max="11" width="5.75" style="24" bestFit="1" customWidth="1"/>
    <col min="12" max="16384" width="9" style="1"/>
  </cols>
  <sheetData>
    <row r="1" spans="1:12" ht="24" customHeight="1" x14ac:dyDescent="0.2">
      <c r="A1" s="570" t="s">
        <v>138</v>
      </c>
      <c r="B1" s="570"/>
      <c r="C1" s="570"/>
      <c r="D1" s="570"/>
      <c r="E1" s="570"/>
      <c r="F1" s="570"/>
      <c r="G1" s="570"/>
      <c r="H1" s="570"/>
      <c r="I1" s="570"/>
      <c r="J1" s="570"/>
      <c r="K1" s="570"/>
    </row>
    <row r="2" spans="1:12" s="462" customFormat="1" ht="12" customHeight="1" x14ac:dyDescent="0.2">
      <c r="A2" s="2"/>
      <c r="B2" s="463"/>
      <c r="C2" s="463"/>
      <c r="D2" s="463"/>
      <c r="E2" s="463"/>
      <c r="F2" s="463"/>
      <c r="G2" s="463"/>
      <c r="H2" s="463"/>
      <c r="I2" s="463"/>
      <c r="J2" s="463" t="s">
        <v>61</v>
      </c>
      <c r="K2" s="463" t="s">
        <v>52</v>
      </c>
    </row>
    <row r="3" spans="1:12" ht="12" customHeight="1" x14ac:dyDescent="0.2">
      <c r="A3" s="5" t="s">
        <v>33</v>
      </c>
      <c r="B3" s="464" t="s">
        <v>71</v>
      </c>
      <c r="C3" s="464" t="s">
        <v>35</v>
      </c>
      <c r="D3" s="464" t="s">
        <v>36</v>
      </c>
      <c r="E3" s="464" t="s">
        <v>37</v>
      </c>
      <c r="F3" s="464" t="s">
        <v>38</v>
      </c>
      <c r="G3" s="464" t="s">
        <v>39</v>
      </c>
      <c r="H3" s="464" t="s">
        <v>40</v>
      </c>
      <c r="I3" s="464" t="s">
        <v>73</v>
      </c>
      <c r="J3" s="464" t="s">
        <v>74</v>
      </c>
      <c r="K3" s="464" t="s">
        <v>61</v>
      </c>
    </row>
    <row r="4" spans="1:12" ht="12" customHeight="1" x14ac:dyDescent="0.2">
      <c r="A4" s="116" t="s">
        <v>72</v>
      </c>
      <c r="B4" s="26"/>
      <c r="L4" s="4"/>
    </row>
    <row r="5" spans="1:12" ht="12" customHeight="1" x14ac:dyDescent="0.2">
      <c r="A5" s="123">
        <v>1976</v>
      </c>
      <c r="B5" s="31">
        <v>516</v>
      </c>
      <c r="C5" s="31">
        <v>47</v>
      </c>
      <c r="D5" s="31">
        <v>36</v>
      </c>
      <c r="E5" s="31">
        <v>28</v>
      </c>
      <c r="F5" s="31">
        <v>18</v>
      </c>
      <c r="G5" s="31">
        <v>6</v>
      </c>
      <c r="H5" s="31">
        <v>1</v>
      </c>
      <c r="I5" s="31">
        <v>63</v>
      </c>
      <c r="J5" s="31">
        <f t="shared" ref="J5:J46" si="0">SUM(C5:G5)</f>
        <v>135</v>
      </c>
      <c r="K5" s="31">
        <f t="shared" ref="K5:K45" si="1">SUM(B5:I5)</f>
        <v>715</v>
      </c>
      <c r="L5" s="4"/>
    </row>
    <row r="6" spans="1:12" ht="12" customHeight="1" x14ac:dyDescent="0.2">
      <c r="A6" s="123">
        <v>1977</v>
      </c>
      <c r="B6" s="31">
        <v>90</v>
      </c>
      <c r="C6" s="31">
        <v>26</v>
      </c>
      <c r="D6" s="31">
        <v>45</v>
      </c>
      <c r="E6" s="31">
        <v>41</v>
      </c>
      <c r="F6" s="31">
        <v>70</v>
      </c>
      <c r="G6" s="31">
        <v>43</v>
      </c>
      <c r="H6" s="31">
        <v>2</v>
      </c>
      <c r="I6" s="31">
        <v>27</v>
      </c>
      <c r="J6" s="31">
        <f t="shared" si="0"/>
        <v>225</v>
      </c>
      <c r="K6" s="31">
        <f t="shared" si="1"/>
        <v>344</v>
      </c>
      <c r="L6" s="4"/>
    </row>
    <row r="7" spans="1:12" ht="12" customHeight="1" x14ac:dyDescent="0.2">
      <c r="A7" s="123">
        <v>1978</v>
      </c>
      <c r="B7" s="31">
        <v>212</v>
      </c>
      <c r="C7" s="31">
        <v>49</v>
      </c>
      <c r="D7" s="31">
        <v>57</v>
      </c>
      <c r="E7" s="31">
        <v>29</v>
      </c>
      <c r="F7" s="31">
        <v>54</v>
      </c>
      <c r="G7" s="31">
        <v>29</v>
      </c>
      <c r="H7" s="31">
        <v>6</v>
      </c>
      <c r="I7" s="31">
        <v>34</v>
      </c>
      <c r="J7" s="31">
        <f t="shared" si="0"/>
        <v>218</v>
      </c>
      <c r="K7" s="31">
        <f t="shared" si="1"/>
        <v>470</v>
      </c>
      <c r="L7" s="4"/>
    </row>
    <row r="8" spans="1:12" ht="12" customHeight="1" x14ac:dyDescent="0.2">
      <c r="A8" s="123">
        <v>1979</v>
      </c>
      <c r="B8" s="31">
        <v>111</v>
      </c>
      <c r="C8" s="31">
        <v>29</v>
      </c>
      <c r="D8" s="31">
        <v>56</v>
      </c>
      <c r="E8" s="31">
        <v>66</v>
      </c>
      <c r="F8" s="31">
        <v>67</v>
      </c>
      <c r="G8" s="31">
        <v>23</v>
      </c>
      <c r="H8" s="31">
        <v>6</v>
      </c>
      <c r="I8" s="31">
        <v>30</v>
      </c>
      <c r="J8" s="31">
        <f t="shared" si="0"/>
        <v>241</v>
      </c>
      <c r="K8" s="31">
        <f t="shared" si="1"/>
        <v>388</v>
      </c>
      <c r="L8" s="4"/>
    </row>
    <row r="9" spans="1:12" ht="12" customHeight="1" x14ac:dyDescent="0.2">
      <c r="A9" s="123">
        <v>1980</v>
      </c>
      <c r="B9" s="31">
        <v>104</v>
      </c>
      <c r="C9" s="31">
        <v>12</v>
      </c>
      <c r="D9" s="31">
        <v>10</v>
      </c>
      <c r="E9" s="31">
        <v>19</v>
      </c>
      <c r="F9" s="31">
        <v>13</v>
      </c>
      <c r="G9" s="31">
        <v>11</v>
      </c>
      <c r="H9" s="31">
        <v>5</v>
      </c>
      <c r="I9" s="31">
        <v>30</v>
      </c>
      <c r="J9" s="31">
        <f t="shared" si="0"/>
        <v>65</v>
      </c>
      <c r="K9" s="31">
        <f t="shared" si="1"/>
        <v>204</v>
      </c>
      <c r="L9" s="4"/>
    </row>
    <row r="10" spans="1:12" ht="12" customHeight="1" x14ac:dyDescent="0.2">
      <c r="A10" s="123">
        <v>1981</v>
      </c>
      <c r="B10" s="31">
        <v>114</v>
      </c>
      <c r="C10" s="31">
        <v>69</v>
      </c>
      <c r="D10" s="31">
        <v>47</v>
      </c>
      <c r="E10" s="31">
        <v>47</v>
      </c>
      <c r="F10" s="31">
        <v>61</v>
      </c>
      <c r="G10" s="31">
        <v>21</v>
      </c>
      <c r="H10" s="31">
        <v>5</v>
      </c>
      <c r="I10" s="31">
        <v>49</v>
      </c>
      <c r="J10" s="31">
        <f t="shared" si="0"/>
        <v>245</v>
      </c>
      <c r="K10" s="31">
        <f t="shared" si="1"/>
        <v>413</v>
      </c>
      <c r="L10" s="4"/>
    </row>
    <row r="11" spans="1:12" ht="12" customHeight="1" x14ac:dyDescent="0.2">
      <c r="A11" s="123">
        <v>1982</v>
      </c>
      <c r="B11" s="31">
        <v>161</v>
      </c>
      <c r="C11" s="31">
        <v>37</v>
      </c>
      <c r="D11" s="31">
        <v>51</v>
      </c>
      <c r="E11" s="31">
        <v>62</v>
      </c>
      <c r="F11" s="31">
        <v>78</v>
      </c>
      <c r="G11" s="31">
        <v>36</v>
      </c>
      <c r="H11" s="31">
        <v>20</v>
      </c>
      <c r="I11" s="31">
        <v>32</v>
      </c>
      <c r="J11" s="31">
        <f t="shared" si="0"/>
        <v>264</v>
      </c>
      <c r="K11" s="31">
        <f t="shared" si="1"/>
        <v>477</v>
      </c>
      <c r="L11" s="4"/>
    </row>
    <row r="12" spans="1:12" ht="12" customHeight="1" x14ac:dyDescent="0.2">
      <c r="A12" s="123">
        <v>1983</v>
      </c>
      <c r="B12" s="31">
        <v>254</v>
      </c>
      <c r="C12" s="31">
        <v>88</v>
      </c>
      <c r="D12" s="31">
        <v>93</v>
      </c>
      <c r="E12" s="31">
        <v>97</v>
      </c>
      <c r="F12" s="31">
        <v>134</v>
      </c>
      <c r="G12" s="31">
        <v>13</v>
      </c>
      <c r="H12" s="31">
        <v>10</v>
      </c>
      <c r="I12" s="31">
        <v>31</v>
      </c>
      <c r="J12" s="31">
        <f t="shared" si="0"/>
        <v>425</v>
      </c>
      <c r="K12" s="31">
        <f t="shared" si="1"/>
        <v>720</v>
      </c>
      <c r="L12" s="4"/>
    </row>
    <row r="13" spans="1:12" ht="12" customHeight="1" x14ac:dyDescent="0.2">
      <c r="A13" s="123">
        <v>1984</v>
      </c>
      <c r="B13" s="31">
        <v>166</v>
      </c>
      <c r="C13" s="31">
        <v>35</v>
      </c>
      <c r="D13" s="31">
        <v>22</v>
      </c>
      <c r="E13" s="31">
        <v>30</v>
      </c>
      <c r="F13" s="31">
        <v>6</v>
      </c>
      <c r="G13" s="31">
        <v>0</v>
      </c>
      <c r="H13" s="31">
        <v>12</v>
      </c>
      <c r="I13" s="31">
        <v>27</v>
      </c>
      <c r="J13" s="31">
        <f t="shared" si="0"/>
        <v>93</v>
      </c>
      <c r="K13" s="31">
        <f t="shared" si="1"/>
        <v>298</v>
      </c>
      <c r="L13" s="4"/>
    </row>
    <row r="14" spans="1:12" ht="12" customHeight="1" x14ac:dyDescent="0.2">
      <c r="A14" s="123">
        <v>1985</v>
      </c>
      <c r="B14" s="31">
        <v>139</v>
      </c>
      <c r="C14" s="31">
        <v>36</v>
      </c>
      <c r="D14" s="31">
        <v>2</v>
      </c>
      <c r="E14" s="31">
        <v>36</v>
      </c>
      <c r="F14" s="31">
        <v>6</v>
      </c>
      <c r="G14" s="31">
        <v>11</v>
      </c>
      <c r="H14" s="31">
        <v>22</v>
      </c>
      <c r="I14" s="31">
        <v>19</v>
      </c>
      <c r="J14" s="31">
        <f t="shared" si="0"/>
        <v>91</v>
      </c>
      <c r="K14" s="31">
        <f t="shared" si="1"/>
        <v>271</v>
      </c>
      <c r="L14" s="4"/>
    </row>
    <row r="15" spans="1:12" ht="12" customHeight="1" x14ac:dyDescent="0.2">
      <c r="A15" s="123">
        <v>1986</v>
      </c>
      <c r="B15" s="31">
        <v>109</v>
      </c>
      <c r="C15" s="31">
        <v>44</v>
      </c>
      <c r="D15" s="31">
        <v>58</v>
      </c>
      <c r="E15" s="31">
        <v>63</v>
      </c>
      <c r="F15" s="31">
        <v>35</v>
      </c>
      <c r="G15" s="31">
        <v>1</v>
      </c>
      <c r="H15" s="31">
        <v>0</v>
      </c>
      <c r="I15" s="31">
        <v>23</v>
      </c>
      <c r="J15" s="31">
        <f t="shared" si="0"/>
        <v>201</v>
      </c>
      <c r="K15" s="31">
        <f t="shared" si="1"/>
        <v>333</v>
      </c>
      <c r="L15" s="4"/>
    </row>
    <row r="16" spans="1:12" ht="12" customHeight="1" x14ac:dyDescent="0.2">
      <c r="A16" s="123">
        <v>1987</v>
      </c>
      <c r="B16" s="31">
        <v>166</v>
      </c>
      <c r="C16" s="31">
        <v>46</v>
      </c>
      <c r="D16" s="31">
        <v>0</v>
      </c>
      <c r="E16" s="31">
        <v>78</v>
      </c>
      <c r="F16" s="31">
        <v>71</v>
      </c>
      <c r="G16" s="31">
        <v>0</v>
      </c>
      <c r="H16" s="31">
        <v>6</v>
      </c>
      <c r="I16" s="31">
        <v>44</v>
      </c>
      <c r="J16" s="31">
        <f t="shared" si="0"/>
        <v>195</v>
      </c>
      <c r="K16" s="31">
        <f t="shared" si="1"/>
        <v>411</v>
      </c>
      <c r="L16" s="4"/>
    </row>
    <row r="17" spans="1:12" ht="12" customHeight="1" x14ac:dyDescent="0.2">
      <c r="A17" s="123">
        <v>1988</v>
      </c>
      <c r="B17" s="31">
        <v>157</v>
      </c>
      <c r="C17" s="31">
        <v>92</v>
      </c>
      <c r="D17" s="31">
        <v>76</v>
      </c>
      <c r="E17" s="31">
        <v>42</v>
      </c>
      <c r="F17" s="31">
        <v>74</v>
      </c>
      <c r="G17" s="31">
        <v>4</v>
      </c>
      <c r="H17" s="31">
        <v>0</v>
      </c>
      <c r="I17" s="31">
        <v>45</v>
      </c>
      <c r="J17" s="31">
        <f t="shared" si="0"/>
        <v>288</v>
      </c>
      <c r="K17" s="31">
        <f t="shared" si="1"/>
        <v>490</v>
      </c>
      <c r="L17" s="4"/>
    </row>
    <row r="18" spans="1:12" ht="12" customHeight="1" x14ac:dyDescent="0.2">
      <c r="A18" s="123">
        <v>1989</v>
      </c>
      <c r="B18" s="31">
        <v>300</v>
      </c>
      <c r="C18" s="31">
        <v>65</v>
      </c>
      <c r="D18" s="31">
        <v>53</v>
      </c>
      <c r="E18" s="31">
        <v>139</v>
      </c>
      <c r="F18" s="31">
        <v>123</v>
      </c>
      <c r="G18" s="31">
        <v>75</v>
      </c>
      <c r="H18" s="31">
        <v>0</v>
      </c>
      <c r="I18" s="31">
        <v>71</v>
      </c>
      <c r="J18" s="31">
        <f t="shared" si="0"/>
        <v>455</v>
      </c>
      <c r="K18" s="31">
        <f t="shared" si="1"/>
        <v>826</v>
      </c>
    </row>
    <row r="19" spans="1:12" ht="12" customHeight="1" x14ac:dyDescent="0.2">
      <c r="A19" s="123">
        <v>1990</v>
      </c>
      <c r="B19" s="31">
        <v>105</v>
      </c>
      <c r="C19" s="31">
        <v>69</v>
      </c>
      <c r="D19" s="31">
        <v>79</v>
      </c>
      <c r="E19" s="31">
        <v>55</v>
      </c>
      <c r="F19" s="31">
        <v>159</v>
      </c>
      <c r="G19" s="31">
        <v>42</v>
      </c>
      <c r="H19" s="31">
        <v>2</v>
      </c>
      <c r="I19" s="31">
        <v>31</v>
      </c>
      <c r="J19" s="31">
        <f t="shared" si="0"/>
        <v>404</v>
      </c>
      <c r="K19" s="31">
        <f t="shared" si="1"/>
        <v>542</v>
      </c>
    </row>
    <row r="20" spans="1:12" ht="12" customHeight="1" x14ac:dyDescent="0.2">
      <c r="A20" s="123">
        <v>1991</v>
      </c>
      <c r="B20" s="31">
        <v>127</v>
      </c>
      <c r="C20" s="31">
        <v>46</v>
      </c>
      <c r="D20" s="31">
        <v>27</v>
      </c>
      <c r="E20" s="31">
        <v>48</v>
      </c>
      <c r="F20" s="31">
        <v>137</v>
      </c>
      <c r="G20" s="31">
        <v>0</v>
      </c>
      <c r="H20" s="31">
        <v>50</v>
      </c>
      <c r="I20" s="31">
        <v>33</v>
      </c>
      <c r="J20" s="31">
        <f t="shared" si="0"/>
        <v>258</v>
      </c>
      <c r="K20" s="31">
        <f t="shared" si="1"/>
        <v>468</v>
      </c>
    </row>
    <row r="21" spans="1:12" ht="12" customHeight="1" x14ac:dyDescent="0.2">
      <c r="A21" s="123">
        <v>1992</v>
      </c>
      <c r="B21" s="31">
        <v>80</v>
      </c>
      <c r="C21" s="31">
        <v>26</v>
      </c>
      <c r="D21" s="31">
        <v>43</v>
      </c>
      <c r="E21" s="31">
        <v>25</v>
      </c>
      <c r="F21" s="31">
        <v>65</v>
      </c>
      <c r="G21" s="31">
        <v>0</v>
      </c>
      <c r="H21" s="31">
        <v>1</v>
      </c>
      <c r="I21" s="31">
        <v>56</v>
      </c>
      <c r="J21" s="31">
        <f t="shared" si="0"/>
        <v>159</v>
      </c>
      <c r="K21" s="31">
        <f t="shared" si="1"/>
        <v>296</v>
      </c>
    </row>
    <row r="22" spans="1:12" ht="12" customHeight="1" x14ac:dyDescent="0.2">
      <c r="A22" s="123">
        <v>1993</v>
      </c>
      <c r="B22" s="31">
        <v>98</v>
      </c>
      <c r="C22" s="31">
        <v>78</v>
      </c>
      <c r="D22" s="31">
        <v>44</v>
      </c>
      <c r="E22" s="31">
        <v>74</v>
      </c>
      <c r="F22" s="31">
        <v>52</v>
      </c>
      <c r="G22" s="31">
        <v>17</v>
      </c>
      <c r="H22" s="31" t="s">
        <v>29</v>
      </c>
      <c r="I22" s="31">
        <v>18</v>
      </c>
      <c r="J22" s="31">
        <f t="shared" si="0"/>
        <v>265</v>
      </c>
      <c r="K22" s="31">
        <f t="shared" si="1"/>
        <v>381</v>
      </c>
    </row>
    <row r="23" spans="1:12" ht="12" customHeight="1" x14ac:dyDescent="0.2">
      <c r="A23" s="123">
        <v>1994</v>
      </c>
      <c r="B23" s="31">
        <v>55</v>
      </c>
      <c r="C23" s="31">
        <v>19</v>
      </c>
      <c r="D23" s="31">
        <v>19</v>
      </c>
      <c r="E23" s="31">
        <v>0</v>
      </c>
      <c r="F23" s="31">
        <v>0</v>
      </c>
      <c r="G23" s="31">
        <v>0</v>
      </c>
      <c r="H23" s="31" t="s">
        <v>29</v>
      </c>
      <c r="I23" s="31">
        <v>4</v>
      </c>
      <c r="J23" s="31">
        <f t="shared" si="0"/>
        <v>38</v>
      </c>
      <c r="K23" s="31">
        <f t="shared" si="1"/>
        <v>97</v>
      </c>
    </row>
    <row r="24" spans="1:12" ht="12" customHeight="1" x14ac:dyDescent="0.2">
      <c r="A24" s="123">
        <v>1995</v>
      </c>
      <c r="B24" s="31">
        <v>16</v>
      </c>
      <c r="C24" s="31">
        <v>5</v>
      </c>
      <c r="D24" s="31">
        <v>0</v>
      </c>
      <c r="E24" s="31">
        <v>0</v>
      </c>
      <c r="F24" s="31">
        <v>65</v>
      </c>
      <c r="G24" s="31">
        <v>0</v>
      </c>
      <c r="H24" s="31" t="s">
        <v>29</v>
      </c>
      <c r="I24" s="31">
        <v>19</v>
      </c>
      <c r="J24" s="31">
        <f t="shared" si="0"/>
        <v>70</v>
      </c>
      <c r="K24" s="31">
        <f t="shared" si="1"/>
        <v>105</v>
      </c>
    </row>
    <row r="25" spans="1:12" ht="12" customHeight="1" x14ac:dyDescent="0.2">
      <c r="A25" s="123">
        <v>1996</v>
      </c>
      <c r="B25" s="31">
        <v>45</v>
      </c>
      <c r="C25" s="31">
        <v>7</v>
      </c>
      <c r="D25" s="31">
        <v>21</v>
      </c>
      <c r="E25" s="31">
        <v>2</v>
      </c>
      <c r="F25" s="31">
        <v>20</v>
      </c>
      <c r="G25" s="31">
        <v>10</v>
      </c>
      <c r="H25" s="31" t="s">
        <v>29</v>
      </c>
      <c r="I25" s="31">
        <v>4</v>
      </c>
      <c r="J25" s="31">
        <f t="shared" si="0"/>
        <v>60</v>
      </c>
      <c r="K25" s="31">
        <f t="shared" si="1"/>
        <v>109</v>
      </c>
    </row>
    <row r="26" spans="1:12" ht="12" customHeight="1" x14ac:dyDescent="0.2">
      <c r="A26" s="123">
        <v>1997</v>
      </c>
      <c r="B26" s="31">
        <v>9</v>
      </c>
      <c r="C26" s="31">
        <v>17</v>
      </c>
      <c r="D26" s="31">
        <v>21</v>
      </c>
      <c r="E26" s="31">
        <v>0</v>
      </c>
      <c r="F26" s="31">
        <v>46</v>
      </c>
      <c r="G26" s="31">
        <v>10</v>
      </c>
      <c r="H26" s="31" t="s">
        <v>29</v>
      </c>
      <c r="I26" s="31">
        <v>2</v>
      </c>
      <c r="J26" s="31">
        <f t="shared" si="0"/>
        <v>94</v>
      </c>
      <c r="K26" s="31">
        <f t="shared" si="1"/>
        <v>105</v>
      </c>
    </row>
    <row r="27" spans="1:12" ht="12" customHeight="1" x14ac:dyDescent="0.2">
      <c r="A27" s="123">
        <v>1998</v>
      </c>
      <c r="B27" s="31">
        <v>6</v>
      </c>
      <c r="C27" s="31">
        <v>7</v>
      </c>
      <c r="D27" s="31">
        <v>2</v>
      </c>
      <c r="E27" s="31">
        <v>0</v>
      </c>
      <c r="F27" s="31">
        <v>11</v>
      </c>
      <c r="G27" s="31">
        <v>8</v>
      </c>
      <c r="H27" s="31" t="s">
        <v>29</v>
      </c>
      <c r="I27" s="31">
        <v>2</v>
      </c>
      <c r="J27" s="31">
        <f t="shared" si="0"/>
        <v>28</v>
      </c>
      <c r="K27" s="31">
        <f t="shared" si="1"/>
        <v>36</v>
      </c>
    </row>
    <row r="28" spans="1:12" ht="12" customHeight="1" x14ac:dyDescent="0.2">
      <c r="A28" s="123">
        <v>1999</v>
      </c>
      <c r="B28" s="31">
        <v>6</v>
      </c>
      <c r="C28" s="31">
        <v>19</v>
      </c>
      <c r="D28" s="31">
        <v>12</v>
      </c>
      <c r="E28" s="31">
        <v>0</v>
      </c>
      <c r="F28" s="31">
        <v>35</v>
      </c>
      <c r="G28" s="31">
        <v>2</v>
      </c>
      <c r="H28" s="31" t="s">
        <v>29</v>
      </c>
      <c r="I28" s="31">
        <v>1</v>
      </c>
      <c r="J28" s="31">
        <f t="shared" si="0"/>
        <v>68</v>
      </c>
      <c r="K28" s="31">
        <f t="shared" si="1"/>
        <v>75</v>
      </c>
    </row>
    <row r="29" spans="1:12" ht="12" customHeight="1" x14ac:dyDescent="0.2">
      <c r="A29" s="123">
        <v>2000</v>
      </c>
      <c r="B29" s="31">
        <v>5</v>
      </c>
      <c r="C29" s="31">
        <v>11</v>
      </c>
      <c r="D29" s="31">
        <v>16</v>
      </c>
      <c r="E29" s="31">
        <v>1</v>
      </c>
      <c r="F29" s="31">
        <v>11</v>
      </c>
      <c r="G29" s="31">
        <v>0</v>
      </c>
      <c r="H29" s="31" t="s">
        <v>29</v>
      </c>
      <c r="I29" s="31">
        <v>1</v>
      </c>
      <c r="J29" s="31">
        <f t="shared" si="0"/>
        <v>39</v>
      </c>
      <c r="K29" s="31">
        <f t="shared" si="1"/>
        <v>45</v>
      </c>
    </row>
    <row r="30" spans="1:12" ht="12" customHeight="1" x14ac:dyDescent="0.2">
      <c r="A30" s="123">
        <v>2001</v>
      </c>
      <c r="B30" s="31">
        <v>22</v>
      </c>
      <c r="C30" s="31">
        <v>42</v>
      </c>
      <c r="D30" s="31">
        <v>33</v>
      </c>
      <c r="E30" s="31">
        <v>47</v>
      </c>
      <c r="F30" s="31">
        <v>60</v>
      </c>
      <c r="G30" s="31">
        <v>23</v>
      </c>
      <c r="H30" s="31" t="s">
        <v>29</v>
      </c>
      <c r="I30" s="31">
        <v>5</v>
      </c>
      <c r="J30" s="31">
        <f t="shared" si="0"/>
        <v>205</v>
      </c>
      <c r="K30" s="31">
        <f t="shared" si="1"/>
        <v>232</v>
      </c>
    </row>
    <row r="31" spans="1:12" ht="12" customHeight="1" x14ac:dyDescent="0.2">
      <c r="A31" s="123">
        <v>2002</v>
      </c>
      <c r="B31" s="31">
        <v>13</v>
      </c>
      <c r="C31" s="31">
        <v>8</v>
      </c>
      <c r="D31" s="31">
        <v>12</v>
      </c>
      <c r="E31" s="31">
        <v>5</v>
      </c>
      <c r="F31" s="31">
        <v>1</v>
      </c>
      <c r="G31" s="31">
        <v>0</v>
      </c>
      <c r="H31" s="31" t="s">
        <v>29</v>
      </c>
      <c r="I31" s="31">
        <v>3</v>
      </c>
      <c r="J31" s="31">
        <f t="shared" si="0"/>
        <v>26</v>
      </c>
      <c r="K31" s="31">
        <f t="shared" si="1"/>
        <v>42</v>
      </c>
    </row>
    <row r="32" spans="1:12" ht="12" customHeight="1" x14ac:dyDescent="0.2">
      <c r="A32" s="123">
        <v>2003</v>
      </c>
      <c r="B32" s="31">
        <v>5</v>
      </c>
      <c r="C32" s="31">
        <v>2</v>
      </c>
      <c r="D32" s="31">
        <v>1</v>
      </c>
      <c r="E32" s="31">
        <v>2</v>
      </c>
      <c r="F32" s="31">
        <v>0</v>
      </c>
      <c r="G32" s="31">
        <v>3</v>
      </c>
      <c r="H32" s="31" t="s">
        <v>29</v>
      </c>
      <c r="I32" s="31">
        <v>2</v>
      </c>
      <c r="J32" s="31">
        <f t="shared" si="0"/>
        <v>8</v>
      </c>
      <c r="K32" s="31">
        <f t="shared" si="1"/>
        <v>15</v>
      </c>
    </row>
    <row r="33" spans="1:11" ht="12" customHeight="1" x14ac:dyDescent="0.2">
      <c r="A33" s="123">
        <v>2004</v>
      </c>
      <c r="B33" s="31">
        <v>28</v>
      </c>
      <c r="C33" s="31">
        <v>0</v>
      </c>
      <c r="D33" s="31">
        <v>12</v>
      </c>
      <c r="E33" s="31">
        <v>38</v>
      </c>
      <c r="F33" s="31">
        <v>68</v>
      </c>
      <c r="G33" s="31">
        <v>22</v>
      </c>
      <c r="H33" s="31" t="s">
        <v>29</v>
      </c>
      <c r="I33" s="31">
        <v>107</v>
      </c>
      <c r="J33" s="31">
        <f t="shared" si="0"/>
        <v>140</v>
      </c>
      <c r="K33" s="31">
        <f t="shared" si="1"/>
        <v>275</v>
      </c>
    </row>
    <row r="34" spans="1:11" ht="12" customHeight="1" x14ac:dyDescent="0.2">
      <c r="A34" s="123">
        <v>2005</v>
      </c>
      <c r="B34" s="31">
        <v>103</v>
      </c>
      <c r="C34" s="31">
        <v>21</v>
      </c>
      <c r="D34" s="31">
        <v>32</v>
      </c>
      <c r="E34" s="31">
        <v>45</v>
      </c>
      <c r="F34" s="31">
        <v>5</v>
      </c>
      <c r="G34" s="31">
        <v>3</v>
      </c>
      <c r="H34" s="31" t="s">
        <v>29</v>
      </c>
      <c r="I34" s="31">
        <v>206</v>
      </c>
      <c r="J34" s="31">
        <f t="shared" si="0"/>
        <v>106</v>
      </c>
      <c r="K34" s="31">
        <f t="shared" si="1"/>
        <v>415</v>
      </c>
    </row>
    <row r="35" spans="1:11" ht="12" customHeight="1" x14ac:dyDescent="0.2">
      <c r="A35" s="123">
        <v>2006</v>
      </c>
      <c r="B35" s="31">
        <v>28</v>
      </c>
      <c r="C35" s="31">
        <v>13</v>
      </c>
      <c r="D35" s="31">
        <v>157</v>
      </c>
      <c r="E35" s="31">
        <v>16</v>
      </c>
      <c r="F35" s="31">
        <v>15</v>
      </c>
      <c r="G35" s="31">
        <v>10</v>
      </c>
      <c r="H35" s="31" t="s">
        <v>29</v>
      </c>
      <c r="I35" s="31">
        <v>39</v>
      </c>
      <c r="J35" s="31">
        <f t="shared" si="0"/>
        <v>211</v>
      </c>
      <c r="K35" s="31">
        <f t="shared" si="1"/>
        <v>278</v>
      </c>
    </row>
    <row r="36" spans="1:11" s="461" customFormat="1" ht="12" customHeight="1" x14ac:dyDescent="0.2">
      <c r="A36" s="123">
        <v>2007</v>
      </c>
      <c r="B36" s="52">
        <v>179</v>
      </c>
      <c r="C36" s="52">
        <v>9</v>
      </c>
      <c r="D36" s="52">
        <v>29</v>
      </c>
      <c r="E36" s="52">
        <v>48</v>
      </c>
      <c r="F36" s="52">
        <v>18</v>
      </c>
      <c r="G36" s="52">
        <v>0</v>
      </c>
      <c r="H36" s="31" t="s">
        <v>29</v>
      </c>
      <c r="I36" s="52">
        <v>129</v>
      </c>
      <c r="J36" s="52">
        <f t="shared" si="0"/>
        <v>104</v>
      </c>
      <c r="K36" s="52">
        <f t="shared" si="1"/>
        <v>412</v>
      </c>
    </row>
    <row r="37" spans="1:11" s="461" customFormat="1" ht="12" customHeight="1" x14ac:dyDescent="0.2">
      <c r="A37" s="122">
        <v>2008</v>
      </c>
      <c r="B37" s="52">
        <v>52</v>
      </c>
      <c r="C37" s="52">
        <v>9</v>
      </c>
      <c r="D37" s="52">
        <v>21</v>
      </c>
      <c r="E37" s="52">
        <v>59</v>
      </c>
      <c r="F37" s="52">
        <v>110</v>
      </c>
      <c r="G37" s="52">
        <v>13</v>
      </c>
      <c r="H37" s="52" t="s">
        <v>29</v>
      </c>
      <c r="I37" s="52">
        <v>51</v>
      </c>
      <c r="J37" s="52">
        <f t="shared" si="0"/>
        <v>212</v>
      </c>
      <c r="K37" s="52">
        <f t="shared" si="1"/>
        <v>315</v>
      </c>
    </row>
    <row r="38" spans="1:11" s="461" customFormat="1" ht="12" customHeight="1" x14ac:dyDescent="0.2">
      <c r="A38" s="122">
        <v>2009</v>
      </c>
      <c r="B38" s="52">
        <v>76</v>
      </c>
      <c r="C38" s="52">
        <v>48</v>
      </c>
      <c r="D38" s="52">
        <v>202</v>
      </c>
      <c r="E38" s="52">
        <v>101</v>
      </c>
      <c r="F38" s="52">
        <v>124</v>
      </c>
      <c r="G38" s="52">
        <v>4</v>
      </c>
      <c r="H38" s="52" t="s">
        <v>29</v>
      </c>
      <c r="I38" s="52">
        <v>18</v>
      </c>
      <c r="J38" s="52">
        <f t="shared" si="0"/>
        <v>479</v>
      </c>
      <c r="K38" s="52">
        <f t="shared" si="1"/>
        <v>573</v>
      </c>
    </row>
    <row r="39" spans="1:11" s="461" customFormat="1" ht="12" customHeight="1" x14ac:dyDescent="0.2">
      <c r="A39" s="122">
        <v>2010</v>
      </c>
      <c r="B39" s="52">
        <v>145</v>
      </c>
      <c r="C39" s="52">
        <v>143</v>
      </c>
      <c r="D39" s="52">
        <v>200</v>
      </c>
      <c r="E39" s="52">
        <v>25</v>
      </c>
      <c r="F39" s="52">
        <v>7</v>
      </c>
      <c r="G39" s="52">
        <v>1</v>
      </c>
      <c r="H39" s="52" t="s">
        <v>29</v>
      </c>
      <c r="I39" s="52">
        <v>51</v>
      </c>
      <c r="J39" s="52">
        <f t="shared" si="0"/>
        <v>376</v>
      </c>
      <c r="K39" s="52">
        <f t="shared" si="1"/>
        <v>572</v>
      </c>
    </row>
    <row r="40" spans="1:11" s="461" customFormat="1" ht="12" customHeight="1" x14ac:dyDescent="0.2">
      <c r="A40" s="122">
        <v>2011</v>
      </c>
      <c r="B40" s="31">
        <v>303</v>
      </c>
      <c r="C40" s="31">
        <v>68</v>
      </c>
      <c r="D40" s="31">
        <v>51</v>
      </c>
      <c r="E40" s="31">
        <v>7</v>
      </c>
      <c r="F40" s="31">
        <v>1</v>
      </c>
      <c r="G40" s="31">
        <v>0</v>
      </c>
      <c r="H40" s="31" t="s">
        <v>29</v>
      </c>
      <c r="I40" s="31">
        <v>22</v>
      </c>
      <c r="J40" s="31">
        <f t="shared" si="0"/>
        <v>127</v>
      </c>
      <c r="K40" s="31">
        <f t="shared" si="1"/>
        <v>452</v>
      </c>
    </row>
    <row r="41" spans="1:11" s="461" customFormat="1" ht="12" customHeight="1" x14ac:dyDescent="0.2">
      <c r="A41" s="122">
        <v>2012</v>
      </c>
      <c r="B41" s="52">
        <v>182</v>
      </c>
      <c r="C41" s="52">
        <v>75</v>
      </c>
      <c r="D41" s="52">
        <v>78</v>
      </c>
      <c r="E41" s="52">
        <v>67</v>
      </c>
      <c r="F41" s="52">
        <v>16</v>
      </c>
      <c r="G41" s="52">
        <v>8</v>
      </c>
      <c r="H41" s="52" t="s">
        <v>29</v>
      </c>
      <c r="I41" s="52">
        <v>29</v>
      </c>
      <c r="J41" s="52">
        <f t="shared" si="0"/>
        <v>244</v>
      </c>
      <c r="K41" s="52">
        <f t="shared" si="1"/>
        <v>455</v>
      </c>
    </row>
    <row r="42" spans="1:11" s="461" customFormat="1" ht="12" customHeight="1" x14ac:dyDescent="0.2">
      <c r="A42" s="123">
        <v>2013</v>
      </c>
      <c r="B42" s="52">
        <v>270</v>
      </c>
      <c r="C42" s="52">
        <v>141</v>
      </c>
      <c r="D42" s="52">
        <v>74</v>
      </c>
      <c r="E42" s="52">
        <v>64</v>
      </c>
      <c r="F42" s="52">
        <v>46</v>
      </c>
      <c r="G42" s="52">
        <v>13</v>
      </c>
      <c r="H42" s="52" t="s">
        <v>29</v>
      </c>
      <c r="I42" s="52">
        <v>124</v>
      </c>
      <c r="J42" s="52">
        <f t="shared" si="0"/>
        <v>338</v>
      </c>
      <c r="K42" s="52">
        <f t="shared" si="1"/>
        <v>732</v>
      </c>
    </row>
    <row r="43" spans="1:11" s="461" customFormat="1" ht="12" customHeight="1" x14ac:dyDescent="0.2">
      <c r="A43" s="123">
        <v>2014</v>
      </c>
      <c r="B43" s="52">
        <v>419</v>
      </c>
      <c r="C43" s="52">
        <v>45</v>
      </c>
      <c r="D43" s="52">
        <v>167</v>
      </c>
      <c r="E43" s="52">
        <v>6</v>
      </c>
      <c r="F43" s="52">
        <v>6</v>
      </c>
      <c r="G43" s="52">
        <v>6</v>
      </c>
      <c r="H43" s="52" t="s">
        <v>29</v>
      </c>
      <c r="I43" s="52">
        <v>34</v>
      </c>
      <c r="J43" s="52">
        <f t="shared" si="0"/>
        <v>230</v>
      </c>
      <c r="K43" s="52">
        <f t="shared" si="1"/>
        <v>683</v>
      </c>
    </row>
    <row r="44" spans="1:11" s="461" customFormat="1" ht="12" customHeight="1" x14ac:dyDescent="0.2">
      <c r="A44" s="122">
        <v>2015</v>
      </c>
      <c r="B44" s="52">
        <v>384</v>
      </c>
      <c r="C44" s="52">
        <v>255</v>
      </c>
      <c r="D44" s="52">
        <v>173</v>
      </c>
      <c r="E44" s="52">
        <v>4</v>
      </c>
      <c r="F44" s="52">
        <v>40</v>
      </c>
      <c r="G44" s="52">
        <v>28</v>
      </c>
      <c r="H44" s="329" t="s">
        <v>29</v>
      </c>
      <c r="I44" s="52">
        <v>7</v>
      </c>
      <c r="J44" s="52">
        <f t="shared" si="0"/>
        <v>500</v>
      </c>
      <c r="K44" s="52">
        <f t="shared" si="1"/>
        <v>891</v>
      </c>
    </row>
    <row r="45" spans="1:11" s="461" customFormat="1" ht="12" customHeight="1" x14ac:dyDescent="0.2">
      <c r="A45" s="123">
        <v>2016</v>
      </c>
      <c r="B45" s="52">
        <v>35</v>
      </c>
      <c r="C45" s="52">
        <v>167</v>
      </c>
      <c r="D45" s="52">
        <v>40</v>
      </c>
      <c r="E45" s="52">
        <v>22</v>
      </c>
      <c r="F45" s="52">
        <v>27</v>
      </c>
      <c r="G45" s="52">
        <v>2</v>
      </c>
      <c r="H45" s="52" t="s">
        <v>29</v>
      </c>
      <c r="I45" s="52">
        <v>34</v>
      </c>
      <c r="J45" s="52">
        <f t="shared" si="0"/>
        <v>258</v>
      </c>
      <c r="K45" s="52">
        <f t="shared" si="1"/>
        <v>327</v>
      </c>
    </row>
    <row r="46" spans="1:11" s="461" customFormat="1" ht="12" customHeight="1" x14ac:dyDescent="0.2">
      <c r="A46" s="122">
        <v>2017</v>
      </c>
      <c r="B46" s="52">
        <v>149</v>
      </c>
      <c r="C46" s="52">
        <v>9</v>
      </c>
      <c r="D46" s="52">
        <v>57</v>
      </c>
      <c r="E46" s="52">
        <v>19</v>
      </c>
      <c r="F46" s="52">
        <v>22</v>
      </c>
      <c r="G46" s="52">
        <v>25</v>
      </c>
      <c r="H46" s="52" t="s">
        <v>29</v>
      </c>
      <c r="I46" s="52">
        <v>3</v>
      </c>
      <c r="J46" s="52">
        <f t="shared" si="0"/>
        <v>132</v>
      </c>
      <c r="K46" s="52">
        <f>SUM(B46:I46)</f>
        <v>284</v>
      </c>
    </row>
    <row r="47" spans="1:11" s="461" customFormat="1" ht="12" customHeight="1" x14ac:dyDescent="0.2">
      <c r="A47" s="122">
        <v>2018</v>
      </c>
      <c r="B47" s="52">
        <v>93</v>
      </c>
      <c r="C47" s="52">
        <v>73</v>
      </c>
      <c r="D47" s="52">
        <v>114</v>
      </c>
      <c r="E47" s="52">
        <v>86</v>
      </c>
      <c r="F47" s="52">
        <v>21</v>
      </c>
      <c r="G47" s="52">
        <v>22</v>
      </c>
      <c r="H47" s="329" t="s">
        <v>29</v>
      </c>
      <c r="I47" s="52">
        <f>19+7</f>
        <v>26</v>
      </c>
      <c r="J47" s="52">
        <f>SUM(C47:G47)</f>
        <v>316</v>
      </c>
      <c r="K47" s="52">
        <f>SUM(B47:I47)</f>
        <v>435</v>
      </c>
    </row>
    <row r="48" spans="1:11" s="487" customFormat="1" ht="12" customHeight="1" x14ac:dyDescent="0.2">
      <c r="A48" s="122">
        <v>2019</v>
      </c>
      <c r="B48" s="52">
        <v>100</v>
      </c>
      <c r="C48" s="52">
        <v>49</v>
      </c>
      <c r="D48" s="52">
        <v>33</v>
      </c>
      <c r="E48" s="52">
        <v>28</v>
      </c>
      <c r="F48" s="52">
        <v>5</v>
      </c>
      <c r="G48" s="52">
        <v>2</v>
      </c>
      <c r="H48" s="329" t="s">
        <v>29</v>
      </c>
      <c r="I48" s="52">
        <v>13</v>
      </c>
      <c r="J48" s="52">
        <f t="shared" ref="J48" si="2">SUM(C48:G48)</f>
        <v>117</v>
      </c>
      <c r="K48" s="52">
        <f>SUM(B48:I48)</f>
        <v>230</v>
      </c>
    </row>
    <row r="49" spans="1:11" ht="12" customHeight="1" x14ac:dyDescent="0.2">
      <c r="A49" s="122" t="s">
        <v>392</v>
      </c>
      <c r="B49" s="31">
        <v>68</v>
      </c>
      <c r="C49" s="31">
        <v>0</v>
      </c>
      <c r="D49" s="31">
        <v>0</v>
      </c>
      <c r="E49" s="31">
        <v>10</v>
      </c>
      <c r="F49" s="31">
        <v>14</v>
      </c>
      <c r="G49" s="31">
        <v>1</v>
      </c>
      <c r="H49" s="330" t="s">
        <v>29</v>
      </c>
      <c r="I49" s="31">
        <v>0</v>
      </c>
      <c r="J49" s="31">
        <v>25</v>
      </c>
      <c r="K49" s="52">
        <v>93</v>
      </c>
    </row>
    <row r="50" spans="1:11" ht="12" customHeight="1" x14ac:dyDescent="0.2">
      <c r="A50" s="123"/>
      <c r="B50" s="195"/>
      <c r="C50" s="66"/>
      <c r="D50" s="66"/>
      <c r="E50" s="66"/>
      <c r="F50" s="66"/>
      <c r="G50" s="66"/>
      <c r="H50" s="66"/>
      <c r="I50" s="66"/>
      <c r="J50" s="66"/>
      <c r="K50" s="66"/>
    </row>
    <row r="51" spans="1:11" ht="12" customHeight="1" x14ac:dyDescent="0.2">
      <c r="A51" s="228" t="s">
        <v>65</v>
      </c>
      <c r="B51" s="229"/>
      <c r="C51" s="66"/>
      <c r="D51" s="66"/>
      <c r="E51" s="66"/>
      <c r="F51" s="66"/>
      <c r="G51" s="66"/>
      <c r="H51" s="66"/>
      <c r="I51" s="66"/>
      <c r="J51" s="66"/>
      <c r="K51" s="66"/>
    </row>
    <row r="52" spans="1:11" ht="12" customHeight="1" x14ac:dyDescent="0.2">
      <c r="A52" s="123">
        <v>1976</v>
      </c>
      <c r="B52" s="31">
        <v>0</v>
      </c>
      <c r="C52" s="31">
        <v>3</v>
      </c>
      <c r="D52" s="31">
        <v>112</v>
      </c>
      <c r="E52" s="31">
        <v>274</v>
      </c>
      <c r="F52" s="31">
        <v>136</v>
      </c>
      <c r="G52" s="31">
        <v>44</v>
      </c>
      <c r="H52" s="31">
        <v>6</v>
      </c>
      <c r="I52" s="31">
        <v>11</v>
      </c>
      <c r="J52" s="31">
        <f t="shared" ref="J52:J93" si="3">SUM(C52:G52)</f>
        <v>569</v>
      </c>
      <c r="K52" s="31">
        <f t="shared" ref="K52:K92" si="4">SUM(B52:I52)</f>
        <v>586</v>
      </c>
    </row>
    <row r="53" spans="1:11" ht="12" customHeight="1" x14ac:dyDescent="0.2">
      <c r="A53" s="123">
        <v>1977</v>
      </c>
      <c r="B53" s="31">
        <v>9</v>
      </c>
      <c r="C53" s="31">
        <v>47</v>
      </c>
      <c r="D53" s="31">
        <v>58</v>
      </c>
      <c r="E53" s="31">
        <v>52</v>
      </c>
      <c r="F53" s="31">
        <v>95</v>
      </c>
      <c r="G53" s="31">
        <v>27</v>
      </c>
      <c r="H53" s="31">
        <v>0</v>
      </c>
      <c r="I53" s="31">
        <v>0</v>
      </c>
      <c r="J53" s="31">
        <f t="shared" si="3"/>
        <v>279</v>
      </c>
      <c r="K53" s="31">
        <f t="shared" si="4"/>
        <v>288</v>
      </c>
    </row>
    <row r="54" spans="1:11" ht="12" customHeight="1" x14ac:dyDescent="0.2">
      <c r="A54" s="123">
        <v>1978</v>
      </c>
      <c r="B54" s="31">
        <v>1</v>
      </c>
      <c r="C54" s="31">
        <v>3</v>
      </c>
      <c r="D54" s="31">
        <v>55</v>
      </c>
      <c r="E54" s="31">
        <v>45</v>
      </c>
      <c r="F54" s="31">
        <v>13</v>
      </c>
      <c r="G54" s="31">
        <v>9</v>
      </c>
      <c r="H54" s="31">
        <v>0</v>
      </c>
      <c r="I54" s="31">
        <v>0</v>
      </c>
      <c r="J54" s="31">
        <f t="shared" si="3"/>
        <v>125</v>
      </c>
      <c r="K54" s="31">
        <f t="shared" si="4"/>
        <v>126</v>
      </c>
    </row>
    <row r="55" spans="1:11" ht="12" customHeight="1" x14ac:dyDescent="0.2">
      <c r="A55" s="123">
        <v>1979</v>
      </c>
      <c r="B55" s="31">
        <v>2</v>
      </c>
      <c r="C55" s="31">
        <v>13</v>
      </c>
      <c r="D55" s="31">
        <v>19</v>
      </c>
      <c r="E55" s="31">
        <v>41</v>
      </c>
      <c r="F55" s="31">
        <v>63</v>
      </c>
      <c r="G55" s="31">
        <v>7</v>
      </c>
      <c r="H55" s="31">
        <v>2</v>
      </c>
      <c r="I55" s="31">
        <v>0</v>
      </c>
      <c r="J55" s="31">
        <f t="shared" si="3"/>
        <v>143</v>
      </c>
      <c r="K55" s="31">
        <f t="shared" si="4"/>
        <v>147</v>
      </c>
    </row>
    <row r="56" spans="1:11" ht="12" customHeight="1" x14ac:dyDescent="0.2">
      <c r="A56" s="123">
        <v>1980</v>
      </c>
      <c r="B56" s="31">
        <v>0</v>
      </c>
      <c r="C56" s="31">
        <v>5</v>
      </c>
      <c r="D56" s="31">
        <v>49</v>
      </c>
      <c r="E56" s="31">
        <v>54</v>
      </c>
      <c r="F56" s="31">
        <v>18</v>
      </c>
      <c r="G56" s="31">
        <v>9</v>
      </c>
      <c r="H56" s="31">
        <v>4</v>
      </c>
      <c r="I56" s="31">
        <v>0</v>
      </c>
      <c r="J56" s="31">
        <f t="shared" si="3"/>
        <v>135</v>
      </c>
      <c r="K56" s="31">
        <f t="shared" si="4"/>
        <v>139</v>
      </c>
    </row>
    <row r="57" spans="1:11" ht="12" customHeight="1" x14ac:dyDescent="0.2">
      <c r="A57" s="123">
        <v>1981</v>
      </c>
      <c r="B57" s="31">
        <v>0</v>
      </c>
      <c r="C57" s="31">
        <v>2</v>
      </c>
      <c r="D57" s="31">
        <v>34</v>
      </c>
      <c r="E57" s="31">
        <v>68</v>
      </c>
      <c r="F57" s="31">
        <v>70</v>
      </c>
      <c r="G57" s="31">
        <v>29</v>
      </c>
      <c r="H57" s="31">
        <v>2</v>
      </c>
      <c r="I57" s="31">
        <v>1</v>
      </c>
      <c r="J57" s="31">
        <f t="shared" si="3"/>
        <v>203</v>
      </c>
      <c r="K57" s="31">
        <f t="shared" si="4"/>
        <v>206</v>
      </c>
    </row>
    <row r="58" spans="1:11" ht="12" customHeight="1" x14ac:dyDescent="0.2">
      <c r="A58" s="123">
        <v>1982</v>
      </c>
      <c r="B58" s="31">
        <v>0</v>
      </c>
      <c r="C58" s="31">
        <v>6</v>
      </c>
      <c r="D58" s="31">
        <v>82</v>
      </c>
      <c r="E58" s="31">
        <v>118</v>
      </c>
      <c r="F58" s="31">
        <v>136</v>
      </c>
      <c r="G58" s="31">
        <v>157</v>
      </c>
      <c r="H58" s="31">
        <v>6</v>
      </c>
      <c r="I58" s="31">
        <v>0</v>
      </c>
      <c r="J58" s="31">
        <f t="shared" si="3"/>
        <v>499</v>
      </c>
      <c r="K58" s="31">
        <f t="shared" si="4"/>
        <v>505</v>
      </c>
    </row>
    <row r="59" spans="1:11" ht="12" customHeight="1" x14ac:dyDescent="0.2">
      <c r="A59" s="123">
        <v>1983</v>
      </c>
      <c r="B59" s="31">
        <v>0</v>
      </c>
      <c r="C59" s="31">
        <v>9</v>
      </c>
      <c r="D59" s="31">
        <v>108</v>
      </c>
      <c r="E59" s="31">
        <v>142</v>
      </c>
      <c r="F59" s="31">
        <v>240</v>
      </c>
      <c r="G59" s="31">
        <v>169</v>
      </c>
      <c r="H59" s="31">
        <v>0</v>
      </c>
      <c r="I59" s="31">
        <v>0</v>
      </c>
      <c r="J59" s="31">
        <f t="shared" si="3"/>
        <v>668</v>
      </c>
      <c r="K59" s="31">
        <f t="shared" si="4"/>
        <v>668</v>
      </c>
    </row>
    <row r="60" spans="1:11" ht="12" customHeight="1" x14ac:dyDescent="0.2">
      <c r="A60" s="123">
        <v>1984</v>
      </c>
      <c r="B60" s="31">
        <v>0</v>
      </c>
      <c r="C60" s="31">
        <v>17</v>
      </c>
      <c r="D60" s="31">
        <v>15</v>
      </c>
      <c r="E60" s="31">
        <v>81</v>
      </c>
      <c r="F60" s="31">
        <v>89</v>
      </c>
      <c r="G60" s="31">
        <v>0</v>
      </c>
      <c r="H60" s="31">
        <v>7</v>
      </c>
      <c r="I60" s="31">
        <v>0</v>
      </c>
      <c r="J60" s="31">
        <f t="shared" si="3"/>
        <v>202</v>
      </c>
      <c r="K60" s="31">
        <f t="shared" si="4"/>
        <v>209</v>
      </c>
    </row>
    <row r="61" spans="1:11" ht="12" customHeight="1" x14ac:dyDescent="0.2">
      <c r="A61" s="123">
        <v>1985</v>
      </c>
      <c r="B61" s="31">
        <v>1</v>
      </c>
      <c r="C61" s="31">
        <v>19</v>
      </c>
      <c r="D61" s="31">
        <v>56</v>
      </c>
      <c r="E61" s="31">
        <v>164</v>
      </c>
      <c r="F61" s="31">
        <v>164</v>
      </c>
      <c r="G61" s="31">
        <v>144</v>
      </c>
      <c r="H61" s="31">
        <v>1</v>
      </c>
      <c r="I61" s="31">
        <v>0</v>
      </c>
      <c r="J61" s="31">
        <f t="shared" si="3"/>
        <v>547</v>
      </c>
      <c r="K61" s="31">
        <f t="shared" si="4"/>
        <v>549</v>
      </c>
    </row>
    <row r="62" spans="1:11" ht="12" customHeight="1" x14ac:dyDescent="0.2">
      <c r="A62" s="123">
        <v>1986</v>
      </c>
      <c r="B62" s="31">
        <v>0</v>
      </c>
      <c r="C62" s="31">
        <v>29</v>
      </c>
      <c r="D62" s="31">
        <v>68</v>
      </c>
      <c r="E62" s="31">
        <v>174</v>
      </c>
      <c r="F62" s="31">
        <v>74</v>
      </c>
      <c r="G62" s="31">
        <v>0</v>
      </c>
      <c r="H62" s="31">
        <v>0</v>
      </c>
      <c r="I62" s="31">
        <v>0</v>
      </c>
      <c r="J62" s="31">
        <f t="shared" si="3"/>
        <v>345</v>
      </c>
      <c r="K62" s="31">
        <f t="shared" si="4"/>
        <v>345</v>
      </c>
    </row>
    <row r="63" spans="1:11" ht="12" customHeight="1" x14ac:dyDescent="0.2">
      <c r="A63" s="123">
        <v>1987</v>
      </c>
      <c r="B63" s="31">
        <v>0</v>
      </c>
      <c r="C63" s="31">
        <v>65</v>
      </c>
      <c r="D63" s="31">
        <v>0</v>
      </c>
      <c r="E63" s="31">
        <v>205</v>
      </c>
      <c r="F63" s="31">
        <v>203</v>
      </c>
      <c r="G63" s="31">
        <v>0</v>
      </c>
      <c r="H63" s="31">
        <v>0</v>
      </c>
      <c r="I63" s="31">
        <v>0</v>
      </c>
      <c r="J63" s="31">
        <f t="shared" si="3"/>
        <v>473</v>
      </c>
      <c r="K63" s="31">
        <f t="shared" si="4"/>
        <v>473</v>
      </c>
    </row>
    <row r="64" spans="1:11" ht="12" customHeight="1" x14ac:dyDescent="0.2">
      <c r="A64" s="123">
        <v>1988</v>
      </c>
      <c r="B64" s="31">
        <v>3</v>
      </c>
      <c r="C64" s="31">
        <v>28</v>
      </c>
      <c r="D64" s="31">
        <v>76</v>
      </c>
      <c r="E64" s="31">
        <v>150</v>
      </c>
      <c r="F64" s="31">
        <v>173</v>
      </c>
      <c r="G64" s="31">
        <v>116</v>
      </c>
      <c r="H64" s="31">
        <v>0</v>
      </c>
      <c r="I64" s="31">
        <v>0</v>
      </c>
      <c r="J64" s="31">
        <f t="shared" si="3"/>
        <v>543</v>
      </c>
      <c r="K64" s="31">
        <f t="shared" si="4"/>
        <v>546</v>
      </c>
    </row>
    <row r="65" spans="1:11" ht="12" customHeight="1" x14ac:dyDescent="0.2">
      <c r="A65" s="123">
        <v>1989</v>
      </c>
      <c r="B65" s="31">
        <v>0</v>
      </c>
      <c r="C65" s="31">
        <v>52</v>
      </c>
      <c r="D65" s="31">
        <v>70</v>
      </c>
      <c r="E65" s="31">
        <v>196</v>
      </c>
      <c r="F65" s="31">
        <v>173</v>
      </c>
      <c r="G65" s="31">
        <v>156</v>
      </c>
      <c r="H65" s="31">
        <v>0</v>
      </c>
      <c r="I65" s="31">
        <v>0</v>
      </c>
      <c r="J65" s="31">
        <f t="shared" si="3"/>
        <v>647</v>
      </c>
      <c r="K65" s="31">
        <f t="shared" si="4"/>
        <v>647</v>
      </c>
    </row>
    <row r="66" spans="1:11" ht="12" customHeight="1" x14ac:dyDescent="0.2">
      <c r="A66" s="123">
        <v>1990</v>
      </c>
      <c r="B66" s="31">
        <v>0</v>
      </c>
      <c r="C66" s="31">
        <v>47</v>
      </c>
      <c r="D66" s="31">
        <v>45</v>
      </c>
      <c r="E66" s="31">
        <v>108</v>
      </c>
      <c r="F66" s="31">
        <v>123</v>
      </c>
      <c r="G66" s="31">
        <v>101</v>
      </c>
      <c r="H66" s="31">
        <v>0</v>
      </c>
      <c r="I66" s="31">
        <v>1</v>
      </c>
      <c r="J66" s="31">
        <f t="shared" si="3"/>
        <v>424</v>
      </c>
      <c r="K66" s="31">
        <f t="shared" si="4"/>
        <v>425</v>
      </c>
    </row>
    <row r="67" spans="1:11" ht="12" customHeight="1" x14ac:dyDescent="0.2">
      <c r="A67" s="123">
        <v>1991</v>
      </c>
      <c r="B67" s="31">
        <v>0</v>
      </c>
      <c r="C67" s="31">
        <v>50</v>
      </c>
      <c r="D67" s="31">
        <v>53</v>
      </c>
      <c r="E67" s="31">
        <v>167</v>
      </c>
      <c r="F67" s="31">
        <v>135</v>
      </c>
      <c r="G67" s="31">
        <v>0</v>
      </c>
      <c r="H67" s="31">
        <v>0</v>
      </c>
      <c r="I67" s="31">
        <v>0</v>
      </c>
      <c r="J67" s="31">
        <f t="shared" si="3"/>
        <v>405</v>
      </c>
      <c r="K67" s="31">
        <f t="shared" si="4"/>
        <v>405</v>
      </c>
    </row>
    <row r="68" spans="1:11" ht="12" customHeight="1" x14ac:dyDescent="0.2">
      <c r="A68" s="123">
        <v>1992</v>
      </c>
      <c r="B68" s="31">
        <v>0</v>
      </c>
      <c r="C68" s="31">
        <v>43</v>
      </c>
      <c r="D68" s="31">
        <v>40</v>
      </c>
      <c r="E68" s="31">
        <v>104</v>
      </c>
      <c r="F68" s="31">
        <v>79</v>
      </c>
      <c r="G68" s="31">
        <v>0</v>
      </c>
      <c r="H68" s="31">
        <v>0</v>
      </c>
      <c r="I68" s="31">
        <v>7</v>
      </c>
      <c r="J68" s="31">
        <f t="shared" si="3"/>
        <v>266</v>
      </c>
      <c r="K68" s="31">
        <f t="shared" si="4"/>
        <v>273</v>
      </c>
    </row>
    <row r="69" spans="1:11" ht="12" customHeight="1" x14ac:dyDescent="0.2">
      <c r="A69" s="123">
        <v>1993</v>
      </c>
      <c r="B69" s="31">
        <v>0</v>
      </c>
      <c r="C69" s="31">
        <v>43</v>
      </c>
      <c r="D69" s="31">
        <v>48</v>
      </c>
      <c r="E69" s="31">
        <v>140</v>
      </c>
      <c r="F69" s="31">
        <v>139</v>
      </c>
      <c r="G69" s="31">
        <v>142</v>
      </c>
      <c r="H69" s="31">
        <v>0</v>
      </c>
      <c r="I69" s="31">
        <v>0</v>
      </c>
      <c r="J69" s="31">
        <f t="shared" si="3"/>
        <v>512</v>
      </c>
      <c r="K69" s="31">
        <f t="shared" si="4"/>
        <v>512</v>
      </c>
    </row>
    <row r="70" spans="1:11" ht="12" customHeight="1" x14ac:dyDescent="0.2">
      <c r="A70" s="123">
        <v>1994</v>
      </c>
      <c r="B70" s="31">
        <v>0</v>
      </c>
      <c r="C70" s="31">
        <v>6</v>
      </c>
      <c r="D70" s="31">
        <v>27</v>
      </c>
      <c r="E70" s="31">
        <v>1</v>
      </c>
      <c r="F70" s="31">
        <v>0</v>
      </c>
      <c r="G70" s="31">
        <v>0</v>
      </c>
      <c r="H70" s="31">
        <v>0</v>
      </c>
      <c r="I70" s="31">
        <v>0</v>
      </c>
      <c r="J70" s="31">
        <f t="shared" si="3"/>
        <v>34</v>
      </c>
      <c r="K70" s="31">
        <f t="shared" si="4"/>
        <v>34</v>
      </c>
    </row>
    <row r="71" spans="1:11" ht="12" customHeight="1" x14ac:dyDescent="0.2">
      <c r="A71" s="123">
        <v>1995</v>
      </c>
      <c r="B71" s="31">
        <v>0</v>
      </c>
      <c r="C71" s="31">
        <v>5</v>
      </c>
      <c r="D71" s="31">
        <v>0</v>
      </c>
      <c r="E71" s="31">
        <v>1</v>
      </c>
      <c r="F71" s="31">
        <v>123</v>
      </c>
      <c r="G71" s="31">
        <v>0</v>
      </c>
      <c r="H71" s="31">
        <v>0</v>
      </c>
      <c r="I71" s="31">
        <v>0</v>
      </c>
      <c r="J71" s="31">
        <f t="shared" si="3"/>
        <v>129</v>
      </c>
      <c r="K71" s="31">
        <f t="shared" si="4"/>
        <v>129</v>
      </c>
    </row>
    <row r="72" spans="1:11" ht="12" customHeight="1" x14ac:dyDescent="0.2">
      <c r="A72" s="123">
        <v>1996</v>
      </c>
      <c r="B72" s="31">
        <v>1</v>
      </c>
      <c r="C72" s="31">
        <v>5</v>
      </c>
      <c r="D72" s="31">
        <v>13</v>
      </c>
      <c r="E72" s="31">
        <v>0</v>
      </c>
      <c r="F72" s="31">
        <v>53</v>
      </c>
      <c r="G72" s="31">
        <v>70</v>
      </c>
      <c r="H72" s="31" t="s">
        <v>29</v>
      </c>
      <c r="I72" s="31">
        <v>0</v>
      </c>
      <c r="J72" s="31">
        <f t="shared" si="3"/>
        <v>141</v>
      </c>
      <c r="K72" s="31">
        <f t="shared" si="4"/>
        <v>142</v>
      </c>
    </row>
    <row r="73" spans="1:11" ht="12" customHeight="1" x14ac:dyDescent="0.2">
      <c r="A73" s="123">
        <v>1997</v>
      </c>
      <c r="B73" s="31">
        <v>0</v>
      </c>
      <c r="C73" s="31">
        <v>8</v>
      </c>
      <c r="D73" s="31">
        <v>26</v>
      </c>
      <c r="E73" s="31">
        <v>0</v>
      </c>
      <c r="F73" s="31">
        <v>74</v>
      </c>
      <c r="G73" s="31">
        <v>40</v>
      </c>
      <c r="H73" s="31" t="s">
        <v>29</v>
      </c>
      <c r="I73" s="31">
        <v>0</v>
      </c>
      <c r="J73" s="31">
        <f t="shared" si="3"/>
        <v>148</v>
      </c>
      <c r="K73" s="31">
        <f t="shared" si="4"/>
        <v>148</v>
      </c>
    </row>
    <row r="74" spans="1:11" ht="12" customHeight="1" x14ac:dyDescent="0.2">
      <c r="A74" s="123">
        <v>1998</v>
      </c>
      <c r="B74" s="31">
        <v>0</v>
      </c>
      <c r="C74" s="31">
        <v>22</v>
      </c>
      <c r="D74" s="31">
        <v>15</v>
      </c>
      <c r="E74" s="31">
        <v>3</v>
      </c>
      <c r="F74" s="31">
        <v>19</v>
      </c>
      <c r="G74" s="31">
        <v>34</v>
      </c>
      <c r="H74" s="31" t="s">
        <v>29</v>
      </c>
      <c r="I74" s="31">
        <v>1</v>
      </c>
      <c r="J74" s="31">
        <f t="shared" si="3"/>
        <v>93</v>
      </c>
      <c r="K74" s="31">
        <f t="shared" si="4"/>
        <v>94</v>
      </c>
    </row>
    <row r="75" spans="1:11" ht="12" customHeight="1" x14ac:dyDescent="0.2">
      <c r="A75" s="123">
        <v>1999</v>
      </c>
      <c r="B75" s="31">
        <v>0</v>
      </c>
      <c r="C75" s="31">
        <v>23</v>
      </c>
      <c r="D75" s="31">
        <v>25</v>
      </c>
      <c r="E75" s="31">
        <v>5</v>
      </c>
      <c r="F75" s="31">
        <v>78</v>
      </c>
      <c r="G75" s="31">
        <v>69</v>
      </c>
      <c r="H75" s="31" t="s">
        <v>29</v>
      </c>
      <c r="I75" s="31">
        <v>0</v>
      </c>
      <c r="J75" s="31">
        <f t="shared" si="3"/>
        <v>200</v>
      </c>
      <c r="K75" s="31">
        <f t="shared" si="4"/>
        <v>200</v>
      </c>
    </row>
    <row r="76" spans="1:11" ht="12" customHeight="1" x14ac:dyDescent="0.2">
      <c r="A76" s="123">
        <v>2000</v>
      </c>
      <c r="B76" s="31">
        <v>0</v>
      </c>
      <c r="C76" s="31">
        <v>32</v>
      </c>
      <c r="D76" s="31">
        <v>23</v>
      </c>
      <c r="E76" s="31">
        <v>4</v>
      </c>
      <c r="F76" s="31">
        <v>38</v>
      </c>
      <c r="G76" s="31">
        <v>0</v>
      </c>
      <c r="H76" s="31" t="s">
        <v>29</v>
      </c>
      <c r="I76" s="31">
        <v>0</v>
      </c>
      <c r="J76" s="31">
        <f t="shared" si="3"/>
        <v>97</v>
      </c>
      <c r="K76" s="31">
        <f t="shared" si="4"/>
        <v>97</v>
      </c>
    </row>
    <row r="77" spans="1:11" ht="12" customHeight="1" x14ac:dyDescent="0.2">
      <c r="A77" s="123">
        <v>2001</v>
      </c>
      <c r="B77" s="31">
        <v>0</v>
      </c>
      <c r="C77" s="31">
        <v>11</v>
      </c>
      <c r="D77" s="31">
        <v>31</v>
      </c>
      <c r="E77" s="31">
        <v>74</v>
      </c>
      <c r="F77" s="31">
        <v>112</v>
      </c>
      <c r="G77" s="31">
        <v>79</v>
      </c>
      <c r="H77" s="31" t="s">
        <v>29</v>
      </c>
      <c r="I77" s="31">
        <v>0</v>
      </c>
      <c r="J77" s="31">
        <f t="shared" si="3"/>
        <v>307</v>
      </c>
      <c r="K77" s="31">
        <f t="shared" si="4"/>
        <v>307</v>
      </c>
    </row>
    <row r="78" spans="1:11" ht="12" customHeight="1" x14ac:dyDescent="0.2">
      <c r="A78" s="123">
        <v>2002</v>
      </c>
      <c r="B78" s="31">
        <v>1</v>
      </c>
      <c r="C78" s="31">
        <v>23</v>
      </c>
      <c r="D78" s="31">
        <v>29</v>
      </c>
      <c r="E78" s="31">
        <v>54</v>
      </c>
      <c r="F78" s="31">
        <v>44</v>
      </c>
      <c r="G78" s="31">
        <v>41</v>
      </c>
      <c r="H78" s="31" t="s">
        <v>29</v>
      </c>
      <c r="I78" s="31">
        <v>0</v>
      </c>
      <c r="J78" s="31">
        <f t="shared" si="3"/>
        <v>191</v>
      </c>
      <c r="K78" s="31">
        <f t="shared" si="4"/>
        <v>192</v>
      </c>
    </row>
    <row r="79" spans="1:11" ht="12" customHeight="1" x14ac:dyDescent="0.2">
      <c r="A79" s="123">
        <v>2003</v>
      </c>
      <c r="B79" s="31">
        <v>2</v>
      </c>
      <c r="C79" s="31">
        <v>21</v>
      </c>
      <c r="D79" s="31">
        <v>25</v>
      </c>
      <c r="E79" s="31">
        <v>61</v>
      </c>
      <c r="F79" s="31">
        <v>53</v>
      </c>
      <c r="G79" s="31">
        <v>40</v>
      </c>
      <c r="H79" s="31" t="s">
        <v>29</v>
      </c>
      <c r="I79" s="31">
        <v>0</v>
      </c>
      <c r="J79" s="31">
        <f t="shared" si="3"/>
        <v>200</v>
      </c>
      <c r="K79" s="31">
        <f t="shared" si="4"/>
        <v>202</v>
      </c>
    </row>
    <row r="80" spans="1:11" ht="12" customHeight="1" x14ac:dyDescent="0.2">
      <c r="A80" s="123">
        <v>2004</v>
      </c>
      <c r="B80" s="31">
        <v>0</v>
      </c>
      <c r="C80" s="31">
        <v>26</v>
      </c>
      <c r="D80" s="31">
        <v>37</v>
      </c>
      <c r="E80" s="31">
        <v>86</v>
      </c>
      <c r="F80" s="31">
        <v>78</v>
      </c>
      <c r="G80" s="31">
        <v>52</v>
      </c>
      <c r="H80" s="31" t="s">
        <v>29</v>
      </c>
      <c r="I80" s="31">
        <v>0</v>
      </c>
      <c r="J80" s="31">
        <f t="shared" si="3"/>
        <v>279</v>
      </c>
      <c r="K80" s="31">
        <f t="shared" si="4"/>
        <v>279</v>
      </c>
    </row>
    <row r="81" spans="1:11" ht="12" customHeight="1" x14ac:dyDescent="0.2">
      <c r="A81" s="123">
        <v>2005</v>
      </c>
      <c r="B81" s="31">
        <v>0</v>
      </c>
      <c r="C81" s="31">
        <v>67</v>
      </c>
      <c r="D81" s="31">
        <v>110</v>
      </c>
      <c r="E81" s="31">
        <v>78</v>
      </c>
      <c r="F81" s="31">
        <v>133</v>
      </c>
      <c r="G81" s="31">
        <v>67</v>
      </c>
      <c r="H81" s="31" t="s">
        <v>29</v>
      </c>
      <c r="I81" s="31">
        <v>0</v>
      </c>
      <c r="J81" s="31">
        <f t="shared" si="3"/>
        <v>455</v>
      </c>
      <c r="K81" s="31">
        <f t="shared" si="4"/>
        <v>455</v>
      </c>
    </row>
    <row r="82" spans="1:11" ht="12" customHeight="1" x14ac:dyDescent="0.2">
      <c r="A82" s="123">
        <v>2006</v>
      </c>
      <c r="B82" s="31">
        <v>1</v>
      </c>
      <c r="C82" s="31">
        <v>78</v>
      </c>
      <c r="D82" s="31">
        <v>118</v>
      </c>
      <c r="E82" s="31">
        <v>138</v>
      </c>
      <c r="F82" s="31">
        <v>112</v>
      </c>
      <c r="G82" s="31">
        <v>101</v>
      </c>
      <c r="H82" s="31" t="s">
        <v>29</v>
      </c>
      <c r="I82" s="31">
        <v>2</v>
      </c>
      <c r="J82" s="31">
        <f t="shared" si="3"/>
        <v>547</v>
      </c>
      <c r="K82" s="31">
        <f t="shared" si="4"/>
        <v>550</v>
      </c>
    </row>
    <row r="83" spans="1:11" s="461" customFormat="1" ht="12" customHeight="1" x14ac:dyDescent="0.2">
      <c r="A83" s="123">
        <v>2007</v>
      </c>
      <c r="B83" s="52">
        <v>0</v>
      </c>
      <c r="C83" s="52">
        <v>13</v>
      </c>
      <c r="D83" s="52">
        <v>161</v>
      </c>
      <c r="E83" s="52">
        <v>135</v>
      </c>
      <c r="F83" s="52">
        <v>125</v>
      </c>
      <c r="G83" s="52">
        <v>4</v>
      </c>
      <c r="H83" s="31" t="s">
        <v>29</v>
      </c>
      <c r="I83" s="52">
        <v>0</v>
      </c>
      <c r="J83" s="52">
        <f t="shared" si="3"/>
        <v>438</v>
      </c>
      <c r="K83" s="52">
        <f t="shared" si="4"/>
        <v>438</v>
      </c>
    </row>
    <row r="84" spans="1:11" s="461" customFormat="1" ht="12" customHeight="1" x14ac:dyDescent="0.2">
      <c r="A84" s="122">
        <v>2008</v>
      </c>
      <c r="B84" s="52">
        <v>2</v>
      </c>
      <c r="C84" s="52">
        <v>14</v>
      </c>
      <c r="D84" s="52">
        <v>74</v>
      </c>
      <c r="E84" s="52">
        <v>30</v>
      </c>
      <c r="F84" s="52">
        <v>83</v>
      </c>
      <c r="G84" s="52">
        <v>74</v>
      </c>
      <c r="H84" s="52" t="s">
        <v>29</v>
      </c>
      <c r="I84" s="52">
        <v>0</v>
      </c>
      <c r="J84" s="52">
        <f t="shared" si="3"/>
        <v>275</v>
      </c>
      <c r="K84" s="52">
        <f t="shared" si="4"/>
        <v>277</v>
      </c>
    </row>
    <row r="85" spans="1:11" s="461" customFormat="1" ht="12" customHeight="1" x14ac:dyDescent="0.2">
      <c r="A85" s="122">
        <v>2009</v>
      </c>
      <c r="B85" s="52">
        <v>0</v>
      </c>
      <c r="C85" s="52">
        <v>26</v>
      </c>
      <c r="D85" s="52">
        <v>27</v>
      </c>
      <c r="E85" s="52">
        <v>122</v>
      </c>
      <c r="F85" s="52">
        <v>110</v>
      </c>
      <c r="G85" s="52">
        <v>0</v>
      </c>
      <c r="H85" s="52" t="s">
        <v>29</v>
      </c>
      <c r="I85" s="52">
        <v>0</v>
      </c>
      <c r="J85" s="52">
        <f t="shared" si="3"/>
        <v>285</v>
      </c>
      <c r="K85" s="52">
        <f t="shared" si="4"/>
        <v>285</v>
      </c>
    </row>
    <row r="86" spans="1:11" s="461" customFormat="1" ht="12" customHeight="1" x14ac:dyDescent="0.2">
      <c r="A86" s="122">
        <v>2010</v>
      </c>
      <c r="B86" s="52">
        <v>0</v>
      </c>
      <c r="C86" s="52">
        <v>5</v>
      </c>
      <c r="D86" s="52">
        <v>94</v>
      </c>
      <c r="E86" s="52">
        <v>63</v>
      </c>
      <c r="F86" s="52">
        <v>99</v>
      </c>
      <c r="G86" s="52">
        <v>41</v>
      </c>
      <c r="H86" s="52" t="s">
        <v>29</v>
      </c>
      <c r="I86" s="52">
        <v>0</v>
      </c>
      <c r="J86" s="52">
        <f t="shared" si="3"/>
        <v>302</v>
      </c>
      <c r="K86" s="52">
        <f t="shared" si="4"/>
        <v>302</v>
      </c>
    </row>
    <row r="87" spans="1:11" s="461" customFormat="1" ht="12" customHeight="1" x14ac:dyDescent="0.2">
      <c r="A87" s="122">
        <v>2011</v>
      </c>
      <c r="B87" s="31">
        <v>0</v>
      </c>
      <c r="C87" s="31">
        <v>24</v>
      </c>
      <c r="D87" s="31">
        <v>130</v>
      </c>
      <c r="E87" s="31">
        <v>122</v>
      </c>
      <c r="F87" s="31">
        <v>95</v>
      </c>
      <c r="G87" s="31">
        <v>21</v>
      </c>
      <c r="H87" s="31" t="s">
        <v>29</v>
      </c>
      <c r="I87" s="31">
        <v>0</v>
      </c>
      <c r="J87" s="31">
        <f t="shared" si="3"/>
        <v>392</v>
      </c>
      <c r="K87" s="31">
        <f t="shared" si="4"/>
        <v>392</v>
      </c>
    </row>
    <row r="88" spans="1:11" s="461" customFormat="1" ht="12" customHeight="1" x14ac:dyDescent="0.2">
      <c r="A88" s="122">
        <v>2012</v>
      </c>
      <c r="B88" s="52">
        <v>0</v>
      </c>
      <c r="C88" s="52">
        <v>56</v>
      </c>
      <c r="D88" s="52">
        <v>175</v>
      </c>
      <c r="E88" s="52">
        <v>134</v>
      </c>
      <c r="F88" s="52">
        <v>190</v>
      </c>
      <c r="G88" s="52">
        <v>94</v>
      </c>
      <c r="H88" s="52" t="s">
        <v>29</v>
      </c>
      <c r="I88" s="52">
        <v>0</v>
      </c>
      <c r="J88" s="52">
        <f t="shared" si="3"/>
        <v>649</v>
      </c>
      <c r="K88" s="52">
        <f t="shared" si="4"/>
        <v>649</v>
      </c>
    </row>
    <row r="89" spans="1:11" s="461" customFormat="1" ht="12" customHeight="1" x14ac:dyDescent="0.2">
      <c r="A89" s="122">
        <v>2013</v>
      </c>
      <c r="B89" s="52">
        <v>0</v>
      </c>
      <c r="C89" s="52">
        <v>131</v>
      </c>
      <c r="D89" s="52">
        <v>106</v>
      </c>
      <c r="E89" s="52">
        <v>270</v>
      </c>
      <c r="F89" s="52">
        <v>495</v>
      </c>
      <c r="G89" s="52">
        <v>107</v>
      </c>
      <c r="H89" s="52" t="s">
        <v>29</v>
      </c>
      <c r="I89" s="52">
        <v>0</v>
      </c>
      <c r="J89" s="52">
        <f t="shared" si="3"/>
        <v>1109</v>
      </c>
      <c r="K89" s="52">
        <f t="shared" si="4"/>
        <v>1109</v>
      </c>
    </row>
    <row r="90" spans="1:11" s="461" customFormat="1" ht="12" customHeight="1" x14ac:dyDescent="0.2">
      <c r="A90" s="122">
        <v>2014</v>
      </c>
      <c r="B90" s="52">
        <v>0</v>
      </c>
      <c r="C90" s="52">
        <v>103</v>
      </c>
      <c r="D90" s="52">
        <v>62</v>
      </c>
      <c r="E90" s="52">
        <v>141</v>
      </c>
      <c r="F90" s="52">
        <v>137</v>
      </c>
      <c r="G90" s="52">
        <v>36</v>
      </c>
      <c r="H90" s="52" t="s">
        <v>29</v>
      </c>
      <c r="I90" s="52">
        <v>0</v>
      </c>
      <c r="J90" s="52">
        <f t="shared" si="3"/>
        <v>479</v>
      </c>
      <c r="K90" s="52">
        <f t="shared" si="4"/>
        <v>479</v>
      </c>
    </row>
    <row r="91" spans="1:11" s="461" customFormat="1" ht="12" customHeight="1" x14ac:dyDescent="0.2">
      <c r="A91" s="122">
        <v>2015</v>
      </c>
      <c r="B91" s="52">
        <v>0</v>
      </c>
      <c r="C91" s="52">
        <v>24</v>
      </c>
      <c r="D91" s="52">
        <v>173</v>
      </c>
      <c r="E91" s="52">
        <v>143</v>
      </c>
      <c r="F91" s="52">
        <v>85</v>
      </c>
      <c r="G91" s="52">
        <v>22</v>
      </c>
      <c r="H91" s="52" t="s">
        <v>29</v>
      </c>
      <c r="I91" s="52">
        <v>0</v>
      </c>
      <c r="J91" s="52">
        <f t="shared" si="3"/>
        <v>447</v>
      </c>
      <c r="K91" s="52">
        <f t="shared" si="4"/>
        <v>447</v>
      </c>
    </row>
    <row r="92" spans="1:11" s="461" customFormat="1" ht="12" customHeight="1" x14ac:dyDescent="0.2">
      <c r="A92" s="122">
        <v>2016</v>
      </c>
      <c r="B92" s="52">
        <v>0</v>
      </c>
      <c r="C92" s="52">
        <v>12</v>
      </c>
      <c r="D92" s="52">
        <v>171</v>
      </c>
      <c r="E92" s="52">
        <v>105</v>
      </c>
      <c r="F92" s="52">
        <v>57</v>
      </c>
      <c r="G92" s="52">
        <v>0</v>
      </c>
      <c r="H92" s="52" t="s">
        <v>29</v>
      </c>
      <c r="I92" s="52">
        <v>0</v>
      </c>
      <c r="J92" s="52">
        <f t="shared" si="3"/>
        <v>345</v>
      </c>
      <c r="K92" s="52">
        <f t="shared" si="4"/>
        <v>345</v>
      </c>
    </row>
    <row r="93" spans="1:11" s="461" customFormat="1" ht="12" customHeight="1" x14ac:dyDescent="0.2">
      <c r="A93" s="122">
        <v>2017</v>
      </c>
      <c r="B93" s="52">
        <v>0</v>
      </c>
      <c r="C93" s="52">
        <v>15</v>
      </c>
      <c r="D93" s="52">
        <v>29</v>
      </c>
      <c r="E93" s="52">
        <v>293</v>
      </c>
      <c r="F93" s="52">
        <v>320</v>
      </c>
      <c r="G93" s="52">
        <v>139</v>
      </c>
      <c r="H93" s="52" t="s">
        <v>29</v>
      </c>
      <c r="I93" s="52">
        <v>0</v>
      </c>
      <c r="J93" s="52">
        <f t="shared" si="3"/>
        <v>796</v>
      </c>
      <c r="K93" s="52">
        <f>SUM(B93:I93)</f>
        <v>796</v>
      </c>
    </row>
    <row r="94" spans="1:11" s="461" customFormat="1" ht="12" customHeight="1" x14ac:dyDescent="0.2">
      <c r="A94" s="122">
        <v>2018</v>
      </c>
      <c r="B94" s="52">
        <v>0</v>
      </c>
      <c r="C94" s="52">
        <v>21</v>
      </c>
      <c r="D94" s="52">
        <v>133</v>
      </c>
      <c r="E94" s="52">
        <v>185</v>
      </c>
      <c r="F94" s="52">
        <v>108</v>
      </c>
      <c r="G94" s="52">
        <v>80</v>
      </c>
      <c r="H94" s="52" t="s">
        <v>29</v>
      </c>
      <c r="I94" s="52">
        <v>0</v>
      </c>
      <c r="J94" s="52">
        <f>SUM(C94:G94)</f>
        <v>527</v>
      </c>
      <c r="K94" s="52">
        <f>SUM(B94:I94)</f>
        <v>527</v>
      </c>
    </row>
    <row r="95" spans="1:11" s="487" customFormat="1" ht="12" customHeight="1" x14ac:dyDescent="0.2">
      <c r="A95" s="122">
        <v>2019</v>
      </c>
      <c r="B95" s="52">
        <v>0</v>
      </c>
      <c r="C95" s="52">
        <v>11</v>
      </c>
      <c r="D95" s="52">
        <v>36</v>
      </c>
      <c r="E95" s="52">
        <v>327</v>
      </c>
      <c r="F95" s="52">
        <v>255</v>
      </c>
      <c r="G95" s="52">
        <v>105</v>
      </c>
      <c r="H95" s="52" t="s">
        <v>29</v>
      </c>
      <c r="I95" s="52">
        <v>0</v>
      </c>
      <c r="J95" s="52">
        <f t="shared" ref="J95" si="5">SUM(C95:G95)</f>
        <v>734</v>
      </c>
      <c r="K95" s="52">
        <f>SUM(B95:I95)</f>
        <v>734</v>
      </c>
    </row>
    <row r="96" spans="1:11" ht="12" customHeight="1" x14ac:dyDescent="0.2">
      <c r="A96" s="122" t="s">
        <v>392</v>
      </c>
      <c r="B96" s="31">
        <v>0</v>
      </c>
      <c r="C96" s="31">
        <v>0</v>
      </c>
      <c r="D96" s="31">
        <v>0</v>
      </c>
      <c r="E96" s="31">
        <v>13</v>
      </c>
      <c r="F96" s="31">
        <v>101</v>
      </c>
      <c r="G96" s="31">
        <v>27</v>
      </c>
      <c r="H96" s="52" t="s">
        <v>29</v>
      </c>
      <c r="I96" s="52">
        <v>0</v>
      </c>
      <c r="J96" s="31">
        <v>141</v>
      </c>
      <c r="K96" s="52">
        <v>141</v>
      </c>
    </row>
    <row r="97" spans="1:11" ht="12" customHeight="1" x14ac:dyDescent="0.2">
      <c r="A97" s="123"/>
      <c r="B97" s="195"/>
      <c r="C97" s="66"/>
      <c r="D97" s="66"/>
      <c r="E97" s="66"/>
      <c r="F97" s="66"/>
      <c r="G97" s="66"/>
      <c r="H97" s="66"/>
      <c r="I97" s="66"/>
      <c r="J97" s="66"/>
      <c r="K97" s="66"/>
    </row>
    <row r="98" spans="1:11" ht="12" customHeight="1" x14ac:dyDescent="0.2">
      <c r="A98" s="228" t="s">
        <v>296</v>
      </c>
      <c r="B98" s="229"/>
      <c r="C98" s="66"/>
      <c r="D98" s="66"/>
      <c r="E98" s="66"/>
      <c r="F98" s="66"/>
      <c r="G98" s="66"/>
      <c r="H98" s="66"/>
      <c r="I98" s="66"/>
      <c r="J98" s="66"/>
      <c r="K98" s="66"/>
    </row>
    <row r="99" spans="1:11" ht="12" customHeight="1" x14ac:dyDescent="0.2">
      <c r="A99" s="123">
        <v>1976</v>
      </c>
      <c r="B99" s="31">
        <v>0</v>
      </c>
      <c r="C99" s="31">
        <v>2</v>
      </c>
      <c r="D99" s="31">
        <v>36</v>
      </c>
      <c r="E99" s="31">
        <v>62</v>
      </c>
      <c r="F99" s="31">
        <v>35</v>
      </c>
      <c r="G99" s="31">
        <v>14</v>
      </c>
      <c r="H99" s="31">
        <v>0</v>
      </c>
      <c r="I99" s="31">
        <v>0</v>
      </c>
      <c r="J99" s="31">
        <f t="shared" ref="J99:J143" si="6">SUM(C99:G99)</f>
        <v>149</v>
      </c>
      <c r="K99" s="31">
        <f t="shared" ref="K99:K143" si="7">SUM(B99:I99)</f>
        <v>149</v>
      </c>
    </row>
    <row r="100" spans="1:11" ht="12" customHeight="1" x14ac:dyDescent="0.2">
      <c r="A100" s="123">
        <v>1977</v>
      </c>
      <c r="B100" s="31">
        <v>0</v>
      </c>
      <c r="C100" s="31">
        <v>5</v>
      </c>
      <c r="D100" s="31">
        <v>16</v>
      </c>
      <c r="E100" s="31">
        <v>71</v>
      </c>
      <c r="F100" s="31">
        <v>65</v>
      </c>
      <c r="G100" s="31">
        <v>18</v>
      </c>
      <c r="H100" s="31">
        <v>0</v>
      </c>
      <c r="I100" s="31">
        <v>0</v>
      </c>
      <c r="J100" s="31">
        <f t="shared" si="6"/>
        <v>175</v>
      </c>
      <c r="K100" s="31">
        <f t="shared" si="7"/>
        <v>175</v>
      </c>
    </row>
    <row r="101" spans="1:11" ht="12" customHeight="1" x14ac:dyDescent="0.2">
      <c r="A101" s="123">
        <v>1978</v>
      </c>
      <c r="B101" s="31">
        <v>0</v>
      </c>
      <c r="C101" s="31">
        <v>12</v>
      </c>
      <c r="D101" s="31">
        <v>30</v>
      </c>
      <c r="E101" s="31">
        <v>28</v>
      </c>
      <c r="F101" s="31">
        <v>27</v>
      </c>
      <c r="G101" s="31">
        <v>10</v>
      </c>
      <c r="H101" s="31">
        <v>0</v>
      </c>
      <c r="I101" s="31">
        <v>0</v>
      </c>
      <c r="J101" s="31">
        <f t="shared" si="6"/>
        <v>107</v>
      </c>
      <c r="K101" s="31">
        <f t="shared" si="7"/>
        <v>107</v>
      </c>
    </row>
    <row r="102" spans="1:11" ht="12" customHeight="1" x14ac:dyDescent="0.2">
      <c r="A102" s="123">
        <v>1979</v>
      </c>
      <c r="B102" s="31">
        <v>0</v>
      </c>
      <c r="C102" s="31">
        <v>19</v>
      </c>
      <c r="D102" s="31">
        <v>39</v>
      </c>
      <c r="E102" s="31">
        <v>51</v>
      </c>
      <c r="F102" s="31">
        <v>60</v>
      </c>
      <c r="G102" s="31">
        <v>0</v>
      </c>
      <c r="H102" s="31">
        <v>0</v>
      </c>
      <c r="I102" s="31">
        <v>0</v>
      </c>
      <c r="J102" s="31">
        <f t="shared" si="6"/>
        <v>169</v>
      </c>
      <c r="K102" s="31">
        <f t="shared" si="7"/>
        <v>169</v>
      </c>
    </row>
    <row r="103" spans="1:11" ht="12" customHeight="1" x14ac:dyDescent="0.2">
      <c r="A103" s="123">
        <v>1980</v>
      </c>
      <c r="B103" s="31">
        <v>0</v>
      </c>
      <c r="C103" s="31">
        <v>30</v>
      </c>
      <c r="D103" s="31">
        <v>63</v>
      </c>
      <c r="E103" s="31">
        <v>59</v>
      </c>
      <c r="F103" s="31">
        <v>28</v>
      </c>
      <c r="G103" s="31">
        <v>0</v>
      </c>
      <c r="H103" s="31">
        <v>0</v>
      </c>
      <c r="I103" s="31">
        <v>0</v>
      </c>
      <c r="J103" s="31">
        <f t="shared" si="6"/>
        <v>180</v>
      </c>
      <c r="K103" s="31">
        <f t="shared" si="7"/>
        <v>180</v>
      </c>
    </row>
    <row r="104" spans="1:11" ht="12" customHeight="1" x14ac:dyDescent="0.2">
      <c r="A104" s="123">
        <v>1981</v>
      </c>
      <c r="B104" s="31">
        <v>0</v>
      </c>
      <c r="C104" s="31">
        <v>26</v>
      </c>
      <c r="D104" s="31">
        <v>47</v>
      </c>
      <c r="E104" s="31">
        <v>97</v>
      </c>
      <c r="F104" s="31">
        <v>50</v>
      </c>
      <c r="G104" s="31">
        <v>62</v>
      </c>
      <c r="H104" s="31">
        <v>0</v>
      </c>
      <c r="I104" s="31">
        <v>0</v>
      </c>
      <c r="J104" s="31">
        <f t="shared" si="6"/>
        <v>282</v>
      </c>
      <c r="K104" s="31">
        <f t="shared" si="7"/>
        <v>282</v>
      </c>
    </row>
    <row r="105" spans="1:11" ht="12" customHeight="1" x14ac:dyDescent="0.2">
      <c r="A105" s="123">
        <v>1982</v>
      </c>
      <c r="B105" s="31">
        <v>0</v>
      </c>
      <c r="C105" s="31">
        <v>6</v>
      </c>
      <c r="D105" s="31">
        <v>27</v>
      </c>
      <c r="E105" s="31">
        <v>44</v>
      </c>
      <c r="F105" s="31">
        <v>101</v>
      </c>
      <c r="G105" s="31">
        <v>33</v>
      </c>
      <c r="H105" s="31" t="s">
        <v>29</v>
      </c>
      <c r="I105" s="31" t="s">
        <v>29</v>
      </c>
      <c r="J105" s="31">
        <f t="shared" si="6"/>
        <v>211</v>
      </c>
      <c r="K105" s="31">
        <f t="shared" si="7"/>
        <v>211</v>
      </c>
    </row>
    <row r="106" spans="1:11" ht="12" customHeight="1" x14ac:dyDescent="0.2">
      <c r="A106" s="123">
        <v>1983</v>
      </c>
      <c r="B106" s="31">
        <v>0</v>
      </c>
      <c r="C106" s="31">
        <v>15</v>
      </c>
      <c r="D106" s="31">
        <v>40</v>
      </c>
      <c r="E106" s="31">
        <v>75</v>
      </c>
      <c r="F106" s="31">
        <v>97</v>
      </c>
      <c r="G106" s="31">
        <v>0</v>
      </c>
      <c r="H106" s="31" t="s">
        <v>29</v>
      </c>
      <c r="I106" s="31" t="s">
        <v>29</v>
      </c>
      <c r="J106" s="31">
        <f t="shared" si="6"/>
        <v>227</v>
      </c>
      <c r="K106" s="31">
        <f t="shared" si="7"/>
        <v>227</v>
      </c>
    </row>
    <row r="107" spans="1:11" ht="12" customHeight="1" x14ac:dyDescent="0.2">
      <c r="A107" s="123">
        <v>1984</v>
      </c>
      <c r="B107" s="31">
        <v>0</v>
      </c>
      <c r="C107" s="31">
        <v>1</v>
      </c>
      <c r="D107" s="31">
        <v>1</v>
      </c>
      <c r="E107" s="31">
        <v>30</v>
      </c>
      <c r="F107" s="31">
        <v>88</v>
      </c>
      <c r="G107" s="31">
        <v>0</v>
      </c>
      <c r="H107" s="31" t="s">
        <v>29</v>
      </c>
      <c r="I107" s="31" t="s">
        <v>29</v>
      </c>
      <c r="J107" s="31">
        <f t="shared" si="6"/>
        <v>120</v>
      </c>
      <c r="K107" s="31">
        <f t="shared" si="7"/>
        <v>120</v>
      </c>
    </row>
    <row r="108" spans="1:11" ht="12" customHeight="1" x14ac:dyDescent="0.2">
      <c r="A108" s="123">
        <v>1985</v>
      </c>
      <c r="B108" s="31">
        <v>0</v>
      </c>
      <c r="C108" s="31">
        <v>1</v>
      </c>
      <c r="D108" s="31">
        <v>16</v>
      </c>
      <c r="E108" s="31">
        <v>182</v>
      </c>
      <c r="F108" s="31">
        <v>130</v>
      </c>
      <c r="G108" s="31">
        <v>48</v>
      </c>
      <c r="H108" s="31" t="s">
        <v>29</v>
      </c>
      <c r="I108" s="31" t="s">
        <v>29</v>
      </c>
      <c r="J108" s="31">
        <f t="shared" si="6"/>
        <v>377</v>
      </c>
      <c r="K108" s="31">
        <f t="shared" si="7"/>
        <v>377</v>
      </c>
    </row>
    <row r="109" spans="1:11" ht="12" customHeight="1" x14ac:dyDescent="0.2">
      <c r="A109" s="123">
        <v>1986</v>
      </c>
      <c r="B109" s="31">
        <v>0</v>
      </c>
      <c r="C109" s="31">
        <v>11</v>
      </c>
      <c r="D109" s="31">
        <v>137</v>
      </c>
      <c r="E109" s="31">
        <v>165</v>
      </c>
      <c r="F109" s="31">
        <v>50</v>
      </c>
      <c r="G109" s="31">
        <v>0</v>
      </c>
      <c r="H109" s="31" t="s">
        <v>29</v>
      </c>
      <c r="I109" s="31" t="s">
        <v>29</v>
      </c>
      <c r="J109" s="31">
        <f t="shared" si="6"/>
        <v>363</v>
      </c>
      <c r="K109" s="31">
        <f t="shared" si="7"/>
        <v>363</v>
      </c>
    </row>
    <row r="110" spans="1:11" ht="12" customHeight="1" x14ac:dyDescent="0.2">
      <c r="A110" s="123">
        <v>1987</v>
      </c>
      <c r="B110" s="31">
        <v>0</v>
      </c>
      <c r="C110" s="31">
        <v>13</v>
      </c>
      <c r="D110" s="31">
        <v>0</v>
      </c>
      <c r="E110" s="31">
        <v>92</v>
      </c>
      <c r="F110" s="31">
        <v>270</v>
      </c>
      <c r="G110" s="31">
        <v>0</v>
      </c>
      <c r="H110" s="31" t="s">
        <v>29</v>
      </c>
      <c r="I110" s="31" t="s">
        <v>29</v>
      </c>
      <c r="J110" s="31">
        <f t="shared" si="6"/>
        <v>375</v>
      </c>
      <c r="K110" s="31">
        <f t="shared" si="7"/>
        <v>375</v>
      </c>
    </row>
    <row r="111" spans="1:11" ht="12" customHeight="1" x14ac:dyDescent="0.2">
      <c r="A111" s="123">
        <v>1988</v>
      </c>
      <c r="B111" s="31">
        <v>0</v>
      </c>
      <c r="C111" s="31">
        <v>49</v>
      </c>
      <c r="D111" s="31">
        <v>32</v>
      </c>
      <c r="E111" s="31">
        <v>47</v>
      </c>
      <c r="F111" s="31">
        <v>69</v>
      </c>
      <c r="G111" s="31">
        <v>13</v>
      </c>
      <c r="H111" s="31" t="s">
        <v>29</v>
      </c>
      <c r="I111" s="31" t="s">
        <v>29</v>
      </c>
      <c r="J111" s="31">
        <f t="shared" si="6"/>
        <v>210</v>
      </c>
      <c r="K111" s="31">
        <f t="shared" si="7"/>
        <v>210</v>
      </c>
    </row>
    <row r="112" spans="1:11" ht="12" customHeight="1" x14ac:dyDescent="0.2">
      <c r="A112" s="123">
        <v>1989</v>
      </c>
      <c r="B112" s="31">
        <v>0</v>
      </c>
      <c r="C112" s="31">
        <v>9</v>
      </c>
      <c r="D112" s="31">
        <v>7</v>
      </c>
      <c r="E112" s="31">
        <v>109</v>
      </c>
      <c r="F112" s="31">
        <v>91</v>
      </c>
      <c r="G112" s="31">
        <v>90</v>
      </c>
      <c r="H112" s="31" t="s">
        <v>29</v>
      </c>
      <c r="I112" s="31" t="s">
        <v>29</v>
      </c>
      <c r="J112" s="31">
        <f t="shared" si="6"/>
        <v>306</v>
      </c>
      <c r="K112" s="31">
        <f t="shared" si="7"/>
        <v>306</v>
      </c>
    </row>
    <row r="113" spans="1:11" ht="12" customHeight="1" x14ac:dyDescent="0.2">
      <c r="A113" s="123">
        <v>1990</v>
      </c>
      <c r="B113" s="31">
        <v>0</v>
      </c>
      <c r="C113" s="31">
        <v>23</v>
      </c>
      <c r="D113" s="31">
        <v>18</v>
      </c>
      <c r="E113" s="31">
        <v>182</v>
      </c>
      <c r="F113" s="31">
        <v>271</v>
      </c>
      <c r="G113" s="31">
        <v>83</v>
      </c>
      <c r="H113" s="31" t="s">
        <v>29</v>
      </c>
      <c r="I113" s="31" t="s">
        <v>29</v>
      </c>
      <c r="J113" s="31">
        <f t="shared" si="6"/>
        <v>577</v>
      </c>
      <c r="K113" s="31">
        <f t="shared" si="7"/>
        <v>577</v>
      </c>
    </row>
    <row r="114" spans="1:11" ht="12" customHeight="1" x14ac:dyDescent="0.2">
      <c r="A114" s="123">
        <v>1991</v>
      </c>
      <c r="B114" s="31">
        <v>0</v>
      </c>
      <c r="C114" s="31">
        <v>13</v>
      </c>
      <c r="D114" s="31">
        <v>13</v>
      </c>
      <c r="E114" s="31">
        <v>81</v>
      </c>
      <c r="F114" s="31">
        <v>299</v>
      </c>
      <c r="G114" s="31">
        <v>0</v>
      </c>
      <c r="H114" s="31" t="s">
        <v>29</v>
      </c>
      <c r="I114" s="31" t="s">
        <v>29</v>
      </c>
      <c r="J114" s="31">
        <f t="shared" si="6"/>
        <v>406</v>
      </c>
      <c r="K114" s="31">
        <f t="shared" si="7"/>
        <v>406</v>
      </c>
    </row>
    <row r="115" spans="1:11" ht="12" customHeight="1" x14ac:dyDescent="0.2">
      <c r="A115" s="123">
        <v>1992</v>
      </c>
      <c r="B115" s="31">
        <v>0</v>
      </c>
      <c r="C115" s="31">
        <v>0</v>
      </c>
      <c r="D115" s="31">
        <v>3</v>
      </c>
      <c r="E115" s="31">
        <v>96</v>
      </c>
      <c r="F115" s="31">
        <v>89</v>
      </c>
      <c r="G115" s="31">
        <v>0</v>
      </c>
      <c r="H115" s="31" t="s">
        <v>29</v>
      </c>
      <c r="I115" s="31" t="s">
        <v>29</v>
      </c>
      <c r="J115" s="31">
        <f t="shared" si="6"/>
        <v>188</v>
      </c>
      <c r="K115" s="31">
        <f t="shared" si="7"/>
        <v>188</v>
      </c>
    </row>
    <row r="116" spans="1:11" ht="12" customHeight="1" x14ac:dyDescent="0.2">
      <c r="A116" s="123">
        <v>1993</v>
      </c>
      <c r="B116" s="31">
        <v>0</v>
      </c>
      <c r="C116" s="31">
        <v>1</v>
      </c>
      <c r="D116" s="31">
        <v>2</v>
      </c>
      <c r="E116" s="31">
        <v>43</v>
      </c>
      <c r="F116" s="31">
        <v>97</v>
      </c>
      <c r="G116" s="31">
        <v>27</v>
      </c>
      <c r="H116" s="31" t="s">
        <v>29</v>
      </c>
      <c r="I116" s="31" t="s">
        <v>29</v>
      </c>
      <c r="J116" s="31">
        <f t="shared" si="6"/>
        <v>170</v>
      </c>
      <c r="K116" s="31">
        <f t="shared" si="7"/>
        <v>170</v>
      </c>
    </row>
    <row r="117" spans="1:11" ht="12" customHeight="1" x14ac:dyDescent="0.2">
      <c r="A117" s="123">
        <v>1994</v>
      </c>
      <c r="B117" s="31">
        <v>0</v>
      </c>
      <c r="C117" s="31">
        <v>3</v>
      </c>
      <c r="D117" s="31">
        <v>17</v>
      </c>
      <c r="E117" s="31">
        <v>1</v>
      </c>
      <c r="F117" s="31">
        <v>0</v>
      </c>
      <c r="G117" s="31">
        <v>0</v>
      </c>
      <c r="H117" s="31" t="s">
        <v>29</v>
      </c>
      <c r="I117" s="31" t="s">
        <v>29</v>
      </c>
      <c r="J117" s="31">
        <f t="shared" si="6"/>
        <v>21</v>
      </c>
      <c r="K117" s="31">
        <f t="shared" si="7"/>
        <v>21</v>
      </c>
    </row>
    <row r="118" spans="1:11" ht="12" customHeight="1" x14ac:dyDescent="0.2">
      <c r="A118" s="123">
        <v>1995</v>
      </c>
      <c r="B118" s="31">
        <v>0</v>
      </c>
      <c r="C118" s="31">
        <v>0</v>
      </c>
      <c r="D118" s="31">
        <v>0</v>
      </c>
      <c r="E118" s="31">
        <v>0</v>
      </c>
      <c r="F118" s="31">
        <v>14</v>
      </c>
      <c r="G118" s="31">
        <v>0</v>
      </c>
      <c r="H118" s="31" t="s">
        <v>29</v>
      </c>
      <c r="I118" s="31" t="s">
        <v>29</v>
      </c>
      <c r="J118" s="31">
        <f t="shared" si="6"/>
        <v>14</v>
      </c>
      <c r="K118" s="31">
        <f t="shared" si="7"/>
        <v>14</v>
      </c>
    </row>
    <row r="119" spans="1:11" ht="12" customHeight="1" x14ac:dyDescent="0.2">
      <c r="A119" s="123">
        <v>1996</v>
      </c>
      <c r="B119" s="31">
        <v>0</v>
      </c>
      <c r="C119" s="31">
        <v>0</v>
      </c>
      <c r="D119" s="31">
        <v>0</v>
      </c>
      <c r="E119" s="31">
        <v>0</v>
      </c>
      <c r="F119" s="31">
        <v>6</v>
      </c>
      <c r="G119" s="31">
        <v>10</v>
      </c>
      <c r="H119" s="31" t="s">
        <v>29</v>
      </c>
      <c r="I119" s="31" t="s">
        <v>29</v>
      </c>
      <c r="J119" s="31">
        <f t="shared" si="6"/>
        <v>16</v>
      </c>
      <c r="K119" s="31">
        <f t="shared" si="7"/>
        <v>16</v>
      </c>
    </row>
    <row r="120" spans="1:11" ht="12" customHeight="1" x14ac:dyDescent="0.2">
      <c r="A120" s="123">
        <v>1997</v>
      </c>
      <c r="B120" s="31">
        <v>0</v>
      </c>
      <c r="C120" s="31">
        <v>0</v>
      </c>
      <c r="D120" s="31">
        <v>0</v>
      </c>
      <c r="E120" s="31">
        <v>0</v>
      </c>
      <c r="F120" s="31">
        <v>0</v>
      </c>
      <c r="G120" s="31">
        <v>0</v>
      </c>
      <c r="H120" s="31" t="s">
        <v>29</v>
      </c>
      <c r="I120" s="31" t="s">
        <v>29</v>
      </c>
      <c r="J120" s="31">
        <f t="shared" si="6"/>
        <v>0</v>
      </c>
      <c r="K120" s="31">
        <f t="shared" si="7"/>
        <v>0</v>
      </c>
    </row>
    <row r="121" spans="1:11" ht="12" customHeight="1" x14ac:dyDescent="0.2">
      <c r="A121" s="123">
        <v>1998</v>
      </c>
      <c r="B121" s="31">
        <v>0</v>
      </c>
      <c r="C121" s="31">
        <v>0</v>
      </c>
      <c r="D121" s="31">
        <v>1</v>
      </c>
      <c r="E121" s="31">
        <v>0</v>
      </c>
      <c r="F121" s="31">
        <v>7</v>
      </c>
      <c r="G121" s="31">
        <v>0</v>
      </c>
      <c r="H121" s="31" t="s">
        <v>29</v>
      </c>
      <c r="I121" s="31" t="s">
        <v>29</v>
      </c>
      <c r="J121" s="31">
        <f t="shared" si="6"/>
        <v>8</v>
      </c>
      <c r="K121" s="31">
        <f t="shared" si="7"/>
        <v>8</v>
      </c>
    </row>
    <row r="122" spans="1:11" ht="12" customHeight="1" x14ac:dyDescent="0.2">
      <c r="A122" s="123">
        <v>1999</v>
      </c>
      <c r="B122" s="31">
        <v>0</v>
      </c>
      <c r="C122" s="31">
        <v>0</v>
      </c>
      <c r="D122" s="31">
        <v>2</v>
      </c>
      <c r="E122" s="31">
        <v>0</v>
      </c>
      <c r="F122" s="31">
        <v>3</v>
      </c>
      <c r="G122" s="31">
        <v>0</v>
      </c>
      <c r="H122" s="31" t="s">
        <v>29</v>
      </c>
      <c r="I122" s="31" t="s">
        <v>29</v>
      </c>
      <c r="J122" s="31">
        <f t="shared" si="6"/>
        <v>5</v>
      </c>
      <c r="K122" s="31">
        <f t="shared" si="7"/>
        <v>5</v>
      </c>
    </row>
    <row r="123" spans="1:11" ht="12" customHeight="1" x14ac:dyDescent="0.2">
      <c r="A123" s="123">
        <v>2000</v>
      </c>
      <c r="B123" s="31">
        <v>0</v>
      </c>
      <c r="C123" s="31">
        <v>0</v>
      </c>
      <c r="D123" s="31">
        <v>1</v>
      </c>
      <c r="E123" s="31">
        <v>0</v>
      </c>
      <c r="F123" s="31">
        <v>1</v>
      </c>
      <c r="G123" s="31">
        <v>0</v>
      </c>
      <c r="H123" s="31" t="s">
        <v>29</v>
      </c>
      <c r="I123" s="31" t="s">
        <v>29</v>
      </c>
      <c r="J123" s="31">
        <f t="shared" si="6"/>
        <v>2</v>
      </c>
      <c r="K123" s="31">
        <f t="shared" si="7"/>
        <v>2</v>
      </c>
    </row>
    <row r="124" spans="1:11" ht="12" customHeight="1" x14ac:dyDescent="0.2">
      <c r="A124" s="123">
        <v>2001</v>
      </c>
      <c r="B124" s="31">
        <v>0</v>
      </c>
      <c r="C124" s="31">
        <v>0</v>
      </c>
      <c r="D124" s="31">
        <v>0</v>
      </c>
      <c r="E124" s="31">
        <v>0</v>
      </c>
      <c r="F124" s="31">
        <v>0</v>
      </c>
      <c r="G124" s="31">
        <v>2</v>
      </c>
      <c r="H124" s="31" t="s">
        <v>29</v>
      </c>
      <c r="I124" s="31" t="s">
        <v>29</v>
      </c>
      <c r="J124" s="31">
        <f t="shared" si="6"/>
        <v>2</v>
      </c>
      <c r="K124" s="31">
        <f t="shared" si="7"/>
        <v>2</v>
      </c>
    </row>
    <row r="125" spans="1:11" ht="12" customHeight="1" x14ac:dyDescent="0.2">
      <c r="A125" s="123">
        <v>2002</v>
      </c>
      <c r="B125" s="31">
        <v>0</v>
      </c>
      <c r="C125" s="31">
        <v>0</v>
      </c>
      <c r="D125" s="31">
        <v>0</v>
      </c>
      <c r="E125" s="31">
        <v>1</v>
      </c>
      <c r="F125" s="31">
        <v>2</v>
      </c>
      <c r="G125" s="31">
        <v>0</v>
      </c>
      <c r="H125" s="31">
        <v>10</v>
      </c>
      <c r="I125" s="31" t="s">
        <v>29</v>
      </c>
      <c r="J125" s="31">
        <f t="shared" si="6"/>
        <v>3</v>
      </c>
      <c r="K125" s="31">
        <f t="shared" si="7"/>
        <v>13</v>
      </c>
    </row>
    <row r="126" spans="1:11" ht="12" customHeight="1" x14ac:dyDescent="0.2">
      <c r="A126" s="123">
        <v>2003</v>
      </c>
      <c r="B126" s="31">
        <v>0</v>
      </c>
      <c r="C126" s="31">
        <v>0</v>
      </c>
      <c r="D126" s="31">
        <v>1</v>
      </c>
      <c r="E126" s="31">
        <v>0</v>
      </c>
      <c r="F126" s="31">
        <v>0</v>
      </c>
      <c r="G126" s="31">
        <v>0</v>
      </c>
      <c r="H126" s="31">
        <v>15</v>
      </c>
      <c r="I126" s="31" t="s">
        <v>29</v>
      </c>
      <c r="J126" s="31">
        <f t="shared" si="6"/>
        <v>1</v>
      </c>
      <c r="K126" s="31">
        <f t="shared" si="7"/>
        <v>16</v>
      </c>
    </row>
    <row r="127" spans="1:11" ht="12" customHeight="1" x14ac:dyDescent="0.2">
      <c r="A127" s="123">
        <v>2004</v>
      </c>
      <c r="B127" s="31">
        <v>0</v>
      </c>
      <c r="C127" s="31">
        <v>0</v>
      </c>
      <c r="D127" s="31">
        <v>0</v>
      </c>
      <c r="E127" s="31">
        <v>2</v>
      </c>
      <c r="F127" s="31">
        <v>2</v>
      </c>
      <c r="G127" s="31">
        <v>0</v>
      </c>
      <c r="H127" s="31">
        <v>15</v>
      </c>
      <c r="I127" s="31" t="s">
        <v>29</v>
      </c>
      <c r="J127" s="31">
        <f t="shared" si="6"/>
        <v>4</v>
      </c>
      <c r="K127" s="31">
        <f t="shared" si="7"/>
        <v>19</v>
      </c>
    </row>
    <row r="128" spans="1:11" ht="12" customHeight="1" x14ac:dyDescent="0.2">
      <c r="A128" s="123">
        <v>2005</v>
      </c>
      <c r="B128" s="31">
        <v>0</v>
      </c>
      <c r="C128" s="31">
        <v>1</v>
      </c>
      <c r="D128" s="31">
        <v>1</v>
      </c>
      <c r="E128" s="31">
        <v>3</v>
      </c>
      <c r="F128" s="31">
        <v>3</v>
      </c>
      <c r="G128" s="31">
        <v>1</v>
      </c>
      <c r="H128" s="31">
        <v>0</v>
      </c>
      <c r="I128" s="31" t="s">
        <v>29</v>
      </c>
      <c r="J128" s="31">
        <f t="shared" si="6"/>
        <v>9</v>
      </c>
      <c r="K128" s="31">
        <f t="shared" si="7"/>
        <v>9</v>
      </c>
    </row>
    <row r="129" spans="1:11" ht="12" customHeight="1" x14ac:dyDescent="0.2">
      <c r="A129" s="123">
        <v>2006</v>
      </c>
      <c r="B129" s="31">
        <v>0</v>
      </c>
      <c r="C129" s="31">
        <v>2</v>
      </c>
      <c r="D129" s="31">
        <v>7</v>
      </c>
      <c r="E129" s="31">
        <v>11</v>
      </c>
      <c r="F129" s="31">
        <v>8</v>
      </c>
      <c r="G129" s="31">
        <v>3</v>
      </c>
      <c r="H129" s="31">
        <v>5</v>
      </c>
      <c r="I129" s="31" t="s">
        <v>29</v>
      </c>
      <c r="J129" s="31">
        <f t="shared" si="6"/>
        <v>31</v>
      </c>
      <c r="K129" s="31">
        <f t="shared" si="7"/>
        <v>36</v>
      </c>
    </row>
    <row r="130" spans="1:11" s="461" customFormat="1" ht="12" customHeight="1" x14ac:dyDescent="0.2">
      <c r="A130" s="123">
        <v>2007</v>
      </c>
      <c r="B130" s="52">
        <v>0</v>
      </c>
      <c r="C130" s="52">
        <v>0</v>
      </c>
      <c r="D130" s="52">
        <v>15</v>
      </c>
      <c r="E130" s="52">
        <v>2</v>
      </c>
      <c r="F130" s="52">
        <v>13</v>
      </c>
      <c r="G130" s="52">
        <v>1</v>
      </c>
      <c r="H130" s="52">
        <v>0</v>
      </c>
      <c r="I130" s="31" t="s">
        <v>29</v>
      </c>
      <c r="J130" s="52">
        <f t="shared" si="6"/>
        <v>31</v>
      </c>
      <c r="K130" s="52">
        <f t="shared" si="7"/>
        <v>31</v>
      </c>
    </row>
    <row r="131" spans="1:11" s="461" customFormat="1" ht="12" customHeight="1" x14ac:dyDescent="0.2">
      <c r="A131" s="122">
        <v>2008</v>
      </c>
      <c r="B131" s="52">
        <v>0</v>
      </c>
      <c r="C131" s="52">
        <v>4</v>
      </c>
      <c r="D131" s="52">
        <v>26</v>
      </c>
      <c r="E131" s="52">
        <v>11</v>
      </c>
      <c r="F131" s="52">
        <v>9</v>
      </c>
      <c r="G131" s="52">
        <v>2</v>
      </c>
      <c r="H131" s="52">
        <v>1</v>
      </c>
      <c r="I131" s="52" t="s">
        <v>29</v>
      </c>
      <c r="J131" s="52">
        <f t="shared" si="6"/>
        <v>52</v>
      </c>
      <c r="K131" s="52">
        <f t="shared" si="7"/>
        <v>53</v>
      </c>
    </row>
    <row r="132" spans="1:11" s="461" customFormat="1" ht="12" customHeight="1" x14ac:dyDescent="0.2">
      <c r="A132" s="122">
        <v>2009</v>
      </c>
      <c r="B132" s="52">
        <v>0</v>
      </c>
      <c r="C132" s="52">
        <v>2</v>
      </c>
      <c r="D132" s="52">
        <v>3</v>
      </c>
      <c r="E132" s="52">
        <v>2</v>
      </c>
      <c r="F132" s="52">
        <v>6</v>
      </c>
      <c r="G132" s="52">
        <v>0</v>
      </c>
      <c r="H132" s="52">
        <v>4</v>
      </c>
      <c r="I132" s="52" t="s">
        <v>29</v>
      </c>
      <c r="J132" s="52">
        <f t="shared" si="6"/>
        <v>13</v>
      </c>
      <c r="K132" s="52">
        <f t="shared" si="7"/>
        <v>17</v>
      </c>
    </row>
    <row r="133" spans="1:11" s="461" customFormat="1" ht="12" customHeight="1" x14ac:dyDescent="0.2">
      <c r="A133" s="122">
        <v>2010</v>
      </c>
      <c r="B133" s="52">
        <v>0</v>
      </c>
      <c r="C133" s="52">
        <v>3</v>
      </c>
      <c r="D133" s="52">
        <v>1</v>
      </c>
      <c r="E133" s="52">
        <v>11</v>
      </c>
      <c r="F133" s="52">
        <v>12</v>
      </c>
      <c r="G133" s="52">
        <v>2</v>
      </c>
      <c r="H133" s="52">
        <v>4</v>
      </c>
      <c r="I133" s="52" t="s">
        <v>29</v>
      </c>
      <c r="J133" s="52">
        <f t="shared" si="6"/>
        <v>29</v>
      </c>
      <c r="K133" s="52">
        <f t="shared" si="7"/>
        <v>33</v>
      </c>
    </row>
    <row r="134" spans="1:11" s="461" customFormat="1" ht="12" customHeight="1" x14ac:dyDescent="0.2">
      <c r="A134" s="122">
        <v>2011</v>
      </c>
      <c r="B134" s="31">
        <v>0</v>
      </c>
      <c r="C134" s="31">
        <v>0</v>
      </c>
      <c r="D134" s="31">
        <v>3</v>
      </c>
      <c r="E134" s="31">
        <v>0</v>
      </c>
      <c r="F134" s="31">
        <v>3</v>
      </c>
      <c r="G134" s="31">
        <v>2</v>
      </c>
      <c r="H134" s="31">
        <v>1</v>
      </c>
      <c r="I134" s="31" t="s">
        <v>29</v>
      </c>
      <c r="J134" s="31">
        <f t="shared" si="6"/>
        <v>8</v>
      </c>
      <c r="K134" s="31">
        <f t="shared" si="7"/>
        <v>9</v>
      </c>
    </row>
    <row r="135" spans="1:11" s="461" customFormat="1" ht="12" customHeight="1" x14ac:dyDescent="0.2">
      <c r="A135" s="122">
        <v>2012</v>
      </c>
      <c r="B135" s="52">
        <v>0</v>
      </c>
      <c r="C135" s="52">
        <v>8</v>
      </c>
      <c r="D135" s="52">
        <v>3</v>
      </c>
      <c r="E135" s="52">
        <v>5</v>
      </c>
      <c r="F135" s="52">
        <v>12</v>
      </c>
      <c r="G135" s="52">
        <v>2</v>
      </c>
      <c r="H135" s="52">
        <v>4</v>
      </c>
      <c r="I135" s="52" t="s">
        <v>29</v>
      </c>
      <c r="J135" s="52">
        <f t="shared" si="6"/>
        <v>30</v>
      </c>
      <c r="K135" s="52">
        <f t="shared" si="7"/>
        <v>34</v>
      </c>
    </row>
    <row r="136" spans="1:11" s="461" customFormat="1" ht="12" customHeight="1" x14ac:dyDescent="0.2">
      <c r="A136" s="122">
        <v>2013</v>
      </c>
      <c r="B136" s="52">
        <v>0</v>
      </c>
      <c r="C136" s="52">
        <v>6</v>
      </c>
      <c r="D136" s="52">
        <v>18</v>
      </c>
      <c r="E136" s="52">
        <v>30</v>
      </c>
      <c r="F136" s="52">
        <v>13</v>
      </c>
      <c r="G136" s="52">
        <v>35</v>
      </c>
      <c r="H136" s="52">
        <v>0</v>
      </c>
      <c r="I136" s="52" t="s">
        <v>29</v>
      </c>
      <c r="J136" s="52">
        <f t="shared" si="6"/>
        <v>102</v>
      </c>
      <c r="K136" s="52">
        <f t="shared" si="7"/>
        <v>102</v>
      </c>
    </row>
    <row r="137" spans="1:11" s="461" customFormat="1" ht="12" customHeight="1" x14ac:dyDescent="0.2">
      <c r="A137" s="122">
        <v>2014</v>
      </c>
      <c r="B137" s="52">
        <v>0</v>
      </c>
      <c r="C137" s="52">
        <v>41</v>
      </c>
      <c r="D137" s="52">
        <v>61</v>
      </c>
      <c r="E137" s="52">
        <v>304</v>
      </c>
      <c r="F137" s="52">
        <v>253</v>
      </c>
      <c r="G137" s="52">
        <v>82</v>
      </c>
      <c r="H137" s="52">
        <v>0</v>
      </c>
      <c r="I137" s="52" t="s">
        <v>29</v>
      </c>
      <c r="J137" s="52">
        <f t="shared" si="6"/>
        <v>741</v>
      </c>
      <c r="K137" s="52">
        <f t="shared" si="7"/>
        <v>741</v>
      </c>
    </row>
    <row r="138" spans="1:11" s="461" customFormat="1" ht="12" customHeight="1" x14ac:dyDescent="0.2">
      <c r="A138" s="122">
        <v>2015</v>
      </c>
      <c r="B138" s="52">
        <v>0</v>
      </c>
      <c r="C138" s="52">
        <v>38</v>
      </c>
      <c r="D138" s="52">
        <v>23</v>
      </c>
      <c r="E138" s="52">
        <v>205</v>
      </c>
      <c r="F138" s="52">
        <v>115</v>
      </c>
      <c r="G138" s="52">
        <v>54</v>
      </c>
      <c r="H138" s="52">
        <v>0</v>
      </c>
      <c r="I138" s="52" t="s">
        <v>29</v>
      </c>
      <c r="J138" s="52">
        <f t="shared" si="6"/>
        <v>435</v>
      </c>
      <c r="K138" s="52">
        <f t="shared" si="7"/>
        <v>435</v>
      </c>
    </row>
    <row r="139" spans="1:11" s="461" customFormat="1" ht="12" customHeight="1" x14ac:dyDescent="0.2">
      <c r="A139" s="122">
        <v>2016</v>
      </c>
      <c r="B139" s="52">
        <v>0</v>
      </c>
      <c r="C139" s="52">
        <v>21</v>
      </c>
      <c r="D139" s="52">
        <v>15</v>
      </c>
      <c r="E139" s="52">
        <v>4</v>
      </c>
      <c r="F139" s="52">
        <v>1</v>
      </c>
      <c r="G139" s="52">
        <v>0</v>
      </c>
      <c r="H139" s="52">
        <v>0</v>
      </c>
      <c r="I139" s="52" t="s">
        <v>29</v>
      </c>
      <c r="J139" s="52">
        <f t="shared" si="6"/>
        <v>41</v>
      </c>
      <c r="K139" s="52">
        <f t="shared" si="7"/>
        <v>41</v>
      </c>
    </row>
    <row r="140" spans="1:11" s="461" customFormat="1" ht="12" customHeight="1" x14ac:dyDescent="0.2">
      <c r="A140" s="122">
        <v>2017</v>
      </c>
      <c r="B140" s="52">
        <v>0</v>
      </c>
      <c r="C140" s="52">
        <v>0</v>
      </c>
      <c r="D140" s="52">
        <v>1</v>
      </c>
      <c r="E140" s="52">
        <v>2</v>
      </c>
      <c r="F140" s="52">
        <v>3</v>
      </c>
      <c r="G140" s="52">
        <v>2</v>
      </c>
      <c r="H140" s="52">
        <v>0</v>
      </c>
      <c r="I140" s="52" t="s">
        <v>29</v>
      </c>
      <c r="J140" s="52">
        <f t="shared" si="6"/>
        <v>8</v>
      </c>
      <c r="K140" s="52">
        <f t="shared" si="7"/>
        <v>8</v>
      </c>
    </row>
    <row r="141" spans="1:11" s="461" customFormat="1" ht="12" customHeight="1" x14ac:dyDescent="0.2">
      <c r="A141" s="122">
        <v>2018</v>
      </c>
      <c r="B141" s="52">
        <v>0</v>
      </c>
      <c r="C141" s="52">
        <v>0</v>
      </c>
      <c r="D141" s="52">
        <v>1</v>
      </c>
      <c r="E141" s="52">
        <v>0</v>
      </c>
      <c r="F141" s="52">
        <v>0</v>
      </c>
      <c r="G141" s="52">
        <v>3</v>
      </c>
      <c r="H141" s="52">
        <v>0</v>
      </c>
      <c r="I141" s="52" t="s">
        <v>29</v>
      </c>
      <c r="J141" s="52">
        <f>SUM(C141:G141)</f>
        <v>4</v>
      </c>
      <c r="K141" s="52">
        <f>SUM(B141:I141)</f>
        <v>4</v>
      </c>
    </row>
    <row r="142" spans="1:11" s="487" customFormat="1" ht="12" customHeight="1" x14ac:dyDescent="0.2">
      <c r="A142" s="122">
        <v>2019</v>
      </c>
      <c r="B142" s="52">
        <v>0</v>
      </c>
      <c r="C142" s="52">
        <v>0</v>
      </c>
      <c r="D142" s="52">
        <v>0</v>
      </c>
      <c r="E142" s="52">
        <v>0</v>
      </c>
      <c r="F142" s="52">
        <v>2</v>
      </c>
      <c r="G142" s="52">
        <v>5</v>
      </c>
      <c r="H142" s="52">
        <v>0</v>
      </c>
      <c r="I142" s="52" t="s">
        <v>29</v>
      </c>
      <c r="J142" s="52">
        <f t="shared" ref="J142" si="8">SUM(C142:G142)</f>
        <v>7</v>
      </c>
      <c r="K142" s="52">
        <f t="shared" ref="K142" si="9">SUM(B142:I142)</f>
        <v>7</v>
      </c>
    </row>
    <row r="143" spans="1:11" ht="12" customHeight="1" x14ac:dyDescent="0.2">
      <c r="A143" s="122" t="s">
        <v>392</v>
      </c>
      <c r="B143" s="31">
        <v>0</v>
      </c>
      <c r="C143" s="31">
        <v>0</v>
      </c>
      <c r="D143" s="31">
        <v>0</v>
      </c>
      <c r="E143" s="31">
        <v>0</v>
      </c>
      <c r="F143" s="31">
        <v>1</v>
      </c>
      <c r="G143" s="31">
        <v>0</v>
      </c>
      <c r="H143" s="31">
        <v>0</v>
      </c>
      <c r="I143" s="52" t="s">
        <v>29</v>
      </c>
      <c r="J143" s="31">
        <f t="shared" si="6"/>
        <v>1</v>
      </c>
      <c r="K143" s="52">
        <f t="shared" si="7"/>
        <v>1</v>
      </c>
    </row>
    <row r="144" spans="1:11" ht="12" customHeight="1" x14ac:dyDescent="0.2">
      <c r="A144" s="123"/>
      <c r="B144" s="195"/>
      <c r="C144" s="66"/>
      <c r="D144" s="66"/>
      <c r="E144" s="66"/>
      <c r="F144" s="66"/>
      <c r="G144" s="66"/>
      <c r="H144" s="66"/>
      <c r="I144" s="66"/>
      <c r="J144" s="66"/>
      <c r="K144" s="66"/>
    </row>
    <row r="145" spans="1:11" ht="12" customHeight="1" x14ac:dyDescent="0.2">
      <c r="A145" s="228" t="s">
        <v>64</v>
      </c>
      <c r="B145" s="229"/>
      <c r="C145" s="66"/>
      <c r="D145" s="66"/>
      <c r="E145" s="66"/>
      <c r="F145" s="66"/>
      <c r="G145" s="66"/>
      <c r="H145" s="66"/>
      <c r="I145" s="66"/>
      <c r="J145" s="66"/>
      <c r="K145" s="66"/>
    </row>
    <row r="146" spans="1:11" ht="12" customHeight="1" x14ac:dyDescent="0.2">
      <c r="A146" s="123">
        <v>1976</v>
      </c>
      <c r="B146" s="31">
        <v>0</v>
      </c>
      <c r="C146" s="31">
        <v>4</v>
      </c>
      <c r="D146" s="31">
        <v>4</v>
      </c>
      <c r="E146" s="31">
        <v>5</v>
      </c>
      <c r="F146" s="31">
        <v>0</v>
      </c>
      <c r="G146" s="31">
        <v>0</v>
      </c>
      <c r="H146" s="31">
        <v>0</v>
      </c>
      <c r="I146" s="31">
        <v>0</v>
      </c>
      <c r="J146" s="31">
        <f t="shared" ref="J146:J190" si="10">SUM(C146:G146)</f>
        <v>13</v>
      </c>
      <c r="K146" s="31">
        <f t="shared" ref="K146:K190" si="11">SUM(B146:I146)</f>
        <v>13</v>
      </c>
    </row>
    <row r="147" spans="1:11" ht="12" customHeight="1" x14ac:dyDescent="0.2">
      <c r="A147" s="123">
        <v>1977</v>
      </c>
      <c r="B147" s="31">
        <v>0</v>
      </c>
      <c r="C147" s="31">
        <v>0</v>
      </c>
      <c r="D147" s="31">
        <v>0</v>
      </c>
      <c r="E147" s="31">
        <v>0</v>
      </c>
      <c r="F147" s="31">
        <v>7</v>
      </c>
      <c r="G147" s="31">
        <v>1</v>
      </c>
      <c r="H147" s="31">
        <v>0</v>
      </c>
      <c r="I147" s="31">
        <v>0</v>
      </c>
      <c r="J147" s="31">
        <f t="shared" si="10"/>
        <v>8</v>
      </c>
      <c r="K147" s="31">
        <f t="shared" si="11"/>
        <v>8</v>
      </c>
    </row>
    <row r="148" spans="1:11" ht="12" customHeight="1" x14ac:dyDescent="0.2">
      <c r="A148" s="123">
        <v>1978</v>
      </c>
      <c r="B148" s="31">
        <v>0</v>
      </c>
      <c r="C148" s="31">
        <v>0</v>
      </c>
      <c r="D148" s="31">
        <v>0</v>
      </c>
      <c r="E148" s="31">
        <v>0</v>
      </c>
      <c r="F148" s="31">
        <v>0</v>
      </c>
      <c r="G148" s="31">
        <v>0</v>
      </c>
      <c r="H148" s="31">
        <v>0</v>
      </c>
      <c r="I148" s="31">
        <v>0</v>
      </c>
      <c r="J148" s="31">
        <f t="shared" si="10"/>
        <v>0</v>
      </c>
      <c r="K148" s="31">
        <f t="shared" si="11"/>
        <v>0</v>
      </c>
    </row>
    <row r="149" spans="1:11" ht="12" customHeight="1" x14ac:dyDescent="0.2">
      <c r="A149" s="123">
        <v>1979</v>
      </c>
      <c r="B149" s="31">
        <v>0</v>
      </c>
      <c r="C149" s="31">
        <v>1</v>
      </c>
      <c r="D149" s="31">
        <v>0</v>
      </c>
      <c r="E149" s="31">
        <v>27</v>
      </c>
      <c r="F149" s="31">
        <v>29</v>
      </c>
      <c r="G149" s="31">
        <v>0</v>
      </c>
      <c r="H149" s="31">
        <v>0</v>
      </c>
      <c r="I149" s="31">
        <v>0</v>
      </c>
      <c r="J149" s="31">
        <f t="shared" si="10"/>
        <v>57</v>
      </c>
      <c r="K149" s="31">
        <f t="shared" si="11"/>
        <v>57</v>
      </c>
    </row>
    <row r="150" spans="1:11" ht="12" customHeight="1" x14ac:dyDescent="0.2">
      <c r="A150" s="123">
        <v>1980</v>
      </c>
      <c r="B150" s="31">
        <v>0</v>
      </c>
      <c r="C150" s="31">
        <v>0</v>
      </c>
      <c r="D150" s="31">
        <v>0</v>
      </c>
      <c r="E150" s="31">
        <v>10</v>
      </c>
      <c r="F150" s="31">
        <v>13</v>
      </c>
      <c r="G150" s="31">
        <v>0</v>
      </c>
      <c r="H150" s="31">
        <v>0</v>
      </c>
      <c r="I150" s="31">
        <v>0</v>
      </c>
      <c r="J150" s="31">
        <f t="shared" si="10"/>
        <v>23</v>
      </c>
      <c r="K150" s="31">
        <f t="shared" si="11"/>
        <v>23</v>
      </c>
    </row>
    <row r="151" spans="1:11" ht="12" customHeight="1" x14ac:dyDescent="0.2">
      <c r="A151" s="123">
        <v>1981</v>
      </c>
      <c r="B151" s="31">
        <v>0</v>
      </c>
      <c r="C151" s="31">
        <v>5</v>
      </c>
      <c r="D151" s="31">
        <v>28</v>
      </c>
      <c r="E151" s="31">
        <v>74</v>
      </c>
      <c r="F151" s="31">
        <v>19</v>
      </c>
      <c r="G151" s="31">
        <v>0</v>
      </c>
      <c r="H151" s="31">
        <v>0</v>
      </c>
      <c r="I151" s="31">
        <v>0</v>
      </c>
      <c r="J151" s="31">
        <f t="shared" si="10"/>
        <v>126</v>
      </c>
      <c r="K151" s="31">
        <f t="shared" si="11"/>
        <v>126</v>
      </c>
    </row>
    <row r="152" spans="1:11" ht="12" customHeight="1" x14ac:dyDescent="0.2">
      <c r="A152" s="123">
        <v>1982</v>
      </c>
      <c r="B152" s="31">
        <v>0</v>
      </c>
      <c r="C152" s="31">
        <v>5</v>
      </c>
      <c r="D152" s="31">
        <v>19</v>
      </c>
      <c r="E152" s="31">
        <v>34</v>
      </c>
      <c r="F152" s="31">
        <v>21</v>
      </c>
      <c r="G152" s="31">
        <v>8</v>
      </c>
      <c r="H152" s="31" t="s">
        <v>29</v>
      </c>
      <c r="I152" s="31" t="s">
        <v>29</v>
      </c>
      <c r="J152" s="31">
        <f t="shared" si="10"/>
        <v>87</v>
      </c>
      <c r="K152" s="31">
        <f t="shared" si="11"/>
        <v>87</v>
      </c>
    </row>
    <row r="153" spans="1:11" ht="12" customHeight="1" x14ac:dyDescent="0.2">
      <c r="A153" s="123">
        <v>1983</v>
      </c>
      <c r="B153" s="31">
        <v>0</v>
      </c>
      <c r="C153" s="31">
        <v>7</v>
      </c>
      <c r="D153" s="31">
        <v>7</v>
      </c>
      <c r="E153" s="31">
        <v>2</v>
      </c>
      <c r="F153" s="31">
        <v>2</v>
      </c>
      <c r="G153" s="31">
        <v>0</v>
      </c>
      <c r="H153" s="31" t="s">
        <v>29</v>
      </c>
      <c r="I153" s="31" t="s">
        <v>29</v>
      </c>
      <c r="J153" s="31">
        <f t="shared" si="10"/>
        <v>18</v>
      </c>
      <c r="K153" s="31">
        <f t="shared" si="11"/>
        <v>18</v>
      </c>
    </row>
    <row r="154" spans="1:11" ht="12" customHeight="1" x14ac:dyDescent="0.2">
      <c r="A154" s="123">
        <v>1984</v>
      </c>
      <c r="B154" s="31">
        <v>0</v>
      </c>
      <c r="C154" s="31">
        <v>3</v>
      </c>
      <c r="D154" s="31">
        <v>1</v>
      </c>
      <c r="E154" s="31">
        <v>4</v>
      </c>
      <c r="F154" s="31">
        <v>29</v>
      </c>
      <c r="G154" s="31">
        <v>0</v>
      </c>
      <c r="H154" s="31" t="s">
        <v>29</v>
      </c>
      <c r="I154" s="31" t="s">
        <v>29</v>
      </c>
      <c r="J154" s="31">
        <f t="shared" si="10"/>
        <v>37</v>
      </c>
      <c r="K154" s="31">
        <f t="shared" si="11"/>
        <v>37</v>
      </c>
    </row>
    <row r="155" spans="1:11" ht="12" customHeight="1" x14ac:dyDescent="0.2">
      <c r="A155" s="123">
        <v>1985</v>
      </c>
      <c r="B155" s="31">
        <v>0</v>
      </c>
      <c r="C155" s="31">
        <v>8</v>
      </c>
      <c r="D155" s="31">
        <v>7</v>
      </c>
      <c r="E155" s="31">
        <v>35</v>
      </c>
      <c r="F155" s="31">
        <v>43</v>
      </c>
      <c r="G155" s="31">
        <v>0</v>
      </c>
      <c r="H155" s="31" t="s">
        <v>29</v>
      </c>
      <c r="I155" s="31" t="s">
        <v>29</v>
      </c>
      <c r="J155" s="31">
        <f t="shared" si="10"/>
        <v>93</v>
      </c>
      <c r="K155" s="31">
        <f t="shared" si="11"/>
        <v>93</v>
      </c>
    </row>
    <row r="156" spans="1:11" ht="12" customHeight="1" x14ac:dyDescent="0.2">
      <c r="A156" s="123">
        <v>1986</v>
      </c>
      <c r="B156" s="31">
        <v>0</v>
      </c>
      <c r="C156" s="31">
        <v>7</v>
      </c>
      <c r="D156" s="31">
        <v>71</v>
      </c>
      <c r="E156" s="31">
        <v>51</v>
      </c>
      <c r="F156" s="31">
        <v>0</v>
      </c>
      <c r="G156" s="31">
        <v>0</v>
      </c>
      <c r="H156" s="31" t="s">
        <v>29</v>
      </c>
      <c r="I156" s="31" t="s">
        <v>29</v>
      </c>
      <c r="J156" s="31">
        <f t="shared" si="10"/>
        <v>129</v>
      </c>
      <c r="K156" s="31">
        <f t="shared" si="11"/>
        <v>129</v>
      </c>
    </row>
    <row r="157" spans="1:11" ht="12" customHeight="1" x14ac:dyDescent="0.2">
      <c r="A157" s="123">
        <v>1987</v>
      </c>
      <c r="B157" s="31">
        <v>0</v>
      </c>
      <c r="C157" s="31">
        <v>10</v>
      </c>
      <c r="D157" s="31">
        <v>0</v>
      </c>
      <c r="E157" s="31">
        <v>68</v>
      </c>
      <c r="F157" s="31">
        <v>76</v>
      </c>
      <c r="G157" s="31">
        <v>0</v>
      </c>
      <c r="H157" s="31" t="s">
        <v>29</v>
      </c>
      <c r="I157" s="31" t="s">
        <v>29</v>
      </c>
      <c r="J157" s="31">
        <f t="shared" si="10"/>
        <v>154</v>
      </c>
      <c r="K157" s="31">
        <f t="shared" si="11"/>
        <v>154</v>
      </c>
    </row>
    <row r="158" spans="1:11" ht="12" customHeight="1" x14ac:dyDescent="0.2">
      <c r="A158" s="123">
        <v>1988</v>
      </c>
      <c r="B158" s="31">
        <v>0</v>
      </c>
      <c r="C158" s="31">
        <v>12</v>
      </c>
      <c r="D158" s="31">
        <v>15</v>
      </c>
      <c r="E158" s="31">
        <v>100</v>
      </c>
      <c r="F158" s="31">
        <v>202</v>
      </c>
      <c r="G158" s="31">
        <v>57</v>
      </c>
      <c r="H158" s="31" t="s">
        <v>29</v>
      </c>
      <c r="I158" s="31" t="s">
        <v>29</v>
      </c>
      <c r="J158" s="31">
        <f t="shared" si="10"/>
        <v>386</v>
      </c>
      <c r="K158" s="31">
        <f t="shared" si="11"/>
        <v>386</v>
      </c>
    </row>
    <row r="159" spans="1:11" ht="12" customHeight="1" x14ac:dyDescent="0.2">
      <c r="A159" s="123">
        <v>1989</v>
      </c>
      <c r="B159" s="31">
        <v>0</v>
      </c>
      <c r="C159" s="31">
        <v>12</v>
      </c>
      <c r="D159" s="31">
        <v>22</v>
      </c>
      <c r="E159" s="31">
        <v>114</v>
      </c>
      <c r="F159" s="31">
        <v>41</v>
      </c>
      <c r="G159" s="31">
        <v>59</v>
      </c>
      <c r="H159" s="31" t="s">
        <v>29</v>
      </c>
      <c r="I159" s="31" t="s">
        <v>29</v>
      </c>
      <c r="J159" s="31">
        <f t="shared" si="10"/>
        <v>248</v>
      </c>
      <c r="K159" s="31">
        <f t="shared" si="11"/>
        <v>248</v>
      </c>
    </row>
    <row r="160" spans="1:11" ht="12" customHeight="1" x14ac:dyDescent="0.2">
      <c r="A160" s="123">
        <v>1990</v>
      </c>
      <c r="B160" s="31">
        <v>0</v>
      </c>
      <c r="C160" s="31">
        <v>7</v>
      </c>
      <c r="D160" s="31">
        <v>11</v>
      </c>
      <c r="E160" s="31">
        <v>30</v>
      </c>
      <c r="F160" s="31">
        <v>22</v>
      </c>
      <c r="G160" s="31">
        <v>6</v>
      </c>
      <c r="H160" s="31" t="s">
        <v>29</v>
      </c>
      <c r="I160" s="31" t="s">
        <v>29</v>
      </c>
      <c r="J160" s="31">
        <f t="shared" si="10"/>
        <v>76</v>
      </c>
      <c r="K160" s="31">
        <f t="shared" si="11"/>
        <v>76</v>
      </c>
    </row>
    <row r="161" spans="1:11" ht="12" customHeight="1" x14ac:dyDescent="0.2">
      <c r="A161" s="123">
        <v>1991</v>
      </c>
      <c r="B161" s="31">
        <v>0</v>
      </c>
      <c r="C161" s="31">
        <v>3</v>
      </c>
      <c r="D161" s="31">
        <v>9</v>
      </c>
      <c r="E161" s="31">
        <v>39</v>
      </c>
      <c r="F161" s="31">
        <v>28</v>
      </c>
      <c r="G161" s="31">
        <v>0</v>
      </c>
      <c r="H161" s="31" t="s">
        <v>29</v>
      </c>
      <c r="I161" s="31" t="s">
        <v>29</v>
      </c>
      <c r="J161" s="31">
        <f t="shared" si="10"/>
        <v>79</v>
      </c>
      <c r="K161" s="31">
        <f t="shared" si="11"/>
        <v>79</v>
      </c>
    </row>
    <row r="162" spans="1:11" ht="12" customHeight="1" x14ac:dyDescent="0.2">
      <c r="A162" s="123">
        <v>1992</v>
      </c>
      <c r="B162" s="31">
        <v>0</v>
      </c>
      <c r="C162" s="31">
        <v>4</v>
      </c>
      <c r="D162" s="31">
        <v>3</v>
      </c>
      <c r="E162" s="31">
        <v>19</v>
      </c>
      <c r="F162" s="31">
        <v>4</v>
      </c>
      <c r="G162" s="31">
        <v>0</v>
      </c>
      <c r="H162" s="31" t="s">
        <v>29</v>
      </c>
      <c r="I162" s="31" t="s">
        <v>29</v>
      </c>
      <c r="J162" s="31">
        <f t="shared" si="10"/>
        <v>30</v>
      </c>
      <c r="K162" s="31">
        <f t="shared" si="11"/>
        <v>30</v>
      </c>
    </row>
    <row r="163" spans="1:11" ht="12" customHeight="1" x14ac:dyDescent="0.2">
      <c r="A163" s="123">
        <v>1993</v>
      </c>
      <c r="B163" s="31">
        <v>0</v>
      </c>
      <c r="C163" s="31">
        <v>0</v>
      </c>
      <c r="D163" s="31">
        <v>2</v>
      </c>
      <c r="E163" s="31">
        <v>72</v>
      </c>
      <c r="F163" s="31">
        <v>119</v>
      </c>
      <c r="G163" s="31">
        <v>52</v>
      </c>
      <c r="H163" s="31" t="s">
        <v>29</v>
      </c>
      <c r="I163" s="31" t="s">
        <v>29</v>
      </c>
      <c r="J163" s="31">
        <f t="shared" si="10"/>
        <v>245</v>
      </c>
      <c r="K163" s="31">
        <f t="shared" si="11"/>
        <v>245</v>
      </c>
    </row>
    <row r="164" spans="1:11" ht="12" customHeight="1" x14ac:dyDescent="0.2">
      <c r="A164" s="123">
        <v>1994</v>
      </c>
      <c r="B164" s="31">
        <v>0</v>
      </c>
      <c r="C164" s="31">
        <v>0</v>
      </c>
      <c r="D164" s="31">
        <v>7</v>
      </c>
      <c r="E164" s="31">
        <v>1</v>
      </c>
      <c r="F164" s="31">
        <v>0</v>
      </c>
      <c r="G164" s="31">
        <v>0</v>
      </c>
      <c r="H164" s="31" t="s">
        <v>29</v>
      </c>
      <c r="I164" s="31" t="s">
        <v>29</v>
      </c>
      <c r="J164" s="31">
        <f t="shared" si="10"/>
        <v>8</v>
      </c>
      <c r="K164" s="31">
        <f t="shared" si="11"/>
        <v>8</v>
      </c>
    </row>
    <row r="165" spans="1:11" ht="12" customHeight="1" x14ac:dyDescent="0.2">
      <c r="A165" s="123">
        <v>1995</v>
      </c>
      <c r="B165" s="31">
        <v>0</v>
      </c>
      <c r="C165" s="31">
        <v>0</v>
      </c>
      <c r="D165" s="31">
        <v>0</v>
      </c>
      <c r="E165" s="31">
        <v>0</v>
      </c>
      <c r="F165" s="31">
        <v>111</v>
      </c>
      <c r="G165" s="31">
        <v>0</v>
      </c>
      <c r="H165" s="31" t="s">
        <v>29</v>
      </c>
      <c r="I165" s="31" t="s">
        <v>29</v>
      </c>
      <c r="J165" s="31">
        <f t="shared" si="10"/>
        <v>111</v>
      </c>
      <c r="K165" s="31">
        <f t="shared" si="11"/>
        <v>111</v>
      </c>
    </row>
    <row r="166" spans="1:11" ht="12" customHeight="1" x14ac:dyDescent="0.2">
      <c r="A166" s="123">
        <v>1996</v>
      </c>
      <c r="B166" s="31">
        <v>0</v>
      </c>
      <c r="C166" s="31">
        <v>1</v>
      </c>
      <c r="D166" s="31">
        <v>0</v>
      </c>
      <c r="E166" s="31">
        <v>40</v>
      </c>
      <c r="F166" s="31">
        <v>23</v>
      </c>
      <c r="G166" s="31">
        <v>0</v>
      </c>
      <c r="H166" s="31" t="s">
        <v>29</v>
      </c>
      <c r="I166" s="31" t="s">
        <v>29</v>
      </c>
      <c r="J166" s="31">
        <f t="shared" si="10"/>
        <v>64</v>
      </c>
      <c r="K166" s="31">
        <f t="shared" si="11"/>
        <v>64</v>
      </c>
    </row>
    <row r="167" spans="1:11" ht="12" customHeight="1" x14ac:dyDescent="0.2">
      <c r="A167" s="123">
        <v>1997</v>
      </c>
      <c r="B167" s="31">
        <v>0</v>
      </c>
      <c r="C167" s="31">
        <v>0</v>
      </c>
      <c r="D167" s="31">
        <v>1</v>
      </c>
      <c r="E167" s="31">
        <v>0</v>
      </c>
      <c r="F167" s="31">
        <v>44</v>
      </c>
      <c r="G167" s="31">
        <v>12</v>
      </c>
      <c r="H167" s="31" t="s">
        <v>29</v>
      </c>
      <c r="I167" s="31" t="s">
        <v>29</v>
      </c>
      <c r="J167" s="31">
        <f t="shared" si="10"/>
        <v>57</v>
      </c>
      <c r="K167" s="31">
        <f t="shared" si="11"/>
        <v>57</v>
      </c>
    </row>
    <row r="168" spans="1:11" ht="12" customHeight="1" x14ac:dyDescent="0.2">
      <c r="A168" s="123">
        <v>1998</v>
      </c>
      <c r="B168" s="31">
        <v>0</v>
      </c>
      <c r="C168" s="31">
        <v>4</v>
      </c>
      <c r="D168" s="31">
        <v>1</v>
      </c>
      <c r="E168" s="31">
        <v>0</v>
      </c>
      <c r="F168" s="31">
        <v>4</v>
      </c>
      <c r="G168" s="31">
        <v>1</v>
      </c>
      <c r="H168" s="31" t="s">
        <v>29</v>
      </c>
      <c r="I168" s="31" t="s">
        <v>29</v>
      </c>
      <c r="J168" s="31">
        <f t="shared" si="10"/>
        <v>10</v>
      </c>
      <c r="K168" s="31">
        <f t="shared" si="11"/>
        <v>10</v>
      </c>
    </row>
    <row r="169" spans="1:11" ht="12" customHeight="1" x14ac:dyDescent="0.2">
      <c r="A169" s="123">
        <v>1999</v>
      </c>
      <c r="B169" s="31">
        <v>0</v>
      </c>
      <c r="C169" s="31">
        <v>1</v>
      </c>
      <c r="D169" s="31">
        <v>7</v>
      </c>
      <c r="E169" s="31">
        <v>0</v>
      </c>
      <c r="F169" s="31">
        <v>1</v>
      </c>
      <c r="G169" s="31">
        <v>0</v>
      </c>
      <c r="H169" s="31" t="s">
        <v>29</v>
      </c>
      <c r="I169" s="31" t="s">
        <v>29</v>
      </c>
      <c r="J169" s="31">
        <f t="shared" si="10"/>
        <v>9</v>
      </c>
      <c r="K169" s="31">
        <f t="shared" si="11"/>
        <v>9</v>
      </c>
    </row>
    <row r="170" spans="1:11" ht="12" customHeight="1" x14ac:dyDescent="0.2">
      <c r="A170" s="123">
        <v>2000</v>
      </c>
      <c r="B170" s="31">
        <v>0</v>
      </c>
      <c r="C170" s="31">
        <v>0</v>
      </c>
      <c r="D170" s="31">
        <v>1</v>
      </c>
      <c r="E170" s="31">
        <v>0</v>
      </c>
      <c r="F170" s="31">
        <v>5</v>
      </c>
      <c r="G170" s="31">
        <v>0</v>
      </c>
      <c r="H170" s="31" t="s">
        <v>29</v>
      </c>
      <c r="I170" s="31" t="s">
        <v>29</v>
      </c>
      <c r="J170" s="31">
        <f t="shared" si="10"/>
        <v>6</v>
      </c>
      <c r="K170" s="31">
        <f t="shared" si="11"/>
        <v>6</v>
      </c>
    </row>
    <row r="171" spans="1:11" ht="12" customHeight="1" x14ac:dyDescent="0.2">
      <c r="A171" s="123">
        <v>2001</v>
      </c>
      <c r="B171" s="31">
        <v>0</v>
      </c>
      <c r="C171" s="31">
        <v>0</v>
      </c>
      <c r="D171" s="31">
        <v>1</v>
      </c>
      <c r="E171" s="31">
        <v>1</v>
      </c>
      <c r="F171" s="31">
        <v>0</v>
      </c>
      <c r="G171" s="31">
        <v>0</v>
      </c>
      <c r="H171" s="31" t="s">
        <v>29</v>
      </c>
      <c r="I171" s="31" t="s">
        <v>29</v>
      </c>
      <c r="J171" s="31">
        <f t="shared" si="10"/>
        <v>2</v>
      </c>
      <c r="K171" s="31">
        <f t="shared" si="11"/>
        <v>2</v>
      </c>
    </row>
    <row r="172" spans="1:11" ht="12" customHeight="1" x14ac:dyDescent="0.2">
      <c r="A172" s="123">
        <v>2002</v>
      </c>
      <c r="B172" s="31">
        <v>0</v>
      </c>
      <c r="C172" s="31">
        <v>0</v>
      </c>
      <c r="D172" s="31">
        <v>1</v>
      </c>
      <c r="E172" s="31">
        <v>1</v>
      </c>
      <c r="F172" s="31">
        <v>4</v>
      </c>
      <c r="G172" s="31">
        <v>0</v>
      </c>
      <c r="H172" s="31" t="s">
        <v>29</v>
      </c>
      <c r="I172" s="31" t="s">
        <v>29</v>
      </c>
      <c r="J172" s="31">
        <f t="shared" si="10"/>
        <v>6</v>
      </c>
      <c r="K172" s="31">
        <f t="shared" si="11"/>
        <v>6</v>
      </c>
    </row>
    <row r="173" spans="1:11" ht="12" customHeight="1" x14ac:dyDescent="0.2">
      <c r="A173" s="123">
        <v>2003</v>
      </c>
      <c r="B173" s="31">
        <v>0</v>
      </c>
      <c r="C173" s="31">
        <v>1</v>
      </c>
      <c r="D173" s="31">
        <v>0</v>
      </c>
      <c r="E173" s="31">
        <v>0</v>
      </c>
      <c r="F173" s="31">
        <v>4</v>
      </c>
      <c r="G173" s="31">
        <v>2</v>
      </c>
      <c r="H173" s="31" t="s">
        <v>29</v>
      </c>
      <c r="I173" s="31" t="s">
        <v>29</v>
      </c>
      <c r="J173" s="31">
        <f t="shared" si="10"/>
        <v>7</v>
      </c>
      <c r="K173" s="31">
        <f t="shared" si="11"/>
        <v>7</v>
      </c>
    </row>
    <row r="174" spans="1:11" ht="12" customHeight="1" x14ac:dyDescent="0.2">
      <c r="A174" s="123">
        <v>2004</v>
      </c>
      <c r="B174" s="31">
        <v>0</v>
      </c>
      <c r="C174" s="31">
        <v>1</v>
      </c>
      <c r="D174" s="31">
        <v>0</v>
      </c>
      <c r="E174" s="31">
        <v>1</v>
      </c>
      <c r="F174" s="31">
        <v>4</v>
      </c>
      <c r="G174" s="31">
        <v>2</v>
      </c>
      <c r="H174" s="31" t="s">
        <v>29</v>
      </c>
      <c r="I174" s="31" t="s">
        <v>29</v>
      </c>
      <c r="J174" s="31">
        <f t="shared" si="10"/>
        <v>8</v>
      </c>
      <c r="K174" s="31">
        <f t="shared" si="11"/>
        <v>8</v>
      </c>
    </row>
    <row r="175" spans="1:11" ht="12" customHeight="1" x14ac:dyDescent="0.2">
      <c r="A175" s="123">
        <v>2005</v>
      </c>
      <c r="B175" s="31">
        <v>0</v>
      </c>
      <c r="C175" s="31">
        <v>9</v>
      </c>
      <c r="D175" s="31">
        <v>3</v>
      </c>
      <c r="E175" s="31">
        <v>0</v>
      </c>
      <c r="F175" s="31">
        <v>9</v>
      </c>
      <c r="G175" s="31">
        <v>6</v>
      </c>
      <c r="H175" s="31" t="s">
        <v>29</v>
      </c>
      <c r="I175" s="31" t="s">
        <v>29</v>
      </c>
      <c r="J175" s="31">
        <f t="shared" si="10"/>
        <v>27</v>
      </c>
      <c r="K175" s="31">
        <f t="shared" si="11"/>
        <v>27</v>
      </c>
    </row>
    <row r="176" spans="1:11" ht="12" customHeight="1" x14ac:dyDescent="0.2">
      <c r="A176" s="123">
        <v>2006</v>
      </c>
      <c r="B176" s="31">
        <v>0</v>
      </c>
      <c r="C176" s="31">
        <v>3</v>
      </c>
      <c r="D176" s="31">
        <v>3</v>
      </c>
      <c r="E176" s="31">
        <v>2</v>
      </c>
      <c r="F176" s="31">
        <v>5</v>
      </c>
      <c r="G176" s="31">
        <v>3</v>
      </c>
      <c r="H176" s="31" t="s">
        <v>29</v>
      </c>
      <c r="I176" s="31" t="s">
        <v>29</v>
      </c>
      <c r="J176" s="31">
        <f t="shared" si="10"/>
        <v>16</v>
      </c>
      <c r="K176" s="31">
        <f t="shared" si="11"/>
        <v>16</v>
      </c>
    </row>
    <row r="177" spans="1:11" s="461" customFormat="1" ht="12" customHeight="1" x14ac:dyDescent="0.2">
      <c r="A177" s="123">
        <v>2007</v>
      </c>
      <c r="B177" s="52">
        <v>0</v>
      </c>
      <c r="C177" s="52">
        <v>0</v>
      </c>
      <c r="D177" s="52">
        <v>0</v>
      </c>
      <c r="E177" s="52">
        <v>4</v>
      </c>
      <c r="F177" s="52">
        <v>11</v>
      </c>
      <c r="G177" s="52">
        <v>2</v>
      </c>
      <c r="H177" s="31" t="s">
        <v>29</v>
      </c>
      <c r="I177" s="31" t="s">
        <v>29</v>
      </c>
      <c r="J177" s="52">
        <f t="shared" si="10"/>
        <v>17</v>
      </c>
      <c r="K177" s="52">
        <f t="shared" si="11"/>
        <v>17</v>
      </c>
    </row>
    <row r="178" spans="1:11" s="461" customFormat="1" ht="12" customHeight="1" x14ac:dyDescent="0.2">
      <c r="A178" s="122">
        <v>2008</v>
      </c>
      <c r="B178" s="52">
        <v>0</v>
      </c>
      <c r="C178" s="52">
        <v>3</v>
      </c>
      <c r="D178" s="52">
        <v>4</v>
      </c>
      <c r="E178" s="52">
        <v>2</v>
      </c>
      <c r="F178" s="52">
        <v>29</v>
      </c>
      <c r="G178" s="52">
        <v>3</v>
      </c>
      <c r="H178" s="52" t="s">
        <v>29</v>
      </c>
      <c r="I178" s="52" t="s">
        <v>29</v>
      </c>
      <c r="J178" s="52">
        <f t="shared" si="10"/>
        <v>41</v>
      </c>
      <c r="K178" s="52">
        <f t="shared" si="11"/>
        <v>41</v>
      </c>
    </row>
    <row r="179" spans="1:11" s="461" customFormat="1" ht="12" customHeight="1" x14ac:dyDescent="0.2">
      <c r="A179" s="122">
        <v>2009</v>
      </c>
      <c r="B179" s="52">
        <v>0</v>
      </c>
      <c r="C179" s="52">
        <v>6</v>
      </c>
      <c r="D179" s="52">
        <v>6</v>
      </c>
      <c r="E179" s="52">
        <v>8</v>
      </c>
      <c r="F179" s="52">
        <v>29</v>
      </c>
      <c r="G179" s="52">
        <v>1</v>
      </c>
      <c r="H179" s="52" t="s">
        <v>29</v>
      </c>
      <c r="I179" s="52" t="s">
        <v>29</v>
      </c>
      <c r="J179" s="52">
        <f t="shared" si="10"/>
        <v>50</v>
      </c>
      <c r="K179" s="52">
        <f t="shared" si="11"/>
        <v>50</v>
      </c>
    </row>
    <row r="180" spans="1:11" s="461" customFormat="1" ht="12" customHeight="1" x14ac:dyDescent="0.2">
      <c r="A180" s="122">
        <v>2010</v>
      </c>
      <c r="B180" s="52">
        <v>0</v>
      </c>
      <c r="C180" s="52">
        <v>4</v>
      </c>
      <c r="D180" s="52">
        <v>40</v>
      </c>
      <c r="E180" s="52">
        <v>56</v>
      </c>
      <c r="F180" s="52">
        <v>32</v>
      </c>
      <c r="G180" s="52">
        <v>18</v>
      </c>
      <c r="H180" s="52" t="s">
        <v>29</v>
      </c>
      <c r="I180" s="52" t="s">
        <v>29</v>
      </c>
      <c r="J180" s="52">
        <f t="shared" si="10"/>
        <v>150</v>
      </c>
      <c r="K180" s="52">
        <f t="shared" si="11"/>
        <v>150</v>
      </c>
    </row>
    <row r="181" spans="1:11" s="461" customFormat="1" ht="12" customHeight="1" x14ac:dyDescent="0.2">
      <c r="A181" s="122">
        <v>2011</v>
      </c>
      <c r="B181" s="31">
        <v>0</v>
      </c>
      <c r="C181" s="31">
        <v>0</v>
      </c>
      <c r="D181" s="31">
        <v>8</v>
      </c>
      <c r="E181" s="31">
        <v>23</v>
      </c>
      <c r="F181" s="31">
        <v>41</v>
      </c>
      <c r="G181" s="31">
        <v>1</v>
      </c>
      <c r="H181" s="31" t="s">
        <v>29</v>
      </c>
      <c r="I181" s="31" t="s">
        <v>29</v>
      </c>
      <c r="J181" s="31">
        <f t="shared" si="10"/>
        <v>73</v>
      </c>
      <c r="K181" s="31">
        <f t="shared" si="11"/>
        <v>73</v>
      </c>
    </row>
    <row r="182" spans="1:11" s="461" customFormat="1" ht="12" customHeight="1" x14ac:dyDescent="0.2">
      <c r="A182" s="122">
        <v>2012</v>
      </c>
      <c r="B182" s="52">
        <v>0</v>
      </c>
      <c r="C182" s="52">
        <v>5</v>
      </c>
      <c r="D182" s="52">
        <v>13</v>
      </c>
      <c r="E182" s="52">
        <v>8</v>
      </c>
      <c r="F182" s="52">
        <v>11</v>
      </c>
      <c r="G182" s="52">
        <v>0</v>
      </c>
      <c r="H182" s="52" t="s">
        <v>29</v>
      </c>
      <c r="I182" s="52" t="s">
        <v>29</v>
      </c>
      <c r="J182" s="52">
        <f t="shared" si="10"/>
        <v>37</v>
      </c>
      <c r="K182" s="52">
        <f t="shared" si="11"/>
        <v>37</v>
      </c>
    </row>
    <row r="183" spans="1:11" s="461" customFormat="1" ht="12" customHeight="1" x14ac:dyDescent="0.2">
      <c r="A183" s="122">
        <v>2013</v>
      </c>
      <c r="B183" s="52">
        <v>0</v>
      </c>
      <c r="C183" s="52">
        <v>1</v>
      </c>
      <c r="D183" s="52">
        <v>8</v>
      </c>
      <c r="E183" s="52">
        <v>5</v>
      </c>
      <c r="F183" s="52">
        <v>29</v>
      </c>
      <c r="G183" s="52">
        <v>4</v>
      </c>
      <c r="H183" s="52" t="s">
        <v>29</v>
      </c>
      <c r="I183" s="52" t="s">
        <v>29</v>
      </c>
      <c r="J183" s="52">
        <f t="shared" si="10"/>
        <v>47</v>
      </c>
      <c r="K183" s="52">
        <f t="shared" si="11"/>
        <v>47</v>
      </c>
    </row>
    <row r="184" spans="1:11" s="461" customFormat="1" ht="12" customHeight="1" x14ac:dyDescent="0.2">
      <c r="A184" s="122">
        <v>2014</v>
      </c>
      <c r="B184" s="52">
        <v>0</v>
      </c>
      <c r="C184" s="52">
        <v>7</v>
      </c>
      <c r="D184" s="52">
        <v>5</v>
      </c>
      <c r="E184" s="52">
        <v>14</v>
      </c>
      <c r="F184" s="52">
        <v>23</v>
      </c>
      <c r="G184" s="52">
        <v>28</v>
      </c>
      <c r="H184" s="52" t="s">
        <v>29</v>
      </c>
      <c r="I184" s="52" t="s">
        <v>29</v>
      </c>
      <c r="J184" s="52">
        <f t="shared" si="10"/>
        <v>77</v>
      </c>
      <c r="K184" s="52">
        <f t="shared" si="11"/>
        <v>77</v>
      </c>
    </row>
    <row r="185" spans="1:11" s="461" customFormat="1" ht="12" customHeight="1" x14ac:dyDescent="0.2">
      <c r="A185" s="122">
        <v>2015</v>
      </c>
      <c r="B185" s="52">
        <v>0</v>
      </c>
      <c r="C185" s="52">
        <v>7</v>
      </c>
      <c r="D185" s="52">
        <v>11</v>
      </c>
      <c r="E185" s="52">
        <v>37</v>
      </c>
      <c r="F185" s="52">
        <v>21</v>
      </c>
      <c r="G185" s="52">
        <v>0</v>
      </c>
      <c r="H185" s="52" t="s">
        <v>29</v>
      </c>
      <c r="I185" s="52" t="s">
        <v>29</v>
      </c>
      <c r="J185" s="52">
        <f t="shared" si="10"/>
        <v>76</v>
      </c>
      <c r="K185" s="52">
        <f t="shared" si="11"/>
        <v>76</v>
      </c>
    </row>
    <row r="186" spans="1:11" s="461" customFormat="1" ht="12" customHeight="1" x14ac:dyDescent="0.2">
      <c r="A186" s="122">
        <v>2016</v>
      </c>
      <c r="B186" s="52">
        <v>0</v>
      </c>
      <c r="C186" s="52">
        <v>4</v>
      </c>
      <c r="D186" s="52">
        <v>7</v>
      </c>
      <c r="E186" s="52">
        <v>10</v>
      </c>
      <c r="F186" s="52">
        <v>5</v>
      </c>
      <c r="G186" s="52">
        <v>0</v>
      </c>
      <c r="H186" s="52" t="s">
        <v>29</v>
      </c>
      <c r="I186" s="52" t="s">
        <v>29</v>
      </c>
      <c r="J186" s="52">
        <f t="shared" si="10"/>
        <v>26</v>
      </c>
      <c r="K186" s="52">
        <f t="shared" si="11"/>
        <v>26</v>
      </c>
    </row>
    <row r="187" spans="1:11" s="461" customFormat="1" ht="12" customHeight="1" x14ac:dyDescent="0.2">
      <c r="A187" s="122">
        <v>2017</v>
      </c>
      <c r="B187" s="52">
        <v>0</v>
      </c>
      <c r="C187" s="52">
        <v>3</v>
      </c>
      <c r="D187" s="52">
        <v>3</v>
      </c>
      <c r="E187" s="52">
        <v>3</v>
      </c>
      <c r="F187" s="52">
        <v>12</v>
      </c>
      <c r="G187" s="52">
        <v>6</v>
      </c>
      <c r="H187" s="52" t="s">
        <v>29</v>
      </c>
      <c r="I187" s="52" t="s">
        <v>29</v>
      </c>
      <c r="J187" s="52">
        <f t="shared" si="10"/>
        <v>27</v>
      </c>
      <c r="K187" s="52">
        <f t="shared" si="11"/>
        <v>27</v>
      </c>
    </row>
    <row r="188" spans="1:11" s="461" customFormat="1" ht="12" customHeight="1" x14ac:dyDescent="0.2">
      <c r="A188" s="122">
        <v>2018</v>
      </c>
      <c r="B188" s="52">
        <v>0</v>
      </c>
      <c r="C188" s="52">
        <v>5</v>
      </c>
      <c r="D188" s="52">
        <v>7</v>
      </c>
      <c r="E188" s="52">
        <v>1</v>
      </c>
      <c r="F188" s="52">
        <v>16</v>
      </c>
      <c r="G188" s="52">
        <v>5</v>
      </c>
      <c r="H188" s="52" t="s">
        <v>29</v>
      </c>
      <c r="I188" s="52" t="s">
        <v>29</v>
      </c>
      <c r="J188" s="52">
        <f>SUM(C188:G188)</f>
        <v>34</v>
      </c>
      <c r="K188" s="52">
        <f>SUM(B188:I188)</f>
        <v>34</v>
      </c>
    </row>
    <row r="189" spans="1:11" s="487" customFormat="1" ht="12" customHeight="1" x14ac:dyDescent="0.2">
      <c r="A189" s="122">
        <v>2019</v>
      </c>
      <c r="B189" s="52">
        <v>0</v>
      </c>
      <c r="C189" s="52">
        <v>5</v>
      </c>
      <c r="D189" s="52">
        <v>3</v>
      </c>
      <c r="E189" s="52">
        <v>10</v>
      </c>
      <c r="F189" s="52">
        <v>14</v>
      </c>
      <c r="G189" s="52">
        <v>8</v>
      </c>
      <c r="H189" s="52" t="s">
        <v>29</v>
      </c>
      <c r="I189" s="52" t="s">
        <v>29</v>
      </c>
      <c r="J189" s="52">
        <f t="shared" ref="J189" si="12">SUM(C189:G189)</f>
        <v>40</v>
      </c>
      <c r="K189" s="52">
        <f t="shared" ref="K189" si="13">SUM(B189:I189)</f>
        <v>40</v>
      </c>
    </row>
    <row r="190" spans="1:11" ht="12" customHeight="1" x14ac:dyDescent="0.2">
      <c r="A190" s="122" t="s">
        <v>392</v>
      </c>
      <c r="B190" s="31">
        <v>0</v>
      </c>
      <c r="C190" s="31">
        <v>1</v>
      </c>
      <c r="D190" s="31">
        <v>2</v>
      </c>
      <c r="E190" s="31">
        <v>6</v>
      </c>
      <c r="F190" s="31">
        <v>6</v>
      </c>
      <c r="G190" s="31">
        <v>3</v>
      </c>
      <c r="H190" s="52" t="s">
        <v>29</v>
      </c>
      <c r="I190" s="52" t="s">
        <v>29</v>
      </c>
      <c r="J190" s="31">
        <f t="shared" si="10"/>
        <v>18</v>
      </c>
      <c r="K190" s="52">
        <f t="shared" si="11"/>
        <v>18</v>
      </c>
    </row>
    <row r="191" spans="1:11" ht="12" customHeight="1" x14ac:dyDescent="0.2">
      <c r="A191" s="123"/>
      <c r="B191" s="195"/>
      <c r="C191" s="66"/>
      <c r="D191" s="66"/>
      <c r="E191" s="66"/>
      <c r="F191" s="66"/>
      <c r="G191" s="66"/>
      <c r="H191" s="66"/>
      <c r="I191" s="66"/>
      <c r="J191" s="66"/>
      <c r="K191" s="66"/>
    </row>
    <row r="192" spans="1:11" ht="12" customHeight="1" x14ac:dyDescent="0.2">
      <c r="A192" s="230" t="s">
        <v>111</v>
      </c>
      <c r="B192" s="229"/>
      <c r="C192" s="66"/>
      <c r="D192" s="66"/>
      <c r="E192" s="66"/>
      <c r="F192" s="66"/>
      <c r="G192" s="66"/>
      <c r="H192" s="66"/>
      <c r="I192" s="66"/>
      <c r="J192" s="66"/>
      <c r="K192" s="66"/>
    </row>
    <row r="193" spans="1:11" ht="12" customHeight="1" x14ac:dyDescent="0.2">
      <c r="A193" s="123">
        <v>1976</v>
      </c>
      <c r="B193" s="31">
        <f t="shared" ref="B193:K193" si="14">IF(AND(B146="-",B99="-",B52="-",B5="-"),"-",SUM(B146,B99,B52,B5))</f>
        <v>516</v>
      </c>
      <c r="C193" s="31">
        <f t="shared" si="14"/>
        <v>56</v>
      </c>
      <c r="D193" s="31">
        <f t="shared" si="14"/>
        <v>188</v>
      </c>
      <c r="E193" s="31">
        <f t="shared" si="14"/>
        <v>369</v>
      </c>
      <c r="F193" s="31">
        <f t="shared" si="14"/>
        <v>189</v>
      </c>
      <c r="G193" s="31">
        <f t="shared" si="14"/>
        <v>64</v>
      </c>
      <c r="H193" s="31">
        <f t="shared" si="14"/>
        <v>7</v>
      </c>
      <c r="I193" s="31">
        <f t="shared" si="14"/>
        <v>74</v>
      </c>
      <c r="J193" s="31">
        <f t="shared" si="14"/>
        <v>866</v>
      </c>
      <c r="K193" s="31">
        <f t="shared" si="14"/>
        <v>1463</v>
      </c>
    </row>
    <row r="194" spans="1:11" ht="12" customHeight="1" x14ac:dyDescent="0.2">
      <c r="A194" s="123">
        <v>1977</v>
      </c>
      <c r="B194" s="31">
        <f t="shared" ref="B194:K194" si="15">IF(AND(B147="-",B100="-",B53="-",B6="-"),"-",SUM(B147,B100,B53,B6))</f>
        <v>99</v>
      </c>
      <c r="C194" s="31">
        <f t="shared" si="15"/>
        <v>78</v>
      </c>
      <c r="D194" s="31">
        <f t="shared" si="15"/>
        <v>119</v>
      </c>
      <c r="E194" s="31">
        <f t="shared" si="15"/>
        <v>164</v>
      </c>
      <c r="F194" s="31">
        <f t="shared" si="15"/>
        <v>237</v>
      </c>
      <c r="G194" s="31">
        <f t="shared" si="15"/>
        <v>89</v>
      </c>
      <c r="H194" s="31">
        <f t="shared" si="15"/>
        <v>2</v>
      </c>
      <c r="I194" s="31">
        <f t="shared" si="15"/>
        <v>27</v>
      </c>
      <c r="J194" s="31">
        <f t="shared" si="15"/>
        <v>687</v>
      </c>
      <c r="K194" s="31">
        <f t="shared" si="15"/>
        <v>815</v>
      </c>
    </row>
    <row r="195" spans="1:11" ht="12" customHeight="1" x14ac:dyDescent="0.2">
      <c r="A195" s="123">
        <v>1978</v>
      </c>
      <c r="B195" s="31">
        <f t="shared" ref="B195:K195" si="16">IF(AND(B148="-",B101="-",B54="-",B7="-"),"-",SUM(B148,B101,B54,B7))</f>
        <v>213</v>
      </c>
      <c r="C195" s="31">
        <f t="shared" si="16"/>
        <v>64</v>
      </c>
      <c r="D195" s="31">
        <f t="shared" si="16"/>
        <v>142</v>
      </c>
      <c r="E195" s="31">
        <f t="shared" si="16"/>
        <v>102</v>
      </c>
      <c r="F195" s="31">
        <f t="shared" si="16"/>
        <v>94</v>
      </c>
      <c r="G195" s="31">
        <f t="shared" si="16"/>
        <v>48</v>
      </c>
      <c r="H195" s="31">
        <f t="shared" si="16"/>
        <v>6</v>
      </c>
      <c r="I195" s="31">
        <f t="shared" si="16"/>
        <v>34</v>
      </c>
      <c r="J195" s="31">
        <f t="shared" si="16"/>
        <v>450</v>
      </c>
      <c r="K195" s="31">
        <f t="shared" si="16"/>
        <v>703</v>
      </c>
    </row>
    <row r="196" spans="1:11" ht="12" customHeight="1" x14ac:dyDescent="0.2">
      <c r="A196" s="123">
        <v>1979</v>
      </c>
      <c r="B196" s="31">
        <f t="shared" ref="B196:K196" si="17">IF(AND(B149="-",B102="-",B55="-",B8="-"),"-",SUM(B149,B102,B55,B8))</f>
        <v>113</v>
      </c>
      <c r="C196" s="31">
        <f t="shared" si="17"/>
        <v>62</v>
      </c>
      <c r="D196" s="31">
        <f t="shared" si="17"/>
        <v>114</v>
      </c>
      <c r="E196" s="31">
        <f t="shared" si="17"/>
        <v>185</v>
      </c>
      <c r="F196" s="31">
        <f t="shared" si="17"/>
        <v>219</v>
      </c>
      <c r="G196" s="31">
        <f t="shared" si="17"/>
        <v>30</v>
      </c>
      <c r="H196" s="31">
        <f t="shared" si="17"/>
        <v>8</v>
      </c>
      <c r="I196" s="31">
        <f t="shared" si="17"/>
        <v>30</v>
      </c>
      <c r="J196" s="31">
        <f t="shared" si="17"/>
        <v>610</v>
      </c>
      <c r="K196" s="31">
        <f t="shared" si="17"/>
        <v>761</v>
      </c>
    </row>
    <row r="197" spans="1:11" ht="12" customHeight="1" x14ac:dyDescent="0.2">
      <c r="A197" s="123">
        <v>1980</v>
      </c>
      <c r="B197" s="31">
        <f t="shared" ref="B197:K197" si="18">IF(AND(B150="-",B103="-",B56="-",B9="-"),"-",SUM(B150,B103,B56,B9))</f>
        <v>104</v>
      </c>
      <c r="C197" s="31">
        <f t="shared" si="18"/>
        <v>47</v>
      </c>
      <c r="D197" s="31">
        <f t="shared" si="18"/>
        <v>122</v>
      </c>
      <c r="E197" s="31">
        <f t="shared" si="18"/>
        <v>142</v>
      </c>
      <c r="F197" s="31">
        <f t="shared" si="18"/>
        <v>72</v>
      </c>
      <c r="G197" s="31">
        <f t="shared" si="18"/>
        <v>20</v>
      </c>
      <c r="H197" s="31">
        <f t="shared" si="18"/>
        <v>9</v>
      </c>
      <c r="I197" s="31">
        <f t="shared" si="18"/>
        <v>30</v>
      </c>
      <c r="J197" s="31">
        <f t="shared" si="18"/>
        <v>403</v>
      </c>
      <c r="K197" s="31">
        <f t="shared" si="18"/>
        <v>546</v>
      </c>
    </row>
    <row r="198" spans="1:11" ht="12" customHeight="1" x14ac:dyDescent="0.2">
      <c r="A198" s="123">
        <v>1981</v>
      </c>
      <c r="B198" s="31">
        <f t="shared" ref="B198:K198" si="19">IF(AND(B151="-",B104="-",B57="-",B10="-"),"-",SUM(B151,B104,B57,B10))</f>
        <v>114</v>
      </c>
      <c r="C198" s="31">
        <f t="shared" si="19"/>
        <v>102</v>
      </c>
      <c r="D198" s="31">
        <f t="shared" si="19"/>
        <v>156</v>
      </c>
      <c r="E198" s="31">
        <f t="shared" si="19"/>
        <v>286</v>
      </c>
      <c r="F198" s="31">
        <f t="shared" si="19"/>
        <v>200</v>
      </c>
      <c r="G198" s="31">
        <f t="shared" si="19"/>
        <v>112</v>
      </c>
      <c r="H198" s="31">
        <f t="shared" si="19"/>
        <v>7</v>
      </c>
      <c r="I198" s="31">
        <f t="shared" si="19"/>
        <v>50</v>
      </c>
      <c r="J198" s="31">
        <f t="shared" si="19"/>
        <v>856</v>
      </c>
      <c r="K198" s="31">
        <f t="shared" si="19"/>
        <v>1027</v>
      </c>
    </row>
    <row r="199" spans="1:11" ht="12" customHeight="1" x14ac:dyDescent="0.2">
      <c r="A199" s="123">
        <v>1982</v>
      </c>
      <c r="B199" s="31">
        <f t="shared" ref="B199:K199" si="20">IF(AND(B152="-",B105="-",B58="-",B11="-"),"-",SUM(B152,B105,B58,B11))</f>
        <v>161</v>
      </c>
      <c r="C199" s="31">
        <f t="shared" si="20"/>
        <v>54</v>
      </c>
      <c r="D199" s="31">
        <f t="shared" si="20"/>
        <v>179</v>
      </c>
      <c r="E199" s="31">
        <f t="shared" si="20"/>
        <v>258</v>
      </c>
      <c r="F199" s="31">
        <f t="shared" si="20"/>
        <v>336</v>
      </c>
      <c r="G199" s="31">
        <f t="shared" si="20"/>
        <v>234</v>
      </c>
      <c r="H199" s="31">
        <f t="shared" si="20"/>
        <v>26</v>
      </c>
      <c r="I199" s="31">
        <f t="shared" si="20"/>
        <v>32</v>
      </c>
      <c r="J199" s="31">
        <f t="shared" si="20"/>
        <v>1061</v>
      </c>
      <c r="K199" s="31">
        <f t="shared" si="20"/>
        <v>1280</v>
      </c>
    </row>
    <row r="200" spans="1:11" ht="12" customHeight="1" x14ac:dyDescent="0.2">
      <c r="A200" s="123">
        <v>1983</v>
      </c>
      <c r="B200" s="31">
        <f t="shared" ref="B200:K200" si="21">IF(AND(B153="-",B106="-",B59="-",B12="-"),"-",SUM(B153,B106,B59,B12))</f>
        <v>254</v>
      </c>
      <c r="C200" s="31">
        <f t="shared" si="21"/>
        <v>119</v>
      </c>
      <c r="D200" s="31">
        <f t="shared" si="21"/>
        <v>248</v>
      </c>
      <c r="E200" s="31">
        <f t="shared" si="21"/>
        <v>316</v>
      </c>
      <c r="F200" s="31">
        <f t="shared" si="21"/>
        <v>473</v>
      </c>
      <c r="G200" s="31">
        <f t="shared" si="21"/>
        <v>182</v>
      </c>
      <c r="H200" s="31">
        <f t="shared" si="21"/>
        <v>10</v>
      </c>
      <c r="I200" s="31">
        <f t="shared" si="21"/>
        <v>31</v>
      </c>
      <c r="J200" s="31">
        <f t="shared" si="21"/>
        <v>1338</v>
      </c>
      <c r="K200" s="31">
        <f t="shared" si="21"/>
        <v>1633</v>
      </c>
    </row>
    <row r="201" spans="1:11" ht="12" customHeight="1" x14ac:dyDescent="0.2">
      <c r="A201" s="123">
        <v>1984</v>
      </c>
      <c r="B201" s="31">
        <f t="shared" ref="B201:K201" si="22">IF(AND(B154="-",B107="-",B60="-",B13="-"),"-",SUM(B154,B107,B60,B13))</f>
        <v>166</v>
      </c>
      <c r="C201" s="31">
        <f t="shared" si="22"/>
        <v>56</v>
      </c>
      <c r="D201" s="31">
        <f t="shared" si="22"/>
        <v>39</v>
      </c>
      <c r="E201" s="31">
        <f t="shared" si="22"/>
        <v>145</v>
      </c>
      <c r="F201" s="31">
        <f t="shared" si="22"/>
        <v>212</v>
      </c>
      <c r="G201" s="31">
        <f t="shared" si="22"/>
        <v>0</v>
      </c>
      <c r="H201" s="31">
        <f t="shared" si="22"/>
        <v>19</v>
      </c>
      <c r="I201" s="31">
        <f t="shared" si="22"/>
        <v>27</v>
      </c>
      <c r="J201" s="31">
        <f t="shared" si="22"/>
        <v>452</v>
      </c>
      <c r="K201" s="31">
        <f t="shared" si="22"/>
        <v>664</v>
      </c>
    </row>
    <row r="202" spans="1:11" ht="12" customHeight="1" x14ac:dyDescent="0.2">
      <c r="A202" s="123">
        <v>1985</v>
      </c>
      <c r="B202" s="31">
        <f t="shared" ref="B202:K202" si="23">IF(AND(B155="-",B108="-",B61="-",B14="-"),"-",SUM(B155,B108,B61,B14))</f>
        <v>140</v>
      </c>
      <c r="C202" s="31">
        <f t="shared" si="23"/>
        <v>64</v>
      </c>
      <c r="D202" s="31">
        <f t="shared" si="23"/>
        <v>81</v>
      </c>
      <c r="E202" s="31">
        <f t="shared" si="23"/>
        <v>417</v>
      </c>
      <c r="F202" s="31">
        <f t="shared" si="23"/>
        <v>343</v>
      </c>
      <c r="G202" s="31">
        <f t="shared" si="23"/>
        <v>203</v>
      </c>
      <c r="H202" s="31">
        <f t="shared" si="23"/>
        <v>23</v>
      </c>
      <c r="I202" s="31">
        <f t="shared" si="23"/>
        <v>19</v>
      </c>
      <c r="J202" s="31">
        <f t="shared" si="23"/>
        <v>1108</v>
      </c>
      <c r="K202" s="31">
        <f t="shared" si="23"/>
        <v>1290</v>
      </c>
    </row>
    <row r="203" spans="1:11" ht="12" customHeight="1" x14ac:dyDescent="0.2">
      <c r="A203" s="123">
        <v>1986</v>
      </c>
      <c r="B203" s="31">
        <f t="shared" ref="B203:K203" si="24">IF(AND(B156="-",B109="-",B62="-",B15="-"),"-",SUM(B156,B109,B62,B15))</f>
        <v>109</v>
      </c>
      <c r="C203" s="31">
        <f t="shared" si="24"/>
        <v>91</v>
      </c>
      <c r="D203" s="31">
        <f t="shared" si="24"/>
        <v>334</v>
      </c>
      <c r="E203" s="31">
        <f t="shared" si="24"/>
        <v>453</v>
      </c>
      <c r="F203" s="31">
        <f t="shared" si="24"/>
        <v>159</v>
      </c>
      <c r="G203" s="31">
        <f t="shared" si="24"/>
        <v>1</v>
      </c>
      <c r="H203" s="31">
        <f t="shared" si="24"/>
        <v>0</v>
      </c>
      <c r="I203" s="31">
        <f t="shared" si="24"/>
        <v>23</v>
      </c>
      <c r="J203" s="31">
        <f t="shared" si="24"/>
        <v>1038</v>
      </c>
      <c r="K203" s="31">
        <f t="shared" si="24"/>
        <v>1170</v>
      </c>
    </row>
    <row r="204" spans="1:11" ht="12" customHeight="1" x14ac:dyDescent="0.2">
      <c r="A204" s="123">
        <v>1987</v>
      </c>
      <c r="B204" s="31">
        <f t="shared" ref="B204:K204" si="25">IF(AND(B157="-",B110="-",B63="-",B16="-"),"-",SUM(B157,B110,B63,B16))</f>
        <v>166</v>
      </c>
      <c r="C204" s="31">
        <f t="shared" si="25"/>
        <v>134</v>
      </c>
      <c r="D204" s="31">
        <f t="shared" si="25"/>
        <v>0</v>
      </c>
      <c r="E204" s="31">
        <f t="shared" si="25"/>
        <v>443</v>
      </c>
      <c r="F204" s="31">
        <f t="shared" si="25"/>
        <v>620</v>
      </c>
      <c r="G204" s="31">
        <f t="shared" si="25"/>
        <v>0</v>
      </c>
      <c r="H204" s="31">
        <f t="shared" si="25"/>
        <v>6</v>
      </c>
      <c r="I204" s="31">
        <f t="shared" si="25"/>
        <v>44</v>
      </c>
      <c r="J204" s="31">
        <f t="shared" si="25"/>
        <v>1197</v>
      </c>
      <c r="K204" s="31">
        <f t="shared" si="25"/>
        <v>1413</v>
      </c>
    </row>
    <row r="205" spans="1:11" ht="12" customHeight="1" x14ac:dyDescent="0.2">
      <c r="A205" s="123">
        <v>1988</v>
      </c>
      <c r="B205" s="31">
        <f t="shared" ref="B205:K205" si="26">IF(AND(B158="-",B111="-",B64="-",B17="-"),"-",SUM(B158,B111,B64,B17))</f>
        <v>160</v>
      </c>
      <c r="C205" s="31">
        <f t="shared" si="26"/>
        <v>181</v>
      </c>
      <c r="D205" s="31">
        <f t="shared" si="26"/>
        <v>199</v>
      </c>
      <c r="E205" s="31">
        <f t="shared" si="26"/>
        <v>339</v>
      </c>
      <c r="F205" s="31">
        <f t="shared" si="26"/>
        <v>518</v>
      </c>
      <c r="G205" s="31">
        <f t="shared" si="26"/>
        <v>190</v>
      </c>
      <c r="H205" s="31">
        <f t="shared" si="26"/>
        <v>0</v>
      </c>
      <c r="I205" s="31">
        <f t="shared" si="26"/>
        <v>45</v>
      </c>
      <c r="J205" s="31">
        <f t="shared" si="26"/>
        <v>1427</v>
      </c>
      <c r="K205" s="31">
        <f t="shared" si="26"/>
        <v>1632</v>
      </c>
    </row>
    <row r="206" spans="1:11" ht="12" customHeight="1" x14ac:dyDescent="0.2">
      <c r="A206" s="123">
        <v>1989</v>
      </c>
      <c r="B206" s="31">
        <f t="shared" ref="B206:K206" si="27">IF(AND(B159="-",B112="-",B65="-",B18="-"),"-",SUM(B159,B112,B65,B18))</f>
        <v>300</v>
      </c>
      <c r="C206" s="31">
        <f t="shared" si="27"/>
        <v>138</v>
      </c>
      <c r="D206" s="31">
        <f t="shared" si="27"/>
        <v>152</v>
      </c>
      <c r="E206" s="31">
        <f t="shared" si="27"/>
        <v>558</v>
      </c>
      <c r="F206" s="31">
        <f t="shared" si="27"/>
        <v>428</v>
      </c>
      <c r="G206" s="31">
        <f t="shared" si="27"/>
        <v>380</v>
      </c>
      <c r="H206" s="31">
        <f t="shared" si="27"/>
        <v>0</v>
      </c>
      <c r="I206" s="31">
        <f t="shared" si="27"/>
        <v>71</v>
      </c>
      <c r="J206" s="31">
        <f t="shared" si="27"/>
        <v>1656</v>
      </c>
      <c r="K206" s="31">
        <f t="shared" si="27"/>
        <v>2027</v>
      </c>
    </row>
    <row r="207" spans="1:11" ht="12" customHeight="1" x14ac:dyDescent="0.2">
      <c r="A207" s="123">
        <v>1990</v>
      </c>
      <c r="B207" s="31">
        <f t="shared" ref="B207:K207" si="28">IF(AND(B160="-",B113="-",B66="-",B19="-"),"-",SUM(B160,B113,B66,B19))</f>
        <v>105</v>
      </c>
      <c r="C207" s="31">
        <f t="shared" si="28"/>
        <v>146</v>
      </c>
      <c r="D207" s="31">
        <f t="shared" si="28"/>
        <v>153</v>
      </c>
      <c r="E207" s="31">
        <f t="shared" si="28"/>
        <v>375</v>
      </c>
      <c r="F207" s="31">
        <f t="shared" si="28"/>
        <v>575</v>
      </c>
      <c r="G207" s="31">
        <f t="shared" si="28"/>
        <v>232</v>
      </c>
      <c r="H207" s="31">
        <f t="shared" si="28"/>
        <v>2</v>
      </c>
      <c r="I207" s="31">
        <f t="shared" si="28"/>
        <v>32</v>
      </c>
      <c r="J207" s="31">
        <f t="shared" si="28"/>
        <v>1481</v>
      </c>
      <c r="K207" s="31">
        <f t="shared" si="28"/>
        <v>1620</v>
      </c>
    </row>
    <row r="208" spans="1:11" ht="12" customHeight="1" x14ac:dyDescent="0.2">
      <c r="A208" s="123">
        <v>1991</v>
      </c>
      <c r="B208" s="31">
        <f t="shared" ref="B208:K208" si="29">IF(AND(B161="-",B114="-",B67="-",B20="-"),"-",SUM(B161,B114,B67,B20))</f>
        <v>127</v>
      </c>
      <c r="C208" s="31">
        <f t="shared" si="29"/>
        <v>112</v>
      </c>
      <c r="D208" s="31">
        <f t="shared" si="29"/>
        <v>102</v>
      </c>
      <c r="E208" s="31">
        <f t="shared" si="29"/>
        <v>335</v>
      </c>
      <c r="F208" s="31">
        <f t="shared" si="29"/>
        <v>599</v>
      </c>
      <c r="G208" s="31">
        <f t="shared" si="29"/>
        <v>0</v>
      </c>
      <c r="H208" s="31">
        <f t="shared" si="29"/>
        <v>50</v>
      </c>
      <c r="I208" s="31">
        <f t="shared" si="29"/>
        <v>33</v>
      </c>
      <c r="J208" s="31">
        <f t="shared" si="29"/>
        <v>1148</v>
      </c>
      <c r="K208" s="31">
        <f t="shared" si="29"/>
        <v>1358</v>
      </c>
    </row>
    <row r="209" spans="1:11" ht="12" customHeight="1" x14ac:dyDescent="0.2">
      <c r="A209" s="123">
        <v>1992</v>
      </c>
      <c r="B209" s="31">
        <f t="shared" ref="B209:K209" si="30">IF(AND(B162="-",B115="-",B68="-",B21="-"),"-",SUM(B162,B115,B68,B21))</f>
        <v>80</v>
      </c>
      <c r="C209" s="31">
        <f t="shared" si="30"/>
        <v>73</v>
      </c>
      <c r="D209" s="31">
        <f t="shared" si="30"/>
        <v>89</v>
      </c>
      <c r="E209" s="31">
        <f t="shared" si="30"/>
        <v>244</v>
      </c>
      <c r="F209" s="31">
        <f t="shared" si="30"/>
        <v>237</v>
      </c>
      <c r="G209" s="31">
        <f t="shared" si="30"/>
        <v>0</v>
      </c>
      <c r="H209" s="31">
        <f t="shared" si="30"/>
        <v>1</v>
      </c>
      <c r="I209" s="31">
        <f t="shared" si="30"/>
        <v>63</v>
      </c>
      <c r="J209" s="31">
        <f t="shared" si="30"/>
        <v>643</v>
      </c>
      <c r="K209" s="31">
        <f t="shared" si="30"/>
        <v>787</v>
      </c>
    </row>
    <row r="210" spans="1:11" ht="12" customHeight="1" x14ac:dyDescent="0.2">
      <c r="A210" s="123">
        <v>1993</v>
      </c>
      <c r="B210" s="31">
        <f t="shared" ref="B210:K210" si="31">IF(AND(B163="-",B116="-",B69="-",B22="-"),"-",SUM(B163,B116,B69,B22))</f>
        <v>98</v>
      </c>
      <c r="C210" s="31">
        <f t="shared" si="31"/>
        <v>122</v>
      </c>
      <c r="D210" s="31">
        <f t="shared" si="31"/>
        <v>96</v>
      </c>
      <c r="E210" s="31">
        <f t="shared" si="31"/>
        <v>329</v>
      </c>
      <c r="F210" s="31">
        <f t="shared" si="31"/>
        <v>407</v>
      </c>
      <c r="G210" s="31">
        <f t="shared" si="31"/>
        <v>238</v>
      </c>
      <c r="H210" s="31">
        <f t="shared" si="31"/>
        <v>0</v>
      </c>
      <c r="I210" s="31">
        <f t="shared" si="31"/>
        <v>18</v>
      </c>
      <c r="J210" s="31">
        <f t="shared" si="31"/>
        <v>1192</v>
      </c>
      <c r="K210" s="31">
        <f t="shared" si="31"/>
        <v>1308</v>
      </c>
    </row>
    <row r="211" spans="1:11" ht="12" customHeight="1" x14ac:dyDescent="0.2">
      <c r="A211" s="123">
        <v>1994</v>
      </c>
      <c r="B211" s="31">
        <f t="shared" ref="B211:K211" si="32">IF(AND(B164="-",B117="-",B70="-",B23="-"),"-",SUM(B164,B117,B70,B23))</f>
        <v>55</v>
      </c>
      <c r="C211" s="31">
        <f t="shared" si="32"/>
        <v>28</v>
      </c>
      <c r="D211" s="31">
        <f t="shared" si="32"/>
        <v>70</v>
      </c>
      <c r="E211" s="31">
        <f t="shared" si="32"/>
        <v>3</v>
      </c>
      <c r="F211" s="31">
        <f t="shared" si="32"/>
        <v>0</v>
      </c>
      <c r="G211" s="31">
        <f t="shared" si="32"/>
        <v>0</v>
      </c>
      <c r="H211" s="31">
        <f t="shared" si="32"/>
        <v>0</v>
      </c>
      <c r="I211" s="31">
        <f t="shared" si="32"/>
        <v>4</v>
      </c>
      <c r="J211" s="31">
        <f t="shared" si="32"/>
        <v>101</v>
      </c>
      <c r="K211" s="31">
        <f t="shared" si="32"/>
        <v>160</v>
      </c>
    </row>
    <row r="212" spans="1:11" ht="12" customHeight="1" x14ac:dyDescent="0.2">
      <c r="A212" s="123">
        <v>1995</v>
      </c>
      <c r="B212" s="31">
        <f t="shared" ref="B212:K212" si="33">IF(AND(B165="-",B118="-",B71="-",B24="-"),"-",SUM(B165,B118,B71,B24))</f>
        <v>16</v>
      </c>
      <c r="C212" s="31">
        <f t="shared" si="33"/>
        <v>10</v>
      </c>
      <c r="D212" s="31">
        <f t="shared" si="33"/>
        <v>0</v>
      </c>
      <c r="E212" s="31">
        <f t="shared" si="33"/>
        <v>1</v>
      </c>
      <c r="F212" s="31">
        <f t="shared" si="33"/>
        <v>313</v>
      </c>
      <c r="G212" s="31">
        <f t="shared" si="33"/>
        <v>0</v>
      </c>
      <c r="H212" s="31">
        <f t="shared" si="33"/>
        <v>0</v>
      </c>
      <c r="I212" s="31">
        <f t="shared" si="33"/>
        <v>19</v>
      </c>
      <c r="J212" s="31">
        <f t="shared" si="33"/>
        <v>324</v>
      </c>
      <c r="K212" s="31">
        <f t="shared" si="33"/>
        <v>359</v>
      </c>
    </row>
    <row r="213" spans="1:11" ht="12" customHeight="1" x14ac:dyDescent="0.2">
      <c r="A213" s="123">
        <v>1996</v>
      </c>
      <c r="B213" s="31">
        <f t="shared" ref="B213:K213" si="34">IF(AND(B166="-",B119="-",B72="-",B25="-"),"-",SUM(B166,B119,B72,B25))</f>
        <v>46</v>
      </c>
      <c r="C213" s="31">
        <f t="shared" si="34"/>
        <v>13</v>
      </c>
      <c r="D213" s="31">
        <f t="shared" si="34"/>
        <v>34</v>
      </c>
      <c r="E213" s="31">
        <f t="shared" si="34"/>
        <v>42</v>
      </c>
      <c r="F213" s="31">
        <f t="shared" si="34"/>
        <v>102</v>
      </c>
      <c r="G213" s="31">
        <f t="shared" si="34"/>
        <v>90</v>
      </c>
      <c r="H213" s="31" t="str">
        <f t="shared" si="34"/>
        <v>-</v>
      </c>
      <c r="I213" s="31">
        <f t="shared" si="34"/>
        <v>4</v>
      </c>
      <c r="J213" s="31">
        <f t="shared" si="34"/>
        <v>281</v>
      </c>
      <c r="K213" s="31">
        <f t="shared" si="34"/>
        <v>331</v>
      </c>
    </row>
    <row r="214" spans="1:11" ht="12" customHeight="1" x14ac:dyDescent="0.2">
      <c r="A214" s="123">
        <v>1997</v>
      </c>
      <c r="B214" s="31">
        <f t="shared" ref="B214:K214" si="35">IF(AND(B167="-",B120="-",B73="-",B26="-"),"-",SUM(B167,B120,B73,B26))</f>
        <v>9</v>
      </c>
      <c r="C214" s="31">
        <f t="shared" si="35"/>
        <v>25</v>
      </c>
      <c r="D214" s="31">
        <f t="shared" si="35"/>
        <v>48</v>
      </c>
      <c r="E214" s="31">
        <f t="shared" si="35"/>
        <v>0</v>
      </c>
      <c r="F214" s="31">
        <f t="shared" si="35"/>
        <v>164</v>
      </c>
      <c r="G214" s="31">
        <f t="shared" si="35"/>
        <v>62</v>
      </c>
      <c r="H214" s="31" t="str">
        <f t="shared" si="35"/>
        <v>-</v>
      </c>
      <c r="I214" s="31">
        <f t="shared" si="35"/>
        <v>2</v>
      </c>
      <c r="J214" s="31">
        <f t="shared" si="35"/>
        <v>299</v>
      </c>
      <c r="K214" s="31">
        <f t="shared" si="35"/>
        <v>310</v>
      </c>
    </row>
    <row r="215" spans="1:11" ht="12" customHeight="1" x14ac:dyDescent="0.2">
      <c r="A215" s="123">
        <v>1998</v>
      </c>
      <c r="B215" s="31">
        <f t="shared" ref="B215:K215" si="36">IF(AND(B168="-",B121="-",B74="-",B27="-"),"-",SUM(B168,B121,B74,B27))</f>
        <v>6</v>
      </c>
      <c r="C215" s="31">
        <f t="shared" si="36"/>
        <v>33</v>
      </c>
      <c r="D215" s="31">
        <f t="shared" si="36"/>
        <v>19</v>
      </c>
      <c r="E215" s="31">
        <f t="shared" si="36"/>
        <v>3</v>
      </c>
      <c r="F215" s="31">
        <f t="shared" si="36"/>
        <v>41</v>
      </c>
      <c r="G215" s="31">
        <f t="shared" si="36"/>
        <v>43</v>
      </c>
      <c r="H215" s="31" t="str">
        <f t="shared" si="36"/>
        <v>-</v>
      </c>
      <c r="I215" s="31">
        <f t="shared" si="36"/>
        <v>3</v>
      </c>
      <c r="J215" s="31">
        <f t="shared" si="36"/>
        <v>139</v>
      </c>
      <c r="K215" s="31">
        <f t="shared" si="36"/>
        <v>148</v>
      </c>
    </row>
    <row r="216" spans="1:11" ht="12" customHeight="1" x14ac:dyDescent="0.2">
      <c r="A216" s="123">
        <v>1999</v>
      </c>
      <c r="B216" s="31">
        <f t="shared" ref="B216:K216" si="37">IF(AND(B169="-",B122="-",B75="-",B28="-"),"-",SUM(B169,B122,B75,B28))</f>
        <v>6</v>
      </c>
      <c r="C216" s="31">
        <f t="shared" si="37"/>
        <v>43</v>
      </c>
      <c r="D216" s="31">
        <f t="shared" si="37"/>
        <v>46</v>
      </c>
      <c r="E216" s="31">
        <f t="shared" si="37"/>
        <v>5</v>
      </c>
      <c r="F216" s="31">
        <f t="shared" si="37"/>
        <v>117</v>
      </c>
      <c r="G216" s="31">
        <f t="shared" si="37"/>
        <v>71</v>
      </c>
      <c r="H216" s="31" t="str">
        <f t="shared" si="37"/>
        <v>-</v>
      </c>
      <c r="I216" s="31">
        <f t="shared" si="37"/>
        <v>1</v>
      </c>
      <c r="J216" s="31">
        <f t="shared" si="37"/>
        <v>282</v>
      </c>
      <c r="K216" s="31">
        <f t="shared" si="37"/>
        <v>289</v>
      </c>
    </row>
    <row r="217" spans="1:11" ht="12" customHeight="1" x14ac:dyDescent="0.2">
      <c r="A217" s="123">
        <v>2000</v>
      </c>
      <c r="B217" s="31">
        <f t="shared" ref="B217:K217" si="38">IF(AND(B170="-",B123="-",B76="-",B29="-"),"-",SUM(B170,B123,B76,B29))</f>
        <v>5</v>
      </c>
      <c r="C217" s="31">
        <f t="shared" si="38"/>
        <v>43</v>
      </c>
      <c r="D217" s="31">
        <f t="shared" si="38"/>
        <v>41</v>
      </c>
      <c r="E217" s="31">
        <f t="shared" si="38"/>
        <v>5</v>
      </c>
      <c r="F217" s="31">
        <f t="shared" si="38"/>
        <v>55</v>
      </c>
      <c r="G217" s="31">
        <f t="shared" si="38"/>
        <v>0</v>
      </c>
      <c r="H217" s="31" t="str">
        <f t="shared" si="38"/>
        <v>-</v>
      </c>
      <c r="I217" s="31">
        <f t="shared" si="38"/>
        <v>1</v>
      </c>
      <c r="J217" s="31">
        <f t="shared" si="38"/>
        <v>144</v>
      </c>
      <c r="K217" s="31">
        <f t="shared" si="38"/>
        <v>150</v>
      </c>
    </row>
    <row r="218" spans="1:11" ht="12" customHeight="1" x14ac:dyDescent="0.2">
      <c r="A218" s="123">
        <v>2001</v>
      </c>
      <c r="B218" s="31">
        <f t="shared" ref="B218:K218" si="39">IF(AND(B171="-",B124="-",B77="-",B30="-"),"-",SUM(B171,B124,B77,B30))</f>
        <v>22</v>
      </c>
      <c r="C218" s="31">
        <f t="shared" si="39"/>
        <v>53</v>
      </c>
      <c r="D218" s="31">
        <f t="shared" si="39"/>
        <v>65</v>
      </c>
      <c r="E218" s="31">
        <f t="shared" si="39"/>
        <v>122</v>
      </c>
      <c r="F218" s="31">
        <f t="shared" si="39"/>
        <v>172</v>
      </c>
      <c r="G218" s="31">
        <f t="shared" si="39"/>
        <v>104</v>
      </c>
      <c r="H218" s="31" t="str">
        <f t="shared" si="39"/>
        <v>-</v>
      </c>
      <c r="I218" s="31">
        <f t="shared" si="39"/>
        <v>5</v>
      </c>
      <c r="J218" s="31">
        <f t="shared" si="39"/>
        <v>516</v>
      </c>
      <c r="K218" s="31">
        <f t="shared" si="39"/>
        <v>543</v>
      </c>
    </row>
    <row r="219" spans="1:11" ht="12" customHeight="1" x14ac:dyDescent="0.2">
      <c r="A219" s="123">
        <v>2002</v>
      </c>
      <c r="B219" s="31">
        <f t="shared" ref="B219:K219" si="40">IF(AND(B172="-",B125="-",B78="-",B31="-"),"-",SUM(B172,B125,B78,B31))</f>
        <v>14</v>
      </c>
      <c r="C219" s="31">
        <f t="shared" si="40"/>
        <v>31</v>
      </c>
      <c r="D219" s="31">
        <f t="shared" si="40"/>
        <v>42</v>
      </c>
      <c r="E219" s="31">
        <f t="shared" si="40"/>
        <v>61</v>
      </c>
      <c r="F219" s="31">
        <f t="shared" si="40"/>
        <v>51</v>
      </c>
      <c r="G219" s="31">
        <f t="shared" si="40"/>
        <v>41</v>
      </c>
      <c r="H219" s="31">
        <f t="shared" si="40"/>
        <v>10</v>
      </c>
      <c r="I219" s="31">
        <f t="shared" si="40"/>
        <v>3</v>
      </c>
      <c r="J219" s="31">
        <f t="shared" si="40"/>
        <v>226</v>
      </c>
      <c r="K219" s="31">
        <f t="shared" si="40"/>
        <v>253</v>
      </c>
    </row>
    <row r="220" spans="1:11" ht="12" customHeight="1" x14ac:dyDescent="0.2">
      <c r="A220" s="123">
        <v>2003</v>
      </c>
      <c r="B220" s="31">
        <f t="shared" ref="B220:K220" si="41">IF(AND(B173="-",B126="-",B79="-",B32="-"),"-",SUM(B173,B126,B79,B32))</f>
        <v>7</v>
      </c>
      <c r="C220" s="31">
        <f t="shared" si="41"/>
        <v>24</v>
      </c>
      <c r="D220" s="31">
        <f t="shared" si="41"/>
        <v>27</v>
      </c>
      <c r="E220" s="31">
        <f t="shared" si="41"/>
        <v>63</v>
      </c>
      <c r="F220" s="31">
        <f t="shared" si="41"/>
        <v>57</v>
      </c>
      <c r="G220" s="31">
        <f t="shared" si="41"/>
        <v>45</v>
      </c>
      <c r="H220" s="31">
        <f t="shared" si="41"/>
        <v>15</v>
      </c>
      <c r="I220" s="31">
        <f t="shared" si="41"/>
        <v>2</v>
      </c>
      <c r="J220" s="31">
        <f t="shared" si="41"/>
        <v>216</v>
      </c>
      <c r="K220" s="31">
        <f t="shared" si="41"/>
        <v>240</v>
      </c>
    </row>
    <row r="221" spans="1:11" ht="12" customHeight="1" x14ac:dyDescent="0.2">
      <c r="A221" s="123">
        <v>2004</v>
      </c>
      <c r="B221" s="31">
        <f t="shared" ref="B221:K221" si="42">IF(AND(B174="-",B127="-",B80="-",B33="-"),"-",SUM(B174,B127,B80,B33))</f>
        <v>28</v>
      </c>
      <c r="C221" s="31">
        <f t="shared" si="42"/>
        <v>27</v>
      </c>
      <c r="D221" s="31">
        <f t="shared" si="42"/>
        <v>49</v>
      </c>
      <c r="E221" s="31">
        <f t="shared" si="42"/>
        <v>127</v>
      </c>
      <c r="F221" s="31">
        <f t="shared" si="42"/>
        <v>152</v>
      </c>
      <c r="G221" s="31">
        <f t="shared" si="42"/>
        <v>76</v>
      </c>
      <c r="H221" s="31">
        <f t="shared" si="42"/>
        <v>15</v>
      </c>
      <c r="I221" s="31">
        <f t="shared" si="42"/>
        <v>107</v>
      </c>
      <c r="J221" s="31">
        <f t="shared" si="42"/>
        <v>431</v>
      </c>
      <c r="K221" s="31">
        <f t="shared" si="42"/>
        <v>581</v>
      </c>
    </row>
    <row r="222" spans="1:11" ht="12" customHeight="1" x14ac:dyDescent="0.2">
      <c r="A222" s="123">
        <v>2005</v>
      </c>
      <c r="B222" s="31">
        <f t="shared" ref="B222:K222" si="43">IF(AND(B175="-",B128="-",B81="-",B34="-"),"-",SUM(B175,B128,B81,B34))</f>
        <v>103</v>
      </c>
      <c r="C222" s="31">
        <f t="shared" si="43"/>
        <v>98</v>
      </c>
      <c r="D222" s="31">
        <f t="shared" si="43"/>
        <v>146</v>
      </c>
      <c r="E222" s="31">
        <f t="shared" si="43"/>
        <v>126</v>
      </c>
      <c r="F222" s="31">
        <f t="shared" si="43"/>
        <v>150</v>
      </c>
      <c r="G222" s="31">
        <f t="shared" si="43"/>
        <v>77</v>
      </c>
      <c r="H222" s="31">
        <f t="shared" si="43"/>
        <v>0</v>
      </c>
      <c r="I222" s="31">
        <f t="shared" si="43"/>
        <v>206</v>
      </c>
      <c r="J222" s="31">
        <f t="shared" si="43"/>
        <v>597</v>
      </c>
      <c r="K222" s="31">
        <f t="shared" si="43"/>
        <v>906</v>
      </c>
    </row>
    <row r="223" spans="1:11" ht="12" customHeight="1" x14ac:dyDescent="0.2">
      <c r="A223" s="123">
        <v>2006</v>
      </c>
      <c r="B223" s="31">
        <f t="shared" ref="B223:K223" si="44">IF(AND(B176="-",B129="-",B82="-",B35="-"),"-",SUM(B176,B129,B82,B35))</f>
        <v>29</v>
      </c>
      <c r="C223" s="31">
        <f t="shared" si="44"/>
        <v>96</v>
      </c>
      <c r="D223" s="31">
        <f t="shared" si="44"/>
        <v>285</v>
      </c>
      <c r="E223" s="31">
        <f t="shared" si="44"/>
        <v>167</v>
      </c>
      <c r="F223" s="31">
        <f t="shared" si="44"/>
        <v>140</v>
      </c>
      <c r="G223" s="31">
        <f t="shared" si="44"/>
        <v>117</v>
      </c>
      <c r="H223" s="31">
        <f t="shared" si="44"/>
        <v>5</v>
      </c>
      <c r="I223" s="31">
        <f t="shared" si="44"/>
        <v>41</v>
      </c>
      <c r="J223" s="31">
        <f t="shared" si="44"/>
        <v>805</v>
      </c>
      <c r="K223" s="31">
        <f t="shared" si="44"/>
        <v>880</v>
      </c>
    </row>
    <row r="224" spans="1:11" s="461" customFormat="1" ht="12" customHeight="1" x14ac:dyDescent="0.2">
      <c r="A224" s="123">
        <v>2007</v>
      </c>
      <c r="B224" s="52">
        <f t="shared" ref="B224:K224" si="45">IF(AND(B177="-",B130="-",B83="-",B36="-"),"-",SUM(B177,B130,B83,B36))</f>
        <v>179</v>
      </c>
      <c r="C224" s="52">
        <f t="shared" si="45"/>
        <v>22</v>
      </c>
      <c r="D224" s="52">
        <f t="shared" si="45"/>
        <v>205</v>
      </c>
      <c r="E224" s="52">
        <f t="shared" si="45"/>
        <v>189</v>
      </c>
      <c r="F224" s="52">
        <f t="shared" si="45"/>
        <v>167</v>
      </c>
      <c r="G224" s="52">
        <f t="shared" si="45"/>
        <v>7</v>
      </c>
      <c r="H224" s="52">
        <f t="shared" si="45"/>
        <v>0</v>
      </c>
      <c r="I224" s="52">
        <f t="shared" si="45"/>
        <v>129</v>
      </c>
      <c r="J224" s="52">
        <f t="shared" si="45"/>
        <v>590</v>
      </c>
      <c r="K224" s="52">
        <f t="shared" si="45"/>
        <v>898</v>
      </c>
    </row>
    <row r="225" spans="1:11" s="461" customFormat="1" ht="12" customHeight="1" x14ac:dyDescent="0.2">
      <c r="A225" s="122">
        <v>2008</v>
      </c>
      <c r="B225" s="52">
        <f t="shared" ref="B225:K225" si="46">IF(AND(B178="-",B131="-",B84="-",B37="-"),"-",SUM(B178,B131,B84,B37))</f>
        <v>54</v>
      </c>
      <c r="C225" s="52">
        <f t="shared" si="46"/>
        <v>30</v>
      </c>
      <c r="D225" s="52">
        <f t="shared" si="46"/>
        <v>125</v>
      </c>
      <c r="E225" s="52">
        <f t="shared" si="46"/>
        <v>102</v>
      </c>
      <c r="F225" s="52">
        <f t="shared" si="46"/>
        <v>231</v>
      </c>
      <c r="G225" s="52">
        <f t="shared" si="46"/>
        <v>92</v>
      </c>
      <c r="H225" s="52">
        <f t="shared" si="46"/>
        <v>1</v>
      </c>
      <c r="I225" s="52">
        <f t="shared" si="46"/>
        <v>51</v>
      </c>
      <c r="J225" s="52">
        <f t="shared" si="46"/>
        <v>580</v>
      </c>
      <c r="K225" s="52">
        <f t="shared" si="46"/>
        <v>686</v>
      </c>
    </row>
    <row r="226" spans="1:11" s="461" customFormat="1" ht="12" customHeight="1" x14ac:dyDescent="0.2">
      <c r="A226" s="122">
        <v>2009</v>
      </c>
      <c r="B226" s="52">
        <f t="shared" ref="B226:K226" si="47">IF(AND(B179="-",B132="-",B85="-",B38="-"),"-",SUM(B179,B132,B85,B38))</f>
        <v>76</v>
      </c>
      <c r="C226" s="52">
        <f t="shared" si="47"/>
        <v>82</v>
      </c>
      <c r="D226" s="52">
        <f t="shared" si="47"/>
        <v>238</v>
      </c>
      <c r="E226" s="52">
        <f t="shared" si="47"/>
        <v>233</v>
      </c>
      <c r="F226" s="52">
        <f t="shared" si="47"/>
        <v>269</v>
      </c>
      <c r="G226" s="52">
        <f t="shared" si="47"/>
        <v>5</v>
      </c>
      <c r="H226" s="52">
        <f t="shared" si="47"/>
        <v>4</v>
      </c>
      <c r="I226" s="52">
        <f t="shared" si="47"/>
        <v>18</v>
      </c>
      <c r="J226" s="52">
        <f t="shared" si="47"/>
        <v>827</v>
      </c>
      <c r="K226" s="52">
        <f t="shared" si="47"/>
        <v>925</v>
      </c>
    </row>
    <row r="227" spans="1:11" s="461" customFormat="1" ht="12" customHeight="1" x14ac:dyDescent="0.2">
      <c r="A227" s="123">
        <v>2010</v>
      </c>
      <c r="B227" s="52">
        <f t="shared" ref="B227:K227" si="48">IF(AND(B180="-",B133="-",B86="-",B39="-"),"-",SUM(B180,B133,B86,B39))</f>
        <v>145</v>
      </c>
      <c r="C227" s="52">
        <f t="shared" si="48"/>
        <v>155</v>
      </c>
      <c r="D227" s="52">
        <f t="shared" si="48"/>
        <v>335</v>
      </c>
      <c r="E227" s="52">
        <f t="shared" si="48"/>
        <v>155</v>
      </c>
      <c r="F227" s="52">
        <f t="shared" si="48"/>
        <v>150</v>
      </c>
      <c r="G227" s="52">
        <f t="shared" si="48"/>
        <v>62</v>
      </c>
      <c r="H227" s="52">
        <f t="shared" si="48"/>
        <v>4</v>
      </c>
      <c r="I227" s="52">
        <f t="shared" si="48"/>
        <v>51</v>
      </c>
      <c r="J227" s="52">
        <f t="shared" si="48"/>
        <v>857</v>
      </c>
      <c r="K227" s="52">
        <f t="shared" si="48"/>
        <v>1057</v>
      </c>
    </row>
    <row r="228" spans="1:11" s="461" customFormat="1" ht="12" customHeight="1" x14ac:dyDescent="0.2">
      <c r="A228" s="123">
        <v>2011</v>
      </c>
      <c r="B228" s="52">
        <f t="shared" ref="B228:K228" si="49">IF(AND(B181="-",B134="-",B87="-",B40="-"),"-",SUM(B181,B134,B87,B40))</f>
        <v>303</v>
      </c>
      <c r="C228" s="52">
        <f t="shared" si="49"/>
        <v>92</v>
      </c>
      <c r="D228" s="52">
        <f t="shared" si="49"/>
        <v>192</v>
      </c>
      <c r="E228" s="52">
        <f t="shared" si="49"/>
        <v>152</v>
      </c>
      <c r="F228" s="52">
        <f t="shared" si="49"/>
        <v>140</v>
      </c>
      <c r="G228" s="52">
        <f t="shared" si="49"/>
        <v>24</v>
      </c>
      <c r="H228" s="52">
        <f t="shared" si="49"/>
        <v>1</v>
      </c>
      <c r="I228" s="52">
        <f t="shared" si="49"/>
        <v>22</v>
      </c>
      <c r="J228" s="52">
        <f t="shared" si="49"/>
        <v>600</v>
      </c>
      <c r="K228" s="52">
        <f t="shared" si="49"/>
        <v>926</v>
      </c>
    </row>
    <row r="229" spans="1:11" s="461" customFormat="1" ht="12" customHeight="1" x14ac:dyDescent="0.2">
      <c r="A229" s="122">
        <v>2012</v>
      </c>
      <c r="B229" s="52">
        <f t="shared" ref="B229:K229" si="50">IF(AND(B182="-",B135="-",B88="-",B41="-"),"-",SUM(B182,B135,B88,B41))</f>
        <v>182</v>
      </c>
      <c r="C229" s="52">
        <f t="shared" si="50"/>
        <v>144</v>
      </c>
      <c r="D229" s="52">
        <f t="shared" si="50"/>
        <v>269</v>
      </c>
      <c r="E229" s="52">
        <f t="shared" si="50"/>
        <v>214</v>
      </c>
      <c r="F229" s="52">
        <f t="shared" si="50"/>
        <v>229</v>
      </c>
      <c r="G229" s="52">
        <f t="shared" si="50"/>
        <v>104</v>
      </c>
      <c r="H229" s="52">
        <f t="shared" si="50"/>
        <v>4</v>
      </c>
      <c r="I229" s="52">
        <f t="shared" si="50"/>
        <v>29</v>
      </c>
      <c r="J229" s="52">
        <f t="shared" si="50"/>
        <v>960</v>
      </c>
      <c r="K229" s="52">
        <f t="shared" si="50"/>
        <v>1175</v>
      </c>
    </row>
    <row r="230" spans="1:11" s="461" customFormat="1" ht="12" customHeight="1" x14ac:dyDescent="0.2">
      <c r="A230" s="122">
        <v>2013</v>
      </c>
      <c r="B230" s="52">
        <f t="shared" ref="B230:K230" si="51">IF(AND(B183="-",B136="-",B89="-",B42="-"),"-",SUM(B183,B136,B89,B42))</f>
        <v>270</v>
      </c>
      <c r="C230" s="52">
        <f t="shared" si="51"/>
        <v>279</v>
      </c>
      <c r="D230" s="52">
        <f t="shared" si="51"/>
        <v>206</v>
      </c>
      <c r="E230" s="52">
        <f t="shared" si="51"/>
        <v>369</v>
      </c>
      <c r="F230" s="52">
        <f t="shared" si="51"/>
        <v>583</v>
      </c>
      <c r="G230" s="52">
        <f t="shared" si="51"/>
        <v>159</v>
      </c>
      <c r="H230" s="52">
        <f t="shared" si="51"/>
        <v>0</v>
      </c>
      <c r="I230" s="52">
        <f t="shared" si="51"/>
        <v>124</v>
      </c>
      <c r="J230" s="52">
        <f t="shared" si="51"/>
        <v>1596</v>
      </c>
      <c r="K230" s="52">
        <f t="shared" si="51"/>
        <v>1990</v>
      </c>
    </row>
    <row r="231" spans="1:11" s="461" customFormat="1" ht="12" customHeight="1" x14ac:dyDescent="0.2">
      <c r="A231" s="123">
        <v>2014</v>
      </c>
      <c r="B231" s="52">
        <f t="shared" ref="B231:K231" si="52">IF(AND(B184="-",B137="-",B90="-",B43="-"),"-",SUM(B184,B137,B90,B43))</f>
        <v>419</v>
      </c>
      <c r="C231" s="52">
        <f t="shared" si="52"/>
        <v>196</v>
      </c>
      <c r="D231" s="52">
        <f t="shared" si="52"/>
        <v>295</v>
      </c>
      <c r="E231" s="52">
        <f t="shared" si="52"/>
        <v>465</v>
      </c>
      <c r="F231" s="52">
        <f t="shared" si="52"/>
        <v>419</v>
      </c>
      <c r="G231" s="52">
        <f t="shared" si="52"/>
        <v>152</v>
      </c>
      <c r="H231" s="52">
        <f t="shared" si="52"/>
        <v>0</v>
      </c>
      <c r="I231" s="52">
        <f t="shared" si="52"/>
        <v>34</v>
      </c>
      <c r="J231" s="52">
        <f t="shared" si="52"/>
        <v>1527</v>
      </c>
      <c r="K231" s="52">
        <f t="shared" si="52"/>
        <v>1980</v>
      </c>
    </row>
    <row r="232" spans="1:11" s="461" customFormat="1" ht="12" customHeight="1" x14ac:dyDescent="0.2">
      <c r="A232" s="122">
        <v>2015</v>
      </c>
      <c r="B232" s="52">
        <f t="shared" ref="B232:K232" si="53">IF(AND(B185="-",B138="-",B91="-",B44="-"),"-",SUM(B185,B138,B91,B44))</f>
        <v>384</v>
      </c>
      <c r="C232" s="52">
        <f t="shared" si="53"/>
        <v>324</v>
      </c>
      <c r="D232" s="52">
        <f t="shared" si="53"/>
        <v>380</v>
      </c>
      <c r="E232" s="52">
        <f t="shared" si="53"/>
        <v>389</v>
      </c>
      <c r="F232" s="52">
        <f t="shared" si="53"/>
        <v>261</v>
      </c>
      <c r="G232" s="52">
        <f t="shared" si="53"/>
        <v>104</v>
      </c>
      <c r="H232" s="52">
        <f t="shared" si="53"/>
        <v>0</v>
      </c>
      <c r="I232" s="52">
        <f t="shared" si="53"/>
        <v>7</v>
      </c>
      <c r="J232" s="52">
        <f t="shared" si="53"/>
        <v>1458</v>
      </c>
      <c r="K232" s="52">
        <f t="shared" si="53"/>
        <v>1849</v>
      </c>
    </row>
    <row r="233" spans="1:11" s="461" customFormat="1" ht="12" customHeight="1" x14ac:dyDescent="0.2">
      <c r="A233" s="122">
        <v>2016</v>
      </c>
      <c r="B233" s="52">
        <f t="shared" ref="B233:K233" si="54">IF(AND(B186="-",B139="-",B92="-",B45="-"),"-",SUM(B186,B139,B92,B45))</f>
        <v>35</v>
      </c>
      <c r="C233" s="52">
        <f t="shared" si="54"/>
        <v>204</v>
      </c>
      <c r="D233" s="52">
        <f t="shared" si="54"/>
        <v>233</v>
      </c>
      <c r="E233" s="52">
        <f t="shared" si="54"/>
        <v>141</v>
      </c>
      <c r="F233" s="52">
        <f t="shared" si="54"/>
        <v>90</v>
      </c>
      <c r="G233" s="52">
        <f t="shared" si="54"/>
        <v>2</v>
      </c>
      <c r="H233" s="52">
        <f t="shared" si="54"/>
        <v>0</v>
      </c>
      <c r="I233" s="52">
        <f t="shared" si="54"/>
        <v>34</v>
      </c>
      <c r="J233" s="52">
        <f t="shared" si="54"/>
        <v>670</v>
      </c>
      <c r="K233" s="52">
        <f t="shared" si="54"/>
        <v>739</v>
      </c>
    </row>
    <row r="234" spans="1:11" s="461" customFormat="1" ht="12" customHeight="1" x14ac:dyDescent="0.2">
      <c r="A234" s="122">
        <v>2017</v>
      </c>
      <c r="B234" s="52">
        <f t="shared" ref="B234:K234" si="55">IF(AND(B187="-",B140="-",B93="-",B46="-"),"-",SUM(B187,B140,B93,B46))</f>
        <v>149</v>
      </c>
      <c r="C234" s="52">
        <f t="shared" si="55"/>
        <v>27</v>
      </c>
      <c r="D234" s="52">
        <f t="shared" si="55"/>
        <v>90</v>
      </c>
      <c r="E234" s="52">
        <f t="shared" si="55"/>
        <v>317</v>
      </c>
      <c r="F234" s="52">
        <f t="shared" si="55"/>
        <v>357</v>
      </c>
      <c r="G234" s="52">
        <f t="shared" si="55"/>
        <v>172</v>
      </c>
      <c r="H234" s="52">
        <f t="shared" si="55"/>
        <v>0</v>
      </c>
      <c r="I234" s="52">
        <f t="shared" si="55"/>
        <v>3</v>
      </c>
      <c r="J234" s="52">
        <f t="shared" si="55"/>
        <v>963</v>
      </c>
      <c r="K234" s="52">
        <f t="shared" si="55"/>
        <v>1115</v>
      </c>
    </row>
    <row r="235" spans="1:11" s="461" customFormat="1" ht="12" customHeight="1" x14ac:dyDescent="0.2">
      <c r="A235" s="122">
        <v>2018</v>
      </c>
      <c r="B235" s="52">
        <f t="shared" ref="B235:K235" si="56">IF(AND(B188="-",B141="-",B94="-",B47="-"),"-",SUM(B188,B141,B94,B47))</f>
        <v>93</v>
      </c>
      <c r="C235" s="52">
        <f t="shared" si="56"/>
        <v>99</v>
      </c>
      <c r="D235" s="52">
        <f t="shared" si="56"/>
        <v>255</v>
      </c>
      <c r="E235" s="52">
        <f t="shared" si="56"/>
        <v>272</v>
      </c>
      <c r="F235" s="52">
        <f t="shared" si="56"/>
        <v>145</v>
      </c>
      <c r="G235" s="52">
        <f t="shared" si="56"/>
        <v>110</v>
      </c>
      <c r="H235" s="52">
        <f t="shared" si="56"/>
        <v>0</v>
      </c>
      <c r="I235" s="52">
        <f t="shared" si="56"/>
        <v>26</v>
      </c>
      <c r="J235" s="52">
        <f t="shared" si="56"/>
        <v>881</v>
      </c>
      <c r="K235" s="52">
        <f t="shared" si="56"/>
        <v>1000</v>
      </c>
    </row>
    <row r="236" spans="1:11" s="487" customFormat="1" ht="12" customHeight="1" x14ac:dyDescent="0.2">
      <c r="A236" s="122">
        <v>2019</v>
      </c>
      <c r="B236" s="52">
        <f t="shared" ref="B236:K237" si="57">IF(AND(B189="-",B142="-",B95="-",B48="-"),"-",SUM(B189,B142,B95,B48))</f>
        <v>100</v>
      </c>
      <c r="C236" s="52">
        <f t="shared" si="57"/>
        <v>65</v>
      </c>
      <c r="D236" s="52">
        <f t="shared" si="57"/>
        <v>72</v>
      </c>
      <c r="E236" s="52">
        <f t="shared" si="57"/>
        <v>365</v>
      </c>
      <c r="F236" s="52">
        <f t="shared" si="57"/>
        <v>276</v>
      </c>
      <c r="G236" s="52">
        <f t="shared" si="57"/>
        <v>120</v>
      </c>
      <c r="H236" s="52">
        <f t="shared" si="57"/>
        <v>0</v>
      </c>
      <c r="I236" s="52">
        <f t="shared" si="57"/>
        <v>13</v>
      </c>
      <c r="J236" s="52">
        <f t="shared" si="57"/>
        <v>898</v>
      </c>
      <c r="K236" s="52">
        <f t="shared" si="57"/>
        <v>1011</v>
      </c>
    </row>
    <row r="237" spans="1:11" ht="12" customHeight="1" x14ac:dyDescent="0.2">
      <c r="A237" s="271" t="s">
        <v>392</v>
      </c>
      <c r="B237" s="53">
        <f t="shared" si="57"/>
        <v>68</v>
      </c>
      <c r="C237" s="53">
        <f t="shared" si="57"/>
        <v>1</v>
      </c>
      <c r="D237" s="53">
        <f t="shared" si="57"/>
        <v>2</v>
      </c>
      <c r="E237" s="53">
        <f t="shared" si="57"/>
        <v>29</v>
      </c>
      <c r="F237" s="53">
        <f t="shared" si="57"/>
        <v>122</v>
      </c>
      <c r="G237" s="53">
        <f t="shared" si="57"/>
        <v>31</v>
      </c>
      <c r="H237" s="53">
        <f t="shared" si="57"/>
        <v>0</v>
      </c>
      <c r="I237" s="53">
        <f t="shared" si="57"/>
        <v>0</v>
      </c>
      <c r="J237" s="53">
        <f t="shared" si="57"/>
        <v>185</v>
      </c>
      <c r="K237" s="53">
        <f t="shared" si="57"/>
        <v>253</v>
      </c>
    </row>
    <row r="238" spans="1:11" ht="12" customHeight="1" x14ac:dyDescent="0.2">
      <c r="A238" s="519" t="s">
        <v>75</v>
      </c>
      <c r="B238" s="519"/>
      <c r="C238" s="519"/>
      <c r="D238" s="519"/>
      <c r="E238" s="519"/>
      <c r="F238" s="519"/>
      <c r="G238" s="519"/>
      <c r="H238" s="519"/>
      <c r="I238" s="519"/>
      <c r="J238" s="519"/>
      <c r="K238" s="519"/>
    </row>
    <row r="239" spans="1:11" ht="12" customHeight="1" x14ac:dyDescent="0.2">
      <c r="A239" s="519" t="s">
        <v>220</v>
      </c>
      <c r="B239" s="519"/>
      <c r="C239" s="519"/>
      <c r="D239" s="519"/>
      <c r="E239" s="519"/>
      <c r="F239" s="519"/>
      <c r="G239" s="519"/>
      <c r="H239" s="519"/>
      <c r="I239" s="519"/>
      <c r="J239" s="519"/>
      <c r="K239" s="519"/>
    </row>
    <row r="240" spans="1:11" ht="12" customHeight="1" x14ac:dyDescent="0.2">
      <c r="C240" s="25"/>
      <c r="D240" s="25"/>
      <c r="E240" s="25"/>
      <c r="F240" s="25"/>
      <c r="G240" s="25"/>
      <c r="H240" s="25"/>
      <c r="I240" s="25"/>
      <c r="J240" s="25"/>
      <c r="K240" s="25"/>
    </row>
    <row r="241" spans="1:11" ht="12" customHeight="1" x14ac:dyDescent="0.2">
      <c r="C241" s="25"/>
      <c r="D241" s="25"/>
      <c r="E241" s="25"/>
      <c r="F241" s="25"/>
      <c r="G241" s="25"/>
      <c r="H241" s="25"/>
      <c r="I241" s="25"/>
      <c r="J241" s="25"/>
      <c r="K241" s="25"/>
    </row>
    <row r="242" spans="1:11" ht="12" customHeight="1" x14ac:dyDescent="0.2">
      <c r="C242" s="25"/>
      <c r="D242" s="25"/>
      <c r="E242" s="25"/>
      <c r="F242" s="25"/>
      <c r="G242" s="25"/>
      <c r="H242" s="25"/>
      <c r="I242" s="25"/>
      <c r="J242" s="25"/>
      <c r="K242" s="25"/>
    </row>
    <row r="243" spans="1:11" ht="12" customHeight="1" x14ac:dyDescent="0.2">
      <c r="C243" s="25"/>
      <c r="D243" s="25"/>
      <c r="E243" s="25"/>
      <c r="F243" s="25"/>
      <c r="G243" s="25"/>
      <c r="H243" s="25"/>
      <c r="I243" s="25"/>
      <c r="J243" s="25"/>
      <c r="K243" s="25"/>
    </row>
    <row r="244" spans="1:11" ht="12" customHeight="1" x14ac:dyDescent="0.2">
      <c r="C244" s="25"/>
      <c r="D244" s="25"/>
      <c r="E244" s="25"/>
      <c r="F244" s="25"/>
      <c r="G244" s="25"/>
      <c r="H244" s="25"/>
      <c r="I244" s="25"/>
      <c r="J244" s="25"/>
      <c r="K244" s="25"/>
    </row>
    <row r="245" spans="1:11" s="310" customFormat="1" ht="12" customHeight="1" x14ac:dyDescent="0.2">
      <c r="A245" s="240"/>
      <c r="B245" s="249"/>
      <c r="C245" s="247"/>
      <c r="D245" s="247"/>
      <c r="E245" s="247"/>
      <c r="F245" s="247"/>
      <c r="G245" s="247"/>
      <c r="H245" s="247"/>
      <c r="I245" s="247"/>
      <c r="J245" s="247"/>
      <c r="K245" s="247"/>
    </row>
    <row r="246" spans="1:11" ht="12" customHeight="1" x14ac:dyDescent="0.2">
      <c r="C246" s="25"/>
      <c r="D246" s="25"/>
      <c r="E246" s="25"/>
      <c r="F246" s="25"/>
      <c r="G246" s="25"/>
      <c r="H246" s="25"/>
      <c r="I246" s="25"/>
      <c r="J246" s="25"/>
      <c r="K246" s="25"/>
    </row>
    <row r="247" spans="1:11" ht="12" customHeight="1" x14ac:dyDescent="0.2">
      <c r="C247" s="25"/>
      <c r="D247" s="25"/>
      <c r="E247" s="25"/>
      <c r="F247" s="25"/>
      <c r="G247" s="25"/>
      <c r="H247" s="25"/>
      <c r="I247" s="25"/>
      <c r="J247" s="25"/>
      <c r="K247" s="25"/>
    </row>
    <row r="248" spans="1:11" ht="12" customHeight="1" x14ac:dyDescent="0.2">
      <c r="C248" s="25"/>
      <c r="D248" s="25"/>
      <c r="E248" s="25"/>
      <c r="F248" s="25"/>
      <c r="G248" s="25"/>
      <c r="H248" s="25"/>
      <c r="I248" s="25"/>
      <c r="J248" s="25"/>
      <c r="K248" s="25"/>
    </row>
    <row r="249" spans="1:11" ht="12" customHeight="1" x14ac:dyDescent="0.2">
      <c r="C249" s="25"/>
      <c r="D249" s="25"/>
      <c r="E249" s="25"/>
      <c r="F249" s="25"/>
      <c r="G249" s="25"/>
      <c r="H249" s="25"/>
      <c r="I249" s="25"/>
      <c r="J249" s="25"/>
      <c r="K249" s="25"/>
    </row>
    <row r="250" spans="1:11" ht="12" customHeight="1" x14ac:dyDescent="0.2">
      <c r="C250" s="25"/>
      <c r="D250" s="25"/>
      <c r="E250" s="25"/>
      <c r="F250" s="25"/>
      <c r="G250" s="25"/>
      <c r="H250" s="25"/>
      <c r="I250" s="25"/>
      <c r="J250" s="25"/>
      <c r="K250" s="25"/>
    </row>
    <row r="251" spans="1:11" ht="12" customHeight="1" x14ac:dyDescent="0.2">
      <c r="C251" s="25"/>
      <c r="D251" s="25"/>
      <c r="E251" s="25"/>
      <c r="F251" s="25"/>
      <c r="G251" s="25"/>
      <c r="H251" s="25"/>
      <c r="I251" s="25"/>
      <c r="J251" s="25"/>
      <c r="K251" s="25"/>
    </row>
    <row r="252" spans="1:11" ht="12" customHeight="1" x14ac:dyDescent="0.2">
      <c r="C252" s="25"/>
      <c r="D252" s="25"/>
      <c r="E252" s="25"/>
      <c r="F252" s="25"/>
      <c r="G252" s="25"/>
      <c r="H252" s="25"/>
      <c r="I252" s="25"/>
      <c r="J252" s="25"/>
      <c r="K252" s="25"/>
    </row>
    <row r="253" spans="1:11" ht="12" customHeight="1" x14ac:dyDescent="0.2">
      <c r="C253" s="25"/>
      <c r="D253" s="25"/>
      <c r="E253" s="25"/>
      <c r="F253" s="25"/>
      <c r="G253" s="25"/>
      <c r="H253" s="25"/>
      <c r="I253" s="25"/>
      <c r="J253" s="25"/>
      <c r="K253" s="25"/>
    </row>
    <row r="254" spans="1:11" ht="12" customHeight="1" x14ac:dyDescent="0.2">
      <c r="C254" s="25"/>
      <c r="D254" s="25"/>
      <c r="E254" s="25"/>
      <c r="F254" s="25"/>
      <c r="G254" s="25"/>
      <c r="H254" s="25"/>
      <c r="I254" s="25"/>
      <c r="J254" s="25"/>
      <c r="K254" s="25"/>
    </row>
    <row r="255" spans="1:11" ht="12" customHeight="1" x14ac:dyDescent="0.2">
      <c r="C255" s="25"/>
      <c r="D255" s="25"/>
      <c r="E255" s="25"/>
      <c r="F255" s="25"/>
      <c r="G255" s="25"/>
      <c r="H255" s="25"/>
      <c r="I255" s="25"/>
      <c r="J255" s="25"/>
      <c r="K255" s="25"/>
    </row>
    <row r="256" spans="1:11" ht="12" customHeight="1" x14ac:dyDescent="0.2">
      <c r="C256" s="25"/>
      <c r="D256" s="25"/>
      <c r="E256" s="25"/>
      <c r="F256" s="25"/>
      <c r="G256" s="25"/>
      <c r="H256" s="25"/>
      <c r="I256" s="25"/>
      <c r="J256" s="25"/>
      <c r="K256" s="25"/>
    </row>
    <row r="257" spans="1:11" ht="24" customHeight="1" x14ac:dyDescent="0.2">
      <c r="A257" s="514" t="s">
        <v>211</v>
      </c>
      <c r="B257" s="514"/>
      <c r="C257" s="514"/>
      <c r="D257" s="514"/>
      <c r="E257" s="514"/>
      <c r="F257" s="514"/>
      <c r="G257" s="514"/>
      <c r="H257" s="514"/>
      <c r="I257" s="514"/>
      <c r="J257" s="514"/>
      <c r="K257" s="514"/>
    </row>
    <row r="258" spans="1:11" ht="10.9" customHeight="1" x14ac:dyDescent="0.2">
      <c r="A258" s="119" t="s">
        <v>33</v>
      </c>
      <c r="B258" s="464" t="s">
        <v>71</v>
      </c>
      <c r="C258" s="464" t="s">
        <v>35</v>
      </c>
      <c r="D258" s="464" t="s">
        <v>36</v>
      </c>
      <c r="E258" s="464" t="s">
        <v>37</v>
      </c>
      <c r="F258" s="464" t="s">
        <v>38</v>
      </c>
      <c r="G258" s="464" t="s">
        <v>39</v>
      </c>
      <c r="H258" s="464" t="s">
        <v>40</v>
      </c>
      <c r="I258" s="464" t="s">
        <v>73</v>
      </c>
      <c r="J258" s="464" t="s">
        <v>224</v>
      </c>
      <c r="K258" s="464" t="s">
        <v>52</v>
      </c>
    </row>
    <row r="259" spans="1:11" x14ac:dyDescent="0.2">
      <c r="A259" s="388" t="s">
        <v>72</v>
      </c>
      <c r="B259" s="197"/>
      <c r="C259" s="37"/>
      <c r="D259" s="37"/>
      <c r="E259" s="37"/>
      <c r="F259" s="37"/>
      <c r="G259" s="37"/>
      <c r="H259" s="37"/>
      <c r="I259" s="37"/>
      <c r="J259" s="37"/>
      <c r="K259" s="37"/>
    </row>
    <row r="260" spans="1:11" ht="11.25" customHeight="1" x14ac:dyDescent="0.2">
      <c r="A260" s="466" t="s">
        <v>30</v>
      </c>
      <c r="B260" s="197">
        <f t="shared" ref="B260:K260" si="58">AVERAGE(B10:B14)</f>
        <v>166.8</v>
      </c>
      <c r="C260" s="197">
        <f t="shared" si="58"/>
        <v>53</v>
      </c>
      <c r="D260" s="197">
        <f t="shared" si="58"/>
        <v>43</v>
      </c>
      <c r="E260" s="197">
        <f t="shared" si="58"/>
        <v>54.4</v>
      </c>
      <c r="F260" s="197">
        <f t="shared" si="58"/>
        <v>57</v>
      </c>
      <c r="G260" s="197">
        <f t="shared" si="58"/>
        <v>16.2</v>
      </c>
      <c r="H260" s="197">
        <f t="shared" si="58"/>
        <v>13.8</v>
      </c>
      <c r="I260" s="197">
        <f t="shared" si="58"/>
        <v>31.6</v>
      </c>
      <c r="J260" s="197">
        <f t="shared" si="58"/>
        <v>223.6</v>
      </c>
      <c r="K260" s="197">
        <f t="shared" si="58"/>
        <v>435.8</v>
      </c>
    </row>
    <row r="261" spans="1:11" ht="11.25" customHeight="1" x14ac:dyDescent="0.2">
      <c r="A261" s="466" t="s">
        <v>87</v>
      </c>
      <c r="B261" s="197">
        <f t="shared" ref="B261:K261" si="59">AVERAGE(B15:B19)</f>
        <v>167.4</v>
      </c>
      <c r="C261" s="197">
        <f t="shared" si="59"/>
        <v>63.2</v>
      </c>
      <c r="D261" s="197">
        <f t="shared" si="59"/>
        <v>53.2</v>
      </c>
      <c r="E261" s="197">
        <f t="shared" si="59"/>
        <v>75.400000000000006</v>
      </c>
      <c r="F261" s="197">
        <f t="shared" si="59"/>
        <v>92.4</v>
      </c>
      <c r="G261" s="197">
        <f t="shared" si="59"/>
        <v>24.4</v>
      </c>
      <c r="H261" s="197">
        <f t="shared" si="59"/>
        <v>1.6</v>
      </c>
      <c r="I261" s="197">
        <f t="shared" si="59"/>
        <v>42.8</v>
      </c>
      <c r="J261" s="197">
        <f t="shared" si="59"/>
        <v>308.60000000000002</v>
      </c>
      <c r="K261" s="197">
        <f t="shared" si="59"/>
        <v>520.4</v>
      </c>
    </row>
    <row r="262" spans="1:11" ht="11.25" customHeight="1" x14ac:dyDescent="0.2">
      <c r="A262" s="466" t="s">
        <v>14</v>
      </c>
      <c r="B262" s="197">
        <f>AVERAGE(B20:B24)</f>
        <v>75.2</v>
      </c>
      <c r="C262" s="197">
        <f t="shared" ref="C262:K262" si="60">AVERAGE(C20:C24)</f>
        <v>34.799999999999997</v>
      </c>
      <c r="D262" s="197">
        <f t="shared" si="60"/>
        <v>26.6</v>
      </c>
      <c r="E262" s="197">
        <f t="shared" si="60"/>
        <v>29.4</v>
      </c>
      <c r="F262" s="197">
        <f t="shared" si="60"/>
        <v>63.8</v>
      </c>
      <c r="G262" s="197">
        <f t="shared" si="60"/>
        <v>3.4</v>
      </c>
      <c r="H262" s="197">
        <f t="shared" si="60"/>
        <v>25.5</v>
      </c>
      <c r="I262" s="197">
        <f t="shared" si="60"/>
        <v>26</v>
      </c>
      <c r="J262" s="197">
        <f t="shared" si="60"/>
        <v>158</v>
      </c>
      <c r="K262" s="197">
        <f t="shared" si="60"/>
        <v>269.39999999999998</v>
      </c>
    </row>
    <row r="263" spans="1:11" ht="11.25" customHeight="1" x14ac:dyDescent="0.2">
      <c r="A263" s="466" t="s">
        <v>207</v>
      </c>
      <c r="B263" s="197">
        <f>AVERAGE(B25:B29)</f>
        <v>14.2</v>
      </c>
      <c r="C263" s="197">
        <f t="shared" ref="C263:K263" si="61">AVERAGE(C25:C29)</f>
        <v>12.2</v>
      </c>
      <c r="D263" s="197">
        <f t="shared" si="61"/>
        <v>14.4</v>
      </c>
      <c r="E263" s="197">
        <f t="shared" si="61"/>
        <v>0.6</v>
      </c>
      <c r="F263" s="197">
        <f t="shared" si="61"/>
        <v>24.6</v>
      </c>
      <c r="G263" s="197">
        <f t="shared" si="61"/>
        <v>6</v>
      </c>
      <c r="H263" s="197" t="s">
        <v>29</v>
      </c>
      <c r="I263" s="197">
        <f t="shared" si="61"/>
        <v>2</v>
      </c>
      <c r="J263" s="197">
        <f t="shared" si="61"/>
        <v>57.8</v>
      </c>
      <c r="K263" s="197">
        <f t="shared" si="61"/>
        <v>74</v>
      </c>
    </row>
    <row r="264" spans="1:11" ht="11.25" customHeight="1" x14ac:dyDescent="0.2">
      <c r="A264" s="466" t="s">
        <v>238</v>
      </c>
      <c r="B264" s="197">
        <f>AVERAGE(B30:B34)</f>
        <v>34.200000000000003</v>
      </c>
      <c r="C264" s="197">
        <f>AVERAGE(C30:C34)</f>
        <v>14.6</v>
      </c>
      <c r="D264" s="197">
        <f t="shared" ref="D264:K264" si="62">AVERAGE(D30:D34)</f>
        <v>18</v>
      </c>
      <c r="E264" s="197">
        <f t="shared" si="62"/>
        <v>27.4</v>
      </c>
      <c r="F264" s="197">
        <f t="shared" si="62"/>
        <v>26.8</v>
      </c>
      <c r="G264" s="197">
        <f t="shared" si="62"/>
        <v>10.199999999999999</v>
      </c>
      <c r="H264" s="197" t="str">
        <f>H30</f>
        <v>-</v>
      </c>
      <c r="I264" s="197">
        <f t="shared" si="62"/>
        <v>64.599999999999994</v>
      </c>
      <c r="J264" s="197">
        <f t="shared" si="62"/>
        <v>97</v>
      </c>
      <c r="K264" s="197">
        <f t="shared" si="62"/>
        <v>195.8</v>
      </c>
    </row>
    <row r="265" spans="1:11" ht="11.25" customHeight="1" x14ac:dyDescent="0.2">
      <c r="A265" s="466">
        <v>2006</v>
      </c>
      <c r="B265" s="197">
        <f t="shared" ref="B265:K265" si="63">B35</f>
        <v>28</v>
      </c>
      <c r="C265" s="197">
        <f t="shared" si="63"/>
        <v>13</v>
      </c>
      <c r="D265" s="197">
        <f t="shared" si="63"/>
        <v>157</v>
      </c>
      <c r="E265" s="197">
        <f t="shared" si="63"/>
        <v>16</v>
      </c>
      <c r="F265" s="197">
        <f t="shared" si="63"/>
        <v>15</v>
      </c>
      <c r="G265" s="197">
        <f t="shared" si="63"/>
        <v>10</v>
      </c>
      <c r="H265" s="197" t="str">
        <f t="shared" si="63"/>
        <v>-</v>
      </c>
      <c r="I265" s="197">
        <f t="shared" si="63"/>
        <v>39</v>
      </c>
      <c r="J265" s="197">
        <f t="shared" si="63"/>
        <v>211</v>
      </c>
      <c r="K265" s="197">
        <f t="shared" si="63"/>
        <v>278</v>
      </c>
    </row>
    <row r="266" spans="1:11" s="461" customFormat="1" ht="11.25" customHeight="1" x14ac:dyDescent="0.2">
      <c r="A266" s="465">
        <v>2007</v>
      </c>
      <c r="B266" s="197">
        <f t="shared" ref="B266:K266" si="64">B36</f>
        <v>179</v>
      </c>
      <c r="C266" s="197">
        <f t="shared" si="64"/>
        <v>9</v>
      </c>
      <c r="D266" s="197">
        <f t="shared" si="64"/>
        <v>29</v>
      </c>
      <c r="E266" s="197">
        <f t="shared" si="64"/>
        <v>48</v>
      </c>
      <c r="F266" s="197">
        <f t="shared" si="64"/>
        <v>18</v>
      </c>
      <c r="G266" s="197">
        <f t="shared" si="64"/>
        <v>0</v>
      </c>
      <c r="H266" s="197" t="str">
        <f t="shared" si="64"/>
        <v>-</v>
      </c>
      <c r="I266" s="197">
        <f t="shared" si="64"/>
        <v>129</v>
      </c>
      <c r="J266" s="197">
        <f t="shared" si="64"/>
        <v>104</v>
      </c>
      <c r="K266" s="197">
        <f t="shared" si="64"/>
        <v>412</v>
      </c>
    </row>
    <row r="267" spans="1:11" s="461" customFormat="1" ht="11.25" customHeight="1" x14ac:dyDescent="0.2">
      <c r="A267" s="466">
        <v>2008</v>
      </c>
      <c r="B267" s="197">
        <f t="shared" ref="B267:K267" si="65">B37</f>
        <v>52</v>
      </c>
      <c r="C267" s="197">
        <f t="shared" si="65"/>
        <v>9</v>
      </c>
      <c r="D267" s="197">
        <f t="shared" si="65"/>
        <v>21</v>
      </c>
      <c r="E267" s="197">
        <f t="shared" si="65"/>
        <v>59</v>
      </c>
      <c r="F267" s="197">
        <f t="shared" si="65"/>
        <v>110</v>
      </c>
      <c r="G267" s="197">
        <f t="shared" si="65"/>
        <v>13</v>
      </c>
      <c r="H267" s="197" t="str">
        <f t="shared" si="65"/>
        <v>-</v>
      </c>
      <c r="I267" s="197">
        <f t="shared" si="65"/>
        <v>51</v>
      </c>
      <c r="J267" s="197">
        <f t="shared" si="65"/>
        <v>212</v>
      </c>
      <c r="K267" s="197">
        <f t="shared" si="65"/>
        <v>315</v>
      </c>
    </row>
    <row r="268" spans="1:11" s="461" customFormat="1" ht="11.25" customHeight="1" x14ac:dyDescent="0.2">
      <c r="A268" s="466">
        <v>2009</v>
      </c>
      <c r="B268" s="197">
        <f t="shared" ref="B268:K268" si="66">B38</f>
        <v>76</v>
      </c>
      <c r="C268" s="197">
        <f t="shared" si="66"/>
        <v>48</v>
      </c>
      <c r="D268" s="197">
        <f t="shared" si="66"/>
        <v>202</v>
      </c>
      <c r="E268" s="197">
        <f t="shared" si="66"/>
        <v>101</v>
      </c>
      <c r="F268" s="197">
        <f t="shared" si="66"/>
        <v>124</v>
      </c>
      <c r="G268" s="197">
        <f t="shared" si="66"/>
        <v>4</v>
      </c>
      <c r="H268" s="197" t="str">
        <f t="shared" si="66"/>
        <v>-</v>
      </c>
      <c r="I268" s="197">
        <f t="shared" si="66"/>
        <v>18</v>
      </c>
      <c r="J268" s="197">
        <f t="shared" si="66"/>
        <v>479</v>
      </c>
      <c r="K268" s="197">
        <f t="shared" si="66"/>
        <v>573</v>
      </c>
    </row>
    <row r="269" spans="1:11" s="461" customFormat="1" ht="11.25" customHeight="1" x14ac:dyDescent="0.2">
      <c r="A269" s="466">
        <v>2010</v>
      </c>
      <c r="B269" s="197">
        <f t="shared" ref="B269:K269" si="67">B39</f>
        <v>145</v>
      </c>
      <c r="C269" s="197">
        <f t="shared" si="67"/>
        <v>143</v>
      </c>
      <c r="D269" s="197">
        <f t="shared" si="67"/>
        <v>200</v>
      </c>
      <c r="E269" s="197">
        <f t="shared" si="67"/>
        <v>25</v>
      </c>
      <c r="F269" s="197">
        <f t="shared" si="67"/>
        <v>7</v>
      </c>
      <c r="G269" s="197">
        <f t="shared" si="67"/>
        <v>1</v>
      </c>
      <c r="H269" s="197" t="str">
        <f t="shared" si="67"/>
        <v>-</v>
      </c>
      <c r="I269" s="197">
        <f t="shared" si="67"/>
        <v>51</v>
      </c>
      <c r="J269" s="197">
        <f t="shared" si="67"/>
        <v>376</v>
      </c>
      <c r="K269" s="197">
        <f t="shared" si="67"/>
        <v>572</v>
      </c>
    </row>
    <row r="270" spans="1:11" s="461" customFormat="1" ht="11.25" customHeight="1" x14ac:dyDescent="0.2">
      <c r="A270" s="466">
        <v>2011</v>
      </c>
      <c r="B270" s="197">
        <f t="shared" ref="B270:K270" si="68">B40</f>
        <v>303</v>
      </c>
      <c r="C270" s="197">
        <f t="shared" si="68"/>
        <v>68</v>
      </c>
      <c r="D270" s="197">
        <f t="shared" si="68"/>
        <v>51</v>
      </c>
      <c r="E270" s="197">
        <f t="shared" si="68"/>
        <v>7</v>
      </c>
      <c r="F270" s="197">
        <f t="shared" si="68"/>
        <v>1</v>
      </c>
      <c r="G270" s="197">
        <f t="shared" si="68"/>
        <v>0</v>
      </c>
      <c r="H270" s="197" t="str">
        <f t="shared" si="68"/>
        <v>-</v>
      </c>
      <c r="I270" s="197">
        <f t="shared" si="68"/>
        <v>22</v>
      </c>
      <c r="J270" s="197">
        <f t="shared" si="68"/>
        <v>127</v>
      </c>
      <c r="K270" s="197">
        <f t="shared" si="68"/>
        <v>452</v>
      </c>
    </row>
    <row r="271" spans="1:11" s="461" customFormat="1" ht="11.25" customHeight="1" x14ac:dyDescent="0.2">
      <c r="A271" s="466">
        <v>2012</v>
      </c>
      <c r="B271" s="197">
        <f t="shared" ref="B271:K271" si="69">B41</f>
        <v>182</v>
      </c>
      <c r="C271" s="197">
        <f t="shared" si="69"/>
        <v>75</v>
      </c>
      <c r="D271" s="197">
        <f t="shared" si="69"/>
        <v>78</v>
      </c>
      <c r="E271" s="197">
        <f t="shared" si="69"/>
        <v>67</v>
      </c>
      <c r="F271" s="197">
        <f t="shared" si="69"/>
        <v>16</v>
      </c>
      <c r="G271" s="197">
        <f t="shared" si="69"/>
        <v>8</v>
      </c>
      <c r="H271" s="197" t="str">
        <f t="shared" si="69"/>
        <v>-</v>
      </c>
      <c r="I271" s="197">
        <f t="shared" si="69"/>
        <v>29</v>
      </c>
      <c r="J271" s="197">
        <f t="shared" si="69"/>
        <v>244</v>
      </c>
      <c r="K271" s="197">
        <f t="shared" si="69"/>
        <v>455</v>
      </c>
    </row>
    <row r="272" spans="1:11" s="461" customFormat="1" ht="11.25" customHeight="1" x14ac:dyDescent="0.2">
      <c r="A272" s="466">
        <v>2013</v>
      </c>
      <c r="B272" s="197">
        <f t="shared" ref="B272:K272" si="70">B42</f>
        <v>270</v>
      </c>
      <c r="C272" s="197">
        <f t="shared" si="70"/>
        <v>141</v>
      </c>
      <c r="D272" s="197">
        <f t="shared" si="70"/>
        <v>74</v>
      </c>
      <c r="E272" s="197">
        <f t="shared" si="70"/>
        <v>64</v>
      </c>
      <c r="F272" s="197">
        <f t="shared" si="70"/>
        <v>46</v>
      </c>
      <c r="G272" s="197">
        <f t="shared" si="70"/>
        <v>13</v>
      </c>
      <c r="H272" s="197" t="str">
        <f t="shared" si="70"/>
        <v>-</v>
      </c>
      <c r="I272" s="197">
        <f t="shared" si="70"/>
        <v>124</v>
      </c>
      <c r="J272" s="197">
        <f t="shared" si="70"/>
        <v>338</v>
      </c>
      <c r="K272" s="197">
        <f t="shared" si="70"/>
        <v>732</v>
      </c>
    </row>
    <row r="273" spans="1:11" s="461" customFormat="1" ht="11.25" customHeight="1" x14ac:dyDescent="0.2">
      <c r="A273" s="466">
        <v>2014</v>
      </c>
      <c r="B273" s="197">
        <f t="shared" ref="B273:K273" si="71">B43</f>
        <v>419</v>
      </c>
      <c r="C273" s="197">
        <f t="shared" si="71"/>
        <v>45</v>
      </c>
      <c r="D273" s="197">
        <f t="shared" si="71"/>
        <v>167</v>
      </c>
      <c r="E273" s="197">
        <f t="shared" si="71"/>
        <v>6</v>
      </c>
      <c r="F273" s="197">
        <f t="shared" si="71"/>
        <v>6</v>
      </c>
      <c r="G273" s="197">
        <f t="shared" si="71"/>
        <v>6</v>
      </c>
      <c r="H273" s="197" t="str">
        <f t="shared" si="71"/>
        <v>-</v>
      </c>
      <c r="I273" s="197">
        <f t="shared" si="71"/>
        <v>34</v>
      </c>
      <c r="J273" s="197">
        <f t="shared" si="71"/>
        <v>230</v>
      </c>
      <c r="K273" s="197">
        <f t="shared" si="71"/>
        <v>683</v>
      </c>
    </row>
    <row r="274" spans="1:11" s="461" customFormat="1" ht="11.25" customHeight="1" x14ac:dyDescent="0.2">
      <c r="A274" s="466">
        <v>2015</v>
      </c>
      <c r="B274" s="197">
        <f t="shared" ref="B274:K274" si="72">B44</f>
        <v>384</v>
      </c>
      <c r="C274" s="197">
        <f t="shared" si="72"/>
        <v>255</v>
      </c>
      <c r="D274" s="197">
        <f t="shared" si="72"/>
        <v>173</v>
      </c>
      <c r="E274" s="197">
        <f t="shared" si="72"/>
        <v>4</v>
      </c>
      <c r="F274" s="197">
        <f t="shared" si="72"/>
        <v>40</v>
      </c>
      <c r="G274" s="197">
        <f t="shared" si="72"/>
        <v>28</v>
      </c>
      <c r="H274" s="197" t="str">
        <f t="shared" si="72"/>
        <v>-</v>
      </c>
      <c r="I274" s="197">
        <f t="shared" si="72"/>
        <v>7</v>
      </c>
      <c r="J274" s="197">
        <f t="shared" si="72"/>
        <v>500</v>
      </c>
      <c r="K274" s="197">
        <f t="shared" si="72"/>
        <v>891</v>
      </c>
    </row>
    <row r="275" spans="1:11" s="461" customFormat="1" ht="11.25" customHeight="1" x14ac:dyDescent="0.2">
      <c r="A275" s="122">
        <v>2016</v>
      </c>
      <c r="B275" s="197">
        <f t="shared" ref="B275:K275" si="73">B45</f>
        <v>35</v>
      </c>
      <c r="C275" s="197">
        <f t="shared" si="73"/>
        <v>167</v>
      </c>
      <c r="D275" s="197">
        <f t="shared" si="73"/>
        <v>40</v>
      </c>
      <c r="E275" s="197">
        <f t="shared" si="73"/>
        <v>22</v>
      </c>
      <c r="F275" s="197">
        <f t="shared" si="73"/>
        <v>27</v>
      </c>
      <c r="G275" s="197">
        <f t="shared" si="73"/>
        <v>2</v>
      </c>
      <c r="H275" s="197" t="str">
        <f t="shared" si="73"/>
        <v>-</v>
      </c>
      <c r="I275" s="197">
        <f t="shared" si="73"/>
        <v>34</v>
      </c>
      <c r="J275" s="197">
        <f t="shared" si="73"/>
        <v>258</v>
      </c>
      <c r="K275" s="197">
        <f t="shared" si="73"/>
        <v>327</v>
      </c>
    </row>
    <row r="276" spans="1:11" s="461" customFormat="1" ht="11.25" customHeight="1" x14ac:dyDescent="0.2">
      <c r="A276" s="122">
        <v>2017</v>
      </c>
      <c r="B276" s="197">
        <f t="shared" ref="B276:K276" si="74">B46</f>
        <v>149</v>
      </c>
      <c r="C276" s="197">
        <f t="shared" si="74"/>
        <v>9</v>
      </c>
      <c r="D276" s="197">
        <f t="shared" si="74"/>
        <v>57</v>
      </c>
      <c r="E276" s="197">
        <f t="shared" si="74"/>
        <v>19</v>
      </c>
      <c r="F276" s="197">
        <f t="shared" si="74"/>
        <v>22</v>
      </c>
      <c r="G276" s="197">
        <f t="shared" si="74"/>
        <v>25</v>
      </c>
      <c r="H276" s="197" t="str">
        <f t="shared" si="74"/>
        <v>-</v>
      </c>
      <c r="I276" s="197">
        <f t="shared" si="74"/>
        <v>3</v>
      </c>
      <c r="J276" s="197">
        <f t="shared" si="74"/>
        <v>132</v>
      </c>
      <c r="K276" s="197">
        <f t="shared" si="74"/>
        <v>284</v>
      </c>
    </row>
    <row r="277" spans="1:11" s="461" customFormat="1" ht="11.25" customHeight="1" x14ac:dyDescent="0.2">
      <c r="A277" s="122">
        <v>2018</v>
      </c>
      <c r="B277" s="197">
        <f t="shared" ref="B277:K277" si="75">B47</f>
        <v>93</v>
      </c>
      <c r="C277" s="197">
        <f t="shared" si="75"/>
        <v>73</v>
      </c>
      <c r="D277" s="197">
        <f t="shared" si="75"/>
        <v>114</v>
      </c>
      <c r="E277" s="197">
        <f t="shared" si="75"/>
        <v>86</v>
      </c>
      <c r="F277" s="197">
        <f t="shared" si="75"/>
        <v>21</v>
      </c>
      <c r="G277" s="197">
        <f t="shared" si="75"/>
        <v>22</v>
      </c>
      <c r="H277" s="197" t="str">
        <f t="shared" si="75"/>
        <v>-</v>
      </c>
      <c r="I277" s="197">
        <f t="shared" si="75"/>
        <v>26</v>
      </c>
      <c r="J277" s="197">
        <f t="shared" si="75"/>
        <v>316</v>
      </c>
      <c r="K277" s="197">
        <f t="shared" si="75"/>
        <v>435</v>
      </c>
    </row>
    <row r="278" spans="1:11" s="487" customFormat="1" ht="11.25" customHeight="1" x14ac:dyDescent="0.2">
      <c r="A278" s="122">
        <v>2019</v>
      </c>
      <c r="B278" s="197">
        <f t="shared" ref="B278:K279" si="76">B48</f>
        <v>100</v>
      </c>
      <c r="C278" s="197">
        <f t="shared" si="76"/>
        <v>49</v>
      </c>
      <c r="D278" s="197">
        <f t="shared" si="76"/>
        <v>33</v>
      </c>
      <c r="E278" s="197">
        <f t="shared" si="76"/>
        <v>28</v>
      </c>
      <c r="F278" s="197">
        <f t="shared" si="76"/>
        <v>5</v>
      </c>
      <c r="G278" s="197">
        <f t="shared" si="76"/>
        <v>2</v>
      </c>
      <c r="H278" s="197" t="str">
        <f t="shared" si="76"/>
        <v>-</v>
      </c>
      <c r="I278" s="197">
        <f t="shared" si="76"/>
        <v>13</v>
      </c>
      <c r="J278" s="197">
        <f t="shared" si="76"/>
        <v>117</v>
      </c>
      <c r="K278" s="197">
        <f t="shared" si="76"/>
        <v>230</v>
      </c>
    </row>
    <row r="279" spans="1:11" ht="11.25" customHeight="1" x14ac:dyDescent="0.2">
      <c r="A279" s="122" t="s">
        <v>392</v>
      </c>
      <c r="B279" s="197">
        <f t="shared" si="76"/>
        <v>68</v>
      </c>
      <c r="C279" s="197">
        <f t="shared" si="76"/>
        <v>0</v>
      </c>
      <c r="D279" s="197">
        <f t="shared" si="76"/>
        <v>0</v>
      </c>
      <c r="E279" s="197">
        <f t="shared" si="76"/>
        <v>10</v>
      </c>
      <c r="F279" s="197">
        <f t="shared" si="76"/>
        <v>14</v>
      </c>
      <c r="G279" s="197">
        <f t="shared" si="76"/>
        <v>1</v>
      </c>
      <c r="H279" s="197" t="str">
        <f t="shared" si="76"/>
        <v>-</v>
      </c>
      <c r="I279" s="197">
        <f t="shared" si="76"/>
        <v>0</v>
      </c>
      <c r="J279" s="197">
        <f t="shared" si="76"/>
        <v>25</v>
      </c>
      <c r="K279" s="197">
        <f t="shared" si="76"/>
        <v>93</v>
      </c>
    </row>
    <row r="280" spans="1:11" ht="9" customHeight="1" x14ac:dyDescent="0.2">
      <c r="A280" s="491"/>
      <c r="B280" s="197"/>
      <c r="C280" s="197"/>
      <c r="D280" s="197"/>
      <c r="E280" s="197"/>
      <c r="F280" s="197"/>
      <c r="G280" s="197"/>
      <c r="H280" s="197"/>
      <c r="I280" s="197"/>
      <c r="J280" s="197"/>
      <c r="K280" s="197"/>
    </row>
    <row r="281" spans="1:11" ht="11.25" customHeight="1" x14ac:dyDescent="0.2">
      <c r="A281" s="159" t="s">
        <v>65</v>
      </c>
      <c r="B281" s="197"/>
      <c r="C281" s="197"/>
      <c r="D281" s="197"/>
      <c r="E281" s="197"/>
      <c r="F281" s="197"/>
      <c r="G281" s="197"/>
      <c r="H281" s="197"/>
      <c r="I281" s="197"/>
      <c r="J281" s="197"/>
      <c r="K281" s="197"/>
    </row>
    <row r="282" spans="1:11" ht="11.25" customHeight="1" x14ac:dyDescent="0.2">
      <c r="A282" s="491" t="s">
        <v>30</v>
      </c>
      <c r="B282" s="197">
        <f t="shared" ref="B282:K282" si="77">AVERAGE(B57:B61)</f>
        <v>0.2</v>
      </c>
      <c r="C282" s="197">
        <f t="shared" si="77"/>
        <v>10.6</v>
      </c>
      <c r="D282" s="197">
        <f t="shared" si="77"/>
        <v>59</v>
      </c>
      <c r="E282" s="197">
        <f t="shared" si="77"/>
        <v>114.6</v>
      </c>
      <c r="F282" s="197">
        <f t="shared" si="77"/>
        <v>139.80000000000001</v>
      </c>
      <c r="G282" s="197">
        <f t="shared" si="77"/>
        <v>99.8</v>
      </c>
      <c r="H282" s="197">
        <f t="shared" si="77"/>
        <v>3.2</v>
      </c>
      <c r="I282" s="197">
        <f t="shared" si="77"/>
        <v>0.2</v>
      </c>
      <c r="J282" s="197">
        <f t="shared" si="77"/>
        <v>423.8</v>
      </c>
      <c r="K282" s="197">
        <f t="shared" si="77"/>
        <v>427.4</v>
      </c>
    </row>
    <row r="283" spans="1:11" ht="11.25" customHeight="1" x14ac:dyDescent="0.2">
      <c r="A283" s="491" t="s">
        <v>87</v>
      </c>
      <c r="B283" s="197">
        <f t="shared" ref="B283:K283" si="78">AVERAGE(B62:B66)</f>
        <v>0.6</v>
      </c>
      <c r="C283" s="197">
        <f t="shared" si="78"/>
        <v>44.2</v>
      </c>
      <c r="D283" s="197">
        <f t="shared" si="78"/>
        <v>51.8</v>
      </c>
      <c r="E283" s="197">
        <f t="shared" si="78"/>
        <v>166.6</v>
      </c>
      <c r="F283" s="197">
        <f t="shared" si="78"/>
        <v>149.19999999999999</v>
      </c>
      <c r="G283" s="197">
        <f t="shared" si="78"/>
        <v>74.599999999999994</v>
      </c>
      <c r="H283" s="197">
        <f t="shared" si="78"/>
        <v>0</v>
      </c>
      <c r="I283" s="197">
        <f t="shared" si="78"/>
        <v>0.2</v>
      </c>
      <c r="J283" s="197">
        <f t="shared" si="78"/>
        <v>486.4</v>
      </c>
      <c r="K283" s="197">
        <f t="shared" si="78"/>
        <v>487.2</v>
      </c>
    </row>
    <row r="284" spans="1:11" ht="11.25" customHeight="1" x14ac:dyDescent="0.2">
      <c r="A284" s="491" t="s">
        <v>14</v>
      </c>
      <c r="B284" s="197">
        <f>AVERAGE(B67:B71)</f>
        <v>0</v>
      </c>
      <c r="C284" s="197">
        <f t="shared" ref="C284:K284" si="79">AVERAGE(C67:C71)</f>
        <v>29.4</v>
      </c>
      <c r="D284" s="197">
        <f t="shared" si="79"/>
        <v>33.6</v>
      </c>
      <c r="E284" s="197">
        <f t="shared" si="79"/>
        <v>82.6</v>
      </c>
      <c r="F284" s="197">
        <f t="shared" si="79"/>
        <v>95.2</v>
      </c>
      <c r="G284" s="197">
        <f t="shared" si="79"/>
        <v>28.4</v>
      </c>
      <c r="H284" s="197">
        <f t="shared" si="79"/>
        <v>0</v>
      </c>
      <c r="I284" s="197">
        <f t="shared" si="79"/>
        <v>1.4</v>
      </c>
      <c r="J284" s="197">
        <f t="shared" si="79"/>
        <v>269.2</v>
      </c>
      <c r="K284" s="197">
        <f t="shared" si="79"/>
        <v>270.60000000000002</v>
      </c>
    </row>
    <row r="285" spans="1:11" ht="11.25" customHeight="1" x14ac:dyDescent="0.2">
      <c r="A285" s="491" t="s">
        <v>207</v>
      </c>
      <c r="B285" s="197">
        <f>AVERAGE(B72:B76)</f>
        <v>0.2</v>
      </c>
      <c r="C285" s="197">
        <f t="shared" ref="C285:K285" si="80">AVERAGE(C72:C76)</f>
        <v>18</v>
      </c>
      <c r="D285" s="197">
        <f t="shared" si="80"/>
        <v>20.399999999999999</v>
      </c>
      <c r="E285" s="197">
        <f t="shared" si="80"/>
        <v>2.4</v>
      </c>
      <c r="F285" s="197">
        <f t="shared" si="80"/>
        <v>52.4</v>
      </c>
      <c r="G285" s="197">
        <f t="shared" si="80"/>
        <v>42.6</v>
      </c>
      <c r="H285" s="197" t="s">
        <v>29</v>
      </c>
      <c r="I285" s="197">
        <f t="shared" si="80"/>
        <v>0.2</v>
      </c>
      <c r="J285" s="197">
        <f t="shared" si="80"/>
        <v>135.80000000000001</v>
      </c>
      <c r="K285" s="197">
        <f t="shared" si="80"/>
        <v>136.19999999999999</v>
      </c>
    </row>
    <row r="286" spans="1:11" ht="11.25" customHeight="1" x14ac:dyDescent="0.2">
      <c r="A286" s="491" t="s">
        <v>238</v>
      </c>
      <c r="B286" s="197">
        <f t="shared" ref="B286:G286" si="81">AVERAGE(B77:B81)</f>
        <v>0.6</v>
      </c>
      <c r="C286" s="197">
        <f t="shared" si="81"/>
        <v>29.6</v>
      </c>
      <c r="D286" s="197">
        <f t="shared" si="81"/>
        <v>46.4</v>
      </c>
      <c r="E286" s="197">
        <f t="shared" si="81"/>
        <v>70.599999999999994</v>
      </c>
      <c r="F286" s="197">
        <f t="shared" si="81"/>
        <v>84</v>
      </c>
      <c r="G286" s="197">
        <f t="shared" si="81"/>
        <v>55.8</v>
      </c>
      <c r="H286" s="197" t="str">
        <f>+H77</f>
        <v>-</v>
      </c>
      <c r="I286" s="197">
        <f>AVERAGE(I77:I81)</f>
        <v>0</v>
      </c>
      <c r="J286" s="197">
        <f>AVERAGE(J77:J81)</f>
        <v>286.39999999999998</v>
      </c>
      <c r="K286" s="197">
        <f>AVERAGE(K77:K81)</f>
        <v>287</v>
      </c>
    </row>
    <row r="287" spans="1:11" ht="11.25" customHeight="1" x14ac:dyDescent="0.2">
      <c r="A287" s="491">
        <v>2006</v>
      </c>
      <c r="B287" s="197">
        <f t="shared" ref="B287:K287" si="82">+B82</f>
        <v>1</v>
      </c>
      <c r="C287" s="197">
        <f t="shared" si="82"/>
        <v>78</v>
      </c>
      <c r="D287" s="197">
        <f t="shared" si="82"/>
        <v>118</v>
      </c>
      <c r="E287" s="197">
        <f t="shared" si="82"/>
        <v>138</v>
      </c>
      <c r="F287" s="197">
        <f t="shared" si="82"/>
        <v>112</v>
      </c>
      <c r="G287" s="197">
        <f t="shared" si="82"/>
        <v>101</v>
      </c>
      <c r="H287" s="197" t="str">
        <f t="shared" si="82"/>
        <v>-</v>
      </c>
      <c r="I287" s="197">
        <f t="shared" si="82"/>
        <v>2</v>
      </c>
      <c r="J287" s="197">
        <f t="shared" si="82"/>
        <v>547</v>
      </c>
      <c r="K287" s="197">
        <f t="shared" si="82"/>
        <v>550</v>
      </c>
    </row>
    <row r="288" spans="1:11" s="461" customFormat="1" ht="11.25" customHeight="1" x14ac:dyDescent="0.2">
      <c r="A288" s="491">
        <v>2007</v>
      </c>
      <c r="B288" s="197">
        <f t="shared" ref="B288:K288" si="83">+B83</f>
        <v>0</v>
      </c>
      <c r="C288" s="197">
        <f t="shared" si="83"/>
        <v>13</v>
      </c>
      <c r="D288" s="197">
        <f t="shared" si="83"/>
        <v>161</v>
      </c>
      <c r="E288" s="197">
        <f t="shared" si="83"/>
        <v>135</v>
      </c>
      <c r="F288" s="197">
        <f t="shared" si="83"/>
        <v>125</v>
      </c>
      <c r="G288" s="197">
        <f t="shared" si="83"/>
        <v>4</v>
      </c>
      <c r="H288" s="197" t="str">
        <f t="shared" si="83"/>
        <v>-</v>
      </c>
      <c r="I288" s="197">
        <f t="shared" si="83"/>
        <v>0</v>
      </c>
      <c r="J288" s="197">
        <f t="shared" si="83"/>
        <v>438</v>
      </c>
      <c r="K288" s="197">
        <f t="shared" si="83"/>
        <v>438</v>
      </c>
    </row>
    <row r="289" spans="1:11" s="461" customFormat="1" ht="11.25" customHeight="1" x14ac:dyDescent="0.2">
      <c r="A289" s="491">
        <v>2008</v>
      </c>
      <c r="B289" s="197">
        <f t="shared" ref="B289:K289" si="84">+B84</f>
        <v>2</v>
      </c>
      <c r="C289" s="197">
        <f t="shared" si="84"/>
        <v>14</v>
      </c>
      <c r="D289" s="197">
        <f t="shared" si="84"/>
        <v>74</v>
      </c>
      <c r="E289" s="197">
        <f t="shared" si="84"/>
        <v>30</v>
      </c>
      <c r="F289" s="197">
        <f t="shared" si="84"/>
        <v>83</v>
      </c>
      <c r="G289" s="197">
        <f t="shared" si="84"/>
        <v>74</v>
      </c>
      <c r="H289" s="197" t="str">
        <f t="shared" si="84"/>
        <v>-</v>
      </c>
      <c r="I289" s="197">
        <f t="shared" si="84"/>
        <v>0</v>
      </c>
      <c r="J289" s="197">
        <f t="shared" si="84"/>
        <v>275</v>
      </c>
      <c r="K289" s="197">
        <f t="shared" si="84"/>
        <v>277</v>
      </c>
    </row>
    <row r="290" spans="1:11" s="461" customFormat="1" ht="11.25" customHeight="1" x14ac:dyDescent="0.2">
      <c r="A290" s="491">
        <v>2009</v>
      </c>
      <c r="B290" s="197">
        <f t="shared" ref="B290:K290" si="85">+B85</f>
        <v>0</v>
      </c>
      <c r="C290" s="197">
        <f t="shared" si="85"/>
        <v>26</v>
      </c>
      <c r="D290" s="197">
        <f t="shared" si="85"/>
        <v>27</v>
      </c>
      <c r="E290" s="197">
        <f t="shared" si="85"/>
        <v>122</v>
      </c>
      <c r="F290" s="197">
        <f t="shared" si="85"/>
        <v>110</v>
      </c>
      <c r="G290" s="197">
        <f t="shared" si="85"/>
        <v>0</v>
      </c>
      <c r="H290" s="197" t="str">
        <f t="shared" si="85"/>
        <v>-</v>
      </c>
      <c r="I290" s="197">
        <f t="shared" si="85"/>
        <v>0</v>
      </c>
      <c r="J290" s="197">
        <f t="shared" si="85"/>
        <v>285</v>
      </c>
      <c r="K290" s="197">
        <f t="shared" si="85"/>
        <v>285</v>
      </c>
    </row>
    <row r="291" spans="1:11" s="461" customFormat="1" ht="11.25" customHeight="1" x14ac:dyDescent="0.2">
      <c r="A291" s="491">
        <v>2010</v>
      </c>
      <c r="B291" s="197">
        <f t="shared" ref="B291:K291" si="86">+B86</f>
        <v>0</v>
      </c>
      <c r="C291" s="197">
        <f t="shared" si="86"/>
        <v>5</v>
      </c>
      <c r="D291" s="197">
        <f t="shared" si="86"/>
        <v>94</v>
      </c>
      <c r="E291" s="197">
        <f t="shared" si="86"/>
        <v>63</v>
      </c>
      <c r="F291" s="197">
        <f t="shared" si="86"/>
        <v>99</v>
      </c>
      <c r="G291" s="197">
        <f t="shared" si="86"/>
        <v>41</v>
      </c>
      <c r="H291" s="197" t="str">
        <f t="shared" si="86"/>
        <v>-</v>
      </c>
      <c r="I291" s="197">
        <f t="shared" si="86"/>
        <v>0</v>
      </c>
      <c r="J291" s="197">
        <f t="shared" si="86"/>
        <v>302</v>
      </c>
      <c r="K291" s="197">
        <f t="shared" si="86"/>
        <v>302</v>
      </c>
    </row>
    <row r="292" spans="1:11" s="461" customFormat="1" ht="11.25" customHeight="1" x14ac:dyDescent="0.2">
      <c r="A292" s="491">
        <v>2011</v>
      </c>
      <c r="B292" s="197">
        <f t="shared" ref="B292:K292" si="87">+B87</f>
        <v>0</v>
      </c>
      <c r="C292" s="197">
        <f t="shared" si="87"/>
        <v>24</v>
      </c>
      <c r="D292" s="197">
        <f t="shared" si="87"/>
        <v>130</v>
      </c>
      <c r="E292" s="197">
        <f t="shared" si="87"/>
        <v>122</v>
      </c>
      <c r="F292" s="197">
        <f t="shared" si="87"/>
        <v>95</v>
      </c>
      <c r="G292" s="197">
        <f t="shared" si="87"/>
        <v>21</v>
      </c>
      <c r="H292" s="197" t="str">
        <f t="shared" si="87"/>
        <v>-</v>
      </c>
      <c r="I292" s="197">
        <f t="shared" si="87"/>
        <v>0</v>
      </c>
      <c r="J292" s="197">
        <f t="shared" si="87"/>
        <v>392</v>
      </c>
      <c r="K292" s="197">
        <f t="shared" si="87"/>
        <v>392</v>
      </c>
    </row>
    <row r="293" spans="1:11" s="461" customFormat="1" ht="11.25" customHeight="1" x14ac:dyDescent="0.2">
      <c r="A293" s="491">
        <v>2012</v>
      </c>
      <c r="B293" s="197">
        <f t="shared" ref="B293:K293" si="88">+B88</f>
        <v>0</v>
      </c>
      <c r="C293" s="197">
        <f t="shared" si="88"/>
        <v>56</v>
      </c>
      <c r="D293" s="197">
        <f t="shared" si="88"/>
        <v>175</v>
      </c>
      <c r="E293" s="197">
        <f t="shared" si="88"/>
        <v>134</v>
      </c>
      <c r="F293" s="197">
        <f t="shared" si="88"/>
        <v>190</v>
      </c>
      <c r="G293" s="197">
        <f t="shared" si="88"/>
        <v>94</v>
      </c>
      <c r="H293" s="197" t="str">
        <f t="shared" si="88"/>
        <v>-</v>
      </c>
      <c r="I293" s="197">
        <f t="shared" si="88"/>
        <v>0</v>
      </c>
      <c r="J293" s="197">
        <f t="shared" si="88"/>
        <v>649</v>
      </c>
      <c r="K293" s="197">
        <f t="shared" si="88"/>
        <v>649</v>
      </c>
    </row>
    <row r="294" spans="1:11" s="461" customFormat="1" ht="11.25" customHeight="1" x14ac:dyDescent="0.2">
      <c r="A294" s="491">
        <v>2013</v>
      </c>
      <c r="B294" s="197">
        <f t="shared" ref="B294:K294" si="89">+B89</f>
        <v>0</v>
      </c>
      <c r="C294" s="197">
        <f t="shared" si="89"/>
        <v>131</v>
      </c>
      <c r="D294" s="197">
        <f t="shared" si="89"/>
        <v>106</v>
      </c>
      <c r="E294" s="197">
        <f t="shared" si="89"/>
        <v>270</v>
      </c>
      <c r="F294" s="197">
        <f t="shared" si="89"/>
        <v>495</v>
      </c>
      <c r="G294" s="197">
        <f t="shared" si="89"/>
        <v>107</v>
      </c>
      <c r="H294" s="197" t="str">
        <f t="shared" si="89"/>
        <v>-</v>
      </c>
      <c r="I294" s="197">
        <f t="shared" si="89"/>
        <v>0</v>
      </c>
      <c r="J294" s="197">
        <f t="shared" si="89"/>
        <v>1109</v>
      </c>
      <c r="K294" s="197">
        <f t="shared" si="89"/>
        <v>1109</v>
      </c>
    </row>
    <row r="295" spans="1:11" s="461" customFormat="1" ht="11.25" customHeight="1" x14ac:dyDescent="0.2">
      <c r="A295" s="491">
        <v>2014</v>
      </c>
      <c r="B295" s="197">
        <f t="shared" ref="B295:K295" si="90">+B90</f>
        <v>0</v>
      </c>
      <c r="C295" s="197">
        <f t="shared" si="90"/>
        <v>103</v>
      </c>
      <c r="D295" s="197">
        <f t="shared" si="90"/>
        <v>62</v>
      </c>
      <c r="E295" s="197">
        <f t="shared" si="90"/>
        <v>141</v>
      </c>
      <c r="F295" s="197">
        <f t="shared" si="90"/>
        <v>137</v>
      </c>
      <c r="G295" s="197">
        <f t="shared" si="90"/>
        <v>36</v>
      </c>
      <c r="H295" s="197" t="str">
        <f t="shared" si="90"/>
        <v>-</v>
      </c>
      <c r="I295" s="197">
        <f t="shared" si="90"/>
        <v>0</v>
      </c>
      <c r="J295" s="197">
        <f t="shared" si="90"/>
        <v>479</v>
      </c>
      <c r="K295" s="197">
        <f t="shared" si="90"/>
        <v>479</v>
      </c>
    </row>
    <row r="296" spans="1:11" s="461" customFormat="1" ht="11.25" customHeight="1" x14ac:dyDescent="0.2">
      <c r="A296" s="491">
        <v>2015</v>
      </c>
      <c r="B296" s="197">
        <f t="shared" ref="B296:K296" si="91">+B91</f>
        <v>0</v>
      </c>
      <c r="C296" s="197">
        <f t="shared" si="91"/>
        <v>24</v>
      </c>
      <c r="D296" s="197">
        <f t="shared" si="91"/>
        <v>173</v>
      </c>
      <c r="E296" s="197">
        <f t="shared" si="91"/>
        <v>143</v>
      </c>
      <c r="F296" s="197">
        <f t="shared" si="91"/>
        <v>85</v>
      </c>
      <c r="G296" s="197">
        <f t="shared" si="91"/>
        <v>22</v>
      </c>
      <c r="H296" s="197" t="str">
        <f t="shared" si="91"/>
        <v>-</v>
      </c>
      <c r="I296" s="197">
        <f t="shared" si="91"/>
        <v>0</v>
      </c>
      <c r="J296" s="197">
        <f t="shared" si="91"/>
        <v>447</v>
      </c>
      <c r="K296" s="197">
        <f t="shared" si="91"/>
        <v>447</v>
      </c>
    </row>
    <row r="297" spans="1:11" s="461" customFormat="1" ht="11.25" customHeight="1" x14ac:dyDescent="0.2">
      <c r="A297" s="122">
        <v>2016</v>
      </c>
      <c r="B297" s="197">
        <f t="shared" ref="B297:K297" si="92">+B92</f>
        <v>0</v>
      </c>
      <c r="C297" s="197">
        <f t="shared" si="92"/>
        <v>12</v>
      </c>
      <c r="D297" s="197">
        <f t="shared" si="92"/>
        <v>171</v>
      </c>
      <c r="E297" s="197">
        <f t="shared" si="92"/>
        <v>105</v>
      </c>
      <c r="F297" s="197">
        <f t="shared" si="92"/>
        <v>57</v>
      </c>
      <c r="G297" s="197">
        <f t="shared" si="92"/>
        <v>0</v>
      </c>
      <c r="H297" s="197" t="str">
        <f t="shared" si="92"/>
        <v>-</v>
      </c>
      <c r="I297" s="197">
        <f t="shared" si="92"/>
        <v>0</v>
      </c>
      <c r="J297" s="197">
        <f t="shared" si="92"/>
        <v>345</v>
      </c>
      <c r="K297" s="197">
        <f t="shared" si="92"/>
        <v>345</v>
      </c>
    </row>
    <row r="298" spans="1:11" s="461" customFormat="1" ht="11.25" customHeight="1" x14ac:dyDescent="0.2">
      <c r="A298" s="122">
        <v>2017</v>
      </c>
      <c r="B298" s="197">
        <f t="shared" ref="B298:K298" si="93">+B93</f>
        <v>0</v>
      </c>
      <c r="C298" s="197">
        <f t="shared" si="93"/>
        <v>15</v>
      </c>
      <c r="D298" s="197">
        <f t="shared" si="93"/>
        <v>29</v>
      </c>
      <c r="E298" s="197">
        <f t="shared" si="93"/>
        <v>293</v>
      </c>
      <c r="F298" s="197">
        <f t="shared" si="93"/>
        <v>320</v>
      </c>
      <c r="G298" s="197">
        <f t="shared" si="93"/>
        <v>139</v>
      </c>
      <c r="H298" s="197" t="str">
        <f t="shared" si="93"/>
        <v>-</v>
      </c>
      <c r="I298" s="197">
        <f t="shared" si="93"/>
        <v>0</v>
      </c>
      <c r="J298" s="197">
        <f t="shared" si="93"/>
        <v>796</v>
      </c>
      <c r="K298" s="197">
        <f t="shared" si="93"/>
        <v>796</v>
      </c>
    </row>
    <row r="299" spans="1:11" s="461" customFormat="1" ht="11.25" customHeight="1" x14ac:dyDescent="0.2">
      <c r="A299" s="122">
        <v>2018</v>
      </c>
      <c r="B299" s="197">
        <f t="shared" ref="B299:K299" si="94">+B94</f>
        <v>0</v>
      </c>
      <c r="C299" s="197">
        <f t="shared" si="94"/>
        <v>21</v>
      </c>
      <c r="D299" s="197">
        <f t="shared" si="94"/>
        <v>133</v>
      </c>
      <c r="E299" s="197">
        <f t="shared" si="94"/>
        <v>185</v>
      </c>
      <c r="F299" s="197">
        <f t="shared" si="94"/>
        <v>108</v>
      </c>
      <c r="G299" s="197">
        <f t="shared" si="94"/>
        <v>80</v>
      </c>
      <c r="H299" s="197" t="str">
        <f t="shared" si="94"/>
        <v>-</v>
      </c>
      <c r="I299" s="197">
        <f t="shared" si="94"/>
        <v>0</v>
      </c>
      <c r="J299" s="197">
        <f t="shared" si="94"/>
        <v>527</v>
      </c>
      <c r="K299" s="197">
        <f t="shared" si="94"/>
        <v>527</v>
      </c>
    </row>
    <row r="300" spans="1:11" s="487" customFormat="1" ht="11.25" customHeight="1" x14ac:dyDescent="0.2">
      <c r="A300" s="122">
        <v>2019</v>
      </c>
      <c r="B300" s="197">
        <f t="shared" ref="B300:K301" si="95">+B95</f>
        <v>0</v>
      </c>
      <c r="C300" s="197">
        <f t="shared" si="95"/>
        <v>11</v>
      </c>
      <c r="D300" s="197">
        <f t="shared" si="95"/>
        <v>36</v>
      </c>
      <c r="E300" s="197">
        <f t="shared" si="95"/>
        <v>327</v>
      </c>
      <c r="F300" s="197">
        <f t="shared" si="95"/>
        <v>255</v>
      </c>
      <c r="G300" s="197">
        <f t="shared" si="95"/>
        <v>105</v>
      </c>
      <c r="H300" s="197" t="str">
        <f t="shared" si="95"/>
        <v>-</v>
      </c>
      <c r="I300" s="197">
        <f t="shared" si="95"/>
        <v>0</v>
      </c>
      <c r="J300" s="197">
        <f t="shared" si="95"/>
        <v>734</v>
      </c>
      <c r="K300" s="197">
        <f t="shared" si="95"/>
        <v>734</v>
      </c>
    </row>
    <row r="301" spans="1:11" ht="11.25" customHeight="1" x14ac:dyDescent="0.2">
      <c r="A301" s="122" t="s">
        <v>392</v>
      </c>
      <c r="B301" s="197">
        <f t="shared" si="95"/>
        <v>0</v>
      </c>
      <c r="C301" s="197">
        <f t="shared" si="95"/>
        <v>0</v>
      </c>
      <c r="D301" s="197">
        <f t="shared" si="95"/>
        <v>0</v>
      </c>
      <c r="E301" s="197">
        <f t="shared" si="95"/>
        <v>13</v>
      </c>
      <c r="F301" s="197">
        <f t="shared" si="95"/>
        <v>101</v>
      </c>
      <c r="G301" s="197">
        <f t="shared" si="95"/>
        <v>27</v>
      </c>
      <c r="H301" s="197" t="str">
        <f t="shared" si="95"/>
        <v>-</v>
      </c>
      <c r="I301" s="197">
        <f t="shared" si="95"/>
        <v>0</v>
      </c>
      <c r="J301" s="197">
        <f t="shared" si="95"/>
        <v>141</v>
      </c>
      <c r="K301" s="197">
        <f t="shared" si="95"/>
        <v>141</v>
      </c>
    </row>
    <row r="302" spans="1:11" ht="12" customHeight="1" x14ac:dyDescent="0.2">
      <c r="A302" s="491"/>
      <c r="B302" s="193"/>
      <c r="C302" s="193"/>
      <c r="D302" s="193"/>
      <c r="E302" s="193"/>
      <c r="F302" s="193"/>
      <c r="G302" s="193"/>
      <c r="H302" s="193"/>
      <c r="I302" s="193"/>
      <c r="J302" s="193"/>
      <c r="K302" s="193"/>
    </row>
    <row r="303" spans="1:11" ht="12" customHeight="1" x14ac:dyDescent="0.2">
      <c r="A303" s="159" t="s">
        <v>297</v>
      </c>
      <c r="B303" s="193"/>
      <c r="C303" s="193"/>
      <c r="D303" s="193"/>
      <c r="E303" s="193"/>
      <c r="F303" s="193"/>
      <c r="G303" s="193"/>
      <c r="H303" s="193"/>
      <c r="I303" s="193"/>
      <c r="J303" s="193"/>
      <c r="K303" s="193"/>
    </row>
    <row r="304" spans="1:11" ht="11.25" customHeight="1" x14ac:dyDescent="0.2">
      <c r="A304" s="491" t="s">
        <v>30</v>
      </c>
      <c r="B304" s="193">
        <f t="shared" ref="B304:K304" si="96">AVERAGE(B104:B108)</f>
        <v>0</v>
      </c>
      <c r="C304" s="193">
        <f t="shared" si="96"/>
        <v>9.8000000000000007</v>
      </c>
      <c r="D304" s="193">
        <f t="shared" si="96"/>
        <v>26.2</v>
      </c>
      <c r="E304" s="193">
        <f t="shared" si="96"/>
        <v>85.6</v>
      </c>
      <c r="F304" s="193">
        <f t="shared" si="96"/>
        <v>93.2</v>
      </c>
      <c r="G304" s="193">
        <f t="shared" si="96"/>
        <v>28.6</v>
      </c>
      <c r="H304" s="193">
        <f t="shared" si="96"/>
        <v>0</v>
      </c>
      <c r="I304" s="193">
        <f t="shared" si="96"/>
        <v>0</v>
      </c>
      <c r="J304" s="193">
        <f t="shared" si="96"/>
        <v>243.4</v>
      </c>
      <c r="K304" s="193">
        <f t="shared" si="96"/>
        <v>243.4</v>
      </c>
    </row>
    <row r="305" spans="1:11" ht="11.25" customHeight="1" x14ac:dyDescent="0.2">
      <c r="A305" s="491" t="s">
        <v>87</v>
      </c>
      <c r="B305" s="193">
        <f t="shared" ref="B305:K305" si="97">AVERAGE(B109:B113)</f>
        <v>0</v>
      </c>
      <c r="C305" s="193">
        <f t="shared" si="97"/>
        <v>21</v>
      </c>
      <c r="D305" s="193">
        <f t="shared" si="97"/>
        <v>38.799999999999997</v>
      </c>
      <c r="E305" s="193">
        <f t="shared" si="97"/>
        <v>119</v>
      </c>
      <c r="F305" s="193">
        <f t="shared" si="97"/>
        <v>150.19999999999999</v>
      </c>
      <c r="G305" s="193">
        <f t="shared" si="97"/>
        <v>37.200000000000003</v>
      </c>
      <c r="H305" s="193" t="s">
        <v>29</v>
      </c>
      <c r="I305" s="193" t="s">
        <v>29</v>
      </c>
      <c r="J305" s="193">
        <f t="shared" si="97"/>
        <v>366.2</v>
      </c>
      <c r="K305" s="193">
        <f t="shared" si="97"/>
        <v>366.2</v>
      </c>
    </row>
    <row r="306" spans="1:11" ht="11.25" customHeight="1" x14ac:dyDescent="0.2">
      <c r="A306" s="491" t="s">
        <v>14</v>
      </c>
      <c r="B306" s="193">
        <f>AVERAGE(B114:B118)</f>
        <v>0</v>
      </c>
      <c r="C306" s="193">
        <f t="shared" ref="C306:K306" si="98">AVERAGE(C114:C118)</f>
        <v>3.4</v>
      </c>
      <c r="D306" s="193">
        <f t="shared" si="98"/>
        <v>7</v>
      </c>
      <c r="E306" s="193">
        <f t="shared" si="98"/>
        <v>44.2</v>
      </c>
      <c r="F306" s="193">
        <f t="shared" si="98"/>
        <v>99.8</v>
      </c>
      <c r="G306" s="193">
        <f t="shared" si="98"/>
        <v>5.4</v>
      </c>
      <c r="H306" s="193" t="s">
        <v>29</v>
      </c>
      <c r="I306" s="193" t="s">
        <v>29</v>
      </c>
      <c r="J306" s="193">
        <f t="shared" si="98"/>
        <v>159.80000000000001</v>
      </c>
      <c r="K306" s="193">
        <f t="shared" si="98"/>
        <v>159.80000000000001</v>
      </c>
    </row>
    <row r="307" spans="1:11" ht="11.25" customHeight="1" x14ac:dyDescent="0.2">
      <c r="A307" s="491" t="s">
        <v>207</v>
      </c>
      <c r="B307" s="193">
        <f>AVERAGE(B119:B123)</f>
        <v>0</v>
      </c>
      <c r="C307" s="193">
        <f t="shared" ref="C307:K307" si="99">AVERAGE(C119:C123)</f>
        <v>0</v>
      </c>
      <c r="D307" s="193">
        <f t="shared" si="99"/>
        <v>0.8</v>
      </c>
      <c r="E307" s="193">
        <f t="shared" si="99"/>
        <v>0</v>
      </c>
      <c r="F307" s="193">
        <f t="shared" si="99"/>
        <v>3.4</v>
      </c>
      <c r="G307" s="193">
        <f t="shared" si="99"/>
        <v>2</v>
      </c>
      <c r="H307" s="193" t="s">
        <v>29</v>
      </c>
      <c r="I307" s="193" t="s">
        <v>29</v>
      </c>
      <c r="J307" s="193">
        <f t="shared" si="99"/>
        <v>6.2</v>
      </c>
      <c r="K307" s="193">
        <f t="shared" si="99"/>
        <v>6.2</v>
      </c>
    </row>
    <row r="308" spans="1:11" ht="11.25" customHeight="1" x14ac:dyDescent="0.2">
      <c r="A308" s="491" t="s">
        <v>238</v>
      </c>
      <c r="B308" s="193">
        <f>AVERAGE(B124:B128)</f>
        <v>0</v>
      </c>
      <c r="C308" s="193">
        <f>AVERAGE(C124:C128)</f>
        <v>0.2</v>
      </c>
      <c r="D308" s="193">
        <f t="shared" ref="D308:K308" si="100">AVERAGE(D124:D128)</f>
        <v>0.4</v>
      </c>
      <c r="E308" s="193">
        <f t="shared" si="100"/>
        <v>1.2</v>
      </c>
      <c r="F308" s="193">
        <f t="shared" si="100"/>
        <v>1.4</v>
      </c>
      <c r="G308" s="193">
        <f t="shared" si="100"/>
        <v>0.6</v>
      </c>
      <c r="H308" s="193">
        <f t="shared" si="100"/>
        <v>10</v>
      </c>
      <c r="I308" s="193" t="s">
        <v>29</v>
      </c>
      <c r="J308" s="193">
        <f t="shared" si="100"/>
        <v>3.8</v>
      </c>
      <c r="K308" s="193">
        <f t="shared" si="100"/>
        <v>11.8</v>
      </c>
    </row>
    <row r="309" spans="1:11" ht="11.25" customHeight="1" x14ac:dyDescent="0.2">
      <c r="A309" s="491">
        <v>2006</v>
      </c>
      <c r="B309" s="193">
        <f t="shared" ref="B309:K309" si="101">+B129</f>
        <v>0</v>
      </c>
      <c r="C309" s="193">
        <f t="shared" si="101"/>
        <v>2</v>
      </c>
      <c r="D309" s="193">
        <f t="shared" si="101"/>
        <v>7</v>
      </c>
      <c r="E309" s="193">
        <f t="shared" si="101"/>
        <v>11</v>
      </c>
      <c r="F309" s="193">
        <f t="shared" si="101"/>
        <v>8</v>
      </c>
      <c r="G309" s="193">
        <f t="shared" si="101"/>
        <v>3</v>
      </c>
      <c r="H309" s="193">
        <f t="shared" si="101"/>
        <v>5</v>
      </c>
      <c r="I309" s="193" t="str">
        <f t="shared" si="101"/>
        <v>-</v>
      </c>
      <c r="J309" s="193">
        <f t="shared" si="101"/>
        <v>31</v>
      </c>
      <c r="K309" s="193">
        <f t="shared" si="101"/>
        <v>36</v>
      </c>
    </row>
    <row r="310" spans="1:11" s="461" customFormat="1" ht="11.25" customHeight="1" x14ac:dyDescent="0.2">
      <c r="A310" s="491">
        <v>2007</v>
      </c>
      <c r="B310" s="197">
        <f t="shared" ref="B310:K310" si="102">+B130</f>
        <v>0</v>
      </c>
      <c r="C310" s="197">
        <f t="shared" si="102"/>
        <v>0</v>
      </c>
      <c r="D310" s="197">
        <f t="shared" si="102"/>
        <v>15</v>
      </c>
      <c r="E310" s="197">
        <f t="shared" si="102"/>
        <v>2</v>
      </c>
      <c r="F310" s="197">
        <f t="shared" si="102"/>
        <v>13</v>
      </c>
      <c r="G310" s="197">
        <f t="shared" si="102"/>
        <v>1</v>
      </c>
      <c r="H310" s="197">
        <f t="shared" si="102"/>
        <v>0</v>
      </c>
      <c r="I310" s="197" t="str">
        <f t="shared" si="102"/>
        <v>-</v>
      </c>
      <c r="J310" s="197">
        <f t="shared" si="102"/>
        <v>31</v>
      </c>
      <c r="K310" s="197">
        <f t="shared" si="102"/>
        <v>31</v>
      </c>
    </row>
    <row r="311" spans="1:11" s="461" customFormat="1" ht="11.25" customHeight="1" x14ac:dyDescent="0.2">
      <c r="A311" s="491">
        <v>2008</v>
      </c>
      <c r="B311" s="197">
        <f t="shared" ref="B311:K311" si="103">+B131</f>
        <v>0</v>
      </c>
      <c r="C311" s="197">
        <f t="shared" si="103"/>
        <v>4</v>
      </c>
      <c r="D311" s="197">
        <f t="shared" si="103"/>
        <v>26</v>
      </c>
      <c r="E311" s="197">
        <f t="shared" si="103"/>
        <v>11</v>
      </c>
      <c r="F311" s="197">
        <f t="shared" si="103"/>
        <v>9</v>
      </c>
      <c r="G311" s="197">
        <f t="shared" si="103"/>
        <v>2</v>
      </c>
      <c r="H311" s="197">
        <f t="shared" si="103"/>
        <v>1</v>
      </c>
      <c r="I311" s="197" t="str">
        <f t="shared" si="103"/>
        <v>-</v>
      </c>
      <c r="J311" s="197">
        <f t="shared" si="103"/>
        <v>52</v>
      </c>
      <c r="K311" s="197">
        <f t="shared" si="103"/>
        <v>53</v>
      </c>
    </row>
    <row r="312" spans="1:11" s="461" customFormat="1" ht="11.25" customHeight="1" x14ac:dyDescent="0.2">
      <c r="A312" s="491">
        <v>2009</v>
      </c>
      <c r="B312" s="197">
        <f t="shared" ref="B312:K312" si="104">+B132</f>
        <v>0</v>
      </c>
      <c r="C312" s="197">
        <f t="shared" si="104"/>
        <v>2</v>
      </c>
      <c r="D312" s="197">
        <f t="shared" si="104"/>
        <v>3</v>
      </c>
      <c r="E312" s="197">
        <f t="shared" si="104"/>
        <v>2</v>
      </c>
      <c r="F312" s="197">
        <f t="shared" si="104"/>
        <v>6</v>
      </c>
      <c r="G312" s="197">
        <f t="shared" si="104"/>
        <v>0</v>
      </c>
      <c r="H312" s="197">
        <f t="shared" si="104"/>
        <v>4</v>
      </c>
      <c r="I312" s="197" t="str">
        <f t="shared" si="104"/>
        <v>-</v>
      </c>
      <c r="J312" s="197">
        <f t="shared" si="104"/>
        <v>13</v>
      </c>
      <c r="K312" s="197">
        <f t="shared" si="104"/>
        <v>17</v>
      </c>
    </row>
    <row r="313" spans="1:11" s="461" customFormat="1" ht="11.25" customHeight="1" x14ac:dyDescent="0.2">
      <c r="A313" s="491">
        <v>2010</v>
      </c>
      <c r="B313" s="197">
        <f t="shared" ref="B313:K313" si="105">+B133</f>
        <v>0</v>
      </c>
      <c r="C313" s="197">
        <f t="shared" si="105"/>
        <v>3</v>
      </c>
      <c r="D313" s="197">
        <f t="shared" si="105"/>
        <v>1</v>
      </c>
      <c r="E313" s="197">
        <f t="shared" si="105"/>
        <v>11</v>
      </c>
      <c r="F313" s="197">
        <f t="shared" si="105"/>
        <v>12</v>
      </c>
      <c r="G313" s="197">
        <f t="shared" si="105"/>
        <v>2</v>
      </c>
      <c r="H313" s="197">
        <f t="shared" si="105"/>
        <v>4</v>
      </c>
      <c r="I313" s="197" t="str">
        <f t="shared" si="105"/>
        <v>-</v>
      </c>
      <c r="J313" s="197">
        <f t="shared" si="105"/>
        <v>29</v>
      </c>
      <c r="K313" s="197">
        <f t="shared" si="105"/>
        <v>33</v>
      </c>
    </row>
    <row r="314" spans="1:11" s="461" customFormat="1" ht="11.25" customHeight="1" x14ac:dyDescent="0.2">
      <c r="A314" s="491">
        <v>2011</v>
      </c>
      <c r="B314" s="197">
        <f t="shared" ref="B314:K314" si="106">+B134</f>
        <v>0</v>
      </c>
      <c r="C314" s="197">
        <f t="shared" si="106"/>
        <v>0</v>
      </c>
      <c r="D314" s="197">
        <f t="shared" si="106"/>
        <v>3</v>
      </c>
      <c r="E314" s="197">
        <f t="shared" si="106"/>
        <v>0</v>
      </c>
      <c r="F314" s="197">
        <f t="shared" si="106"/>
        <v>3</v>
      </c>
      <c r="G314" s="197">
        <f t="shared" si="106"/>
        <v>2</v>
      </c>
      <c r="H314" s="197">
        <f t="shared" si="106"/>
        <v>1</v>
      </c>
      <c r="I314" s="197" t="str">
        <f t="shared" si="106"/>
        <v>-</v>
      </c>
      <c r="J314" s="197">
        <f t="shared" si="106"/>
        <v>8</v>
      </c>
      <c r="K314" s="197">
        <f t="shared" si="106"/>
        <v>9</v>
      </c>
    </row>
    <row r="315" spans="1:11" s="461" customFormat="1" ht="11.25" customHeight="1" x14ac:dyDescent="0.2">
      <c r="A315" s="491">
        <v>2012</v>
      </c>
      <c r="B315" s="197">
        <f t="shared" ref="B315:K315" si="107">+B135</f>
        <v>0</v>
      </c>
      <c r="C315" s="197">
        <f t="shared" si="107"/>
        <v>8</v>
      </c>
      <c r="D315" s="197">
        <f t="shared" si="107"/>
        <v>3</v>
      </c>
      <c r="E315" s="197">
        <f t="shared" si="107"/>
        <v>5</v>
      </c>
      <c r="F315" s="197">
        <f t="shared" si="107"/>
        <v>12</v>
      </c>
      <c r="G315" s="197">
        <f t="shared" si="107"/>
        <v>2</v>
      </c>
      <c r="H315" s="197">
        <f t="shared" si="107"/>
        <v>4</v>
      </c>
      <c r="I315" s="197" t="str">
        <f t="shared" si="107"/>
        <v>-</v>
      </c>
      <c r="J315" s="197">
        <f t="shared" si="107"/>
        <v>30</v>
      </c>
      <c r="K315" s="197">
        <f t="shared" si="107"/>
        <v>34</v>
      </c>
    </row>
    <row r="316" spans="1:11" s="461" customFormat="1" ht="11.25" customHeight="1" x14ac:dyDescent="0.2">
      <c r="A316" s="491">
        <v>2013</v>
      </c>
      <c r="B316" s="197">
        <f t="shared" ref="B316:K316" si="108">+B136</f>
        <v>0</v>
      </c>
      <c r="C316" s="197">
        <f t="shared" si="108"/>
        <v>6</v>
      </c>
      <c r="D316" s="197">
        <f t="shared" si="108"/>
        <v>18</v>
      </c>
      <c r="E316" s="197">
        <f t="shared" si="108"/>
        <v>30</v>
      </c>
      <c r="F316" s="197">
        <f t="shared" si="108"/>
        <v>13</v>
      </c>
      <c r="G316" s="197">
        <f t="shared" si="108"/>
        <v>35</v>
      </c>
      <c r="H316" s="197">
        <f t="shared" si="108"/>
        <v>0</v>
      </c>
      <c r="I316" s="197" t="str">
        <f t="shared" si="108"/>
        <v>-</v>
      </c>
      <c r="J316" s="197">
        <f t="shared" si="108"/>
        <v>102</v>
      </c>
      <c r="K316" s="197">
        <f t="shared" si="108"/>
        <v>102</v>
      </c>
    </row>
    <row r="317" spans="1:11" s="461" customFormat="1" ht="11.25" customHeight="1" x14ac:dyDescent="0.2">
      <c r="A317" s="491">
        <v>2014</v>
      </c>
      <c r="B317" s="197">
        <f t="shared" ref="B317:K317" si="109">+B137</f>
        <v>0</v>
      </c>
      <c r="C317" s="197">
        <f t="shared" si="109"/>
        <v>41</v>
      </c>
      <c r="D317" s="197">
        <f t="shared" si="109"/>
        <v>61</v>
      </c>
      <c r="E317" s="197">
        <f t="shared" si="109"/>
        <v>304</v>
      </c>
      <c r="F317" s="197">
        <f t="shared" si="109"/>
        <v>253</v>
      </c>
      <c r="G317" s="197">
        <f t="shared" si="109"/>
        <v>82</v>
      </c>
      <c r="H317" s="197">
        <f t="shared" si="109"/>
        <v>0</v>
      </c>
      <c r="I317" s="197" t="str">
        <f t="shared" si="109"/>
        <v>-</v>
      </c>
      <c r="J317" s="197">
        <f t="shared" si="109"/>
        <v>741</v>
      </c>
      <c r="K317" s="197">
        <f t="shared" si="109"/>
        <v>741</v>
      </c>
    </row>
    <row r="318" spans="1:11" s="461" customFormat="1" ht="11.25" customHeight="1" x14ac:dyDescent="0.2">
      <c r="A318" s="491">
        <v>2015</v>
      </c>
      <c r="B318" s="197">
        <f t="shared" ref="B318:K318" si="110">+B138</f>
        <v>0</v>
      </c>
      <c r="C318" s="197">
        <f t="shared" si="110"/>
        <v>38</v>
      </c>
      <c r="D318" s="197">
        <f t="shared" si="110"/>
        <v>23</v>
      </c>
      <c r="E318" s="197">
        <f t="shared" si="110"/>
        <v>205</v>
      </c>
      <c r="F318" s="197">
        <f t="shared" si="110"/>
        <v>115</v>
      </c>
      <c r="G318" s="197">
        <f t="shared" si="110"/>
        <v>54</v>
      </c>
      <c r="H318" s="197">
        <f t="shared" si="110"/>
        <v>0</v>
      </c>
      <c r="I318" s="197" t="str">
        <f t="shared" si="110"/>
        <v>-</v>
      </c>
      <c r="J318" s="197">
        <f t="shared" si="110"/>
        <v>435</v>
      </c>
      <c r="K318" s="197">
        <f t="shared" si="110"/>
        <v>435</v>
      </c>
    </row>
    <row r="319" spans="1:11" s="461" customFormat="1" ht="11.25" customHeight="1" x14ac:dyDescent="0.2">
      <c r="A319" s="122">
        <v>2016</v>
      </c>
      <c r="B319" s="197">
        <f t="shared" ref="B319:K319" si="111">+B139</f>
        <v>0</v>
      </c>
      <c r="C319" s="197">
        <f t="shared" si="111"/>
        <v>21</v>
      </c>
      <c r="D319" s="197">
        <f t="shared" si="111"/>
        <v>15</v>
      </c>
      <c r="E319" s="197">
        <f t="shared" si="111"/>
        <v>4</v>
      </c>
      <c r="F319" s="197">
        <f t="shared" si="111"/>
        <v>1</v>
      </c>
      <c r="G319" s="197">
        <f t="shared" si="111"/>
        <v>0</v>
      </c>
      <c r="H319" s="197">
        <f t="shared" si="111"/>
        <v>0</v>
      </c>
      <c r="I319" s="197" t="str">
        <f t="shared" si="111"/>
        <v>-</v>
      </c>
      <c r="J319" s="197">
        <f t="shared" si="111"/>
        <v>41</v>
      </c>
      <c r="K319" s="197">
        <f t="shared" si="111"/>
        <v>41</v>
      </c>
    </row>
    <row r="320" spans="1:11" s="461" customFormat="1" ht="11.25" customHeight="1" x14ac:dyDescent="0.2">
      <c r="A320" s="122">
        <v>2017</v>
      </c>
      <c r="B320" s="197">
        <f t="shared" ref="B320:K320" si="112">+B140</f>
        <v>0</v>
      </c>
      <c r="C320" s="197">
        <f t="shared" si="112"/>
        <v>0</v>
      </c>
      <c r="D320" s="197">
        <f t="shared" si="112"/>
        <v>1</v>
      </c>
      <c r="E320" s="197">
        <f t="shared" si="112"/>
        <v>2</v>
      </c>
      <c r="F320" s="197">
        <f t="shared" si="112"/>
        <v>3</v>
      </c>
      <c r="G320" s="197">
        <f t="shared" si="112"/>
        <v>2</v>
      </c>
      <c r="H320" s="197">
        <f t="shared" si="112"/>
        <v>0</v>
      </c>
      <c r="I320" s="197" t="str">
        <f t="shared" si="112"/>
        <v>-</v>
      </c>
      <c r="J320" s="197">
        <f t="shared" si="112"/>
        <v>8</v>
      </c>
      <c r="K320" s="197">
        <f t="shared" si="112"/>
        <v>8</v>
      </c>
    </row>
    <row r="321" spans="1:11" s="461" customFormat="1" ht="11.25" customHeight="1" x14ac:dyDescent="0.2">
      <c r="A321" s="122">
        <v>2018</v>
      </c>
      <c r="B321" s="197">
        <f t="shared" ref="B321:K321" si="113">+B141</f>
        <v>0</v>
      </c>
      <c r="C321" s="197">
        <f t="shared" si="113"/>
        <v>0</v>
      </c>
      <c r="D321" s="197">
        <f t="shared" si="113"/>
        <v>1</v>
      </c>
      <c r="E321" s="197">
        <f t="shared" si="113"/>
        <v>0</v>
      </c>
      <c r="F321" s="197">
        <f t="shared" si="113"/>
        <v>0</v>
      </c>
      <c r="G321" s="197">
        <f t="shared" si="113"/>
        <v>3</v>
      </c>
      <c r="H321" s="197">
        <f t="shared" si="113"/>
        <v>0</v>
      </c>
      <c r="I321" s="197" t="str">
        <f t="shared" si="113"/>
        <v>-</v>
      </c>
      <c r="J321" s="197">
        <f t="shared" si="113"/>
        <v>4</v>
      </c>
      <c r="K321" s="197">
        <f t="shared" si="113"/>
        <v>4</v>
      </c>
    </row>
    <row r="322" spans="1:11" s="487" customFormat="1" ht="11.25" customHeight="1" x14ac:dyDescent="0.2">
      <c r="A322" s="122">
        <v>2019</v>
      </c>
      <c r="B322" s="197">
        <f t="shared" ref="B322:K323" si="114">+B142</f>
        <v>0</v>
      </c>
      <c r="C322" s="197">
        <f t="shared" si="114"/>
        <v>0</v>
      </c>
      <c r="D322" s="197">
        <f t="shared" si="114"/>
        <v>0</v>
      </c>
      <c r="E322" s="197">
        <f t="shared" si="114"/>
        <v>0</v>
      </c>
      <c r="F322" s="197">
        <f t="shared" si="114"/>
        <v>2</v>
      </c>
      <c r="G322" s="197">
        <f t="shared" si="114"/>
        <v>5</v>
      </c>
      <c r="H322" s="197">
        <f t="shared" si="114"/>
        <v>0</v>
      </c>
      <c r="I322" s="197" t="str">
        <f t="shared" si="114"/>
        <v>-</v>
      </c>
      <c r="J322" s="197">
        <f t="shared" si="114"/>
        <v>7</v>
      </c>
      <c r="K322" s="197">
        <f t="shared" si="114"/>
        <v>7</v>
      </c>
    </row>
    <row r="323" spans="1:11" ht="11.25" customHeight="1" x14ac:dyDescent="0.2">
      <c r="A323" s="122" t="s">
        <v>392</v>
      </c>
      <c r="B323" s="193">
        <f t="shared" si="114"/>
        <v>0</v>
      </c>
      <c r="C323" s="193">
        <f t="shared" si="114"/>
        <v>0</v>
      </c>
      <c r="D323" s="193">
        <f t="shared" si="114"/>
        <v>0</v>
      </c>
      <c r="E323" s="193">
        <f t="shared" si="114"/>
        <v>0</v>
      </c>
      <c r="F323" s="193">
        <f t="shared" si="114"/>
        <v>1</v>
      </c>
      <c r="G323" s="193">
        <f t="shared" si="114"/>
        <v>0</v>
      </c>
      <c r="H323" s="193">
        <f t="shared" si="114"/>
        <v>0</v>
      </c>
      <c r="I323" s="197" t="str">
        <f t="shared" si="114"/>
        <v>-</v>
      </c>
      <c r="J323" s="193">
        <f t="shared" si="114"/>
        <v>1</v>
      </c>
      <c r="K323" s="193">
        <f t="shared" si="114"/>
        <v>1</v>
      </c>
    </row>
    <row r="324" spans="1:11" ht="11.25" customHeight="1" x14ac:dyDescent="0.2">
      <c r="A324" s="491"/>
      <c r="B324" s="193"/>
      <c r="C324" s="193"/>
      <c r="D324" s="193"/>
      <c r="E324" s="193"/>
      <c r="F324" s="193"/>
      <c r="G324" s="193"/>
      <c r="H324" s="193"/>
      <c r="I324" s="193"/>
      <c r="J324" s="193"/>
      <c r="K324" s="193"/>
    </row>
    <row r="325" spans="1:11" ht="21" customHeight="1" x14ac:dyDescent="0.2">
      <c r="A325" s="514" t="s">
        <v>390</v>
      </c>
      <c r="B325" s="514"/>
      <c r="C325" s="514"/>
      <c r="D325" s="514"/>
      <c r="E325" s="514"/>
      <c r="F325" s="514"/>
      <c r="G325" s="514"/>
      <c r="H325" s="514"/>
      <c r="I325" s="514"/>
      <c r="J325" s="514"/>
      <c r="K325" s="514"/>
    </row>
    <row r="326" spans="1:11" ht="11.25" customHeight="1" x14ac:dyDescent="0.2">
      <c r="A326" s="466"/>
      <c r="B326" s="23"/>
      <c r="C326" s="23"/>
      <c r="D326" s="23"/>
      <c r="E326" s="23"/>
      <c r="F326" s="23"/>
      <c r="G326" s="23"/>
      <c r="H326" s="23"/>
      <c r="I326" s="23"/>
      <c r="J326" s="23" t="s">
        <v>61</v>
      </c>
      <c r="K326" s="23" t="s">
        <v>52</v>
      </c>
    </row>
    <row r="327" spans="1:11" ht="11.25" customHeight="1" x14ac:dyDescent="0.2">
      <c r="A327" s="119" t="s">
        <v>33</v>
      </c>
      <c r="B327" s="464" t="s">
        <v>71</v>
      </c>
      <c r="C327" s="464" t="s">
        <v>35</v>
      </c>
      <c r="D327" s="464" t="s">
        <v>36</v>
      </c>
      <c r="E327" s="464" t="s">
        <v>37</v>
      </c>
      <c r="F327" s="464" t="s">
        <v>38</v>
      </c>
      <c r="G327" s="464" t="s">
        <v>39</v>
      </c>
      <c r="H327" s="170" t="s">
        <v>40</v>
      </c>
      <c r="I327" s="464" t="s">
        <v>73</v>
      </c>
      <c r="J327" s="464" t="s">
        <v>74</v>
      </c>
      <c r="K327" s="464" t="s">
        <v>61</v>
      </c>
    </row>
    <row r="328" spans="1:11" ht="11.25" customHeight="1" x14ac:dyDescent="0.2">
      <c r="A328" s="116" t="s">
        <v>64</v>
      </c>
      <c r="B328" s="193"/>
      <c r="C328" s="193"/>
      <c r="D328" s="193"/>
      <c r="E328" s="193"/>
      <c r="F328" s="193"/>
      <c r="G328" s="193"/>
      <c r="H328" s="193"/>
      <c r="I328" s="193"/>
      <c r="J328" s="193"/>
      <c r="K328" s="193"/>
    </row>
    <row r="329" spans="1:11" ht="11.25" customHeight="1" x14ac:dyDescent="0.2">
      <c r="A329" s="465" t="s">
        <v>30</v>
      </c>
      <c r="B329" s="193">
        <f t="shared" ref="B329:K329" si="115">AVERAGE(B151:B155)</f>
        <v>0</v>
      </c>
      <c r="C329" s="193">
        <f t="shared" si="115"/>
        <v>5.6</v>
      </c>
      <c r="D329" s="193">
        <f t="shared" si="115"/>
        <v>12.4</v>
      </c>
      <c r="E329" s="193">
        <f t="shared" si="115"/>
        <v>29.8</v>
      </c>
      <c r="F329" s="193">
        <f t="shared" si="115"/>
        <v>22.8</v>
      </c>
      <c r="G329" s="193">
        <f t="shared" si="115"/>
        <v>1.6</v>
      </c>
      <c r="H329" s="193">
        <f t="shared" si="115"/>
        <v>0</v>
      </c>
      <c r="I329" s="193">
        <f t="shared" si="115"/>
        <v>0</v>
      </c>
      <c r="J329" s="193">
        <f t="shared" si="115"/>
        <v>72.2</v>
      </c>
      <c r="K329" s="193">
        <f t="shared" si="115"/>
        <v>72.2</v>
      </c>
    </row>
    <row r="330" spans="1:11" ht="11.25" customHeight="1" x14ac:dyDescent="0.2">
      <c r="A330" s="465" t="s">
        <v>87</v>
      </c>
      <c r="B330" s="193">
        <f t="shared" ref="B330:K330" si="116">AVERAGE(B156:B160)</f>
        <v>0</v>
      </c>
      <c r="C330" s="193">
        <f t="shared" si="116"/>
        <v>9.6</v>
      </c>
      <c r="D330" s="193">
        <f t="shared" si="116"/>
        <v>23.8</v>
      </c>
      <c r="E330" s="193">
        <f t="shared" si="116"/>
        <v>72.599999999999994</v>
      </c>
      <c r="F330" s="193">
        <f t="shared" si="116"/>
        <v>68.2</v>
      </c>
      <c r="G330" s="193">
        <f t="shared" si="116"/>
        <v>24.4</v>
      </c>
      <c r="H330" s="193" t="s">
        <v>29</v>
      </c>
      <c r="I330" s="193" t="s">
        <v>29</v>
      </c>
      <c r="J330" s="193">
        <f t="shared" si="116"/>
        <v>198.6</v>
      </c>
      <c r="K330" s="193">
        <f t="shared" si="116"/>
        <v>198.6</v>
      </c>
    </row>
    <row r="331" spans="1:11" ht="11.25" customHeight="1" x14ac:dyDescent="0.2">
      <c r="A331" s="465" t="s">
        <v>14</v>
      </c>
      <c r="B331" s="193">
        <f>AVERAGE(B161:B165)</f>
        <v>0</v>
      </c>
      <c r="C331" s="193">
        <f t="shared" ref="C331:K331" si="117">AVERAGE(C161:C165)</f>
        <v>1.4</v>
      </c>
      <c r="D331" s="193">
        <f t="shared" si="117"/>
        <v>4.2</v>
      </c>
      <c r="E331" s="193">
        <f t="shared" si="117"/>
        <v>26.2</v>
      </c>
      <c r="F331" s="193">
        <f t="shared" si="117"/>
        <v>52.4</v>
      </c>
      <c r="G331" s="193">
        <f t="shared" si="117"/>
        <v>10.4</v>
      </c>
      <c r="H331" s="193" t="s">
        <v>29</v>
      </c>
      <c r="I331" s="193" t="s">
        <v>29</v>
      </c>
      <c r="J331" s="193">
        <f t="shared" si="117"/>
        <v>94.6</v>
      </c>
      <c r="K331" s="193">
        <f t="shared" si="117"/>
        <v>94.6</v>
      </c>
    </row>
    <row r="332" spans="1:11" ht="11.25" customHeight="1" x14ac:dyDescent="0.2">
      <c r="A332" s="465" t="s">
        <v>207</v>
      </c>
      <c r="B332" s="193">
        <f>AVERAGE(B166:B170)</f>
        <v>0</v>
      </c>
      <c r="C332" s="193">
        <f t="shared" ref="C332:K332" si="118">AVERAGE(C166:C170)</f>
        <v>1.2</v>
      </c>
      <c r="D332" s="193">
        <f t="shared" si="118"/>
        <v>2</v>
      </c>
      <c r="E332" s="193">
        <f t="shared" si="118"/>
        <v>8</v>
      </c>
      <c r="F332" s="193">
        <f t="shared" si="118"/>
        <v>15.4</v>
      </c>
      <c r="G332" s="193">
        <f t="shared" si="118"/>
        <v>2.6</v>
      </c>
      <c r="H332" s="193" t="s">
        <v>29</v>
      </c>
      <c r="I332" s="193" t="s">
        <v>29</v>
      </c>
      <c r="J332" s="193">
        <f t="shared" si="118"/>
        <v>29.2</v>
      </c>
      <c r="K332" s="193">
        <f t="shared" si="118"/>
        <v>29.2</v>
      </c>
    </row>
    <row r="333" spans="1:11" ht="11.25" customHeight="1" x14ac:dyDescent="0.2">
      <c r="A333" s="465" t="s">
        <v>238</v>
      </c>
      <c r="B333" s="193">
        <f t="shared" ref="B333:G333" si="119">AVERAGE(B171:B175)</f>
        <v>0</v>
      </c>
      <c r="C333" s="193">
        <f t="shared" si="119"/>
        <v>2.2000000000000002</v>
      </c>
      <c r="D333" s="193">
        <f t="shared" si="119"/>
        <v>1</v>
      </c>
      <c r="E333" s="193">
        <f t="shared" si="119"/>
        <v>0.6</v>
      </c>
      <c r="F333" s="193">
        <f t="shared" si="119"/>
        <v>4.2</v>
      </c>
      <c r="G333" s="193">
        <f t="shared" si="119"/>
        <v>2</v>
      </c>
      <c r="H333" s="193" t="str">
        <f>+H171</f>
        <v>-</v>
      </c>
      <c r="I333" s="193" t="str">
        <f>+I171</f>
        <v>-</v>
      </c>
      <c r="J333" s="193">
        <f>AVERAGE(J171:J175)</f>
        <v>10</v>
      </c>
      <c r="K333" s="193">
        <f>AVERAGE(K171:K175)</f>
        <v>10</v>
      </c>
    </row>
    <row r="334" spans="1:11" ht="11.25" customHeight="1" x14ac:dyDescent="0.2">
      <c r="A334" s="465">
        <v>2006</v>
      </c>
      <c r="B334" s="193">
        <f t="shared" ref="B334:K334" si="120">+B176</f>
        <v>0</v>
      </c>
      <c r="C334" s="193">
        <f t="shared" si="120"/>
        <v>3</v>
      </c>
      <c r="D334" s="193">
        <f t="shared" si="120"/>
        <v>3</v>
      </c>
      <c r="E334" s="193">
        <f t="shared" si="120"/>
        <v>2</v>
      </c>
      <c r="F334" s="193">
        <f t="shared" si="120"/>
        <v>5</v>
      </c>
      <c r="G334" s="193">
        <f t="shared" si="120"/>
        <v>3</v>
      </c>
      <c r="H334" s="193" t="str">
        <f t="shared" si="120"/>
        <v>-</v>
      </c>
      <c r="I334" s="193" t="str">
        <f t="shared" si="120"/>
        <v>-</v>
      </c>
      <c r="J334" s="193">
        <f t="shared" si="120"/>
        <v>16</v>
      </c>
      <c r="K334" s="193">
        <f t="shared" si="120"/>
        <v>16</v>
      </c>
    </row>
    <row r="335" spans="1:11" s="461" customFormat="1" ht="11.25" customHeight="1" x14ac:dyDescent="0.2">
      <c r="A335" s="465">
        <v>2007</v>
      </c>
      <c r="B335" s="197">
        <f t="shared" ref="B335:K335" si="121">+B177</f>
        <v>0</v>
      </c>
      <c r="C335" s="197">
        <f t="shared" si="121"/>
        <v>0</v>
      </c>
      <c r="D335" s="197">
        <f t="shared" si="121"/>
        <v>0</v>
      </c>
      <c r="E335" s="197">
        <f t="shared" si="121"/>
        <v>4</v>
      </c>
      <c r="F335" s="197">
        <f t="shared" si="121"/>
        <v>11</v>
      </c>
      <c r="G335" s="197">
        <f t="shared" si="121"/>
        <v>2</v>
      </c>
      <c r="H335" s="197" t="str">
        <f t="shared" si="121"/>
        <v>-</v>
      </c>
      <c r="I335" s="197" t="str">
        <f t="shared" si="121"/>
        <v>-</v>
      </c>
      <c r="J335" s="197">
        <f t="shared" si="121"/>
        <v>17</v>
      </c>
      <c r="K335" s="197">
        <f t="shared" si="121"/>
        <v>17</v>
      </c>
    </row>
    <row r="336" spans="1:11" s="461" customFormat="1" ht="11.25" customHeight="1" x14ac:dyDescent="0.2">
      <c r="A336" s="466">
        <v>2008</v>
      </c>
      <c r="B336" s="197">
        <f t="shared" ref="B336:K336" si="122">+B178</f>
        <v>0</v>
      </c>
      <c r="C336" s="197">
        <f t="shared" si="122"/>
        <v>3</v>
      </c>
      <c r="D336" s="197">
        <f t="shared" si="122"/>
        <v>4</v>
      </c>
      <c r="E336" s="197">
        <f t="shared" si="122"/>
        <v>2</v>
      </c>
      <c r="F336" s="197">
        <f t="shared" si="122"/>
        <v>29</v>
      </c>
      <c r="G336" s="197">
        <f t="shared" si="122"/>
        <v>3</v>
      </c>
      <c r="H336" s="197" t="str">
        <f t="shared" si="122"/>
        <v>-</v>
      </c>
      <c r="I336" s="197" t="str">
        <f t="shared" si="122"/>
        <v>-</v>
      </c>
      <c r="J336" s="197">
        <f t="shared" si="122"/>
        <v>41</v>
      </c>
      <c r="K336" s="197">
        <f t="shared" si="122"/>
        <v>41</v>
      </c>
    </row>
    <row r="337" spans="1:11" s="461" customFormat="1" ht="11.25" customHeight="1" x14ac:dyDescent="0.2">
      <c r="A337" s="466">
        <v>2009</v>
      </c>
      <c r="B337" s="197">
        <f t="shared" ref="B337:K337" si="123">+B179</f>
        <v>0</v>
      </c>
      <c r="C337" s="197">
        <f t="shared" si="123"/>
        <v>6</v>
      </c>
      <c r="D337" s="197">
        <f t="shared" si="123"/>
        <v>6</v>
      </c>
      <c r="E337" s="197">
        <f t="shared" si="123"/>
        <v>8</v>
      </c>
      <c r="F337" s="197">
        <f t="shared" si="123"/>
        <v>29</v>
      </c>
      <c r="G337" s="197">
        <f t="shared" si="123"/>
        <v>1</v>
      </c>
      <c r="H337" s="197" t="str">
        <f t="shared" si="123"/>
        <v>-</v>
      </c>
      <c r="I337" s="197" t="str">
        <f t="shared" si="123"/>
        <v>-</v>
      </c>
      <c r="J337" s="197">
        <f t="shared" si="123"/>
        <v>50</v>
      </c>
      <c r="K337" s="197">
        <f t="shared" si="123"/>
        <v>50</v>
      </c>
    </row>
    <row r="338" spans="1:11" s="461" customFormat="1" ht="11.25" customHeight="1" x14ac:dyDescent="0.2">
      <c r="A338" s="466">
        <v>2010</v>
      </c>
      <c r="B338" s="197">
        <f t="shared" ref="B338:K338" si="124">+B180</f>
        <v>0</v>
      </c>
      <c r="C338" s="197">
        <f t="shared" si="124"/>
        <v>4</v>
      </c>
      <c r="D338" s="197">
        <f t="shared" si="124"/>
        <v>40</v>
      </c>
      <c r="E338" s="197">
        <f t="shared" si="124"/>
        <v>56</v>
      </c>
      <c r="F338" s="197">
        <f t="shared" si="124"/>
        <v>32</v>
      </c>
      <c r="G338" s="197">
        <f t="shared" si="124"/>
        <v>18</v>
      </c>
      <c r="H338" s="197" t="str">
        <f t="shared" si="124"/>
        <v>-</v>
      </c>
      <c r="I338" s="197" t="str">
        <f t="shared" si="124"/>
        <v>-</v>
      </c>
      <c r="J338" s="197">
        <f t="shared" si="124"/>
        <v>150</v>
      </c>
      <c r="K338" s="197">
        <f t="shared" si="124"/>
        <v>150</v>
      </c>
    </row>
    <row r="339" spans="1:11" s="461" customFormat="1" ht="11.25" customHeight="1" x14ac:dyDescent="0.2">
      <c r="A339" s="466">
        <v>2011</v>
      </c>
      <c r="B339" s="197">
        <f t="shared" ref="B339:K339" si="125">+B181</f>
        <v>0</v>
      </c>
      <c r="C339" s="197">
        <f t="shared" si="125"/>
        <v>0</v>
      </c>
      <c r="D339" s="197">
        <f t="shared" si="125"/>
        <v>8</v>
      </c>
      <c r="E339" s="197">
        <f t="shared" si="125"/>
        <v>23</v>
      </c>
      <c r="F339" s="197">
        <f t="shared" si="125"/>
        <v>41</v>
      </c>
      <c r="G339" s="197">
        <f t="shared" si="125"/>
        <v>1</v>
      </c>
      <c r="H339" s="197" t="str">
        <f t="shared" si="125"/>
        <v>-</v>
      </c>
      <c r="I339" s="197" t="str">
        <f t="shared" si="125"/>
        <v>-</v>
      </c>
      <c r="J339" s="197">
        <f t="shared" si="125"/>
        <v>73</v>
      </c>
      <c r="K339" s="197">
        <f t="shared" si="125"/>
        <v>73</v>
      </c>
    </row>
    <row r="340" spans="1:11" s="461" customFormat="1" ht="11.25" customHeight="1" x14ac:dyDescent="0.2">
      <c r="A340" s="466">
        <v>2012</v>
      </c>
      <c r="B340" s="197">
        <f t="shared" ref="B340:K340" si="126">+B182</f>
        <v>0</v>
      </c>
      <c r="C340" s="197">
        <f t="shared" si="126"/>
        <v>5</v>
      </c>
      <c r="D340" s="197">
        <f t="shared" si="126"/>
        <v>13</v>
      </c>
      <c r="E340" s="197">
        <f t="shared" si="126"/>
        <v>8</v>
      </c>
      <c r="F340" s="197">
        <f t="shared" si="126"/>
        <v>11</v>
      </c>
      <c r="G340" s="197">
        <f t="shared" si="126"/>
        <v>0</v>
      </c>
      <c r="H340" s="197" t="str">
        <f t="shared" si="126"/>
        <v>-</v>
      </c>
      <c r="I340" s="197" t="str">
        <f t="shared" si="126"/>
        <v>-</v>
      </c>
      <c r="J340" s="197">
        <f t="shared" si="126"/>
        <v>37</v>
      </c>
      <c r="K340" s="197">
        <f t="shared" si="126"/>
        <v>37</v>
      </c>
    </row>
    <row r="341" spans="1:11" s="461" customFormat="1" ht="11.25" customHeight="1" x14ac:dyDescent="0.2">
      <c r="A341" s="466">
        <v>2013</v>
      </c>
      <c r="B341" s="197">
        <f t="shared" ref="B341:K341" si="127">+B183</f>
        <v>0</v>
      </c>
      <c r="C341" s="197">
        <f t="shared" si="127"/>
        <v>1</v>
      </c>
      <c r="D341" s="197">
        <f t="shared" si="127"/>
        <v>8</v>
      </c>
      <c r="E341" s="197">
        <f t="shared" si="127"/>
        <v>5</v>
      </c>
      <c r="F341" s="197">
        <f t="shared" si="127"/>
        <v>29</v>
      </c>
      <c r="G341" s="197">
        <f t="shared" si="127"/>
        <v>4</v>
      </c>
      <c r="H341" s="197" t="str">
        <f t="shared" si="127"/>
        <v>-</v>
      </c>
      <c r="I341" s="197" t="str">
        <f t="shared" si="127"/>
        <v>-</v>
      </c>
      <c r="J341" s="197">
        <f t="shared" si="127"/>
        <v>47</v>
      </c>
      <c r="K341" s="197">
        <f t="shared" si="127"/>
        <v>47</v>
      </c>
    </row>
    <row r="342" spans="1:11" s="461" customFormat="1" ht="11.25" customHeight="1" x14ac:dyDescent="0.2">
      <c r="A342" s="466">
        <v>2014</v>
      </c>
      <c r="B342" s="197">
        <f t="shared" ref="B342:K342" si="128">+B184</f>
        <v>0</v>
      </c>
      <c r="C342" s="197">
        <f t="shared" si="128"/>
        <v>7</v>
      </c>
      <c r="D342" s="197">
        <f t="shared" si="128"/>
        <v>5</v>
      </c>
      <c r="E342" s="197">
        <f t="shared" si="128"/>
        <v>14</v>
      </c>
      <c r="F342" s="197">
        <f t="shared" si="128"/>
        <v>23</v>
      </c>
      <c r="G342" s="197">
        <f t="shared" si="128"/>
        <v>28</v>
      </c>
      <c r="H342" s="197" t="str">
        <f t="shared" si="128"/>
        <v>-</v>
      </c>
      <c r="I342" s="197" t="str">
        <f t="shared" si="128"/>
        <v>-</v>
      </c>
      <c r="J342" s="197">
        <f t="shared" si="128"/>
        <v>77</v>
      </c>
      <c r="K342" s="197">
        <f t="shared" si="128"/>
        <v>77</v>
      </c>
    </row>
    <row r="343" spans="1:11" s="461" customFormat="1" ht="11.25" customHeight="1" x14ac:dyDescent="0.2">
      <c r="A343" s="466">
        <v>2015</v>
      </c>
      <c r="B343" s="197">
        <f t="shared" ref="B343:K343" si="129">+B185</f>
        <v>0</v>
      </c>
      <c r="C343" s="197">
        <f t="shared" si="129"/>
        <v>7</v>
      </c>
      <c r="D343" s="197">
        <f t="shared" si="129"/>
        <v>11</v>
      </c>
      <c r="E343" s="197">
        <f t="shared" si="129"/>
        <v>37</v>
      </c>
      <c r="F343" s="197">
        <f t="shared" si="129"/>
        <v>21</v>
      </c>
      <c r="G343" s="197">
        <f t="shared" si="129"/>
        <v>0</v>
      </c>
      <c r="H343" s="197" t="str">
        <f t="shared" si="129"/>
        <v>-</v>
      </c>
      <c r="I343" s="197" t="str">
        <f t="shared" si="129"/>
        <v>-</v>
      </c>
      <c r="J343" s="197">
        <f t="shared" si="129"/>
        <v>76</v>
      </c>
      <c r="K343" s="197">
        <f t="shared" si="129"/>
        <v>76</v>
      </c>
    </row>
    <row r="344" spans="1:11" s="461" customFormat="1" ht="11.25" customHeight="1" x14ac:dyDescent="0.2">
      <c r="A344" s="122">
        <v>2016</v>
      </c>
      <c r="B344" s="197">
        <f t="shared" ref="B344:K344" si="130">+B186</f>
        <v>0</v>
      </c>
      <c r="C344" s="197">
        <f t="shared" si="130"/>
        <v>4</v>
      </c>
      <c r="D344" s="197">
        <f t="shared" si="130"/>
        <v>7</v>
      </c>
      <c r="E344" s="197">
        <f t="shared" si="130"/>
        <v>10</v>
      </c>
      <c r="F344" s="197">
        <f t="shared" si="130"/>
        <v>5</v>
      </c>
      <c r="G344" s="197">
        <f t="shared" si="130"/>
        <v>0</v>
      </c>
      <c r="H344" s="197" t="str">
        <f t="shared" si="130"/>
        <v>-</v>
      </c>
      <c r="I344" s="197" t="str">
        <f t="shared" si="130"/>
        <v>-</v>
      </c>
      <c r="J344" s="197">
        <f t="shared" si="130"/>
        <v>26</v>
      </c>
      <c r="K344" s="197">
        <f t="shared" si="130"/>
        <v>26</v>
      </c>
    </row>
    <row r="345" spans="1:11" s="461" customFormat="1" ht="11.25" customHeight="1" x14ac:dyDescent="0.2">
      <c r="A345" s="122">
        <v>2017</v>
      </c>
      <c r="B345" s="197">
        <f t="shared" ref="B345:K345" si="131">+B187</f>
        <v>0</v>
      </c>
      <c r="C345" s="197">
        <f t="shared" si="131"/>
        <v>3</v>
      </c>
      <c r="D345" s="197">
        <f t="shared" si="131"/>
        <v>3</v>
      </c>
      <c r="E345" s="197">
        <f t="shared" si="131"/>
        <v>3</v>
      </c>
      <c r="F345" s="197">
        <f t="shared" si="131"/>
        <v>12</v>
      </c>
      <c r="G345" s="197">
        <f t="shared" si="131"/>
        <v>6</v>
      </c>
      <c r="H345" s="197" t="str">
        <f t="shared" si="131"/>
        <v>-</v>
      </c>
      <c r="I345" s="197" t="str">
        <f t="shared" si="131"/>
        <v>-</v>
      </c>
      <c r="J345" s="197">
        <f t="shared" si="131"/>
        <v>27</v>
      </c>
      <c r="K345" s="197">
        <f t="shared" si="131"/>
        <v>27</v>
      </c>
    </row>
    <row r="346" spans="1:11" s="461" customFormat="1" ht="11.25" customHeight="1" x14ac:dyDescent="0.2">
      <c r="A346" s="122">
        <v>2018</v>
      </c>
      <c r="B346" s="197">
        <f t="shared" ref="B346:K346" si="132">+B188</f>
        <v>0</v>
      </c>
      <c r="C346" s="197">
        <f t="shared" si="132"/>
        <v>5</v>
      </c>
      <c r="D346" s="197">
        <f t="shared" si="132"/>
        <v>7</v>
      </c>
      <c r="E346" s="197">
        <f t="shared" si="132"/>
        <v>1</v>
      </c>
      <c r="F346" s="197">
        <f t="shared" si="132"/>
        <v>16</v>
      </c>
      <c r="G346" s="197">
        <f t="shared" si="132"/>
        <v>5</v>
      </c>
      <c r="H346" s="197" t="str">
        <f t="shared" si="132"/>
        <v>-</v>
      </c>
      <c r="I346" s="197" t="str">
        <f t="shared" si="132"/>
        <v>-</v>
      </c>
      <c r="J346" s="197">
        <f t="shared" si="132"/>
        <v>34</v>
      </c>
      <c r="K346" s="197">
        <f t="shared" si="132"/>
        <v>34</v>
      </c>
    </row>
    <row r="347" spans="1:11" s="487" customFormat="1" ht="11.25" customHeight="1" x14ac:dyDescent="0.2">
      <c r="A347" s="122">
        <v>2019</v>
      </c>
      <c r="B347" s="197">
        <f t="shared" ref="B347:K348" si="133">+B189</f>
        <v>0</v>
      </c>
      <c r="C347" s="197">
        <f t="shared" si="133"/>
        <v>5</v>
      </c>
      <c r="D347" s="197">
        <f t="shared" si="133"/>
        <v>3</v>
      </c>
      <c r="E347" s="197">
        <f t="shared" si="133"/>
        <v>10</v>
      </c>
      <c r="F347" s="197">
        <f t="shared" si="133"/>
        <v>14</v>
      </c>
      <c r="G347" s="197">
        <f t="shared" si="133"/>
        <v>8</v>
      </c>
      <c r="H347" s="197" t="str">
        <f t="shared" si="133"/>
        <v>-</v>
      </c>
      <c r="I347" s="197" t="str">
        <f t="shared" si="133"/>
        <v>-</v>
      </c>
      <c r="J347" s="197">
        <f t="shared" si="133"/>
        <v>40</v>
      </c>
      <c r="K347" s="197">
        <f t="shared" si="133"/>
        <v>40</v>
      </c>
    </row>
    <row r="348" spans="1:11" ht="11.25" customHeight="1" x14ac:dyDescent="0.2">
      <c r="A348" s="122" t="s">
        <v>392</v>
      </c>
      <c r="B348" s="193">
        <f t="shared" si="133"/>
        <v>0</v>
      </c>
      <c r="C348" s="193">
        <f t="shared" si="133"/>
        <v>1</v>
      </c>
      <c r="D348" s="193">
        <f t="shared" si="133"/>
        <v>2</v>
      </c>
      <c r="E348" s="193">
        <f t="shared" si="133"/>
        <v>6</v>
      </c>
      <c r="F348" s="193">
        <f t="shared" si="133"/>
        <v>6</v>
      </c>
      <c r="G348" s="193">
        <f t="shared" si="133"/>
        <v>3</v>
      </c>
      <c r="H348" s="193" t="str">
        <f t="shared" si="133"/>
        <v>-</v>
      </c>
      <c r="I348" s="193" t="str">
        <f t="shared" si="133"/>
        <v>-</v>
      </c>
      <c r="J348" s="193">
        <f t="shared" si="133"/>
        <v>18</v>
      </c>
      <c r="K348" s="193">
        <f t="shared" si="133"/>
        <v>18</v>
      </c>
    </row>
    <row r="349" spans="1:11" ht="11.25" customHeight="1" x14ac:dyDescent="0.2">
      <c r="B349" s="193"/>
      <c r="C349" s="193"/>
      <c r="D349" s="193"/>
      <c r="E349" s="193"/>
      <c r="F349" s="193"/>
      <c r="G349" s="193"/>
      <c r="H349" s="193"/>
      <c r="I349" s="193"/>
      <c r="J349" s="193"/>
      <c r="K349" s="193"/>
    </row>
    <row r="350" spans="1:11" ht="11.25" customHeight="1" x14ac:dyDescent="0.2">
      <c r="A350" s="120" t="s">
        <v>111</v>
      </c>
      <c r="B350" s="193"/>
      <c r="C350" s="193"/>
      <c r="D350" s="193"/>
      <c r="E350" s="193"/>
      <c r="F350" s="193"/>
      <c r="G350" s="193"/>
      <c r="H350" s="193"/>
      <c r="I350" s="193"/>
      <c r="J350" s="193"/>
      <c r="K350" s="193"/>
    </row>
    <row r="351" spans="1:11" ht="11.25" customHeight="1" x14ac:dyDescent="0.2">
      <c r="A351" s="465" t="s">
        <v>30</v>
      </c>
      <c r="B351" s="193">
        <f t="shared" ref="B351:K351" si="134">AVERAGE(B198:B202)</f>
        <v>167</v>
      </c>
      <c r="C351" s="193">
        <f t="shared" si="134"/>
        <v>79</v>
      </c>
      <c r="D351" s="193">
        <f t="shared" si="134"/>
        <v>140.6</v>
      </c>
      <c r="E351" s="193">
        <f t="shared" si="134"/>
        <v>284.39999999999998</v>
      </c>
      <c r="F351" s="193">
        <f t="shared" si="134"/>
        <v>312.8</v>
      </c>
      <c r="G351" s="193">
        <f t="shared" si="134"/>
        <v>146.19999999999999</v>
      </c>
      <c r="H351" s="193">
        <f t="shared" si="134"/>
        <v>17</v>
      </c>
      <c r="I351" s="193">
        <f t="shared" si="134"/>
        <v>31.8</v>
      </c>
      <c r="J351" s="193">
        <f t="shared" si="134"/>
        <v>963</v>
      </c>
      <c r="K351" s="193">
        <f t="shared" si="134"/>
        <v>1178.8</v>
      </c>
    </row>
    <row r="352" spans="1:11" ht="11.25" customHeight="1" x14ac:dyDescent="0.2">
      <c r="A352" s="465" t="s">
        <v>87</v>
      </c>
      <c r="B352" s="193">
        <f t="shared" ref="B352:K352" si="135">AVERAGE(B203:B207)</f>
        <v>168</v>
      </c>
      <c r="C352" s="193">
        <f t="shared" si="135"/>
        <v>138</v>
      </c>
      <c r="D352" s="193">
        <f t="shared" si="135"/>
        <v>167.6</v>
      </c>
      <c r="E352" s="193">
        <f t="shared" si="135"/>
        <v>433.6</v>
      </c>
      <c r="F352" s="193">
        <f t="shared" si="135"/>
        <v>460</v>
      </c>
      <c r="G352" s="193">
        <f t="shared" si="135"/>
        <v>160.6</v>
      </c>
      <c r="H352" s="193">
        <f t="shared" si="135"/>
        <v>1.6</v>
      </c>
      <c r="I352" s="193">
        <f t="shared" si="135"/>
        <v>43</v>
      </c>
      <c r="J352" s="193">
        <f t="shared" si="135"/>
        <v>1359.8</v>
      </c>
      <c r="K352" s="193">
        <f t="shared" si="135"/>
        <v>1572.4</v>
      </c>
    </row>
    <row r="353" spans="1:11" ht="11.25" customHeight="1" x14ac:dyDescent="0.2">
      <c r="A353" s="465" t="s">
        <v>14</v>
      </c>
      <c r="B353" s="193">
        <f>AVERAGE(B208:B212)</f>
        <v>75.2</v>
      </c>
      <c r="C353" s="193">
        <f t="shared" ref="C353:K353" si="136">AVERAGE(C208:C212)</f>
        <v>69</v>
      </c>
      <c r="D353" s="193">
        <f t="shared" si="136"/>
        <v>71.400000000000006</v>
      </c>
      <c r="E353" s="193">
        <f t="shared" si="136"/>
        <v>182.4</v>
      </c>
      <c r="F353" s="193">
        <f t="shared" si="136"/>
        <v>311.2</v>
      </c>
      <c r="G353" s="193">
        <f t="shared" si="136"/>
        <v>47.6</v>
      </c>
      <c r="H353" s="193">
        <f t="shared" si="136"/>
        <v>10.199999999999999</v>
      </c>
      <c r="I353" s="193">
        <f t="shared" si="136"/>
        <v>27.4</v>
      </c>
      <c r="J353" s="193">
        <f t="shared" si="136"/>
        <v>681.6</v>
      </c>
      <c r="K353" s="193">
        <f t="shared" si="136"/>
        <v>794.4</v>
      </c>
    </row>
    <row r="354" spans="1:11" ht="11.25" customHeight="1" x14ac:dyDescent="0.2">
      <c r="A354" s="465" t="s">
        <v>207</v>
      </c>
      <c r="B354" s="193">
        <f>AVERAGE(B213:B217)</f>
        <v>14.4</v>
      </c>
      <c r="C354" s="193">
        <f t="shared" ref="C354:K354" si="137">AVERAGE(C213:C217)</f>
        <v>31.4</v>
      </c>
      <c r="D354" s="193">
        <f t="shared" si="137"/>
        <v>37.6</v>
      </c>
      <c r="E354" s="193">
        <f t="shared" si="137"/>
        <v>11</v>
      </c>
      <c r="F354" s="193">
        <f t="shared" si="137"/>
        <v>95.8</v>
      </c>
      <c r="G354" s="193">
        <f t="shared" si="137"/>
        <v>53.2</v>
      </c>
      <c r="H354" s="193" t="s">
        <v>29</v>
      </c>
      <c r="I354" s="193">
        <f t="shared" si="137"/>
        <v>2.2000000000000002</v>
      </c>
      <c r="J354" s="193">
        <f t="shared" si="137"/>
        <v>229</v>
      </c>
      <c r="K354" s="193">
        <f t="shared" si="137"/>
        <v>245.6</v>
      </c>
    </row>
    <row r="355" spans="1:11" ht="11.25" customHeight="1" x14ac:dyDescent="0.2">
      <c r="A355" s="465" t="s">
        <v>238</v>
      </c>
      <c r="B355" s="193">
        <f>AVERAGE(B218:B222)</f>
        <v>34.799999999999997</v>
      </c>
      <c r="C355" s="193">
        <f>AVERAGE(C218:C222)</f>
        <v>46.6</v>
      </c>
      <c r="D355" s="193">
        <f t="shared" ref="D355:K355" si="138">AVERAGE(D218:D222)</f>
        <v>65.8</v>
      </c>
      <c r="E355" s="193">
        <f t="shared" si="138"/>
        <v>99.8</v>
      </c>
      <c r="F355" s="193">
        <f t="shared" si="138"/>
        <v>116.4</v>
      </c>
      <c r="G355" s="193">
        <f t="shared" si="138"/>
        <v>68.599999999999994</v>
      </c>
      <c r="H355" s="193">
        <f t="shared" si="138"/>
        <v>10</v>
      </c>
      <c r="I355" s="193">
        <f t="shared" si="138"/>
        <v>64.599999999999994</v>
      </c>
      <c r="J355" s="193">
        <f t="shared" si="138"/>
        <v>397.2</v>
      </c>
      <c r="K355" s="193">
        <f t="shared" si="138"/>
        <v>504.6</v>
      </c>
    </row>
    <row r="356" spans="1:11" s="461" customFormat="1" ht="11.25" customHeight="1" x14ac:dyDescent="0.2">
      <c r="A356" s="466">
        <v>2006</v>
      </c>
      <c r="B356" s="197">
        <f t="shared" ref="B356:K356" si="139">+B223</f>
        <v>29</v>
      </c>
      <c r="C356" s="197">
        <f t="shared" si="139"/>
        <v>96</v>
      </c>
      <c r="D356" s="197">
        <f t="shared" si="139"/>
        <v>285</v>
      </c>
      <c r="E356" s="197">
        <f t="shared" si="139"/>
        <v>167</v>
      </c>
      <c r="F356" s="197">
        <f t="shared" si="139"/>
        <v>140</v>
      </c>
      <c r="G356" s="197">
        <f t="shared" si="139"/>
        <v>117</v>
      </c>
      <c r="H356" s="197">
        <f t="shared" si="139"/>
        <v>5</v>
      </c>
      <c r="I356" s="197">
        <f t="shared" si="139"/>
        <v>41</v>
      </c>
      <c r="J356" s="197">
        <f t="shared" si="139"/>
        <v>805</v>
      </c>
      <c r="K356" s="197">
        <f t="shared" si="139"/>
        <v>880</v>
      </c>
    </row>
    <row r="357" spans="1:11" s="461" customFormat="1" ht="11.25" customHeight="1" x14ac:dyDescent="0.2">
      <c r="A357" s="465">
        <v>2007</v>
      </c>
      <c r="B357" s="197">
        <f t="shared" ref="B357:K357" si="140">+B224</f>
        <v>179</v>
      </c>
      <c r="C357" s="197">
        <f t="shared" si="140"/>
        <v>22</v>
      </c>
      <c r="D357" s="197">
        <f t="shared" si="140"/>
        <v>205</v>
      </c>
      <c r="E357" s="197">
        <f t="shared" si="140"/>
        <v>189</v>
      </c>
      <c r="F357" s="197">
        <f t="shared" si="140"/>
        <v>167</v>
      </c>
      <c r="G357" s="197">
        <f t="shared" si="140"/>
        <v>7</v>
      </c>
      <c r="H357" s="197">
        <f t="shared" si="140"/>
        <v>0</v>
      </c>
      <c r="I357" s="197">
        <f t="shared" si="140"/>
        <v>129</v>
      </c>
      <c r="J357" s="197">
        <f t="shared" si="140"/>
        <v>590</v>
      </c>
      <c r="K357" s="197">
        <f t="shared" si="140"/>
        <v>898</v>
      </c>
    </row>
    <row r="358" spans="1:11" s="461" customFormat="1" ht="11.25" customHeight="1" x14ac:dyDescent="0.2">
      <c r="A358" s="466">
        <v>2008</v>
      </c>
      <c r="B358" s="197">
        <f t="shared" ref="B358:K358" si="141">+B225</f>
        <v>54</v>
      </c>
      <c r="C358" s="197">
        <f t="shared" si="141"/>
        <v>30</v>
      </c>
      <c r="D358" s="197">
        <f t="shared" si="141"/>
        <v>125</v>
      </c>
      <c r="E358" s="197">
        <f t="shared" si="141"/>
        <v>102</v>
      </c>
      <c r="F358" s="197">
        <f t="shared" si="141"/>
        <v>231</v>
      </c>
      <c r="G358" s="197">
        <f t="shared" si="141"/>
        <v>92</v>
      </c>
      <c r="H358" s="197">
        <f t="shared" si="141"/>
        <v>1</v>
      </c>
      <c r="I358" s="197">
        <f t="shared" si="141"/>
        <v>51</v>
      </c>
      <c r="J358" s="197">
        <f t="shared" si="141"/>
        <v>580</v>
      </c>
      <c r="K358" s="197">
        <f t="shared" si="141"/>
        <v>686</v>
      </c>
    </row>
    <row r="359" spans="1:11" s="461" customFormat="1" ht="11.25" customHeight="1" x14ac:dyDescent="0.2">
      <c r="A359" s="466">
        <v>2009</v>
      </c>
      <c r="B359" s="197">
        <f t="shared" ref="B359:K359" si="142">+B226</f>
        <v>76</v>
      </c>
      <c r="C359" s="197">
        <f t="shared" si="142"/>
        <v>82</v>
      </c>
      <c r="D359" s="197">
        <f t="shared" si="142"/>
        <v>238</v>
      </c>
      <c r="E359" s="197">
        <f t="shared" si="142"/>
        <v>233</v>
      </c>
      <c r="F359" s="197">
        <f t="shared" si="142"/>
        <v>269</v>
      </c>
      <c r="G359" s="197">
        <f t="shared" si="142"/>
        <v>5</v>
      </c>
      <c r="H359" s="197">
        <f t="shared" si="142"/>
        <v>4</v>
      </c>
      <c r="I359" s="197">
        <f t="shared" si="142"/>
        <v>18</v>
      </c>
      <c r="J359" s="197">
        <f t="shared" si="142"/>
        <v>827</v>
      </c>
      <c r="K359" s="197">
        <f t="shared" si="142"/>
        <v>925</v>
      </c>
    </row>
    <row r="360" spans="1:11" s="461" customFormat="1" ht="11.25" customHeight="1" x14ac:dyDescent="0.2">
      <c r="A360" s="466">
        <v>2010</v>
      </c>
      <c r="B360" s="197">
        <f t="shared" ref="B360:K360" si="143">+B227</f>
        <v>145</v>
      </c>
      <c r="C360" s="197">
        <f t="shared" si="143"/>
        <v>155</v>
      </c>
      <c r="D360" s="197">
        <f t="shared" si="143"/>
        <v>335</v>
      </c>
      <c r="E360" s="197">
        <f t="shared" si="143"/>
        <v>155</v>
      </c>
      <c r="F360" s="197">
        <f t="shared" si="143"/>
        <v>150</v>
      </c>
      <c r="G360" s="197">
        <f t="shared" si="143"/>
        <v>62</v>
      </c>
      <c r="H360" s="197">
        <f t="shared" si="143"/>
        <v>4</v>
      </c>
      <c r="I360" s="197">
        <f t="shared" si="143"/>
        <v>51</v>
      </c>
      <c r="J360" s="197">
        <f t="shared" si="143"/>
        <v>857</v>
      </c>
      <c r="K360" s="197">
        <f t="shared" si="143"/>
        <v>1057</v>
      </c>
    </row>
    <row r="361" spans="1:11" s="461" customFormat="1" ht="11.25" customHeight="1" x14ac:dyDescent="0.2">
      <c r="A361" s="466">
        <v>2011</v>
      </c>
      <c r="B361" s="197">
        <f t="shared" ref="B361:K361" si="144">+B228</f>
        <v>303</v>
      </c>
      <c r="C361" s="197">
        <f t="shared" si="144"/>
        <v>92</v>
      </c>
      <c r="D361" s="197">
        <f t="shared" si="144"/>
        <v>192</v>
      </c>
      <c r="E361" s="197">
        <f t="shared" si="144"/>
        <v>152</v>
      </c>
      <c r="F361" s="197">
        <f t="shared" si="144"/>
        <v>140</v>
      </c>
      <c r="G361" s="197">
        <f t="shared" si="144"/>
        <v>24</v>
      </c>
      <c r="H361" s="197">
        <f t="shared" si="144"/>
        <v>1</v>
      </c>
      <c r="I361" s="197">
        <f t="shared" si="144"/>
        <v>22</v>
      </c>
      <c r="J361" s="197">
        <f t="shared" si="144"/>
        <v>600</v>
      </c>
      <c r="K361" s="197">
        <f t="shared" si="144"/>
        <v>926</v>
      </c>
    </row>
    <row r="362" spans="1:11" s="461" customFormat="1" ht="11.25" customHeight="1" x14ac:dyDescent="0.2">
      <c r="A362" s="466">
        <v>2012</v>
      </c>
      <c r="B362" s="197">
        <f t="shared" ref="B362:K362" si="145">+B229</f>
        <v>182</v>
      </c>
      <c r="C362" s="197">
        <f t="shared" si="145"/>
        <v>144</v>
      </c>
      <c r="D362" s="197">
        <f t="shared" si="145"/>
        <v>269</v>
      </c>
      <c r="E362" s="197">
        <f t="shared" si="145"/>
        <v>214</v>
      </c>
      <c r="F362" s="197">
        <f t="shared" si="145"/>
        <v>229</v>
      </c>
      <c r="G362" s="197">
        <f t="shared" si="145"/>
        <v>104</v>
      </c>
      <c r="H362" s="197">
        <f t="shared" si="145"/>
        <v>4</v>
      </c>
      <c r="I362" s="197">
        <f t="shared" si="145"/>
        <v>29</v>
      </c>
      <c r="J362" s="197">
        <f t="shared" si="145"/>
        <v>960</v>
      </c>
      <c r="K362" s="197">
        <f t="shared" si="145"/>
        <v>1175</v>
      </c>
    </row>
    <row r="363" spans="1:11" s="461" customFormat="1" ht="11.25" customHeight="1" x14ac:dyDescent="0.2">
      <c r="A363" s="466">
        <v>2013</v>
      </c>
      <c r="B363" s="197">
        <f t="shared" ref="B363:K363" si="146">+B230</f>
        <v>270</v>
      </c>
      <c r="C363" s="197">
        <f t="shared" si="146"/>
        <v>279</v>
      </c>
      <c r="D363" s="197">
        <f t="shared" si="146"/>
        <v>206</v>
      </c>
      <c r="E363" s="197">
        <f t="shared" si="146"/>
        <v>369</v>
      </c>
      <c r="F363" s="197">
        <f t="shared" si="146"/>
        <v>583</v>
      </c>
      <c r="G363" s="197">
        <f t="shared" si="146"/>
        <v>159</v>
      </c>
      <c r="H363" s="197">
        <f t="shared" si="146"/>
        <v>0</v>
      </c>
      <c r="I363" s="197">
        <f t="shared" si="146"/>
        <v>124</v>
      </c>
      <c r="J363" s="197">
        <f t="shared" si="146"/>
        <v>1596</v>
      </c>
      <c r="K363" s="197">
        <f t="shared" si="146"/>
        <v>1990</v>
      </c>
    </row>
    <row r="364" spans="1:11" s="461" customFormat="1" ht="11.25" customHeight="1" x14ac:dyDescent="0.2">
      <c r="A364" s="466">
        <v>2014</v>
      </c>
      <c r="B364" s="197">
        <f t="shared" ref="B364:K364" si="147">+B231</f>
        <v>419</v>
      </c>
      <c r="C364" s="197">
        <f t="shared" si="147"/>
        <v>196</v>
      </c>
      <c r="D364" s="197">
        <f t="shared" si="147"/>
        <v>295</v>
      </c>
      <c r="E364" s="197">
        <f t="shared" si="147"/>
        <v>465</v>
      </c>
      <c r="F364" s="197">
        <f t="shared" si="147"/>
        <v>419</v>
      </c>
      <c r="G364" s="197">
        <f t="shared" si="147"/>
        <v>152</v>
      </c>
      <c r="H364" s="197">
        <f t="shared" si="147"/>
        <v>0</v>
      </c>
      <c r="I364" s="197">
        <f t="shared" si="147"/>
        <v>34</v>
      </c>
      <c r="J364" s="197">
        <f t="shared" si="147"/>
        <v>1527</v>
      </c>
      <c r="K364" s="197">
        <f t="shared" si="147"/>
        <v>1980</v>
      </c>
    </row>
    <row r="365" spans="1:11" s="461" customFormat="1" ht="11.25" customHeight="1" x14ac:dyDescent="0.2">
      <c r="A365" s="466">
        <v>2015</v>
      </c>
      <c r="B365" s="197">
        <f t="shared" ref="B365:K365" si="148">+B232</f>
        <v>384</v>
      </c>
      <c r="C365" s="197">
        <f t="shared" si="148"/>
        <v>324</v>
      </c>
      <c r="D365" s="197">
        <f t="shared" si="148"/>
        <v>380</v>
      </c>
      <c r="E365" s="197">
        <f t="shared" si="148"/>
        <v>389</v>
      </c>
      <c r="F365" s="197">
        <f t="shared" si="148"/>
        <v>261</v>
      </c>
      <c r="G365" s="197">
        <f t="shared" si="148"/>
        <v>104</v>
      </c>
      <c r="H365" s="197">
        <f t="shared" si="148"/>
        <v>0</v>
      </c>
      <c r="I365" s="197">
        <f t="shared" si="148"/>
        <v>7</v>
      </c>
      <c r="J365" s="197">
        <f t="shared" si="148"/>
        <v>1458</v>
      </c>
      <c r="K365" s="197">
        <f t="shared" si="148"/>
        <v>1849</v>
      </c>
    </row>
    <row r="366" spans="1:11" s="461" customFormat="1" ht="10.5" customHeight="1" x14ac:dyDescent="0.2">
      <c r="A366" s="122">
        <v>2016</v>
      </c>
      <c r="B366" s="197">
        <f t="shared" ref="B366:K366" si="149">+B233</f>
        <v>35</v>
      </c>
      <c r="C366" s="197">
        <f t="shared" si="149"/>
        <v>204</v>
      </c>
      <c r="D366" s="197">
        <f t="shared" si="149"/>
        <v>233</v>
      </c>
      <c r="E366" s="197">
        <f t="shared" si="149"/>
        <v>141</v>
      </c>
      <c r="F366" s="197">
        <f t="shared" si="149"/>
        <v>90</v>
      </c>
      <c r="G366" s="197">
        <f t="shared" si="149"/>
        <v>2</v>
      </c>
      <c r="H366" s="197">
        <f t="shared" si="149"/>
        <v>0</v>
      </c>
      <c r="I366" s="197">
        <f t="shared" si="149"/>
        <v>34</v>
      </c>
      <c r="J366" s="197">
        <f t="shared" si="149"/>
        <v>670</v>
      </c>
      <c r="K366" s="197">
        <f t="shared" si="149"/>
        <v>739</v>
      </c>
    </row>
    <row r="367" spans="1:11" s="461" customFormat="1" ht="11.25" customHeight="1" x14ac:dyDescent="0.2">
      <c r="A367" s="122">
        <v>2017</v>
      </c>
      <c r="B367" s="197">
        <f t="shared" ref="B367:K367" si="150">+B234</f>
        <v>149</v>
      </c>
      <c r="C367" s="197">
        <f t="shared" si="150"/>
        <v>27</v>
      </c>
      <c r="D367" s="197">
        <f t="shared" si="150"/>
        <v>90</v>
      </c>
      <c r="E367" s="197">
        <f t="shared" si="150"/>
        <v>317</v>
      </c>
      <c r="F367" s="197">
        <f t="shared" si="150"/>
        <v>357</v>
      </c>
      <c r="G367" s="197">
        <f t="shared" si="150"/>
        <v>172</v>
      </c>
      <c r="H367" s="197">
        <f t="shared" si="150"/>
        <v>0</v>
      </c>
      <c r="I367" s="197">
        <f t="shared" si="150"/>
        <v>3</v>
      </c>
      <c r="J367" s="197">
        <f t="shared" si="150"/>
        <v>963</v>
      </c>
      <c r="K367" s="197">
        <f t="shared" si="150"/>
        <v>1115</v>
      </c>
    </row>
    <row r="368" spans="1:11" s="461" customFormat="1" ht="11.25" customHeight="1" x14ac:dyDescent="0.2">
      <c r="A368" s="122">
        <v>2018</v>
      </c>
      <c r="B368" s="197">
        <f t="shared" ref="B368:K368" si="151">+B235</f>
        <v>93</v>
      </c>
      <c r="C368" s="197">
        <f t="shared" si="151"/>
        <v>99</v>
      </c>
      <c r="D368" s="197">
        <f t="shared" si="151"/>
        <v>255</v>
      </c>
      <c r="E368" s="197">
        <f t="shared" si="151"/>
        <v>272</v>
      </c>
      <c r="F368" s="197">
        <f t="shared" si="151"/>
        <v>145</v>
      </c>
      <c r="G368" s="197">
        <f t="shared" si="151"/>
        <v>110</v>
      </c>
      <c r="H368" s="197">
        <f t="shared" si="151"/>
        <v>0</v>
      </c>
      <c r="I368" s="197">
        <f t="shared" si="151"/>
        <v>26</v>
      </c>
      <c r="J368" s="197">
        <f t="shared" si="151"/>
        <v>881</v>
      </c>
      <c r="K368" s="197">
        <f t="shared" si="151"/>
        <v>1000</v>
      </c>
    </row>
    <row r="369" spans="1:11" s="487" customFormat="1" ht="11.25" customHeight="1" x14ac:dyDescent="0.2">
      <c r="A369" s="122">
        <v>2019</v>
      </c>
      <c r="B369" s="197">
        <f t="shared" ref="B369:K370" si="152">+B236</f>
        <v>100</v>
      </c>
      <c r="C369" s="197">
        <f t="shared" si="152"/>
        <v>65</v>
      </c>
      <c r="D369" s="197">
        <f t="shared" si="152"/>
        <v>72</v>
      </c>
      <c r="E369" s="197">
        <f t="shared" si="152"/>
        <v>365</v>
      </c>
      <c r="F369" s="197">
        <f t="shared" si="152"/>
        <v>276</v>
      </c>
      <c r="G369" s="197">
        <f t="shared" si="152"/>
        <v>120</v>
      </c>
      <c r="H369" s="197">
        <f t="shared" si="152"/>
        <v>0</v>
      </c>
      <c r="I369" s="197">
        <f t="shared" si="152"/>
        <v>13</v>
      </c>
      <c r="J369" s="197">
        <f t="shared" si="152"/>
        <v>898</v>
      </c>
      <c r="K369" s="197">
        <f t="shared" si="152"/>
        <v>1011</v>
      </c>
    </row>
    <row r="370" spans="1:11" ht="11.25" customHeight="1" x14ac:dyDescent="0.2">
      <c r="A370" s="271" t="s">
        <v>392</v>
      </c>
      <c r="B370" s="32">
        <f t="shared" si="152"/>
        <v>68</v>
      </c>
      <c r="C370" s="32">
        <f t="shared" si="152"/>
        <v>1</v>
      </c>
      <c r="D370" s="32">
        <f t="shared" si="152"/>
        <v>2</v>
      </c>
      <c r="E370" s="32">
        <f t="shared" si="152"/>
        <v>29</v>
      </c>
      <c r="F370" s="32">
        <f t="shared" si="152"/>
        <v>122</v>
      </c>
      <c r="G370" s="32">
        <f t="shared" si="152"/>
        <v>31</v>
      </c>
      <c r="H370" s="32">
        <f t="shared" si="152"/>
        <v>0</v>
      </c>
      <c r="I370" s="32">
        <f t="shared" si="152"/>
        <v>0</v>
      </c>
      <c r="J370" s="32">
        <f t="shared" si="152"/>
        <v>185</v>
      </c>
      <c r="K370" s="32">
        <f t="shared" si="152"/>
        <v>253</v>
      </c>
    </row>
    <row r="371" spans="1:11" ht="11.25" customHeight="1" x14ac:dyDescent="0.2">
      <c r="A371" s="584" t="str">
        <f>+A238</f>
        <v>a/  Preliminary.</v>
      </c>
      <c r="B371" s="584"/>
      <c r="C371" s="584"/>
      <c r="D371" s="584"/>
      <c r="E371" s="584"/>
      <c r="F371" s="584"/>
      <c r="G371" s="584"/>
      <c r="H371" s="584"/>
      <c r="I371" s="584"/>
      <c r="J371" s="584"/>
      <c r="K371" s="584"/>
    </row>
    <row r="372" spans="1:11" ht="11.25" customHeight="1" x14ac:dyDescent="0.2">
      <c r="A372" s="584" t="str">
        <f>+A239</f>
        <v>b/  October effort beginning in 2002 occurred during Quileute ceremonial and subsistence fishery.</v>
      </c>
      <c r="B372" s="584"/>
      <c r="C372" s="584"/>
      <c r="D372" s="584"/>
      <c r="E372" s="584"/>
      <c r="F372" s="584"/>
      <c r="G372" s="584"/>
      <c r="H372" s="584"/>
      <c r="I372" s="584"/>
      <c r="J372" s="584"/>
      <c r="K372" s="584"/>
    </row>
  </sheetData>
  <mergeCells count="7">
    <mergeCell ref="A372:K372"/>
    <mergeCell ref="A1:K1"/>
    <mergeCell ref="A238:K238"/>
    <mergeCell ref="A239:K239"/>
    <mergeCell ref="A257:K257"/>
    <mergeCell ref="A325:K325"/>
    <mergeCell ref="A371:K371"/>
  </mergeCells>
  <pageMargins left="0.7" right="0.7" top="0.75" bottom="0.75" header="0.3" footer="0.3"/>
  <pageSetup scale="95" orientation="portrait" r:id="rId1"/>
  <rowBreaks count="1" manualBreakCount="1">
    <brk id="323" max="10"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8"/>
  <dimension ref="A1:AM397"/>
  <sheetViews>
    <sheetView showGridLines="0" zoomScale="90" zoomScaleNormal="90" zoomScaleSheetLayoutView="100" workbookViewId="0">
      <pane xSplit="1" ySplit="4" topLeftCell="B345" activePane="bottomRight" state="frozen"/>
      <selection sqref="A1:J2"/>
      <selection pane="topRight" sqref="A1:J2"/>
      <selection pane="bottomLeft" sqref="A1:J2"/>
      <selection pane="bottomRight" sqref="A1:J2"/>
    </sheetView>
  </sheetViews>
  <sheetFormatPr defaultColWidth="9" defaultRowHeight="11.25" x14ac:dyDescent="0.2"/>
  <cols>
    <col min="1" max="1" width="7.25" style="473" customWidth="1"/>
    <col min="2" max="2" width="6.5" style="193" customWidth="1"/>
    <col min="3" max="3" width="5.125" style="193" bestFit="1" customWidth="1"/>
    <col min="4" max="5" width="5.25" style="193" customWidth="1"/>
    <col min="6" max="8" width="5.125" style="193" customWidth="1"/>
    <col min="9" max="9" width="6.375" style="193" customWidth="1"/>
    <col min="10" max="10" width="6.875" style="193" customWidth="1"/>
    <col min="11" max="11" width="5.5" style="193" customWidth="1"/>
    <col min="12" max="12" width="0.875" style="193" customWidth="1"/>
    <col min="13" max="13" width="6" style="193" customWidth="1"/>
    <col min="14" max="14" width="4.25" style="193" customWidth="1"/>
    <col min="15" max="15" width="5.125" style="193" bestFit="1" customWidth="1"/>
    <col min="16" max="17" width="5.375" style="193" customWidth="1"/>
    <col min="18" max="18" width="5.75" style="193" customWidth="1"/>
    <col min="19" max="19" width="5.125" style="193" customWidth="1"/>
    <col min="20" max="20" width="6.375" style="193" customWidth="1"/>
    <col min="21" max="21" width="7.625" style="193" bestFit="1" customWidth="1"/>
    <col min="22" max="22" width="5.75" style="331" bestFit="1" customWidth="1"/>
    <col min="23" max="16384" width="9" style="1"/>
  </cols>
  <sheetData>
    <row r="1" spans="1:39" ht="12" customHeight="1" x14ac:dyDescent="0.2">
      <c r="A1" s="523" t="s">
        <v>139</v>
      </c>
      <c r="B1" s="523"/>
      <c r="C1" s="523"/>
      <c r="D1" s="523"/>
      <c r="E1" s="523"/>
      <c r="F1" s="523"/>
      <c r="G1" s="523"/>
      <c r="H1" s="523"/>
      <c r="I1" s="523"/>
      <c r="J1" s="523"/>
      <c r="K1" s="523"/>
      <c r="L1" s="523"/>
      <c r="M1" s="523"/>
      <c r="N1" s="523"/>
      <c r="O1" s="523"/>
      <c r="P1" s="523"/>
      <c r="Q1" s="523"/>
      <c r="R1" s="523"/>
      <c r="S1" s="523"/>
      <c r="T1" s="523"/>
      <c r="U1" s="523"/>
      <c r="V1" s="523"/>
    </row>
    <row r="2" spans="1:39" s="470" customFormat="1" ht="12" customHeight="1" x14ac:dyDescent="0.2">
      <c r="A2" s="570" t="s">
        <v>33</v>
      </c>
      <c r="B2" s="471"/>
      <c r="C2" s="471"/>
      <c r="D2" s="471"/>
      <c r="E2" s="471"/>
      <c r="F2" s="471"/>
      <c r="G2" s="471"/>
      <c r="H2" s="471"/>
      <c r="I2" s="471"/>
      <c r="J2" s="587" t="s">
        <v>61</v>
      </c>
      <c r="K2" s="587"/>
      <c r="L2" s="471"/>
      <c r="M2" s="471"/>
      <c r="N2" s="471"/>
      <c r="O2" s="471"/>
      <c r="P2" s="471"/>
      <c r="Q2" s="471"/>
      <c r="R2" s="471"/>
      <c r="S2" s="471"/>
      <c r="T2" s="471"/>
      <c r="U2" s="587" t="s">
        <v>61</v>
      </c>
      <c r="V2" s="587"/>
    </row>
    <row r="3" spans="1:39" ht="12" customHeight="1" x14ac:dyDescent="0.2">
      <c r="A3" s="586"/>
      <c r="B3" s="20" t="s">
        <v>71</v>
      </c>
      <c r="C3" s="20" t="s">
        <v>35</v>
      </c>
      <c r="D3" s="20" t="s">
        <v>36</v>
      </c>
      <c r="E3" s="20" t="s">
        <v>37</v>
      </c>
      <c r="F3" s="20" t="s">
        <v>38</v>
      </c>
      <c r="G3" s="20" t="s">
        <v>39</v>
      </c>
      <c r="H3" s="20" t="s">
        <v>294</v>
      </c>
      <c r="I3" s="47" t="s">
        <v>73</v>
      </c>
      <c r="J3" s="47" t="s">
        <v>74</v>
      </c>
      <c r="K3" s="20" t="s">
        <v>52</v>
      </c>
      <c r="L3" s="20"/>
      <c r="M3" s="20" t="s">
        <v>71</v>
      </c>
      <c r="N3" s="20" t="s">
        <v>35</v>
      </c>
      <c r="O3" s="20" t="s">
        <v>36</v>
      </c>
      <c r="P3" s="20" t="s">
        <v>37</v>
      </c>
      <c r="Q3" s="20" t="s">
        <v>38</v>
      </c>
      <c r="R3" s="20" t="s">
        <v>39</v>
      </c>
      <c r="S3" s="20" t="s">
        <v>294</v>
      </c>
      <c r="T3" s="47" t="s">
        <v>73</v>
      </c>
      <c r="U3" s="47" t="s">
        <v>74</v>
      </c>
      <c r="V3" s="20" t="s">
        <v>52</v>
      </c>
    </row>
    <row r="4" spans="1:39" ht="12" customHeight="1" x14ac:dyDescent="0.2">
      <c r="A4" s="116"/>
      <c r="B4" s="583" t="s">
        <v>67</v>
      </c>
      <c r="C4" s="583"/>
      <c r="D4" s="583"/>
      <c r="E4" s="583"/>
      <c r="F4" s="583"/>
      <c r="G4" s="583"/>
      <c r="H4" s="583"/>
      <c r="I4" s="583"/>
      <c r="J4" s="583"/>
      <c r="K4" s="583"/>
      <c r="M4" s="583" t="s">
        <v>68</v>
      </c>
      <c r="N4" s="583"/>
      <c r="O4" s="583"/>
      <c r="P4" s="583"/>
      <c r="Q4" s="583"/>
      <c r="R4" s="583"/>
      <c r="S4" s="583"/>
      <c r="T4" s="583"/>
      <c r="U4" s="583"/>
      <c r="V4" s="583"/>
    </row>
    <row r="5" spans="1:39" ht="12" customHeight="1" x14ac:dyDescent="0.2">
      <c r="A5" s="116" t="s">
        <v>72</v>
      </c>
      <c r="B5" s="128"/>
      <c r="C5" s="200"/>
      <c r="D5" s="200"/>
      <c r="E5" s="200"/>
      <c r="F5" s="200"/>
      <c r="G5" s="200"/>
      <c r="H5" s="200"/>
      <c r="I5" s="200"/>
      <c r="J5" s="21"/>
      <c r="K5" s="21"/>
      <c r="L5" s="200"/>
      <c r="M5" s="200"/>
      <c r="N5" s="200"/>
      <c r="O5" s="200"/>
      <c r="P5" s="200"/>
      <c r="Q5" s="200"/>
      <c r="R5" s="200"/>
      <c r="S5" s="200"/>
      <c r="T5" s="200"/>
      <c r="U5" s="21"/>
      <c r="V5" s="21"/>
    </row>
    <row r="6" spans="1:39" ht="12" customHeight="1" x14ac:dyDescent="0.2">
      <c r="A6" s="473">
        <v>1976</v>
      </c>
      <c r="B6" s="198">
        <v>9648</v>
      </c>
      <c r="C6" s="70">
        <v>180</v>
      </c>
      <c r="D6" s="70">
        <v>183</v>
      </c>
      <c r="E6" s="70">
        <v>88</v>
      </c>
      <c r="F6" s="70">
        <v>93</v>
      </c>
      <c r="G6" s="70">
        <v>2</v>
      </c>
      <c r="H6" s="70">
        <v>0</v>
      </c>
      <c r="I6" s="70">
        <v>455</v>
      </c>
      <c r="J6" s="70">
        <f t="shared" ref="J6:J47" si="0">SUM(C6:G6)</f>
        <v>546</v>
      </c>
      <c r="K6" s="70">
        <f t="shared" ref="K6:K47" si="1">SUM(B6:I6)</f>
        <v>10649</v>
      </c>
      <c r="L6" s="70"/>
      <c r="M6" s="70">
        <v>0</v>
      </c>
      <c r="N6" s="70">
        <v>0</v>
      </c>
      <c r="O6" s="70">
        <v>48</v>
      </c>
      <c r="P6" s="70">
        <v>27</v>
      </c>
      <c r="Q6" s="70">
        <v>26</v>
      </c>
      <c r="R6" s="70">
        <v>13</v>
      </c>
      <c r="S6" s="70">
        <v>6</v>
      </c>
      <c r="T6" s="70">
        <v>4</v>
      </c>
      <c r="U6" s="70">
        <f t="shared" ref="U6:U50" si="2">SUM(N6:R6)</f>
        <v>114</v>
      </c>
      <c r="V6" s="70">
        <f t="shared" ref="V6:V50" si="3">SUM(M6:T6)</f>
        <v>124</v>
      </c>
      <c r="W6" s="173"/>
      <c r="X6" s="173"/>
      <c r="Y6" s="173"/>
      <c r="Z6" s="173"/>
      <c r="AA6" s="173"/>
      <c r="AB6" s="173"/>
      <c r="AC6" s="173"/>
      <c r="AD6" s="173"/>
      <c r="AF6" s="172"/>
      <c r="AG6" s="172"/>
      <c r="AH6" s="172"/>
      <c r="AI6" s="172"/>
      <c r="AJ6" s="172"/>
      <c r="AK6" s="172"/>
      <c r="AL6" s="172"/>
      <c r="AM6" s="172"/>
    </row>
    <row r="7" spans="1:39" ht="12" customHeight="1" x14ac:dyDescent="0.2">
      <c r="A7" s="473">
        <v>1977</v>
      </c>
      <c r="B7" s="198">
        <v>7847</v>
      </c>
      <c r="C7" s="70">
        <v>326</v>
      </c>
      <c r="D7" s="70">
        <v>560</v>
      </c>
      <c r="E7" s="70">
        <v>74</v>
      </c>
      <c r="F7" s="70">
        <v>102</v>
      </c>
      <c r="G7" s="70">
        <v>61</v>
      </c>
      <c r="H7" s="70">
        <v>8</v>
      </c>
      <c r="I7" s="70">
        <v>632</v>
      </c>
      <c r="J7" s="70">
        <f t="shared" si="0"/>
        <v>1123</v>
      </c>
      <c r="K7" s="70">
        <f t="shared" si="1"/>
        <v>9610</v>
      </c>
      <c r="L7" s="70"/>
      <c r="M7" s="70">
        <v>0</v>
      </c>
      <c r="N7" s="70">
        <v>50</v>
      </c>
      <c r="O7" s="70">
        <v>35</v>
      </c>
      <c r="P7" s="70">
        <v>97</v>
      </c>
      <c r="Q7" s="70">
        <v>432</v>
      </c>
      <c r="R7" s="70">
        <v>248</v>
      </c>
      <c r="S7" s="70">
        <v>4</v>
      </c>
      <c r="T7" s="70">
        <v>4</v>
      </c>
      <c r="U7" s="70">
        <f t="shared" si="2"/>
        <v>862</v>
      </c>
      <c r="V7" s="70">
        <f t="shared" si="3"/>
        <v>870</v>
      </c>
      <c r="W7" s="173"/>
      <c r="X7" s="173"/>
      <c r="Y7" s="173"/>
      <c r="Z7" s="173"/>
      <c r="AA7" s="173"/>
      <c r="AB7" s="173"/>
      <c r="AC7" s="173"/>
      <c r="AD7" s="173"/>
      <c r="AF7" s="172"/>
      <c r="AG7" s="172"/>
      <c r="AH7" s="172"/>
      <c r="AI7" s="172"/>
      <c r="AJ7" s="172"/>
      <c r="AK7" s="172"/>
      <c r="AL7" s="172"/>
      <c r="AM7" s="172"/>
    </row>
    <row r="8" spans="1:39" ht="12" customHeight="1" x14ac:dyDescent="0.2">
      <c r="A8" s="473">
        <v>1978</v>
      </c>
      <c r="B8" s="198">
        <v>8983</v>
      </c>
      <c r="C8" s="70">
        <v>914</v>
      </c>
      <c r="D8" s="70">
        <v>2036</v>
      </c>
      <c r="E8" s="70">
        <v>183</v>
      </c>
      <c r="F8" s="70">
        <v>172</v>
      </c>
      <c r="G8" s="70">
        <v>48</v>
      </c>
      <c r="H8" s="70">
        <v>26</v>
      </c>
      <c r="I8" s="70">
        <v>913</v>
      </c>
      <c r="J8" s="70">
        <f t="shared" si="0"/>
        <v>3353</v>
      </c>
      <c r="K8" s="70">
        <f t="shared" si="1"/>
        <v>13275</v>
      </c>
      <c r="L8" s="70"/>
      <c r="M8" s="70">
        <v>1805</v>
      </c>
      <c r="N8" s="70">
        <v>53</v>
      </c>
      <c r="O8" s="70">
        <v>910</v>
      </c>
      <c r="P8" s="70">
        <v>119</v>
      </c>
      <c r="Q8" s="70">
        <v>116</v>
      </c>
      <c r="R8" s="70">
        <v>362</v>
      </c>
      <c r="S8" s="70">
        <v>8</v>
      </c>
      <c r="T8" s="70">
        <v>266</v>
      </c>
      <c r="U8" s="70">
        <f t="shared" si="2"/>
        <v>1560</v>
      </c>
      <c r="V8" s="70">
        <f t="shared" si="3"/>
        <v>3639</v>
      </c>
      <c r="W8" s="173"/>
      <c r="X8" s="173"/>
      <c r="Y8" s="173"/>
      <c r="Z8" s="173"/>
      <c r="AA8" s="173"/>
      <c r="AB8" s="173"/>
      <c r="AC8" s="173"/>
      <c r="AD8" s="173"/>
      <c r="AF8" s="172"/>
      <c r="AG8" s="172"/>
      <c r="AH8" s="172"/>
      <c r="AI8" s="172"/>
      <c r="AJ8" s="172"/>
      <c r="AK8" s="172"/>
      <c r="AL8" s="172"/>
      <c r="AM8" s="172"/>
    </row>
    <row r="9" spans="1:39" ht="12" customHeight="1" x14ac:dyDescent="0.2">
      <c r="A9" s="473">
        <v>1979</v>
      </c>
      <c r="B9" s="198">
        <v>6588</v>
      </c>
      <c r="C9" s="70">
        <v>359</v>
      </c>
      <c r="D9" s="70">
        <v>412</v>
      </c>
      <c r="E9" s="70">
        <v>94</v>
      </c>
      <c r="F9" s="70">
        <v>123</v>
      </c>
      <c r="G9" s="70">
        <v>21</v>
      </c>
      <c r="H9" s="70">
        <v>3</v>
      </c>
      <c r="I9" s="70">
        <v>836</v>
      </c>
      <c r="J9" s="70">
        <f t="shared" si="0"/>
        <v>1009</v>
      </c>
      <c r="K9" s="70">
        <f t="shared" si="1"/>
        <v>8436</v>
      </c>
      <c r="L9" s="70"/>
      <c r="M9" s="70">
        <v>175</v>
      </c>
      <c r="N9" s="70">
        <v>7</v>
      </c>
      <c r="O9" s="70">
        <v>1443</v>
      </c>
      <c r="P9" s="70">
        <v>629</v>
      </c>
      <c r="Q9" s="70">
        <v>677</v>
      </c>
      <c r="R9" s="70">
        <v>98</v>
      </c>
      <c r="S9" s="70">
        <v>3</v>
      </c>
      <c r="T9" s="70">
        <v>30</v>
      </c>
      <c r="U9" s="70">
        <f t="shared" si="2"/>
        <v>2854</v>
      </c>
      <c r="V9" s="70">
        <f t="shared" si="3"/>
        <v>3062</v>
      </c>
      <c r="W9" s="173"/>
      <c r="X9" s="173"/>
      <c r="Y9" s="173"/>
      <c r="Z9" s="173"/>
      <c r="AA9" s="173"/>
      <c r="AB9" s="173"/>
      <c r="AC9" s="173"/>
      <c r="AD9" s="173"/>
      <c r="AF9" s="172"/>
      <c r="AG9" s="172"/>
      <c r="AH9" s="172"/>
      <c r="AI9" s="172"/>
      <c r="AJ9" s="172"/>
      <c r="AK9" s="172"/>
      <c r="AL9" s="172"/>
      <c r="AM9" s="172"/>
    </row>
    <row r="10" spans="1:39" ht="12" customHeight="1" x14ac:dyDescent="0.2">
      <c r="A10" s="473">
        <v>1980</v>
      </c>
      <c r="B10" s="198">
        <v>9539</v>
      </c>
      <c r="C10" s="70">
        <v>23</v>
      </c>
      <c r="D10" s="70">
        <v>12</v>
      </c>
      <c r="E10" s="70">
        <v>51</v>
      </c>
      <c r="F10" s="70">
        <v>27</v>
      </c>
      <c r="G10" s="70">
        <v>3</v>
      </c>
      <c r="H10" s="70">
        <v>13</v>
      </c>
      <c r="I10" s="70">
        <v>1044</v>
      </c>
      <c r="J10" s="70">
        <f t="shared" si="0"/>
        <v>116</v>
      </c>
      <c r="K10" s="70">
        <f t="shared" si="1"/>
        <v>10712</v>
      </c>
      <c r="L10" s="70"/>
      <c r="M10" s="70">
        <v>52</v>
      </c>
      <c r="N10" s="70">
        <v>3</v>
      </c>
      <c r="O10" s="70">
        <v>59</v>
      </c>
      <c r="P10" s="70">
        <v>81</v>
      </c>
      <c r="Q10" s="70">
        <v>7</v>
      </c>
      <c r="R10" s="70">
        <v>40</v>
      </c>
      <c r="S10" s="70">
        <v>6</v>
      </c>
      <c r="T10" s="70">
        <v>3</v>
      </c>
      <c r="U10" s="70">
        <f t="shared" si="2"/>
        <v>190</v>
      </c>
      <c r="V10" s="70">
        <f t="shared" si="3"/>
        <v>251</v>
      </c>
      <c r="W10" s="173"/>
      <c r="X10" s="173"/>
      <c r="Y10" s="173"/>
      <c r="Z10" s="173"/>
      <c r="AA10" s="173"/>
      <c r="AB10" s="173"/>
      <c r="AC10" s="173"/>
      <c r="AD10" s="173"/>
      <c r="AF10" s="172"/>
      <c r="AG10" s="172"/>
      <c r="AH10" s="172"/>
      <c r="AI10" s="172"/>
      <c r="AJ10" s="172"/>
      <c r="AK10" s="172"/>
      <c r="AL10" s="172"/>
      <c r="AM10" s="172"/>
    </row>
    <row r="11" spans="1:39" ht="12" customHeight="1" x14ac:dyDescent="0.2">
      <c r="A11" s="473">
        <v>1981</v>
      </c>
      <c r="B11" s="198">
        <v>12776</v>
      </c>
      <c r="C11" s="70">
        <v>1130</v>
      </c>
      <c r="D11" s="70">
        <v>316</v>
      </c>
      <c r="E11" s="70">
        <v>130</v>
      </c>
      <c r="F11" s="70">
        <v>44</v>
      </c>
      <c r="G11" s="70">
        <v>33</v>
      </c>
      <c r="H11" s="70">
        <v>26</v>
      </c>
      <c r="I11" s="70">
        <v>1495</v>
      </c>
      <c r="J11" s="70">
        <f t="shared" si="0"/>
        <v>1653</v>
      </c>
      <c r="K11" s="70">
        <f t="shared" si="1"/>
        <v>15950</v>
      </c>
      <c r="L11" s="70"/>
      <c r="M11" s="70">
        <v>117</v>
      </c>
      <c r="N11" s="70">
        <v>1129</v>
      </c>
      <c r="O11" s="70">
        <v>454</v>
      </c>
      <c r="P11" s="70">
        <v>453</v>
      </c>
      <c r="Q11" s="70">
        <v>616</v>
      </c>
      <c r="R11" s="70">
        <v>180</v>
      </c>
      <c r="S11" s="70">
        <v>13</v>
      </c>
      <c r="T11" s="70">
        <v>14</v>
      </c>
      <c r="U11" s="70">
        <f t="shared" si="2"/>
        <v>2832</v>
      </c>
      <c r="V11" s="70">
        <f t="shared" si="3"/>
        <v>2976</v>
      </c>
      <c r="W11" s="173"/>
      <c r="X11" s="173"/>
      <c r="Y11" s="173"/>
      <c r="Z11" s="173"/>
      <c r="AA11" s="173"/>
      <c r="AB11" s="173"/>
      <c r="AC11" s="173"/>
      <c r="AD11" s="173"/>
      <c r="AF11" s="172"/>
      <c r="AG11" s="172"/>
      <c r="AH11" s="172"/>
      <c r="AI11" s="172"/>
      <c r="AJ11" s="172"/>
      <c r="AK11" s="172"/>
      <c r="AL11" s="172"/>
      <c r="AM11" s="172"/>
    </row>
    <row r="12" spans="1:39" ht="12" customHeight="1" x14ac:dyDescent="0.2">
      <c r="A12" s="473">
        <v>1982</v>
      </c>
      <c r="B12" s="198">
        <v>17941</v>
      </c>
      <c r="C12" s="70">
        <v>384</v>
      </c>
      <c r="D12" s="70">
        <v>287</v>
      </c>
      <c r="E12" s="70">
        <v>111</v>
      </c>
      <c r="F12" s="70">
        <v>100</v>
      </c>
      <c r="G12" s="70">
        <v>99</v>
      </c>
      <c r="H12" s="70">
        <v>196</v>
      </c>
      <c r="I12" s="70">
        <v>487</v>
      </c>
      <c r="J12" s="70">
        <f t="shared" si="0"/>
        <v>981</v>
      </c>
      <c r="K12" s="70">
        <f t="shared" si="1"/>
        <v>19605</v>
      </c>
      <c r="L12" s="70"/>
      <c r="M12" s="70">
        <v>37</v>
      </c>
      <c r="N12" s="70">
        <v>33</v>
      </c>
      <c r="O12" s="70">
        <v>232</v>
      </c>
      <c r="P12" s="70">
        <v>912</v>
      </c>
      <c r="Q12" s="70">
        <v>2356</v>
      </c>
      <c r="R12" s="70">
        <v>559</v>
      </c>
      <c r="S12" s="70">
        <v>41</v>
      </c>
      <c r="T12" s="70">
        <v>9</v>
      </c>
      <c r="U12" s="70">
        <f t="shared" si="2"/>
        <v>4092</v>
      </c>
      <c r="V12" s="70">
        <f t="shared" si="3"/>
        <v>4179</v>
      </c>
      <c r="W12" s="173"/>
      <c r="X12" s="173"/>
      <c r="Y12" s="173"/>
      <c r="Z12" s="173"/>
      <c r="AA12" s="173"/>
      <c r="AB12" s="173"/>
      <c r="AC12" s="173"/>
      <c r="AD12" s="173"/>
      <c r="AF12" s="172"/>
      <c r="AG12" s="172"/>
      <c r="AH12" s="172"/>
      <c r="AI12" s="172"/>
      <c r="AJ12" s="172"/>
      <c r="AK12" s="172"/>
      <c r="AL12" s="172"/>
      <c r="AM12" s="172"/>
    </row>
    <row r="13" spans="1:39" ht="12" customHeight="1" x14ac:dyDescent="0.2">
      <c r="A13" s="473">
        <v>1983</v>
      </c>
      <c r="B13" s="198">
        <v>16562</v>
      </c>
      <c r="C13" s="70">
        <v>1798</v>
      </c>
      <c r="D13" s="70">
        <v>530</v>
      </c>
      <c r="E13" s="70">
        <v>93</v>
      </c>
      <c r="F13" s="70">
        <v>85</v>
      </c>
      <c r="G13" s="70">
        <v>5</v>
      </c>
      <c r="H13" s="70">
        <v>65</v>
      </c>
      <c r="I13" s="70">
        <v>964</v>
      </c>
      <c r="J13" s="70">
        <f t="shared" si="0"/>
        <v>2511</v>
      </c>
      <c r="K13" s="70">
        <f t="shared" si="1"/>
        <v>20102</v>
      </c>
      <c r="L13" s="70"/>
      <c r="M13" s="70">
        <v>30</v>
      </c>
      <c r="N13" s="70">
        <v>61</v>
      </c>
      <c r="O13" s="70">
        <v>209</v>
      </c>
      <c r="P13" s="70">
        <v>1263</v>
      </c>
      <c r="Q13" s="70">
        <v>1894</v>
      </c>
      <c r="R13" s="70">
        <v>143</v>
      </c>
      <c r="S13" s="70">
        <v>17</v>
      </c>
      <c r="T13" s="70">
        <v>4</v>
      </c>
      <c r="U13" s="70">
        <f t="shared" si="2"/>
        <v>3570</v>
      </c>
      <c r="V13" s="70">
        <f t="shared" si="3"/>
        <v>3621</v>
      </c>
      <c r="W13" s="173"/>
      <c r="X13" s="173"/>
      <c r="Y13" s="173"/>
      <c r="Z13" s="173"/>
      <c r="AA13" s="173"/>
      <c r="AB13" s="173"/>
      <c r="AC13" s="173"/>
      <c r="AD13" s="173"/>
      <c r="AF13" s="172"/>
      <c r="AG13" s="172"/>
      <c r="AH13" s="172"/>
      <c r="AI13" s="172"/>
      <c r="AJ13" s="172"/>
      <c r="AK13" s="172"/>
      <c r="AL13" s="172"/>
      <c r="AM13" s="172"/>
    </row>
    <row r="14" spans="1:39" ht="12" customHeight="1" x14ac:dyDescent="0.2">
      <c r="A14" s="473">
        <v>1984</v>
      </c>
      <c r="B14" s="198">
        <v>13063</v>
      </c>
      <c r="C14" s="70">
        <v>683</v>
      </c>
      <c r="D14" s="70">
        <v>106</v>
      </c>
      <c r="E14" s="70">
        <v>55</v>
      </c>
      <c r="F14" s="70">
        <v>1</v>
      </c>
      <c r="G14" s="70">
        <v>0</v>
      </c>
      <c r="H14" s="70">
        <v>142</v>
      </c>
      <c r="I14" s="70">
        <v>577</v>
      </c>
      <c r="J14" s="70">
        <f t="shared" si="0"/>
        <v>845</v>
      </c>
      <c r="K14" s="70">
        <f t="shared" si="1"/>
        <v>14627</v>
      </c>
      <c r="L14" s="70"/>
      <c r="M14" s="70">
        <v>18</v>
      </c>
      <c r="N14" s="70">
        <v>0</v>
      </c>
      <c r="O14" s="70">
        <v>0</v>
      </c>
      <c r="P14" s="70">
        <v>1295</v>
      </c>
      <c r="Q14" s="70">
        <v>66</v>
      </c>
      <c r="R14" s="70">
        <v>0</v>
      </c>
      <c r="S14" s="70">
        <v>71</v>
      </c>
      <c r="T14" s="70">
        <v>4</v>
      </c>
      <c r="U14" s="70">
        <f t="shared" si="2"/>
        <v>1361</v>
      </c>
      <c r="V14" s="70">
        <f t="shared" si="3"/>
        <v>1454</v>
      </c>
      <c r="W14" s="173"/>
      <c r="X14" s="173"/>
      <c r="Y14" s="173"/>
      <c r="Z14" s="173"/>
      <c r="AA14" s="173"/>
      <c r="AB14" s="173"/>
      <c r="AC14" s="173"/>
      <c r="AD14" s="173"/>
      <c r="AF14" s="172"/>
      <c r="AG14" s="172"/>
      <c r="AH14" s="172"/>
      <c r="AI14" s="172"/>
      <c r="AJ14" s="172"/>
      <c r="AK14" s="172"/>
      <c r="AL14" s="172"/>
      <c r="AM14" s="172"/>
    </row>
    <row r="15" spans="1:39" ht="12" customHeight="1" x14ac:dyDescent="0.2">
      <c r="A15" s="473">
        <v>1985</v>
      </c>
      <c r="B15" s="198">
        <v>5201</v>
      </c>
      <c r="C15" s="70">
        <v>1335</v>
      </c>
      <c r="D15" s="70">
        <v>0</v>
      </c>
      <c r="E15" s="70">
        <v>80</v>
      </c>
      <c r="F15" s="70">
        <v>15</v>
      </c>
      <c r="G15" s="70">
        <v>6</v>
      </c>
      <c r="H15" s="70">
        <v>295</v>
      </c>
      <c r="I15" s="70">
        <v>592</v>
      </c>
      <c r="J15" s="70">
        <f t="shared" si="0"/>
        <v>1436</v>
      </c>
      <c r="K15" s="70">
        <f t="shared" si="1"/>
        <v>7524</v>
      </c>
      <c r="L15" s="70"/>
      <c r="M15" s="70">
        <v>6</v>
      </c>
      <c r="N15" s="70">
        <v>0</v>
      </c>
      <c r="O15" s="70">
        <v>25</v>
      </c>
      <c r="P15" s="70">
        <v>204</v>
      </c>
      <c r="Q15" s="70">
        <v>141</v>
      </c>
      <c r="R15" s="70">
        <v>156</v>
      </c>
      <c r="S15" s="70">
        <v>37</v>
      </c>
      <c r="T15" s="70">
        <v>4</v>
      </c>
      <c r="U15" s="70">
        <f t="shared" si="2"/>
        <v>526</v>
      </c>
      <c r="V15" s="70">
        <f t="shared" si="3"/>
        <v>573</v>
      </c>
      <c r="W15" s="173"/>
      <c r="X15" s="173"/>
      <c r="Y15" s="173"/>
      <c r="Z15" s="173"/>
      <c r="AA15" s="173"/>
      <c r="AB15" s="173"/>
      <c r="AC15" s="173"/>
      <c r="AD15" s="173"/>
      <c r="AF15" s="172"/>
      <c r="AG15" s="172"/>
      <c r="AH15" s="172"/>
      <c r="AI15" s="172"/>
      <c r="AJ15" s="172"/>
      <c r="AK15" s="172"/>
      <c r="AL15" s="172"/>
      <c r="AM15" s="172"/>
    </row>
    <row r="16" spans="1:39" ht="12" customHeight="1" x14ac:dyDescent="0.2">
      <c r="A16" s="473">
        <v>1986</v>
      </c>
      <c r="B16" s="198">
        <v>3299</v>
      </c>
      <c r="C16" s="70">
        <v>1243</v>
      </c>
      <c r="D16" s="70">
        <v>539</v>
      </c>
      <c r="E16" s="70">
        <v>86</v>
      </c>
      <c r="F16" s="70">
        <v>81</v>
      </c>
      <c r="G16" s="70">
        <v>0</v>
      </c>
      <c r="H16" s="70">
        <v>0</v>
      </c>
      <c r="I16" s="70">
        <v>615</v>
      </c>
      <c r="J16" s="70">
        <f t="shared" si="0"/>
        <v>1949</v>
      </c>
      <c r="K16" s="70">
        <f t="shared" si="1"/>
        <v>5863</v>
      </c>
      <c r="L16" s="70"/>
      <c r="M16" s="70">
        <v>6</v>
      </c>
      <c r="N16" s="70">
        <v>0</v>
      </c>
      <c r="O16" s="70">
        <v>221</v>
      </c>
      <c r="P16" s="70">
        <v>2090</v>
      </c>
      <c r="Q16" s="70">
        <v>4709</v>
      </c>
      <c r="R16" s="70">
        <v>13</v>
      </c>
      <c r="S16" s="70">
        <v>0</v>
      </c>
      <c r="T16" s="70">
        <v>8</v>
      </c>
      <c r="U16" s="70">
        <f t="shared" si="2"/>
        <v>7033</v>
      </c>
      <c r="V16" s="70">
        <f t="shared" si="3"/>
        <v>7047</v>
      </c>
      <c r="W16" s="173"/>
      <c r="X16" s="173"/>
      <c r="Y16" s="173"/>
      <c r="Z16" s="173"/>
      <c r="AA16" s="173"/>
      <c r="AB16" s="173"/>
      <c r="AC16" s="173"/>
      <c r="AD16" s="173"/>
      <c r="AF16" s="172"/>
      <c r="AG16" s="172"/>
      <c r="AH16" s="172"/>
      <c r="AI16" s="172"/>
      <c r="AJ16" s="172"/>
      <c r="AK16" s="172"/>
      <c r="AL16" s="172"/>
      <c r="AM16" s="172"/>
    </row>
    <row r="17" spans="1:39" ht="12" customHeight="1" x14ac:dyDescent="0.2">
      <c r="A17" s="473">
        <v>1987</v>
      </c>
      <c r="B17" s="198">
        <v>8410</v>
      </c>
      <c r="C17" s="70">
        <v>1044</v>
      </c>
      <c r="D17" s="70">
        <v>0</v>
      </c>
      <c r="E17" s="70">
        <v>87</v>
      </c>
      <c r="F17" s="70">
        <v>218</v>
      </c>
      <c r="G17" s="70">
        <v>0</v>
      </c>
      <c r="H17" s="70">
        <v>52</v>
      </c>
      <c r="I17" s="70">
        <v>1530</v>
      </c>
      <c r="J17" s="70">
        <f t="shared" si="0"/>
        <v>1349</v>
      </c>
      <c r="K17" s="70">
        <f t="shared" si="1"/>
        <v>11341</v>
      </c>
      <c r="L17" s="70"/>
      <c r="M17" s="70">
        <v>31</v>
      </c>
      <c r="N17" s="70">
        <v>1</v>
      </c>
      <c r="O17" s="70">
        <v>0</v>
      </c>
      <c r="P17" s="70">
        <v>2136</v>
      </c>
      <c r="Q17" s="70">
        <v>2970</v>
      </c>
      <c r="R17" s="70">
        <v>0</v>
      </c>
      <c r="S17" s="70">
        <v>33</v>
      </c>
      <c r="T17" s="70">
        <v>0</v>
      </c>
      <c r="U17" s="70">
        <f t="shared" si="2"/>
        <v>5107</v>
      </c>
      <c r="V17" s="70">
        <f t="shared" si="3"/>
        <v>5171</v>
      </c>
      <c r="W17" s="173"/>
      <c r="X17" s="173"/>
      <c r="Y17" s="173"/>
      <c r="Z17" s="173"/>
      <c r="AA17" s="173"/>
      <c r="AB17" s="173"/>
      <c r="AC17" s="173"/>
      <c r="AD17" s="173"/>
      <c r="AF17" s="172"/>
      <c r="AG17" s="172"/>
      <c r="AH17" s="172"/>
      <c r="AI17" s="172"/>
      <c r="AJ17" s="172"/>
      <c r="AK17" s="172"/>
      <c r="AL17" s="172"/>
      <c r="AM17" s="172"/>
    </row>
    <row r="18" spans="1:39" ht="12" customHeight="1" x14ac:dyDescent="0.2">
      <c r="A18" s="473">
        <v>1988</v>
      </c>
      <c r="B18" s="198">
        <v>6958</v>
      </c>
      <c r="C18" s="70">
        <v>5080</v>
      </c>
      <c r="D18" s="70">
        <v>1903</v>
      </c>
      <c r="E18" s="70">
        <v>189</v>
      </c>
      <c r="F18" s="70">
        <v>68</v>
      </c>
      <c r="G18" s="70">
        <v>2</v>
      </c>
      <c r="H18" s="70">
        <v>0</v>
      </c>
      <c r="I18" s="70">
        <v>1265</v>
      </c>
      <c r="J18" s="70">
        <f t="shared" si="0"/>
        <v>7242</v>
      </c>
      <c r="K18" s="70">
        <f t="shared" si="1"/>
        <v>15465</v>
      </c>
      <c r="L18" s="70"/>
      <c r="M18" s="70">
        <v>3</v>
      </c>
      <c r="N18" s="70">
        <v>0</v>
      </c>
      <c r="O18" s="70">
        <v>101</v>
      </c>
      <c r="P18" s="70">
        <v>151</v>
      </c>
      <c r="Q18" s="70">
        <v>4379</v>
      </c>
      <c r="R18" s="70">
        <v>21</v>
      </c>
      <c r="S18" s="70">
        <v>0</v>
      </c>
      <c r="T18" s="70">
        <v>15</v>
      </c>
      <c r="U18" s="70">
        <f t="shared" si="2"/>
        <v>4652</v>
      </c>
      <c r="V18" s="70">
        <f t="shared" si="3"/>
        <v>4670</v>
      </c>
      <c r="W18" s="173"/>
      <c r="X18" s="173"/>
      <c r="Y18" s="173"/>
      <c r="Z18" s="173"/>
      <c r="AA18" s="173"/>
      <c r="AB18" s="173"/>
      <c r="AC18" s="173"/>
      <c r="AD18" s="173"/>
      <c r="AF18" s="172"/>
      <c r="AG18" s="172"/>
      <c r="AH18" s="172"/>
      <c r="AI18" s="172"/>
      <c r="AJ18" s="172"/>
      <c r="AK18" s="172"/>
      <c r="AL18" s="172"/>
      <c r="AM18" s="172"/>
    </row>
    <row r="19" spans="1:39" ht="12" customHeight="1" x14ac:dyDescent="0.2">
      <c r="A19" s="473">
        <v>1989</v>
      </c>
      <c r="B19" s="198">
        <v>4395</v>
      </c>
      <c r="C19" s="70">
        <v>2409</v>
      </c>
      <c r="D19" s="70">
        <v>1602</v>
      </c>
      <c r="E19" s="70">
        <v>580</v>
      </c>
      <c r="F19" s="70">
        <v>173</v>
      </c>
      <c r="G19" s="70">
        <v>109</v>
      </c>
      <c r="H19" s="70">
        <v>0</v>
      </c>
      <c r="I19" s="70">
        <v>8741</v>
      </c>
      <c r="J19" s="70">
        <f t="shared" si="0"/>
        <v>4873</v>
      </c>
      <c r="K19" s="70">
        <f t="shared" si="1"/>
        <v>18009</v>
      </c>
      <c r="L19" s="70"/>
      <c r="M19" s="70">
        <v>1</v>
      </c>
      <c r="N19" s="70">
        <v>0</v>
      </c>
      <c r="O19" s="70">
        <v>0</v>
      </c>
      <c r="P19" s="70">
        <v>4559</v>
      </c>
      <c r="Q19" s="70">
        <v>3941</v>
      </c>
      <c r="R19" s="70">
        <v>3085</v>
      </c>
      <c r="S19" s="70">
        <v>0</v>
      </c>
      <c r="T19" s="70">
        <v>32</v>
      </c>
      <c r="U19" s="70">
        <f t="shared" si="2"/>
        <v>11585</v>
      </c>
      <c r="V19" s="70">
        <f t="shared" si="3"/>
        <v>11618</v>
      </c>
      <c r="W19" s="173"/>
      <c r="X19" s="173"/>
      <c r="Y19" s="173"/>
      <c r="Z19" s="173"/>
      <c r="AA19" s="173"/>
      <c r="AB19" s="173"/>
      <c r="AC19" s="173"/>
      <c r="AD19" s="173"/>
      <c r="AF19" s="172"/>
      <c r="AG19" s="172"/>
      <c r="AH19" s="172"/>
      <c r="AI19" s="172"/>
      <c r="AJ19" s="172"/>
      <c r="AK19" s="172"/>
      <c r="AL19" s="172"/>
      <c r="AM19" s="172"/>
    </row>
    <row r="20" spans="1:39" ht="12" customHeight="1" x14ac:dyDescent="0.2">
      <c r="A20" s="473">
        <v>1990</v>
      </c>
      <c r="B20" s="198">
        <v>6982</v>
      </c>
      <c r="C20" s="70">
        <v>2924</v>
      </c>
      <c r="D20" s="70">
        <v>4685</v>
      </c>
      <c r="E20" s="70">
        <v>479</v>
      </c>
      <c r="F20" s="70">
        <v>1075</v>
      </c>
      <c r="G20" s="70">
        <v>206</v>
      </c>
      <c r="H20" s="70">
        <v>8</v>
      </c>
      <c r="I20" s="70">
        <v>1234</v>
      </c>
      <c r="J20" s="70">
        <f t="shared" si="0"/>
        <v>9369</v>
      </c>
      <c r="K20" s="70">
        <f t="shared" si="1"/>
        <v>17593</v>
      </c>
      <c r="L20" s="70"/>
      <c r="M20" s="70">
        <v>2</v>
      </c>
      <c r="N20" s="70">
        <v>0</v>
      </c>
      <c r="O20" s="70">
        <v>1</v>
      </c>
      <c r="P20" s="70">
        <v>1814</v>
      </c>
      <c r="Q20" s="70">
        <v>22833</v>
      </c>
      <c r="R20" s="70">
        <v>944</v>
      </c>
      <c r="S20" s="70">
        <v>1</v>
      </c>
      <c r="T20" s="70">
        <v>8</v>
      </c>
      <c r="U20" s="70">
        <f t="shared" si="2"/>
        <v>25592</v>
      </c>
      <c r="V20" s="70">
        <f t="shared" si="3"/>
        <v>25603</v>
      </c>
      <c r="W20" s="173"/>
      <c r="X20" s="173"/>
      <c r="Y20" s="173"/>
      <c r="Z20" s="173"/>
      <c r="AA20" s="173"/>
      <c r="AB20" s="173"/>
      <c r="AC20" s="173"/>
      <c r="AD20" s="173"/>
      <c r="AF20" s="172"/>
      <c r="AG20" s="172"/>
      <c r="AH20" s="172"/>
      <c r="AI20" s="172"/>
      <c r="AJ20" s="172"/>
      <c r="AK20" s="172"/>
      <c r="AL20" s="172"/>
      <c r="AM20" s="172"/>
    </row>
    <row r="21" spans="1:39" ht="12" customHeight="1" x14ac:dyDescent="0.2">
      <c r="A21" s="473">
        <v>1991</v>
      </c>
      <c r="B21" s="198">
        <v>5203</v>
      </c>
      <c r="C21" s="70">
        <v>740</v>
      </c>
      <c r="D21" s="70">
        <v>418</v>
      </c>
      <c r="E21" s="70">
        <v>97</v>
      </c>
      <c r="F21" s="70">
        <v>327</v>
      </c>
      <c r="G21" s="70">
        <v>0</v>
      </c>
      <c r="H21" s="70">
        <v>147</v>
      </c>
      <c r="I21" s="70">
        <v>714</v>
      </c>
      <c r="J21" s="70">
        <f t="shared" si="0"/>
        <v>1582</v>
      </c>
      <c r="K21" s="70">
        <f t="shared" si="1"/>
        <v>7646</v>
      </c>
      <c r="L21" s="70"/>
      <c r="M21" s="70">
        <v>8</v>
      </c>
      <c r="N21" s="70">
        <v>0</v>
      </c>
      <c r="O21" s="70">
        <v>0</v>
      </c>
      <c r="P21" s="70">
        <v>987</v>
      </c>
      <c r="Q21" s="70">
        <v>6685</v>
      </c>
      <c r="R21" s="70">
        <v>0</v>
      </c>
      <c r="S21" s="70">
        <v>498</v>
      </c>
      <c r="T21" s="70">
        <v>15</v>
      </c>
      <c r="U21" s="70">
        <f t="shared" si="2"/>
        <v>7672</v>
      </c>
      <c r="V21" s="70">
        <f t="shared" si="3"/>
        <v>8193</v>
      </c>
      <c r="W21" s="173"/>
      <c r="X21" s="173"/>
      <c r="Y21" s="173"/>
      <c r="Z21" s="173"/>
      <c r="AA21" s="173"/>
      <c r="AB21" s="173"/>
      <c r="AC21" s="173"/>
      <c r="AD21" s="173"/>
      <c r="AF21" s="172"/>
      <c r="AG21" s="172"/>
      <c r="AH21" s="172"/>
      <c r="AI21" s="172"/>
      <c r="AJ21" s="172"/>
      <c r="AK21" s="172"/>
      <c r="AL21" s="172"/>
      <c r="AM21" s="172"/>
    </row>
    <row r="22" spans="1:39" ht="12" customHeight="1" x14ac:dyDescent="0.2">
      <c r="A22" s="473">
        <v>1992</v>
      </c>
      <c r="B22" s="198">
        <v>4131</v>
      </c>
      <c r="C22" s="70">
        <v>664</v>
      </c>
      <c r="D22" s="70">
        <v>2217</v>
      </c>
      <c r="E22" s="70">
        <v>37</v>
      </c>
      <c r="F22" s="70">
        <v>800</v>
      </c>
      <c r="G22" s="70">
        <v>0</v>
      </c>
      <c r="H22" s="70" t="s">
        <v>29</v>
      </c>
      <c r="I22" s="70">
        <v>3107</v>
      </c>
      <c r="J22" s="70">
        <f t="shared" si="0"/>
        <v>3718</v>
      </c>
      <c r="K22" s="70">
        <f t="shared" si="1"/>
        <v>10956</v>
      </c>
      <c r="L22" s="70"/>
      <c r="M22" s="70">
        <v>0</v>
      </c>
      <c r="N22" s="70">
        <v>0</v>
      </c>
      <c r="O22" s="70">
        <v>0</v>
      </c>
      <c r="P22" s="70">
        <v>955</v>
      </c>
      <c r="Q22" s="70">
        <v>9265</v>
      </c>
      <c r="R22" s="70">
        <v>0</v>
      </c>
      <c r="S22" s="70">
        <v>15</v>
      </c>
      <c r="T22" s="70">
        <v>18</v>
      </c>
      <c r="U22" s="70">
        <f t="shared" si="2"/>
        <v>10220</v>
      </c>
      <c r="V22" s="70">
        <f t="shared" si="3"/>
        <v>10253</v>
      </c>
      <c r="W22" s="173"/>
      <c r="X22" s="173"/>
      <c r="Y22" s="173"/>
      <c r="Z22" s="173"/>
      <c r="AA22" s="173"/>
      <c r="AB22" s="173"/>
      <c r="AC22" s="173"/>
      <c r="AD22" s="173"/>
      <c r="AF22" s="172"/>
      <c r="AG22" s="172"/>
      <c r="AH22" s="172"/>
      <c r="AI22" s="172"/>
      <c r="AJ22" s="172"/>
      <c r="AK22" s="172"/>
      <c r="AL22" s="172"/>
      <c r="AM22" s="172"/>
    </row>
    <row r="23" spans="1:39" ht="12" customHeight="1" x14ac:dyDescent="0.2">
      <c r="A23" s="473">
        <v>1993</v>
      </c>
      <c r="B23" s="198">
        <v>6280</v>
      </c>
      <c r="C23" s="70">
        <v>527</v>
      </c>
      <c r="D23" s="70">
        <v>1207</v>
      </c>
      <c r="E23" s="70">
        <v>166</v>
      </c>
      <c r="F23" s="70">
        <v>40</v>
      </c>
      <c r="G23" s="70">
        <v>12</v>
      </c>
      <c r="H23" s="70" t="s">
        <v>29</v>
      </c>
      <c r="I23" s="70">
        <v>544</v>
      </c>
      <c r="J23" s="70">
        <f t="shared" si="0"/>
        <v>1952</v>
      </c>
      <c r="K23" s="70">
        <f t="shared" si="1"/>
        <v>8776</v>
      </c>
      <c r="L23" s="70"/>
      <c r="M23" s="70">
        <v>1</v>
      </c>
      <c r="N23" s="70">
        <v>0</v>
      </c>
      <c r="O23" s="70">
        <v>0</v>
      </c>
      <c r="P23" s="70">
        <v>829</v>
      </c>
      <c r="Q23" s="70">
        <v>1143</v>
      </c>
      <c r="R23" s="70">
        <v>150</v>
      </c>
      <c r="S23" s="70" t="s">
        <v>29</v>
      </c>
      <c r="T23" s="70">
        <v>0</v>
      </c>
      <c r="U23" s="70">
        <f t="shared" si="2"/>
        <v>2122</v>
      </c>
      <c r="V23" s="70">
        <f t="shared" si="3"/>
        <v>2123</v>
      </c>
      <c r="W23" s="173"/>
      <c r="X23" s="173"/>
      <c r="Y23" s="173"/>
      <c r="Z23" s="173"/>
      <c r="AA23" s="173"/>
      <c r="AB23" s="173"/>
      <c r="AC23" s="173"/>
      <c r="AD23" s="173"/>
      <c r="AF23" s="172"/>
      <c r="AG23" s="172"/>
      <c r="AH23" s="172"/>
      <c r="AI23" s="172"/>
      <c r="AJ23" s="172"/>
      <c r="AK23" s="172"/>
      <c r="AL23" s="172"/>
      <c r="AM23" s="172"/>
    </row>
    <row r="24" spans="1:39" ht="12" customHeight="1" x14ac:dyDescent="0.2">
      <c r="A24" s="473">
        <v>1994</v>
      </c>
      <c r="B24" s="198">
        <v>1116</v>
      </c>
      <c r="C24" s="70">
        <v>248</v>
      </c>
      <c r="D24" s="70">
        <v>484</v>
      </c>
      <c r="E24" s="70">
        <v>0</v>
      </c>
      <c r="F24" s="70">
        <v>0</v>
      </c>
      <c r="G24" s="70">
        <v>0</v>
      </c>
      <c r="H24" s="70" t="s">
        <v>29</v>
      </c>
      <c r="I24" s="70">
        <v>99</v>
      </c>
      <c r="J24" s="70">
        <f t="shared" si="0"/>
        <v>732</v>
      </c>
      <c r="K24" s="70">
        <f t="shared" si="1"/>
        <v>1947</v>
      </c>
      <c r="L24" s="70"/>
      <c r="M24" s="70">
        <v>0</v>
      </c>
      <c r="N24" s="70">
        <v>0</v>
      </c>
      <c r="O24" s="70">
        <v>0</v>
      </c>
      <c r="P24" s="70">
        <v>0</v>
      </c>
      <c r="Q24" s="70">
        <v>0</v>
      </c>
      <c r="R24" s="70">
        <v>0</v>
      </c>
      <c r="S24" s="70" t="s">
        <v>29</v>
      </c>
      <c r="T24" s="70">
        <v>0</v>
      </c>
      <c r="U24" s="70">
        <f t="shared" si="2"/>
        <v>0</v>
      </c>
      <c r="V24" s="70">
        <f t="shared" si="3"/>
        <v>0</v>
      </c>
      <c r="W24" s="173"/>
      <c r="X24" s="173"/>
      <c r="Y24" s="173"/>
      <c r="Z24" s="173"/>
      <c r="AA24" s="173"/>
      <c r="AB24" s="173"/>
      <c r="AC24" s="173"/>
      <c r="AD24" s="173"/>
      <c r="AF24" s="172"/>
      <c r="AG24" s="172"/>
      <c r="AH24" s="172"/>
      <c r="AI24" s="172"/>
      <c r="AJ24" s="172"/>
      <c r="AK24" s="172"/>
      <c r="AL24" s="172"/>
      <c r="AM24" s="172"/>
    </row>
    <row r="25" spans="1:39" ht="12" customHeight="1" x14ac:dyDescent="0.2">
      <c r="A25" s="473">
        <v>1995</v>
      </c>
      <c r="B25" s="198">
        <v>1014</v>
      </c>
      <c r="C25" s="70">
        <v>158</v>
      </c>
      <c r="D25" s="70">
        <v>0</v>
      </c>
      <c r="E25" s="70">
        <v>0</v>
      </c>
      <c r="F25" s="70">
        <v>242</v>
      </c>
      <c r="G25" s="70">
        <v>0</v>
      </c>
      <c r="H25" s="70" t="s">
        <v>29</v>
      </c>
      <c r="I25" s="70">
        <v>875</v>
      </c>
      <c r="J25" s="70">
        <f t="shared" si="0"/>
        <v>400</v>
      </c>
      <c r="K25" s="70">
        <f t="shared" si="1"/>
        <v>2289</v>
      </c>
      <c r="L25" s="70"/>
      <c r="M25" s="70">
        <v>0</v>
      </c>
      <c r="N25" s="70">
        <v>0</v>
      </c>
      <c r="O25" s="70">
        <v>0</v>
      </c>
      <c r="P25" s="70">
        <v>0</v>
      </c>
      <c r="Q25" s="70">
        <v>3087</v>
      </c>
      <c r="R25" s="70">
        <v>0</v>
      </c>
      <c r="S25" s="70" t="s">
        <v>29</v>
      </c>
      <c r="T25" s="70">
        <v>0</v>
      </c>
      <c r="U25" s="70">
        <f t="shared" si="2"/>
        <v>3087</v>
      </c>
      <c r="V25" s="70">
        <f t="shared" si="3"/>
        <v>3087</v>
      </c>
      <c r="W25" s="173"/>
      <c r="X25" s="173"/>
      <c r="Y25" s="173"/>
      <c r="Z25" s="173"/>
      <c r="AA25" s="173"/>
      <c r="AB25" s="173"/>
      <c r="AC25" s="173"/>
      <c r="AD25" s="173"/>
      <c r="AF25" s="172"/>
      <c r="AG25" s="172"/>
      <c r="AH25" s="172"/>
      <c r="AI25" s="172"/>
      <c r="AJ25" s="172"/>
      <c r="AK25" s="172"/>
      <c r="AL25" s="172"/>
      <c r="AM25" s="172"/>
    </row>
    <row r="26" spans="1:39" ht="12" customHeight="1" x14ac:dyDescent="0.2">
      <c r="A26" s="473">
        <v>1996</v>
      </c>
      <c r="B26" s="198">
        <v>2555</v>
      </c>
      <c r="C26" s="70">
        <v>437</v>
      </c>
      <c r="D26" s="70">
        <v>1440</v>
      </c>
      <c r="E26" s="70">
        <v>120</v>
      </c>
      <c r="F26" s="70">
        <v>75</v>
      </c>
      <c r="G26" s="70">
        <v>106</v>
      </c>
      <c r="H26" s="70" t="s">
        <v>29</v>
      </c>
      <c r="I26" s="70">
        <v>81</v>
      </c>
      <c r="J26" s="70">
        <f t="shared" si="0"/>
        <v>2178</v>
      </c>
      <c r="K26" s="70">
        <f t="shared" si="1"/>
        <v>4814</v>
      </c>
      <c r="L26" s="70"/>
      <c r="M26" s="70">
        <v>0</v>
      </c>
      <c r="N26" s="70">
        <v>0</v>
      </c>
      <c r="O26" s="70">
        <v>0</v>
      </c>
      <c r="P26" s="70">
        <v>0</v>
      </c>
      <c r="Q26" s="70">
        <v>936</v>
      </c>
      <c r="R26" s="70">
        <v>189</v>
      </c>
      <c r="S26" s="70" t="s">
        <v>29</v>
      </c>
      <c r="T26" s="70">
        <v>0</v>
      </c>
      <c r="U26" s="70">
        <f t="shared" si="2"/>
        <v>1125</v>
      </c>
      <c r="V26" s="70">
        <f t="shared" si="3"/>
        <v>1125</v>
      </c>
      <c r="W26" s="173"/>
      <c r="X26" s="173"/>
      <c r="Y26" s="173"/>
      <c r="Z26" s="173"/>
      <c r="AA26" s="173"/>
      <c r="AB26" s="173"/>
      <c r="AC26" s="173"/>
      <c r="AD26" s="173"/>
      <c r="AF26" s="172"/>
      <c r="AG26" s="172"/>
      <c r="AH26" s="172"/>
      <c r="AI26" s="172"/>
      <c r="AJ26" s="172"/>
      <c r="AK26" s="172"/>
      <c r="AL26" s="172"/>
      <c r="AM26" s="172"/>
    </row>
    <row r="27" spans="1:39" ht="12" customHeight="1" x14ac:dyDescent="0.2">
      <c r="A27" s="473">
        <v>1997</v>
      </c>
      <c r="B27" s="198">
        <v>439</v>
      </c>
      <c r="C27" s="70">
        <v>644</v>
      </c>
      <c r="D27" s="70">
        <v>416</v>
      </c>
      <c r="E27" s="70">
        <v>0</v>
      </c>
      <c r="F27" s="70">
        <v>213</v>
      </c>
      <c r="G27" s="70">
        <v>26</v>
      </c>
      <c r="H27" s="70" t="s">
        <v>29</v>
      </c>
      <c r="I27" s="70">
        <v>16</v>
      </c>
      <c r="J27" s="70">
        <f t="shared" si="0"/>
        <v>1299</v>
      </c>
      <c r="K27" s="70">
        <f t="shared" si="1"/>
        <v>1754</v>
      </c>
      <c r="L27" s="70"/>
      <c r="M27" s="70">
        <v>0</v>
      </c>
      <c r="N27" s="70">
        <v>0</v>
      </c>
      <c r="O27" s="70">
        <v>0</v>
      </c>
      <c r="P27" s="70">
        <v>0</v>
      </c>
      <c r="Q27" s="70">
        <v>3517</v>
      </c>
      <c r="R27" s="70">
        <v>279</v>
      </c>
      <c r="S27" s="70" t="s">
        <v>29</v>
      </c>
      <c r="T27" s="70">
        <v>0</v>
      </c>
      <c r="U27" s="70">
        <f t="shared" si="2"/>
        <v>3796</v>
      </c>
      <c r="V27" s="70">
        <f t="shared" si="3"/>
        <v>3796</v>
      </c>
      <c r="W27" s="173"/>
      <c r="X27" s="173"/>
      <c r="Y27" s="173"/>
      <c r="Z27" s="173"/>
      <c r="AA27" s="173"/>
      <c r="AB27" s="173"/>
      <c r="AC27" s="173"/>
      <c r="AD27" s="173"/>
      <c r="AF27" s="172"/>
      <c r="AG27" s="172"/>
      <c r="AH27" s="172"/>
      <c r="AI27" s="172"/>
      <c r="AJ27" s="172"/>
      <c r="AK27" s="172"/>
      <c r="AL27" s="172"/>
      <c r="AM27" s="172"/>
    </row>
    <row r="28" spans="1:39" ht="12" customHeight="1" x14ac:dyDescent="0.2">
      <c r="A28" s="473">
        <v>1998</v>
      </c>
      <c r="B28" s="198">
        <v>97</v>
      </c>
      <c r="C28" s="70">
        <v>92</v>
      </c>
      <c r="D28" s="70">
        <v>23</v>
      </c>
      <c r="E28" s="70">
        <v>0</v>
      </c>
      <c r="F28" s="70">
        <v>136</v>
      </c>
      <c r="G28" s="70">
        <v>21</v>
      </c>
      <c r="H28" s="70" t="s">
        <v>29</v>
      </c>
      <c r="I28" s="70">
        <v>40</v>
      </c>
      <c r="J28" s="70">
        <f t="shared" si="0"/>
        <v>272</v>
      </c>
      <c r="K28" s="70">
        <f t="shared" si="1"/>
        <v>409</v>
      </c>
      <c r="L28" s="70"/>
      <c r="M28" s="70">
        <v>0</v>
      </c>
      <c r="N28" s="70">
        <v>0</v>
      </c>
      <c r="O28" s="70">
        <v>0</v>
      </c>
      <c r="P28" s="70">
        <v>0</v>
      </c>
      <c r="Q28" s="70">
        <v>434</v>
      </c>
      <c r="R28" s="70">
        <v>175</v>
      </c>
      <c r="S28" s="70" t="s">
        <v>29</v>
      </c>
      <c r="T28" s="70">
        <v>0</v>
      </c>
      <c r="U28" s="70">
        <f t="shared" si="2"/>
        <v>609</v>
      </c>
      <c r="V28" s="70">
        <f t="shared" si="3"/>
        <v>609</v>
      </c>
      <c r="W28" s="173"/>
      <c r="X28" s="173"/>
      <c r="Y28" s="173"/>
      <c r="Z28" s="173"/>
      <c r="AA28" s="173"/>
      <c r="AB28" s="173"/>
      <c r="AC28" s="173"/>
      <c r="AD28" s="173"/>
      <c r="AF28" s="172"/>
      <c r="AG28" s="172"/>
      <c r="AH28" s="172"/>
      <c r="AI28" s="172"/>
      <c r="AJ28" s="172"/>
      <c r="AK28" s="172"/>
      <c r="AL28" s="172"/>
      <c r="AM28" s="172"/>
    </row>
    <row r="29" spans="1:39" ht="12" customHeight="1" x14ac:dyDescent="0.2">
      <c r="A29" s="473">
        <v>1999</v>
      </c>
      <c r="B29" s="198">
        <v>237</v>
      </c>
      <c r="C29" s="70">
        <v>386</v>
      </c>
      <c r="D29" s="70">
        <v>145</v>
      </c>
      <c r="E29" s="70">
        <v>0</v>
      </c>
      <c r="F29" s="70">
        <v>132</v>
      </c>
      <c r="G29" s="70">
        <v>0</v>
      </c>
      <c r="H29" s="70" t="s">
        <v>29</v>
      </c>
      <c r="I29" s="70">
        <v>15</v>
      </c>
      <c r="J29" s="70">
        <f t="shared" si="0"/>
        <v>663</v>
      </c>
      <c r="K29" s="70">
        <f t="shared" si="1"/>
        <v>915</v>
      </c>
      <c r="L29" s="70"/>
      <c r="M29" s="70">
        <v>0</v>
      </c>
      <c r="N29" s="70">
        <v>0</v>
      </c>
      <c r="O29" s="70">
        <v>0</v>
      </c>
      <c r="P29" s="70">
        <v>0</v>
      </c>
      <c r="Q29" s="70">
        <v>1048</v>
      </c>
      <c r="R29" s="70">
        <v>17</v>
      </c>
      <c r="S29" s="70" t="s">
        <v>29</v>
      </c>
      <c r="T29" s="70">
        <v>0</v>
      </c>
      <c r="U29" s="70">
        <f t="shared" si="2"/>
        <v>1065</v>
      </c>
      <c r="V29" s="70">
        <f t="shared" si="3"/>
        <v>1065</v>
      </c>
      <c r="W29" s="173"/>
      <c r="X29" s="173"/>
      <c r="Y29" s="173"/>
      <c r="Z29" s="173"/>
      <c r="AA29" s="173"/>
      <c r="AB29" s="173"/>
      <c r="AC29" s="173"/>
      <c r="AD29" s="173"/>
      <c r="AF29" s="172"/>
      <c r="AG29" s="172"/>
      <c r="AH29" s="172"/>
      <c r="AI29" s="172"/>
      <c r="AJ29" s="172"/>
      <c r="AK29" s="172"/>
      <c r="AL29" s="172"/>
      <c r="AM29" s="172"/>
    </row>
    <row r="30" spans="1:39" ht="12" customHeight="1" x14ac:dyDescent="0.2">
      <c r="A30" s="473">
        <v>2000</v>
      </c>
      <c r="B30" s="198">
        <v>141</v>
      </c>
      <c r="C30" s="70">
        <v>298</v>
      </c>
      <c r="D30" s="70">
        <v>273</v>
      </c>
      <c r="E30" s="70">
        <v>7</v>
      </c>
      <c r="F30" s="70">
        <v>9</v>
      </c>
      <c r="G30" s="70">
        <v>0</v>
      </c>
      <c r="H30" s="70" t="s">
        <v>29</v>
      </c>
      <c r="I30" s="70">
        <v>10</v>
      </c>
      <c r="J30" s="70">
        <f t="shared" si="0"/>
        <v>587</v>
      </c>
      <c r="K30" s="70">
        <f t="shared" si="1"/>
        <v>738</v>
      </c>
      <c r="L30" s="70"/>
      <c r="M30" s="70">
        <v>0</v>
      </c>
      <c r="N30" s="70">
        <v>0</v>
      </c>
      <c r="O30" s="70">
        <v>0</v>
      </c>
      <c r="P30" s="70">
        <v>0</v>
      </c>
      <c r="Q30" s="70">
        <v>170</v>
      </c>
      <c r="R30" s="70">
        <v>0</v>
      </c>
      <c r="S30" s="70" t="s">
        <v>29</v>
      </c>
      <c r="T30" s="70">
        <v>0</v>
      </c>
      <c r="U30" s="70">
        <f t="shared" si="2"/>
        <v>170</v>
      </c>
      <c r="V30" s="70">
        <f t="shared" si="3"/>
        <v>170</v>
      </c>
      <c r="W30" s="173"/>
      <c r="X30" s="173"/>
      <c r="Y30" s="173"/>
      <c r="Z30" s="173"/>
      <c r="AA30" s="173"/>
      <c r="AB30" s="173"/>
      <c r="AC30" s="173"/>
      <c r="AD30" s="173"/>
      <c r="AF30" s="172"/>
      <c r="AG30" s="172"/>
      <c r="AH30" s="172"/>
      <c r="AI30" s="172"/>
      <c r="AJ30" s="172"/>
      <c r="AK30" s="172"/>
      <c r="AL30" s="172"/>
      <c r="AM30" s="172"/>
    </row>
    <row r="31" spans="1:39" ht="12" customHeight="1" x14ac:dyDescent="0.2">
      <c r="A31" s="473">
        <v>2001</v>
      </c>
      <c r="B31" s="198">
        <v>1364</v>
      </c>
      <c r="C31" s="70">
        <v>1208</v>
      </c>
      <c r="D31" s="70">
        <v>4293</v>
      </c>
      <c r="E31" s="70">
        <v>928</v>
      </c>
      <c r="F31" s="70">
        <v>478</v>
      </c>
      <c r="G31" s="70">
        <v>137</v>
      </c>
      <c r="H31" s="70" t="s">
        <v>29</v>
      </c>
      <c r="I31" s="70">
        <v>273</v>
      </c>
      <c r="J31" s="70">
        <f t="shared" si="0"/>
        <v>7044</v>
      </c>
      <c r="K31" s="70">
        <f t="shared" si="1"/>
        <v>8681</v>
      </c>
      <c r="L31" s="70"/>
      <c r="M31" s="70">
        <v>0</v>
      </c>
      <c r="N31" s="70">
        <v>0</v>
      </c>
      <c r="O31" s="70">
        <v>1</v>
      </c>
      <c r="P31" s="70">
        <v>2543</v>
      </c>
      <c r="Q31" s="70">
        <v>3103</v>
      </c>
      <c r="R31" s="70">
        <v>730</v>
      </c>
      <c r="S31" s="70" t="s">
        <v>29</v>
      </c>
      <c r="T31" s="70">
        <v>1</v>
      </c>
      <c r="U31" s="70">
        <f t="shared" si="2"/>
        <v>6377</v>
      </c>
      <c r="V31" s="70">
        <f t="shared" si="3"/>
        <v>6378</v>
      </c>
      <c r="W31" s="173"/>
      <c r="X31" s="173"/>
      <c r="Y31" s="173"/>
      <c r="Z31" s="173"/>
      <c r="AA31" s="173"/>
      <c r="AB31" s="173"/>
      <c r="AC31" s="173"/>
      <c r="AD31" s="173"/>
      <c r="AF31" s="172"/>
      <c r="AG31" s="172"/>
      <c r="AH31" s="172"/>
      <c r="AI31" s="172"/>
      <c r="AJ31" s="172"/>
      <c r="AK31" s="172"/>
      <c r="AL31" s="172"/>
      <c r="AM31" s="172"/>
    </row>
    <row r="32" spans="1:39" ht="12" customHeight="1" x14ac:dyDescent="0.2">
      <c r="A32" s="473">
        <v>2002</v>
      </c>
      <c r="B32" s="198">
        <v>366</v>
      </c>
      <c r="C32" s="70">
        <v>467</v>
      </c>
      <c r="D32" s="70">
        <v>848</v>
      </c>
      <c r="E32" s="70">
        <v>113</v>
      </c>
      <c r="F32" s="70">
        <v>31</v>
      </c>
      <c r="G32" s="70">
        <v>0</v>
      </c>
      <c r="H32" s="70" t="s">
        <v>29</v>
      </c>
      <c r="I32" s="70">
        <v>25</v>
      </c>
      <c r="J32" s="70">
        <f t="shared" si="0"/>
        <v>1459</v>
      </c>
      <c r="K32" s="70">
        <f t="shared" si="1"/>
        <v>1850</v>
      </c>
      <c r="L32" s="70"/>
      <c r="M32" s="70">
        <v>0</v>
      </c>
      <c r="N32" s="70">
        <v>0</v>
      </c>
      <c r="O32" s="70">
        <v>0</v>
      </c>
      <c r="P32" s="70">
        <v>0</v>
      </c>
      <c r="Q32" s="70">
        <v>0</v>
      </c>
      <c r="R32" s="70">
        <v>0</v>
      </c>
      <c r="S32" s="70" t="s">
        <v>29</v>
      </c>
      <c r="T32" s="70">
        <v>0</v>
      </c>
      <c r="U32" s="70">
        <f t="shared" si="2"/>
        <v>0</v>
      </c>
      <c r="V32" s="70">
        <f t="shared" si="3"/>
        <v>0</v>
      </c>
      <c r="W32" s="173"/>
      <c r="X32" s="173"/>
      <c r="Y32" s="173"/>
      <c r="Z32" s="173"/>
      <c r="AA32" s="173"/>
      <c r="AB32" s="173"/>
      <c r="AC32" s="173"/>
      <c r="AD32" s="173"/>
      <c r="AF32" s="172"/>
      <c r="AG32" s="172"/>
      <c r="AH32" s="172"/>
      <c r="AI32" s="172"/>
      <c r="AJ32" s="172"/>
      <c r="AK32" s="172"/>
      <c r="AL32" s="172"/>
      <c r="AM32" s="172"/>
    </row>
    <row r="33" spans="1:39" ht="12" customHeight="1" x14ac:dyDescent="0.2">
      <c r="A33" s="473">
        <v>2003</v>
      </c>
      <c r="B33" s="198">
        <v>187</v>
      </c>
      <c r="C33" s="70">
        <v>25</v>
      </c>
      <c r="D33" s="70">
        <v>46</v>
      </c>
      <c r="E33" s="70">
        <v>14</v>
      </c>
      <c r="F33" s="70">
        <v>0</v>
      </c>
      <c r="G33" s="70">
        <v>2</v>
      </c>
      <c r="H33" s="70" t="s">
        <v>29</v>
      </c>
      <c r="I33" s="70">
        <v>3</v>
      </c>
      <c r="J33" s="70">
        <f t="shared" si="0"/>
        <v>87</v>
      </c>
      <c r="K33" s="70">
        <f t="shared" si="1"/>
        <v>277</v>
      </c>
      <c r="L33" s="70"/>
      <c r="M33" s="70">
        <v>0</v>
      </c>
      <c r="N33" s="70">
        <v>0</v>
      </c>
      <c r="O33" s="70">
        <v>0</v>
      </c>
      <c r="P33" s="70">
        <v>4</v>
      </c>
      <c r="Q33" s="70">
        <v>0</v>
      </c>
      <c r="R33" s="70">
        <v>141</v>
      </c>
      <c r="S33" s="70" t="s">
        <v>29</v>
      </c>
      <c r="T33" s="70">
        <v>0</v>
      </c>
      <c r="U33" s="70">
        <f t="shared" si="2"/>
        <v>145</v>
      </c>
      <c r="V33" s="70">
        <f t="shared" si="3"/>
        <v>145</v>
      </c>
      <c r="W33" s="173"/>
      <c r="X33" s="173"/>
      <c r="Y33" s="173"/>
      <c r="Z33" s="173"/>
      <c r="AA33" s="173"/>
      <c r="AB33" s="173"/>
      <c r="AC33" s="173"/>
      <c r="AD33" s="173"/>
      <c r="AF33" s="172"/>
      <c r="AG33" s="172"/>
      <c r="AH33" s="172"/>
      <c r="AI33" s="172"/>
      <c r="AJ33" s="172"/>
      <c r="AK33" s="172"/>
      <c r="AL33" s="172"/>
      <c r="AM33" s="172"/>
    </row>
    <row r="34" spans="1:39" ht="12" customHeight="1" x14ac:dyDescent="0.2">
      <c r="A34" s="473">
        <v>2004</v>
      </c>
      <c r="B34" s="198">
        <v>1555</v>
      </c>
      <c r="C34" s="70">
        <v>0</v>
      </c>
      <c r="D34" s="70">
        <v>2544</v>
      </c>
      <c r="E34" s="70">
        <v>1032</v>
      </c>
      <c r="F34" s="70">
        <v>1910</v>
      </c>
      <c r="G34" s="70">
        <v>1647</v>
      </c>
      <c r="H34" s="70" t="s">
        <v>29</v>
      </c>
      <c r="I34" s="70">
        <v>14588</v>
      </c>
      <c r="J34" s="70">
        <f t="shared" si="0"/>
        <v>7133</v>
      </c>
      <c r="K34" s="70">
        <f t="shared" si="1"/>
        <v>23276</v>
      </c>
      <c r="L34" s="70"/>
      <c r="M34" s="70">
        <v>0</v>
      </c>
      <c r="N34" s="70">
        <v>0</v>
      </c>
      <c r="O34" s="70">
        <v>0</v>
      </c>
      <c r="P34" s="70">
        <v>1958</v>
      </c>
      <c r="Q34" s="70">
        <v>12817</v>
      </c>
      <c r="R34" s="70">
        <v>1829</v>
      </c>
      <c r="S34" s="70" t="s">
        <v>29</v>
      </c>
      <c r="T34" s="70">
        <v>108</v>
      </c>
      <c r="U34" s="70">
        <f t="shared" si="2"/>
        <v>16604</v>
      </c>
      <c r="V34" s="70">
        <f t="shared" si="3"/>
        <v>16712</v>
      </c>
      <c r="W34" s="173"/>
      <c r="X34" s="173"/>
      <c r="Y34" s="173"/>
      <c r="Z34" s="173"/>
      <c r="AA34" s="173"/>
      <c r="AB34" s="173"/>
      <c r="AC34" s="173"/>
      <c r="AD34" s="173"/>
      <c r="AF34" s="172"/>
      <c r="AG34" s="172"/>
      <c r="AH34" s="172"/>
      <c r="AI34" s="172"/>
      <c r="AJ34" s="172"/>
      <c r="AK34" s="172"/>
      <c r="AL34" s="172"/>
      <c r="AM34" s="172"/>
    </row>
    <row r="35" spans="1:39" ht="12" customHeight="1" x14ac:dyDescent="0.2">
      <c r="A35" s="473">
        <v>2005</v>
      </c>
      <c r="B35" s="198">
        <v>999</v>
      </c>
      <c r="C35" s="70">
        <v>238</v>
      </c>
      <c r="D35" s="70">
        <v>3764</v>
      </c>
      <c r="E35" s="70">
        <v>522</v>
      </c>
      <c r="F35" s="70">
        <v>6</v>
      </c>
      <c r="G35" s="70">
        <v>6</v>
      </c>
      <c r="H35" s="70" t="s">
        <v>29</v>
      </c>
      <c r="I35" s="70">
        <v>3935</v>
      </c>
      <c r="J35" s="70">
        <f t="shared" si="0"/>
        <v>4536</v>
      </c>
      <c r="K35" s="70">
        <f t="shared" si="1"/>
        <v>9470</v>
      </c>
      <c r="L35" s="70"/>
      <c r="M35" s="70">
        <v>3</v>
      </c>
      <c r="N35" s="70">
        <v>0</v>
      </c>
      <c r="O35" s="70">
        <v>0</v>
      </c>
      <c r="P35" s="70">
        <v>2040</v>
      </c>
      <c r="Q35" s="70">
        <v>64</v>
      </c>
      <c r="R35" s="70">
        <v>25</v>
      </c>
      <c r="S35" s="70" t="s">
        <v>29</v>
      </c>
      <c r="T35" s="70">
        <v>41</v>
      </c>
      <c r="U35" s="70">
        <f t="shared" si="2"/>
        <v>2129</v>
      </c>
      <c r="V35" s="70">
        <f t="shared" si="3"/>
        <v>2173</v>
      </c>
      <c r="W35" s="173"/>
      <c r="X35" s="173"/>
      <c r="Y35" s="173"/>
      <c r="Z35" s="173"/>
      <c r="AA35" s="173"/>
      <c r="AB35" s="173"/>
      <c r="AC35" s="173"/>
      <c r="AD35" s="173"/>
      <c r="AF35" s="172"/>
      <c r="AG35" s="172"/>
      <c r="AH35" s="172"/>
      <c r="AI35" s="172"/>
      <c r="AJ35" s="172"/>
      <c r="AK35" s="172"/>
      <c r="AL35" s="172"/>
      <c r="AM35" s="172"/>
    </row>
    <row r="36" spans="1:39" ht="12" customHeight="1" x14ac:dyDescent="0.2">
      <c r="A36" s="473">
        <v>2006</v>
      </c>
      <c r="B36" s="198">
        <v>157</v>
      </c>
      <c r="C36" s="70">
        <v>154</v>
      </c>
      <c r="D36" s="70">
        <v>2335</v>
      </c>
      <c r="E36" s="70">
        <v>50</v>
      </c>
      <c r="F36" s="70">
        <v>93</v>
      </c>
      <c r="G36" s="70">
        <v>81</v>
      </c>
      <c r="H36" s="70" t="s">
        <v>29</v>
      </c>
      <c r="I36" s="70">
        <v>456</v>
      </c>
      <c r="J36" s="70">
        <f t="shared" si="0"/>
        <v>2713</v>
      </c>
      <c r="K36" s="70">
        <f t="shared" si="1"/>
        <v>3326</v>
      </c>
      <c r="L36" s="70"/>
      <c r="M36" s="70">
        <v>0</v>
      </c>
      <c r="N36" s="70">
        <v>1</v>
      </c>
      <c r="O36" s="70">
        <v>3</v>
      </c>
      <c r="P36" s="70">
        <v>96</v>
      </c>
      <c r="Q36" s="70">
        <v>22</v>
      </c>
      <c r="R36" s="70">
        <v>47</v>
      </c>
      <c r="S36" s="70" t="s">
        <v>29</v>
      </c>
      <c r="T36" s="70">
        <v>0</v>
      </c>
      <c r="U36" s="70">
        <f t="shared" si="2"/>
        <v>169</v>
      </c>
      <c r="V36" s="70">
        <f t="shared" si="3"/>
        <v>169</v>
      </c>
      <c r="W36" s="173"/>
      <c r="X36" s="173"/>
      <c r="Y36" s="173"/>
      <c r="Z36" s="173"/>
      <c r="AA36" s="173"/>
      <c r="AB36" s="173"/>
      <c r="AC36" s="173"/>
      <c r="AD36" s="173"/>
      <c r="AF36" s="172"/>
      <c r="AG36" s="172"/>
      <c r="AH36" s="172"/>
      <c r="AI36" s="172"/>
      <c r="AJ36" s="172"/>
      <c r="AK36" s="172"/>
      <c r="AL36" s="172"/>
      <c r="AM36" s="172"/>
    </row>
    <row r="37" spans="1:39" s="467" customFormat="1" ht="12" customHeight="1" x14ac:dyDescent="0.2">
      <c r="A37" s="477">
        <v>2007</v>
      </c>
      <c r="B37" s="199">
        <v>2218</v>
      </c>
      <c r="C37" s="97">
        <v>53</v>
      </c>
      <c r="D37" s="97">
        <v>324</v>
      </c>
      <c r="E37" s="97">
        <v>556</v>
      </c>
      <c r="F37" s="97">
        <v>167</v>
      </c>
      <c r="G37" s="97">
        <v>0</v>
      </c>
      <c r="H37" s="70" t="s">
        <v>29</v>
      </c>
      <c r="I37" s="97">
        <v>1340</v>
      </c>
      <c r="J37" s="97">
        <f t="shared" si="0"/>
        <v>1100</v>
      </c>
      <c r="K37" s="97">
        <f t="shared" si="1"/>
        <v>4658</v>
      </c>
      <c r="L37" s="97"/>
      <c r="M37" s="97">
        <v>0</v>
      </c>
      <c r="N37" s="97">
        <v>0</v>
      </c>
      <c r="O37" s="97">
        <v>0</v>
      </c>
      <c r="P37" s="97">
        <v>1496</v>
      </c>
      <c r="Q37" s="97">
        <v>29</v>
      </c>
      <c r="R37" s="97">
        <v>0</v>
      </c>
      <c r="S37" s="70" t="s">
        <v>29</v>
      </c>
      <c r="T37" s="97">
        <v>5</v>
      </c>
      <c r="U37" s="97">
        <f t="shared" si="2"/>
        <v>1525</v>
      </c>
      <c r="V37" s="97">
        <f t="shared" si="3"/>
        <v>1530</v>
      </c>
      <c r="W37" s="173"/>
      <c r="X37" s="173"/>
      <c r="Y37" s="173"/>
      <c r="Z37" s="173"/>
      <c r="AA37" s="173"/>
      <c r="AB37" s="173"/>
      <c r="AC37" s="173"/>
      <c r="AD37" s="173"/>
      <c r="AE37" s="1"/>
      <c r="AF37" s="172"/>
      <c r="AG37" s="172"/>
      <c r="AH37" s="172"/>
      <c r="AI37" s="172"/>
      <c r="AJ37" s="172"/>
      <c r="AK37" s="172"/>
      <c r="AL37" s="172"/>
      <c r="AM37" s="172"/>
    </row>
    <row r="38" spans="1:39" s="467" customFormat="1" ht="12" customHeight="1" x14ac:dyDescent="0.2">
      <c r="A38" s="477">
        <v>2008</v>
      </c>
      <c r="B38" s="199">
        <v>483</v>
      </c>
      <c r="C38" s="97">
        <v>35</v>
      </c>
      <c r="D38" s="97">
        <v>272</v>
      </c>
      <c r="E38" s="97">
        <v>618</v>
      </c>
      <c r="F38" s="97">
        <v>1607</v>
      </c>
      <c r="G38" s="97">
        <v>109</v>
      </c>
      <c r="H38" s="97" t="s">
        <v>29</v>
      </c>
      <c r="I38" s="97">
        <v>375</v>
      </c>
      <c r="J38" s="97">
        <f t="shared" si="0"/>
        <v>2641</v>
      </c>
      <c r="K38" s="97">
        <f t="shared" si="1"/>
        <v>3499</v>
      </c>
      <c r="L38" s="97"/>
      <c r="M38" s="97">
        <v>0</v>
      </c>
      <c r="N38" s="97">
        <v>0</v>
      </c>
      <c r="O38" s="97">
        <v>8</v>
      </c>
      <c r="P38" s="97">
        <v>81</v>
      </c>
      <c r="Q38" s="97">
        <v>483</v>
      </c>
      <c r="R38" s="97">
        <v>72</v>
      </c>
      <c r="S38" s="97" t="s">
        <v>29</v>
      </c>
      <c r="T38" s="97">
        <v>0</v>
      </c>
      <c r="U38" s="97">
        <f t="shared" si="2"/>
        <v>644</v>
      </c>
      <c r="V38" s="97">
        <f t="shared" si="3"/>
        <v>644</v>
      </c>
      <c r="W38" s="178"/>
      <c r="X38" s="178"/>
      <c r="Y38" s="178"/>
      <c r="Z38" s="178"/>
      <c r="AA38" s="178"/>
      <c r="AB38" s="178"/>
      <c r="AC38" s="178"/>
      <c r="AD38" s="178"/>
      <c r="AF38" s="179"/>
      <c r="AG38" s="179"/>
      <c r="AH38" s="179"/>
      <c r="AI38" s="179"/>
      <c r="AJ38" s="179"/>
      <c r="AK38" s="179"/>
      <c r="AL38" s="179"/>
      <c r="AM38" s="179"/>
    </row>
    <row r="39" spans="1:39" s="467" customFormat="1" ht="12" customHeight="1" x14ac:dyDescent="0.2">
      <c r="A39" s="477">
        <v>2009</v>
      </c>
      <c r="B39" s="199">
        <v>464</v>
      </c>
      <c r="C39" s="97">
        <v>481</v>
      </c>
      <c r="D39" s="97">
        <v>4528</v>
      </c>
      <c r="E39" s="97">
        <v>593</v>
      </c>
      <c r="F39" s="97">
        <v>615</v>
      </c>
      <c r="G39" s="97">
        <v>12</v>
      </c>
      <c r="H39" s="97" t="s">
        <v>29</v>
      </c>
      <c r="I39" s="97">
        <v>68</v>
      </c>
      <c r="J39" s="97">
        <f t="shared" si="0"/>
        <v>6229</v>
      </c>
      <c r="K39" s="97">
        <f t="shared" si="1"/>
        <v>6761</v>
      </c>
      <c r="L39" s="97"/>
      <c r="M39" s="97">
        <v>0</v>
      </c>
      <c r="N39" s="97">
        <v>0</v>
      </c>
      <c r="O39" s="97">
        <v>0</v>
      </c>
      <c r="P39" s="97">
        <v>3319</v>
      </c>
      <c r="Q39" s="97">
        <v>4555</v>
      </c>
      <c r="R39" s="97">
        <v>17</v>
      </c>
      <c r="S39" s="97" t="s">
        <v>29</v>
      </c>
      <c r="T39" s="97">
        <v>0</v>
      </c>
      <c r="U39" s="97">
        <f t="shared" si="2"/>
        <v>7891</v>
      </c>
      <c r="V39" s="97">
        <f t="shared" si="3"/>
        <v>7891</v>
      </c>
      <c r="W39" s="178"/>
      <c r="X39" s="178"/>
      <c r="Y39" s="178"/>
      <c r="Z39" s="178"/>
      <c r="AA39" s="178"/>
      <c r="AB39" s="178"/>
      <c r="AC39" s="178"/>
      <c r="AD39" s="178"/>
      <c r="AF39" s="179"/>
      <c r="AG39" s="179"/>
      <c r="AH39" s="179"/>
      <c r="AI39" s="179"/>
      <c r="AJ39" s="179"/>
      <c r="AK39" s="179"/>
      <c r="AL39" s="179"/>
      <c r="AM39" s="179"/>
    </row>
    <row r="40" spans="1:39" s="467" customFormat="1" ht="12" customHeight="1" x14ac:dyDescent="0.2">
      <c r="A40" s="477">
        <v>2010</v>
      </c>
      <c r="B40" s="199">
        <v>1722</v>
      </c>
      <c r="C40" s="97">
        <v>1657</v>
      </c>
      <c r="D40" s="97">
        <v>3240</v>
      </c>
      <c r="E40" s="97">
        <v>171</v>
      </c>
      <c r="F40" s="97">
        <v>37</v>
      </c>
      <c r="G40" s="97">
        <v>9</v>
      </c>
      <c r="H40" s="97" t="s">
        <v>29</v>
      </c>
      <c r="I40" s="97">
        <v>200</v>
      </c>
      <c r="J40" s="97">
        <f t="shared" si="0"/>
        <v>5114</v>
      </c>
      <c r="K40" s="97">
        <f t="shared" si="1"/>
        <v>7036</v>
      </c>
      <c r="L40" s="97"/>
      <c r="M40" s="97">
        <v>0</v>
      </c>
      <c r="N40" s="97">
        <v>0</v>
      </c>
      <c r="O40" s="97">
        <v>0</v>
      </c>
      <c r="P40" s="97">
        <v>106</v>
      </c>
      <c r="Q40" s="97">
        <v>3</v>
      </c>
      <c r="R40" s="97">
        <v>0</v>
      </c>
      <c r="S40" s="97" t="s">
        <v>29</v>
      </c>
      <c r="T40" s="97">
        <v>12</v>
      </c>
      <c r="U40" s="97">
        <f t="shared" si="2"/>
        <v>109</v>
      </c>
      <c r="V40" s="97">
        <f t="shared" si="3"/>
        <v>121</v>
      </c>
      <c r="W40" s="178"/>
      <c r="X40" s="178"/>
      <c r="Y40" s="178"/>
      <c r="Z40" s="178"/>
      <c r="AA40" s="178"/>
      <c r="AB40" s="178"/>
      <c r="AC40" s="178"/>
      <c r="AD40" s="178"/>
      <c r="AF40" s="179"/>
      <c r="AG40" s="179"/>
      <c r="AH40" s="179"/>
      <c r="AI40" s="179"/>
      <c r="AJ40" s="179"/>
      <c r="AK40" s="179"/>
      <c r="AL40" s="179"/>
      <c r="AM40" s="179"/>
    </row>
    <row r="41" spans="1:39" s="467" customFormat="1" ht="12" customHeight="1" x14ac:dyDescent="0.2">
      <c r="A41" s="477">
        <v>2011</v>
      </c>
      <c r="B41" s="198">
        <v>2883</v>
      </c>
      <c r="C41" s="70">
        <v>585</v>
      </c>
      <c r="D41" s="70">
        <v>373</v>
      </c>
      <c r="E41" s="70">
        <v>46</v>
      </c>
      <c r="F41" s="70">
        <v>15</v>
      </c>
      <c r="G41" s="70">
        <v>0</v>
      </c>
      <c r="H41" s="70" t="s">
        <v>29</v>
      </c>
      <c r="I41" s="70">
        <v>90</v>
      </c>
      <c r="J41" s="70">
        <f t="shared" si="0"/>
        <v>1019</v>
      </c>
      <c r="K41" s="70">
        <f t="shared" si="1"/>
        <v>3992</v>
      </c>
      <c r="L41" s="70"/>
      <c r="M41" s="70">
        <v>2</v>
      </c>
      <c r="N41" s="70">
        <v>0</v>
      </c>
      <c r="O41" s="70">
        <v>0</v>
      </c>
      <c r="P41" s="70">
        <v>10</v>
      </c>
      <c r="Q41" s="70">
        <v>13</v>
      </c>
      <c r="R41" s="70">
        <v>0</v>
      </c>
      <c r="S41" s="70" t="s">
        <v>29</v>
      </c>
      <c r="T41" s="70">
        <v>2</v>
      </c>
      <c r="U41" s="70">
        <f t="shared" si="2"/>
        <v>23</v>
      </c>
      <c r="V41" s="70">
        <f t="shared" si="3"/>
        <v>27</v>
      </c>
      <c r="W41" s="178"/>
      <c r="X41" s="178"/>
      <c r="Y41" s="178"/>
      <c r="Z41" s="178"/>
      <c r="AA41" s="178"/>
      <c r="AB41" s="178"/>
      <c r="AC41" s="178"/>
      <c r="AD41" s="178"/>
      <c r="AF41" s="179"/>
      <c r="AG41" s="179"/>
      <c r="AH41" s="179"/>
      <c r="AI41" s="179"/>
      <c r="AJ41" s="179"/>
      <c r="AK41" s="179"/>
      <c r="AL41" s="179"/>
      <c r="AM41" s="179"/>
    </row>
    <row r="42" spans="1:39" s="467" customFormat="1" ht="12" customHeight="1" x14ac:dyDescent="0.2">
      <c r="A42" s="477">
        <v>2012</v>
      </c>
      <c r="B42" s="199">
        <v>1216</v>
      </c>
      <c r="C42" s="97">
        <v>635</v>
      </c>
      <c r="D42" s="97">
        <v>699</v>
      </c>
      <c r="E42" s="97">
        <v>651</v>
      </c>
      <c r="F42" s="97">
        <v>295</v>
      </c>
      <c r="G42" s="97">
        <v>43</v>
      </c>
      <c r="H42" s="97" t="s">
        <v>29</v>
      </c>
      <c r="I42" s="97">
        <v>335</v>
      </c>
      <c r="J42" s="97">
        <f t="shared" si="0"/>
        <v>2323</v>
      </c>
      <c r="K42" s="97">
        <f t="shared" si="1"/>
        <v>3874</v>
      </c>
      <c r="L42" s="97"/>
      <c r="M42" s="97">
        <v>0</v>
      </c>
      <c r="N42" s="97">
        <v>0</v>
      </c>
      <c r="O42" s="97">
        <v>2</v>
      </c>
      <c r="P42" s="97">
        <v>235</v>
      </c>
      <c r="Q42" s="97">
        <v>229</v>
      </c>
      <c r="R42" s="97">
        <v>166</v>
      </c>
      <c r="S42" s="97" t="s">
        <v>29</v>
      </c>
      <c r="T42" s="97">
        <v>4</v>
      </c>
      <c r="U42" s="97">
        <f t="shared" si="2"/>
        <v>632</v>
      </c>
      <c r="V42" s="97">
        <f t="shared" si="3"/>
        <v>636</v>
      </c>
      <c r="W42" s="178"/>
      <c r="X42" s="178"/>
      <c r="Y42" s="178"/>
      <c r="Z42" s="178"/>
      <c r="AA42" s="178"/>
      <c r="AB42" s="178"/>
      <c r="AC42" s="178"/>
      <c r="AD42" s="178"/>
      <c r="AF42" s="179"/>
      <c r="AG42" s="179"/>
      <c r="AH42" s="179"/>
      <c r="AI42" s="179"/>
      <c r="AJ42" s="179"/>
      <c r="AK42" s="179"/>
      <c r="AL42" s="179"/>
      <c r="AM42" s="179"/>
    </row>
    <row r="43" spans="1:39" s="467" customFormat="1" ht="12" customHeight="1" x14ac:dyDescent="0.2">
      <c r="A43" s="477">
        <v>2013</v>
      </c>
      <c r="B43" s="199">
        <v>1661</v>
      </c>
      <c r="C43" s="97">
        <v>1989</v>
      </c>
      <c r="D43" s="97">
        <v>2468</v>
      </c>
      <c r="E43" s="97">
        <v>223</v>
      </c>
      <c r="F43" s="97">
        <v>383</v>
      </c>
      <c r="G43" s="97">
        <v>10</v>
      </c>
      <c r="H43" s="97" t="s">
        <v>29</v>
      </c>
      <c r="I43" s="97">
        <v>721</v>
      </c>
      <c r="J43" s="97">
        <f t="shared" si="0"/>
        <v>5073</v>
      </c>
      <c r="K43" s="97">
        <f t="shared" si="1"/>
        <v>7455</v>
      </c>
      <c r="L43" s="97"/>
      <c r="M43" s="97">
        <v>3</v>
      </c>
      <c r="N43" s="97">
        <v>0</v>
      </c>
      <c r="O43" s="97">
        <v>0</v>
      </c>
      <c r="P43" s="97">
        <v>378</v>
      </c>
      <c r="Q43" s="97">
        <v>454</v>
      </c>
      <c r="R43" s="97">
        <v>354</v>
      </c>
      <c r="S43" s="97" t="s">
        <v>29</v>
      </c>
      <c r="T43" s="97">
        <v>10</v>
      </c>
      <c r="U43" s="97">
        <f t="shared" si="2"/>
        <v>1186</v>
      </c>
      <c r="V43" s="97">
        <f t="shared" si="3"/>
        <v>1199</v>
      </c>
      <c r="W43" s="178"/>
      <c r="X43" s="178"/>
      <c r="Y43" s="178"/>
      <c r="Z43" s="178"/>
      <c r="AA43" s="178"/>
      <c r="AB43" s="178"/>
      <c r="AC43" s="178"/>
      <c r="AD43" s="178"/>
      <c r="AF43" s="179"/>
      <c r="AG43" s="179"/>
      <c r="AH43" s="179"/>
      <c r="AI43" s="179"/>
      <c r="AJ43" s="179"/>
      <c r="AK43" s="179"/>
      <c r="AL43" s="179"/>
      <c r="AM43" s="179"/>
    </row>
    <row r="44" spans="1:39" s="467" customFormat="1" ht="12" customHeight="1" x14ac:dyDescent="0.2">
      <c r="A44" s="477">
        <v>2014</v>
      </c>
      <c r="B44" s="199">
        <v>3316</v>
      </c>
      <c r="C44" s="97">
        <v>819</v>
      </c>
      <c r="D44" s="97">
        <v>3051</v>
      </c>
      <c r="E44" s="97">
        <v>20</v>
      </c>
      <c r="F44" s="97">
        <v>22</v>
      </c>
      <c r="G44" s="97">
        <v>12</v>
      </c>
      <c r="H44" s="97" t="s">
        <v>29</v>
      </c>
      <c r="I44" s="97">
        <v>267</v>
      </c>
      <c r="J44" s="97">
        <f t="shared" si="0"/>
        <v>3924</v>
      </c>
      <c r="K44" s="97">
        <f t="shared" si="1"/>
        <v>7507</v>
      </c>
      <c r="L44" s="97"/>
      <c r="M44" s="97">
        <v>3</v>
      </c>
      <c r="N44" s="97">
        <v>0</v>
      </c>
      <c r="O44" s="97">
        <v>0</v>
      </c>
      <c r="P44" s="97">
        <v>12</v>
      </c>
      <c r="Q44" s="97">
        <v>24</v>
      </c>
      <c r="R44" s="97">
        <v>19</v>
      </c>
      <c r="S44" s="97" t="s">
        <v>29</v>
      </c>
      <c r="T44" s="97">
        <v>0</v>
      </c>
      <c r="U44" s="97">
        <f t="shared" si="2"/>
        <v>55</v>
      </c>
      <c r="V44" s="97">
        <f t="shared" si="3"/>
        <v>58</v>
      </c>
      <c r="W44" s="178"/>
      <c r="X44" s="178"/>
      <c r="Y44" s="178"/>
      <c r="Z44" s="178"/>
      <c r="AA44" s="178"/>
      <c r="AB44" s="178"/>
      <c r="AC44" s="178"/>
      <c r="AD44" s="178"/>
      <c r="AF44" s="179"/>
      <c r="AG44" s="179"/>
      <c r="AH44" s="179"/>
      <c r="AI44" s="179"/>
      <c r="AJ44" s="179"/>
      <c r="AK44" s="179"/>
      <c r="AL44" s="179"/>
      <c r="AM44" s="179"/>
    </row>
    <row r="45" spans="1:39" s="467" customFormat="1" ht="12" customHeight="1" x14ac:dyDescent="0.2">
      <c r="A45" s="477">
        <v>2015</v>
      </c>
      <c r="B45" s="199">
        <v>3249</v>
      </c>
      <c r="C45" s="97">
        <v>4142</v>
      </c>
      <c r="D45" s="97">
        <v>4283</v>
      </c>
      <c r="E45" s="97">
        <v>47</v>
      </c>
      <c r="F45" s="97">
        <v>135</v>
      </c>
      <c r="G45" s="97">
        <v>73</v>
      </c>
      <c r="H45" s="97" t="s">
        <v>29</v>
      </c>
      <c r="I45" s="97">
        <v>17</v>
      </c>
      <c r="J45" s="97">
        <f>SUM(C45:G45)</f>
        <v>8680</v>
      </c>
      <c r="K45" s="97">
        <f>SUM(B45:I45)</f>
        <v>11946</v>
      </c>
      <c r="L45" s="97"/>
      <c r="M45" s="97">
        <v>0</v>
      </c>
      <c r="N45" s="97">
        <v>0</v>
      </c>
      <c r="O45" s="97">
        <v>0</v>
      </c>
      <c r="P45" s="97">
        <v>0</v>
      </c>
      <c r="Q45" s="97">
        <v>249</v>
      </c>
      <c r="R45" s="97">
        <v>190</v>
      </c>
      <c r="S45" s="97" t="s">
        <v>29</v>
      </c>
      <c r="T45" s="97">
        <v>2</v>
      </c>
      <c r="U45" s="97">
        <f t="shared" si="2"/>
        <v>439</v>
      </c>
      <c r="V45" s="97">
        <f t="shared" si="3"/>
        <v>441</v>
      </c>
      <c r="W45" s="178"/>
      <c r="X45" s="178"/>
      <c r="Y45" s="178"/>
      <c r="Z45" s="178"/>
      <c r="AA45" s="178"/>
      <c r="AB45" s="178"/>
      <c r="AC45" s="178"/>
      <c r="AD45" s="178"/>
      <c r="AF45" s="179"/>
      <c r="AG45" s="179"/>
      <c r="AH45" s="179"/>
      <c r="AI45" s="179"/>
      <c r="AJ45" s="179"/>
      <c r="AK45" s="179"/>
      <c r="AL45" s="179"/>
      <c r="AM45" s="179"/>
    </row>
    <row r="46" spans="1:39" s="467" customFormat="1" ht="12" customHeight="1" x14ac:dyDescent="0.2">
      <c r="A46" s="477">
        <v>2016</v>
      </c>
      <c r="B46" s="199">
        <v>244</v>
      </c>
      <c r="C46" s="97">
        <v>1758</v>
      </c>
      <c r="D46" s="97">
        <v>239</v>
      </c>
      <c r="E46" s="97">
        <v>135</v>
      </c>
      <c r="F46" s="97">
        <v>84</v>
      </c>
      <c r="G46" s="97">
        <v>5</v>
      </c>
      <c r="H46" s="97" t="s">
        <v>29</v>
      </c>
      <c r="I46" s="97">
        <v>182</v>
      </c>
      <c r="J46" s="97">
        <f t="shared" si="0"/>
        <v>2221</v>
      </c>
      <c r="K46" s="97">
        <f t="shared" si="1"/>
        <v>2647</v>
      </c>
      <c r="L46" s="97"/>
      <c r="M46" s="97">
        <v>0</v>
      </c>
      <c r="N46" s="97">
        <v>0</v>
      </c>
      <c r="O46" s="97">
        <v>0</v>
      </c>
      <c r="P46" s="97">
        <v>8</v>
      </c>
      <c r="Q46" s="97">
        <v>10</v>
      </c>
      <c r="R46" s="97">
        <v>0</v>
      </c>
      <c r="S46" s="97" t="s">
        <v>29</v>
      </c>
      <c r="T46" s="97">
        <v>0</v>
      </c>
      <c r="U46" s="97">
        <f t="shared" si="2"/>
        <v>18</v>
      </c>
      <c r="V46" s="97">
        <f t="shared" si="3"/>
        <v>18</v>
      </c>
      <c r="W46" s="178"/>
      <c r="X46" s="178"/>
      <c r="Y46" s="178"/>
      <c r="Z46" s="178"/>
      <c r="AA46" s="178"/>
      <c r="AB46" s="178"/>
      <c r="AC46" s="178"/>
      <c r="AD46" s="178"/>
      <c r="AF46" s="179"/>
      <c r="AG46" s="179"/>
      <c r="AH46" s="179"/>
      <c r="AI46" s="179"/>
      <c r="AJ46" s="179"/>
      <c r="AK46" s="179"/>
      <c r="AL46" s="179"/>
      <c r="AM46" s="179"/>
    </row>
    <row r="47" spans="1:39" s="467" customFormat="1" ht="12" customHeight="1" x14ac:dyDescent="0.2">
      <c r="A47" s="477">
        <v>2017</v>
      </c>
      <c r="B47" s="199">
        <v>1343</v>
      </c>
      <c r="C47" s="97">
        <v>68</v>
      </c>
      <c r="D47" s="97">
        <v>712</v>
      </c>
      <c r="E47" s="97">
        <v>452</v>
      </c>
      <c r="F47" s="97">
        <v>56</v>
      </c>
      <c r="G47" s="97">
        <v>92</v>
      </c>
      <c r="H47" s="97" t="s">
        <v>29</v>
      </c>
      <c r="I47" s="97">
        <v>11</v>
      </c>
      <c r="J47" s="97">
        <f t="shared" si="0"/>
        <v>1380</v>
      </c>
      <c r="K47" s="97">
        <f t="shared" si="1"/>
        <v>2734</v>
      </c>
      <c r="L47" s="97"/>
      <c r="M47" s="97">
        <v>0</v>
      </c>
      <c r="N47" s="97">
        <v>0</v>
      </c>
      <c r="O47" s="97">
        <v>0</v>
      </c>
      <c r="P47" s="97">
        <v>48</v>
      </c>
      <c r="Q47" s="97">
        <v>51</v>
      </c>
      <c r="R47" s="97">
        <v>288</v>
      </c>
      <c r="S47" s="97" t="s">
        <v>29</v>
      </c>
      <c r="T47" s="97">
        <v>0</v>
      </c>
      <c r="U47" s="97">
        <f t="shared" si="2"/>
        <v>387</v>
      </c>
      <c r="V47" s="97">
        <f t="shared" si="3"/>
        <v>387</v>
      </c>
      <c r="W47" s="178"/>
      <c r="X47" s="178"/>
      <c r="Y47" s="178"/>
      <c r="Z47" s="178"/>
      <c r="AA47" s="178"/>
      <c r="AB47" s="178"/>
      <c r="AC47" s="178"/>
      <c r="AD47" s="178"/>
      <c r="AF47" s="179"/>
      <c r="AG47" s="179"/>
      <c r="AH47" s="179"/>
      <c r="AI47" s="179"/>
      <c r="AJ47" s="179"/>
      <c r="AK47" s="179"/>
      <c r="AL47" s="179"/>
      <c r="AM47" s="179"/>
    </row>
    <row r="48" spans="1:39" s="467" customFormat="1" ht="12" customHeight="1" x14ac:dyDescent="0.2">
      <c r="A48" s="477">
        <v>2018</v>
      </c>
      <c r="B48" s="199">
        <v>798</v>
      </c>
      <c r="C48" s="97">
        <v>727</v>
      </c>
      <c r="D48" s="97">
        <v>2363</v>
      </c>
      <c r="E48" s="97">
        <v>511</v>
      </c>
      <c r="F48" s="97">
        <v>94</v>
      </c>
      <c r="G48" s="97">
        <v>54</v>
      </c>
      <c r="H48" s="333" t="s">
        <v>29</v>
      </c>
      <c r="I48" s="97">
        <f>99+30</f>
        <v>129</v>
      </c>
      <c r="J48" s="97">
        <f>SUM(C48:G48)</f>
        <v>3749</v>
      </c>
      <c r="K48" s="97">
        <f>SUM(B48:I48)</f>
        <v>4676</v>
      </c>
      <c r="L48" s="97"/>
      <c r="M48" s="97">
        <v>0</v>
      </c>
      <c r="N48" s="97">
        <v>0</v>
      </c>
      <c r="O48" s="97">
        <v>3</v>
      </c>
      <c r="P48" s="97">
        <v>192</v>
      </c>
      <c r="Q48" s="97">
        <v>222</v>
      </c>
      <c r="R48" s="97">
        <v>239</v>
      </c>
      <c r="S48" s="333" t="s">
        <v>29</v>
      </c>
      <c r="T48" s="97">
        <v>0</v>
      </c>
      <c r="U48" s="97">
        <f>SUM(N48:R48)</f>
        <v>656</v>
      </c>
      <c r="V48" s="97">
        <f>SUM(M48:T48)</f>
        <v>656</v>
      </c>
      <c r="W48" s="178"/>
      <c r="X48" s="178"/>
      <c r="Y48" s="178"/>
      <c r="Z48" s="178"/>
      <c r="AA48" s="178"/>
      <c r="AB48" s="178"/>
      <c r="AC48" s="178"/>
      <c r="AD48" s="178"/>
      <c r="AF48" s="179"/>
      <c r="AG48" s="179"/>
      <c r="AH48" s="179"/>
      <c r="AI48" s="179"/>
      <c r="AJ48" s="179"/>
      <c r="AK48" s="179"/>
      <c r="AL48" s="179"/>
      <c r="AM48" s="179"/>
    </row>
    <row r="49" spans="1:39" s="487" customFormat="1" ht="12" customHeight="1" x14ac:dyDescent="0.2">
      <c r="A49" s="491">
        <v>2019</v>
      </c>
      <c r="B49" s="199">
        <v>1001</v>
      </c>
      <c r="C49" s="97">
        <v>503</v>
      </c>
      <c r="D49" s="97">
        <v>603</v>
      </c>
      <c r="E49" s="97">
        <v>700</v>
      </c>
      <c r="F49" s="97">
        <v>8</v>
      </c>
      <c r="G49" s="97">
        <v>5</v>
      </c>
      <c r="H49" s="333" t="s">
        <v>29</v>
      </c>
      <c r="I49" s="97">
        <v>70</v>
      </c>
      <c r="J49" s="97">
        <f>SUM(C49:G49)</f>
        <v>1819</v>
      </c>
      <c r="K49" s="97">
        <f>SUM(B49:I49)</f>
        <v>2890</v>
      </c>
      <c r="L49" s="97"/>
      <c r="M49" s="97">
        <v>0</v>
      </c>
      <c r="N49" s="97">
        <v>0</v>
      </c>
      <c r="O49" s="97">
        <v>0</v>
      </c>
      <c r="P49" s="97">
        <v>173</v>
      </c>
      <c r="Q49" s="97">
        <v>59</v>
      </c>
      <c r="R49" s="97">
        <v>7</v>
      </c>
      <c r="S49" s="333" t="s">
        <v>29</v>
      </c>
      <c r="T49" s="97">
        <v>0</v>
      </c>
      <c r="U49" s="97">
        <f t="shared" ref="U49" si="4">SUM(N49:R49)</f>
        <v>239</v>
      </c>
      <c r="V49" s="97">
        <f t="shared" ref="V49" si="5">SUM(M49:T49)</f>
        <v>239</v>
      </c>
      <c r="W49" s="178"/>
      <c r="X49" s="178"/>
      <c r="Y49" s="178"/>
      <c r="Z49" s="178"/>
      <c r="AA49" s="178"/>
      <c r="AB49" s="178"/>
      <c r="AC49" s="178"/>
      <c r="AD49" s="178"/>
      <c r="AF49" s="179"/>
      <c r="AG49" s="179"/>
      <c r="AH49" s="179"/>
      <c r="AI49" s="179"/>
      <c r="AJ49" s="179"/>
      <c r="AK49" s="179"/>
      <c r="AL49" s="179"/>
      <c r="AM49" s="179"/>
    </row>
    <row r="50" spans="1:39" ht="12" customHeight="1" x14ac:dyDescent="0.2">
      <c r="A50" s="491" t="s">
        <v>392</v>
      </c>
      <c r="B50" s="198">
        <v>661</v>
      </c>
      <c r="C50" s="70">
        <v>0</v>
      </c>
      <c r="D50" s="70">
        <v>0</v>
      </c>
      <c r="E50" s="70">
        <v>93</v>
      </c>
      <c r="F50" s="70">
        <v>74</v>
      </c>
      <c r="G50" s="70">
        <v>8</v>
      </c>
      <c r="H50" s="332" t="s">
        <v>29</v>
      </c>
      <c r="I50" s="70">
        <v>0</v>
      </c>
      <c r="J50" s="97">
        <f>SUM(C50:G50)</f>
        <v>175</v>
      </c>
      <c r="K50" s="97">
        <f>SUM(B50:I50)</f>
        <v>836</v>
      </c>
      <c r="L50" s="70"/>
      <c r="M50" s="97">
        <v>0</v>
      </c>
      <c r="N50" s="97">
        <v>0</v>
      </c>
      <c r="O50" s="97">
        <v>0</v>
      </c>
      <c r="P50" s="97">
        <v>239</v>
      </c>
      <c r="Q50" s="97">
        <v>396</v>
      </c>
      <c r="R50" s="97">
        <v>12</v>
      </c>
      <c r="S50" s="333" t="s">
        <v>29</v>
      </c>
      <c r="T50" s="97">
        <v>0</v>
      </c>
      <c r="U50" s="97">
        <f t="shared" si="2"/>
        <v>647</v>
      </c>
      <c r="V50" s="97">
        <f t="shared" si="3"/>
        <v>647</v>
      </c>
      <c r="W50" s="173"/>
      <c r="X50" s="173"/>
      <c r="Y50" s="173"/>
      <c r="Z50" s="173"/>
      <c r="AA50" s="173"/>
      <c r="AB50" s="173"/>
      <c r="AC50" s="173"/>
      <c r="AD50" s="173"/>
      <c r="AF50" s="172"/>
      <c r="AG50" s="172"/>
      <c r="AH50" s="172"/>
      <c r="AI50" s="172"/>
      <c r="AJ50" s="172"/>
      <c r="AK50" s="172"/>
      <c r="AL50" s="172"/>
      <c r="AM50" s="172"/>
    </row>
    <row r="51" spans="1:39" ht="12" customHeight="1" x14ac:dyDescent="0.2">
      <c r="B51" s="198"/>
      <c r="C51" s="70"/>
      <c r="D51" s="70"/>
      <c r="E51" s="70"/>
      <c r="F51" s="70"/>
      <c r="G51" s="70"/>
      <c r="H51" s="70"/>
      <c r="I51" s="70"/>
      <c r="J51" s="70"/>
      <c r="K51" s="70"/>
      <c r="L51" s="70"/>
      <c r="M51" s="70"/>
      <c r="N51" s="70"/>
      <c r="O51" s="70"/>
      <c r="P51" s="70"/>
      <c r="Q51" s="70"/>
      <c r="R51" s="70"/>
      <c r="S51" s="70"/>
      <c r="T51" s="70"/>
      <c r="U51" s="70"/>
      <c r="V51" s="231"/>
    </row>
    <row r="52" spans="1:39" ht="12" customHeight="1" x14ac:dyDescent="0.2">
      <c r="A52" s="116" t="s">
        <v>65</v>
      </c>
      <c r="B52" s="232"/>
      <c r="C52" s="70"/>
      <c r="D52" s="70"/>
      <c r="E52" s="70"/>
      <c r="F52" s="70"/>
      <c r="G52" s="70"/>
      <c r="H52" s="70"/>
      <c r="I52" s="70"/>
      <c r="J52" s="70"/>
      <c r="K52" s="70"/>
      <c r="L52" s="70"/>
      <c r="M52" s="70"/>
      <c r="N52" s="70"/>
      <c r="O52" s="70"/>
      <c r="P52" s="70"/>
      <c r="Q52" s="70"/>
      <c r="R52" s="70"/>
      <c r="S52" s="70"/>
      <c r="T52" s="70"/>
      <c r="U52" s="70"/>
      <c r="V52" s="231"/>
    </row>
    <row r="53" spans="1:39" ht="12" customHeight="1" x14ac:dyDescent="0.2">
      <c r="A53" s="473">
        <v>1976</v>
      </c>
      <c r="B53" s="198">
        <v>0</v>
      </c>
      <c r="C53" s="70">
        <v>57</v>
      </c>
      <c r="D53" s="70">
        <v>2194</v>
      </c>
      <c r="E53" s="70">
        <v>2843</v>
      </c>
      <c r="F53" s="70">
        <v>487</v>
      </c>
      <c r="G53" s="70">
        <v>23</v>
      </c>
      <c r="H53" s="70">
        <v>1</v>
      </c>
      <c r="I53" s="70">
        <v>43</v>
      </c>
      <c r="J53" s="70">
        <f t="shared" ref="J53:J94" si="6">SUM(C53:G53)</f>
        <v>5604</v>
      </c>
      <c r="K53" s="70">
        <f t="shared" ref="K53:K97" si="7">SUM(B53:I53)</f>
        <v>5648</v>
      </c>
      <c r="L53" s="70"/>
      <c r="M53" s="70">
        <v>0</v>
      </c>
      <c r="N53" s="70">
        <v>0</v>
      </c>
      <c r="O53" s="70">
        <v>880</v>
      </c>
      <c r="P53" s="70">
        <v>2831</v>
      </c>
      <c r="Q53" s="70">
        <v>1076</v>
      </c>
      <c r="R53" s="70">
        <v>79</v>
      </c>
      <c r="S53" s="70">
        <v>10</v>
      </c>
      <c r="T53" s="70">
        <v>10</v>
      </c>
      <c r="U53" s="70">
        <f t="shared" ref="U53:U93" si="8">SUM(N53:R53)</f>
        <v>4866</v>
      </c>
      <c r="V53" s="70">
        <f t="shared" ref="V53:V93" si="9">SUM(M53:T53)</f>
        <v>4886</v>
      </c>
    </row>
    <row r="54" spans="1:39" ht="12" customHeight="1" x14ac:dyDescent="0.2">
      <c r="A54" s="473">
        <v>1977</v>
      </c>
      <c r="B54" s="198">
        <v>22</v>
      </c>
      <c r="C54" s="70">
        <v>1327</v>
      </c>
      <c r="D54" s="70">
        <v>1135</v>
      </c>
      <c r="E54" s="70">
        <v>462</v>
      </c>
      <c r="F54" s="70">
        <v>151</v>
      </c>
      <c r="G54" s="70">
        <v>25</v>
      </c>
      <c r="H54" s="70">
        <v>0</v>
      </c>
      <c r="I54" s="70">
        <v>0</v>
      </c>
      <c r="J54" s="70">
        <f t="shared" si="6"/>
        <v>3100</v>
      </c>
      <c r="K54" s="70">
        <f t="shared" si="7"/>
        <v>3122</v>
      </c>
      <c r="L54" s="70"/>
      <c r="M54" s="70">
        <v>0</v>
      </c>
      <c r="N54" s="70">
        <v>208</v>
      </c>
      <c r="O54" s="70">
        <v>101</v>
      </c>
      <c r="P54" s="70">
        <v>689</v>
      </c>
      <c r="Q54" s="70">
        <v>629</v>
      </c>
      <c r="R54" s="70">
        <v>93</v>
      </c>
      <c r="S54" s="70">
        <v>0</v>
      </c>
      <c r="T54" s="70">
        <v>0</v>
      </c>
      <c r="U54" s="70">
        <f t="shared" si="8"/>
        <v>1720</v>
      </c>
      <c r="V54" s="70">
        <f t="shared" si="9"/>
        <v>1720</v>
      </c>
    </row>
    <row r="55" spans="1:39" ht="12" customHeight="1" x14ac:dyDescent="0.2">
      <c r="A55" s="473">
        <v>1978</v>
      </c>
      <c r="B55" s="198">
        <v>7</v>
      </c>
      <c r="C55" s="70">
        <v>23</v>
      </c>
      <c r="D55" s="70">
        <v>1802</v>
      </c>
      <c r="E55" s="70">
        <v>505</v>
      </c>
      <c r="F55" s="70">
        <v>11</v>
      </c>
      <c r="G55" s="70">
        <v>6</v>
      </c>
      <c r="H55" s="70">
        <v>0</v>
      </c>
      <c r="I55" s="70">
        <v>0</v>
      </c>
      <c r="J55" s="70">
        <f t="shared" si="6"/>
        <v>2347</v>
      </c>
      <c r="K55" s="70">
        <f t="shared" si="7"/>
        <v>2354</v>
      </c>
      <c r="L55" s="70"/>
      <c r="M55" s="70">
        <v>5</v>
      </c>
      <c r="N55" s="70">
        <v>0</v>
      </c>
      <c r="O55" s="70">
        <v>752</v>
      </c>
      <c r="P55" s="70">
        <v>558</v>
      </c>
      <c r="Q55" s="70">
        <v>31</v>
      </c>
      <c r="R55" s="70">
        <v>126</v>
      </c>
      <c r="S55" s="70">
        <v>0</v>
      </c>
      <c r="T55" s="70">
        <v>0</v>
      </c>
      <c r="U55" s="70">
        <f t="shared" si="8"/>
        <v>1467</v>
      </c>
      <c r="V55" s="70">
        <f t="shared" si="9"/>
        <v>1472</v>
      </c>
    </row>
    <row r="56" spans="1:39" ht="12" customHeight="1" x14ac:dyDescent="0.2">
      <c r="A56" s="473">
        <v>1979</v>
      </c>
      <c r="B56" s="198">
        <v>12</v>
      </c>
      <c r="C56" s="70">
        <v>55</v>
      </c>
      <c r="D56" s="70">
        <v>189</v>
      </c>
      <c r="E56" s="70">
        <v>87</v>
      </c>
      <c r="F56" s="70">
        <v>58</v>
      </c>
      <c r="G56" s="70">
        <v>6</v>
      </c>
      <c r="H56" s="70">
        <v>1</v>
      </c>
      <c r="I56" s="70">
        <v>0</v>
      </c>
      <c r="J56" s="70">
        <f t="shared" si="6"/>
        <v>395</v>
      </c>
      <c r="K56" s="70">
        <f t="shared" si="7"/>
        <v>408</v>
      </c>
      <c r="L56" s="70"/>
      <c r="M56" s="70">
        <v>0</v>
      </c>
      <c r="N56" s="70">
        <v>0</v>
      </c>
      <c r="O56" s="70">
        <v>497</v>
      </c>
      <c r="P56" s="70">
        <v>466</v>
      </c>
      <c r="Q56" s="70">
        <v>547</v>
      </c>
      <c r="R56" s="70">
        <v>11</v>
      </c>
      <c r="S56" s="70">
        <v>1</v>
      </c>
      <c r="T56" s="70">
        <v>0</v>
      </c>
      <c r="U56" s="70">
        <f t="shared" si="8"/>
        <v>1521</v>
      </c>
      <c r="V56" s="70">
        <f t="shared" si="9"/>
        <v>1522</v>
      </c>
    </row>
    <row r="57" spans="1:39" ht="12" customHeight="1" x14ac:dyDescent="0.2">
      <c r="A57" s="473">
        <v>1980</v>
      </c>
      <c r="B57" s="198">
        <v>0</v>
      </c>
      <c r="C57" s="70">
        <v>22</v>
      </c>
      <c r="D57" s="70">
        <v>382</v>
      </c>
      <c r="E57" s="70">
        <v>1941</v>
      </c>
      <c r="F57" s="70">
        <v>22</v>
      </c>
      <c r="G57" s="70">
        <v>19</v>
      </c>
      <c r="H57" s="70">
        <v>2</v>
      </c>
      <c r="I57" s="70">
        <v>0</v>
      </c>
      <c r="J57" s="70">
        <f t="shared" si="6"/>
        <v>2386</v>
      </c>
      <c r="K57" s="70">
        <f t="shared" si="7"/>
        <v>2388</v>
      </c>
      <c r="L57" s="70"/>
      <c r="M57" s="70">
        <v>0</v>
      </c>
      <c r="N57" s="70">
        <v>78</v>
      </c>
      <c r="O57" s="70">
        <v>15405</v>
      </c>
      <c r="P57" s="70">
        <v>2884</v>
      </c>
      <c r="Q57" s="70">
        <v>130</v>
      </c>
      <c r="R57" s="70">
        <v>972</v>
      </c>
      <c r="S57" s="70">
        <v>19</v>
      </c>
      <c r="T57" s="70">
        <v>0</v>
      </c>
      <c r="U57" s="70">
        <f t="shared" si="8"/>
        <v>19469</v>
      </c>
      <c r="V57" s="70">
        <f t="shared" si="9"/>
        <v>19488</v>
      </c>
    </row>
    <row r="58" spans="1:39" ht="12" customHeight="1" x14ac:dyDescent="0.2">
      <c r="A58" s="473">
        <v>1981</v>
      </c>
      <c r="B58" s="198">
        <v>0</v>
      </c>
      <c r="C58" s="70">
        <v>59</v>
      </c>
      <c r="D58" s="70">
        <v>1058</v>
      </c>
      <c r="E58" s="70">
        <v>1970</v>
      </c>
      <c r="F58" s="70">
        <v>87</v>
      </c>
      <c r="G58" s="70">
        <v>207</v>
      </c>
      <c r="H58" s="70">
        <v>232</v>
      </c>
      <c r="I58" s="70">
        <v>53</v>
      </c>
      <c r="J58" s="70">
        <f t="shared" si="6"/>
        <v>3381</v>
      </c>
      <c r="K58" s="70">
        <f t="shared" si="7"/>
        <v>3666</v>
      </c>
      <c r="L58" s="70"/>
      <c r="M58" s="70">
        <v>0</v>
      </c>
      <c r="N58" s="70">
        <v>4</v>
      </c>
      <c r="O58" s="70">
        <v>2702</v>
      </c>
      <c r="P58" s="70">
        <v>2089</v>
      </c>
      <c r="Q58" s="70">
        <v>1299</v>
      </c>
      <c r="R58" s="70">
        <v>9484</v>
      </c>
      <c r="S58" s="70">
        <v>0</v>
      </c>
      <c r="T58" s="70">
        <v>0</v>
      </c>
      <c r="U58" s="70">
        <f t="shared" si="8"/>
        <v>15578</v>
      </c>
      <c r="V58" s="70">
        <f t="shared" si="9"/>
        <v>15578</v>
      </c>
    </row>
    <row r="59" spans="1:39" ht="12" customHeight="1" x14ac:dyDescent="0.2">
      <c r="A59" s="473">
        <v>1982</v>
      </c>
      <c r="B59" s="198">
        <v>0</v>
      </c>
      <c r="C59" s="70">
        <v>29</v>
      </c>
      <c r="D59" s="70">
        <v>2672</v>
      </c>
      <c r="E59" s="70">
        <v>6733</v>
      </c>
      <c r="F59" s="70">
        <v>996</v>
      </c>
      <c r="G59" s="70">
        <v>2257</v>
      </c>
      <c r="H59" s="70">
        <v>27</v>
      </c>
      <c r="I59" s="70">
        <v>0</v>
      </c>
      <c r="J59" s="70">
        <f t="shared" si="6"/>
        <v>12687</v>
      </c>
      <c r="K59" s="70">
        <f t="shared" si="7"/>
        <v>12714</v>
      </c>
      <c r="L59" s="70"/>
      <c r="M59" s="70">
        <v>0</v>
      </c>
      <c r="N59" s="70">
        <v>1</v>
      </c>
      <c r="O59" s="70">
        <v>16727</v>
      </c>
      <c r="P59" s="70">
        <v>11607</v>
      </c>
      <c r="Q59" s="70">
        <v>32395</v>
      </c>
      <c r="R59" s="70">
        <v>31425</v>
      </c>
      <c r="S59" s="70">
        <v>16</v>
      </c>
      <c r="T59" s="70">
        <v>0</v>
      </c>
      <c r="U59" s="70">
        <f t="shared" si="8"/>
        <v>92155</v>
      </c>
      <c r="V59" s="70">
        <f t="shared" si="9"/>
        <v>92171</v>
      </c>
    </row>
    <row r="60" spans="1:39" ht="12" customHeight="1" x14ac:dyDescent="0.2">
      <c r="A60" s="473">
        <v>1983</v>
      </c>
      <c r="B60" s="198">
        <v>0</v>
      </c>
      <c r="C60" s="70">
        <v>110</v>
      </c>
      <c r="D60" s="70">
        <v>1762</v>
      </c>
      <c r="E60" s="70">
        <v>269</v>
      </c>
      <c r="F60" s="70">
        <v>508</v>
      </c>
      <c r="G60" s="70">
        <v>250</v>
      </c>
      <c r="H60" s="70">
        <v>0</v>
      </c>
      <c r="I60" s="70">
        <v>0</v>
      </c>
      <c r="J60" s="70">
        <f t="shared" si="6"/>
        <v>2899</v>
      </c>
      <c r="K60" s="70">
        <f t="shared" si="7"/>
        <v>2899</v>
      </c>
      <c r="L60" s="70"/>
      <c r="M60" s="70">
        <v>0</v>
      </c>
      <c r="N60" s="70">
        <v>33</v>
      </c>
      <c r="O60" s="70">
        <v>2495</v>
      </c>
      <c r="P60" s="70">
        <v>2456</v>
      </c>
      <c r="Q60" s="70">
        <v>15608</v>
      </c>
      <c r="R60" s="70">
        <v>7604</v>
      </c>
      <c r="S60" s="70">
        <v>0</v>
      </c>
      <c r="T60" s="70">
        <v>0</v>
      </c>
      <c r="U60" s="70">
        <f t="shared" si="8"/>
        <v>28196</v>
      </c>
      <c r="V60" s="70">
        <f t="shared" si="9"/>
        <v>28196</v>
      </c>
    </row>
    <row r="61" spans="1:39" ht="12" customHeight="1" x14ac:dyDescent="0.2">
      <c r="A61" s="473">
        <v>1984</v>
      </c>
      <c r="B61" s="198">
        <v>0</v>
      </c>
      <c r="C61" s="70">
        <v>382</v>
      </c>
      <c r="D61" s="70">
        <v>398</v>
      </c>
      <c r="E61" s="70">
        <v>570</v>
      </c>
      <c r="F61" s="70">
        <v>731</v>
      </c>
      <c r="G61" s="70">
        <v>0</v>
      </c>
      <c r="H61" s="70">
        <v>5</v>
      </c>
      <c r="I61" s="70">
        <v>0</v>
      </c>
      <c r="J61" s="70">
        <f t="shared" si="6"/>
        <v>2081</v>
      </c>
      <c r="K61" s="70">
        <f t="shared" si="7"/>
        <v>2086</v>
      </c>
      <c r="L61" s="70"/>
      <c r="M61" s="70">
        <v>0</v>
      </c>
      <c r="N61" s="70">
        <v>0</v>
      </c>
      <c r="O61" s="70">
        <v>0</v>
      </c>
      <c r="P61" s="70">
        <v>15607</v>
      </c>
      <c r="Q61" s="70">
        <v>14851</v>
      </c>
      <c r="R61" s="70">
        <v>0</v>
      </c>
      <c r="S61" s="70">
        <v>76</v>
      </c>
      <c r="T61" s="70">
        <v>0</v>
      </c>
      <c r="U61" s="70">
        <f t="shared" si="8"/>
        <v>30458</v>
      </c>
      <c r="V61" s="70">
        <f t="shared" si="9"/>
        <v>30534</v>
      </c>
    </row>
    <row r="62" spans="1:39" ht="12" customHeight="1" x14ac:dyDescent="0.2">
      <c r="A62" s="473">
        <v>1985</v>
      </c>
      <c r="B62" s="198">
        <v>2</v>
      </c>
      <c r="C62" s="70">
        <v>2020</v>
      </c>
      <c r="D62" s="70">
        <v>64</v>
      </c>
      <c r="E62" s="70">
        <v>2486</v>
      </c>
      <c r="F62" s="70">
        <v>1045</v>
      </c>
      <c r="G62" s="70">
        <v>1144</v>
      </c>
      <c r="H62" s="70">
        <v>4</v>
      </c>
      <c r="I62" s="70">
        <v>0</v>
      </c>
      <c r="J62" s="70">
        <f t="shared" si="6"/>
        <v>6759</v>
      </c>
      <c r="K62" s="70">
        <f t="shared" si="7"/>
        <v>6765</v>
      </c>
      <c r="L62" s="70"/>
      <c r="M62" s="70">
        <v>0</v>
      </c>
      <c r="N62" s="70">
        <v>1</v>
      </c>
      <c r="O62" s="70">
        <v>1311</v>
      </c>
      <c r="P62" s="70">
        <v>13324</v>
      </c>
      <c r="Q62" s="70">
        <v>18420</v>
      </c>
      <c r="R62" s="70">
        <v>18508</v>
      </c>
      <c r="S62" s="70">
        <v>0</v>
      </c>
      <c r="T62" s="70">
        <v>0</v>
      </c>
      <c r="U62" s="70">
        <f t="shared" si="8"/>
        <v>51564</v>
      </c>
      <c r="V62" s="70">
        <f t="shared" si="9"/>
        <v>51564</v>
      </c>
    </row>
    <row r="63" spans="1:39" ht="12" customHeight="1" x14ac:dyDescent="0.2">
      <c r="A63" s="473">
        <v>1986</v>
      </c>
      <c r="B63" s="198">
        <v>0</v>
      </c>
      <c r="C63" s="70">
        <v>1829</v>
      </c>
      <c r="D63" s="70">
        <v>1239</v>
      </c>
      <c r="E63" s="70">
        <v>1890</v>
      </c>
      <c r="F63" s="70">
        <v>250</v>
      </c>
      <c r="G63" s="70">
        <v>0</v>
      </c>
      <c r="H63" s="70">
        <v>0</v>
      </c>
      <c r="I63" s="70">
        <v>0</v>
      </c>
      <c r="J63" s="70">
        <f t="shared" si="6"/>
        <v>5208</v>
      </c>
      <c r="K63" s="70">
        <f t="shared" si="7"/>
        <v>5208</v>
      </c>
      <c r="L63" s="70"/>
      <c r="M63" s="70">
        <v>0</v>
      </c>
      <c r="N63" s="70">
        <v>0</v>
      </c>
      <c r="O63" s="70">
        <v>517</v>
      </c>
      <c r="P63" s="70">
        <v>28025</v>
      </c>
      <c r="Q63" s="70">
        <v>5089</v>
      </c>
      <c r="R63" s="70">
        <v>0</v>
      </c>
      <c r="S63" s="70">
        <v>0</v>
      </c>
      <c r="T63" s="70">
        <v>0</v>
      </c>
      <c r="U63" s="70">
        <f t="shared" si="8"/>
        <v>33631</v>
      </c>
      <c r="V63" s="70">
        <f t="shared" si="9"/>
        <v>33631</v>
      </c>
    </row>
    <row r="64" spans="1:39" ht="12" customHeight="1" x14ac:dyDescent="0.2">
      <c r="A64" s="473">
        <v>1987</v>
      </c>
      <c r="B64" s="198">
        <v>0</v>
      </c>
      <c r="C64" s="70">
        <v>3869</v>
      </c>
      <c r="D64" s="70">
        <v>0</v>
      </c>
      <c r="E64" s="70">
        <v>1443</v>
      </c>
      <c r="F64" s="70">
        <v>4168</v>
      </c>
      <c r="G64" s="70">
        <v>0</v>
      </c>
      <c r="H64" s="70">
        <v>0</v>
      </c>
      <c r="I64" s="70">
        <v>0</v>
      </c>
      <c r="J64" s="70">
        <f t="shared" si="6"/>
        <v>9480</v>
      </c>
      <c r="K64" s="70">
        <f t="shared" si="7"/>
        <v>9480</v>
      </c>
      <c r="L64" s="70"/>
      <c r="M64" s="70">
        <v>0</v>
      </c>
      <c r="N64" s="70">
        <v>15</v>
      </c>
      <c r="O64" s="70">
        <v>0</v>
      </c>
      <c r="P64" s="70">
        <v>30832</v>
      </c>
      <c r="Q64" s="70">
        <v>21642</v>
      </c>
      <c r="R64" s="70">
        <v>0</v>
      </c>
      <c r="S64" s="70">
        <v>0</v>
      </c>
      <c r="T64" s="70">
        <v>0</v>
      </c>
      <c r="U64" s="70">
        <f t="shared" si="8"/>
        <v>52489</v>
      </c>
      <c r="V64" s="70">
        <f t="shared" si="9"/>
        <v>52489</v>
      </c>
    </row>
    <row r="65" spans="1:22" ht="12" customHeight="1" x14ac:dyDescent="0.2">
      <c r="A65" s="473">
        <v>1988</v>
      </c>
      <c r="B65" s="198">
        <v>32</v>
      </c>
      <c r="C65" s="70">
        <v>361</v>
      </c>
      <c r="D65" s="70">
        <v>3774</v>
      </c>
      <c r="E65" s="70">
        <v>3560</v>
      </c>
      <c r="F65" s="70">
        <v>4619</v>
      </c>
      <c r="G65" s="70">
        <v>952</v>
      </c>
      <c r="H65" s="70">
        <v>0</v>
      </c>
      <c r="I65" s="70">
        <v>0</v>
      </c>
      <c r="J65" s="70">
        <f t="shared" si="6"/>
        <v>13266</v>
      </c>
      <c r="K65" s="70">
        <f t="shared" si="7"/>
        <v>13298</v>
      </c>
      <c r="L65" s="70"/>
      <c r="M65" s="70">
        <v>0</v>
      </c>
      <c r="N65" s="70">
        <v>0</v>
      </c>
      <c r="O65" s="70">
        <v>13</v>
      </c>
      <c r="P65" s="70">
        <v>3352</v>
      </c>
      <c r="Q65" s="70">
        <v>23668</v>
      </c>
      <c r="R65" s="70">
        <v>6513</v>
      </c>
      <c r="S65" s="70">
        <v>0</v>
      </c>
      <c r="T65" s="70">
        <v>0</v>
      </c>
      <c r="U65" s="70">
        <f t="shared" si="8"/>
        <v>33546</v>
      </c>
      <c r="V65" s="70">
        <f t="shared" si="9"/>
        <v>33546</v>
      </c>
    </row>
    <row r="66" spans="1:22" ht="12" customHeight="1" x14ac:dyDescent="0.2">
      <c r="A66" s="473">
        <v>1989</v>
      </c>
      <c r="B66" s="198">
        <v>0</v>
      </c>
      <c r="C66" s="70">
        <v>3181</v>
      </c>
      <c r="D66" s="70">
        <v>4647</v>
      </c>
      <c r="E66" s="70">
        <v>3841</v>
      </c>
      <c r="F66" s="70">
        <v>3080</v>
      </c>
      <c r="G66" s="70">
        <v>529</v>
      </c>
      <c r="H66" s="70">
        <v>0</v>
      </c>
      <c r="I66" s="70">
        <v>0</v>
      </c>
      <c r="J66" s="70">
        <f t="shared" si="6"/>
        <v>15278</v>
      </c>
      <c r="K66" s="70">
        <f t="shared" si="7"/>
        <v>15278</v>
      </c>
      <c r="L66" s="70"/>
      <c r="M66" s="70">
        <v>0</v>
      </c>
      <c r="N66" s="70">
        <v>1</v>
      </c>
      <c r="O66" s="70">
        <v>0</v>
      </c>
      <c r="P66" s="70">
        <v>11869</v>
      </c>
      <c r="Q66" s="70">
        <v>13245</v>
      </c>
      <c r="R66" s="70">
        <v>17247</v>
      </c>
      <c r="S66" s="70">
        <v>0</v>
      </c>
      <c r="T66" s="70">
        <v>0</v>
      </c>
      <c r="U66" s="70">
        <f t="shared" si="8"/>
        <v>42362</v>
      </c>
      <c r="V66" s="70">
        <f t="shared" si="9"/>
        <v>42362</v>
      </c>
    </row>
    <row r="67" spans="1:22" ht="12" customHeight="1" x14ac:dyDescent="0.2">
      <c r="A67" s="473">
        <v>1990</v>
      </c>
      <c r="B67" s="198">
        <v>0</v>
      </c>
      <c r="C67" s="70">
        <v>3778</v>
      </c>
      <c r="D67" s="70">
        <v>1923</v>
      </c>
      <c r="E67" s="70">
        <v>4837</v>
      </c>
      <c r="F67" s="70">
        <v>1166</v>
      </c>
      <c r="G67" s="70">
        <v>1943</v>
      </c>
      <c r="H67" s="70">
        <v>0</v>
      </c>
      <c r="I67" s="70">
        <v>1</v>
      </c>
      <c r="J67" s="70">
        <f t="shared" si="6"/>
        <v>13647</v>
      </c>
      <c r="K67" s="70">
        <f t="shared" si="7"/>
        <v>13648</v>
      </c>
      <c r="L67" s="70"/>
      <c r="M67" s="70">
        <v>0</v>
      </c>
      <c r="N67" s="70">
        <v>0</v>
      </c>
      <c r="O67" s="70">
        <v>0</v>
      </c>
      <c r="P67" s="70">
        <v>10069</v>
      </c>
      <c r="Q67" s="70">
        <v>21027</v>
      </c>
      <c r="R67" s="70">
        <v>12447</v>
      </c>
      <c r="S67" s="70">
        <v>0</v>
      </c>
      <c r="T67" s="70">
        <v>0</v>
      </c>
      <c r="U67" s="70">
        <f t="shared" si="8"/>
        <v>43543</v>
      </c>
      <c r="V67" s="70">
        <f t="shared" si="9"/>
        <v>43543</v>
      </c>
    </row>
    <row r="68" spans="1:22" ht="12" customHeight="1" x14ac:dyDescent="0.2">
      <c r="A68" s="473">
        <v>1991</v>
      </c>
      <c r="B68" s="198">
        <v>0</v>
      </c>
      <c r="C68" s="70">
        <v>3469</v>
      </c>
      <c r="D68" s="70">
        <v>4844</v>
      </c>
      <c r="E68" s="70">
        <v>5495</v>
      </c>
      <c r="F68" s="70">
        <v>2361</v>
      </c>
      <c r="G68" s="70">
        <v>0</v>
      </c>
      <c r="H68" s="70">
        <v>0</v>
      </c>
      <c r="I68" s="70">
        <v>0</v>
      </c>
      <c r="J68" s="70">
        <f t="shared" si="6"/>
        <v>16169</v>
      </c>
      <c r="K68" s="70">
        <f t="shared" si="7"/>
        <v>16169</v>
      </c>
      <c r="L68" s="70"/>
      <c r="M68" s="70">
        <v>0</v>
      </c>
      <c r="N68" s="70">
        <v>0</v>
      </c>
      <c r="O68" s="70">
        <v>0</v>
      </c>
      <c r="P68" s="70">
        <v>29190</v>
      </c>
      <c r="Q68" s="70">
        <v>14255</v>
      </c>
      <c r="R68" s="70">
        <v>0</v>
      </c>
      <c r="S68" s="70">
        <v>0</v>
      </c>
      <c r="T68" s="70">
        <v>0</v>
      </c>
      <c r="U68" s="70">
        <f t="shared" si="8"/>
        <v>43445</v>
      </c>
      <c r="V68" s="70">
        <f t="shared" si="9"/>
        <v>43445</v>
      </c>
    </row>
    <row r="69" spans="1:22" ht="12" customHeight="1" x14ac:dyDescent="0.2">
      <c r="A69" s="473">
        <v>1992</v>
      </c>
      <c r="B69" s="198">
        <v>0</v>
      </c>
      <c r="C69" s="70">
        <v>8107</v>
      </c>
      <c r="D69" s="70">
        <v>3284</v>
      </c>
      <c r="E69" s="70">
        <v>3616</v>
      </c>
      <c r="F69" s="70">
        <v>2298</v>
      </c>
      <c r="G69" s="70">
        <v>0</v>
      </c>
      <c r="H69" s="70">
        <v>0</v>
      </c>
      <c r="I69" s="70">
        <v>80</v>
      </c>
      <c r="J69" s="70">
        <f t="shared" si="6"/>
        <v>17305</v>
      </c>
      <c r="K69" s="70">
        <f t="shared" si="7"/>
        <v>17385</v>
      </c>
      <c r="L69" s="70"/>
      <c r="M69" s="70">
        <v>0</v>
      </c>
      <c r="N69" s="70">
        <v>2</v>
      </c>
      <c r="O69" s="70">
        <v>3</v>
      </c>
      <c r="P69" s="70">
        <v>30710</v>
      </c>
      <c r="Q69" s="70">
        <v>16695</v>
      </c>
      <c r="R69" s="70">
        <v>0</v>
      </c>
      <c r="S69" s="70">
        <v>0</v>
      </c>
      <c r="T69" s="70">
        <v>5</v>
      </c>
      <c r="U69" s="70">
        <f t="shared" si="8"/>
        <v>47410</v>
      </c>
      <c r="V69" s="70">
        <f t="shared" si="9"/>
        <v>47415</v>
      </c>
    </row>
    <row r="70" spans="1:22" ht="12" customHeight="1" x14ac:dyDescent="0.2">
      <c r="A70" s="473">
        <v>1993</v>
      </c>
      <c r="B70" s="198">
        <v>0</v>
      </c>
      <c r="C70" s="70">
        <v>6779</v>
      </c>
      <c r="D70" s="70">
        <v>3965</v>
      </c>
      <c r="E70" s="70">
        <v>4852</v>
      </c>
      <c r="F70" s="70">
        <v>1919</v>
      </c>
      <c r="G70" s="70">
        <v>2357</v>
      </c>
      <c r="H70" s="70">
        <v>0</v>
      </c>
      <c r="I70" s="70">
        <v>0</v>
      </c>
      <c r="J70" s="70">
        <f t="shared" si="6"/>
        <v>19872</v>
      </c>
      <c r="K70" s="70">
        <f t="shared" si="7"/>
        <v>19872</v>
      </c>
      <c r="L70" s="70"/>
      <c r="M70" s="70">
        <v>0</v>
      </c>
      <c r="N70" s="70">
        <v>1</v>
      </c>
      <c r="O70" s="70">
        <v>0</v>
      </c>
      <c r="P70" s="70">
        <v>3426</v>
      </c>
      <c r="Q70" s="70">
        <v>13264</v>
      </c>
      <c r="R70" s="70">
        <v>24079</v>
      </c>
      <c r="S70" s="70">
        <v>0</v>
      </c>
      <c r="T70" s="70">
        <v>0</v>
      </c>
      <c r="U70" s="70">
        <f t="shared" si="8"/>
        <v>40770</v>
      </c>
      <c r="V70" s="70">
        <f t="shared" si="9"/>
        <v>40770</v>
      </c>
    </row>
    <row r="71" spans="1:22" ht="12" customHeight="1" x14ac:dyDescent="0.2">
      <c r="A71" s="473">
        <v>1994</v>
      </c>
      <c r="B71" s="198">
        <v>0</v>
      </c>
      <c r="C71" s="70">
        <v>104</v>
      </c>
      <c r="D71" s="70">
        <v>1940</v>
      </c>
      <c r="E71" s="70">
        <v>1</v>
      </c>
      <c r="F71" s="70">
        <v>0</v>
      </c>
      <c r="G71" s="70">
        <v>0</v>
      </c>
      <c r="H71" s="70">
        <v>0</v>
      </c>
      <c r="I71" s="70">
        <v>0</v>
      </c>
      <c r="J71" s="70">
        <f t="shared" si="6"/>
        <v>2045</v>
      </c>
      <c r="K71" s="70">
        <f t="shared" si="7"/>
        <v>2045</v>
      </c>
      <c r="L71" s="70"/>
      <c r="M71" s="70">
        <v>0</v>
      </c>
      <c r="N71" s="70">
        <v>0</v>
      </c>
      <c r="O71" s="70">
        <v>0</v>
      </c>
      <c r="P71" s="70">
        <v>0</v>
      </c>
      <c r="Q71" s="70">
        <v>0</v>
      </c>
      <c r="R71" s="70">
        <v>0</v>
      </c>
      <c r="S71" s="70">
        <v>0</v>
      </c>
      <c r="T71" s="70">
        <v>0</v>
      </c>
      <c r="U71" s="70">
        <f t="shared" si="8"/>
        <v>0</v>
      </c>
      <c r="V71" s="70">
        <f t="shared" si="9"/>
        <v>0</v>
      </c>
    </row>
    <row r="72" spans="1:22" ht="12" customHeight="1" x14ac:dyDescent="0.2">
      <c r="A72" s="473">
        <v>1995</v>
      </c>
      <c r="B72" s="198">
        <v>0</v>
      </c>
      <c r="C72" s="70">
        <v>540</v>
      </c>
      <c r="D72" s="70">
        <v>0</v>
      </c>
      <c r="E72" s="70">
        <v>23</v>
      </c>
      <c r="F72" s="70">
        <v>6943</v>
      </c>
      <c r="G72" s="70">
        <v>0</v>
      </c>
      <c r="H72" s="70">
        <v>0</v>
      </c>
      <c r="I72" s="70">
        <v>0</v>
      </c>
      <c r="J72" s="70">
        <f t="shared" si="6"/>
        <v>7506</v>
      </c>
      <c r="K72" s="70">
        <f t="shared" si="7"/>
        <v>7506</v>
      </c>
      <c r="L72" s="70"/>
      <c r="M72" s="70">
        <v>0</v>
      </c>
      <c r="N72" s="70">
        <v>0</v>
      </c>
      <c r="O72" s="70">
        <v>0</v>
      </c>
      <c r="P72" s="70">
        <v>0</v>
      </c>
      <c r="Q72" s="70">
        <v>25084</v>
      </c>
      <c r="R72" s="70">
        <v>0</v>
      </c>
      <c r="S72" s="70">
        <v>0</v>
      </c>
      <c r="T72" s="70">
        <v>0</v>
      </c>
      <c r="U72" s="70">
        <f t="shared" si="8"/>
        <v>25084</v>
      </c>
      <c r="V72" s="70">
        <f t="shared" si="9"/>
        <v>25084</v>
      </c>
    </row>
    <row r="73" spans="1:22" ht="12" customHeight="1" x14ac:dyDescent="0.2">
      <c r="A73" s="473">
        <v>1996</v>
      </c>
      <c r="B73" s="198">
        <v>6</v>
      </c>
      <c r="C73" s="70">
        <v>997</v>
      </c>
      <c r="D73" s="70">
        <v>534</v>
      </c>
      <c r="E73" s="70">
        <v>0</v>
      </c>
      <c r="F73" s="70">
        <v>4702</v>
      </c>
      <c r="G73" s="70">
        <v>3421</v>
      </c>
      <c r="H73" s="70" t="s">
        <v>29</v>
      </c>
      <c r="I73" s="70">
        <v>0</v>
      </c>
      <c r="J73" s="70">
        <f t="shared" si="6"/>
        <v>9654</v>
      </c>
      <c r="K73" s="70">
        <f t="shared" si="7"/>
        <v>9660</v>
      </c>
      <c r="L73" s="70"/>
      <c r="M73" s="70">
        <v>0</v>
      </c>
      <c r="N73" s="70">
        <v>0</v>
      </c>
      <c r="O73" s="70">
        <v>0</v>
      </c>
      <c r="P73" s="70">
        <v>0</v>
      </c>
      <c r="Q73" s="70">
        <v>2852</v>
      </c>
      <c r="R73" s="70">
        <v>12054</v>
      </c>
      <c r="S73" s="70" t="s">
        <v>29</v>
      </c>
      <c r="T73" s="70">
        <v>0</v>
      </c>
      <c r="U73" s="70">
        <f t="shared" si="8"/>
        <v>14906</v>
      </c>
      <c r="V73" s="70">
        <f t="shared" si="9"/>
        <v>14906</v>
      </c>
    </row>
    <row r="74" spans="1:22" ht="12" customHeight="1" x14ac:dyDescent="0.2">
      <c r="A74" s="473">
        <v>1997</v>
      </c>
      <c r="B74" s="198">
        <v>0</v>
      </c>
      <c r="C74" s="70">
        <v>175</v>
      </c>
      <c r="D74" s="70">
        <v>7053</v>
      </c>
      <c r="E74" s="70">
        <v>0</v>
      </c>
      <c r="F74" s="70">
        <v>3451</v>
      </c>
      <c r="G74" s="70">
        <v>888</v>
      </c>
      <c r="H74" s="70" t="s">
        <v>29</v>
      </c>
      <c r="I74" s="70">
        <v>0</v>
      </c>
      <c r="J74" s="70">
        <f t="shared" si="6"/>
        <v>11567</v>
      </c>
      <c r="K74" s="70">
        <f t="shared" si="7"/>
        <v>11567</v>
      </c>
      <c r="L74" s="70"/>
      <c r="M74" s="70">
        <v>0</v>
      </c>
      <c r="N74" s="70">
        <v>0</v>
      </c>
      <c r="O74" s="70">
        <v>0</v>
      </c>
      <c r="P74" s="70">
        <v>0</v>
      </c>
      <c r="Q74" s="70">
        <v>6008</v>
      </c>
      <c r="R74" s="70">
        <v>3411</v>
      </c>
      <c r="S74" s="70" t="s">
        <v>29</v>
      </c>
      <c r="T74" s="70">
        <v>0</v>
      </c>
      <c r="U74" s="70">
        <f t="shared" si="8"/>
        <v>9419</v>
      </c>
      <c r="V74" s="70">
        <f t="shared" si="9"/>
        <v>9419</v>
      </c>
    </row>
    <row r="75" spans="1:22" ht="12" customHeight="1" x14ac:dyDescent="0.2">
      <c r="A75" s="473">
        <v>1998</v>
      </c>
      <c r="B75" s="198">
        <v>0</v>
      </c>
      <c r="C75" s="70">
        <v>5056</v>
      </c>
      <c r="D75" s="70">
        <v>4358</v>
      </c>
      <c r="E75" s="70">
        <v>47</v>
      </c>
      <c r="F75" s="70">
        <v>3470</v>
      </c>
      <c r="G75" s="70">
        <v>1119</v>
      </c>
      <c r="H75" s="70" t="s">
        <v>29</v>
      </c>
      <c r="I75" s="70">
        <v>85</v>
      </c>
      <c r="J75" s="70">
        <f t="shared" si="6"/>
        <v>14050</v>
      </c>
      <c r="K75" s="70">
        <f t="shared" si="7"/>
        <v>14135</v>
      </c>
      <c r="L75" s="70"/>
      <c r="M75" s="70">
        <v>0</v>
      </c>
      <c r="N75" s="70">
        <v>0</v>
      </c>
      <c r="O75" s="70">
        <v>0</v>
      </c>
      <c r="P75" s="70">
        <v>74</v>
      </c>
      <c r="Q75" s="70">
        <v>3115</v>
      </c>
      <c r="R75" s="70">
        <v>4037</v>
      </c>
      <c r="S75" s="70" t="s">
        <v>29</v>
      </c>
      <c r="T75" s="70">
        <v>0</v>
      </c>
      <c r="U75" s="70">
        <f t="shared" si="8"/>
        <v>7226</v>
      </c>
      <c r="V75" s="70">
        <f t="shared" si="9"/>
        <v>7226</v>
      </c>
    </row>
    <row r="76" spans="1:22" ht="12" customHeight="1" x14ac:dyDescent="0.2">
      <c r="A76" s="473">
        <v>1999</v>
      </c>
      <c r="B76" s="198">
        <v>0</v>
      </c>
      <c r="C76" s="70">
        <v>2142</v>
      </c>
      <c r="D76" s="70">
        <v>15290</v>
      </c>
      <c r="E76" s="70">
        <v>1530</v>
      </c>
      <c r="F76" s="70">
        <v>3887</v>
      </c>
      <c r="G76" s="70">
        <v>3619</v>
      </c>
      <c r="H76" s="70" t="s">
        <v>29</v>
      </c>
      <c r="I76" s="70">
        <v>0</v>
      </c>
      <c r="J76" s="70">
        <f t="shared" si="6"/>
        <v>26468</v>
      </c>
      <c r="K76" s="70">
        <f t="shared" si="7"/>
        <v>26468</v>
      </c>
      <c r="L76" s="70"/>
      <c r="M76" s="70">
        <v>0</v>
      </c>
      <c r="N76" s="70">
        <v>0</v>
      </c>
      <c r="O76" s="70">
        <v>0</v>
      </c>
      <c r="P76" s="70">
        <v>0</v>
      </c>
      <c r="Q76" s="70">
        <v>11932</v>
      </c>
      <c r="R76" s="70">
        <v>20196</v>
      </c>
      <c r="S76" s="70" t="s">
        <v>29</v>
      </c>
      <c r="T76" s="70">
        <v>0</v>
      </c>
      <c r="U76" s="70">
        <f t="shared" si="8"/>
        <v>32128</v>
      </c>
      <c r="V76" s="70">
        <f t="shared" si="9"/>
        <v>32128</v>
      </c>
    </row>
    <row r="77" spans="1:22" ht="12" customHeight="1" x14ac:dyDescent="0.2">
      <c r="A77" s="473">
        <v>2000</v>
      </c>
      <c r="B77" s="198">
        <v>0</v>
      </c>
      <c r="C77" s="70">
        <v>2587</v>
      </c>
      <c r="D77" s="70">
        <v>2552</v>
      </c>
      <c r="E77" s="70">
        <v>189</v>
      </c>
      <c r="F77" s="70">
        <v>1329</v>
      </c>
      <c r="G77" s="70">
        <v>0</v>
      </c>
      <c r="H77" s="70" t="s">
        <v>29</v>
      </c>
      <c r="I77" s="70">
        <v>0</v>
      </c>
      <c r="J77" s="70">
        <f t="shared" si="6"/>
        <v>6657</v>
      </c>
      <c r="K77" s="70">
        <f t="shared" si="7"/>
        <v>6657</v>
      </c>
      <c r="L77" s="70"/>
      <c r="M77" s="70">
        <v>0</v>
      </c>
      <c r="N77" s="70">
        <v>0</v>
      </c>
      <c r="O77" s="70">
        <v>1</v>
      </c>
      <c r="P77" s="70">
        <v>0</v>
      </c>
      <c r="Q77" s="70">
        <v>21230</v>
      </c>
      <c r="R77" s="70">
        <v>0</v>
      </c>
      <c r="S77" s="70" t="s">
        <v>29</v>
      </c>
      <c r="T77" s="70">
        <v>0</v>
      </c>
      <c r="U77" s="70">
        <f t="shared" si="8"/>
        <v>21231</v>
      </c>
      <c r="V77" s="70">
        <f t="shared" si="9"/>
        <v>21231</v>
      </c>
    </row>
    <row r="78" spans="1:22" ht="12" customHeight="1" x14ac:dyDescent="0.2">
      <c r="A78" s="473">
        <v>2001</v>
      </c>
      <c r="B78" s="198">
        <v>0</v>
      </c>
      <c r="C78" s="70">
        <v>1070</v>
      </c>
      <c r="D78" s="70">
        <v>9047</v>
      </c>
      <c r="E78" s="70">
        <v>5438</v>
      </c>
      <c r="F78" s="70">
        <v>2510</v>
      </c>
      <c r="G78" s="70">
        <v>3171</v>
      </c>
      <c r="H78" s="70" t="s">
        <v>29</v>
      </c>
      <c r="I78" s="70">
        <v>0</v>
      </c>
      <c r="J78" s="70">
        <f t="shared" si="6"/>
        <v>21236</v>
      </c>
      <c r="K78" s="70">
        <f t="shared" si="7"/>
        <v>21236</v>
      </c>
      <c r="L78" s="70"/>
      <c r="M78" s="70">
        <v>0</v>
      </c>
      <c r="N78" s="70">
        <v>0</v>
      </c>
      <c r="O78" s="70">
        <v>11</v>
      </c>
      <c r="P78" s="70">
        <v>5967</v>
      </c>
      <c r="Q78" s="70">
        <v>24881</v>
      </c>
      <c r="R78" s="70">
        <v>21335</v>
      </c>
      <c r="S78" s="70" t="s">
        <v>29</v>
      </c>
      <c r="T78" s="70">
        <v>0</v>
      </c>
      <c r="U78" s="70">
        <f t="shared" si="8"/>
        <v>52194</v>
      </c>
      <c r="V78" s="70">
        <f t="shared" si="9"/>
        <v>52194</v>
      </c>
    </row>
    <row r="79" spans="1:22" ht="12" customHeight="1" x14ac:dyDescent="0.2">
      <c r="A79" s="473">
        <v>2002</v>
      </c>
      <c r="B79" s="198">
        <v>34</v>
      </c>
      <c r="C79" s="70">
        <v>4897</v>
      </c>
      <c r="D79" s="70">
        <v>10263</v>
      </c>
      <c r="E79" s="70">
        <v>11805</v>
      </c>
      <c r="F79" s="70">
        <v>8005</v>
      </c>
      <c r="G79" s="70">
        <v>3123</v>
      </c>
      <c r="H79" s="70" t="s">
        <v>29</v>
      </c>
      <c r="I79" s="70">
        <v>0</v>
      </c>
      <c r="J79" s="70">
        <f t="shared" si="6"/>
        <v>38093</v>
      </c>
      <c r="K79" s="70">
        <f t="shared" si="7"/>
        <v>38127</v>
      </c>
      <c r="L79" s="70"/>
      <c r="M79" s="70">
        <v>0</v>
      </c>
      <c r="N79" s="70">
        <v>1</v>
      </c>
      <c r="O79" s="70">
        <v>1</v>
      </c>
      <c r="P79" s="70">
        <v>3449</v>
      </c>
      <c r="Q79" s="70">
        <v>4530</v>
      </c>
      <c r="R79" s="70">
        <v>9042</v>
      </c>
      <c r="S79" s="70" t="s">
        <v>29</v>
      </c>
      <c r="T79" s="70">
        <v>0</v>
      </c>
      <c r="U79" s="70">
        <f t="shared" si="8"/>
        <v>17023</v>
      </c>
      <c r="V79" s="70">
        <f t="shared" si="9"/>
        <v>17023</v>
      </c>
    </row>
    <row r="80" spans="1:22" ht="12" customHeight="1" x14ac:dyDescent="0.2">
      <c r="A80" s="473">
        <v>2003</v>
      </c>
      <c r="B80" s="198">
        <v>21</v>
      </c>
      <c r="C80" s="70">
        <v>2821</v>
      </c>
      <c r="D80" s="70">
        <v>12946</v>
      </c>
      <c r="E80" s="70">
        <v>12921</v>
      </c>
      <c r="F80" s="70">
        <v>5023</v>
      </c>
      <c r="G80" s="70">
        <v>1031</v>
      </c>
      <c r="H80" s="70" t="s">
        <v>29</v>
      </c>
      <c r="I80" s="70">
        <v>0</v>
      </c>
      <c r="J80" s="70">
        <f t="shared" si="6"/>
        <v>34742</v>
      </c>
      <c r="K80" s="70">
        <f t="shared" si="7"/>
        <v>34763</v>
      </c>
      <c r="L80" s="70"/>
      <c r="M80" s="70">
        <v>98</v>
      </c>
      <c r="N80" s="70">
        <v>3</v>
      </c>
      <c r="O80" s="70">
        <v>0</v>
      </c>
      <c r="P80" s="70">
        <v>4445</v>
      </c>
      <c r="Q80" s="70">
        <v>4164</v>
      </c>
      <c r="R80" s="70">
        <v>2012</v>
      </c>
      <c r="S80" s="70" t="s">
        <v>29</v>
      </c>
      <c r="T80" s="70">
        <v>0</v>
      </c>
      <c r="U80" s="70">
        <f t="shared" si="8"/>
        <v>10624</v>
      </c>
      <c r="V80" s="70">
        <f t="shared" si="9"/>
        <v>10722</v>
      </c>
    </row>
    <row r="81" spans="1:22" ht="12" customHeight="1" x14ac:dyDescent="0.2">
      <c r="A81" s="473">
        <v>2004</v>
      </c>
      <c r="B81" s="198">
        <v>0</v>
      </c>
      <c r="C81" s="70">
        <v>9809</v>
      </c>
      <c r="D81" s="70">
        <v>14433</v>
      </c>
      <c r="E81" s="70">
        <v>9670</v>
      </c>
      <c r="F81" s="70">
        <v>4978</v>
      </c>
      <c r="G81" s="70">
        <v>3387</v>
      </c>
      <c r="H81" s="70" t="s">
        <v>29</v>
      </c>
      <c r="I81" s="70">
        <v>0</v>
      </c>
      <c r="J81" s="70">
        <f t="shared" si="6"/>
        <v>42277</v>
      </c>
      <c r="K81" s="70">
        <f t="shared" si="7"/>
        <v>42277</v>
      </c>
      <c r="L81" s="70"/>
      <c r="M81" s="70">
        <v>0</v>
      </c>
      <c r="N81" s="70">
        <v>3</v>
      </c>
      <c r="O81" s="70">
        <v>3</v>
      </c>
      <c r="P81" s="70">
        <v>14114</v>
      </c>
      <c r="Q81" s="70">
        <v>23814</v>
      </c>
      <c r="R81" s="70">
        <v>7361</v>
      </c>
      <c r="S81" s="70" t="s">
        <v>29</v>
      </c>
      <c r="T81" s="70">
        <v>0</v>
      </c>
      <c r="U81" s="70">
        <f t="shared" si="8"/>
        <v>45295</v>
      </c>
      <c r="V81" s="70">
        <f t="shared" si="9"/>
        <v>45295</v>
      </c>
    </row>
    <row r="82" spans="1:22" ht="12" customHeight="1" x14ac:dyDescent="0.2">
      <c r="A82" s="473">
        <v>2005</v>
      </c>
      <c r="B82" s="198">
        <v>0</v>
      </c>
      <c r="C82" s="70">
        <v>4733</v>
      </c>
      <c r="D82" s="70">
        <v>14608</v>
      </c>
      <c r="E82" s="70">
        <v>4272</v>
      </c>
      <c r="F82" s="70">
        <v>7105</v>
      </c>
      <c r="G82" s="70">
        <v>3097</v>
      </c>
      <c r="H82" s="70" t="s">
        <v>29</v>
      </c>
      <c r="I82" s="70">
        <v>0</v>
      </c>
      <c r="J82" s="70">
        <f t="shared" si="6"/>
        <v>33815</v>
      </c>
      <c r="K82" s="70">
        <f t="shared" si="7"/>
        <v>33815</v>
      </c>
      <c r="L82" s="70"/>
      <c r="M82" s="70">
        <v>0</v>
      </c>
      <c r="N82" s="70">
        <v>3</v>
      </c>
      <c r="O82" s="70">
        <v>1</v>
      </c>
      <c r="P82" s="70">
        <v>1715</v>
      </c>
      <c r="Q82" s="70">
        <v>15460</v>
      </c>
      <c r="R82" s="70">
        <v>3972</v>
      </c>
      <c r="S82" s="70" t="s">
        <v>29</v>
      </c>
      <c r="T82" s="70">
        <v>0</v>
      </c>
      <c r="U82" s="70">
        <f t="shared" si="8"/>
        <v>21151</v>
      </c>
      <c r="V82" s="70">
        <f t="shared" si="9"/>
        <v>21151</v>
      </c>
    </row>
    <row r="83" spans="1:22" ht="12" customHeight="1" x14ac:dyDescent="0.2">
      <c r="A83" s="473">
        <v>2006</v>
      </c>
      <c r="B83" s="198">
        <v>6</v>
      </c>
      <c r="C83" s="70">
        <v>2565</v>
      </c>
      <c r="D83" s="70">
        <v>5714</v>
      </c>
      <c r="E83" s="70">
        <v>6827</v>
      </c>
      <c r="F83" s="70">
        <v>5696</v>
      </c>
      <c r="G83" s="70">
        <v>4744</v>
      </c>
      <c r="H83" s="70" t="s">
        <v>29</v>
      </c>
      <c r="I83" s="70">
        <v>35</v>
      </c>
      <c r="J83" s="70">
        <f t="shared" si="6"/>
        <v>25546</v>
      </c>
      <c r="K83" s="70">
        <f t="shared" si="7"/>
        <v>25587</v>
      </c>
      <c r="L83" s="70"/>
      <c r="M83" s="70">
        <v>2</v>
      </c>
      <c r="N83" s="70">
        <v>15</v>
      </c>
      <c r="O83" s="70">
        <v>99</v>
      </c>
      <c r="P83" s="70">
        <v>9928</v>
      </c>
      <c r="Q83" s="70">
        <v>9304</v>
      </c>
      <c r="R83" s="70">
        <v>10418</v>
      </c>
      <c r="S83" s="70" t="s">
        <v>29</v>
      </c>
      <c r="T83" s="70">
        <v>0</v>
      </c>
      <c r="U83" s="70">
        <f t="shared" si="8"/>
        <v>29764</v>
      </c>
      <c r="V83" s="70">
        <f t="shared" si="9"/>
        <v>29766</v>
      </c>
    </row>
    <row r="84" spans="1:22" s="467" customFormat="1" ht="12" customHeight="1" x14ac:dyDescent="0.2">
      <c r="A84" s="477">
        <v>2007</v>
      </c>
      <c r="B84" s="199">
        <v>0</v>
      </c>
      <c r="C84" s="97">
        <v>263</v>
      </c>
      <c r="D84" s="97">
        <v>12532</v>
      </c>
      <c r="E84" s="97">
        <v>2639</v>
      </c>
      <c r="F84" s="97">
        <v>4099</v>
      </c>
      <c r="G84" s="97">
        <v>52</v>
      </c>
      <c r="H84" s="70" t="s">
        <v>29</v>
      </c>
      <c r="I84" s="97">
        <v>0</v>
      </c>
      <c r="J84" s="97">
        <f t="shared" si="6"/>
        <v>19585</v>
      </c>
      <c r="K84" s="97">
        <f t="shared" si="7"/>
        <v>19585</v>
      </c>
      <c r="L84" s="97"/>
      <c r="M84" s="97">
        <v>0</v>
      </c>
      <c r="N84" s="97">
        <v>0</v>
      </c>
      <c r="O84" s="97">
        <v>12</v>
      </c>
      <c r="P84" s="97">
        <v>20862</v>
      </c>
      <c r="Q84" s="97">
        <v>14951</v>
      </c>
      <c r="R84" s="97">
        <v>745</v>
      </c>
      <c r="S84" s="70" t="s">
        <v>29</v>
      </c>
      <c r="T84" s="97">
        <v>0</v>
      </c>
      <c r="U84" s="97">
        <f t="shared" si="8"/>
        <v>36570</v>
      </c>
      <c r="V84" s="97">
        <f t="shared" si="9"/>
        <v>36570</v>
      </c>
    </row>
    <row r="85" spans="1:22" s="467" customFormat="1" ht="12" customHeight="1" x14ac:dyDescent="0.2">
      <c r="A85" s="477">
        <v>2008</v>
      </c>
      <c r="B85" s="199">
        <v>55</v>
      </c>
      <c r="C85" s="97">
        <v>242</v>
      </c>
      <c r="D85" s="97">
        <v>5694</v>
      </c>
      <c r="E85" s="97">
        <v>1066</v>
      </c>
      <c r="F85" s="97">
        <v>3119</v>
      </c>
      <c r="G85" s="97">
        <v>3071</v>
      </c>
      <c r="H85" s="97" t="s">
        <v>29</v>
      </c>
      <c r="I85" s="97">
        <v>0</v>
      </c>
      <c r="J85" s="97">
        <f t="shared" si="6"/>
        <v>13192</v>
      </c>
      <c r="K85" s="97">
        <f t="shared" si="7"/>
        <v>13247</v>
      </c>
      <c r="L85" s="97"/>
      <c r="M85" s="97">
        <v>17</v>
      </c>
      <c r="N85" s="97">
        <v>0</v>
      </c>
      <c r="O85" s="97">
        <v>8</v>
      </c>
      <c r="P85" s="97">
        <v>511</v>
      </c>
      <c r="Q85" s="97">
        <v>2107</v>
      </c>
      <c r="R85" s="97">
        <v>9304</v>
      </c>
      <c r="S85" s="97" t="s">
        <v>29</v>
      </c>
      <c r="T85" s="97">
        <v>0</v>
      </c>
      <c r="U85" s="97">
        <f t="shared" si="8"/>
        <v>11930</v>
      </c>
      <c r="V85" s="97">
        <f t="shared" si="9"/>
        <v>11947</v>
      </c>
    </row>
    <row r="86" spans="1:22" s="467" customFormat="1" ht="12" customHeight="1" x14ac:dyDescent="0.2">
      <c r="A86" s="477">
        <v>2009</v>
      </c>
      <c r="B86" s="199">
        <v>0</v>
      </c>
      <c r="C86" s="97">
        <v>799</v>
      </c>
      <c r="D86" s="97">
        <v>1083</v>
      </c>
      <c r="E86" s="97">
        <v>1615</v>
      </c>
      <c r="F86" s="97">
        <v>1649</v>
      </c>
      <c r="G86" s="97">
        <v>0</v>
      </c>
      <c r="H86" s="97" t="s">
        <v>29</v>
      </c>
      <c r="I86" s="97">
        <v>0</v>
      </c>
      <c r="J86" s="97">
        <f t="shared" si="6"/>
        <v>5146</v>
      </c>
      <c r="K86" s="97">
        <f t="shared" si="7"/>
        <v>5146</v>
      </c>
      <c r="L86" s="97"/>
      <c r="M86" s="97">
        <v>0</v>
      </c>
      <c r="N86" s="97">
        <v>0</v>
      </c>
      <c r="O86" s="97">
        <v>0</v>
      </c>
      <c r="P86" s="97">
        <v>21558</v>
      </c>
      <c r="Q86" s="97">
        <v>23832</v>
      </c>
      <c r="R86" s="97">
        <v>0</v>
      </c>
      <c r="S86" s="97" t="s">
        <v>29</v>
      </c>
      <c r="T86" s="97">
        <v>0</v>
      </c>
      <c r="U86" s="97">
        <f t="shared" si="8"/>
        <v>45390</v>
      </c>
      <c r="V86" s="97">
        <f t="shared" si="9"/>
        <v>45390</v>
      </c>
    </row>
    <row r="87" spans="1:22" s="467" customFormat="1" ht="12" customHeight="1" x14ac:dyDescent="0.2">
      <c r="A87" s="477">
        <v>2010</v>
      </c>
      <c r="B87" s="199">
        <v>0</v>
      </c>
      <c r="C87" s="97">
        <v>231</v>
      </c>
      <c r="D87" s="97">
        <v>8059</v>
      </c>
      <c r="E87" s="97">
        <v>5080</v>
      </c>
      <c r="F87" s="97">
        <v>8486</v>
      </c>
      <c r="G87" s="97">
        <v>957</v>
      </c>
      <c r="H87" s="97" t="s">
        <v>29</v>
      </c>
      <c r="I87" s="97">
        <v>0</v>
      </c>
      <c r="J87" s="97">
        <f t="shared" si="6"/>
        <v>22813</v>
      </c>
      <c r="K87" s="97">
        <f t="shared" si="7"/>
        <v>22813</v>
      </c>
      <c r="L87" s="97"/>
      <c r="M87" s="97">
        <v>0</v>
      </c>
      <c r="N87" s="97">
        <v>0</v>
      </c>
      <c r="O87" s="97">
        <v>13</v>
      </c>
      <c r="P87" s="97">
        <v>1304</v>
      </c>
      <c r="Q87" s="97">
        <v>4580</v>
      </c>
      <c r="R87" s="97">
        <v>2882</v>
      </c>
      <c r="S87" s="97" t="s">
        <v>29</v>
      </c>
      <c r="T87" s="97">
        <v>0</v>
      </c>
      <c r="U87" s="97">
        <f t="shared" si="8"/>
        <v>8779</v>
      </c>
      <c r="V87" s="97">
        <f t="shared" si="9"/>
        <v>8779</v>
      </c>
    </row>
    <row r="88" spans="1:22" s="467" customFormat="1" ht="12" customHeight="1" x14ac:dyDescent="0.2">
      <c r="A88" s="477">
        <v>2011</v>
      </c>
      <c r="B88" s="198">
        <v>0</v>
      </c>
      <c r="C88" s="70">
        <v>535</v>
      </c>
      <c r="D88" s="70">
        <v>7701</v>
      </c>
      <c r="E88" s="70">
        <v>14462</v>
      </c>
      <c r="F88" s="70">
        <v>5014</v>
      </c>
      <c r="G88" s="70">
        <v>359</v>
      </c>
      <c r="H88" s="70" t="s">
        <v>29</v>
      </c>
      <c r="I88" s="70">
        <v>0</v>
      </c>
      <c r="J88" s="70">
        <f t="shared" si="6"/>
        <v>28071</v>
      </c>
      <c r="K88" s="70">
        <f t="shared" si="7"/>
        <v>28071</v>
      </c>
      <c r="L88" s="70"/>
      <c r="M88" s="70">
        <v>0</v>
      </c>
      <c r="N88" s="70">
        <v>0</v>
      </c>
      <c r="O88" s="70">
        <v>0</v>
      </c>
      <c r="P88" s="70">
        <v>1951</v>
      </c>
      <c r="Q88" s="70">
        <v>4196</v>
      </c>
      <c r="R88" s="70">
        <v>6174</v>
      </c>
      <c r="S88" s="70" t="s">
        <v>29</v>
      </c>
      <c r="T88" s="70">
        <v>0</v>
      </c>
      <c r="U88" s="70">
        <f t="shared" si="8"/>
        <v>12321</v>
      </c>
      <c r="V88" s="70">
        <f t="shared" si="9"/>
        <v>12321</v>
      </c>
    </row>
    <row r="89" spans="1:22" s="467" customFormat="1" ht="12" customHeight="1" x14ac:dyDescent="0.2">
      <c r="A89" s="477">
        <v>2012</v>
      </c>
      <c r="B89" s="199">
        <v>0</v>
      </c>
      <c r="C89" s="97">
        <v>2975</v>
      </c>
      <c r="D89" s="97">
        <v>19218</v>
      </c>
      <c r="E89" s="97">
        <v>8805</v>
      </c>
      <c r="F89" s="97">
        <v>13121</v>
      </c>
      <c r="G89" s="97">
        <v>4627</v>
      </c>
      <c r="H89" s="97" t="s">
        <v>29</v>
      </c>
      <c r="I89" s="97">
        <v>0</v>
      </c>
      <c r="J89" s="97">
        <f t="shared" si="6"/>
        <v>48746</v>
      </c>
      <c r="K89" s="97">
        <f t="shared" si="7"/>
        <v>48746</v>
      </c>
      <c r="L89" s="97"/>
      <c r="M89" s="97">
        <v>0</v>
      </c>
      <c r="N89" s="97">
        <v>1</v>
      </c>
      <c r="O89" s="97">
        <v>27</v>
      </c>
      <c r="P89" s="97">
        <v>2131</v>
      </c>
      <c r="Q89" s="97">
        <v>16750</v>
      </c>
      <c r="R89" s="97">
        <v>15524</v>
      </c>
      <c r="S89" s="97" t="s">
        <v>29</v>
      </c>
      <c r="T89" s="97">
        <v>0</v>
      </c>
      <c r="U89" s="97">
        <f t="shared" si="8"/>
        <v>34433</v>
      </c>
      <c r="V89" s="97">
        <f t="shared" si="9"/>
        <v>34433</v>
      </c>
    </row>
    <row r="90" spans="1:22" s="467" customFormat="1" ht="12" customHeight="1" x14ac:dyDescent="0.2">
      <c r="A90" s="477">
        <v>2013</v>
      </c>
      <c r="B90" s="199">
        <v>0</v>
      </c>
      <c r="C90" s="97">
        <v>8983</v>
      </c>
      <c r="D90" s="97">
        <v>13788</v>
      </c>
      <c r="E90" s="97">
        <v>7834</v>
      </c>
      <c r="F90" s="97">
        <v>6995</v>
      </c>
      <c r="G90" s="97">
        <v>2073</v>
      </c>
      <c r="H90" s="97" t="s">
        <v>29</v>
      </c>
      <c r="I90" s="97">
        <v>0</v>
      </c>
      <c r="J90" s="97">
        <f t="shared" si="6"/>
        <v>39673</v>
      </c>
      <c r="K90" s="97">
        <f t="shared" si="7"/>
        <v>39673</v>
      </c>
      <c r="L90" s="97"/>
      <c r="M90" s="97">
        <v>0</v>
      </c>
      <c r="N90" s="97">
        <v>0</v>
      </c>
      <c r="O90" s="97">
        <v>0</v>
      </c>
      <c r="P90" s="97">
        <v>6955</v>
      </c>
      <c r="Q90" s="97">
        <v>33559</v>
      </c>
      <c r="R90" s="97">
        <v>3847</v>
      </c>
      <c r="S90" s="97" t="s">
        <v>29</v>
      </c>
      <c r="T90" s="97">
        <v>1</v>
      </c>
      <c r="U90" s="97">
        <f t="shared" si="8"/>
        <v>44361</v>
      </c>
      <c r="V90" s="97">
        <f t="shared" si="9"/>
        <v>44362</v>
      </c>
    </row>
    <row r="91" spans="1:22" s="467" customFormat="1" ht="12" customHeight="1" x14ac:dyDescent="0.2">
      <c r="A91" s="477">
        <v>2014</v>
      </c>
      <c r="B91" s="199">
        <v>0</v>
      </c>
      <c r="C91" s="97">
        <v>7247</v>
      </c>
      <c r="D91" s="97">
        <v>5754</v>
      </c>
      <c r="E91" s="97">
        <v>4362</v>
      </c>
      <c r="F91" s="97">
        <v>2617</v>
      </c>
      <c r="G91" s="97">
        <v>492</v>
      </c>
      <c r="H91" s="97" t="s">
        <v>29</v>
      </c>
      <c r="I91" s="97">
        <v>0</v>
      </c>
      <c r="J91" s="97">
        <f t="shared" si="6"/>
        <v>20472</v>
      </c>
      <c r="K91" s="97">
        <f t="shared" si="7"/>
        <v>20472</v>
      </c>
      <c r="L91" s="97"/>
      <c r="M91" s="97">
        <v>0</v>
      </c>
      <c r="N91" s="97">
        <v>0</v>
      </c>
      <c r="O91" s="97">
        <v>11</v>
      </c>
      <c r="P91" s="97">
        <v>2852</v>
      </c>
      <c r="Q91" s="97">
        <v>9739</v>
      </c>
      <c r="R91" s="97">
        <v>1070</v>
      </c>
      <c r="S91" s="97" t="s">
        <v>29</v>
      </c>
      <c r="T91" s="97">
        <v>0</v>
      </c>
      <c r="U91" s="97">
        <f t="shared" si="8"/>
        <v>13672</v>
      </c>
      <c r="V91" s="97">
        <f t="shared" si="9"/>
        <v>13672</v>
      </c>
    </row>
    <row r="92" spans="1:22" s="467" customFormat="1" ht="12" customHeight="1" x14ac:dyDescent="0.2">
      <c r="A92" s="477">
        <v>2015</v>
      </c>
      <c r="B92" s="199">
        <v>0</v>
      </c>
      <c r="C92" s="97">
        <v>1196</v>
      </c>
      <c r="D92" s="97">
        <v>17352</v>
      </c>
      <c r="E92" s="97">
        <v>7361</v>
      </c>
      <c r="F92" s="97">
        <v>1153</v>
      </c>
      <c r="G92" s="97">
        <v>189</v>
      </c>
      <c r="H92" s="97" t="s">
        <v>29</v>
      </c>
      <c r="I92" s="97">
        <v>0</v>
      </c>
      <c r="J92" s="97">
        <f t="shared" si="6"/>
        <v>27251</v>
      </c>
      <c r="K92" s="97">
        <f t="shared" si="7"/>
        <v>27251</v>
      </c>
      <c r="L92" s="97"/>
      <c r="M92" s="97">
        <v>0</v>
      </c>
      <c r="N92" s="97">
        <v>0</v>
      </c>
      <c r="O92" s="97">
        <v>0</v>
      </c>
      <c r="P92" s="97">
        <v>881</v>
      </c>
      <c r="Q92" s="97">
        <v>568</v>
      </c>
      <c r="R92" s="97">
        <v>218</v>
      </c>
      <c r="S92" s="97" t="s">
        <v>29</v>
      </c>
      <c r="T92" s="97">
        <v>0</v>
      </c>
      <c r="U92" s="97">
        <f t="shared" si="8"/>
        <v>1667</v>
      </c>
      <c r="V92" s="97">
        <f t="shared" si="9"/>
        <v>1667</v>
      </c>
    </row>
    <row r="93" spans="1:22" s="467" customFormat="1" ht="12" customHeight="1" x14ac:dyDescent="0.2">
      <c r="A93" s="477">
        <v>2016</v>
      </c>
      <c r="B93" s="199">
        <v>0</v>
      </c>
      <c r="C93" s="97">
        <v>372</v>
      </c>
      <c r="D93" s="97">
        <v>12687</v>
      </c>
      <c r="E93" s="97">
        <v>4342</v>
      </c>
      <c r="F93" s="97">
        <v>1036</v>
      </c>
      <c r="G93" s="97">
        <v>0</v>
      </c>
      <c r="H93" s="97" t="s">
        <v>29</v>
      </c>
      <c r="I93" s="97">
        <v>1</v>
      </c>
      <c r="J93" s="97">
        <f t="shared" si="6"/>
        <v>18437</v>
      </c>
      <c r="K93" s="97">
        <f t="shared" si="7"/>
        <v>18438</v>
      </c>
      <c r="L93" s="97"/>
      <c r="M93" s="97">
        <v>0</v>
      </c>
      <c r="N93" s="97">
        <v>0</v>
      </c>
      <c r="O93" s="97">
        <v>0</v>
      </c>
      <c r="P93" s="97">
        <v>15</v>
      </c>
      <c r="Q93" s="97">
        <v>0</v>
      </c>
      <c r="R93" s="97">
        <v>0</v>
      </c>
      <c r="S93" s="97" t="s">
        <v>29</v>
      </c>
      <c r="T93" s="97">
        <v>1</v>
      </c>
      <c r="U93" s="97">
        <f t="shared" si="8"/>
        <v>15</v>
      </c>
      <c r="V93" s="97">
        <f t="shared" si="9"/>
        <v>16</v>
      </c>
    </row>
    <row r="94" spans="1:22" s="467" customFormat="1" ht="12" customHeight="1" x14ac:dyDescent="0.2">
      <c r="A94" s="477">
        <v>2017</v>
      </c>
      <c r="B94" s="199">
        <v>0</v>
      </c>
      <c r="C94" s="97">
        <v>1099</v>
      </c>
      <c r="D94" s="97">
        <v>1297</v>
      </c>
      <c r="E94" s="97">
        <v>15296</v>
      </c>
      <c r="F94" s="97">
        <v>4316</v>
      </c>
      <c r="G94" s="97">
        <v>589</v>
      </c>
      <c r="H94" s="97" t="s">
        <v>29</v>
      </c>
      <c r="I94" s="97">
        <v>0</v>
      </c>
      <c r="J94" s="97">
        <f t="shared" si="6"/>
        <v>22597</v>
      </c>
      <c r="K94" s="97">
        <f t="shared" si="7"/>
        <v>22597</v>
      </c>
      <c r="L94" s="97"/>
      <c r="M94" s="97">
        <v>0</v>
      </c>
      <c r="N94" s="97">
        <v>0</v>
      </c>
      <c r="O94" s="97">
        <v>0</v>
      </c>
      <c r="P94" s="97">
        <v>833</v>
      </c>
      <c r="Q94" s="97">
        <v>6811</v>
      </c>
      <c r="R94" s="97">
        <v>4363</v>
      </c>
      <c r="S94" s="97" t="s">
        <v>29</v>
      </c>
      <c r="T94" s="97">
        <v>0</v>
      </c>
      <c r="U94" s="97">
        <f>SUM(N94:R94)</f>
        <v>12007</v>
      </c>
      <c r="V94" s="97">
        <f>SUM(M94:T94)</f>
        <v>12007</v>
      </c>
    </row>
    <row r="95" spans="1:22" s="467" customFormat="1" ht="12" customHeight="1" x14ac:dyDescent="0.2">
      <c r="A95" s="477">
        <v>2018</v>
      </c>
      <c r="B95" s="199">
        <v>0</v>
      </c>
      <c r="C95" s="97">
        <v>521</v>
      </c>
      <c r="D95" s="97">
        <v>9216</v>
      </c>
      <c r="E95" s="97">
        <v>7952</v>
      </c>
      <c r="F95" s="97">
        <v>1604</v>
      </c>
      <c r="G95" s="97">
        <v>397</v>
      </c>
      <c r="H95" s="333" t="s">
        <v>29</v>
      </c>
      <c r="I95" s="97">
        <v>0</v>
      </c>
      <c r="J95" s="97">
        <f>SUM(C95:G95)</f>
        <v>19690</v>
      </c>
      <c r="K95" s="97">
        <f>SUM(B95:I95)</f>
        <v>19690</v>
      </c>
      <c r="L95" s="97"/>
      <c r="M95" s="97">
        <v>0</v>
      </c>
      <c r="N95" s="97">
        <v>0</v>
      </c>
      <c r="O95" s="97">
        <v>12</v>
      </c>
      <c r="P95" s="97">
        <v>1559</v>
      </c>
      <c r="Q95" s="97">
        <v>4781</v>
      </c>
      <c r="R95" s="97">
        <v>3972</v>
      </c>
      <c r="S95" s="333" t="s">
        <v>29</v>
      </c>
      <c r="T95" s="97">
        <v>0</v>
      </c>
      <c r="U95" s="97">
        <f>SUM(N95:R95)</f>
        <v>10324</v>
      </c>
      <c r="V95" s="97">
        <f>SUM(M95:T95)</f>
        <v>10324</v>
      </c>
    </row>
    <row r="96" spans="1:22" s="487" customFormat="1" ht="12" customHeight="1" x14ac:dyDescent="0.2">
      <c r="A96" s="491">
        <v>2019</v>
      </c>
      <c r="B96" s="199">
        <v>0</v>
      </c>
      <c r="C96" s="97">
        <v>186</v>
      </c>
      <c r="D96" s="97">
        <v>1492</v>
      </c>
      <c r="E96" s="97">
        <v>11589</v>
      </c>
      <c r="F96" s="97">
        <v>2709</v>
      </c>
      <c r="G96" s="97">
        <v>224</v>
      </c>
      <c r="H96" s="333" t="s">
        <v>29</v>
      </c>
      <c r="I96" s="97">
        <v>0</v>
      </c>
      <c r="J96" s="97">
        <f>SUM(C96:G96)</f>
        <v>16200</v>
      </c>
      <c r="K96" s="97">
        <f t="shared" ref="K96" si="10">SUM(B96:I96)</f>
        <v>16200</v>
      </c>
      <c r="L96" s="97"/>
      <c r="M96" s="97">
        <v>0</v>
      </c>
      <c r="N96" s="97">
        <v>0</v>
      </c>
      <c r="O96" s="97">
        <v>0</v>
      </c>
      <c r="P96" s="97">
        <v>13981</v>
      </c>
      <c r="Q96" s="97">
        <v>31842</v>
      </c>
      <c r="R96" s="97">
        <v>5979</v>
      </c>
      <c r="S96" s="333" t="s">
        <v>29</v>
      </c>
      <c r="T96" s="97">
        <v>0</v>
      </c>
      <c r="U96" s="97">
        <f>SUM(N96:R96)</f>
        <v>51802</v>
      </c>
      <c r="V96" s="97">
        <f>SUM(M96:T96)</f>
        <v>51802</v>
      </c>
    </row>
    <row r="97" spans="1:22" ht="12" customHeight="1" x14ac:dyDescent="0.2">
      <c r="A97" s="491" t="s">
        <v>392</v>
      </c>
      <c r="B97" s="198">
        <v>0</v>
      </c>
      <c r="C97" s="70">
        <v>0</v>
      </c>
      <c r="D97" s="70">
        <v>0</v>
      </c>
      <c r="E97" s="70">
        <v>290</v>
      </c>
      <c r="F97" s="70">
        <v>1500</v>
      </c>
      <c r="G97" s="70">
        <v>44</v>
      </c>
      <c r="H97" s="332" t="s">
        <v>29</v>
      </c>
      <c r="I97" s="70">
        <v>0</v>
      </c>
      <c r="J97" s="97">
        <f>SUM(C97:G97)</f>
        <v>1834</v>
      </c>
      <c r="K97" s="70">
        <f t="shared" si="7"/>
        <v>1834</v>
      </c>
      <c r="L97" s="70"/>
      <c r="M97" s="97">
        <v>0</v>
      </c>
      <c r="N97" s="97">
        <v>0</v>
      </c>
      <c r="O97" s="97">
        <v>0</v>
      </c>
      <c r="P97" s="97">
        <v>348</v>
      </c>
      <c r="Q97" s="97">
        <v>10377</v>
      </c>
      <c r="R97" s="97">
        <v>2723</v>
      </c>
      <c r="S97" s="333" t="s">
        <v>29</v>
      </c>
      <c r="T97" s="70">
        <v>0</v>
      </c>
      <c r="U97" s="97">
        <f>SUM(N97:R97)</f>
        <v>13448</v>
      </c>
      <c r="V97" s="70">
        <f>SUM(M97:T97)</f>
        <v>13448</v>
      </c>
    </row>
    <row r="98" spans="1:22" ht="12" customHeight="1" x14ac:dyDescent="0.2">
      <c r="B98" s="198"/>
      <c r="C98" s="70"/>
      <c r="D98" s="70"/>
      <c r="E98" s="70"/>
      <c r="F98" s="70"/>
      <c r="G98" s="70"/>
      <c r="H98" s="70"/>
      <c r="I98" s="70"/>
      <c r="J98" s="70"/>
      <c r="K98" s="70"/>
      <c r="L98" s="70"/>
      <c r="M98" s="70"/>
      <c r="N98" s="70"/>
      <c r="O98" s="70"/>
      <c r="P98" s="70"/>
      <c r="Q98" s="70"/>
      <c r="R98" s="70"/>
      <c r="S98" s="70"/>
      <c r="T98" s="70"/>
      <c r="U98" s="70"/>
      <c r="V98" s="233"/>
    </row>
    <row r="99" spans="1:22" ht="12" customHeight="1" x14ac:dyDescent="0.2">
      <c r="A99" s="116" t="s">
        <v>297</v>
      </c>
      <c r="B99" s="232"/>
      <c r="C99" s="70"/>
      <c r="D99" s="70"/>
      <c r="E99" s="70"/>
      <c r="F99" s="70"/>
      <c r="G99" s="70"/>
      <c r="H99" s="70"/>
      <c r="I99" s="70"/>
      <c r="J99" s="70"/>
      <c r="K99" s="70"/>
      <c r="L99" s="70"/>
      <c r="M99" s="70"/>
      <c r="N99" s="70"/>
      <c r="O99" s="70"/>
      <c r="P99" s="70"/>
      <c r="Q99" s="70"/>
      <c r="R99" s="70"/>
      <c r="S99" s="70"/>
      <c r="T99" s="70"/>
      <c r="U99" s="70"/>
      <c r="V99" s="231"/>
    </row>
    <row r="100" spans="1:22" ht="12" customHeight="1" x14ac:dyDescent="0.2">
      <c r="A100" s="473">
        <v>1976</v>
      </c>
      <c r="B100" s="198">
        <v>0</v>
      </c>
      <c r="C100" s="70">
        <v>102</v>
      </c>
      <c r="D100" s="70">
        <v>455</v>
      </c>
      <c r="E100" s="70">
        <v>649</v>
      </c>
      <c r="F100" s="70">
        <v>377</v>
      </c>
      <c r="G100" s="70">
        <v>45</v>
      </c>
      <c r="H100" s="70">
        <v>0</v>
      </c>
      <c r="I100" s="70">
        <v>0</v>
      </c>
      <c r="J100" s="70">
        <f t="shared" ref="J100:J144" si="11">SUM(C100:G100)</f>
        <v>1628</v>
      </c>
      <c r="K100" s="70">
        <f t="shared" ref="K100:K144" si="12">SUM(B100:I100)</f>
        <v>1628</v>
      </c>
      <c r="L100" s="70"/>
      <c r="M100" s="70">
        <v>0</v>
      </c>
      <c r="N100" s="70">
        <v>0</v>
      </c>
      <c r="O100" s="70">
        <v>403</v>
      </c>
      <c r="P100" s="70">
        <v>1287</v>
      </c>
      <c r="Q100" s="70">
        <v>481</v>
      </c>
      <c r="R100" s="70">
        <v>34</v>
      </c>
      <c r="S100" s="70">
        <v>0</v>
      </c>
      <c r="T100" s="70">
        <v>0</v>
      </c>
      <c r="U100" s="70">
        <f t="shared" ref="U100:U141" si="13">SUM(N100:R100)</f>
        <v>2205</v>
      </c>
      <c r="V100" s="70">
        <f t="shared" ref="V100:V144" si="14">SUM(M100:T100)</f>
        <v>2205</v>
      </c>
    </row>
    <row r="101" spans="1:22" ht="12" customHeight="1" x14ac:dyDescent="0.2">
      <c r="A101" s="473">
        <v>1977</v>
      </c>
      <c r="B101" s="198">
        <v>0</v>
      </c>
      <c r="C101" s="70">
        <v>23</v>
      </c>
      <c r="D101" s="70">
        <v>145</v>
      </c>
      <c r="E101" s="70">
        <v>335</v>
      </c>
      <c r="F101" s="70">
        <v>147</v>
      </c>
      <c r="G101" s="70">
        <v>79</v>
      </c>
      <c r="H101" s="70">
        <v>0</v>
      </c>
      <c r="I101" s="70">
        <v>0</v>
      </c>
      <c r="J101" s="70">
        <f t="shared" si="11"/>
        <v>729</v>
      </c>
      <c r="K101" s="70">
        <f t="shared" si="12"/>
        <v>729</v>
      </c>
      <c r="L101" s="70"/>
      <c r="M101" s="70">
        <v>0</v>
      </c>
      <c r="N101" s="70">
        <v>0</v>
      </c>
      <c r="O101" s="70">
        <v>3304</v>
      </c>
      <c r="P101" s="70">
        <v>477</v>
      </c>
      <c r="Q101" s="70">
        <v>521</v>
      </c>
      <c r="R101" s="70">
        <v>75</v>
      </c>
      <c r="S101" s="70">
        <v>0</v>
      </c>
      <c r="T101" s="70">
        <v>0</v>
      </c>
      <c r="U101" s="70">
        <f t="shared" si="13"/>
        <v>4377</v>
      </c>
      <c r="V101" s="70">
        <f t="shared" si="14"/>
        <v>4377</v>
      </c>
    </row>
    <row r="102" spans="1:22" ht="12" customHeight="1" x14ac:dyDescent="0.2">
      <c r="A102" s="473">
        <v>1978</v>
      </c>
      <c r="B102" s="198">
        <v>0</v>
      </c>
      <c r="C102" s="70">
        <v>9</v>
      </c>
      <c r="D102" s="70">
        <v>39</v>
      </c>
      <c r="E102" s="70">
        <v>139</v>
      </c>
      <c r="F102" s="70">
        <v>49</v>
      </c>
      <c r="G102" s="70">
        <v>10</v>
      </c>
      <c r="H102" s="70">
        <v>0</v>
      </c>
      <c r="I102" s="70">
        <v>0</v>
      </c>
      <c r="J102" s="70">
        <f t="shared" si="11"/>
        <v>246</v>
      </c>
      <c r="K102" s="70">
        <f t="shared" si="12"/>
        <v>246</v>
      </c>
      <c r="L102" s="70"/>
      <c r="M102" s="70">
        <v>0</v>
      </c>
      <c r="N102" s="70">
        <v>178</v>
      </c>
      <c r="O102" s="70">
        <v>1743</v>
      </c>
      <c r="P102" s="70">
        <v>630</v>
      </c>
      <c r="Q102" s="70">
        <v>362</v>
      </c>
      <c r="R102" s="70">
        <v>62</v>
      </c>
      <c r="S102" s="70">
        <v>0</v>
      </c>
      <c r="T102" s="70">
        <v>0</v>
      </c>
      <c r="U102" s="70">
        <f t="shared" si="13"/>
        <v>2975</v>
      </c>
      <c r="V102" s="70">
        <f t="shared" si="14"/>
        <v>2975</v>
      </c>
    </row>
    <row r="103" spans="1:22" ht="12" customHeight="1" x14ac:dyDescent="0.2">
      <c r="A103" s="473">
        <v>1979</v>
      </c>
      <c r="B103" s="198">
        <v>0</v>
      </c>
      <c r="C103" s="70">
        <v>367</v>
      </c>
      <c r="D103" s="70">
        <v>122</v>
      </c>
      <c r="E103" s="70">
        <v>41</v>
      </c>
      <c r="F103" s="70">
        <v>60</v>
      </c>
      <c r="G103" s="70">
        <v>0</v>
      </c>
      <c r="H103" s="70">
        <v>0</v>
      </c>
      <c r="I103" s="70">
        <v>0</v>
      </c>
      <c r="J103" s="70">
        <f t="shared" si="11"/>
        <v>590</v>
      </c>
      <c r="K103" s="70">
        <f t="shared" si="12"/>
        <v>590</v>
      </c>
      <c r="L103" s="70"/>
      <c r="M103" s="70">
        <v>0</v>
      </c>
      <c r="N103" s="70">
        <v>1044</v>
      </c>
      <c r="O103" s="70">
        <v>2837</v>
      </c>
      <c r="P103" s="70">
        <v>970</v>
      </c>
      <c r="Q103" s="70">
        <v>724</v>
      </c>
      <c r="R103" s="70">
        <v>0</v>
      </c>
      <c r="S103" s="70">
        <v>0</v>
      </c>
      <c r="T103" s="70">
        <v>0</v>
      </c>
      <c r="U103" s="70">
        <f t="shared" si="13"/>
        <v>5575</v>
      </c>
      <c r="V103" s="70">
        <f t="shared" si="14"/>
        <v>5575</v>
      </c>
    </row>
    <row r="104" spans="1:22" ht="12" customHeight="1" x14ac:dyDescent="0.2">
      <c r="A104" s="473">
        <v>1980</v>
      </c>
      <c r="B104" s="198">
        <v>0</v>
      </c>
      <c r="C104" s="70">
        <v>88</v>
      </c>
      <c r="D104" s="70">
        <v>453</v>
      </c>
      <c r="E104" s="70">
        <v>1252</v>
      </c>
      <c r="F104" s="70">
        <v>77</v>
      </c>
      <c r="G104" s="70">
        <v>0</v>
      </c>
      <c r="H104" s="70">
        <v>0</v>
      </c>
      <c r="I104" s="70">
        <v>0</v>
      </c>
      <c r="J104" s="70">
        <f t="shared" si="11"/>
        <v>1870</v>
      </c>
      <c r="K104" s="70">
        <f t="shared" si="12"/>
        <v>1870</v>
      </c>
      <c r="L104" s="70"/>
      <c r="M104" s="70">
        <v>0</v>
      </c>
      <c r="N104" s="70">
        <v>1981</v>
      </c>
      <c r="O104" s="70">
        <v>9831</v>
      </c>
      <c r="P104" s="70">
        <v>2780</v>
      </c>
      <c r="Q104" s="70">
        <v>324</v>
      </c>
      <c r="R104" s="70">
        <v>0</v>
      </c>
      <c r="S104" s="70">
        <v>0</v>
      </c>
      <c r="T104" s="70">
        <v>0</v>
      </c>
      <c r="U104" s="70">
        <f t="shared" si="13"/>
        <v>14916</v>
      </c>
      <c r="V104" s="70">
        <f t="shared" si="14"/>
        <v>14916</v>
      </c>
    </row>
    <row r="105" spans="1:22" ht="12" customHeight="1" x14ac:dyDescent="0.2">
      <c r="A105" s="473">
        <v>1981</v>
      </c>
      <c r="B105" s="198">
        <v>0</v>
      </c>
      <c r="C105" s="70">
        <v>355</v>
      </c>
      <c r="D105" s="70">
        <v>760</v>
      </c>
      <c r="E105" s="70">
        <v>1273</v>
      </c>
      <c r="F105" s="70">
        <v>95</v>
      </c>
      <c r="G105" s="70">
        <v>30</v>
      </c>
      <c r="H105" s="70">
        <v>0</v>
      </c>
      <c r="I105" s="70">
        <v>0</v>
      </c>
      <c r="J105" s="70">
        <f t="shared" si="11"/>
        <v>2513</v>
      </c>
      <c r="K105" s="70">
        <f t="shared" si="12"/>
        <v>2513</v>
      </c>
      <c r="L105" s="70"/>
      <c r="M105" s="70">
        <v>0</v>
      </c>
      <c r="N105" s="70">
        <v>151</v>
      </c>
      <c r="O105" s="70">
        <v>3596</v>
      </c>
      <c r="P105" s="70">
        <v>3143</v>
      </c>
      <c r="Q105" s="70">
        <v>584</v>
      </c>
      <c r="R105" s="70">
        <v>4053</v>
      </c>
      <c r="S105" s="70">
        <v>0</v>
      </c>
      <c r="T105" s="70">
        <v>0</v>
      </c>
      <c r="U105" s="70">
        <f t="shared" si="13"/>
        <v>11527</v>
      </c>
      <c r="V105" s="70">
        <f t="shared" si="14"/>
        <v>11527</v>
      </c>
    </row>
    <row r="106" spans="1:22" ht="12" customHeight="1" x14ac:dyDescent="0.2">
      <c r="A106" s="473">
        <v>1982</v>
      </c>
      <c r="B106" s="198">
        <v>0</v>
      </c>
      <c r="C106" s="70">
        <v>161</v>
      </c>
      <c r="D106" s="70">
        <v>239</v>
      </c>
      <c r="E106" s="70">
        <v>1273</v>
      </c>
      <c r="F106" s="70">
        <v>783</v>
      </c>
      <c r="G106" s="70">
        <v>272</v>
      </c>
      <c r="H106" s="70" t="s">
        <v>29</v>
      </c>
      <c r="I106" s="70" t="s">
        <v>29</v>
      </c>
      <c r="J106" s="70">
        <f t="shared" si="11"/>
        <v>2728</v>
      </c>
      <c r="K106" s="70">
        <f t="shared" si="12"/>
        <v>2728</v>
      </c>
      <c r="L106" s="70"/>
      <c r="M106" s="70">
        <v>0</v>
      </c>
      <c r="N106" s="70">
        <v>0</v>
      </c>
      <c r="O106" s="70">
        <v>5254</v>
      </c>
      <c r="P106" s="70">
        <v>3038</v>
      </c>
      <c r="Q106" s="70">
        <v>11004</v>
      </c>
      <c r="R106" s="70">
        <v>5313</v>
      </c>
      <c r="S106" s="70" t="s">
        <v>29</v>
      </c>
      <c r="T106" s="70" t="s">
        <v>29</v>
      </c>
      <c r="U106" s="70">
        <f t="shared" si="13"/>
        <v>24609</v>
      </c>
      <c r="V106" s="70">
        <f t="shared" si="14"/>
        <v>24609</v>
      </c>
    </row>
    <row r="107" spans="1:22" ht="12" customHeight="1" x14ac:dyDescent="0.2">
      <c r="A107" s="473">
        <v>1983</v>
      </c>
      <c r="B107" s="198">
        <v>0</v>
      </c>
      <c r="C107" s="70">
        <v>523</v>
      </c>
      <c r="D107" s="70">
        <v>531</v>
      </c>
      <c r="E107" s="70">
        <v>696</v>
      </c>
      <c r="F107" s="70">
        <v>210</v>
      </c>
      <c r="G107" s="70">
        <v>0</v>
      </c>
      <c r="H107" s="70" t="s">
        <v>29</v>
      </c>
      <c r="I107" s="70" t="s">
        <v>29</v>
      </c>
      <c r="J107" s="70">
        <f t="shared" si="11"/>
        <v>1960</v>
      </c>
      <c r="K107" s="70">
        <f t="shared" si="12"/>
        <v>1960</v>
      </c>
      <c r="L107" s="70"/>
      <c r="M107" s="70">
        <v>0</v>
      </c>
      <c r="N107" s="70">
        <v>0</v>
      </c>
      <c r="O107" s="70">
        <v>1977</v>
      </c>
      <c r="P107" s="70">
        <v>1565</v>
      </c>
      <c r="Q107" s="70">
        <v>2456</v>
      </c>
      <c r="R107" s="70">
        <v>0</v>
      </c>
      <c r="S107" s="70" t="s">
        <v>29</v>
      </c>
      <c r="T107" s="70" t="s">
        <v>29</v>
      </c>
      <c r="U107" s="70">
        <f t="shared" si="13"/>
        <v>5998</v>
      </c>
      <c r="V107" s="70">
        <f t="shared" si="14"/>
        <v>5998</v>
      </c>
    </row>
    <row r="108" spans="1:22" ht="12" customHeight="1" x14ac:dyDescent="0.2">
      <c r="A108" s="473">
        <v>1984</v>
      </c>
      <c r="B108" s="198">
        <v>0</v>
      </c>
      <c r="C108" s="70">
        <v>131</v>
      </c>
      <c r="D108" s="70">
        <v>8</v>
      </c>
      <c r="E108" s="70">
        <v>107</v>
      </c>
      <c r="F108" s="70">
        <v>414</v>
      </c>
      <c r="G108" s="70">
        <v>0</v>
      </c>
      <c r="H108" s="70" t="s">
        <v>29</v>
      </c>
      <c r="I108" s="70" t="s">
        <v>29</v>
      </c>
      <c r="J108" s="70">
        <f t="shared" si="11"/>
        <v>660</v>
      </c>
      <c r="K108" s="70">
        <f t="shared" si="12"/>
        <v>660</v>
      </c>
      <c r="L108" s="70"/>
      <c r="M108" s="70">
        <v>0</v>
      </c>
      <c r="N108" s="70">
        <v>0</v>
      </c>
      <c r="O108" s="70">
        <v>0</v>
      </c>
      <c r="P108" s="70">
        <v>2377</v>
      </c>
      <c r="Q108" s="70">
        <v>7515</v>
      </c>
      <c r="R108" s="70">
        <v>0</v>
      </c>
      <c r="S108" s="70" t="s">
        <v>29</v>
      </c>
      <c r="T108" s="70" t="s">
        <v>29</v>
      </c>
      <c r="U108" s="70">
        <f t="shared" si="13"/>
        <v>9892</v>
      </c>
      <c r="V108" s="70">
        <f t="shared" si="14"/>
        <v>9892</v>
      </c>
    </row>
    <row r="109" spans="1:22" ht="12" customHeight="1" x14ac:dyDescent="0.2">
      <c r="A109" s="473">
        <v>1985</v>
      </c>
      <c r="B109" s="198">
        <v>0</v>
      </c>
      <c r="C109" s="70">
        <v>45</v>
      </c>
      <c r="D109" s="70">
        <v>68</v>
      </c>
      <c r="E109" s="70">
        <v>785</v>
      </c>
      <c r="F109" s="70">
        <v>1040</v>
      </c>
      <c r="G109" s="70">
        <v>760</v>
      </c>
      <c r="H109" s="70" t="s">
        <v>29</v>
      </c>
      <c r="I109" s="70" t="s">
        <v>29</v>
      </c>
      <c r="J109" s="70">
        <f t="shared" si="11"/>
        <v>2698</v>
      </c>
      <c r="K109" s="70">
        <f t="shared" si="12"/>
        <v>2698</v>
      </c>
      <c r="L109" s="70"/>
      <c r="M109" s="70">
        <v>0</v>
      </c>
      <c r="N109" s="70">
        <v>0</v>
      </c>
      <c r="O109" s="70">
        <v>429</v>
      </c>
      <c r="P109" s="70">
        <v>16387</v>
      </c>
      <c r="Q109" s="70">
        <v>10408</v>
      </c>
      <c r="R109" s="70">
        <v>4909</v>
      </c>
      <c r="S109" s="70" t="s">
        <v>29</v>
      </c>
      <c r="T109" s="70" t="s">
        <v>29</v>
      </c>
      <c r="U109" s="70">
        <f t="shared" si="13"/>
        <v>32133</v>
      </c>
      <c r="V109" s="70">
        <f t="shared" si="14"/>
        <v>32133</v>
      </c>
    </row>
    <row r="110" spans="1:22" ht="12" customHeight="1" x14ac:dyDescent="0.2">
      <c r="A110" s="473">
        <v>1986</v>
      </c>
      <c r="B110" s="198">
        <v>0</v>
      </c>
      <c r="C110" s="70">
        <v>613</v>
      </c>
      <c r="D110" s="70">
        <v>1700</v>
      </c>
      <c r="E110" s="70">
        <v>1450</v>
      </c>
      <c r="F110" s="70">
        <v>87</v>
      </c>
      <c r="G110" s="70">
        <v>0</v>
      </c>
      <c r="H110" s="70" t="s">
        <v>29</v>
      </c>
      <c r="I110" s="70" t="s">
        <v>29</v>
      </c>
      <c r="J110" s="70">
        <f t="shared" si="11"/>
        <v>3850</v>
      </c>
      <c r="K110" s="70">
        <f t="shared" si="12"/>
        <v>3850</v>
      </c>
      <c r="L110" s="70"/>
      <c r="M110" s="70">
        <v>0</v>
      </c>
      <c r="N110" s="70">
        <v>0</v>
      </c>
      <c r="O110" s="70">
        <v>13472</v>
      </c>
      <c r="P110" s="70">
        <v>17409</v>
      </c>
      <c r="Q110" s="70">
        <v>1913</v>
      </c>
      <c r="R110" s="70">
        <v>0</v>
      </c>
      <c r="S110" s="70" t="s">
        <v>29</v>
      </c>
      <c r="T110" s="70" t="s">
        <v>29</v>
      </c>
      <c r="U110" s="70">
        <f t="shared" si="13"/>
        <v>32794</v>
      </c>
      <c r="V110" s="70">
        <f t="shared" si="14"/>
        <v>32794</v>
      </c>
    </row>
    <row r="111" spans="1:22" ht="12" customHeight="1" x14ac:dyDescent="0.2">
      <c r="A111" s="473">
        <v>1987</v>
      </c>
      <c r="B111" s="198">
        <v>0</v>
      </c>
      <c r="C111" s="70">
        <v>1267</v>
      </c>
      <c r="D111" s="70">
        <v>0</v>
      </c>
      <c r="E111" s="70">
        <v>353</v>
      </c>
      <c r="F111" s="70">
        <v>1679</v>
      </c>
      <c r="G111" s="70">
        <v>0</v>
      </c>
      <c r="H111" s="70" t="s">
        <v>29</v>
      </c>
      <c r="I111" s="70" t="s">
        <v>29</v>
      </c>
      <c r="J111" s="70">
        <f t="shared" si="11"/>
        <v>3299</v>
      </c>
      <c r="K111" s="70">
        <f t="shared" si="12"/>
        <v>3299</v>
      </c>
      <c r="L111" s="70"/>
      <c r="M111" s="70">
        <v>0</v>
      </c>
      <c r="N111" s="70">
        <v>0</v>
      </c>
      <c r="O111" s="70">
        <v>0</v>
      </c>
      <c r="P111" s="70">
        <v>8566</v>
      </c>
      <c r="Q111" s="70">
        <v>13729</v>
      </c>
      <c r="R111" s="70">
        <v>0</v>
      </c>
      <c r="S111" s="70" t="s">
        <v>29</v>
      </c>
      <c r="T111" s="70" t="s">
        <v>29</v>
      </c>
      <c r="U111" s="70">
        <f t="shared" si="13"/>
        <v>22295</v>
      </c>
      <c r="V111" s="70">
        <f t="shared" si="14"/>
        <v>22295</v>
      </c>
    </row>
    <row r="112" spans="1:22" ht="12" customHeight="1" x14ac:dyDescent="0.2">
      <c r="A112" s="473">
        <v>1988</v>
      </c>
      <c r="B112" s="198">
        <v>0</v>
      </c>
      <c r="C112" s="70">
        <v>1907</v>
      </c>
      <c r="D112" s="70">
        <v>2136</v>
      </c>
      <c r="E112" s="70">
        <v>1150</v>
      </c>
      <c r="F112" s="70">
        <v>427</v>
      </c>
      <c r="G112" s="70">
        <v>73</v>
      </c>
      <c r="H112" s="70" t="s">
        <v>29</v>
      </c>
      <c r="I112" s="70" t="s">
        <v>29</v>
      </c>
      <c r="J112" s="70">
        <f t="shared" si="11"/>
        <v>5693</v>
      </c>
      <c r="K112" s="70">
        <f t="shared" si="12"/>
        <v>5693</v>
      </c>
      <c r="L112" s="70"/>
      <c r="M112" s="70">
        <v>0</v>
      </c>
      <c r="N112" s="70">
        <v>0</v>
      </c>
      <c r="O112" s="70">
        <v>0</v>
      </c>
      <c r="P112" s="70">
        <v>4536</v>
      </c>
      <c r="Q112" s="70">
        <v>6744</v>
      </c>
      <c r="R112" s="70">
        <v>2041</v>
      </c>
      <c r="S112" s="70" t="s">
        <v>29</v>
      </c>
      <c r="T112" s="70" t="s">
        <v>29</v>
      </c>
      <c r="U112" s="70">
        <f t="shared" si="13"/>
        <v>13321</v>
      </c>
      <c r="V112" s="70">
        <f t="shared" si="14"/>
        <v>13321</v>
      </c>
    </row>
    <row r="113" spans="1:23" ht="12" customHeight="1" x14ac:dyDescent="0.2">
      <c r="A113" s="473">
        <v>1989</v>
      </c>
      <c r="B113" s="198">
        <v>0</v>
      </c>
      <c r="C113" s="70">
        <v>824</v>
      </c>
      <c r="D113" s="70">
        <v>649</v>
      </c>
      <c r="E113" s="70">
        <v>2502</v>
      </c>
      <c r="F113" s="70">
        <v>1039</v>
      </c>
      <c r="G113" s="70">
        <v>724</v>
      </c>
      <c r="H113" s="70" t="s">
        <v>29</v>
      </c>
      <c r="I113" s="70" t="s">
        <v>29</v>
      </c>
      <c r="J113" s="70">
        <f t="shared" si="11"/>
        <v>5738</v>
      </c>
      <c r="K113" s="70">
        <f t="shared" si="12"/>
        <v>5738</v>
      </c>
      <c r="L113" s="70"/>
      <c r="M113" s="70">
        <v>0</v>
      </c>
      <c r="N113" s="70">
        <v>0</v>
      </c>
      <c r="O113" s="70">
        <v>0</v>
      </c>
      <c r="P113" s="70">
        <v>4439</v>
      </c>
      <c r="Q113" s="70">
        <v>3020</v>
      </c>
      <c r="R113" s="70">
        <v>6455</v>
      </c>
      <c r="S113" s="70" t="s">
        <v>29</v>
      </c>
      <c r="T113" s="70" t="s">
        <v>29</v>
      </c>
      <c r="U113" s="70">
        <f t="shared" si="13"/>
        <v>13914</v>
      </c>
      <c r="V113" s="70">
        <f t="shared" si="14"/>
        <v>13914</v>
      </c>
    </row>
    <row r="114" spans="1:23" ht="12" customHeight="1" x14ac:dyDescent="0.2">
      <c r="A114" s="473">
        <v>1990</v>
      </c>
      <c r="B114" s="198">
        <v>0</v>
      </c>
      <c r="C114" s="70">
        <v>700</v>
      </c>
      <c r="D114" s="70">
        <v>234</v>
      </c>
      <c r="E114" s="70">
        <v>4767</v>
      </c>
      <c r="F114" s="70">
        <v>488</v>
      </c>
      <c r="G114" s="70">
        <v>499</v>
      </c>
      <c r="H114" s="70" t="s">
        <v>29</v>
      </c>
      <c r="I114" s="70" t="s">
        <v>29</v>
      </c>
      <c r="J114" s="70">
        <f t="shared" si="11"/>
        <v>6688</v>
      </c>
      <c r="K114" s="70">
        <f t="shared" si="12"/>
        <v>6688</v>
      </c>
      <c r="L114" s="70"/>
      <c r="M114" s="70">
        <v>0</v>
      </c>
      <c r="N114" s="70">
        <v>0</v>
      </c>
      <c r="O114" s="70">
        <v>0</v>
      </c>
      <c r="P114" s="70">
        <v>7200</v>
      </c>
      <c r="Q114" s="70">
        <v>9698</v>
      </c>
      <c r="R114" s="70">
        <v>2755</v>
      </c>
      <c r="S114" s="70" t="s">
        <v>29</v>
      </c>
      <c r="T114" s="70" t="s">
        <v>29</v>
      </c>
      <c r="U114" s="70">
        <f t="shared" si="13"/>
        <v>19653</v>
      </c>
      <c r="V114" s="70">
        <f t="shared" si="14"/>
        <v>19653</v>
      </c>
    </row>
    <row r="115" spans="1:23" ht="12" customHeight="1" x14ac:dyDescent="0.2">
      <c r="A115" s="473">
        <v>1991</v>
      </c>
      <c r="B115" s="198">
        <v>0</v>
      </c>
      <c r="C115" s="70">
        <v>189</v>
      </c>
      <c r="D115" s="70">
        <v>212</v>
      </c>
      <c r="E115" s="70">
        <v>534</v>
      </c>
      <c r="F115" s="70">
        <v>1659</v>
      </c>
      <c r="G115" s="70">
        <v>0</v>
      </c>
      <c r="H115" s="70" t="s">
        <v>29</v>
      </c>
      <c r="I115" s="70" t="s">
        <v>29</v>
      </c>
      <c r="J115" s="70">
        <f t="shared" si="11"/>
        <v>2594</v>
      </c>
      <c r="K115" s="70">
        <f t="shared" si="12"/>
        <v>2594</v>
      </c>
      <c r="L115" s="70"/>
      <c r="M115" s="70">
        <v>0</v>
      </c>
      <c r="N115" s="70">
        <v>0</v>
      </c>
      <c r="O115" s="70">
        <v>0</v>
      </c>
      <c r="P115" s="70">
        <v>4936</v>
      </c>
      <c r="Q115" s="70">
        <v>15520</v>
      </c>
      <c r="R115" s="70">
        <v>0</v>
      </c>
      <c r="S115" s="70" t="s">
        <v>29</v>
      </c>
      <c r="T115" s="70" t="s">
        <v>29</v>
      </c>
      <c r="U115" s="70">
        <f t="shared" si="13"/>
        <v>20456</v>
      </c>
      <c r="V115" s="70">
        <f t="shared" si="14"/>
        <v>20456</v>
      </c>
      <c r="W115" s="30"/>
    </row>
    <row r="116" spans="1:23" ht="12" customHeight="1" x14ac:dyDescent="0.2">
      <c r="A116" s="473">
        <v>1992</v>
      </c>
      <c r="B116" s="198">
        <v>0</v>
      </c>
      <c r="C116" s="70">
        <v>0</v>
      </c>
      <c r="D116" s="70">
        <v>27</v>
      </c>
      <c r="E116" s="70">
        <v>1041</v>
      </c>
      <c r="F116" s="70">
        <v>925</v>
      </c>
      <c r="G116" s="70">
        <v>0</v>
      </c>
      <c r="H116" s="70" t="s">
        <v>29</v>
      </c>
      <c r="I116" s="70" t="s">
        <v>29</v>
      </c>
      <c r="J116" s="70">
        <f t="shared" si="11"/>
        <v>1993</v>
      </c>
      <c r="K116" s="70">
        <f t="shared" si="12"/>
        <v>1993</v>
      </c>
      <c r="L116" s="70"/>
      <c r="M116" s="70">
        <v>0</v>
      </c>
      <c r="N116" s="70">
        <v>0</v>
      </c>
      <c r="O116" s="70">
        <v>0</v>
      </c>
      <c r="P116" s="70">
        <v>8454</v>
      </c>
      <c r="Q116" s="70">
        <v>9371</v>
      </c>
      <c r="R116" s="70">
        <v>0</v>
      </c>
      <c r="S116" s="70" t="s">
        <v>29</v>
      </c>
      <c r="T116" s="70" t="s">
        <v>29</v>
      </c>
      <c r="U116" s="70">
        <f t="shared" si="13"/>
        <v>17825</v>
      </c>
      <c r="V116" s="70">
        <f t="shared" si="14"/>
        <v>17825</v>
      </c>
      <c r="W116" s="30"/>
    </row>
    <row r="117" spans="1:23" ht="12" customHeight="1" x14ac:dyDescent="0.2">
      <c r="A117" s="473">
        <v>1993</v>
      </c>
      <c r="B117" s="198">
        <v>0</v>
      </c>
      <c r="C117" s="70">
        <v>19</v>
      </c>
      <c r="D117" s="70">
        <v>5</v>
      </c>
      <c r="E117" s="70">
        <v>746</v>
      </c>
      <c r="F117" s="70">
        <v>404</v>
      </c>
      <c r="G117" s="70">
        <v>112</v>
      </c>
      <c r="H117" s="70" t="s">
        <v>29</v>
      </c>
      <c r="I117" s="70" t="s">
        <v>29</v>
      </c>
      <c r="J117" s="70">
        <f t="shared" si="11"/>
        <v>1286</v>
      </c>
      <c r="K117" s="70">
        <f t="shared" si="12"/>
        <v>1286</v>
      </c>
      <c r="L117" s="70"/>
      <c r="M117" s="70">
        <v>0</v>
      </c>
      <c r="N117" s="70">
        <v>0</v>
      </c>
      <c r="O117" s="70">
        <v>0</v>
      </c>
      <c r="P117" s="70">
        <v>926</v>
      </c>
      <c r="Q117" s="70">
        <v>5487</v>
      </c>
      <c r="R117" s="70">
        <v>1005</v>
      </c>
      <c r="S117" s="70" t="s">
        <v>29</v>
      </c>
      <c r="T117" s="70" t="s">
        <v>29</v>
      </c>
      <c r="U117" s="70">
        <f t="shared" si="13"/>
        <v>7418</v>
      </c>
      <c r="V117" s="70">
        <f t="shared" si="14"/>
        <v>7418</v>
      </c>
      <c r="W117" s="30"/>
    </row>
    <row r="118" spans="1:23" ht="12" customHeight="1" x14ac:dyDescent="0.2">
      <c r="A118" s="473">
        <v>1994</v>
      </c>
      <c r="B118" s="198">
        <v>0</v>
      </c>
      <c r="C118" s="70">
        <v>97</v>
      </c>
      <c r="D118" s="70">
        <v>1148</v>
      </c>
      <c r="E118" s="70">
        <v>4</v>
      </c>
      <c r="F118" s="70">
        <v>0</v>
      </c>
      <c r="G118" s="70">
        <v>0</v>
      </c>
      <c r="H118" s="70" t="s">
        <v>29</v>
      </c>
      <c r="I118" s="70" t="s">
        <v>29</v>
      </c>
      <c r="J118" s="70">
        <f t="shared" si="11"/>
        <v>1249</v>
      </c>
      <c r="K118" s="70">
        <f t="shared" si="12"/>
        <v>1249</v>
      </c>
      <c r="L118" s="70"/>
      <c r="M118" s="70">
        <v>0</v>
      </c>
      <c r="N118" s="70">
        <v>0</v>
      </c>
      <c r="O118" s="70">
        <v>0</v>
      </c>
      <c r="P118" s="70">
        <v>0</v>
      </c>
      <c r="Q118" s="70">
        <v>0</v>
      </c>
      <c r="R118" s="70">
        <v>0</v>
      </c>
      <c r="S118" s="70" t="s">
        <v>29</v>
      </c>
      <c r="T118" s="70" t="s">
        <v>29</v>
      </c>
      <c r="U118" s="70">
        <f t="shared" si="13"/>
        <v>0</v>
      </c>
      <c r="V118" s="70">
        <f t="shared" si="14"/>
        <v>0</v>
      </c>
      <c r="W118" s="30">
        <v>0</v>
      </c>
    </row>
    <row r="119" spans="1:23" ht="12" customHeight="1" x14ac:dyDescent="0.2">
      <c r="A119" s="473">
        <v>1995</v>
      </c>
      <c r="B119" s="198">
        <v>0</v>
      </c>
      <c r="C119" s="70">
        <v>0</v>
      </c>
      <c r="D119" s="70">
        <v>0</v>
      </c>
      <c r="E119" s="70">
        <v>0</v>
      </c>
      <c r="F119" s="70">
        <v>18</v>
      </c>
      <c r="G119" s="70">
        <v>0</v>
      </c>
      <c r="H119" s="70" t="s">
        <v>29</v>
      </c>
      <c r="I119" s="70" t="s">
        <v>29</v>
      </c>
      <c r="J119" s="70">
        <f t="shared" si="11"/>
        <v>18</v>
      </c>
      <c r="K119" s="70">
        <f t="shared" si="12"/>
        <v>18</v>
      </c>
      <c r="L119" s="70"/>
      <c r="M119" s="70">
        <v>0</v>
      </c>
      <c r="N119" s="70">
        <v>0</v>
      </c>
      <c r="O119" s="70">
        <v>0</v>
      </c>
      <c r="P119" s="70">
        <v>0</v>
      </c>
      <c r="Q119" s="70">
        <v>237</v>
      </c>
      <c r="R119" s="70">
        <v>0</v>
      </c>
      <c r="S119" s="70" t="s">
        <v>29</v>
      </c>
      <c r="T119" s="70" t="s">
        <v>29</v>
      </c>
      <c r="U119" s="70">
        <f t="shared" si="13"/>
        <v>237</v>
      </c>
      <c r="V119" s="70">
        <f t="shared" si="14"/>
        <v>237</v>
      </c>
      <c r="W119" s="30"/>
    </row>
    <row r="120" spans="1:23" ht="12" customHeight="1" x14ac:dyDescent="0.2">
      <c r="A120" s="473">
        <v>1996</v>
      </c>
      <c r="B120" s="198">
        <v>0</v>
      </c>
      <c r="C120" s="70">
        <v>0</v>
      </c>
      <c r="D120" s="70">
        <v>0</v>
      </c>
      <c r="E120" s="70">
        <v>0</v>
      </c>
      <c r="F120" s="70">
        <v>6</v>
      </c>
      <c r="G120" s="70">
        <v>34</v>
      </c>
      <c r="H120" s="70" t="s">
        <v>29</v>
      </c>
      <c r="I120" s="70" t="s">
        <v>29</v>
      </c>
      <c r="J120" s="70">
        <f t="shared" si="11"/>
        <v>40</v>
      </c>
      <c r="K120" s="70">
        <f t="shared" si="12"/>
        <v>40</v>
      </c>
      <c r="L120" s="70"/>
      <c r="M120" s="70">
        <v>0</v>
      </c>
      <c r="N120" s="70">
        <v>0</v>
      </c>
      <c r="O120" s="70">
        <v>0</v>
      </c>
      <c r="P120" s="70">
        <v>0</v>
      </c>
      <c r="Q120" s="70">
        <v>105</v>
      </c>
      <c r="R120" s="70">
        <v>474</v>
      </c>
      <c r="S120" s="70" t="s">
        <v>29</v>
      </c>
      <c r="T120" s="70" t="s">
        <v>29</v>
      </c>
      <c r="U120" s="70">
        <f t="shared" si="13"/>
        <v>579</v>
      </c>
      <c r="V120" s="70">
        <f t="shared" si="14"/>
        <v>579</v>
      </c>
      <c r="W120" s="30"/>
    </row>
    <row r="121" spans="1:23" ht="12" customHeight="1" x14ac:dyDescent="0.2">
      <c r="A121" s="473">
        <v>1997</v>
      </c>
      <c r="B121" s="198">
        <v>0</v>
      </c>
      <c r="C121" s="70">
        <v>0</v>
      </c>
      <c r="D121" s="70">
        <v>0</v>
      </c>
      <c r="E121" s="70">
        <v>0</v>
      </c>
      <c r="F121" s="70">
        <v>0</v>
      </c>
      <c r="G121" s="70">
        <v>0</v>
      </c>
      <c r="H121" s="70" t="s">
        <v>29</v>
      </c>
      <c r="I121" s="70" t="s">
        <v>29</v>
      </c>
      <c r="J121" s="70">
        <f t="shared" si="11"/>
        <v>0</v>
      </c>
      <c r="K121" s="70">
        <f t="shared" si="12"/>
        <v>0</v>
      </c>
      <c r="L121" s="70"/>
      <c r="M121" s="70">
        <v>0</v>
      </c>
      <c r="N121" s="70">
        <v>0</v>
      </c>
      <c r="O121" s="70">
        <v>0</v>
      </c>
      <c r="P121" s="70">
        <v>0</v>
      </c>
      <c r="Q121" s="70">
        <v>0</v>
      </c>
      <c r="R121" s="70">
        <v>0</v>
      </c>
      <c r="S121" s="70" t="s">
        <v>29</v>
      </c>
      <c r="T121" s="70" t="s">
        <v>29</v>
      </c>
      <c r="U121" s="70">
        <f t="shared" si="13"/>
        <v>0</v>
      </c>
      <c r="V121" s="70">
        <f t="shared" si="14"/>
        <v>0</v>
      </c>
      <c r="W121" s="30"/>
    </row>
    <row r="122" spans="1:23" ht="12" customHeight="1" x14ac:dyDescent="0.2">
      <c r="A122" s="473">
        <v>1998</v>
      </c>
      <c r="B122" s="198">
        <v>0</v>
      </c>
      <c r="C122" s="70">
        <v>0</v>
      </c>
      <c r="D122" s="70">
        <v>26</v>
      </c>
      <c r="E122" s="70">
        <v>0</v>
      </c>
      <c r="F122" s="70">
        <v>113</v>
      </c>
      <c r="G122" s="70">
        <v>0</v>
      </c>
      <c r="H122" s="70" t="s">
        <v>29</v>
      </c>
      <c r="I122" s="70" t="s">
        <v>29</v>
      </c>
      <c r="J122" s="70">
        <f t="shared" si="11"/>
        <v>139</v>
      </c>
      <c r="K122" s="70">
        <f t="shared" si="12"/>
        <v>139</v>
      </c>
      <c r="L122" s="70"/>
      <c r="M122" s="70">
        <v>0</v>
      </c>
      <c r="N122" s="70">
        <v>0</v>
      </c>
      <c r="O122" s="70">
        <v>0</v>
      </c>
      <c r="P122" s="70">
        <v>0</v>
      </c>
      <c r="Q122" s="70">
        <v>115</v>
      </c>
      <c r="R122" s="70">
        <v>0</v>
      </c>
      <c r="S122" s="70" t="s">
        <v>29</v>
      </c>
      <c r="T122" s="70" t="s">
        <v>29</v>
      </c>
      <c r="U122" s="70">
        <f t="shared" si="13"/>
        <v>115</v>
      </c>
      <c r="V122" s="70">
        <f t="shared" si="14"/>
        <v>115</v>
      </c>
      <c r="W122" s="30"/>
    </row>
    <row r="123" spans="1:23" ht="12" customHeight="1" x14ac:dyDescent="0.2">
      <c r="A123" s="473">
        <v>1999</v>
      </c>
      <c r="B123" s="198">
        <v>0</v>
      </c>
      <c r="C123" s="70">
        <v>0</v>
      </c>
      <c r="D123" s="70">
        <v>42</v>
      </c>
      <c r="E123" s="70">
        <v>0</v>
      </c>
      <c r="F123" s="70">
        <v>62</v>
      </c>
      <c r="G123" s="70">
        <v>0</v>
      </c>
      <c r="H123" s="70" t="s">
        <v>29</v>
      </c>
      <c r="I123" s="70" t="s">
        <v>29</v>
      </c>
      <c r="J123" s="70">
        <f t="shared" si="11"/>
        <v>104</v>
      </c>
      <c r="K123" s="70">
        <f t="shared" si="12"/>
        <v>104</v>
      </c>
      <c r="L123" s="70"/>
      <c r="M123" s="70">
        <v>0</v>
      </c>
      <c r="N123" s="70">
        <v>0</v>
      </c>
      <c r="O123" s="70">
        <v>0</v>
      </c>
      <c r="P123" s="70">
        <v>0</v>
      </c>
      <c r="Q123" s="70">
        <v>143</v>
      </c>
      <c r="R123" s="70">
        <v>0</v>
      </c>
      <c r="S123" s="70" t="s">
        <v>29</v>
      </c>
      <c r="T123" s="70" t="s">
        <v>29</v>
      </c>
      <c r="U123" s="70">
        <f t="shared" si="13"/>
        <v>143</v>
      </c>
      <c r="V123" s="70">
        <f t="shared" si="14"/>
        <v>143</v>
      </c>
      <c r="W123" s="30"/>
    </row>
    <row r="124" spans="1:23" ht="12" customHeight="1" x14ac:dyDescent="0.2">
      <c r="A124" s="473">
        <v>2000</v>
      </c>
      <c r="B124" s="198">
        <v>0</v>
      </c>
      <c r="C124" s="70">
        <v>0</v>
      </c>
      <c r="D124" s="70">
        <v>13</v>
      </c>
      <c r="E124" s="70">
        <v>0</v>
      </c>
      <c r="F124" s="70">
        <v>18</v>
      </c>
      <c r="G124" s="70">
        <v>0</v>
      </c>
      <c r="H124" s="70" t="s">
        <v>29</v>
      </c>
      <c r="I124" s="70" t="s">
        <v>29</v>
      </c>
      <c r="J124" s="70">
        <f t="shared" si="11"/>
        <v>31</v>
      </c>
      <c r="K124" s="70">
        <f t="shared" si="12"/>
        <v>31</v>
      </c>
      <c r="L124" s="70"/>
      <c r="M124" s="70">
        <v>0</v>
      </c>
      <c r="N124" s="70">
        <v>0</v>
      </c>
      <c r="O124" s="70">
        <v>0</v>
      </c>
      <c r="P124" s="70">
        <v>0</v>
      </c>
      <c r="Q124" s="70">
        <v>151</v>
      </c>
      <c r="R124" s="70">
        <v>0</v>
      </c>
      <c r="S124" s="70" t="s">
        <v>29</v>
      </c>
      <c r="T124" s="70" t="s">
        <v>29</v>
      </c>
      <c r="U124" s="70">
        <f t="shared" si="13"/>
        <v>151</v>
      </c>
      <c r="V124" s="70">
        <f t="shared" si="14"/>
        <v>151</v>
      </c>
      <c r="W124" s="30"/>
    </row>
    <row r="125" spans="1:23" ht="12" customHeight="1" x14ac:dyDescent="0.2">
      <c r="A125" s="473">
        <v>2001</v>
      </c>
      <c r="B125" s="198">
        <v>0</v>
      </c>
      <c r="C125" s="70">
        <v>0</v>
      </c>
      <c r="D125" s="70">
        <v>0</v>
      </c>
      <c r="E125" s="70">
        <v>0</v>
      </c>
      <c r="F125" s="70">
        <v>0</v>
      </c>
      <c r="G125" s="70">
        <v>3</v>
      </c>
      <c r="H125" s="70" t="s">
        <v>29</v>
      </c>
      <c r="I125" s="70" t="s">
        <v>29</v>
      </c>
      <c r="J125" s="70">
        <f t="shared" si="11"/>
        <v>3</v>
      </c>
      <c r="K125" s="70">
        <f t="shared" si="12"/>
        <v>3</v>
      </c>
      <c r="L125" s="70"/>
      <c r="M125" s="70">
        <v>0</v>
      </c>
      <c r="N125" s="70">
        <v>0</v>
      </c>
      <c r="O125" s="70">
        <v>0</v>
      </c>
      <c r="P125" s="70">
        <v>0</v>
      </c>
      <c r="Q125" s="70">
        <v>0</v>
      </c>
      <c r="R125" s="70">
        <v>24</v>
      </c>
      <c r="S125" s="70" t="s">
        <v>29</v>
      </c>
      <c r="T125" s="70" t="s">
        <v>29</v>
      </c>
      <c r="U125" s="70">
        <f t="shared" si="13"/>
        <v>24</v>
      </c>
      <c r="V125" s="70">
        <f t="shared" si="14"/>
        <v>24</v>
      </c>
      <c r="W125" s="30"/>
    </row>
    <row r="126" spans="1:23" ht="12" customHeight="1" x14ac:dyDescent="0.2">
      <c r="A126" s="473">
        <v>2002</v>
      </c>
      <c r="B126" s="198">
        <v>0</v>
      </c>
      <c r="C126" s="70">
        <v>0</v>
      </c>
      <c r="D126" s="70">
        <v>0</v>
      </c>
      <c r="E126" s="70">
        <v>124</v>
      </c>
      <c r="F126" s="70">
        <v>4</v>
      </c>
      <c r="G126" s="70">
        <v>0</v>
      </c>
      <c r="H126" s="70">
        <v>30</v>
      </c>
      <c r="I126" s="70" t="s">
        <v>29</v>
      </c>
      <c r="J126" s="70">
        <f t="shared" si="11"/>
        <v>128</v>
      </c>
      <c r="K126" s="70">
        <f t="shared" si="12"/>
        <v>158</v>
      </c>
      <c r="L126" s="70"/>
      <c r="M126" s="70">
        <v>0</v>
      </c>
      <c r="N126" s="70">
        <v>0</v>
      </c>
      <c r="O126" s="70">
        <v>0</v>
      </c>
      <c r="P126" s="70">
        <v>0</v>
      </c>
      <c r="Q126" s="70">
        <v>372</v>
      </c>
      <c r="R126" s="70">
        <v>0</v>
      </c>
      <c r="S126" s="70">
        <v>80</v>
      </c>
      <c r="T126" s="70" t="s">
        <v>29</v>
      </c>
      <c r="U126" s="70">
        <f t="shared" si="13"/>
        <v>372</v>
      </c>
      <c r="V126" s="70">
        <f t="shared" si="14"/>
        <v>452</v>
      </c>
      <c r="W126" s="30"/>
    </row>
    <row r="127" spans="1:23" ht="12" customHeight="1" x14ac:dyDescent="0.2">
      <c r="A127" s="473">
        <v>2003</v>
      </c>
      <c r="B127" s="198">
        <v>0</v>
      </c>
      <c r="C127" s="70">
        <v>0</v>
      </c>
      <c r="D127" s="70">
        <v>47</v>
      </c>
      <c r="E127" s="70">
        <v>0</v>
      </c>
      <c r="F127" s="70">
        <v>0</v>
      </c>
      <c r="G127" s="70">
        <v>0</v>
      </c>
      <c r="H127" s="70">
        <v>35</v>
      </c>
      <c r="I127" s="70" t="s">
        <v>29</v>
      </c>
      <c r="J127" s="70">
        <f t="shared" si="11"/>
        <v>47</v>
      </c>
      <c r="K127" s="70">
        <f t="shared" si="12"/>
        <v>82</v>
      </c>
      <c r="L127" s="70"/>
      <c r="M127" s="70">
        <v>0</v>
      </c>
      <c r="N127" s="70">
        <v>0</v>
      </c>
      <c r="O127" s="70">
        <v>0</v>
      </c>
      <c r="P127" s="70">
        <v>0</v>
      </c>
      <c r="Q127" s="70">
        <v>0</v>
      </c>
      <c r="R127" s="70">
        <v>0</v>
      </c>
      <c r="S127" s="70">
        <v>85</v>
      </c>
      <c r="T127" s="70" t="s">
        <v>29</v>
      </c>
      <c r="U127" s="70">
        <f t="shared" si="13"/>
        <v>0</v>
      </c>
      <c r="V127" s="70">
        <f t="shared" si="14"/>
        <v>85</v>
      </c>
      <c r="W127" s="30"/>
    </row>
    <row r="128" spans="1:23" ht="12" customHeight="1" x14ac:dyDescent="0.2">
      <c r="A128" s="473">
        <v>2004</v>
      </c>
      <c r="B128" s="198">
        <v>0</v>
      </c>
      <c r="C128" s="70">
        <v>0</v>
      </c>
      <c r="D128" s="70">
        <v>0</v>
      </c>
      <c r="E128" s="70">
        <v>50</v>
      </c>
      <c r="F128" s="70">
        <v>6</v>
      </c>
      <c r="G128" s="70">
        <v>0</v>
      </c>
      <c r="H128" s="70">
        <v>25</v>
      </c>
      <c r="I128" s="70" t="s">
        <v>29</v>
      </c>
      <c r="J128" s="70">
        <f t="shared" si="11"/>
        <v>56</v>
      </c>
      <c r="K128" s="70">
        <f t="shared" si="12"/>
        <v>81</v>
      </c>
      <c r="L128" s="70"/>
      <c r="M128" s="70">
        <v>0</v>
      </c>
      <c r="N128" s="70">
        <v>0</v>
      </c>
      <c r="O128" s="70">
        <v>0</v>
      </c>
      <c r="P128" s="70">
        <v>61</v>
      </c>
      <c r="Q128" s="70">
        <v>23</v>
      </c>
      <c r="R128" s="70">
        <v>0</v>
      </c>
      <c r="S128" s="70">
        <v>100</v>
      </c>
      <c r="T128" s="70" t="s">
        <v>29</v>
      </c>
      <c r="U128" s="70">
        <f t="shared" si="13"/>
        <v>84</v>
      </c>
      <c r="V128" s="70">
        <f t="shared" si="14"/>
        <v>184</v>
      </c>
      <c r="W128" s="30"/>
    </row>
    <row r="129" spans="1:23" ht="12" customHeight="1" x14ac:dyDescent="0.2">
      <c r="A129" s="473">
        <v>2005</v>
      </c>
      <c r="B129" s="198">
        <v>0</v>
      </c>
      <c r="C129" s="70">
        <v>258</v>
      </c>
      <c r="D129" s="70">
        <v>1</v>
      </c>
      <c r="E129" s="70">
        <v>177</v>
      </c>
      <c r="F129" s="70">
        <v>188</v>
      </c>
      <c r="G129" s="70">
        <v>74</v>
      </c>
      <c r="H129" s="70">
        <v>0</v>
      </c>
      <c r="I129" s="70" t="s">
        <v>29</v>
      </c>
      <c r="J129" s="70">
        <f t="shared" si="11"/>
        <v>698</v>
      </c>
      <c r="K129" s="70">
        <f t="shared" si="12"/>
        <v>698</v>
      </c>
      <c r="L129" s="70"/>
      <c r="M129" s="70">
        <v>0</v>
      </c>
      <c r="N129" s="70">
        <v>0</v>
      </c>
      <c r="O129" s="70">
        <v>0</v>
      </c>
      <c r="P129" s="70">
        <v>1</v>
      </c>
      <c r="Q129" s="70">
        <v>26</v>
      </c>
      <c r="R129" s="70">
        <v>36</v>
      </c>
      <c r="S129" s="70">
        <v>0</v>
      </c>
      <c r="T129" s="70" t="s">
        <v>29</v>
      </c>
      <c r="U129" s="70">
        <f t="shared" si="13"/>
        <v>63</v>
      </c>
      <c r="V129" s="70">
        <f t="shared" si="14"/>
        <v>63</v>
      </c>
      <c r="W129" s="30"/>
    </row>
    <row r="130" spans="1:23" ht="12" customHeight="1" x14ac:dyDescent="0.2">
      <c r="A130" s="473">
        <v>2006</v>
      </c>
      <c r="B130" s="198">
        <v>0</v>
      </c>
      <c r="C130" s="70">
        <v>82</v>
      </c>
      <c r="D130" s="70">
        <v>248</v>
      </c>
      <c r="E130" s="70">
        <v>825</v>
      </c>
      <c r="F130" s="70">
        <v>870</v>
      </c>
      <c r="G130" s="70">
        <v>66</v>
      </c>
      <c r="H130" s="70">
        <v>15</v>
      </c>
      <c r="I130" s="70" t="s">
        <v>29</v>
      </c>
      <c r="J130" s="70">
        <f t="shared" si="11"/>
        <v>2091</v>
      </c>
      <c r="K130" s="70">
        <f t="shared" si="12"/>
        <v>2106</v>
      </c>
      <c r="L130" s="70"/>
      <c r="M130" s="70">
        <v>0</v>
      </c>
      <c r="N130" s="70">
        <v>0</v>
      </c>
      <c r="O130" s="70">
        <v>0</v>
      </c>
      <c r="P130" s="70">
        <v>446</v>
      </c>
      <c r="Q130" s="70">
        <v>1272</v>
      </c>
      <c r="R130" s="70">
        <v>123</v>
      </c>
      <c r="S130" s="70">
        <v>5</v>
      </c>
      <c r="T130" s="70" t="s">
        <v>29</v>
      </c>
      <c r="U130" s="70">
        <f t="shared" si="13"/>
        <v>1841</v>
      </c>
      <c r="V130" s="70">
        <f t="shared" si="14"/>
        <v>1846</v>
      </c>
      <c r="W130" s="30"/>
    </row>
    <row r="131" spans="1:23" s="467" customFormat="1" ht="12" customHeight="1" x14ac:dyDescent="0.2">
      <c r="A131" s="477">
        <v>2007</v>
      </c>
      <c r="B131" s="199">
        <v>0</v>
      </c>
      <c r="C131" s="97">
        <v>0</v>
      </c>
      <c r="D131" s="97">
        <v>1773</v>
      </c>
      <c r="E131" s="97">
        <v>60</v>
      </c>
      <c r="F131" s="97">
        <v>234</v>
      </c>
      <c r="G131" s="97">
        <v>5</v>
      </c>
      <c r="H131" s="97">
        <v>0</v>
      </c>
      <c r="I131" s="70" t="s">
        <v>29</v>
      </c>
      <c r="J131" s="97">
        <f t="shared" si="11"/>
        <v>2072</v>
      </c>
      <c r="K131" s="97">
        <f t="shared" si="12"/>
        <v>2072</v>
      </c>
      <c r="L131" s="97"/>
      <c r="M131" s="97">
        <v>0</v>
      </c>
      <c r="N131" s="97">
        <v>0</v>
      </c>
      <c r="O131" s="97">
        <v>0</v>
      </c>
      <c r="P131" s="97">
        <v>248</v>
      </c>
      <c r="Q131" s="97">
        <v>1099</v>
      </c>
      <c r="R131" s="97">
        <v>52</v>
      </c>
      <c r="S131" s="97">
        <v>0</v>
      </c>
      <c r="T131" s="70" t="s">
        <v>29</v>
      </c>
      <c r="U131" s="97">
        <f t="shared" si="13"/>
        <v>1399</v>
      </c>
      <c r="V131" s="97">
        <f t="shared" si="14"/>
        <v>1399</v>
      </c>
      <c r="W131" s="149"/>
    </row>
    <row r="132" spans="1:23" s="467" customFormat="1" ht="12" customHeight="1" x14ac:dyDescent="0.2">
      <c r="A132" s="477">
        <v>2008</v>
      </c>
      <c r="B132" s="199">
        <v>0</v>
      </c>
      <c r="C132" s="97">
        <v>58</v>
      </c>
      <c r="D132" s="97">
        <v>2834</v>
      </c>
      <c r="E132" s="97">
        <v>380</v>
      </c>
      <c r="F132" s="97">
        <v>888</v>
      </c>
      <c r="G132" s="97">
        <v>368</v>
      </c>
      <c r="H132" s="97">
        <v>1</v>
      </c>
      <c r="I132" s="97" t="s">
        <v>29</v>
      </c>
      <c r="J132" s="97">
        <f t="shared" si="11"/>
        <v>4528</v>
      </c>
      <c r="K132" s="97">
        <f t="shared" si="12"/>
        <v>4529</v>
      </c>
      <c r="L132" s="97"/>
      <c r="M132" s="97">
        <v>0</v>
      </c>
      <c r="N132" s="97">
        <v>0</v>
      </c>
      <c r="O132" s="97">
        <v>2</v>
      </c>
      <c r="P132" s="97">
        <v>267</v>
      </c>
      <c r="Q132" s="97">
        <v>297</v>
      </c>
      <c r="R132" s="97">
        <v>379</v>
      </c>
      <c r="S132" s="97">
        <v>0</v>
      </c>
      <c r="T132" s="97" t="s">
        <v>29</v>
      </c>
      <c r="U132" s="97">
        <f t="shared" si="13"/>
        <v>945</v>
      </c>
      <c r="V132" s="97">
        <f t="shared" si="14"/>
        <v>945</v>
      </c>
      <c r="W132" s="149"/>
    </row>
    <row r="133" spans="1:23" s="467" customFormat="1" ht="12" customHeight="1" x14ac:dyDescent="0.2">
      <c r="A133" s="477">
        <v>2009</v>
      </c>
      <c r="B133" s="199">
        <v>0</v>
      </c>
      <c r="C133" s="97">
        <v>83</v>
      </c>
      <c r="D133" s="97">
        <v>99</v>
      </c>
      <c r="E133" s="97">
        <v>20</v>
      </c>
      <c r="F133" s="97">
        <v>158</v>
      </c>
      <c r="G133" s="97">
        <v>0</v>
      </c>
      <c r="H133" s="97">
        <v>25</v>
      </c>
      <c r="I133" s="97" t="s">
        <v>29</v>
      </c>
      <c r="J133" s="97">
        <f t="shared" si="11"/>
        <v>360</v>
      </c>
      <c r="K133" s="97">
        <f t="shared" si="12"/>
        <v>385</v>
      </c>
      <c r="L133" s="97"/>
      <c r="M133" s="97">
        <v>0</v>
      </c>
      <c r="N133" s="97">
        <v>0</v>
      </c>
      <c r="O133" s="97">
        <v>0</v>
      </c>
      <c r="P133" s="97">
        <v>102</v>
      </c>
      <c r="Q133" s="97">
        <v>3060</v>
      </c>
      <c r="R133" s="97">
        <v>15</v>
      </c>
      <c r="S133" s="97">
        <v>15</v>
      </c>
      <c r="T133" s="97" t="s">
        <v>29</v>
      </c>
      <c r="U133" s="97">
        <f t="shared" si="13"/>
        <v>3177</v>
      </c>
      <c r="V133" s="97">
        <f t="shared" si="14"/>
        <v>3192</v>
      </c>
      <c r="W133" s="149"/>
    </row>
    <row r="134" spans="1:23" s="467" customFormat="1" ht="12" customHeight="1" x14ac:dyDescent="0.2">
      <c r="A134" s="477">
        <v>2010</v>
      </c>
      <c r="B134" s="199">
        <v>0</v>
      </c>
      <c r="C134" s="97">
        <v>6</v>
      </c>
      <c r="D134" s="97">
        <v>85</v>
      </c>
      <c r="E134" s="97">
        <v>754</v>
      </c>
      <c r="F134" s="97">
        <v>702</v>
      </c>
      <c r="G134" s="97">
        <v>74</v>
      </c>
      <c r="H134" s="97">
        <v>10</v>
      </c>
      <c r="I134" s="97" t="s">
        <v>29</v>
      </c>
      <c r="J134" s="97">
        <f t="shared" si="11"/>
        <v>1621</v>
      </c>
      <c r="K134" s="97">
        <f t="shared" si="12"/>
        <v>1631</v>
      </c>
      <c r="L134" s="97"/>
      <c r="M134" s="97">
        <v>0</v>
      </c>
      <c r="N134" s="97">
        <v>2</v>
      </c>
      <c r="O134" s="97">
        <v>0</v>
      </c>
      <c r="P134" s="97">
        <v>157</v>
      </c>
      <c r="Q134" s="97">
        <v>226</v>
      </c>
      <c r="R134" s="97">
        <v>51</v>
      </c>
      <c r="S134" s="97">
        <v>15</v>
      </c>
      <c r="T134" s="97" t="s">
        <v>29</v>
      </c>
      <c r="U134" s="97">
        <f t="shared" si="13"/>
        <v>436</v>
      </c>
      <c r="V134" s="97">
        <f t="shared" si="14"/>
        <v>451</v>
      </c>
      <c r="W134" s="149"/>
    </row>
    <row r="135" spans="1:23" s="467" customFormat="1" ht="12" customHeight="1" x14ac:dyDescent="0.2">
      <c r="A135" s="477">
        <v>2011</v>
      </c>
      <c r="B135" s="198">
        <v>0</v>
      </c>
      <c r="C135" s="70">
        <v>0</v>
      </c>
      <c r="D135" s="70">
        <v>457</v>
      </c>
      <c r="E135" s="70">
        <v>0</v>
      </c>
      <c r="F135" s="70">
        <v>69</v>
      </c>
      <c r="G135" s="70">
        <v>46</v>
      </c>
      <c r="H135" s="70">
        <v>0</v>
      </c>
      <c r="I135" s="70" t="s">
        <v>29</v>
      </c>
      <c r="J135" s="70">
        <f t="shared" si="11"/>
        <v>572</v>
      </c>
      <c r="K135" s="70">
        <f t="shared" si="12"/>
        <v>572</v>
      </c>
      <c r="L135" s="70"/>
      <c r="M135" s="70">
        <v>0</v>
      </c>
      <c r="N135" s="70">
        <v>0</v>
      </c>
      <c r="O135" s="70">
        <v>0</v>
      </c>
      <c r="P135" s="70">
        <v>0</v>
      </c>
      <c r="Q135" s="70">
        <v>29</v>
      </c>
      <c r="R135" s="70">
        <v>482</v>
      </c>
      <c r="S135" s="70">
        <v>0</v>
      </c>
      <c r="T135" s="70" t="s">
        <v>29</v>
      </c>
      <c r="U135" s="70">
        <f t="shared" si="13"/>
        <v>511</v>
      </c>
      <c r="V135" s="70">
        <f t="shared" si="14"/>
        <v>511</v>
      </c>
      <c r="W135" s="149"/>
    </row>
    <row r="136" spans="1:23" s="467" customFormat="1" ht="12" customHeight="1" x14ac:dyDescent="0.2">
      <c r="A136" s="477">
        <v>2012</v>
      </c>
      <c r="B136" s="199">
        <v>0</v>
      </c>
      <c r="C136" s="97">
        <v>722</v>
      </c>
      <c r="D136" s="97">
        <v>258</v>
      </c>
      <c r="E136" s="97">
        <v>322</v>
      </c>
      <c r="F136" s="97">
        <v>1060</v>
      </c>
      <c r="G136" s="97">
        <v>164</v>
      </c>
      <c r="H136" s="97">
        <v>10</v>
      </c>
      <c r="I136" s="97" t="s">
        <v>29</v>
      </c>
      <c r="J136" s="97">
        <f t="shared" si="11"/>
        <v>2526</v>
      </c>
      <c r="K136" s="97">
        <f t="shared" si="12"/>
        <v>2536</v>
      </c>
      <c r="L136" s="97"/>
      <c r="M136" s="97">
        <v>0</v>
      </c>
      <c r="N136" s="97">
        <v>0</v>
      </c>
      <c r="O136" s="97">
        <v>1</v>
      </c>
      <c r="P136" s="97">
        <v>44</v>
      </c>
      <c r="Q136" s="97">
        <v>1002</v>
      </c>
      <c r="R136" s="97">
        <v>179</v>
      </c>
      <c r="S136" s="97">
        <v>0</v>
      </c>
      <c r="T136" s="97" t="s">
        <v>29</v>
      </c>
      <c r="U136" s="97">
        <f t="shared" si="13"/>
        <v>1226</v>
      </c>
      <c r="V136" s="97">
        <f t="shared" si="14"/>
        <v>1226</v>
      </c>
      <c r="W136" s="149"/>
    </row>
    <row r="137" spans="1:23" s="467" customFormat="1" ht="12" customHeight="1" x14ac:dyDescent="0.2">
      <c r="A137" s="477">
        <v>2013</v>
      </c>
      <c r="B137" s="199">
        <v>0</v>
      </c>
      <c r="C137" s="97">
        <v>954</v>
      </c>
      <c r="D137" s="97">
        <v>2694</v>
      </c>
      <c r="E137" s="97">
        <v>1197</v>
      </c>
      <c r="F137" s="97">
        <v>207</v>
      </c>
      <c r="G137" s="97">
        <v>794</v>
      </c>
      <c r="H137" s="97">
        <v>0</v>
      </c>
      <c r="I137" s="97" t="s">
        <v>29</v>
      </c>
      <c r="J137" s="97">
        <f t="shared" si="11"/>
        <v>5846</v>
      </c>
      <c r="K137" s="97">
        <f t="shared" si="12"/>
        <v>5846</v>
      </c>
      <c r="L137" s="97"/>
      <c r="M137" s="97">
        <v>0</v>
      </c>
      <c r="N137" s="97">
        <v>0</v>
      </c>
      <c r="O137" s="97">
        <v>7</v>
      </c>
      <c r="P137" s="97">
        <v>370</v>
      </c>
      <c r="Q137" s="97">
        <v>1176</v>
      </c>
      <c r="R137" s="97">
        <v>127</v>
      </c>
      <c r="S137" s="97">
        <v>0</v>
      </c>
      <c r="T137" s="97" t="s">
        <v>29</v>
      </c>
      <c r="U137" s="97">
        <f t="shared" si="13"/>
        <v>1680</v>
      </c>
      <c r="V137" s="97">
        <f t="shared" si="14"/>
        <v>1680</v>
      </c>
      <c r="W137" s="149"/>
    </row>
    <row r="138" spans="1:23" s="467" customFormat="1" ht="12" customHeight="1" x14ac:dyDescent="0.2">
      <c r="A138" s="477">
        <v>2014</v>
      </c>
      <c r="B138" s="199">
        <v>0</v>
      </c>
      <c r="C138" s="97">
        <v>4192</v>
      </c>
      <c r="D138" s="97">
        <v>7992</v>
      </c>
      <c r="E138" s="97">
        <v>15669</v>
      </c>
      <c r="F138" s="97">
        <v>5502</v>
      </c>
      <c r="G138" s="97">
        <v>2152</v>
      </c>
      <c r="H138" s="97">
        <v>0</v>
      </c>
      <c r="I138" s="97" t="s">
        <v>29</v>
      </c>
      <c r="J138" s="97">
        <f t="shared" si="11"/>
        <v>35507</v>
      </c>
      <c r="K138" s="97">
        <f t="shared" si="12"/>
        <v>35507</v>
      </c>
      <c r="L138" s="97"/>
      <c r="M138" s="97">
        <v>0</v>
      </c>
      <c r="N138" s="97">
        <v>0</v>
      </c>
      <c r="O138" s="97">
        <v>4</v>
      </c>
      <c r="P138" s="97">
        <v>7446</v>
      </c>
      <c r="Q138" s="97">
        <v>29203</v>
      </c>
      <c r="R138" s="97">
        <v>5031</v>
      </c>
      <c r="S138" s="97">
        <v>0</v>
      </c>
      <c r="T138" s="97" t="s">
        <v>29</v>
      </c>
      <c r="U138" s="97">
        <f t="shared" si="13"/>
        <v>41684</v>
      </c>
      <c r="V138" s="97">
        <f t="shared" si="14"/>
        <v>41684</v>
      </c>
      <c r="W138" s="149"/>
    </row>
    <row r="139" spans="1:23" s="467" customFormat="1" ht="12" customHeight="1" x14ac:dyDescent="0.2">
      <c r="A139" s="477">
        <v>2015</v>
      </c>
      <c r="B139" s="199">
        <v>0</v>
      </c>
      <c r="C139" s="97">
        <v>1868</v>
      </c>
      <c r="D139" s="97">
        <v>1371</v>
      </c>
      <c r="E139" s="97">
        <v>14068</v>
      </c>
      <c r="F139" s="97">
        <v>1999</v>
      </c>
      <c r="G139" s="97">
        <v>524</v>
      </c>
      <c r="H139" s="97">
        <v>0</v>
      </c>
      <c r="I139" s="97" t="s">
        <v>29</v>
      </c>
      <c r="J139" s="97">
        <f t="shared" si="11"/>
        <v>19830</v>
      </c>
      <c r="K139" s="97">
        <f t="shared" si="12"/>
        <v>19830</v>
      </c>
      <c r="L139" s="97"/>
      <c r="M139" s="97">
        <v>0</v>
      </c>
      <c r="N139" s="97">
        <v>0</v>
      </c>
      <c r="O139" s="97">
        <v>0</v>
      </c>
      <c r="P139" s="97">
        <v>1008</v>
      </c>
      <c r="Q139" s="97">
        <v>383</v>
      </c>
      <c r="R139" s="97">
        <v>298</v>
      </c>
      <c r="S139" s="97">
        <v>0</v>
      </c>
      <c r="T139" s="97" t="s">
        <v>29</v>
      </c>
      <c r="U139" s="97">
        <f t="shared" si="13"/>
        <v>1689</v>
      </c>
      <c r="V139" s="97">
        <f t="shared" si="14"/>
        <v>1689</v>
      </c>
      <c r="W139" s="149"/>
    </row>
    <row r="140" spans="1:23" s="467" customFormat="1" ht="12" customHeight="1" x14ac:dyDescent="0.2">
      <c r="A140" s="477">
        <v>2016</v>
      </c>
      <c r="B140" s="199">
        <v>0</v>
      </c>
      <c r="C140" s="97">
        <v>641</v>
      </c>
      <c r="D140" s="97">
        <v>555</v>
      </c>
      <c r="E140" s="97">
        <v>256</v>
      </c>
      <c r="F140" s="97">
        <v>4</v>
      </c>
      <c r="G140" s="97">
        <v>0</v>
      </c>
      <c r="H140" s="97">
        <v>0</v>
      </c>
      <c r="I140" s="97" t="s">
        <v>29</v>
      </c>
      <c r="J140" s="97">
        <f t="shared" si="11"/>
        <v>1456</v>
      </c>
      <c r="K140" s="97">
        <f t="shared" si="12"/>
        <v>1456</v>
      </c>
      <c r="L140" s="97"/>
      <c r="M140" s="97">
        <v>0</v>
      </c>
      <c r="N140" s="97">
        <v>0</v>
      </c>
      <c r="O140" s="97">
        <v>0</v>
      </c>
      <c r="P140" s="97">
        <v>0</v>
      </c>
      <c r="Q140" s="97">
        <v>0</v>
      </c>
      <c r="R140" s="97">
        <v>0</v>
      </c>
      <c r="S140" s="97">
        <v>1</v>
      </c>
      <c r="T140" s="97" t="s">
        <v>29</v>
      </c>
      <c r="U140" s="97">
        <f t="shared" si="13"/>
        <v>0</v>
      </c>
      <c r="V140" s="97">
        <f t="shared" si="14"/>
        <v>1</v>
      </c>
      <c r="W140" s="149"/>
    </row>
    <row r="141" spans="1:23" s="467" customFormat="1" ht="12" customHeight="1" x14ac:dyDescent="0.2">
      <c r="A141" s="477">
        <v>2017</v>
      </c>
      <c r="B141" s="199">
        <v>0</v>
      </c>
      <c r="C141" s="97">
        <v>0</v>
      </c>
      <c r="D141" s="97">
        <v>10</v>
      </c>
      <c r="E141" s="97">
        <v>5</v>
      </c>
      <c r="F141" s="97">
        <v>4</v>
      </c>
      <c r="G141" s="97">
        <v>30</v>
      </c>
      <c r="H141" s="97">
        <v>0</v>
      </c>
      <c r="I141" s="97" t="s">
        <v>29</v>
      </c>
      <c r="J141" s="97">
        <f t="shared" si="11"/>
        <v>49</v>
      </c>
      <c r="K141" s="97">
        <f t="shared" si="12"/>
        <v>49</v>
      </c>
      <c r="L141" s="97"/>
      <c r="M141" s="97">
        <v>0</v>
      </c>
      <c r="N141" s="97">
        <v>0</v>
      </c>
      <c r="O141" s="97">
        <v>0</v>
      </c>
      <c r="P141" s="97">
        <v>8</v>
      </c>
      <c r="Q141" s="97">
        <v>14</v>
      </c>
      <c r="R141" s="97">
        <v>167</v>
      </c>
      <c r="S141" s="97">
        <v>0</v>
      </c>
      <c r="T141" s="97" t="s">
        <v>29</v>
      </c>
      <c r="U141" s="97">
        <f t="shared" si="13"/>
        <v>189</v>
      </c>
      <c r="V141" s="97">
        <f t="shared" si="14"/>
        <v>189</v>
      </c>
      <c r="W141" s="149"/>
    </row>
    <row r="142" spans="1:23" s="467" customFormat="1" ht="12" customHeight="1" x14ac:dyDescent="0.2">
      <c r="A142" s="477">
        <v>2018</v>
      </c>
      <c r="B142" s="199">
        <v>0</v>
      </c>
      <c r="C142" s="97">
        <v>0</v>
      </c>
      <c r="D142" s="97">
        <v>25</v>
      </c>
      <c r="E142" s="97">
        <v>0</v>
      </c>
      <c r="F142" s="97">
        <v>0</v>
      </c>
      <c r="G142" s="97">
        <v>3</v>
      </c>
      <c r="H142" s="97">
        <v>0</v>
      </c>
      <c r="I142" s="333" t="s">
        <v>29</v>
      </c>
      <c r="J142" s="97">
        <f t="shared" si="11"/>
        <v>28</v>
      </c>
      <c r="K142" s="97">
        <f>SUM(B142:I142)</f>
        <v>28</v>
      </c>
      <c r="L142" s="97"/>
      <c r="M142" s="97">
        <v>0</v>
      </c>
      <c r="N142" s="97">
        <v>0</v>
      </c>
      <c r="O142" s="97">
        <v>0</v>
      </c>
      <c r="P142" s="97">
        <v>0</v>
      </c>
      <c r="Q142" s="97">
        <v>0</v>
      </c>
      <c r="R142" s="97">
        <v>17</v>
      </c>
      <c r="S142" s="97">
        <v>0</v>
      </c>
      <c r="T142" s="333" t="s">
        <v>29</v>
      </c>
      <c r="U142" s="97">
        <f>SUM(N142:R142)</f>
        <v>17</v>
      </c>
      <c r="V142" s="97">
        <f>SUM(M142:T142)</f>
        <v>17</v>
      </c>
      <c r="W142" s="149"/>
    </row>
    <row r="143" spans="1:23" s="487" customFormat="1" ht="12" customHeight="1" x14ac:dyDescent="0.2">
      <c r="A143" s="491">
        <v>2019</v>
      </c>
      <c r="B143" s="199">
        <v>0</v>
      </c>
      <c r="C143" s="97">
        <v>0</v>
      </c>
      <c r="D143" s="97">
        <v>0</v>
      </c>
      <c r="E143" s="97">
        <v>0</v>
      </c>
      <c r="F143" s="97">
        <v>14</v>
      </c>
      <c r="G143" s="97">
        <v>23</v>
      </c>
      <c r="H143" s="97">
        <v>0</v>
      </c>
      <c r="I143" s="333" t="s">
        <v>29</v>
      </c>
      <c r="J143" s="97">
        <f t="shared" si="11"/>
        <v>37</v>
      </c>
      <c r="K143" s="97">
        <f t="shared" ref="K143" si="15">SUM(B143:I143)</f>
        <v>37</v>
      </c>
      <c r="L143" s="97"/>
      <c r="M143" s="97">
        <v>0</v>
      </c>
      <c r="N143" s="97">
        <v>0</v>
      </c>
      <c r="O143" s="97">
        <v>0</v>
      </c>
      <c r="P143" s="97">
        <v>0</v>
      </c>
      <c r="Q143" s="97">
        <v>123</v>
      </c>
      <c r="R143" s="97">
        <v>219</v>
      </c>
      <c r="S143" s="97">
        <v>0</v>
      </c>
      <c r="T143" s="333" t="s">
        <v>29</v>
      </c>
      <c r="U143" s="97">
        <f t="shared" ref="U143:U144" si="16">SUM(N143:R143)</f>
        <v>342</v>
      </c>
      <c r="V143" s="97">
        <f t="shared" ref="V143" si="17">SUM(M143:T143)</f>
        <v>342</v>
      </c>
      <c r="W143" s="149"/>
    </row>
    <row r="144" spans="1:23" ht="12" customHeight="1" x14ac:dyDescent="0.2">
      <c r="A144" s="491" t="s">
        <v>392</v>
      </c>
      <c r="B144" s="198">
        <v>0</v>
      </c>
      <c r="C144" s="70">
        <v>0</v>
      </c>
      <c r="D144" s="70">
        <v>0</v>
      </c>
      <c r="E144" s="70">
        <v>0</v>
      </c>
      <c r="F144" s="70">
        <v>27</v>
      </c>
      <c r="G144" s="70">
        <v>0</v>
      </c>
      <c r="H144" s="70">
        <v>0</v>
      </c>
      <c r="I144" s="332" t="s">
        <v>29</v>
      </c>
      <c r="J144" s="97">
        <f t="shared" si="11"/>
        <v>27</v>
      </c>
      <c r="K144" s="70">
        <f t="shared" si="12"/>
        <v>27</v>
      </c>
      <c r="L144" s="70"/>
      <c r="M144" s="70">
        <v>0</v>
      </c>
      <c r="N144" s="70">
        <v>0</v>
      </c>
      <c r="O144" s="70">
        <v>0</v>
      </c>
      <c r="P144" s="70">
        <v>0</v>
      </c>
      <c r="Q144" s="70">
        <v>5</v>
      </c>
      <c r="R144" s="70">
        <v>0</v>
      </c>
      <c r="S144" s="70">
        <v>0</v>
      </c>
      <c r="T144" s="332" t="s">
        <v>29</v>
      </c>
      <c r="U144" s="97">
        <f t="shared" si="16"/>
        <v>5</v>
      </c>
      <c r="V144" s="70">
        <f t="shared" si="14"/>
        <v>5</v>
      </c>
      <c r="W144" s="30"/>
    </row>
    <row r="145" spans="1:23" ht="12" customHeight="1" x14ac:dyDescent="0.2">
      <c r="B145" s="198"/>
      <c r="C145" s="70"/>
      <c r="D145" s="70"/>
      <c r="E145" s="70"/>
      <c r="F145" s="70"/>
      <c r="G145" s="70"/>
      <c r="H145" s="70"/>
      <c r="I145" s="70"/>
      <c r="J145" s="70"/>
      <c r="K145" s="70"/>
      <c r="L145" s="70"/>
      <c r="M145" s="70"/>
      <c r="N145" s="70"/>
      <c r="O145" s="70"/>
      <c r="P145" s="70"/>
      <c r="Q145" s="70"/>
      <c r="R145" s="70"/>
      <c r="S145" s="70"/>
      <c r="T145" s="70"/>
      <c r="U145" s="70"/>
      <c r="V145" s="233"/>
      <c r="W145" s="30"/>
    </row>
    <row r="146" spans="1:23" ht="12" customHeight="1" x14ac:dyDescent="0.2">
      <c r="A146" s="116" t="s">
        <v>64</v>
      </c>
      <c r="B146" s="232"/>
      <c r="C146" s="70"/>
      <c r="D146" s="70"/>
      <c r="E146" s="70"/>
      <c r="F146" s="70"/>
      <c r="G146" s="70"/>
      <c r="H146" s="70"/>
      <c r="I146" s="70"/>
      <c r="J146" s="70"/>
      <c r="K146" s="70"/>
      <c r="L146" s="70"/>
      <c r="M146" s="70"/>
      <c r="N146" s="70"/>
      <c r="O146" s="70"/>
      <c r="P146" s="70"/>
      <c r="Q146" s="70"/>
      <c r="R146" s="70"/>
      <c r="S146" s="70"/>
      <c r="T146" s="70"/>
      <c r="U146" s="70"/>
      <c r="V146" s="231"/>
    </row>
    <row r="147" spans="1:23" ht="12" customHeight="1" x14ac:dyDescent="0.2">
      <c r="A147" s="473">
        <v>1976</v>
      </c>
      <c r="B147" s="198">
        <v>0</v>
      </c>
      <c r="C147" s="70">
        <v>42</v>
      </c>
      <c r="D147" s="70">
        <v>68</v>
      </c>
      <c r="E147" s="70">
        <v>1</v>
      </c>
      <c r="F147" s="70">
        <v>0</v>
      </c>
      <c r="G147" s="70">
        <v>0</v>
      </c>
      <c r="H147" s="70">
        <v>0</v>
      </c>
      <c r="I147" s="70">
        <v>0</v>
      </c>
      <c r="J147" s="70">
        <f t="shared" ref="J147:J188" si="18">SUM(C147:G147)</f>
        <v>111</v>
      </c>
      <c r="K147" s="70">
        <f t="shared" ref="K147:K188" si="19">SUM(B147:I147)</f>
        <v>111</v>
      </c>
      <c r="L147" s="70"/>
      <c r="M147" s="70">
        <v>0</v>
      </c>
      <c r="N147" s="70">
        <v>0</v>
      </c>
      <c r="O147" s="70">
        <v>135</v>
      </c>
      <c r="P147" s="70">
        <v>8</v>
      </c>
      <c r="Q147" s="70">
        <v>0</v>
      </c>
      <c r="R147" s="70">
        <v>0</v>
      </c>
      <c r="S147" s="70">
        <v>0</v>
      </c>
      <c r="T147" s="70">
        <v>0</v>
      </c>
      <c r="U147" s="70">
        <f t="shared" ref="U147:U191" si="20">SUM(N147:R147)</f>
        <v>143</v>
      </c>
      <c r="V147" s="70">
        <f t="shared" ref="V147:V191" si="21">SUM(M147:T147)</f>
        <v>143</v>
      </c>
    </row>
    <row r="148" spans="1:23" ht="12" customHeight="1" x14ac:dyDescent="0.2">
      <c r="A148" s="473">
        <v>1977</v>
      </c>
      <c r="B148" s="198">
        <v>0</v>
      </c>
      <c r="C148" s="70">
        <v>0</v>
      </c>
      <c r="D148" s="70">
        <v>0</v>
      </c>
      <c r="E148" s="70">
        <v>0</v>
      </c>
      <c r="F148" s="70">
        <v>13</v>
      </c>
      <c r="G148" s="70">
        <v>3</v>
      </c>
      <c r="H148" s="70">
        <v>0</v>
      </c>
      <c r="I148" s="70">
        <v>0</v>
      </c>
      <c r="J148" s="70">
        <f t="shared" si="18"/>
        <v>16</v>
      </c>
      <c r="K148" s="70">
        <f t="shared" si="19"/>
        <v>16</v>
      </c>
      <c r="L148" s="70"/>
      <c r="M148" s="70">
        <v>0</v>
      </c>
      <c r="N148" s="70">
        <v>0</v>
      </c>
      <c r="O148" s="70">
        <v>0</v>
      </c>
      <c r="P148" s="70">
        <v>0</v>
      </c>
      <c r="Q148" s="70">
        <v>10</v>
      </c>
      <c r="R148" s="70">
        <v>3</v>
      </c>
      <c r="S148" s="70">
        <v>0</v>
      </c>
      <c r="T148" s="70">
        <v>0</v>
      </c>
      <c r="U148" s="70">
        <f t="shared" si="20"/>
        <v>13</v>
      </c>
      <c r="V148" s="70">
        <f t="shared" si="21"/>
        <v>13</v>
      </c>
    </row>
    <row r="149" spans="1:23" ht="12" customHeight="1" x14ac:dyDescent="0.2">
      <c r="A149" s="473">
        <v>1978</v>
      </c>
      <c r="B149" s="198">
        <v>0</v>
      </c>
      <c r="C149" s="70">
        <v>0</v>
      </c>
      <c r="D149" s="70">
        <v>0</v>
      </c>
      <c r="E149" s="70">
        <v>0</v>
      </c>
      <c r="F149" s="70">
        <v>0</v>
      </c>
      <c r="G149" s="70">
        <v>0</v>
      </c>
      <c r="H149" s="70">
        <v>0</v>
      </c>
      <c r="I149" s="70">
        <v>0</v>
      </c>
      <c r="J149" s="70">
        <f t="shared" si="18"/>
        <v>0</v>
      </c>
      <c r="K149" s="70">
        <f t="shared" si="19"/>
        <v>0</v>
      </c>
      <c r="L149" s="70"/>
      <c r="M149" s="70">
        <v>0</v>
      </c>
      <c r="N149" s="70">
        <v>0</v>
      </c>
      <c r="O149" s="70">
        <v>0</v>
      </c>
      <c r="P149" s="70">
        <v>0</v>
      </c>
      <c r="Q149" s="70">
        <v>0</v>
      </c>
      <c r="R149" s="70">
        <v>0</v>
      </c>
      <c r="S149" s="70">
        <v>0</v>
      </c>
      <c r="T149" s="70">
        <v>0</v>
      </c>
      <c r="U149" s="70">
        <f t="shared" si="20"/>
        <v>0</v>
      </c>
      <c r="V149" s="70">
        <f t="shared" si="21"/>
        <v>0</v>
      </c>
    </row>
    <row r="150" spans="1:23" ht="12" customHeight="1" x14ac:dyDescent="0.2">
      <c r="A150" s="473">
        <v>1979</v>
      </c>
      <c r="B150" s="198">
        <v>0</v>
      </c>
      <c r="C150" s="70">
        <v>17</v>
      </c>
      <c r="D150" s="70">
        <v>0</v>
      </c>
      <c r="E150" s="70">
        <v>108</v>
      </c>
      <c r="F150" s="70">
        <v>58</v>
      </c>
      <c r="G150" s="70">
        <v>0</v>
      </c>
      <c r="H150" s="70">
        <v>0</v>
      </c>
      <c r="I150" s="70">
        <v>0</v>
      </c>
      <c r="J150" s="70">
        <f t="shared" si="18"/>
        <v>183</v>
      </c>
      <c r="K150" s="70">
        <f t="shared" si="19"/>
        <v>183</v>
      </c>
      <c r="L150" s="70"/>
      <c r="M150" s="70">
        <v>0</v>
      </c>
      <c r="N150" s="70">
        <v>0</v>
      </c>
      <c r="O150" s="70">
        <v>0</v>
      </c>
      <c r="P150" s="70">
        <v>6</v>
      </c>
      <c r="Q150" s="70">
        <v>184</v>
      </c>
      <c r="R150" s="70">
        <v>0</v>
      </c>
      <c r="S150" s="70">
        <v>0</v>
      </c>
      <c r="T150" s="70">
        <v>0</v>
      </c>
      <c r="U150" s="70">
        <f t="shared" si="20"/>
        <v>190</v>
      </c>
      <c r="V150" s="70">
        <f t="shared" si="21"/>
        <v>190</v>
      </c>
    </row>
    <row r="151" spans="1:23" ht="12" customHeight="1" x14ac:dyDescent="0.2">
      <c r="A151" s="473">
        <v>1980</v>
      </c>
      <c r="B151" s="198">
        <v>0</v>
      </c>
      <c r="C151" s="70">
        <v>0</v>
      </c>
      <c r="D151" s="70">
        <v>0</v>
      </c>
      <c r="E151" s="70">
        <v>28</v>
      </c>
      <c r="F151" s="70">
        <v>50</v>
      </c>
      <c r="G151" s="70">
        <v>0</v>
      </c>
      <c r="H151" s="70">
        <v>0</v>
      </c>
      <c r="I151" s="70">
        <v>0</v>
      </c>
      <c r="J151" s="70">
        <f t="shared" si="18"/>
        <v>78</v>
      </c>
      <c r="K151" s="70">
        <f t="shared" si="19"/>
        <v>78</v>
      </c>
      <c r="L151" s="70"/>
      <c r="M151" s="70">
        <v>0</v>
      </c>
      <c r="N151" s="70">
        <v>0</v>
      </c>
      <c r="O151" s="70">
        <v>0</v>
      </c>
      <c r="P151" s="70">
        <v>34</v>
      </c>
      <c r="Q151" s="70">
        <v>97</v>
      </c>
      <c r="R151" s="70">
        <v>0</v>
      </c>
      <c r="S151" s="70">
        <v>0</v>
      </c>
      <c r="T151" s="70">
        <v>0</v>
      </c>
      <c r="U151" s="70">
        <f t="shared" si="20"/>
        <v>131</v>
      </c>
      <c r="V151" s="70">
        <f t="shared" si="21"/>
        <v>131</v>
      </c>
    </row>
    <row r="152" spans="1:23" ht="12" customHeight="1" x14ac:dyDescent="0.2">
      <c r="A152" s="473">
        <v>1981</v>
      </c>
      <c r="B152" s="198">
        <v>0</v>
      </c>
      <c r="C152" s="70">
        <v>35</v>
      </c>
      <c r="D152" s="70">
        <v>353</v>
      </c>
      <c r="E152" s="70">
        <v>279</v>
      </c>
      <c r="F152" s="70">
        <v>43</v>
      </c>
      <c r="G152" s="70">
        <v>0</v>
      </c>
      <c r="H152" s="70">
        <v>0</v>
      </c>
      <c r="I152" s="70">
        <v>0</v>
      </c>
      <c r="J152" s="70">
        <f t="shared" si="18"/>
        <v>710</v>
      </c>
      <c r="K152" s="70">
        <f t="shared" si="19"/>
        <v>710</v>
      </c>
      <c r="L152" s="70"/>
      <c r="M152" s="70">
        <v>0</v>
      </c>
      <c r="N152" s="70">
        <v>0</v>
      </c>
      <c r="O152" s="70">
        <v>846</v>
      </c>
      <c r="P152" s="70">
        <v>1240</v>
      </c>
      <c r="Q152" s="70">
        <v>587</v>
      </c>
      <c r="R152" s="70">
        <v>0</v>
      </c>
      <c r="S152" s="70">
        <v>0</v>
      </c>
      <c r="T152" s="70">
        <v>0</v>
      </c>
      <c r="U152" s="70">
        <f t="shared" si="20"/>
        <v>2673</v>
      </c>
      <c r="V152" s="70">
        <f t="shared" si="21"/>
        <v>2673</v>
      </c>
    </row>
    <row r="153" spans="1:23" ht="12" customHeight="1" x14ac:dyDescent="0.2">
      <c r="A153" s="473">
        <v>1982</v>
      </c>
      <c r="B153" s="198">
        <v>0</v>
      </c>
      <c r="C153" s="70">
        <v>696</v>
      </c>
      <c r="D153" s="70">
        <v>194</v>
      </c>
      <c r="E153" s="70">
        <v>857</v>
      </c>
      <c r="F153" s="70">
        <v>105</v>
      </c>
      <c r="G153" s="70">
        <v>28</v>
      </c>
      <c r="H153" s="70" t="s">
        <v>29</v>
      </c>
      <c r="I153" s="70" t="s">
        <v>29</v>
      </c>
      <c r="J153" s="70">
        <f t="shared" si="18"/>
        <v>1880</v>
      </c>
      <c r="K153" s="70">
        <f t="shared" si="19"/>
        <v>1880</v>
      </c>
      <c r="L153" s="70"/>
      <c r="M153" s="70">
        <v>0</v>
      </c>
      <c r="N153" s="70">
        <v>0</v>
      </c>
      <c r="O153" s="70">
        <v>468</v>
      </c>
      <c r="P153" s="70">
        <v>925</v>
      </c>
      <c r="Q153" s="70">
        <v>485</v>
      </c>
      <c r="R153" s="70">
        <v>995</v>
      </c>
      <c r="S153" s="70" t="s">
        <v>29</v>
      </c>
      <c r="T153" s="70" t="s">
        <v>29</v>
      </c>
      <c r="U153" s="70">
        <f t="shared" si="20"/>
        <v>2873</v>
      </c>
      <c r="V153" s="70">
        <f t="shared" si="21"/>
        <v>2873</v>
      </c>
    </row>
    <row r="154" spans="1:23" ht="12" customHeight="1" x14ac:dyDescent="0.2">
      <c r="A154" s="473">
        <v>1983</v>
      </c>
      <c r="B154" s="198">
        <v>0</v>
      </c>
      <c r="C154" s="70">
        <v>109</v>
      </c>
      <c r="D154" s="70">
        <v>41</v>
      </c>
      <c r="E154" s="70">
        <v>3</v>
      </c>
      <c r="F154" s="70">
        <v>3</v>
      </c>
      <c r="G154" s="70">
        <v>0</v>
      </c>
      <c r="H154" s="70" t="s">
        <v>29</v>
      </c>
      <c r="I154" s="70" t="s">
        <v>29</v>
      </c>
      <c r="J154" s="70">
        <f t="shared" si="18"/>
        <v>156</v>
      </c>
      <c r="K154" s="70">
        <f t="shared" si="19"/>
        <v>156</v>
      </c>
      <c r="L154" s="70"/>
      <c r="M154" s="70">
        <v>0</v>
      </c>
      <c r="N154" s="70">
        <v>1</v>
      </c>
      <c r="O154" s="70">
        <v>306</v>
      </c>
      <c r="P154" s="70">
        <v>21</v>
      </c>
      <c r="Q154" s="70">
        <v>3</v>
      </c>
      <c r="R154" s="70">
        <v>0</v>
      </c>
      <c r="S154" s="70" t="s">
        <v>29</v>
      </c>
      <c r="T154" s="70" t="s">
        <v>29</v>
      </c>
      <c r="U154" s="70">
        <f t="shared" si="20"/>
        <v>331</v>
      </c>
      <c r="V154" s="70">
        <f t="shared" si="21"/>
        <v>331</v>
      </c>
    </row>
    <row r="155" spans="1:23" ht="12" customHeight="1" x14ac:dyDescent="0.2">
      <c r="A155" s="473">
        <v>1984</v>
      </c>
      <c r="B155" s="198">
        <v>0</v>
      </c>
      <c r="C155" s="70">
        <v>152</v>
      </c>
      <c r="D155" s="70">
        <v>5</v>
      </c>
      <c r="E155" s="70">
        <v>19</v>
      </c>
      <c r="F155" s="70">
        <v>221</v>
      </c>
      <c r="G155" s="70">
        <v>0</v>
      </c>
      <c r="H155" s="70" t="s">
        <v>29</v>
      </c>
      <c r="I155" s="70" t="s">
        <v>29</v>
      </c>
      <c r="J155" s="70">
        <f t="shared" si="18"/>
        <v>397</v>
      </c>
      <c r="K155" s="70">
        <f t="shared" si="19"/>
        <v>397</v>
      </c>
      <c r="L155" s="70"/>
      <c r="M155" s="70">
        <v>0</v>
      </c>
      <c r="N155" s="70">
        <v>0</v>
      </c>
      <c r="O155" s="70">
        <v>0</v>
      </c>
      <c r="P155" s="70">
        <v>436</v>
      </c>
      <c r="Q155" s="70">
        <v>1340</v>
      </c>
      <c r="R155" s="70">
        <v>0</v>
      </c>
      <c r="S155" s="70" t="s">
        <v>29</v>
      </c>
      <c r="T155" s="70" t="s">
        <v>29</v>
      </c>
      <c r="U155" s="70">
        <f t="shared" si="20"/>
        <v>1776</v>
      </c>
      <c r="V155" s="70">
        <f t="shared" si="21"/>
        <v>1776</v>
      </c>
    </row>
    <row r="156" spans="1:23" ht="12" customHeight="1" x14ac:dyDescent="0.2">
      <c r="A156" s="473">
        <v>1985</v>
      </c>
      <c r="B156" s="198">
        <v>0</v>
      </c>
      <c r="C156" s="70">
        <v>614</v>
      </c>
      <c r="D156" s="70">
        <v>24</v>
      </c>
      <c r="E156" s="70">
        <v>392</v>
      </c>
      <c r="F156" s="70">
        <v>152</v>
      </c>
      <c r="G156" s="70">
        <v>0</v>
      </c>
      <c r="H156" s="70" t="s">
        <v>29</v>
      </c>
      <c r="I156" s="70" t="s">
        <v>29</v>
      </c>
      <c r="J156" s="70">
        <f t="shared" si="18"/>
        <v>1182</v>
      </c>
      <c r="K156" s="70">
        <f t="shared" si="19"/>
        <v>1182</v>
      </c>
      <c r="L156" s="70"/>
      <c r="M156" s="70">
        <v>0</v>
      </c>
      <c r="N156" s="70">
        <v>0</v>
      </c>
      <c r="O156" s="70">
        <v>146</v>
      </c>
      <c r="P156" s="70">
        <v>3687</v>
      </c>
      <c r="Q156" s="70">
        <v>392</v>
      </c>
      <c r="R156" s="70">
        <v>0</v>
      </c>
      <c r="S156" s="70" t="s">
        <v>29</v>
      </c>
      <c r="T156" s="70" t="s">
        <v>29</v>
      </c>
      <c r="U156" s="70">
        <f t="shared" si="20"/>
        <v>4225</v>
      </c>
      <c r="V156" s="70">
        <f t="shared" si="21"/>
        <v>4225</v>
      </c>
    </row>
    <row r="157" spans="1:23" ht="12" customHeight="1" x14ac:dyDescent="0.2">
      <c r="A157" s="473">
        <v>1986</v>
      </c>
      <c r="B157" s="198">
        <v>0</v>
      </c>
      <c r="C157" s="70">
        <v>206</v>
      </c>
      <c r="D157" s="70">
        <v>983</v>
      </c>
      <c r="E157" s="70">
        <v>262</v>
      </c>
      <c r="F157" s="70">
        <v>0</v>
      </c>
      <c r="G157" s="70">
        <v>0</v>
      </c>
      <c r="H157" s="70" t="s">
        <v>29</v>
      </c>
      <c r="I157" s="70" t="s">
        <v>29</v>
      </c>
      <c r="J157" s="70">
        <f t="shared" si="18"/>
        <v>1451</v>
      </c>
      <c r="K157" s="70">
        <f t="shared" si="19"/>
        <v>1451</v>
      </c>
      <c r="L157" s="70"/>
      <c r="M157" s="70">
        <v>0</v>
      </c>
      <c r="N157" s="70">
        <v>0</v>
      </c>
      <c r="O157" s="70">
        <v>6956</v>
      </c>
      <c r="P157" s="70">
        <v>4098</v>
      </c>
      <c r="Q157" s="70">
        <v>0</v>
      </c>
      <c r="R157" s="70">
        <v>0</v>
      </c>
      <c r="S157" s="70" t="s">
        <v>29</v>
      </c>
      <c r="T157" s="70" t="s">
        <v>29</v>
      </c>
      <c r="U157" s="70">
        <f t="shared" si="20"/>
        <v>11054</v>
      </c>
      <c r="V157" s="70">
        <f t="shared" si="21"/>
        <v>11054</v>
      </c>
    </row>
    <row r="158" spans="1:23" ht="12" customHeight="1" x14ac:dyDescent="0.2">
      <c r="A158" s="473">
        <v>1987</v>
      </c>
      <c r="B158" s="198">
        <v>0</v>
      </c>
      <c r="C158" s="70">
        <v>2383</v>
      </c>
      <c r="D158" s="70">
        <v>0</v>
      </c>
      <c r="E158" s="70">
        <v>298</v>
      </c>
      <c r="F158" s="70">
        <v>1206</v>
      </c>
      <c r="G158" s="70">
        <v>0</v>
      </c>
      <c r="H158" s="70" t="s">
        <v>29</v>
      </c>
      <c r="I158" s="70" t="s">
        <v>29</v>
      </c>
      <c r="J158" s="70">
        <f t="shared" si="18"/>
        <v>3887</v>
      </c>
      <c r="K158" s="70">
        <f t="shared" si="19"/>
        <v>3887</v>
      </c>
      <c r="L158" s="70"/>
      <c r="M158" s="70">
        <v>0</v>
      </c>
      <c r="N158" s="70">
        <v>0</v>
      </c>
      <c r="O158" s="70">
        <v>0</v>
      </c>
      <c r="P158" s="70">
        <v>4085</v>
      </c>
      <c r="Q158" s="70">
        <v>5699</v>
      </c>
      <c r="R158" s="70">
        <v>0</v>
      </c>
      <c r="S158" s="70" t="s">
        <v>29</v>
      </c>
      <c r="T158" s="70" t="s">
        <v>29</v>
      </c>
      <c r="U158" s="70">
        <f t="shared" si="20"/>
        <v>9784</v>
      </c>
      <c r="V158" s="70">
        <f t="shared" si="21"/>
        <v>9784</v>
      </c>
    </row>
    <row r="159" spans="1:23" ht="12" customHeight="1" x14ac:dyDescent="0.2">
      <c r="A159" s="473">
        <v>1988</v>
      </c>
      <c r="B159" s="198">
        <v>0</v>
      </c>
      <c r="C159" s="70">
        <v>366</v>
      </c>
      <c r="D159" s="70">
        <v>1951</v>
      </c>
      <c r="E159" s="70">
        <v>1480</v>
      </c>
      <c r="F159" s="70">
        <v>1711</v>
      </c>
      <c r="G159" s="70">
        <v>941</v>
      </c>
      <c r="H159" s="70" t="s">
        <v>29</v>
      </c>
      <c r="I159" s="70" t="s">
        <v>29</v>
      </c>
      <c r="J159" s="70">
        <f t="shared" si="18"/>
        <v>6449</v>
      </c>
      <c r="K159" s="70">
        <f t="shared" si="19"/>
        <v>6449</v>
      </c>
      <c r="L159" s="70"/>
      <c r="M159" s="70">
        <v>0</v>
      </c>
      <c r="N159" s="70">
        <v>0</v>
      </c>
      <c r="O159" s="70">
        <v>0</v>
      </c>
      <c r="P159" s="70">
        <v>3774</v>
      </c>
      <c r="Q159" s="70">
        <v>11445</v>
      </c>
      <c r="R159" s="70">
        <v>1592</v>
      </c>
      <c r="S159" s="70" t="s">
        <v>29</v>
      </c>
      <c r="T159" s="70" t="s">
        <v>29</v>
      </c>
      <c r="U159" s="70">
        <f t="shared" si="20"/>
        <v>16811</v>
      </c>
      <c r="V159" s="70">
        <f t="shared" si="21"/>
        <v>16811</v>
      </c>
    </row>
    <row r="160" spans="1:23" ht="12" customHeight="1" x14ac:dyDescent="0.2">
      <c r="A160" s="473">
        <v>1989</v>
      </c>
      <c r="B160" s="198">
        <v>0</v>
      </c>
      <c r="C160" s="70">
        <v>297</v>
      </c>
      <c r="D160" s="70">
        <v>747</v>
      </c>
      <c r="E160" s="70">
        <v>3188</v>
      </c>
      <c r="F160" s="70">
        <v>955</v>
      </c>
      <c r="G160" s="70">
        <v>220</v>
      </c>
      <c r="H160" s="70" t="s">
        <v>29</v>
      </c>
      <c r="I160" s="70" t="s">
        <v>29</v>
      </c>
      <c r="J160" s="70">
        <f t="shared" si="18"/>
        <v>5407</v>
      </c>
      <c r="K160" s="70">
        <f t="shared" si="19"/>
        <v>5407</v>
      </c>
      <c r="L160" s="70"/>
      <c r="M160" s="70">
        <v>0</v>
      </c>
      <c r="N160" s="70">
        <v>0</v>
      </c>
      <c r="O160" s="70">
        <v>0</v>
      </c>
      <c r="P160" s="70">
        <v>10950</v>
      </c>
      <c r="Q160" s="70">
        <v>3293</v>
      </c>
      <c r="R160" s="70">
        <v>1803</v>
      </c>
      <c r="S160" s="70" t="s">
        <v>29</v>
      </c>
      <c r="T160" s="70" t="s">
        <v>29</v>
      </c>
      <c r="U160" s="70">
        <f t="shared" si="20"/>
        <v>16046</v>
      </c>
      <c r="V160" s="70">
        <f t="shared" si="21"/>
        <v>16046</v>
      </c>
    </row>
    <row r="161" spans="1:22" ht="12" customHeight="1" x14ac:dyDescent="0.2">
      <c r="A161" s="473">
        <v>1990</v>
      </c>
      <c r="B161" s="198">
        <v>0</v>
      </c>
      <c r="C161" s="70">
        <v>102</v>
      </c>
      <c r="D161" s="70">
        <v>1064</v>
      </c>
      <c r="E161" s="70">
        <v>1187</v>
      </c>
      <c r="F161" s="70">
        <v>42</v>
      </c>
      <c r="G161" s="70">
        <v>42</v>
      </c>
      <c r="H161" s="70" t="s">
        <v>29</v>
      </c>
      <c r="I161" s="70" t="s">
        <v>29</v>
      </c>
      <c r="J161" s="70">
        <f t="shared" si="18"/>
        <v>2437</v>
      </c>
      <c r="K161" s="70">
        <f t="shared" si="19"/>
        <v>2437</v>
      </c>
      <c r="L161" s="70"/>
      <c r="M161" s="70">
        <v>0</v>
      </c>
      <c r="N161" s="70">
        <v>0</v>
      </c>
      <c r="O161" s="70">
        <v>0</v>
      </c>
      <c r="P161" s="70">
        <v>1597</v>
      </c>
      <c r="Q161" s="70">
        <v>667</v>
      </c>
      <c r="R161" s="70">
        <v>339</v>
      </c>
      <c r="S161" s="70" t="s">
        <v>29</v>
      </c>
      <c r="T161" s="70" t="s">
        <v>29</v>
      </c>
      <c r="U161" s="70">
        <f t="shared" si="20"/>
        <v>2603</v>
      </c>
      <c r="V161" s="70">
        <f t="shared" si="21"/>
        <v>2603</v>
      </c>
    </row>
    <row r="162" spans="1:22" ht="12" customHeight="1" x14ac:dyDescent="0.2">
      <c r="A162" s="473">
        <v>1991</v>
      </c>
      <c r="B162" s="198">
        <v>0</v>
      </c>
      <c r="C162" s="70">
        <v>58</v>
      </c>
      <c r="D162" s="70">
        <v>565</v>
      </c>
      <c r="E162" s="70">
        <v>749</v>
      </c>
      <c r="F162" s="70">
        <v>150</v>
      </c>
      <c r="G162" s="70">
        <v>0</v>
      </c>
      <c r="H162" s="70" t="s">
        <v>29</v>
      </c>
      <c r="I162" s="70" t="s">
        <v>29</v>
      </c>
      <c r="J162" s="70">
        <f t="shared" si="18"/>
        <v>1522</v>
      </c>
      <c r="K162" s="70">
        <f t="shared" si="19"/>
        <v>1522</v>
      </c>
      <c r="L162" s="70"/>
      <c r="M162" s="70">
        <v>0</v>
      </c>
      <c r="N162" s="70">
        <v>0</v>
      </c>
      <c r="O162" s="70">
        <v>0</v>
      </c>
      <c r="P162" s="70">
        <v>3830</v>
      </c>
      <c r="Q162" s="70">
        <v>1551</v>
      </c>
      <c r="R162" s="70">
        <v>0</v>
      </c>
      <c r="S162" s="70" t="s">
        <v>29</v>
      </c>
      <c r="T162" s="70" t="s">
        <v>29</v>
      </c>
      <c r="U162" s="70">
        <f t="shared" si="20"/>
        <v>5381</v>
      </c>
      <c r="V162" s="70">
        <f t="shared" si="21"/>
        <v>5381</v>
      </c>
    </row>
    <row r="163" spans="1:22" ht="12" customHeight="1" x14ac:dyDescent="0.2">
      <c r="A163" s="473">
        <v>1992</v>
      </c>
      <c r="B163" s="198">
        <v>0</v>
      </c>
      <c r="C163" s="70">
        <v>16</v>
      </c>
      <c r="D163" s="70">
        <v>10</v>
      </c>
      <c r="E163" s="70">
        <v>30</v>
      </c>
      <c r="F163" s="70">
        <v>4</v>
      </c>
      <c r="G163" s="70">
        <v>0</v>
      </c>
      <c r="H163" s="70" t="s">
        <v>29</v>
      </c>
      <c r="I163" s="70" t="s">
        <v>29</v>
      </c>
      <c r="J163" s="70">
        <f t="shared" si="18"/>
        <v>60</v>
      </c>
      <c r="K163" s="70">
        <f t="shared" si="19"/>
        <v>60</v>
      </c>
      <c r="L163" s="70"/>
      <c r="M163" s="70">
        <v>0</v>
      </c>
      <c r="N163" s="70">
        <v>0</v>
      </c>
      <c r="O163" s="70">
        <v>0</v>
      </c>
      <c r="P163" s="70">
        <v>96</v>
      </c>
      <c r="Q163" s="70">
        <v>38</v>
      </c>
      <c r="R163" s="70">
        <v>0</v>
      </c>
      <c r="S163" s="70" t="s">
        <v>29</v>
      </c>
      <c r="T163" s="70" t="s">
        <v>29</v>
      </c>
      <c r="U163" s="70">
        <f t="shared" si="20"/>
        <v>134</v>
      </c>
      <c r="V163" s="70">
        <f t="shared" si="21"/>
        <v>134</v>
      </c>
    </row>
    <row r="164" spans="1:22" ht="12" customHeight="1" x14ac:dyDescent="0.2">
      <c r="A164" s="473">
        <v>1993</v>
      </c>
      <c r="B164" s="198">
        <v>0</v>
      </c>
      <c r="C164" s="70">
        <v>0</v>
      </c>
      <c r="D164" s="70">
        <v>40</v>
      </c>
      <c r="E164" s="70">
        <v>159</v>
      </c>
      <c r="F164" s="70">
        <v>1285</v>
      </c>
      <c r="G164" s="70">
        <v>372</v>
      </c>
      <c r="H164" s="70" t="s">
        <v>29</v>
      </c>
      <c r="I164" s="70" t="s">
        <v>29</v>
      </c>
      <c r="J164" s="70">
        <f t="shared" si="18"/>
        <v>1856</v>
      </c>
      <c r="K164" s="70">
        <f t="shared" si="19"/>
        <v>1856</v>
      </c>
      <c r="L164" s="70"/>
      <c r="M164" s="70">
        <v>0</v>
      </c>
      <c r="N164" s="70">
        <v>0</v>
      </c>
      <c r="O164" s="70">
        <v>0</v>
      </c>
      <c r="P164" s="70">
        <v>1763</v>
      </c>
      <c r="Q164" s="70">
        <v>5526</v>
      </c>
      <c r="R164" s="70">
        <v>1141</v>
      </c>
      <c r="S164" s="70" t="s">
        <v>29</v>
      </c>
      <c r="T164" s="70" t="s">
        <v>29</v>
      </c>
      <c r="U164" s="70">
        <f t="shared" si="20"/>
        <v>8430</v>
      </c>
      <c r="V164" s="70">
        <f t="shared" si="21"/>
        <v>8430</v>
      </c>
    </row>
    <row r="165" spans="1:22" ht="12" customHeight="1" x14ac:dyDescent="0.2">
      <c r="A165" s="473">
        <v>1994</v>
      </c>
      <c r="B165" s="198">
        <v>0</v>
      </c>
      <c r="C165" s="70">
        <v>0</v>
      </c>
      <c r="D165" s="70">
        <v>541</v>
      </c>
      <c r="E165" s="70">
        <v>3</v>
      </c>
      <c r="F165" s="70">
        <v>0</v>
      </c>
      <c r="G165" s="70">
        <v>0</v>
      </c>
      <c r="H165" s="70" t="s">
        <v>29</v>
      </c>
      <c r="I165" s="70" t="s">
        <v>29</v>
      </c>
      <c r="J165" s="70">
        <f t="shared" si="18"/>
        <v>544</v>
      </c>
      <c r="K165" s="70">
        <f t="shared" si="19"/>
        <v>544</v>
      </c>
      <c r="L165" s="70"/>
      <c r="M165" s="70">
        <v>0</v>
      </c>
      <c r="N165" s="70">
        <v>0</v>
      </c>
      <c r="O165" s="70">
        <v>0</v>
      </c>
      <c r="P165" s="70">
        <v>0</v>
      </c>
      <c r="Q165" s="70">
        <v>0</v>
      </c>
      <c r="R165" s="70">
        <v>0</v>
      </c>
      <c r="S165" s="70" t="s">
        <v>29</v>
      </c>
      <c r="T165" s="70" t="s">
        <v>29</v>
      </c>
      <c r="U165" s="70">
        <f t="shared" si="20"/>
        <v>0</v>
      </c>
      <c r="V165" s="70">
        <f t="shared" si="21"/>
        <v>0</v>
      </c>
    </row>
    <row r="166" spans="1:22" ht="12" customHeight="1" x14ac:dyDescent="0.2">
      <c r="A166" s="473">
        <v>1995</v>
      </c>
      <c r="B166" s="198">
        <v>0</v>
      </c>
      <c r="C166" s="70">
        <v>0</v>
      </c>
      <c r="D166" s="70">
        <v>0</v>
      </c>
      <c r="E166" s="70">
        <v>0</v>
      </c>
      <c r="F166" s="70">
        <v>1841</v>
      </c>
      <c r="G166" s="70">
        <v>0</v>
      </c>
      <c r="H166" s="70" t="s">
        <v>29</v>
      </c>
      <c r="I166" s="70" t="s">
        <v>29</v>
      </c>
      <c r="J166" s="70">
        <f t="shared" si="18"/>
        <v>1841</v>
      </c>
      <c r="K166" s="70">
        <f t="shared" si="19"/>
        <v>1841</v>
      </c>
      <c r="L166" s="70"/>
      <c r="M166" s="70">
        <v>0</v>
      </c>
      <c r="N166" s="70">
        <v>0</v>
      </c>
      <c r="O166" s="70">
        <v>0</v>
      </c>
      <c r="P166" s="70">
        <v>0</v>
      </c>
      <c r="Q166" s="70">
        <v>2982</v>
      </c>
      <c r="R166" s="70">
        <v>0</v>
      </c>
      <c r="S166" s="70" t="s">
        <v>29</v>
      </c>
      <c r="T166" s="70" t="s">
        <v>29</v>
      </c>
      <c r="U166" s="70">
        <f t="shared" si="20"/>
        <v>2982</v>
      </c>
      <c r="V166" s="70">
        <f t="shared" si="21"/>
        <v>2982</v>
      </c>
    </row>
    <row r="167" spans="1:22" ht="12" customHeight="1" x14ac:dyDescent="0.2">
      <c r="A167" s="473">
        <v>1996</v>
      </c>
      <c r="B167" s="198">
        <v>0</v>
      </c>
      <c r="C167" s="70">
        <v>39</v>
      </c>
      <c r="D167" s="70">
        <v>0</v>
      </c>
      <c r="E167" s="70">
        <v>337</v>
      </c>
      <c r="F167" s="70">
        <v>62</v>
      </c>
      <c r="G167" s="70">
        <v>0</v>
      </c>
      <c r="H167" s="70" t="s">
        <v>29</v>
      </c>
      <c r="I167" s="70" t="s">
        <v>29</v>
      </c>
      <c r="J167" s="70">
        <f t="shared" si="18"/>
        <v>438</v>
      </c>
      <c r="K167" s="70">
        <f t="shared" si="19"/>
        <v>438</v>
      </c>
      <c r="L167" s="70"/>
      <c r="M167" s="70">
        <v>0</v>
      </c>
      <c r="N167" s="70">
        <v>0</v>
      </c>
      <c r="O167" s="70">
        <v>0</v>
      </c>
      <c r="P167" s="70">
        <v>0</v>
      </c>
      <c r="Q167" s="70">
        <v>762</v>
      </c>
      <c r="R167" s="70">
        <v>1168</v>
      </c>
      <c r="S167" s="70" t="s">
        <v>29</v>
      </c>
      <c r="T167" s="70" t="s">
        <v>29</v>
      </c>
      <c r="U167" s="70">
        <f t="shared" si="20"/>
        <v>1930</v>
      </c>
      <c r="V167" s="70">
        <f t="shared" si="21"/>
        <v>1930</v>
      </c>
    </row>
    <row r="168" spans="1:22" ht="12" customHeight="1" x14ac:dyDescent="0.2">
      <c r="A168" s="473">
        <v>1997</v>
      </c>
      <c r="B168" s="198">
        <v>0</v>
      </c>
      <c r="C168" s="70">
        <v>0</v>
      </c>
      <c r="D168" s="70">
        <v>17</v>
      </c>
      <c r="E168" s="70">
        <v>0</v>
      </c>
      <c r="F168" s="70">
        <v>1056</v>
      </c>
      <c r="G168" s="70">
        <v>222</v>
      </c>
      <c r="H168" s="70" t="s">
        <v>29</v>
      </c>
      <c r="I168" s="70" t="s">
        <v>29</v>
      </c>
      <c r="J168" s="70">
        <f t="shared" si="18"/>
        <v>1295</v>
      </c>
      <c r="K168" s="70">
        <f t="shared" si="19"/>
        <v>1295</v>
      </c>
      <c r="L168" s="70"/>
      <c r="M168" s="70">
        <v>0</v>
      </c>
      <c r="N168" s="70">
        <v>0</v>
      </c>
      <c r="O168" s="70">
        <v>0</v>
      </c>
      <c r="P168" s="70">
        <v>0</v>
      </c>
      <c r="Q168" s="70">
        <v>1956</v>
      </c>
      <c r="R168" s="70">
        <v>653</v>
      </c>
      <c r="S168" s="70" t="s">
        <v>29</v>
      </c>
      <c r="T168" s="70" t="s">
        <v>29</v>
      </c>
      <c r="U168" s="70">
        <f t="shared" si="20"/>
        <v>2609</v>
      </c>
      <c r="V168" s="70">
        <f t="shared" si="21"/>
        <v>2609</v>
      </c>
    </row>
    <row r="169" spans="1:22" ht="12" customHeight="1" x14ac:dyDescent="0.2">
      <c r="A169" s="473">
        <v>1998</v>
      </c>
      <c r="B169" s="198">
        <v>0</v>
      </c>
      <c r="C169" s="70">
        <v>41</v>
      </c>
      <c r="D169" s="70">
        <v>35</v>
      </c>
      <c r="E169" s="70">
        <v>0</v>
      </c>
      <c r="F169" s="70">
        <v>141</v>
      </c>
      <c r="G169" s="70">
        <v>8</v>
      </c>
      <c r="H169" s="70" t="s">
        <v>29</v>
      </c>
      <c r="I169" s="70" t="s">
        <v>29</v>
      </c>
      <c r="J169" s="70">
        <f t="shared" si="18"/>
        <v>225</v>
      </c>
      <c r="K169" s="70">
        <f t="shared" si="19"/>
        <v>225</v>
      </c>
      <c r="L169" s="70"/>
      <c r="M169" s="70">
        <v>0</v>
      </c>
      <c r="N169" s="70">
        <v>0</v>
      </c>
      <c r="O169" s="70">
        <v>0</v>
      </c>
      <c r="P169" s="70">
        <v>0</v>
      </c>
      <c r="Q169" s="70">
        <v>191</v>
      </c>
      <c r="R169" s="70">
        <v>13</v>
      </c>
      <c r="S169" s="70" t="s">
        <v>29</v>
      </c>
      <c r="T169" s="70" t="s">
        <v>29</v>
      </c>
      <c r="U169" s="70">
        <f t="shared" si="20"/>
        <v>204</v>
      </c>
      <c r="V169" s="70">
        <f t="shared" si="21"/>
        <v>204</v>
      </c>
    </row>
    <row r="170" spans="1:22" ht="12" customHeight="1" x14ac:dyDescent="0.2">
      <c r="A170" s="473">
        <v>1999</v>
      </c>
      <c r="B170" s="198">
        <v>0</v>
      </c>
      <c r="C170" s="70">
        <v>8</v>
      </c>
      <c r="D170" s="70">
        <v>189</v>
      </c>
      <c r="E170" s="70">
        <v>0</v>
      </c>
      <c r="F170" s="70">
        <v>20</v>
      </c>
      <c r="G170" s="70">
        <v>0</v>
      </c>
      <c r="H170" s="70" t="s">
        <v>29</v>
      </c>
      <c r="I170" s="70" t="s">
        <v>29</v>
      </c>
      <c r="J170" s="70">
        <f t="shared" si="18"/>
        <v>217</v>
      </c>
      <c r="K170" s="70">
        <f t="shared" si="19"/>
        <v>217</v>
      </c>
      <c r="L170" s="70"/>
      <c r="M170" s="70">
        <v>0</v>
      </c>
      <c r="N170" s="70">
        <v>0</v>
      </c>
      <c r="O170" s="70">
        <v>0</v>
      </c>
      <c r="P170" s="70">
        <v>0</v>
      </c>
      <c r="Q170" s="70">
        <v>28</v>
      </c>
      <c r="R170" s="70">
        <v>0</v>
      </c>
      <c r="S170" s="70" t="s">
        <v>29</v>
      </c>
      <c r="T170" s="70" t="s">
        <v>29</v>
      </c>
      <c r="U170" s="70">
        <f t="shared" si="20"/>
        <v>28</v>
      </c>
      <c r="V170" s="70">
        <f t="shared" si="21"/>
        <v>28</v>
      </c>
    </row>
    <row r="171" spans="1:22" ht="12" customHeight="1" x14ac:dyDescent="0.2">
      <c r="A171" s="473">
        <v>2000</v>
      </c>
      <c r="B171" s="198">
        <v>0</v>
      </c>
      <c r="C171" s="70">
        <v>0</v>
      </c>
      <c r="D171" s="70">
        <v>214</v>
      </c>
      <c r="E171" s="70">
        <v>0</v>
      </c>
      <c r="F171" s="70">
        <v>149</v>
      </c>
      <c r="G171" s="70">
        <v>0</v>
      </c>
      <c r="H171" s="70" t="s">
        <v>29</v>
      </c>
      <c r="I171" s="70" t="s">
        <v>29</v>
      </c>
      <c r="J171" s="70">
        <f t="shared" si="18"/>
        <v>363</v>
      </c>
      <c r="K171" s="70">
        <f t="shared" si="19"/>
        <v>363</v>
      </c>
      <c r="L171" s="70"/>
      <c r="M171" s="70">
        <v>0</v>
      </c>
      <c r="N171" s="70">
        <v>0</v>
      </c>
      <c r="O171" s="70">
        <v>0</v>
      </c>
      <c r="P171" s="70">
        <v>0</v>
      </c>
      <c r="Q171" s="70">
        <v>623</v>
      </c>
      <c r="R171" s="70">
        <v>0</v>
      </c>
      <c r="S171" s="70" t="s">
        <v>29</v>
      </c>
      <c r="T171" s="70" t="s">
        <v>29</v>
      </c>
      <c r="U171" s="70">
        <f t="shared" si="20"/>
        <v>623</v>
      </c>
      <c r="V171" s="70">
        <f t="shared" si="21"/>
        <v>623</v>
      </c>
    </row>
    <row r="172" spans="1:22" ht="12" customHeight="1" x14ac:dyDescent="0.2">
      <c r="A172" s="473">
        <v>2001</v>
      </c>
      <c r="B172" s="198">
        <v>0</v>
      </c>
      <c r="C172" s="70">
        <v>0</v>
      </c>
      <c r="D172" s="70">
        <v>365</v>
      </c>
      <c r="E172" s="70">
        <v>195</v>
      </c>
      <c r="F172" s="70">
        <v>0</v>
      </c>
      <c r="G172" s="70">
        <v>0</v>
      </c>
      <c r="H172" s="70" t="s">
        <v>29</v>
      </c>
      <c r="I172" s="70" t="s">
        <v>29</v>
      </c>
      <c r="J172" s="70">
        <f t="shared" si="18"/>
        <v>560</v>
      </c>
      <c r="K172" s="70">
        <f t="shared" si="19"/>
        <v>560</v>
      </c>
      <c r="L172" s="70"/>
      <c r="M172" s="70">
        <v>0</v>
      </c>
      <c r="N172" s="70">
        <v>0</v>
      </c>
      <c r="O172" s="70">
        <v>0</v>
      </c>
      <c r="P172" s="70">
        <v>0</v>
      </c>
      <c r="Q172" s="70">
        <v>0</v>
      </c>
      <c r="R172" s="70">
        <v>0</v>
      </c>
      <c r="S172" s="70" t="s">
        <v>29</v>
      </c>
      <c r="T172" s="70" t="s">
        <v>29</v>
      </c>
      <c r="U172" s="70">
        <f t="shared" si="20"/>
        <v>0</v>
      </c>
      <c r="V172" s="70">
        <f t="shared" si="21"/>
        <v>0</v>
      </c>
    </row>
    <row r="173" spans="1:22" ht="12" customHeight="1" x14ac:dyDescent="0.2">
      <c r="A173" s="473">
        <v>2002</v>
      </c>
      <c r="B173" s="198">
        <v>0</v>
      </c>
      <c r="C173" s="70">
        <v>0</v>
      </c>
      <c r="D173" s="70">
        <v>95</v>
      </c>
      <c r="E173" s="70">
        <v>37</v>
      </c>
      <c r="F173" s="70">
        <v>34</v>
      </c>
      <c r="G173" s="70">
        <v>0</v>
      </c>
      <c r="H173" s="70" t="s">
        <v>29</v>
      </c>
      <c r="I173" s="70" t="s">
        <v>29</v>
      </c>
      <c r="J173" s="70">
        <f t="shared" si="18"/>
        <v>166</v>
      </c>
      <c r="K173" s="70">
        <f t="shared" si="19"/>
        <v>166</v>
      </c>
      <c r="L173" s="70"/>
      <c r="M173" s="70">
        <v>0</v>
      </c>
      <c r="N173" s="70">
        <v>0</v>
      </c>
      <c r="O173" s="70">
        <v>0</v>
      </c>
      <c r="P173" s="70">
        <v>0</v>
      </c>
      <c r="Q173" s="70">
        <v>27</v>
      </c>
      <c r="R173" s="70">
        <v>0</v>
      </c>
      <c r="S173" s="70" t="s">
        <v>29</v>
      </c>
      <c r="T173" s="70" t="s">
        <v>29</v>
      </c>
      <c r="U173" s="70">
        <f t="shared" si="20"/>
        <v>27</v>
      </c>
      <c r="V173" s="70">
        <f t="shared" si="21"/>
        <v>27</v>
      </c>
    </row>
    <row r="174" spans="1:22" ht="12" customHeight="1" x14ac:dyDescent="0.2">
      <c r="A174" s="473">
        <v>2003</v>
      </c>
      <c r="B174" s="198">
        <v>0</v>
      </c>
      <c r="C174" s="70">
        <v>10</v>
      </c>
      <c r="D174" s="70">
        <v>0</v>
      </c>
      <c r="E174" s="70">
        <v>0</v>
      </c>
      <c r="F174" s="70">
        <v>209</v>
      </c>
      <c r="G174" s="70">
        <v>77</v>
      </c>
      <c r="H174" s="70" t="s">
        <v>29</v>
      </c>
      <c r="I174" s="70" t="s">
        <v>29</v>
      </c>
      <c r="J174" s="70">
        <f t="shared" si="18"/>
        <v>296</v>
      </c>
      <c r="K174" s="70">
        <f t="shared" si="19"/>
        <v>296</v>
      </c>
      <c r="L174" s="70"/>
      <c r="M174" s="70">
        <v>0</v>
      </c>
      <c r="N174" s="70">
        <v>0</v>
      </c>
      <c r="O174" s="70">
        <v>0</v>
      </c>
      <c r="P174" s="70">
        <v>0</v>
      </c>
      <c r="Q174" s="70">
        <v>112</v>
      </c>
      <c r="R174" s="70">
        <v>61</v>
      </c>
      <c r="S174" s="70" t="s">
        <v>29</v>
      </c>
      <c r="T174" s="70" t="s">
        <v>29</v>
      </c>
      <c r="U174" s="70">
        <f t="shared" si="20"/>
        <v>173</v>
      </c>
      <c r="V174" s="70">
        <f t="shared" si="21"/>
        <v>173</v>
      </c>
    </row>
    <row r="175" spans="1:22" ht="12" customHeight="1" x14ac:dyDescent="0.2">
      <c r="A175" s="473">
        <v>2004</v>
      </c>
      <c r="B175" s="198">
        <v>0</v>
      </c>
      <c r="C175" s="70">
        <v>138</v>
      </c>
      <c r="D175" s="70">
        <v>0</v>
      </c>
      <c r="E175" s="70">
        <v>13</v>
      </c>
      <c r="F175" s="70">
        <v>66</v>
      </c>
      <c r="G175" s="70">
        <v>52</v>
      </c>
      <c r="H175" s="70" t="s">
        <v>29</v>
      </c>
      <c r="I175" s="70" t="s">
        <v>29</v>
      </c>
      <c r="J175" s="70">
        <f t="shared" si="18"/>
        <v>269</v>
      </c>
      <c r="K175" s="70">
        <f t="shared" si="19"/>
        <v>269</v>
      </c>
      <c r="L175" s="70"/>
      <c r="M175" s="70">
        <v>0</v>
      </c>
      <c r="N175" s="70">
        <v>0</v>
      </c>
      <c r="O175" s="70">
        <v>0</v>
      </c>
      <c r="P175" s="70">
        <v>0</v>
      </c>
      <c r="Q175" s="70">
        <v>30</v>
      </c>
      <c r="R175" s="70">
        <v>84</v>
      </c>
      <c r="S175" s="70" t="s">
        <v>29</v>
      </c>
      <c r="T175" s="70" t="s">
        <v>29</v>
      </c>
      <c r="U175" s="70">
        <f t="shared" si="20"/>
        <v>114</v>
      </c>
      <c r="V175" s="70">
        <f t="shared" si="21"/>
        <v>114</v>
      </c>
    </row>
    <row r="176" spans="1:22" ht="12" customHeight="1" x14ac:dyDescent="0.2">
      <c r="A176" s="473">
        <v>2005</v>
      </c>
      <c r="B176" s="198">
        <v>0</v>
      </c>
      <c r="C176" s="70">
        <v>1629</v>
      </c>
      <c r="D176" s="70">
        <v>1</v>
      </c>
      <c r="E176" s="70">
        <v>0</v>
      </c>
      <c r="F176" s="70">
        <v>801</v>
      </c>
      <c r="G176" s="70">
        <v>495</v>
      </c>
      <c r="H176" s="70" t="s">
        <v>29</v>
      </c>
      <c r="I176" s="70" t="s">
        <v>29</v>
      </c>
      <c r="J176" s="70">
        <f t="shared" si="18"/>
        <v>2926</v>
      </c>
      <c r="K176" s="70">
        <f t="shared" si="19"/>
        <v>2926</v>
      </c>
      <c r="L176" s="70"/>
      <c r="M176" s="70">
        <v>0</v>
      </c>
      <c r="N176" s="70">
        <v>0</v>
      </c>
      <c r="O176" s="70">
        <v>0</v>
      </c>
      <c r="P176" s="70">
        <v>0</v>
      </c>
      <c r="Q176" s="70">
        <v>399</v>
      </c>
      <c r="R176" s="70">
        <v>255</v>
      </c>
      <c r="S176" s="70" t="s">
        <v>29</v>
      </c>
      <c r="T176" s="70" t="s">
        <v>29</v>
      </c>
      <c r="U176" s="70">
        <f t="shared" si="20"/>
        <v>654</v>
      </c>
      <c r="V176" s="70">
        <f t="shared" si="21"/>
        <v>654</v>
      </c>
    </row>
    <row r="177" spans="1:22" ht="12" customHeight="1" x14ac:dyDescent="0.2">
      <c r="A177" s="473">
        <v>2006</v>
      </c>
      <c r="B177" s="198">
        <v>0</v>
      </c>
      <c r="C177" s="70">
        <v>20</v>
      </c>
      <c r="D177" s="70">
        <v>44</v>
      </c>
      <c r="E177" s="70">
        <v>34</v>
      </c>
      <c r="F177" s="70">
        <v>31</v>
      </c>
      <c r="G177" s="70">
        <v>66</v>
      </c>
      <c r="H177" s="70" t="s">
        <v>29</v>
      </c>
      <c r="I177" s="70" t="s">
        <v>29</v>
      </c>
      <c r="J177" s="70">
        <f t="shared" si="18"/>
        <v>195</v>
      </c>
      <c r="K177" s="70">
        <f t="shared" si="19"/>
        <v>195</v>
      </c>
      <c r="L177" s="70"/>
      <c r="M177" s="70">
        <v>0</v>
      </c>
      <c r="N177" s="70">
        <v>0</v>
      </c>
      <c r="O177" s="70">
        <v>0</v>
      </c>
      <c r="P177" s="70">
        <v>5</v>
      </c>
      <c r="Q177" s="70">
        <v>36</v>
      </c>
      <c r="R177" s="70">
        <v>123</v>
      </c>
      <c r="S177" s="70" t="s">
        <v>29</v>
      </c>
      <c r="T177" s="70" t="s">
        <v>29</v>
      </c>
      <c r="U177" s="70">
        <f t="shared" si="20"/>
        <v>164</v>
      </c>
      <c r="V177" s="70">
        <f t="shared" si="21"/>
        <v>164</v>
      </c>
    </row>
    <row r="178" spans="1:22" s="467" customFormat="1" ht="12" customHeight="1" x14ac:dyDescent="0.2">
      <c r="A178" s="477">
        <v>2007</v>
      </c>
      <c r="B178" s="199">
        <v>0</v>
      </c>
      <c r="C178" s="97">
        <v>0</v>
      </c>
      <c r="D178" s="97">
        <v>0</v>
      </c>
      <c r="E178" s="97">
        <v>94</v>
      </c>
      <c r="F178" s="97">
        <v>79</v>
      </c>
      <c r="G178" s="97">
        <v>13</v>
      </c>
      <c r="H178" s="70" t="s">
        <v>29</v>
      </c>
      <c r="I178" s="70" t="s">
        <v>29</v>
      </c>
      <c r="J178" s="97">
        <f t="shared" si="18"/>
        <v>186</v>
      </c>
      <c r="K178" s="97">
        <f t="shared" si="19"/>
        <v>186</v>
      </c>
      <c r="L178" s="97"/>
      <c r="M178" s="97">
        <v>0</v>
      </c>
      <c r="N178" s="97">
        <v>0</v>
      </c>
      <c r="O178" s="97">
        <v>0</v>
      </c>
      <c r="P178" s="97">
        <v>137</v>
      </c>
      <c r="Q178" s="97">
        <v>344</v>
      </c>
      <c r="R178" s="97">
        <v>63</v>
      </c>
      <c r="S178" s="70" t="s">
        <v>29</v>
      </c>
      <c r="T178" s="70" t="s">
        <v>29</v>
      </c>
      <c r="U178" s="97">
        <f t="shared" si="20"/>
        <v>544</v>
      </c>
      <c r="V178" s="97">
        <f t="shared" si="21"/>
        <v>544</v>
      </c>
    </row>
    <row r="179" spans="1:22" s="467" customFormat="1" ht="12" customHeight="1" x14ac:dyDescent="0.2">
      <c r="A179" s="477">
        <v>2008</v>
      </c>
      <c r="B179" s="199">
        <v>0</v>
      </c>
      <c r="C179" s="97">
        <v>23</v>
      </c>
      <c r="D179" s="97">
        <v>64</v>
      </c>
      <c r="E179" s="97">
        <v>35</v>
      </c>
      <c r="F179" s="97">
        <v>393</v>
      </c>
      <c r="G179" s="97">
        <v>31</v>
      </c>
      <c r="H179" s="97" t="s">
        <v>29</v>
      </c>
      <c r="I179" s="97" t="s">
        <v>29</v>
      </c>
      <c r="J179" s="97">
        <f t="shared" si="18"/>
        <v>546</v>
      </c>
      <c r="K179" s="97">
        <f t="shared" si="19"/>
        <v>546</v>
      </c>
      <c r="L179" s="97"/>
      <c r="M179" s="97">
        <v>0</v>
      </c>
      <c r="N179" s="97">
        <v>0</v>
      </c>
      <c r="O179" s="97">
        <v>0</v>
      </c>
      <c r="P179" s="97">
        <v>6</v>
      </c>
      <c r="Q179" s="97">
        <v>674</v>
      </c>
      <c r="R179" s="97">
        <v>65</v>
      </c>
      <c r="S179" s="97" t="s">
        <v>29</v>
      </c>
      <c r="T179" s="97" t="s">
        <v>29</v>
      </c>
      <c r="U179" s="97">
        <f t="shared" si="20"/>
        <v>745</v>
      </c>
      <c r="V179" s="97">
        <f t="shared" si="21"/>
        <v>745</v>
      </c>
    </row>
    <row r="180" spans="1:22" s="467" customFormat="1" ht="12" customHeight="1" x14ac:dyDescent="0.2">
      <c r="A180" s="477">
        <v>2009</v>
      </c>
      <c r="B180" s="199">
        <v>0</v>
      </c>
      <c r="C180" s="97">
        <v>128</v>
      </c>
      <c r="D180" s="97">
        <v>118</v>
      </c>
      <c r="E180" s="97">
        <v>101</v>
      </c>
      <c r="F180" s="97">
        <v>144</v>
      </c>
      <c r="G180" s="97">
        <v>0</v>
      </c>
      <c r="H180" s="97" t="s">
        <v>29</v>
      </c>
      <c r="I180" s="97" t="s">
        <v>29</v>
      </c>
      <c r="J180" s="97">
        <f t="shared" si="18"/>
        <v>491</v>
      </c>
      <c r="K180" s="97">
        <f t="shared" si="19"/>
        <v>491</v>
      </c>
      <c r="L180" s="97"/>
      <c r="M180" s="97">
        <v>0</v>
      </c>
      <c r="N180" s="97">
        <v>0</v>
      </c>
      <c r="O180" s="97">
        <v>0</v>
      </c>
      <c r="P180" s="97">
        <v>443</v>
      </c>
      <c r="Q180" s="97">
        <v>3694</v>
      </c>
      <c r="R180" s="97">
        <v>68</v>
      </c>
      <c r="S180" s="97" t="s">
        <v>29</v>
      </c>
      <c r="T180" s="97" t="s">
        <v>29</v>
      </c>
      <c r="U180" s="97">
        <f t="shared" si="20"/>
        <v>4205</v>
      </c>
      <c r="V180" s="97">
        <f t="shared" si="21"/>
        <v>4205</v>
      </c>
    </row>
    <row r="181" spans="1:22" s="467" customFormat="1" ht="12" customHeight="1" x14ac:dyDescent="0.2">
      <c r="A181" s="477">
        <v>2010</v>
      </c>
      <c r="B181" s="199">
        <v>0</v>
      </c>
      <c r="C181" s="97">
        <v>32</v>
      </c>
      <c r="D181" s="97">
        <v>766</v>
      </c>
      <c r="E181" s="97">
        <v>938</v>
      </c>
      <c r="F181" s="97">
        <v>468</v>
      </c>
      <c r="G181" s="97">
        <v>624</v>
      </c>
      <c r="H181" s="97" t="s">
        <v>29</v>
      </c>
      <c r="I181" s="97" t="s">
        <v>29</v>
      </c>
      <c r="J181" s="97">
        <f t="shared" si="18"/>
        <v>2828</v>
      </c>
      <c r="K181" s="97">
        <f t="shared" si="19"/>
        <v>2828</v>
      </c>
      <c r="L181" s="97"/>
      <c r="M181" s="97">
        <v>0</v>
      </c>
      <c r="N181" s="97">
        <v>0</v>
      </c>
      <c r="O181" s="97">
        <v>50</v>
      </c>
      <c r="P181" s="97">
        <v>448</v>
      </c>
      <c r="Q181" s="97">
        <v>249</v>
      </c>
      <c r="R181" s="97">
        <v>1390</v>
      </c>
      <c r="S181" s="97" t="s">
        <v>29</v>
      </c>
      <c r="T181" s="97" t="s">
        <v>29</v>
      </c>
      <c r="U181" s="97">
        <f t="shared" si="20"/>
        <v>2137</v>
      </c>
      <c r="V181" s="97">
        <f t="shared" si="21"/>
        <v>2137</v>
      </c>
    </row>
    <row r="182" spans="1:22" s="467" customFormat="1" ht="12" customHeight="1" x14ac:dyDescent="0.2">
      <c r="A182" s="477">
        <v>2011</v>
      </c>
      <c r="B182" s="198">
        <v>0</v>
      </c>
      <c r="C182" s="70">
        <v>0</v>
      </c>
      <c r="D182" s="70">
        <v>286</v>
      </c>
      <c r="E182" s="70">
        <v>253</v>
      </c>
      <c r="F182" s="70">
        <v>1610</v>
      </c>
      <c r="G182" s="70">
        <v>13</v>
      </c>
      <c r="H182" s="70" t="s">
        <v>29</v>
      </c>
      <c r="I182" s="70" t="s">
        <v>29</v>
      </c>
      <c r="J182" s="70">
        <f t="shared" si="18"/>
        <v>2162</v>
      </c>
      <c r="K182" s="70">
        <f t="shared" si="19"/>
        <v>2162</v>
      </c>
      <c r="L182" s="70"/>
      <c r="M182" s="70">
        <v>0</v>
      </c>
      <c r="N182" s="70">
        <v>0</v>
      </c>
      <c r="O182" s="70">
        <v>0</v>
      </c>
      <c r="P182" s="70">
        <v>101</v>
      </c>
      <c r="Q182" s="70">
        <v>553</v>
      </c>
      <c r="R182" s="70">
        <v>55</v>
      </c>
      <c r="S182" s="70" t="s">
        <v>29</v>
      </c>
      <c r="T182" s="70" t="s">
        <v>29</v>
      </c>
      <c r="U182" s="70">
        <f t="shared" si="20"/>
        <v>709</v>
      </c>
      <c r="V182" s="70">
        <f t="shared" si="21"/>
        <v>709</v>
      </c>
    </row>
    <row r="183" spans="1:22" s="467" customFormat="1" ht="12" customHeight="1" x14ac:dyDescent="0.2">
      <c r="A183" s="477">
        <v>2012</v>
      </c>
      <c r="B183" s="199">
        <v>0</v>
      </c>
      <c r="C183" s="97">
        <v>133</v>
      </c>
      <c r="D183" s="97">
        <v>521</v>
      </c>
      <c r="E183" s="97">
        <v>366</v>
      </c>
      <c r="F183" s="97">
        <v>174</v>
      </c>
      <c r="G183" s="97">
        <v>0</v>
      </c>
      <c r="H183" s="97" t="s">
        <v>29</v>
      </c>
      <c r="I183" s="97" t="s">
        <v>29</v>
      </c>
      <c r="J183" s="97">
        <f t="shared" si="18"/>
        <v>1194</v>
      </c>
      <c r="K183" s="97">
        <f t="shared" si="19"/>
        <v>1194</v>
      </c>
      <c r="L183" s="97"/>
      <c r="M183" s="97">
        <v>0</v>
      </c>
      <c r="N183" s="97">
        <v>0</v>
      </c>
      <c r="O183" s="97">
        <v>71</v>
      </c>
      <c r="P183" s="97">
        <v>359</v>
      </c>
      <c r="Q183" s="97">
        <v>809</v>
      </c>
      <c r="R183" s="97">
        <v>0</v>
      </c>
      <c r="S183" s="97" t="s">
        <v>29</v>
      </c>
      <c r="T183" s="97" t="s">
        <v>29</v>
      </c>
      <c r="U183" s="97">
        <f t="shared" si="20"/>
        <v>1239</v>
      </c>
      <c r="V183" s="97">
        <f t="shared" si="21"/>
        <v>1239</v>
      </c>
    </row>
    <row r="184" spans="1:22" s="467" customFormat="1" ht="12" customHeight="1" x14ac:dyDescent="0.2">
      <c r="A184" s="477">
        <v>2013</v>
      </c>
      <c r="B184" s="199">
        <v>0</v>
      </c>
      <c r="C184" s="97">
        <v>3</v>
      </c>
      <c r="D184" s="97">
        <v>153</v>
      </c>
      <c r="E184" s="97">
        <v>56</v>
      </c>
      <c r="F184" s="97">
        <v>331</v>
      </c>
      <c r="G184" s="97">
        <v>25</v>
      </c>
      <c r="H184" s="97" t="s">
        <v>29</v>
      </c>
      <c r="I184" s="97" t="s">
        <v>29</v>
      </c>
      <c r="J184" s="97">
        <f t="shared" si="18"/>
        <v>568</v>
      </c>
      <c r="K184" s="97">
        <f t="shared" si="19"/>
        <v>568</v>
      </c>
      <c r="L184" s="97"/>
      <c r="M184" s="97">
        <v>0</v>
      </c>
      <c r="N184" s="97">
        <v>0</v>
      </c>
      <c r="O184" s="97">
        <v>0</v>
      </c>
      <c r="P184" s="97">
        <v>19</v>
      </c>
      <c r="Q184" s="97">
        <v>974</v>
      </c>
      <c r="R184" s="97">
        <v>48</v>
      </c>
      <c r="S184" s="97" t="s">
        <v>29</v>
      </c>
      <c r="T184" s="97" t="s">
        <v>29</v>
      </c>
      <c r="U184" s="97">
        <f t="shared" si="20"/>
        <v>1041</v>
      </c>
      <c r="V184" s="97">
        <f t="shared" si="21"/>
        <v>1041</v>
      </c>
    </row>
    <row r="185" spans="1:22" s="467" customFormat="1" ht="12" customHeight="1" x14ac:dyDescent="0.2">
      <c r="A185" s="477">
        <v>2014</v>
      </c>
      <c r="B185" s="199">
        <v>0</v>
      </c>
      <c r="C185" s="97">
        <v>350</v>
      </c>
      <c r="D185" s="97">
        <v>205</v>
      </c>
      <c r="E185" s="97">
        <v>592</v>
      </c>
      <c r="F185" s="97">
        <v>652</v>
      </c>
      <c r="G185" s="97">
        <v>59</v>
      </c>
      <c r="H185" s="97" t="s">
        <v>29</v>
      </c>
      <c r="I185" s="97" t="s">
        <v>29</v>
      </c>
      <c r="J185" s="97">
        <f t="shared" si="18"/>
        <v>1858</v>
      </c>
      <c r="K185" s="97">
        <f t="shared" si="19"/>
        <v>1858</v>
      </c>
      <c r="L185" s="97"/>
      <c r="M185" s="97">
        <v>0</v>
      </c>
      <c r="N185" s="97">
        <v>0</v>
      </c>
      <c r="O185" s="97">
        <v>15</v>
      </c>
      <c r="P185" s="97">
        <v>95</v>
      </c>
      <c r="Q185" s="97">
        <v>265</v>
      </c>
      <c r="R185" s="97">
        <v>249</v>
      </c>
      <c r="S185" s="97" t="s">
        <v>29</v>
      </c>
      <c r="T185" s="97" t="s">
        <v>29</v>
      </c>
      <c r="U185" s="97">
        <f t="shared" si="20"/>
        <v>624</v>
      </c>
      <c r="V185" s="97">
        <f t="shared" si="21"/>
        <v>624</v>
      </c>
    </row>
    <row r="186" spans="1:22" s="467" customFormat="1" ht="12" customHeight="1" x14ac:dyDescent="0.2">
      <c r="A186" s="477">
        <v>2015</v>
      </c>
      <c r="B186" s="199">
        <v>0</v>
      </c>
      <c r="C186" s="97">
        <v>109</v>
      </c>
      <c r="D186" s="97">
        <v>691</v>
      </c>
      <c r="E186" s="97">
        <v>1634</v>
      </c>
      <c r="F186" s="97">
        <v>744</v>
      </c>
      <c r="G186" s="97">
        <v>0</v>
      </c>
      <c r="H186" s="97" t="s">
        <v>29</v>
      </c>
      <c r="I186" s="97" t="s">
        <v>29</v>
      </c>
      <c r="J186" s="97">
        <f t="shared" si="18"/>
        <v>3178</v>
      </c>
      <c r="K186" s="97">
        <f t="shared" si="19"/>
        <v>3178</v>
      </c>
      <c r="L186" s="97"/>
      <c r="M186" s="97">
        <v>0</v>
      </c>
      <c r="N186" s="97">
        <v>0</v>
      </c>
      <c r="O186" s="97">
        <v>3</v>
      </c>
      <c r="P186" s="97">
        <v>105</v>
      </c>
      <c r="Q186" s="97">
        <v>107</v>
      </c>
      <c r="R186" s="97">
        <v>0</v>
      </c>
      <c r="S186" s="97" t="s">
        <v>29</v>
      </c>
      <c r="T186" s="97" t="s">
        <v>29</v>
      </c>
      <c r="U186" s="97">
        <f t="shared" si="20"/>
        <v>215</v>
      </c>
      <c r="V186" s="97">
        <f t="shared" si="21"/>
        <v>215</v>
      </c>
    </row>
    <row r="187" spans="1:22" s="467" customFormat="1" ht="12" customHeight="1" x14ac:dyDescent="0.2">
      <c r="A187" s="477">
        <v>2016</v>
      </c>
      <c r="B187" s="199">
        <v>0</v>
      </c>
      <c r="C187" s="97">
        <v>134</v>
      </c>
      <c r="D187" s="97">
        <v>271</v>
      </c>
      <c r="E187" s="97">
        <v>396</v>
      </c>
      <c r="F187" s="97">
        <v>186</v>
      </c>
      <c r="G187" s="97">
        <v>0</v>
      </c>
      <c r="H187" s="97" t="s">
        <v>29</v>
      </c>
      <c r="I187" s="97" t="s">
        <v>29</v>
      </c>
      <c r="J187" s="97">
        <f t="shared" si="18"/>
        <v>987</v>
      </c>
      <c r="K187" s="97">
        <f t="shared" si="19"/>
        <v>987</v>
      </c>
      <c r="L187" s="97"/>
      <c r="M187" s="97">
        <v>0</v>
      </c>
      <c r="N187" s="97">
        <v>0</v>
      </c>
      <c r="O187" s="97">
        <v>0</v>
      </c>
      <c r="P187" s="97">
        <v>6</v>
      </c>
      <c r="Q187" s="97">
        <v>5</v>
      </c>
      <c r="R187" s="97">
        <v>0</v>
      </c>
      <c r="S187" s="97" t="s">
        <v>29</v>
      </c>
      <c r="T187" s="97" t="s">
        <v>29</v>
      </c>
      <c r="U187" s="97">
        <f t="shared" si="20"/>
        <v>11</v>
      </c>
      <c r="V187" s="97">
        <f t="shared" si="21"/>
        <v>11</v>
      </c>
    </row>
    <row r="188" spans="1:22" s="467" customFormat="1" ht="12" customHeight="1" x14ac:dyDescent="0.2">
      <c r="A188" s="477">
        <v>2017</v>
      </c>
      <c r="B188" s="199">
        <v>0</v>
      </c>
      <c r="C188" s="97">
        <v>86</v>
      </c>
      <c r="D188" s="97">
        <v>20</v>
      </c>
      <c r="E188" s="97">
        <v>19</v>
      </c>
      <c r="F188" s="97">
        <v>229</v>
      </c>
      <c r="G188" s="97">
        <v>34</v>
      </c>
      <c r="H188" s="97" t="s">
        <v>29</v>
      </c>
      <c r="I188" s="97" t="s">
        <v>29</v>
      </c>
      <c r="J188" s="97">
        <f t="shared" si="18"/>
        <v>388</v>
      </c>
      <c r="K188" s="97">
        <f t="shared" si="19"/>
        <v>388</v>
      </c>
      <c r="L188" s="97"/>
      <c r="M188" s="97">
        <v>0</v>
      </c>
      <c r="N188" s="97">
        <v>0</v>
      </c>
      <c r="O188" s="97">
        <v>0</v>
      </c>
      <c r="P188" s="97">
        <v>114</v>
      </c>
      <c r="Q188" s="97">
        <v>274</v>
      </c>
      <c r="R188" s="97">
        <v>379</v>
      </c>
      <c r="S188" s="97" t="s">
        <v>29</v>
      </c>
      <c r="T188" s="97" t="s">
        <v>29</v>
      </c>
      <c r="U188" s="97">
        <f t="shared" si="20"/>
        <v>767</v>
      </c>
      <c r="V188" s="97">
        <f t="shared" si="21"/>
        <v>767</v>
      </c>
    </row>
    <row r="189" spans="1:22" s="467" customFormat="1" ht="12" customHeight="1" x14ac:dyDescent="0.2">
      <c r="A189" s="477">
        <v>2018</v>
      </c>
      <c r="B189" s="199">
        <v>0</v>
      </c>
      <c r="C189" s="97">
        <v>71</v>
      </c>
      <c r="D189" s="97">
        <v>152</v>
      </c>
      <c r="E189" s="97">
        <v>23</v>
      </c>
      <c r="F189" s="97">
        <v>185</v>
      </c>
      <c r="G189" s="97">
        <v>5</v>
      </c>
      <c r="H189" s="333" t="s">
        <v>29</v>
      </c>
      <c r="I189" s="333" t="s">
        <v>29</v>
      </c>
      <c r="J189" s="97">
        <f>SUM(C189:G189)</f>
        <v>436</v>
      </c>
      <c r="K189" s="97">
        <f>SUM(B189:I189)</f>
        <v>436</v>
      </c>
      <c r="L189" s="97"/>
      <c r="M189" s="97">
        <v>0</v>
      </c>
      <c r="N189" s="97">
        <v>0</v>
      </c>
      <c r="O189" s="97">
        <v>0</v>
      </c>
      <c r="P189" s="97">
        <v>0</v>
      </c>
      <c r="Q189" s="97">
        <v>509</v>
      </c>
      <c r="R189" s="97">
        <v>296</v>
      </c>
      <c r="S189" s="333" t="s">
        <v>29</v>
      </c>
      <c r="T189" s="333" t="s">
        <v>29</v>
      </c>
      <c r="U189" s="97">
        <f t="shared" si="20"/>
        <v>805</v>
      </c>
      <c r="V189" s="97">
        <f>SUM(M189:T189)</f>
        <v>805</v>
      </c>
    </row>
    <row r="190" spans="1:22" s="487" customFormat="1" ht="12" customHeight="1" x14ac:dyDescent="0.2">
      <c r="A190" s="491">
        <v>2019</v>
      </c>
      <c r="B190" s="199">
        <v>0</v>
      </c>
      <c r="C190" s="97">
        <v>120</v>
      </c>
      <c r="D190" s="97">
        <v>15</v>
      </c>
      <c r="E190" s="97">
        <v>25</v>
      </c>
      <c r="F190" s="97">
        <v>58</v>
      </c>
      <c r="G190" s="97">
        <v>47</v>
      </c>
      <c r="H190" s="333" t="s">
        <v>29</v>
      </c>
      <c r="I190" s="333" t="s">
        <v>29</v>
      </c>
      <c r="J190" s="97">
        <f t="shared" ref="J190:J191" si="22">SUM(C190:G190)</f>
        <v>265</v>
      </c>
      <c r="K190" s="97">
        <f t="shared" ref="K190:K191" si="23">SUM(B190:I190)</f>
        <v>265</v>
      </c>
      <c r="L190" s="97"/>
      <c r="M190" s="97">
        <v>0</v>
      </c>
      <c r="N190" s="97">
        <v>0</v>
      </c>
      <c r="O190" s="97">
        <v>0</v>
      </c>
      <c r="P190" s="97">
        <v>260</v>
      </c>
      <c r="Q190" s="97">
        <v>1794</v>
      </c>
      <c r="R190" s="97">
        <v>1068</v>
      </c>
      <c r="S190" s="333" t="s">
        <v>29</v>
      </c>
      <c r="T190" s="333" t="s">
        <v>29</v>
      </c>
      <c r="U190" s="97">
        <f t="shared" ref="U190" si="24">SUM(N190:R190)</f>
        <v>3122</v>
      </c>
      <c r="V190" s="97">
        <f t="shared" ref="V190" si="25">SUM(M190:T190)</f>
        <v>3122</v>
      </c>
    </row>
    <row r="191" spans="1:22" ht="12" customHeight="1" x14ac:dyDescent="0.2">
      <c r="A191" s="491" t="s">
        <v>392</v>
      </c>
      <c r="B191" s="198">
        <v>0</v>
      </c>
      <c r="C191" s="70">
        <v>8</v>
      </c>
      <c r="D191" s="70">
        <v>23</v>
      </c>
      <c r="E191" s="70">
        <v>239</v>
      </c>
      <c r="F191" s="70">
        <v>117</v>
      </c>
      <c r="G191" s="70">
        <v>14</v>
      </c>
      <c r="H191" s="332" t="s">
        <v>29</v>
      </c>
      <c r="I191" s="332" t="s">
        <v>29</v>
      </c>
      <c r="J191" s="97">
        <f t="shared" si="22"/>
        <v>401</v>
      </c>
      <c r="K191" s="97">
        <f t="shared" si="23"/>
        <v>401</v>
      </c>
      <c r="L191" s="70"/>
      <c r="M191" s="70">
        <v>0</v>
      </c>
      <c r="N191" s="70">
        <v>0</v>
      </c>
      <c r="O191" s="70">
        <v>0</v>
      </c>
      <c r="P191" s="70">
        <v>0</v>
      </c>
      <c r="Q191" s="70">
        <v>86</v>
      </c>
      <c r="R191" s="70">
        <v>205</v>
      </c>
      <c r="S191" s="332" t="s">
        <v>29</v>
      </c>
      <c r="T191" s="332" t="s">
        <v>29</v>
      </c>
      <c r="U191" s="97">
        <f t="shared" si="20"/>
        <v>291</v>
      </c>
      <c r="V191" s="97">
        <f t="shared" si="21"/>
        <v>291</v>
      </c>
    </row>
    <row r="192" spans="1:22" ht="12" customHeight="1" x14ac:dyDescent="0.2">
      <c r="B192" s="200"/>
      <c r="C192" s="21"/>
      <c r="D192" s="21"/>
      <c r="E192" s="21"/>
      <c r="F192" s="21"/>
      <c r="G192" s="21"/>
      <c r="H192" s="21"/>
      <c r="I192" s="21"/>
      <c r="J192" s="21"/>
      <c r="K192" s="21"/>
      <c r="L192" s="21"/>
      <c r="M192" s="21"/>
      <c r="N192" s="21"/>
      <c r="O192" s="21"/>
      <c r="P192" s="21"/>
      <c r="Q192" s="21"/>
      <c r="R192" s="21"/>
      <c r="S192" s="21"/>
      <c r="T192" s="21"/>
      <c r="U192" s="21"/>
      <c r="V192" s="130"/>
    </row>
    <row r="193" spans="1:22" ht="12" customHeight="1" x14ac:dyDescent="0.2">
      <c r="A193" s="116" t="s">
        <v>111</v>
      </c>
      <c r="B193" s="128"/>
      <c r="C193" s="21"/>
      <c r="D193" s="21"/>
      <c r="E193" s="21"/>
      <c r="F193" s="21"/>
      <c r="G193" s="21"/>
      <c r="H193" s="21"/>
      <c r="I193" s="21"/>
      <c r="J193" s="21"/>
      <c r="K193" s="21"/>
      <c r="L193" s="21"/>
      <c r="M193" s="21"/>
      <c r="N193" s="21"/>
      <c r="O193" s="21"/>
      <c r="P193" s="21"/>
      <c r="Q193" s="21"/>
      <c r="R193" s="21"/>
      <c r="S193" s="21"/>
      <c r="T193" s="21"/>
      <c r="U193" s="21"/>
      <c r="V193" s="129"/>
    </row>
    <row r="194" spans="1:22" ht="12" customHeight="1" x14ac:dyDescent="0.2">
      <c r="A194" s="473">
        <v>1976</v>
      </c>
      <c r="B194" s="200">
        <f t="shared" ref="B194:K194" si="26">IF(AND(B147="-",B100="-",B53="-",B6="-"),"-",SUM(B147,B100,B53,B6))</f>
        <v>9648</v>
      </c>
      <c r="C194" s="200">
        <f t="shared" si="26"/>
        <v>381</v>
      </c>
      <c r="D194" s="200">
        <f t="shared" si="26"/>
        <v>2900</v>
      </c>
      <c r="E194" s="200">
        <f t="shared" si="26"/>
        <v>3581</v>
      </c>
      <c r="F194" s="200">
        <f t="shared" si="26"/>
        <v>957</v>
      </c>
      <c r="G194" s="200">
        <f t="shared" si="26"/>
        <v>70</v>
      </c>
      <c r="H194" s="200">
        <f t="shared" si="26"/>
        <v>1</v>
      </c>
      <c r="I194" s="200">
        <f t="shared" si="26"/>
        <v>498</v>
      </c>
      <c r="J194" s="200">
        <f t="shared" si="26"/>
        <v>7889</v>
      </c>
      <c r="K194" s="200">
        <f t="shared" si="26"/>
        <v>18036</v>
      </c>
      <c r="L194" s="21"/>
      <c r="M194" s="200">
        <f t="shared" ref="M194:V194" si="27">IF(AND(M147="-",M100="-",M53="-",M6="-"),"-",SUM(M147,M100,M53,M6))</f>
        <v>0</v>
      </c>
      <c r="N194" s="200">
        <f t="shared" si="27"/>
        <v>0</v>
      </c>
      <c r="O194" s="200">
        <f t="shared" si="27"/>
        <v>1466</v>
      </c>
      <c r="P194" s="200">
        <f t="shared" si="27"/>
        <v>4153</v>
      </c>
      <c r="Q194" s="200">
        <f t="shared" si="27"/>
        <v>1583</v>
      </c>
      <c r="R194" s="200">
        <f t="shared" si="27"/>
        <v>126</v>
      </c>
      <c r="S194" s="200">
        <f t="shared" si="27"/>
        <v>16</v>
      </c>
      <c r="T194" s="200">
        <f t="shared" si="27"/>
        <v>14</v>
      </c>
      <c r="U194" s="200">
        <f t="shared" si="27"/>
        <v>7328</v>
      </c>
      <c r="V194" s="200">
        <f t="shared" si="27"/>
        <v>7358</v>
      </c>
    </row>
    <row r="195" spans="1:22" ht="12" customHeight="1" x14ac:dyDescent="0.2">
      <c r="A195" s="473">
        <v>1977</v>
      </c>
      <c r="B195" s="200">
        <f t="shared" ref="B195:K195" si="28">IF(AND(B148="-",B101="-",B54="-",B7="-"),"-",SUM(B148,B101,B54,B7))</f>
        <v>7869</v>
      </c>
      <c r="C195" s="200">
        <f t="shared" si="28"/>
        <v>1676</v>
      </c>
      <c r="D195" s="200">
        <f t="shared" si="28"/>
        <v>1840</v>
      </c>
      <c r="E195" s="200">
        <f t="shared" si="28"/>
        <v>871</v>
      </c>
      <c r="F195" s="200">
        <f t="shared" si="28"/>
        <v>413</v>
      </c>
      <c r="G195" s="200">
        <f t="shared" si="28"/>
        <v>168</v>
      </c>
      <c r="H195" s="200">
        <f t="shared" si="28"/>
        <v>8</v>
      </c>
      <c r="I195" s="200">
        <f t="shared" si="28"/>
        <v>632</v>
      </c>
      <c r="J195" s="200">
        <f t="shared" si="28"/>
        <v>4968</v>
      </c>
      <c r="K195" s="200">
        <f t="shared" si="28"/>
        <v>13477</v>
      </c>
      <c r="L195" s="21"/>
      <c r="M195" s="200">
        <f t="shared" ref="M195:V195" si="29">IF(AND(M148="-",M101="-",M54="-",M7="-"),"-",SUM(M148,M101,M54,M7))</f>
        <v>0</v>
      </c>
      <c r="N195" s="200">
        <f t="shared" si="29"/>
        <v>258</v>
      </c>
      <c r="O195" s="200">
        <f t="shared" si="29"/>
        <v>3440</v>
      </c>
      <c r="P195" s="200">
        <f t="shared" si="29"/>
        <v>1263</v>
      </c>
      <c r="Q195" s="200">
        <f t="shared" si="29"/>
        <v>1592</v>
      </c>
      <c r="R195" s="200">
        <f t="shared" si="29"/>
        <v>419</v>
      </c>
      <c r="S195" s="200">
        <f t="shared" si="29"/>
        <v>4</v>
      </c>
      <c r="T195" s="200">
        <f t="shared" si="29"/>
        <v>4</v>
      </c>
      <c r="U195" s="200">
        <f t="shared" si="29"/>
        <v>6972</v>
      </c>
      <c r="V195" s="200">
        <f t="shared" si="29"/>
        <v>6980</v>
      </c>
    </row>
    <row r="196" spans="1:22" ht="12" customHeight="1" x14ac:dyDescent="0.2">
      <c r="A196" s="473">
        <v>1978</v>
      </c>
      <c r="B196" s="200">
        <f t="shared" ref="B196:K196" si="30">IF(AND(B149="-",B102="-",B55="-",B8="-"),"-",SUM(B149,B102,B55,B8))</f>
        <v>8990</v>
      </c>
      <c r="C196" s="200">
        <f t="shared" si="30"/>
        <v>946</v>
      </c>
      <c r="D196" s="200">
        <f t="shared" si="30"/>
        <v>3877</v>
      </c>
      <c r="E196" s="200">
        <f t="shared" si="30"/>
        <v>827</v>
      </c>
      <c r="F196" s="200">
        <f t="shared" si="30"/>
        <v>232</v>
      </c>
      <c r="G196" s="200">
        <f t="shared" si="30"/>
        <v>64</v>
      </c>
      <c r="H196" s="200">
        <f t="shared" si="30"/>
        <v>26</v>
      </c>
      <c r="I196" s="200">
        <f t="shared" si="30"/>
        <v>913</v>
      </c>
      <c r="J196" s="200">
        <f t="shared" si="30"/>
        <v>5946</v>
      </c>
      <c r="K196" s="200">
        <f t="shared" si="30"/>
        <v>15875</v>
      </c>
      <c r="L196" s="21"/>
      <c r="M196" s="200">
        <f t="shared" ref="M196:V196" si="31">IF(AND(M149="-",M102="-",M55="-",M8="-"),"-",SUM(M149,M102,M55,M8))</f>
        <v>1810</v>
      </c>
      <c r="N196" s="200">
        <f t="shared" si="31"/>
        <v>231</v>
      </c>
      <c r="O196" s="200">
        <f t="shared" si="31"/>
        <v>3405</v>
      </c>
      <c r="P196" s="200">
        <f t="shared" si="31"/>
        <v>1307</v>
      </c>
      <c r="Q196" s="200">
        <f t="shared" si="31"/>
        <v>509</v>
      </c>
      <c r="R196" s="200">
        <f t="shared" si="31"/>
        <v>550</v>
      </c>
      <c r="S196" s="200">
        <f t="shared" si="31"/>
        <v>8</v>
      </c>
      <c r="T196" s="200">
        <f t="shared" si="31"/>
        <v>266</v>
      </c>
      <c r="U196" s="200">
        <f t="shared" si="31"/>
        <v>6002</v>
      </c>
      <c r="V196" s="200">
        <f t="shared" si="31"/>
        <v>8086</v>
      </c>
    </row>
    <row r="197" spans="1:22" ht="12" customHeight="1" x14ac:dyDescent="0.2">
      <c r="A197" s="473">
        <v>1979</v>
      </c>
      <c r="B197" s="200">
        <f t="shared" ref="B197:K197" si="32">IF(AND(B150="-",B103="-",B56="-",B9="-"),"-",SUM(B150,B103,B56,B9))</f>
        <v>6600</v>
      </c>
      <c r="C197" s="200">
        <f t="shared" si="32"/>
        <v>798</v>
      </c>
      <c r="D197" s="200">
        <f t="shared" si="32"/>
        <v>723</v>
      </c>
      <c r="E197" s="200">
        <f t="shared" si="32"/>
        <v>330</v>
      </c>
      <c r="F197" s="200">
        <f t="shared" si="32"/>
        <v>299</v>
      </c>
      <c r="G197" s="200">
        <f t="shared" si="32"/>
        <v>27</v>
      </c>
      <c r="H197" s="200">
        <f t="shared" si="32"/>
        <v>4</v>
      </c>
      <c r="I197" s="200">
        <f t="shared" si="32"/>
        <v>836</v>
      </c>
      <c r="J197" s="200">
        <f t="shared" si="32"/>
        <v>2177</v>
      </c>
      <c r="K197" s="200">
        <f t="shared" si="32"/>
        <v>9617</v>
      </c>
      <c r="L197" s="21"/>
      <c r="M197" s="200">
        <f t="shared" ref="M197:V197" si="33">IF(AND(M150="-",M103="-",M56="-",M9="-"),"-",SUM(M150,M103,M56,M9))</f>
        <v>175</v>
      </c>
      <c r="N197" s="200">
        <f t="shared" si="33"/>
        <v>1051</v>
      </c>
      <c r="O197" s="200">
        <f t="shared" si="33"/>
        <v>4777</v>
      </c>
      <c r="P197" s="200">
        <f t="shared" si="33"/>
        <v>2071</v>
      </c>
      <c r="Q197" s="200">
        <f t="shared" si="33"/>
        <v>2132</v>
      </c>
      <c r="R197" s="200">
        <f t="shared" si="33"/>
        <v>109</v>
      </c>
      <c r="S197" s="200">
        <f t="shared" si="33"/>
        <v>4</v>
      </c>
      <c r="T197" s="200">
        <f t="shared" si="33"/>
        <v>30</v>
      </c>
      <c r="U197" s="200">
        <f t="shared" si="33"/>
        <v>10140</v>
      </c>
      <c r="V197" s="200">
        <f t="shared" si="33"/>
        <v>10349</v>
      </c>
    </row>
    <row r="198" spans="1:22" ht="12" customHeight="1" x14ac:dyDescent="0.2">
      <c r="A198" s="473">
        <v>1980</v>
      </c>
      <c r="B198" s="200">
        <f t="shared" ref="B198:K198" si="34">IF(AND(B151="-",B104="-",B57="-",B10="-"),"-",SUM(B151,B104,B57,B10))</f>
        <v>9539</v>
      </c>
      <c r="C198" s="200">
        <f t="shared" si="34"/>
        <v>133</v>
      </c>
      <c r="D198" s="200">
        <f t="shared" si="34"/>
        <v>847</v>
      </c>
      <c r="E198" s="200">
        <f t="shared" si="34"/>
        <v>3272</v>
      </c>
      <c r="F198" s="200">
        <f t="shared" si="34"/>
        <v>176</v>
      </c>
      <c r="G198" s="200">
        <f t="shared" si="34"/>
        <v>22</v>
      </c>
      <c r="H198" s="200">
        <f t="shared" si="34"/>
        <v>15</v>
      </c>
      <c r="I198" s="200">
        <f t="shared" si="34"/>
        <v>1044</v>
      </c>
      <c r="J198" s="200">
        <f t="shared" si="34"/>
        <v>4450</v>
      </c>
      <c r="K198" s="200">
        <f t="shared" si="34"/>
        <v>15048</v>
      </c>
      <c r="L198" s="21"/>
      <c r="M198" s="200">
        <f t="shared" ref="M198:V198" si="35">IF(AND(M151="-",M104="-",M57="-",M10="-"),"-",SUM(M151,M104,M57,M10))</f>
        <v>52</v>
      </c>
      <c r="N198" s="200">
        <f t="shared" si="35"/>
        <v>2062</v>
      </c>
      <c r="O198" s="200">
        <f t="shared" si="35"/>
        <v>25295</v>
      </c>
      <c r="P198" s="200">
        <f t="shared" si="35"/>
        <v>5779</v>
      </c>
      <c r="Q198" s="200">
        <f t="shared" si="35"/>
        <v>558</v>
      </c>
      <c r="R198" s="200">
        <f t="shared" si="35"/>
        <v>1012</v>
      </c>
      <c r="S198" s="200">
        <f t="shared" si="35"/>
        <v>25</v>
      </c>
      <c r="T198" s="200">
        <f t="shared" si="35"/>
        <v>3</v>
      </c>
      <c r="U198" s="200">
        <f t="shared" si="35"/>
        <v>34706</v>
      </c>
      <c r="V198" s="200">
        <f t="shared" si="35"/>
        <v>34786</v>
      </c>
    </row>
    <row r="199" spans="1:22" ht="12" customHeight="1" x14ac:dyDescent="0.2">
      <c r="A199" s="473">
        <v>1981</v>
      </c>
      <c r="B199" s="200">
        <f t="shared" ref="B199:K199" si="36">IF(AND(B152="-",B105="-",B58="-",B11="-"),"-",SUM(B152,B105,B58,B11))</f>
        <v>12776</v>
      </c>
      <c r="C199" s="200">
        <f t="shared" si="36"/>
        <v>1579</v>
      </c>
      <c r="D199" s="200">
        <f t="shared" si="36"/>
        <v>2487</v>
      </c>
      <c r="E199" s="200">
        <f t="shared" si="36"/>
        <v>3652</v>
      </c>
      <c r="F199" s="200">
        <f t="shared" si="36"/>
        <v>269</v>
      </c>
      <c r="G199" s="200">
        <f t="shared" si="36"/>
        <v>270</v>
      </c>
      <c r="H199" s="200">
        <f t="shared" si="36"/>
        <v>258</v>
      </c>
      <c r="I199" s="200">
        <f t="shared" si="36"/>
        <v>1548</v>
      </c>
      <c r="J199" s="200">
        <f t="shared" si="36"/>
        <v>8257</v>
      </c>
      <c r="K199" s="200">
        <f t="shared" si="36"/>
        <v>22839</v>
      </c>
      <c r="L199" s="21"/>
      <c r="M199" s="200">
        <f t="shared" ref="M199:V199" si="37">IF(AND(M152="-",M105="-",M58="-",M11="-"),"-",SUM(M152,M105,M58,M11))</f>
        <v>117</v>
      </c>
      <c r="N199" s="200">
        <f t="shared" si="37"/>
        <v>1284</v>
      </c>
      <c r="O199" s="200">
        <f t="shared" si="37"/>
        <v>7598</v>
      </c>
      <c r="P199" s="200">
        <f t="shared" si="37"/>
        <v>6925</v>
      </c>
      <c r="Q199" s="200">
        <f t="shared" si="37"/>
        <v>3086</v>
      </c>
      <c r="R199" s="200">
        <f t="shared" si="37"/>
        <v>13717</v>
      </c>
      <c r="S199" s="200">
        <f t="shared" si="37"/>
        <v>13</v>
      </c>
      <c r="T199" s="200">
        <f t="shared" si="37"/>
        <v>14</v>
      </c>
      <c r="U199" s="200">
        <f t="shared" si="37"/>
        <v>32610</v>
      </c>
      <c r="V199" s="200">
        <f t="shared" si="37"/>
        <v>32754</v>
      </c>
    </row>
    <row r="200" spans="1:22" ht="12" customHeight="1" x14ac:dyDescent="0.2">
      <c r="A200" s="473">
        <v>1982</v>
      </c>
      <c r="B200" s="200">
        <f t="shared" ref="B200:K200" si="38">IF(AND(B153="-",B106="-",B59="-",B12="-"),"-",SUM(B153,B106,B59,B12))</f>
        <v>17941</v>
      </c>
      <c r="C200" s="200">
        <f t="shared" si="38"/>
        <v>1270</v>
      </c>
      <c r="D200" s="200">
        <f t="shared" si="38"/>
        <v>3392</v>
      </c>
      <c r="E200" s="200">
        <f t="shared" si="38"/>
        <v>8974</v>
      </c>
      <c r="F200" s="200">
        <f t="shared" si="38"/>
        <v>1984</v>
      </c>
      <c r="G200" s="200">
        <f t="shared" si="38"/>
        <v>2656</v>
      </c>
      <c r="H200" s="200">
        <f t="shared" si="38"/>
        <v>223</v>
      </c>
      <c r="I200" s="200">
        <f t="shared" si="38"/>
        <v>487</v>
      </c>
      <c r="J200" s="200">
        <f t="shared" si="38"/>
        <v>18276</v>
      </c>
      <c r="K200" s="200">
        <f t="shared" si="38"/>
        <v>36927</v>
      </c>
      <c r="L200" s="21"/>
      <c r="M200" s="200">
        <f t="shared" ref="M200:V200" si="39">IF(AND(M153="-",M106="-",M59="-",M12="-"),"-",SUM(M153,M106,M59,M12))</f>
        <v>37</v>
      </c>
      <c r="N200" s="200">
        <f t="shared" si="39"/>
        <v>34</v>
      </c>
      <c r="O200" s="200">
        <f t="shared" si="39"/>
        <v>22681</v>
      </c>
      <c r="P200" s="200">
        <f t="shared" si="39"/>
        <v>16482</v>
      </c>
      <c r="Q200" s="200">
        <f t="shared" si="39"/>
        <v>46240</v>
      </c>
      <c r="R200" s="200">
        <f t="shared" si="39"/>
        <v>38292</v>
      </c>
      <c r="S200" s="200">
        <f t="shared" si="39"/>
        <v>57</v>
      </c>
      <c r="T200" s="200">
        <f t="shared" si="39"/>
        <v>9</v>
      </c>
      <c r="U200" s="200">
        <f t="shared" si="39"/>
        <v>123729</v>
      </c>
      <c r="V200" s="200">
        <f t="shared" si="39"/>
        <v>123832</v>
      </c>
    </row>
    <row r="201" spans="1:22" ht="12" customHeight="1" x14ac:dyDescent="0.2">
      <c r="A201" s="473">
        <v>1983</v>
      </c>
      <c r="B201" s="200">
        <f t="shared" ref="B201:K201" si="40">IF(AND(B154="-",B107="-",B60="-",B13="-"),"-",SUM(B154,B107,B60,B13))</f>
        <v>16562</v>
      </c>
      <c r="C201" s="200">
        <f t="shared" si="40"/>
        <v>2540</v>
      </c>
      <c r="D201" s="200">
        <f t="shared" si="40"/>
        <v>2864</v>
      </c>
      <c r="E201" s="200">
        <f t="shared" si="40"/>
        <v>1061</v>
      </c>
      <c r="F201" s="200">
        <f t="shared" si="40"/>
        <v>806</v>
      </c>
      <c r="G201" s="200">
        <f t="shared" si="40"/>
        <v>255</v>
      </c>
      <c r="H201" s="200">
        <f t="shared" si="40"/>
        <v>65</v>
      </c>
      <c r="I201" s="200">
        <f t="shared" si="40"/>
        <v>964</v>
      </c>
      <c r="J201" s="200">
        <f t="shared" si="40"/>
        <v>7526</v>
      </c>
      <c r="K201" s="200">
        <f t="shared" si="40"/>
        <v>25117</v>
      </c>
      <c r="L201" s="21"/>
      <c r="M201" s="200">
        <f t="shared" ref="M201:V201" si="41">IF(AND(M154="-",M107="-",M60="-",M13="-"),"-",SUM(M154,M107,M60,M13))</f>
        <v>30</v>
      </c>
      <c r="N201" s="200">
        <f t="shared" si="41"/>
        <v>95</v>
      </c>
      <c r="O201" s="200">
        <f t="shared" si="41"/>
        <v>4987</v>
      </c>
      <c r="P201" s="200">
        <f t="shared" si="41"/>
        <v>5305</v>
      </c>
      <c r="Q201" s="200">
        <f t="shared" si="41"/>
        <v>19961</v>
      </c>
      <c r="R201" s="200">
        <f t="shared" si="41"/>
        <v>7747</v>
      </c>
      <c r="S201" s="200">
        <f t="shared" si="41"/>
        <v>17</v>
      </c>
      <c r="T201" s="200">
        <f t="shared" si="41"/>
        <v>4</v>
      </c>
      <c r="U201" s="200">
        <f t="shared" si="41"/>
        <v>38095</v>
      </c>
      <c r="V201" s="200">
        <f t="shared" si="41"/>
        <v>38146</v>
      </c>
    </row>
    <row r="202" spans="1:22" ht="12" customHeight="1" x14ac:dyDescent="0.2">
      <c r="A202" s="473">
        <v>1984</v>
      </c>
      <c r="B202" s="200">
        <f t="shared" ref="B202:K202" si="42">IF(AND(B155="-",B108="-",B61="-",B14="-"),"-",SUM(B155,B108,B61,B14))</f>
        <v>13063</v>
      </c>
      <c r="C202" s="200">
        <f t="shared" si="42"/>
        <v>1348</v>
      </c>
      <c r="D202" s="200">
        <f t="shared" si="42"/>
        <v>517</v>
      </c>
      <c r="E202" s="200">
        <f t="shared" si="42"/>
        <v>751</v>
      </c>
      <c r="F202" s="200">
        <f t="shared" si="42"/>
        <v>1367</v>
      </c>
      <c r="G202" s="200">
        <f t="shared" si="42"/>
        <v>0</v>
      </c>
      <c r="H202" s="200">
        <f t="shared" si="42"/>
        <v>147</v>
      </c>
      <c r="I202" s="200">
        <f t="shared" si="42"/>
        <v>577</v>
      </c>
      <c r="J202" s="200">
        <f t="shared" si="42"/>
        <v>3983</v>
      </c>
      <c r="K202" s="200">
        <f t="shared" si="42"/>
        <v>17770</v>
      </c>
      <c r="L202" s="21"/>
      <c r="M202" s="200">
        <f t="shared" ref="M202:V202" si="43">IF(AND(M155="-",M108="-",M61="-",M14="-"),"-",SUM(M155,M108,M61,M14))</f>
        <v>18</v>
      </c>
      <c r="N202" s="200">
        <f t="shared" si="43"/>
        <v>0</v>
      </c>
      <c r="O202" s="200">
        <f t="shared" si="43"/>
        <v>0</v>
      </c>
      <c r="P202" s="200">
        <f t="shared" si="43"/>
        <v>19715</v>
      </c>
      <c r="Q202" s="200">
        <f t="shared" si="43"/>
        <v>23772</v>
      </c>
      <c r="R202" s="200">
        <f t="shared" si="43"/>
        <v>0</v>
      </c>
      <c r="S202" s="200">
        <f t="shared" si="43"/>
        <v>147</v>
      </c>
      <c r="T202" s="200">
        <f t="shared" si="43"/>
        <v>4</v>
      </c>
      <c r="U202" s="200">
        <f t="shared" si="43"/>
        <v>43487</v>
      </c>
      <c r="V202" s="200">
        <f t="shared" si="43"/>
        <v>43656</v>
      </c>
    </row>
    <row r="203" spans="1:22" ht="12" customHeight="1" x14ac:dyDescent="0.2">
      <c r="A203" s="473">
        <v>1985</v>
      </c>
      <c r="B203" s="200">
        <f t="shared" ref="B203:K203" si="44">IF(AND(B156="-",B109="-",B62="-",B15="-"),"-",SUM(B156,B109,B62,B15))</f>
        <v>5203</v>
      </c>
      <c r="C203" s="200">
        <f t="shared" si="44"/>
        <v>4014</v>
      </c>
      <c r="D203" s="200">
        <f t="shared" si="44"/>
        <v>156</v>
      </c>
      <c r="E203" s="200">
        <f t="shared" si="44"/>
        <v>3743</v>
      </c>
      <c r="F203" s="200">
        <f t="shared" si="44"/>
        <v>2252</v>
      </c>
      <c r="G203" s="200">
        <f t="shared" si="44"/>
        <v>1910</v>
      </c>
      <c r="H203" s="200">
        <f t="shared" si="44"/>
        <v>299</v>
      </c>
      <c r="I203" s="200">
        <f t="shared" si="44"/>
        <v>592</v>
      </c>
      <c r="J203" s="200">
        <f t="shared" si="44"/>
        <v>12075</v>
      </c>
      <c r="K203" s="200">
        <f t="shared" si="44"/>
        <v>18169</v>
      </c>
      <c r="L203" s="21"/>
      <c r="M203" s="200">
        <f t="shared" ref="M203:V203" si="45">IF(AND(M156="-",M109="-",M62="-",M15="-"),"-",SUM(M156,M109,M62,M15))</f>
        <v>6</v>
      </c>
      <c r="N203" s="200">
        <f t="shared" si="45"/>
        <v>1</v>
      </c>
      <c r="O203" s="200">
        <f t="shared" si="45"/>
        <v>1911</v>
      </c>
      <c r="P203" s="200">
        <f t="shared" si="45"/>
        <v>33602</v>
      </c>
      <c r="Q203" s="200">
        <f t="shared" si="45"/>
        <v>29361</v>
      </c>
      <c r="R203" s="200">
        <f t="shared" si="45"/>
        <v>23573</v>
      </c>
      <c r="S203" s="200">
        <f t="shared" si="45"/>
        <v>37</v>
      </c>
      <c r="T203" s="200">
        <f t="shared" si="45"/>
        <v>4</v>
      </c>
      <c r="U203" s="200">
        <f t="shared" si="45"/>
        <v>88448</v>
      </c>
      <c r="V203" s="200">
        <f t="shared" si="45"/>
        <v>88495</v>
      </c>
    </row>
    <row r="204" spans="1:22" ht="12" customHeight="1" x14ac:dyDescent="0.2">
      <c r="A204" s="473">
        <v>1986</v>
      </c>
      <c r="B204" s="200">
        <f t="shared" ref="B204:K204" si="46">IF(AND(B157="-",B110="-",B63="-",B16="-"),"-",SUM(B157,B110,B63,B16))</f>
        <v>3299</v>
      </c>
      <c r="C204" s="200">
        <f t="shared" si="46"/>
        <v>3891</v>
      </c>
      <c r="D204" s="200">
        <f t="shared" si="46"/>
        <v>4461</v>
      </c>
      <c r="E204" s="200">
        <f t="shared" si="46"/>
        <v>3688</v>
      </c>
      <c r="F204" s="200">
        <f t="shared" si="46"/>
        <v>418</v>
      </c>
      <c r="G204" s="200">
        <f t="shared" si="46"/>
        <v>0</v>
      </c>
      <c r="H204" s="200">
        <f t="shared" si="46"/>
        <v>0</v>
      </c>
      <c r="I204" s="200">
        <f t="shared" si="46"/>
        <v>615</v>
      </c>
      <c r="J204" s="200">
        <f t="shared" si="46"/>
        <v>12458</v>
      </c>
      <c r="K204" s="200">
        <f t="shared" si="46"/>
        <v>16372</v>
      </c>
      <c r="L204" s="21"/>
      <c r="M204" s="200">
        <f t="shared" ref="M204:V204" si="47">IF(AND(M157="-",M110="-",M63="-",M16="-"),"-",SUM(M157,M110,M63,M16))</f>
        <v>6</v>
      </c>
      <c r="N204" s="200">
        <f t="shared" si="47"/>
        <v>0</v>
      </c>
      <c r="O204" s="200">
        <f t="shared" si="47"/>
        <v>21166</v>
      </c>
      <c r="P204" s="200">
        <f t="shared" si="47"/>
        <v>51622</v>
      </c>
      <c r="Q204" s="200">
        <f t="shared" si="47"/>
        <v>11711</v>
      </c>
      <c r="R204" s="200">
        <f t="shared" si="47"/>
        <v>13</v>
      </c>
      <c r="S204" s="200">
        <f t="shared" si="47"/>
        <v>0</v>
      </c>
      <c r="T204" s="200">
        <f t="shared" si="47"/>
        <v>8</v>
      </c>
      <c r="U204" s="200">
        <f t="shared" si="47"/>
        <v>84512</v>
      </c>
      <c r="V204" s="200">
        <f t="shared" si="47"/>
        <v>84526</v>
      </c>
    </row>
    <row r="205" spans="1:22" ht="12" customHeight="1" x14ac:dyDescent="0.2">
      <c r="A205" s="473">
        <v>1987</v>
      </c>
      <c r="B205" s="200">
        <f t="shared" ref="B205:K205" si="48">IF(AND(B158="-",B111="-",B64="-",B17="-"),"-",SUM(B158,B111,B64,B17))</f>
        <v>8410</v>
      </c>
      <c r="C205" s="200">
        <f t="shared" si="48"/>
        <v>8563</v>
      </c>
      <c r="D205" s="200">
        <f t="shared" si="48"/>
        <v>0</v>
      </c>
      <c r="E205" s="200">
        <f t="shared" si="48"/>
        <v>2181</v>
      </c>
      <c r="F205" s="200">
        <f t="shared" si="48"/>
        <v>7271</v>
      </c>
      <c r="G205" s="200">
        <f t="shared" si="48"/>
        <v>0</v>
      </c>
      <c r="H205" s="200">
        <f t="shared" si="48"/>
        <v>52</v>
      </c>
      <c r="I205" s="200">
        <f t="shared" si="48"/>
        <v>1530</v>
      </c>
      <c r="J205" s="200">
        <f t="shared" si="48"/>
        <v>18015</v>
      </c>
      <c r="K205" s="200">
        <f t="shared" si="48"/>
        <v>28007</v>
      </c>
      <c r="L205" s="21"/>
      <c r="M205" s="200">
        <f t="shared" ref="M205:V205" si="49">IF(AND(M158="-",M111="-",M64="-",M17="-"),"-",SUM(M158,M111,M64,M17))</f>
        <v>31</v>
      </c>
      <c r="N205" s="200">
        <f t="shared" si="49"/>
        <v>16</v>
      </c>
      <c r="O205" s="200">
        <f t="shared" si="49"/>
        <v>0</v>
      </c>
      <c r="P205" s="200">
        <f t="shared" si="49"/>
        <v>45619</v>
      </c>
      <c r="Q205" s="200">
        <f t="shared" si="49"/>
        <v>44040</v>
      </c>
      <c r="R205" s="200">
        <f t="shared" si="49"/>
        <v>0</v>
      </c>
      <c r="S205" s="200">
        <f t="shared" si="49"/>
        <v>33</v>
      </c>
      <c r="T205" s="200">
        <f t="shared" si="49"/>
        <v>0</v>
      </c>
      <c r="U205" s="200">
        <f t="shared" si="49"/>
        <v>89675</v>
      </c>
      <c r="V205" s="200">
        <f t="shared" si="49"/>
        <v>89739</v>
      </c>
    </row>
    <row r="206" spans="1:22" ht="12" customHeight="1" x14ac:dyDescent="0.2">
      <c r="A206" s="473">
        <v>1988</v>
      </c>
      <c r="B206" s="200">
        <f t="shared" ref="B206:K206" si="50">IF(AND(B159="-",B112="-",B65="-",B18="-"),"-",SUM(B159,B112,B65,B18))</f>
        <v>6990</v>
      </c>
      <c r="C206" s="200">
        <f t="shared" si="50"/>
        <v>7714</v>
      </c>
      <c r="D206" s="200">
        <f t="shared" si="50"/>
        <v>9764</v>
      </c>
      <c r="E206" s="200">
        <f t="shared" si="50"/>
        <v>6379</v>
      </c>
      <c r="F206" s="200">
        <f t="shared" si="50"/>
        <v>6825</v>
      </c>
      <c r="G206" s="200">
        <f t="shared" si="50"/>
        <v>1968</v>
      </c>
      <c r="H206" s="200">
        <f t="shared" si="50"/>
        <v>0</v>
      </c>
      <c r="I206" s="200">
        <f t="shared" si="50"/>
        <v>1265</v>
      </c>
      <c r="J206" s="200">
        <f t="shared" si="50"/>
        <v>32650</v>
      </c>
      <c r="K206" s="200">
        <f t="shared" si="50"/>
        <v>40905</v>
      </c>
      <c r="L206" s="21"/>
      <c r="M206" s="200">
        <f t="shared" ref="M206:V206" si="51">IF(AND(M159="-",M112="-",M65="-",M18="-"),"-",SUM(M159,M112,M65,M18))</f>
        <v>3</v>
      </c>
      <c r="N206" s="200">
        <f t="shared" si="51"/>
        <v>0</v>
      </c>
      <c r="O206" s="200">
        <f t="shared" si="51"/>
        <v>114</v>
      </c>
      <c r="P206" s="200">
        <f t="shared" si="51"/>
        <v>11813</v>
      </c>
      <c r="Q206" s="200">
        <f t="shared" si="51"/>
        <v>46236</v>
      </c>
      <c r="R206" s="200">
        <f t="shared" si="51"/>
        <v>10167</v>
      </c>
      <c r="S206" s="200">
        <f t="shared" si="51"/>
        <v>0</v>
      </c>
      <c r="T206" s="200">
        <f t="shared" si="51"/>
        <v>15</v>
      </c>
      <c r="U206" s="200">
        <f t="shared" si="51"/>
        <v>68330</v>
      </c>
      <c r="V206" s="200">
        <f t="shared" si="51"/>
        <v>68348</v>
      </c>
    </row>
    <row r="207" spans="1:22" ht="12" customHeight="1" x14ac:dyDescent="0.2">
      <c r="A207" s="473">
        <v>1989</v>
      </c>
      <c r="B207" s="200">
        <f t="shared" ref="B207:K207" si="52">IF(AND(B160="-",B113="-",B66="-",B19="-"),"-",SUM(B160,B113,B66,B19))</f>
        <v>4395</v>
      </c>
      <c r="C207" s="200">
        <f t="shared" si="52"/>
        <v>6711</v>
      </c>
      <c r="D207" s="200">
        <f t="shared" si="52"/>
        <v>7645</v>
      </c>
      <c r="E207" s="200">
        <f t="shared" si="52"/>
        <v>10111</v>
      </c>
      <c r="F207" s="200">
        <f t="shared" si="52"/>
        <v>5247</v>
      </c>
      <c r="G207" s="200">
        <f t="shared" si="52"/>
        <v>1582</v>
      </c>
      <c r="H207" s="200">
        <f t="shared" si="52"/>
        <v>0</v>
      </c>
      <c r="I207" s="200">
        <f t="shared" si="52"/>
        <v>8741</v>
      </c>
      <c r="J207" s="200">
        <f t="shared" si="52"/>
        <v>31296</v>
      </c>
      <c r="K207" s="200">
        <f t="shared" si="52"/>
        <v>44432</v>
      </c>
      <c r="L207" s="21"/>
      <c r="M207" s="200">
        <f t="shared" ref="M207:V207" si="53">IF(AND(M160="-",M113="-",M66="-",M19="-"),"-",SUM(M160,M113,M66,M19))</f>
        <v>1</v>
      </c>
      <c r="N207" s="200">
        <f t="shared" si="53"/>
        <v>1</v>
      </c>
      <c r="O207" s="200">
        <f t="shared" si="53"/>
        <v>0</v>
      </c>
      <c r="P207" s="200">
        <f t="shared" si="53"/>
        <v>31817</v>
      </c>
      <c r="Q207" s="200">
        <f t="shared" si="53"/>
        <v>23499</v>
      </c>
      <c r="R207" s="200">
        <f t="shared" si="53"/>
        <v>28590</v>
      </c>
      <c r="S207" s="200">
        <f t="shared" si="53"/>
        <v>0</v>
      </c>
      <c r="T207" s="200">
        <f t="shared" si="53"/>
        <v>32</v>
      </c>
      <c r="U207" s="200">
        <f t="shared" si="53"/>
        <v>83907</v>
      </c>
      <c r="V207" s="200">
        <f t="shared" si="53"/>
        <v>83940</v>
      </c>
    </row>
    <row r="208" spans="1:22" ht="12" customHeight="1" x14ac:dyDescent="0.2">
      <c r="A208" s="473">
        <v>1990</v>
      </c>
      <c r="B208" s="200">
        <f t="shared" ref="B208:K208" si="54">IF(AND(B161="-",B114="-",B67="-",B20="-"),"-",SUM(B161,B114,B67,B20))</f>
        <v>6982</v>
      </c>
      <c r="C208" s="200">
        <f t="shared" si="54"/>
        <v>7504</v>
      </c>
      <c r="D208" s="200">
        <f t="shared" si="54"/>
        <v>7906</v>
      </c>
      <c r="E208" s="200">
        <f t="shared" si="54"/>
        <v>11270</v>
      </c>
      <c r="F208" s="200">
        <f t="shared" si="54"/>
        <v>2771</v>
      </c>
      <c r="G208" s="200">
        <f t="shared" si="54"/>
        <v>2690</v>
      </c>
      <c r="H208" s="200">
        <f t="shared" si="54"/>
        <v>8</v>
      </c>
      <c r="I208" s="200">
        <f t="shared" si="54"/>
        <v>1235</v>
      </c>
      <c r="J208" s="200">
        <f t="shared" si="54"/>
        <v>32141</v>
      </c>
      <c r="K208" s="200">
        <f t="shared" si="54"/>
        <v>40366</v>
      </c>
      <c r="L208" s="21"/>
      <c r="M208" s="200">
        <f t="shared" ref="M208:V208" si="55">IF(AND(M161="-",M114="-",M67="-",M20="-"),"-",SUM(M161,M114,M67,M20))</f>
        <v>2</v>
      </c>
      <c r="N208" s="200">
        <f t="shared" si="55"/>
        <v>0</v>
      </c>
      <c r="O208" s="200">
        <f t="shared" si="55"/>
        <v>1</v>
      </c>
      <c r="P208" s="200">
        <f t="shared" si="55"/>
        <v>20680</v>
      </c>
      <c r="Q208" s="200">
        <f t="shared" si="55"/>
        <v>54225</v>
      </c>
      <c r="R208" s="200">
        <f t="shared" si="55"/>
        <v>16485</v>
      </c>
      <c r="S208" s="200">
        <f t="shared" si="55"/>
        <v>1</v>
      </c>
      <c r="T208" s="200">
        <f t="shared" si="55"/>
        <v>8</v>
      </c>
      <c r="U208" s="200">
        <f t="shared" si="55"/>
        <v>91391</v>
      </c>
      <c r="V208" s="200">
        <f t="shared" si="55"/>
        <v>91402</v>
      </c>
    </row>
    <row r="209" spans="1:22" ht="12" customHeight="1" x14ac:dyDescent="0.2">
      <c r="A209" s="473">
        <v>1991</v>
      </c>
      <c r="B209" s="200">
        <f t="shared" ref="B209:K209" si="56">IF(AND(B162="-",B115="-",B68="-",B21="-"),"-",SUM(B162,B115,B68,B21))</f>
        <v>5203</v>
      </c>
      <c r="C209" s="200">
        <f t="shared" si="56"/>
        <v>4456</v>
      </c>
      <c r="D209" s="200">
        <f t="shared" si="56"/>
        <v>6039</v>
      </c>
      <c r="E209" s="200">
        <f t="shared" si="56"/>
        <v>6875</v>
      </c>
      <c r="F209" s="200">
        <f t="shared" si="56"/>
        <v>4497</v>
      </c>
      <c r="G209" s="200">
        <f t="shared" si="56"/>
        <v>0</v>
      </c>
      <c r="H209" s="200">
        <f t="shared" si="56"/>
        <v>147</v>
      </c>
      <c r="I209" s="200">
        <f t="shared" si="56"/>
        <v>714</v>
      </c>
      <c r="J209" s="200">
        <f t="shared" si="56"/>
        <v>21867</v>
      </c>
      <c r="K209" s="200">
        <f t="shared" si="56"/>
        <v>27931</v>
      </c>
      <c r="L209" s="21"/>
      <c r="M209" s="200">
        <f t="shared" ref="M209:V209" si="57">IF(AND(M162="-",M115="-",M68="-",M21="-"),"-",SUM(M162,M115,M68,M21))</f>
        <v>8</v>
      </c>
      <c r="N209" s="200">
        <f t="shared" si="57"/>
        <v>0</v>
      </c>
      <c r="O209" s="200">
        <f t="shared" si="57"/>
        <v>0</v>
      </c>
      <c r="P209" s="200">
        <f t="shared" si="57"/>
        <v>38943</v>
      </c>
      <c r="Q209" s="200">
        <f t="shared" si="57"/>
        <v>38011</v>
      </c>
      <c r="R209" s="200">
        <f t="shared" si="57"/>
        <v>0</v>
      </c>
      <c r="S209" s="200">
        <f t="shared" si="57"/>
        <v>498</v>
      </c>
      <c r="T209" s="200">
        <f t="shared" si="57"/>
        <v>15</v>
      </c>
      <c r="U209" s="200">
        <f t="shared" si="57"/>
        <v>76954</v>
      </c>
      <c r="V209" s="200">
        <f t="shared" si="57"/>
        <v>77475</v>
      </c>
    </row>
    <row r="210" spans="1:22" ht="12" customHeight="1" x14ac:dyDescent="0.2">
      <c r="A210" s="473">
        <v>1992</v>
      </c>
      <c r="B210" s="200">
        <f t="shared" ref="B210:K210" si="58">IF(AND(B163="-",B116="-",B69="-",B22="-"),"-",SUM(B163,B116,B69,B22))</f>
        <v>4131</v>
      </c>
      <c r="C210" s="200">
        <f t="shared" si="58"/>
        <v>8787</v>
      </c>
      <c r="D210" s="200">
        <f t="shared" si="58"/>
        <v>5538</v>
      </c>
      <c r="E210" s="200">
        <f t="shared" si="58"/>
        <v>4724</v>
      </c>
      <c r="F210" s="200">
        <f t="shared" si="58"/>
        <v>4027</v>
      </c>
      <c r="G210" s="200">
        <f t="shared" si="58"/>
        <v>0</v>
      </c>
      <c r="H210" s="200">
        <f t="shared" si="58"/>
        <v>0</v>
      </c>
      <c r="I210" s="200">
        <f t="shared" si="58"/>
        <v>3187</v>
      </c>
      <c r="J210" s="200">
        <f t="shared" si="58"/>
        <v>23076</v>
      </c>
      <c r="K210" s="200">
        <f t="shared" si="58"/>
        <v>30394</v>
      </c>
      <c r="L210" s="21"/>
      <c r="M210" s="200">
        <f t="shared" ref="M210:V210" si="59">IF(AND(M163="-",M116="-",M69="-",M22="-"),"-",SUM(M163,M116,M69,M22))</f>
        <v>0</v>
      </c>
      <c r="N210" s="200">
        <f t="shared" si="59"/>
        <v>2</v>
      </c>
      <c r="O210" s="200">
        <f t="shared" si="59"/>
        <v>3</v>
      </c>
      <c r="P210" s="200">
        <f t="shared" si="59"/>
        <v>40215</v>
      </c>
      <c r="Q210" s="200">
        <f t="shared" si="59"/>
        <v>35369</v>
      </c>
      <c r="R210" s="200">
        <f t="shared" si="59"/>
        <v>0</v>
      </c>
      <c r="S210" s="200">
        <f t="shared" si="59"/>
        <v>15</v>
      </c>
      <c r="T210" s="200">
        <f t="shared" si="59"/>
        <v>23</v>
      </c>
      <c r="U210" s="200">
        <f t="shared" si="59"/>
        <v>75589</v>
      </c>
      <c r="V210" s="200">
        <f t="shared" si="59"/>
        <v>75627</v>
      </c>
    </row>
    <row r="211" spans="1:22" ht="12" customHeight="1" x14ac:dyDescent="0.2">
      <c r="A211" s="473">
        <v>1993</v>
      </c>
      <c r="B211" s="200">
        <f t="shared" ref="B211:K211" si="60">IF(AND(B164="-",B117="-",B70="-",B23="-"),"-",SUM(B164,B117,B70,B23))</f>
        <v>6280</v>
      </c>
      <c r="C211" s="200">
        <f t="shared" si="60"/>
        <v>7325</v>
      </c>
      <c r="D211" s="200">
        <f t="shared" si="60"/>
        <v>5217</v>
      </c>
      <c r="E211" s="200">
        <f t="shared" si="60"/>
        <v>5923</v>
      </c>
      <c r="F211" s="200">
        <f t="shared" si="60"/>
        <v>3648</v>
      </c>
      <c r="G211" s="200">
        <f t="shared" si="60"/>
        <v>2853</v>
      </c>
      <c r="H211" s="200">
        <f t="shared" si="60"/>
        <v>0</v>
      </c>
      <c r="I211" s="200">
        <f t="shared" si="60"/>
        <v>544</v>
      </c>
      <c r="J211" s="200">
        <f t="shared" si="60"/>
        <v>24966</v>
      </c>
      <c r="K211" s="200">
        <f t="shared" si="60"/>
        <v>31790</v>
      </c>
      <c r="L211" s="21"/>
      <c r="M211" s="200">
        <f t="shared" ref="M211:V211" si="61">IF(AND(M164="-",M117="-",M70="-",M23="-"),"-",SUM(M164,M117,M70,M23))</f>
        <v>1</v>
      </c>
      <c r="N211" s="200">
        <f t="shared" si="61"/>
        <v>1</v>
      </c>
      <c r="O211" s="200">
        <f t="shared" si="61"/>
        <v>0</v>
      </c>
      <c r="P211" s="200">
        <f t="shared" si="61"/>
        <v>6944</v>
      </c>
      <c r="Q211" s="200">
        <f t="shared" si="61"/>
        <v>25420</v>
      </c>
      <c r="R211" s="200">
        <f t="shared" si="61"/>
        <v>26375</v>
      </c>
      <c r="S211" s="200">
        <f t="shared" si="61"/>
        <v>0</v>
      </c>
      <c r="T211" s="200">
        <f t="shared" si="61"/>
        <v>0</v>
      </c>
      <c r="U211" s="200">
        <f t="shared" si="61"/>
        <v>58740</v>
      </c>
      <c r="V211" s="200">
        <f t="shared" si="61"/>
        <v>58741</v>
      </c>
    </row>
    <row r="212" spans="1:22" ht="12" customHeight="1" x14ac:dyDescent="0.2">
      <c r="A212" s="473">
        <v>1994</v>
      </c>
      <c r="B212" s="200">
        <f t="shared" ref="B212:K212" si="62">IF(AND(B165="-",B118="-",B71="-",B24="-"),"-",SUM(B165,B118,B71,B24))</f>
        <v>1116</v>
      </c>
      <c r="C212" s="200">
        <f t="shared" si="62"/>
        <v>449</v>
      </c>
      <c r="D212" s="200">
        <f t="shared" si="62"/>
        <v>4113</v>
      </c>
      <c r="E212" s="200">
        <f t="shared" si="62"/>
        <v>8</v>
      </c>
      <c r="F212" s="200">
        <f t="shared" si="62"/>
        <v>0</v>
      </c>
      <c r="G212" s="200">
        <f t="shared" si="62"/>
        <v>0</v>
      </c>
      <c r="H212" s="200">
        <f t="shared" si="62"/>
        <v>0</v>
      </c>
      <c r="I212" s="200">
        <f t="shared" si="62"/>
        <v>99</v>
      </c>
      <c r="J212" s="200">
        <f t="shared" si="62"/>
        <v>4570</v>
      </c>
      <c r="K212" s="200">
        <f t="shared" si="62"/>
        <v>5785</v>
      </c>
      <c r="L212" s="21"/>
      <c r="M212" s="200">
        <f t="shared" ref="M212:V212" si="63">IF(AND(M165="-",M118="-",M71="-",M24="-"),"-",SUM(M165,M118,M71,M24))</f>
        <v>0</v>
      </c>
      <c r="N212" s="200">
        <f t="shared" si="63"/>
        <v>0</v>
      </c>
      <c r="O212" s="200">
        <f t="shared" si="63"/>
        <v>0</v>
      </c>
      <c r="P212" s="200">
        <f t="shared" si="63"/>
        <v>0</v>
      </c>
      <c r="Q212" s="200">
        <f t="shared" si="63"/>
        <v>0</v>
      </c>
      <c r="R212" s="200">
        <f t="shared" si="63"/>
        <v>0</v>
      </c>
      <c r="S212" s="200">
        <f t="shared" si="63"/>
        <v>0</v>
      </c>
      <c r="T212" s="200">
        <f t="shared" si="63"/>
        <v>0</v>
      </c>
      <c r="U212" s="200">
        <f t="shared" si="63"/>
        <v>0</v>
      </c>
      <c r="V212" s="200">
        <f t="shared" si="63"/>
        <v>0</v>
      </c>
    </row>
    <row r="213" spans="1:22" ht="12" customHeight="1" x14ac:dyDescent="0.2">
      <c r="A213" s="473">
        <v>1995</v>
      </c>
      <c r="B213" s="200">
        <f t="shared" ref="B213:K213" si="64">IF(AND(B166="-",B119="-",B72="-",B25="-"),"-",SUM(B166,B119,B72,B25))</f>
        <v>1014</v>
      </c>
      <c r="C213" s="200">
        <f t="shared" si="64"/>
        <v>698</v>
      </c>
      <c r="D213" s="200">
        <f t="shared" si="64"/>
        <v>0</v>
      </c>
      <c r="E213" s="200">
        <f t="shared" si="64"/>
        <v>23</v>
      </c>
      <c r="F213" s="200">
        <f t="shared" si="64"/>
        <v>9044</v>
      </c>
      <c r="G213" s="200">
        <f t="shared" si="64"/>
        <v>0</v>
      </c>
      <c r="H213" s="200">
        <f t="shared" si="64"/>
        <v>0</v>
      </c>
      <c r="I213" s="200">
        <f t="shared" si="64"/>
        <v>875</v>
      </c>
      <c r="J213" s="200">
        <f t="shared" si="64"/>
        <v>9765</v>
      </c>
      <c r="K213" s="200">
        <f t="shared" si="64"/>
        <v>11654</v>
      </c>
      <c r="L213" s="21"/>
      <c r="M213" s="200">
        <f t="shared" ref="M213:V213" si="65">IF(AND(M166="-",M119="-",M72="-",M25="-"),"-",SUM(M166,M119,M72,M25))</f>
        <v>0</v>
      </c>
      <c r="N213" s="200">
        <f t="shared" si="65"/>
        <v>0</v>
      </c>
      <c r="O213" s="200">
        <f t="shared" si="65"/>
        <v>0</v>
      </c>
      <c r="P213" s="200">
        <f t="shared" si="65"/>
        <v>0</v>
      </c>
      <c r="Q213" s="200">
        <f t="shared" si="65"/>
        <v>31390</v>
      </c>
      <c r="R213" s="200">
        <f t="shared" si="65"/>
        <v>0</v>
      </c>
      <c r="S213" s="200">
        <f t="shared" si="65"/>
        <v>0</v>
      </c>
      <c r="T213" s="200">
        <f t="shared" si="65"/>
        <v>0</v>
      </c>
      <c r="U213" s="200">
        <f t="shared" si="65"/>
        <v>31390</v>
      </c>
      <c r="V213" s="200">
        <f t="shared" si="65"/>
        <v>31390</v>
      </c>
    </row>
    <row r="214" spans="1:22" ht="12" customHeight="1" x14ac:dyDescent="0.2">
      <c r="A214" s="473">
        <v>1996</v>
      </c>
      <c r="B214" s="200">
        <f t="shared" ref="B214:K214" si="66">IF(AND(B167="-",B120="-",B73="-",B26="-"),"-",SUM(B167,B120,B73,B26))</f>
        <v>2561</v>
      </c>
      <c r="C214" s="200">
        <f t="shared" si="66"/>
        <v>1473</v>
      </c>
      <c r="D214" s="200">
        <f t="shared" si="66"/>
        <v>1974</v>
      </c>
      <c r="E214" s="200">
        <f t="shared" si="66"/>
        <v>457</v>
      </c>
      <c r="F214" s="200">
        <f t="shared" si="66"/>
        <v>4845</v>
      </c>
      <c r="G214" s="200">
        <f t="shared" si="66"/>
        <v>3561</v>
      </c>
      <c r="H214" s="200" t="str">
        <f t="shared" si="66"/>
        <v>-</v>
      </c>
      <c r="I214" s="200">
        <f t="shared" si="66"/>
        <v>81</v>
      </c>
      <c r="J214" s="200">
        <f t="shared" si="66"/>
        <v>12310</v>
      </c>
      <c r="K214" s="200">
        <f t="shared" si="66"/>
        <v>14952</v>
      </c>
      <c r="L214" s="21"/>
      <c r="M214" s="200">
        <f t="shared" ref="M214:V214" si="67">IF(AND(M167="-",M120="-",M73="-",M26="-"),"-",SUM(M167,M120,M73,M26))</f>
        <v>0</v>
      </c>
      <c r="N214" s="200">
        <f t="shared" si="67"/>
        <v>0</v>
      </c>
      <c r="O214" s="200">
        <f t="shared" si="67"/>
        <v>0</v>
      </c>
      <c r="P214" s="200">
        <f t="shared" si="67"/>
        <v>0</v>
      </c>
      <c r="Q214" s="200">
        <f t="shared" si="67"/>
        <v>4655</v>
      </c>
      <c r="R214" s="200">
        <f t="shared" si="67"/>
        <v>13885</v>
      </c>
      <c r="S214" s="200" t="str">
        <f t="shared" si="67"/>
        <v>-</v>
      </c>
      <c r="T214" s="200">
        <f t="shared" si="67"/>
        <v>0</v>
      </c>
      <c r="U214" s="200">
        <f t="shared" si="67"/>
        <v>18540</v>
      </c>
      <c r="V214" s="200">
        <f t="shared" si="67"/>
        <v>18540</v>
      </c>
    </row>
    <row r="215" spans="1:22" ht="12" customHeight="1" x14ac:dyDescent="0.2">
      <c r="A215" s="473">
        <v>1997</v>
      </c>
      <c r="B215" s="200">
        <f t="shared" ref="B215:K215" si="68">IF(AND(B168="-",B121="-",B74="-",B27="-"),"-",SUM(B168,B121,B74,B27))</f>
        <v>439</v>
      </c>
      <c r="C215" s="200">
        <f t="shared" si="68"/>
        <v>819</v>
      </c>
      <c r="D215" s="200">
        <f t="shared" si="68"/>
        <v>7486</v>
      </c>
      <c r="E215" s="200">
        <f t="shared" si="68"/>
        <v>0</v>
      </c>
      <c r="F215" s="200">
        <f t="shared" si="68"/>
        <v>4720</v>
      </c>
      <c r="G215" s="200">
        <f t="shared" si="68"/>
        <v>1136</v>
      </c>
      <c r="H215" s="200" t="str">
        <f t="shared" si="68"/>
        <v>-</v>
      </c>
      <c r="I215" s="200">
        <f t="shared" si="68"/>
        <v>16</v>
      </c>
      <c r="J215" s="200">
        <f t="shared" si="68"/>
        <v>14161</v>
      </c>
      <c r="K215" s="200">
        <f t="shared" si="68"/>
        <v>14616</v>
      </c>
      <c r="L215" s="21"/>
      <c r="M215" s="200">
        <f t="shared" ref="M215:V215" si="69">IF(AND(M168="-",M121="-",M74="-",M27="-"),"-",SUM(M168,M121,M74,M27))</f>
        <v>0</v>
      </c>
      <c r="N215" s="200">
        <f t="shared" si="69"/>
        <v>0</v>
      </c>
      <c r="O215" s="200">
        <f t="shared" si="69"/>
        <v>0</v>
      </c>
      <c r="P215" s="200">
        <f t="shared" si="69"/>
        <v>0</v>
      </c>
      <c r="Q215" s="200">
        <f t="shared" si="69"/>
        <v>11481</v>
      </c>
      <c r="R215" s="200">
        <f t="shared" si="69"/>
        <v>4343</v>
      </c>
      <c r="S215" s="200" t="str">
        <f t="shared" si="69"/>
        <v>-</v>
      </c>
      <c r="T215" s="200">
        <f t="shared" si="69"/>
        <v>0</v>
      </c>
      <c r="U215" s="200">
        <f t="shared" si="69"/>
        <v>15824</v>
      </c>
      <c r="V215" s="200">
        <f t="shared" si="69"/>
        <v>15824</v>
      </c>
    </row>
    <row r="216" spans="1:22" ht="12" customHeight="1" x14ac:dyDescent="0.2">
      <c r="A216" s="473">
        <v>1998</v>
      </c>
      <c r="B216" s="200">
        <f t="shared" ref="B216:K216" si="70">IF(AND(B169="-",B122="-",B75="-",B28="-"),"-",SUM(B169,B122,B75,B28))</f>
        <v>97</v>
      </c>
      <c r="C216" s="200">
        <f t="shared" si="70"/>
        <v>5189</v>
      </c>
      <c r="D216" s="200">
        <f t="shared" si="70"/>
        <v>4442</v>
      </c>
      <c r="E216" s="200">
        <f t="shared" si="70"/>
        <v>47</v>
      </c>
      <c r="F216" s="200">
        <f t="shared" si="70"/>
        <v>3860</v>
      </c>
      <c r="G216" s="200">
        <f t="shared" si="70"/>
        <v>1148</v>
      </c>
      <c r="H216" s="200" t="str">
        <f t="shared" si="70"/>
        <v>-</v>
      </c>
      <c r="I216" s="200">
        <f t="shared" si="70"/>
        <v>125</v>
      </c>
      <c r="J216" s="200">
        <f t="shared" si="70"/>
        <v>14686</v>
      </c>
      <c r="K216" s="200">
        <f t="shared" si="70"/>
        <v>14908</v>
      </c>
      <c r="L216" s="21"/>
      <c r="M216" s="200">
        <f t="shared" ref="M216:V216" si="71">IF(AND(M169="-",M122="-",M75="-",M28="-"),"-",SUM(M169,M122,M75,M28))</f>
        <v>0</v>
      </c>
      <c r="N216" s="200">
        <f t="shared" si="71"/>
        <v>0</v>
      </c>
      <c r="O216" s="200">
        <f t="shared" si="71"/>
        <v>0</v>
      </c>
      <c r="P216" s="200">
        <f t="shared" si="71"/>
        <v>74</v>
      </c>
      <c r="Q216" s="200">
        <f t="shared" si="71"/>
        <v>3855</v>
      </c>
      <c r="R216" s="200">
        <f t="shared" si="71"/>
        <v>4225</v>
      </c>
      <c r="S216" s="200" t="str">
        <f t="shared" si="71"/>
        <v>-</v>
      </c>
      <c r="T216" s="200">
        <f t="shared" si="71"/>
        <v>0</v>
      </c>
      <c r="U216" s="200">
        <f t="shared" si="71"/>
        <v>8154</v>
      </c>
      <c r="V216" s="200">
        <f t="shared" si="71"/>
        <v>8154</v>
      </c>
    </row>
    <row r="217" spans="1:22" ht="12" customHeight="1" x14ac:dyDescent="0.2">
      <c r="A217" s="473">
        <v>1999</v>
      </c>
      <c r="B217" s="200">
        <f t="shared" ref="B217:K217" si="72">IF(AND(B170="-",B123="-",B76="-",B29="-"),"-",SUM(B170,B123,B76,B29))</f>
        <v>237</v>
      </c>
      <c r="C217" s="200">
        <f t="shared" si="72"/>
        <v>2536</v>
      </c>
      <c r="D217" s="200">
        <f t="shared" si="72"/>
        <v>15666</v>
      </c>
      <c r="E217" s="200">
        <f t="shared" si="72"/>
        <v>1530</v>
      </c>
      <c r="F217" s="200">
        <f t="shared" si="72"/>
        <v>4101</v>
      </c>
      <c r="G217" s="200">
        <f t="shared" si="72"/>
        <v>3619</v>
      </c>
      <c r="H217" s="200" t="str">
        <f t="shared" si="72"/>
        <v>-</v>
      </c>
      <c r="I217" s="200">
        <f t="shared" si="72"/>
        <v>15</v>
      </c>
      <c r="J217" s="200">
        <f t="shared" si="72"/>
        <v>27452</v>
      </c>
      <c r="K217" s="200">
        <f t="shared" si="72"/>
        <v>27704</v>
      </c>
      <c r="L217" s="21"/>
      <c r="M217" s="200">
        <f t="shared" ref="M217:V217" si="73">IF(AND(M170="-",M123="-",M76="-",M29="-"),"-",SUM(M170,M123,M76,M29))</f>
        <v>0</v>
      </c>
      <c r="N217" s="200">
        <f t="shared" si="73"/>
        <v>0</v>
      </c>
      <c r="O217" s="200">
        <f t="shared" si="73"/>
        <v>0</v>
      </c>
      <c r="P217" s="200">
        <f t="shared" si="73"/>
        <v>0</v>
      </c>
      <c r="Q217" s="200">
        <f t="shared" si="73"/>
        <v>13151</v>
      </c>
      <c r="R217" s="200">
        <f t="shared" si="73"/>
        <v>20213</v>
      </c>
      <c r="S217" s="200" t="str">
        <f t="shared" si="73"/>
        <v>-</v>
      </c>
      <c r="T217" s="200">
        <f t="shared" si="73"/>
        <v>0</v>
      </c>
      <c r="U217" s="200">
        <f t="shared" si="73"/>
        <v>33364</v>
      </c>
      <c r="V217" s="200">
        <f t="shared" si="73"/>
        <v>33364</v>
      </c>
    </row>
    <row r="218" spans="1:22" ht="12" customHeight="1" x14ac:dyDescent="0.2">
      <c r="A218" s="473">
        <v>2000</v>
      </c>
      <c r="B218" s="200">
        <f t="shared" ref="B218:K218" si="74">IF(AND(B171="-",B124="-",B77="-",B30="-"),"-",SUM(B171,B124,B77,B30))</f>
        <v>141</v>
      </c>
      <c r="C218" s="200">
        <f t="shared" si="74"/>
        <v>2885</v>
      </c>
      <c r="D218" s="200">
        <f t="shared" si="74"/>
        <v>3052</v>
      </c>
      <c r="E218" s="200">
        <f t="shared" si="74"/>
        <v>196</v>
      </c>
      <c r="F218" s="200">
        <f t="shared" si="74"/>
        <v>1505</v>
      </c>
      <c r="G218" s="200">
        <f t="shared" si="74"/>
        <v>0</v>
      </c>
      <c r="H218" s="200" t="str">
        <f t="shared" si="74"/>
        <v>-</v>
      </c>
      <c r="I218" s="200">
        <f t="shared" si="74"/>
        <v>10</v>
      </c>
      <c r="J218" s="200">
        <f t="shared" si="74"/>
        <v>7638</v>
      </c>
      <c r="K218" s="200">
        <f t="shared" si="74"/>
        <v>7789</v>
      </c>
      <c r="L218" s="21"/>
      <c r="M218" s="200">
        <f t="shared" ref="M218:V218" si="75">IF(AND(M171="-",M124="-",M77="-",M30="-"),"-",SUM(M171,M124,M77,M30))</f>
        <v>0</v>
      </c>
      <c r="N218" s="200">
        <f t="shared" si="75"/>
        <v>0</v>
      </c>
      <c r="O218" s="200">
        <f t="shared" si="75"/>
        <v>1</v>
      </c>
      <c r="P218" s="200">
        <f t="shared" si="75"/>
        <v>0</v>
      </c>
      <c r="Q218" s="200">
        <f t="shared" si="75"/>
        <v>22174</v>
      </c>
      <c r="R218" s="200">
        <f t="shared" si="75"/>
        <v>0</v>
      </c>
      <c r="S218" s="200" t="str">
        <f t="shared" si="75"/>
        <v>-</v>
      </c>
      <c r="T218" s="200">
        <f t="shared" si="75"/>
        <v>0</v>
      </c>
      <c r="U218" s="200">
        <f t="shared" si="75"/>
        <v>22175</v>
      </c>
      <c r="V218" s="200">
        <f t="shared" si="75"/>
        <v>22175</v>
      </c>
    </row>
    <row r="219" spans="1:22" ht="12" customHeight="1" x14ac:dyDescent="0.2">
      <c r="A219" s="473">
        <v>2001</v>
      </c>
      <c r="B219" s="200">
        <f t="shared" ref="B219:K219" si="76">IF(AND(B172="-",B125="-",B78="-",B31="-"),"-",SUM(B172,B125,B78,B31))</f>
        <v>1364</v>
      </c>
      <c r="C219" s="200">
        <f t="shared" si="76"/>
        <v>2278</v>
      </c>
      <c r="D219" s="200">
        <f t="shared" si="76"/>
        <v>13705</v>
      </c>
      <c r="E219" s="200">
        <f t="shared" si="76"/>
        <v>6561</v>
      </c>
      <c r="F219" s="200">
        <f t="shared" si="76"/>
        <v>2988</v>
      </c>
      <c r="G219" s="200">
        <f t="shared" si="76"/>
        <v>3311</v>
      </c>
      <c r="H219" s="200" t="str">
        <f t="shared" si="76"/>
        <v>-</v>
      </c>
      <c r="I219" s="200">
        <f t="shared" si="76"/>
        <v>273</v>
      </c>
      <c r="J219" s="200">
        <f t="shared" si="76"/>
        <v>28843</v>
      </c>
      <c r="K219" s="200">
        <f t="shared" si="76"/>
        <v>30480</v>
      </c>
      <c r="L219" s="21"/>
      <c r="M219" s="200">
        <f t="shared" ref="M219:V219" si="77">IF(AND(M172="-",M125="-",M78="-",M31="-"),"-",SUM(M172,M125,M78,M31))</f>
        <v>0</v>
      </c>
      <c r="N219" s="200">
        <f t="shared" si="77"/>
        <v>0</v>
      </c>
      <c r="O219" s="200">
        <f t="shared" si="77"/>
        <v>12</v>
      </c>
      <c r="P219" s="200">
        <f t="shared" si="77"/>
        <v>8510</v>
      </c>
      <c r="Q219" s="200">
        <f t="shared" si="77"/>
        <v>27984</v>
      </c>
      <c r="R219" s="200">
        <f t="shared" si="77"/>
        <v>22089</v>
      </c>
      <c r="S219" s="200" t="str">
        <f t="shared" si="77"/>
        <v>-</v>
      </c>
      <c r="T219" s="200">
        <f t="shared" si="77"/>
        <v>1</v>
      </c>
      <c r="U219" s="200">
        <f t="shared" si="77"/>
        <v>58595</v>
      </c>
      <c r="V219" s="200">
        <f t="shared" si="77"/>
        <v>58596</v>
      </c>
    </row>
    <row r="220" spans="1:22" ht="12" customHeight="1" x14ac:dyDescent="0.2">
      <c r="A220" s="473">
        <v>2002</v>
      </c>
      <c r="B220" s="200">
        <f t="shared" ref="B220:K220" si="78">IF(AND(B173="-",B126="-",B79="-",B32="-"),"-",SUM(B173,B126,B79,B32))</f>
        <v>400</v>
      </c>
      <c r="C220" s="200">
        <f t="shared" si="78"/>
        <v>5364</v>
      </c>
      <c r="D220" s="200">
        <f t="shared" si="78"/>
        <v>11206</v>
      </c>
      <c r="E220" s="200">
        <f t="shared" si="78"/>
        <v>12079</v>
      </c>
      <c r="F220" s="200">
        <f t="shared" si="78"/>
        <v>8074</v>
      </c>
      <c r="G220" s="200">
        <f t="shared" si="78"/>
        <v>3123</v>
      </c>
      <c r="H220" s="200">
        <f t="shared" si="78"/>
        <v>30</v>
      </c>
      <c r="I220" s="200">
        <f t="shared" si="78"/>
        <v>25</v>
      </c>
      <c r="J220" s="200">
        <f t="shared" si="78"/>
        <v>39846</v>
      </c>
      <c r="K220" s="200">
        <f t="shared" si="78"/>
        <v>40301</v>
      </c>
      <c r="L220" s="21"/>
      <c r="M220" s="200">
        <f t="shared" ref="M220:V220" si="79">IF(AND(M173="-",M126="-",M79="-",M32="-"),"-",SUM(M173,M126,M79,M32))</f>
        <v>0</v>
      </c>
      <c r="N220" s="200">
        <f t="shared" si="79"/>
        <v>1</v>
      </c>
      <c r="O220" s="200">
        <f t="shared" si="79"/>
        <v>1</v>
      </c>
      <c r="P220" s="200">
        <f t="shared" si="79"/>
        <v>3449</v>
      </c>
      <c r="Q220" s="200">
        <f t="shared" si="79"/>
        <v>4929</v>
      </c>
      <c r="R220" s="200">
        <f t="shared" si="79"/>
        <v>9042</v>
      </c>
      <c r="S220" s="200">
        <f t="shared" si="79"/>
        <v>80</v>
      </c>
      <c r="T220" s="200">
        <f t="shared" si="79"/>
        <v>0</v>
      </c>
      <c r="U220" s="200">
        <f t="shared" si="79"/>
        <v>17422</v>
      </c>
      <c r="V220" s="200">
        <f t="shared" si="79"/>
        <v>17502</v>
      </c>
    </row>
    <row r="221" spans="1:22" ht="12" customHeight="1" x14ac:dyDescent="0.2">
      <c r="A221" s="473">
        <v>2003</v>
      </c>
      <c r="B221" s="200">
        <f t="shared" ref="B221:K221" si="80">IF(AND(B174="-",B127="-",B80="-",B33="-"),"-",SUM(B174,B127,B80,B33))</f>
        <v>208</v>
      </c>
      <c r="C221" s="200">
        <f t="shared" si="80"/>
        <v>2856</v>
      </c>
      <c r="D221" s="200">
        <f t="shared" si="80"/>
        <v>13039</v>
      </c>
      <c r="E221" s="200">
        <f t="shared" si="80"/>
        <v>12935</v>
      </c>
      <c r="F221" s="200">
        <f t="shared" si="80"/>
        <v>5232</v>
      </c>
      <c r="G221" s="200">
        <f t="shared" si="80"/>
        <v>1110</v>
      </c>
      <c r="H221" s="200">
        <f t="shared" si="80"/>
        <v>35</v>
      </c>
      <c r="I221" s="200">
        <f t="shared" si="80"/>
        <v>3</v>
      </c>
      <c r="J221" s="200">
        <f t="shared" si="80"/>
        <v>35172</v>
      </c>
      <c r="K221" s="200">
        <f t="shared" si="80"/>
        <v>35418</v>
      </c>
      <c r="L221" s="72"/>
      <c r="M221" s="200">
        <f t="shared" ref="M221:V221" si="81">IF(AND(M174="-",M127="-",M80="-",M33="-"),"-",SUM(M174,M127,M80,M33))</f>
        <v>98</v>
      </c>
      <c r="N221" s="200">
        <f t="shared" si="81"/>
        <v>3</v>
      </c>
      <c r="O221" s="200">
        <f t="shared" si="81"/>
        <v>0</v>
      </c>
      <c r="P221" s="200">
        <f t="shared" si="81"/>
        <v>4449</v>
      </c>
      <c r="Q221" s="200">
        <f t="shared" si="81"/>
        <v>4276</v>
      </c>
      <c r="R221" s="200">
        <f t="shared" si="81"/>
        <v>2214</v>
      </c>
      <c r="S221" s="200">
        <f t="shared" si="81"/>
        <v>85</v>
      </c>
      <c r="T221" s="200">
        <f t="shared" si="81"/>
        <v>0</v>
      </c>
      <c r="U221" s="200">
        <f t="shared" si="81"/>
        <v>10942</v>
      </c>
      <c r="V221" s="200">
        <f t="shared" si="81"/>
        <v>11125</v>
      </c>
    </row>
    <row r="222" spans="1:22" ht="12" customHeight="1" x14ac:dyDescent="0.2">
      <c r="A222" s="473">
        <v>2004</v>
      </c>
      <c r="B222" s="203">
        <f t="shared" ref="B222:K222" si="82">IF(AND(B175="-",B128="-",B81="-",B34="-"),"-",SUM(B175,B128,B81,B34))</f>
        <v>1555</v>
      </c>
      <c r="C222" s="203">
        <f t="shared" si="82"/>
        <v>9947</v>
      </c>
      <c r="D222" s="203">
        <f t="shared" si="82"/>
        <v>16977</v>
      </c>
      <c r="E222" s="203">
        <f t="shared" si="82"/>
        <v>10765</v>
      </c>
      <c r="F222" s="203">
        <f t="shared" si="82"/>
        <v>6960</v>
      </c>
      <c r="G222" s="203">
        <f t="shared" si="82"/>
        <v>5086</v>
      </c>
      <c r="H222" s="203">
        <f t="shared" si="82"/>
        <v>25</v>
      </c>
      <c r="I222" s="203">
        <f t="shared" si="82"/>
        <v>14588</v>
      </c>
      <c r="J222" s="203">
        <f t="shared" si="82"/>
        <v>49735</v>
      </c>
      <c r="K222" s="203">
        <f t="shared" si="82"/>
        <v>65903</v>
      </c>
      <c r="L222" s="72"/>
      <c r="M222" s="203">
        <f t="shared" ref="M222:V222" si="83">IF(AND(M175="-",M128="-",M81="-",M34="-"),"-",SUM(M175,M128,M81,M34))</f>
        <v>0</v>
      </c>
      <c r="N222" s="203">
        <f t="shared" si="83"/>
        <v>3</v>
      </c>
      <c r="O222" s="203">
        <f t="shared" si="83"/>
        <v>3</v>
      </c>
      <c r="P222" s="203">
        <f t="shared" si="83"/>
        <v>16133</v>
      </c>
      <c r="Q222" s="203">
        <f t="shared" si="83"/>
        <v>36684</v>
      </c>
      <c r="R222" s="203">
        <f t="shared" si="83"/>
        <v>9274</v>
      </c>
      <c r="S222" s="203">
        <f t="shared" si="83"/>
        <v>100</v>
      </c>
      <c r="T222" s="203">
        <f t="shared" si="83"/>
        <v>108</v>
      </c>
      <c r="U222" s="203">
        <f t="shared" si="83"/>
        <v>62097</v>
      </c>
      <c r="V222" s="203">
        <f t="shared" si="83"/>
        <v>62305</v>
      </c>
    </row>
    <row r="223" spans="1:22" ht="12" customHeight="1" x14ac:dyDescent="0.2">
      <c r="A223" s="477">
        <v>2005</v>
      </c>
      <c r="B223" s="203">
        <f t="shared" ref="B223:K223" si="84">IF(AND(B176="-",B129="-",B82="-",B35="-"),"-",SUM(B176,B129,B82,B35))</f>
        <v>999</v>
      </c>
      <c r="C223" s="203">
        <f t="shared" si="84"/>
        <v>6858</v>
      </c>
      <c r="D223" s="203">
        <f t="shared" si="84"/>
        <v>18374</v>
      </c>
      <c r="E223" s="203">
        <f t="shared" si="84"/>
        <v>4971</v>
      </c>
      <c r="F223" s="203">
        <f t="shared" si="84"/>
        <v>8100</v>
      </c>
      <c r="G223" s="203">
        <f t="shared" si="84"/>
        <v>3672</v>
      </c>
      <c r="H223" s="203">
        <f t="shared" si="84"/>
        <v>0</v>
      </c>
      <c r="I223" s="203">
        <f t="shared" si="84"/>
        <v>3935</v>
      </c>
      <c r="J223" s="203">
        <f t="shared" si="84"/>
        <v>41975</v>
      </c>
      <c r="K223" s="203">
        <f t="shared" si="84"/>
        <v>46909</v>
      </c>
      <c r="L223" s="72"/>
      <c r="M223" s="203">
        <f t="shared" ref="M223:V223" si="85">IF(AND(M176="-",M129="-",M82="-",M35="-"),"-",SUM(M176,M129,M82,M35))</f>
        <v>3</v>
      </c>
      <c r="N223" s="203">
        <f t="shared" si="85"/>
        <v>3</v>
      </c>
      <c r="O223" s="203">
        <f t="shared" si="85"/>
        <v>1</v>
      </c>
      <c r="P223" s="203">
        <f t="shared" si="85"/>
        <v>3756</v>
      </c>
      <c r="Q223" s="203">
        <f t="shared" si="85"/>
        <v>15949</v>
      </c>
      <c r="R223" s="203">
        <f t="shared" si="85"/>
        <v>4288</v>
      </c>
      <c r="S223" s="203">
        <f t="shared" si="85"/>
        <v>0</v>
      </c>
      <c r="T223" s="203">
        <f t="shared" si="85"/>
        <v>41</v>
      </c>
      <c r="U223" s="203">
        <f t="shared" si="85"/>
        <v>23997</v>
      </c>
      <c r="V223" s="203">
        <f t="shared" si="85"/>
        <v>24041</v>
      </c>
    </row>
    <row r="224" spans="1:22" s="467" customFormat="1" ht="12" customHeight="1" x14ac:dyDescent="0.2">
      <c r="A224" s="477">
        <v>2006</v>
      </c>
      <c r="B224" s="203">
        <f t="shared" ref="B224:K224" si="86">IF(AND(B177="-",B130="-",B83="-",B36="-"),"-",SUM(B177,B130,B83,B36))</f>
        <v>163</v>
      </c>
      <c r="C224" s="203">
        <f t="shared" si="86"/>
        <v>2821</v>
      </c>
      <c r="D224" s="203">
        <f t="shared" si="86"/>
        <v>8341</v>
      </c>
      <c r="E224" s="203">
        <f t="shared" si="86"/>
        <v>7736</v>
      </c>
      <c r="F224" s="203">
        <f t="shared" si="86"/>
        <v>6690</v>
      </c>
      <c r="G224" s="203">
        <f t="shared" si="86"/>
        <v>4957</v>
      </c>
      <c r="H224" s="203">
        <f t="shared" si="86"/>
        <v>15</v>
      </c>
      <c r="I224" s="203">
        <f t="shared" si="86"/>
        <v>491</v>
      </c>
      <c r="J224" s="203">
        <f t="shared" si="86"/>
        <v>30545</v>
      </c>
      <c r="K224" s="203">
        <f t="shared" si="86"/>
        <v>31214</v>
      </c>
      <c r="L224" s="72"/>
      <c r="M224" s="203">
        <f t="shared" ref="M224:V224" si="87">IF(AND(M177="-",M130="-",M83="-",M36="-"),"-",SUM(M177,M130,M83,M36))</f>
        <v>2</v>
      </c>
      <c r="N224" s="203">
        <f t="shared" si="87"/>
        <v>16</v>
      </c>
      <c r="O224" s="203">
        <f t="shared" si="87"/>
        <v>102</v>
      </c>
      <c r="P224" s="203">
        <f t="shared" si="87"/>
        <v>10475</v>
      </c>
      <c r="Q224" s="203">
        <f t="shared" si="87"/>
        <v>10634</v>
      </c>
      <c r="R224" s="203">
        <f t="shared" si="87"/>
        <v>10711</v>
      </c>
      <c r="S224" s="203">
        <f t="shared" si="87"/>
        <v>5</v>
      </c>
      <c r="T224" s="203">
        <f t="shared" si="87"/>
        <v>0</v>
      </c>
      <c r="U224" s="203">
        <f t="shared" si="87"/>
        <v>31938</v>
      </c>
      <c r="V224" s="203">
        <f t="shared" si="87"/>
        <v>31945</v>
      </c>
    </row>
    <row r="225" spans="1:22" s="467" customFormat="1" ht="12" customHeight="1" x14ac:dyDescent="0.2">
      <c r="A225" s="477">
        <v>2007</v>
      </c>
      <c r="B225" s="203">
        <f t="shared" ref="B225:K225" si="88">IF(AND(B178="-",B131="-",B84="-",B37="-"),"-",SUM(B178,B131,B84,B37))</f>
        <v>2218</v>
      </c>
      <c r="C225" s="203">
        <f t="shared" si="88"/>
        <v>316</v>
      </c>
      <c r="D225" s="203">
        <f t="shared" si="88"/>
        <v>14629</v>
      </c>
      <c r="E225" s="203">
        <f t="shared" si="88"/>
        <v>3349</v>
      </c>
      <c r="F225" s="203">
        <f t="shared" si="88"/>
        <v>4579</v>
      </c>
      <c r="G225" s="203">
        <f t="shared" si="88"/>
        <v>70</v>
      </c>
      <c r="H225" s="203">
        <f t="shared" si="88"/>
        <v>0</v>
      </c>
      <c r="I225" s="203">
        <f t="shared" si="88"/>
        <v>1340</v>
      </c>
      <c r="J225" s="203">
        <f t="shared" si="88"/>
        <v>22943</v>
      </c>
      <c r="K225" s="203">
        <f t="shared" si="88"/>
        <v>26501</v>
      </c>
      <c r="L225" s="72"/>
      <c r="M225" s="203">
        <f t="shared" ref="M225:V225" si="89">IF(AND(M178="-",M131="-",M84="-",M37="-"),"-",SUM(M178,M131,M84,M37))</f>
        <v>0</v>
      </c>
      <c r="N225" s="203">
        <f t="shared" si="89"/>
        <v>0</v>
      </c>
      <c r="O225" s="203">
        <f t="shared" si="89"/>
        <v>12</v>
      </c>
      <c r="P225" s="203">
        <f t="shared" si="89"/>
        <v>22743</v>
      </c>
      <c r="Q225" s="203">
        <f t="shared" si="89"/>
        <v>16423</v>
      </c>
      <c r="R225" s="203">
        <f t="shared" si="89"/>
        <v>860</v>
      </c>
      <c r="S225" s="203">
        <f t="shared" si="89"/>
        <v>0</v>
      </c>
      <c r="T225" s="203">
        <f t="shared" si="89"/>
        <v>5</v>
      </c>
      <c r="U225" s="203">
        <f t="shared" si="89"/>
        <v>40038</v>
      </c>
      <c r="V225" s="203">
        <f t="shared" si="89"/>
        <v>40043</v>
      </c>
    </row>
    <row r="226" spans="1:22" s="467" customFormat="1" ht="12" customHeight="1" x14ac:dyDescent="0.2">
      <c r="A226" s="477">
        <v>2008</v>
      </c>
      <c r="B226" s="203">
        <f t="shared" ref="B226:K226" si="90">IF(AND(B179="-",B132="-",B85="-",B38="-"),"-",SUM(B179,B132,B85,B38))</f>
        <v>538</v>
      </c>
      <c r="C226" s="203">
        <f t="shared" si="90"/>
        <v>358</v>
      </c>
      <c r="D226" s="203">
        <f t="shared" si="90"/>
        <v>8864</v>
      </c>
      <c r="E226" s="203">
        <f t="shared" si="90"/>
        <v>2099</v>
      </c>
      <c r="F226" s="203">
        <f t="shared" si="90"/>
        <v>6007</v>
      </c>
      <c r="G226" s="203">
        <f t="shared" si="90"/>
        <v>3579</v>
      </c>
      <c r="H226" s="203">
        <f t="shared" si="90"/>
        <v>1</v>
      </c>
      <c r="I226" s="203">
        <f t="shared" si="90"/>
        <v>375</v>
      </c>
      <c r="J226" s="203">
        <f t="shared" si="90"/>
        <v>20907</v>
      </c>
      <c r="K226" s="203">
        <f t="shared" si="90"/>
        <v>21821</v>
      </c>
      <c r="L226" s="72"/>
      <c r="M226" s="203">
        <f t="shared" ref="M226:V226" si="91">IF(AND(M179="-",M132="-",M85="-",M38="-"),"-",SUM(M179,M132,M85,M38))</f>
        <v>17</v>
      </c>
      <c r="N226" s="203">
        <f t="shared" si="91"/>
        <v>0</v>
      </c>
      <c r="O226" s="203">
        <f t="shared" si="91"/>
        <v>18</v>
      </c>
      <c r="P226" s="203">
        <f t="shared" si="91"/>
        <v>865</v>
      </c>
      <c r="Q226" s="203">
        <f t="shared" si="91"/>
        <v>3561</v>
      </c>
      <c r="R226" s="203">
        <f t="shared" si="91"/>
        <v>9820</v>
      </c>
      <c r="S226" s="203">
        <f t="shared" si="91"/>
        <v>0</v>
      </c>
      <c r="T226" s="203">
        <f t="shared" si="91"/>
        <v>0</v>
      </c>
      <c r="U226" s="203">
        <f t="shared" si="91"/>
        <v>14264</v>
      </c>
      <c r="V226" s="203">
        <f t="shared" si="91"/>
        <v>14281</v>
      </c>
    </row>
    <row r="227" spans="1:22" s="467" customFormat="1" ht="12" customHeight="1" x14ac:dyDescent="0.2">
      <c r="A227" s="477">
        <v>2009</v>
      </c>
      <c r="B227" s="203">
        <f t="shared" ref="B227:K227" si="92">IF(AND(B180="-",B133="-",B86="-",B39="-"),"-",SUM(B180,B133,B86,B39))</f>
        <v>464</v>
      </c>
      <c r="C227" s="203">
        <f t="shared" si="92"/>
        <v>1491</v>
      </c>
      <c r="D227" s="203">
        <f t="shared" si="92"/>
        <v>5828</v>
      </c>
      <c r="E227" s="203">
        <f t="shared" si="92"/>
        <v>2329</v>
      </c>
      <c r="F227" s="203">
        <f t="shared" si="92"/>
        <v>2566</v>
      </c>
      <c r="G227" s="203">
        <f t="shared" si="92"/>
        <v>12</v>
      </c>
      <c r="H227" s="203">
        <f t="shared" si="92"/>
        <v>25</v>
      </c>
      <c r="I227" s="203">
        <f t="shared" si="92"/>
        <v>68</v>
      </c>
      <c r="J227" s="203">
        <f t="shared" si="92"/>
        <v>12226</v>
      </c>
      <c r="K227" s="203">
        <f t="shared" si="92"/>
        <v>12783</v>
      </c>
      <c r="L227" s="72"/>
      <c r="M227" s="203">
        <f t="shared" ref="M227:V227" si="93">IF(AND(M180="-",M133="-",M86="-",M39="-"),"-",SUM(M180,M133,M86,M39))</f>
        <v>0</v>
      </c>
      <c r="N227" s="203">
        <f t="shared" si="93"/>
        <v>0</v>
      </c>
      <c r="O227" s="203">
        <f t="shared" si="93"/>
        <v>0</v>
      </c>
      <c r="P227" s="203">
        <f t="shared" si="93"/>
        <v>25422</v>
      </c>
      <c r="Q227" s="203">
        <f t="shared" si="93"/>
        <v>35141</v>
      </c>
      <c r="R227" s="203">
        <f t="shared" si="93"/>
        <v>100</v>
      </c>
      <c r="S227" s="203">
        <f t="shared" si="93"/>
        <v>15</v>
      </c>
      <c r="T227" s="203">
        <f t="shared" si="93"/>
        <v>0</v>
      </c>
      <c r="U227" s="203">
        <f t="shared" si="93"/>
        <v>60663</v>
      </c>
      <c r="V227" s="203">
        <f t="shared" si="93"/>
        <v>60678</v>
      </c>
    </row>
    <row r="228" spans="1:22" s="467" customFormat="1" ht="12" customHeight="1" x14ac:dyDescent="0.2">
      <c r="A228" s="477">
        <v>2010</v>
      </c>
      <c r="B228" s="203">
        <f t="shared" ref="B228:K228" si="94">IF(AND(B181="-",B134="-",B87="-",B40="-"),"-",SUM(B181,B134,B87,B40))</f>
        <v>1722</v>
      </c>
      <c r="C228" s="203">
        <f t="shared" si="94"/>
        <v>1926</v>
      </c>
      <c r="D228" s="203">
        <f t="shared" si="94"/>
        <v>12150</v>
      </c>
      <c r="E228" s="203">
        <f t="shared" si="94"/>
        <v>6943</v>
      </c>
      <c r="F228" s="203">
        <f t="shared" si="94"/>
        <v>9693</v>
      </c>
      <c r="G228" s="203">
        <f t="shared" si="94"/>
        <v>1664</v>
      </c>
      <c r="H228" s="203">
        <f t="shared" si="94"/>
        <v>10</v>
      </c>
      <c r="I228" s="203">
        <f t="shared" si="94"/>
        <v>200</v>
      </c>
      <c r="J228" s="203">
        <f t="shared" si="94"/>
        <v>32376</v>
      </c>
      <c r="K228" s="203">
        <f t="shared" si="94"/>
        <v>34308</v>
      </c>
      <c r="L228" s="72"/>
      <c r="M228" s="203">
        <f t="shared" ref="M228:V228" si="95">IF(AND(M181="-",M134="-",M87="-",M40="-"),"-",SUM(M181,M134,M87,M40))</f>
        <v>0</v>
      </c>
      <c r="N228" s="203">
        <f t="shared" si="95"/>
        <v>2</v>
      </c>
      <c r="O228" s="203">
        <f t="shared" si="95"/>
        <v>63</v>
      </c>
      <c r="P228" s="203">
        <f t="shared" si="95"/>
        <v>2015</v>
      </c>
      <c r="Q228" s="203">
        <f t="shared" si="95"/>
        <v>5058</v>
      </c>
      <c r="R228" s="203">
        <f t="shared" si="95"/>
        <v>4323</v>
      </c>
      <c r="S228" s="203">
        <f t="shared" si="95"/>
        <v>15</v>
      </c>
      <c r="T228" s="203">
        <f t="shared" si="95"/>
        <v>12</v>
      </c>
      <c r="U228" s="203">
        <f t="shared" si="95"/>
        <v>11461</v>
      </c>
      <c r="V228" s="203">
        <f t="shared" si="95"/>
        <v>11488</v>
      </c>
    </row>
    <row r="229" spans="1:22" s="467" customFormat="1" ht="12" customHeight="1" x14ac:dyDescent="0.2">
      <c r="A229" s="477">
        <v>2011</v>
      </c>
      <c r="B229" s="203">
        <f t="shared" ref="B229:K229" si="96">IF(AND(B182="-",B135="-",B88="-",B41="-"),"-",SUM(B182,B135,B88,B41))</f>
        <v>2883</v>
      </c>
      <c r="C229" s="203">
        <f t="shared" si="96"/>
        <v>1120</v>
      </c>
      <c r="D229" s="203">
        <f t="shared" si="96"/>
        <v>8817</v>
      </c>
      <c r="E229" s="203">
        <f t="shared" si="96"/>
        <v>14761</v>
      </c>
      <c r="F229" s="203">
        <f t="shared" si="96"/>
        <v>6708</v>
      </c>
      <c r="G229" s="203">
        <f t="shared" si="96"/>
        <v>418</v>
      </c>
      <c r="H229" s="203">
        <f t="shared" si="96"/>
        <v>0</v>
      </c>
      <c r="I229" s="203">
        <f t="shared" si="96"/>
        <v>90</v>
      </c>
      <c r="J229" s="203">
        <f t="shared" si="96"/>
        <v>31824</v>
      </c>
      <c r="K229" s="203">
        <f t="shared" si="96"/>
        <v>34797</v>
      </c>
      <c r="L229" s="72"/>
      <c r="M229" s="203">
        <f t="shared" ref="M229:V229" si="97">IF(AND(M182="-",M135="-",M88="-",M41="-"),"-",SUM(M182,M135,M88,M41))</f>
        <v>2</v>
      </c>
      <c r="N229" s="203">
        <f t="shared" si="97"/>
        <v>0</v>
      </c>
      <c r="O229" s="203">
        <f t="shared" si="97"/>
        <v>0</v>
      </c>
      <c r="P229" s="203">
        <f t="shared" si="97"/>
        <v>2062</v>
      </c>
      <c r="Q229" s="203">
        <f t="shared" si="97"/>
        <v>4791</v>
      </c>
      <c r="R229" s="203">
        <f t="shared" si="97"/>
        <v>6711</v>
      </c>
      <c r="S229" s="203">
        <f t="shared" si="97"/>
        <v>0</v>
      </c>
      <c r="T229" s="203">
        <f t="shared" si="97"/>
        <v>2</v>
      </c>
      <c r="U229" s="203">
        <f t="shared" si="97"/>
        <v>13564</v>
      </c>
      <c r="V229" s="203">
        <f t="shared" si="97"/>
        <v>13568</v>
      </c>
    </row>
    <row r="230" spans="1:22" s="467" customFormat="1" ht="12" customHeight="1" x14ac:dyDescent="0.2">
      <c r="A230" s="477">
        <v>2012</v>
      </c>
      <c r="B230" s="203">
        <f t="shared" ref="B230:K230" si="98">IF(AND(B183="-",B136="-",B89="-",B42="-"),"-",SUM(B183,B136,B89,B42))</f>
        <v>1216</v>
      </c>
      <c r="C230" s="203">
        <f t="shared" si="98"/>
        <v>4465</v>
      </c>
      <c r="D230" s="203">
        <f t="shared" si="98"/>
        <v>20696</v>
      </c>
      <c r="E230" s="203">
        <f t="shared" si="98"/>
        <v>10144</v>
      </c>
      <c r="F230" s="203">
        <f t="shared" si="98"/>
        <v>14650</v>
      </c>
      <c r="G230" s="203">
        <f t="shared" si="98"/>
        <v>4834</v>
      </c>
      <c r="H230" s="203">
        <f t="shared" si="98"/>
        <v>10</v>
      </c>
      <c r="I230" s="203">
        <f t="shared" si="98"/>
        <v>335</v>
      </c>
      <c r="J230" s="203">
        <f t="shared" si="98"/>
        <v>54789</v>
      </c>
      <c r="K230" s="203">
        <f t="shared" si="98"/>
        <v>56350</v>
      </c>
      <c r="L230" s="72"/>
      <c r="M230" s="203">
        <f t="shared" ref="M230:V230" si="99">IF(AND(M183="-",M136="-",M89="-",M42="-"),"-",SUM(M183,M136,M89,M42))</f>
        <v>0</v>
      </c>
      <c r="N230" s="203">
        <f t="shared" si="99"/>
        <v>1</v>
      </c>
      <c r="O230" s="203">
        <f t="shared" si="99"/>
        <v>101</v>
      </c>
      <c r="P230" s="203">
        <f t="shared" si="99"/>
        <v>2769</v>
      </c>
      <c r="Q230" s="203">
        <f t="shared" si="99"/>
        <v>18790</v>
      </c>
      <c r="R230" s="203">
        <f t="shared" si="99"/>
        <v>15869</v>
      </c>
      <c r="S230" s="203">
        <f t="shared" si="99"/>
        <v>0</v>
      </c>
      <c r="T230" s="203">
        <f t="shared" si="99"/>
        <v>4</v>
      </c>
      <c r="U230" s="203">
        <f t="shared" si="99"/>
        <v>37530</v>
      </c>
      <c r="V230" s="203">
        <f t="shared" si="99"/>
        <v>37534</v>
      </c>
    </row>
    <row r="231" spans="1:22" s="467" customFormat="1" ht="12" customHeight="1" x14ac:dyDescent="0.2">
      <c r="A231" s="477">
        <v>2013</v>
      </c>
      <c r="B231" s="203">
        <f t="shared" ref="B231:K231" si="100">IF(AND(B184="-",B137="-",B90="-",B43="-"),"-",SUM(B184,B137,B90,B43))</f>
        <v>1661</v>
      </c>
      <c r="C231" s="203">
        <f t="shared" si="100"/>
        <v>11929</v>
      </c>
      <c r="D231" s="203">
        <f t="shared" si="100"/>
        <v>19103</v>
      </c>
      <c r="E231" s="203">
        <f t="shared" si="100"/>
        <v>9310</v>
      </c>
      <c r="F231" s="203">
        <f t="shared" si="100"/>
        <v>7916</v>
      </c>
      <c r="G231" s="203">
        <f t="shared" si="100"/>
        <v>2902</v>
      </c>
      <c r="H231" s="203">
        <f t="shared" si="100"/>
        <v>0</v>
      </c>
      <c r="I231" s="203">
        <f t="shared" si="100"/>
        <v>721</v>
      </c>
      <c r="J231" s="203">
        <f t="shared" si="100"/>
        <v>51160</v>
      </c>
      <c r="K231" s="203">
        <f t="shared" si="100"/>
        <v>53542</v>
      </c>
      <c r="L231" s="72"/>
      <c r="M231" s="203">
        <f t="shared" ref="M231:V231" si="101">IF(AND(M184="-",M137="-",M90="-",M43="-"),"-",SUM(M184,M137,M90,M43))</f>
        <v>3</v>
      </c>
      <c r="N231" s="203">
        <f t="shared" si="101"/>
        <v>0</v>
      </c>
      <c r="O231" s="203">
        <f t="shared" si="101"/>
        <v>7</v>
      </c>
      <c r="P231" s="203">
        <f t="shared" si="101"/>
        <v>7722</v>
      </c>
      <c r="Q231" s="203">
        <f t="shared" si="101"/>
        <v>36163</v>
      </c>
      <c r="R231" s="203">
        <f t="shared" si="101"/>
        <v>4376</v>
      </c>
      <c r="S231" s="203">
        <f t="shared" si="101"/>
        <v>0</v>
      </c>
      <c r="T231" s="203">
        <f t="shared" si="101"/>
        <v>11</v>
      </c>
      <c r="U231" s="203">
        <f t="shared" si="101"/>
        <v>48268</v>
      </c>
      <c r="V231" s="203">
        <f t="shared" si="101"/>
        <v>48282</v>
      </c>
    </row>
    <row r="232" spans="1:22" s="467" customFormat="1" ht="12" customHeight="1" x14ac:dyDescent="0.2">
      <c r="A232" s="477">
        <v>2014</v>
      </c>
      <c r="B232" s="203">
        <f t="shared" ref="B232:K232" si="102">IF(AND(B185="-",B138="-",B91="-",B44="-"),"-",SUM(B185,B138,B91,B44))</f>
        <v>3316</v>
      </c>
      <c r="C232" s="203">
        <f t="shared" si="102"/>
        <v>12608</v>
      </c>
      <c r="D232" s="203">
        <f t="shared" si="102"/>
        <v>17002</v>
      </c>
      <c r="E232" s="203">
        <f t="shared" si="102"/>
        <v>20643</v>
      </c>
      <c r="F232" s="203">
        <f t="shared" si="102"/>
        <v>8793</v>
      </c>
      <c r="G232" s="203">
        <f t="shared" si="102"/>
        <v>2715</v>
      </c>
      <c r="H232" s="203">
        <f t="shared" si="102"/>
        <v>0</v>
      </c>
      <c r="I232" s="203">
        <f t="shared" si="102"/>
        <v>267</v>
      </c>
      <c r="J232" s="203">
        <f t="shared" si="102"/>
        <v>61761</v>
      </c>
      <c r="K232" s="203">
        <f t="shared" si="102"/>
        <v>65344</v>
      </c>
      <c r="L232" s="72"/>
      <c r="M232" s="203">
        <f t="shared" ref="M232:V232" si="103">IF(AND(M185="-",M138="-",M91="-",M44="-"),"-",SUM(M185,M138,M91,M44))</f>
        <v>3</v>
      </c>
      <c r="N232" s="203">
        <f t="shared" si="103"/>
        <v>0</v>
      </c>
      <c r="O232" s="203">
        <f t="shared" si="103"/>
        <v>30</v>
      </c>
      <c r="P232" s="203">
        <f t="shared" si="103"/>
        <v>10405</v>
      </c>
      <c r="Q232" s="203">
        <f t="shared" si="103"/>
        <v>39231</v>
      </c>
      <c r="R232" s="203">
        <f t="shared" si="103"/>
        <v>6369</v>
      </c>
      <c r="S232" s="203">
        <f t="shared" si="103"/>
        <v>0</v>
      </c>
      <c r="T232" s="203">
        <f t="shared" si="103"/>
        <v>0</v>
      </c>
      <c r="U232" s="203">
        <f t="shared" si="103"/>
        <v>56035</v>
      </c>
      <c r="V232" s="203">
        <f t="shared" si="103"/>
        <v>56038</v>
      </c>
    </row>
    <row r="233" spans="1:22" s="467" customFormat="1" ht="12" customHeight="1" x14ac:dyDescent="0.2">
      <c r="A233" s="477">
        <v>2015</v>
      </c>
      <c r="B233" s="203">
        <f t="shared" ref="B233:K233" si="104">IF(AND(B186="-",B139="-",B92="-",B45="-"),"-",SUM(B186,B139,B92,B45))</f>
        <v>3249</v>
      </c>
      <c r="C233" s="203">
        <f t="shared" si="104"/>
        <v>7315</v>
      </c>
      <c r="D233" s="203">
        <f t="shared" si="104"/>
        <v>23697</v>
      </c>
      <c r="E233" s="203">
        <f t="shared" si="104"/>
        <v>23110</v>
      </c>
      <c r="F233" s="203">
        <f t="shared" si="104"/>
        <v>4031</v>
      </c>
      <c r="G233" s="203">
        <f t="shared" si="104"/>
        <v>786</v>
      </c>
      <c r="H233" s="203">
        <f t="shared" si="104"/>
        <v>0</v>
      </c>
      <c r="I233" s="203">
        <f t="shared" si="104"/>
        <v>17</v>
      </c>
      <c r="J233" s="203">
        <f t="shared" si="104"/>
        <v>58939</v>
      </c>
      <c r="K233" s="203">
        <f t="shared" si="104"/>
        <v>62205</v>
      </c>
      <c r="L233" s="72"/>
      <c r="M233" s="203">
        <f t="shared" ref="M233:V233" si="105">IF(AND(M186="-",M139="-",M92="-",M45="-"),"-",SUM(M186,M139,M92,M45))</f>
        <v>0</v>
      </c>
      <c r="N233" s="203">
        <f t="shared" si="105"/>
        <v>0</v>
      </c>
      <c r="O233" s="203">
        <f t="shared" si="105"/>
        <v>3</v>
      </c>
      <c r="P233" s="203">
        <f t="shared" si="105"/>
        <v>1994</v>
      </c>
      <c r="Q233" s="203">
        <f t="shared" si="105"/>
        <v>1307</v>
      </c>
      <c r="R233" s="203">
        <f t="shared" si="105"/>
        <v>706</v>
      </c>
      <c r="S233" s="203">
        <f t="shared" si="105"/>
        <v>0</v>
      </c>
      <c r="T233" s="203">
        <f t="shared" si="105"/>
        <v>2</v>
      </c>
      <c r="U233" s="203">
        <f t="shared" si="105"/>
        <v>4010</v>
      </c>
      <c r="V233" s="203">
        <f t="shared" si="105"/>
        <v>4012</v>
      </c>
    </row>
    <row r="234" spans="1:22" s="467" customFormat="1" ht="12" customHeight="1" x14ac:dyDescent="0.2">
      <c r="A234" s="477">
        <v>2016</v>
      </c>
      <c r="B234" s="203">
        <f t="shared" ref="B234:K234" si="106">IF(AND(B187="-",B140="-",B93="-",B46="-"),"-",SUM(B187,B140,B93,B46))</f>
        <v>244</v>
      </c>
      <c r="C234" s="203">
        <f t="shared" si="106"/>
        <v>2905</v>
      </c>
      <c r="D234" s="203">
        <f t="shared" si="106"/>
        <v>13752</v>
      </c>
      <c r="E234" s="203">
        <f t="shared" si="106"/>
        <v>5129</v>
      </c>
      <c r="F234" s="203">
        <f t="shared" si="106"/>
        <v>1310</v>
      </c>
      <c r="G234" s="203">
        <f t="shared" si="106"/>
        <v>5</v>
      </c>
      <c r="H234" s="203">
        <f t="shared" si="106"/>
        <v>0</v>
      </c>
      <c r="I234" s="203">
        <f t="shared" si="106"/>
        <v>183</v>
      </c>
      <c r="J234" s="203">
        <f t="shared" si="106"/>
        <v>23101</v>
      </c>
      <c r="K234" s="203">
        <f t="shared" si="106"/>
        <v>23528</v>
      </c>
      <c r="L234" s="72"/>
      <c r="M234" s="203">
        <f t="shared" ref="M234:V234" si="107">IF(AND(M187="-",M140="-",M93="-",M46="-"),"-",SUM(M187,M140,M93,M46))</f>
        <v>0</v>
      </c>
      <c r="N234" s="203">
        <f t="shared" si="107"/>
        <v>0</v>
      </c>
      <c r="O234" s="203">
        <f t="shared" si="107"/>
        <v>0</v>
      </c>
      <c r="P234" s="203">
        <f t="shared" si="107"/>
        <v>29</v>
      </c>
      <c r="Q234" s="203">
        <f t="shared" si="107"/>
        <v>15</v>
      </c>
      <c r="R234" s="203">
        <f t="shared" si="107"/>
        <v>0</v>
      </c>
      <c r="S234" s="203">
        <f t="shared" si="107"/>
        <v>1</v>
      </c>
      <c r="T234" s="203">
        <f t="shared" si="107"/>
        <v>1</v>
      </c>
      <c r="U234" s="203">
        <f t="shared" si="107"/>
        <v>44</v>
      </c>
      <c r="V234" s="203">
        <f t="shared" si="107"/>
        <v>46</v>
      </c>
    </row>
    <row r="235" spans="1:22" s="467" customFormat="1" ht="12" customHeight="1" x14ac:dyDescent="0.2">
      <c r="A235" s="477">
        <v>2017</v>
      </c>
      <c r="B235" s="203">
        <f t="shared" ref="B235:K235" si="108">IF(AND(B188="-",B141="-",B94="-",B47="-"),"-",SUM(B188,B141,B94,B47))</f>
        <v>1343</v>
      </c>
      <c r="C235" s="203">
        <f t="shared" si="108"/>
        <v>1253</v>
      </c>
      <c r="D235" s="203">
        <f t="shared" si="108"/>
        <v>2039</v>
      </c>
      <c r="E235" s="203">
        <f t="shared" si="108"/>
        <v>15772</v>
      </c>
      <c r="F235" s="203">
        <f t="shared" si="108"/>
        <v>4605</v>
      </c>
      <c r="G235" s="203">
        <f t="shared" si="108"/>
        <v>745</v>
      </c>
      <c r="H235" s="203">
        <f t="shared" si="108"/>
        <v>0</v>
      </c>
      <c r="I235" s="203">
        <f t="shared" si="108"/>
        <v>11</v>
      </c>
      <c r="J235" s="203">
        <f t="shared" si="108"/>
        <v>24414</v>
      </c>
      <c r="K235" s="203">
        <f t="shared" si="108"/>
        <v>25768</v>
      </c>
      <c r="L235" s="72"/>
      <c r="M235" s="203">
        <f t="shared" ref="M235:V235" si="109">IF(AND(M188="-",M141="-",M94="-",M47="-"),"-",SUM(M188,M141,M94,M47))</f>
        <v>0</v>
      </c>
      <c r="N235" s="203">
        <f t="shared" si="109"/>
        <v>0</v>
      </c>
      <c r="O235" s="203">
        <f t="shared" si="109"/>
        <v>0</v>
      </c>
      <c r="P235" s="203">
        <f t="shared" si="109"/>
        <v>1003</v>
      </c>
      <c r="Q235" s="203">
        <f t="shared" si="109"/>
        <v>7150</v>
      </c>
      <c r="R235" s="203">
        <f t="shared" si="109"/>
        <v>5197</v>
      </c>
      <c r="S235" s="203">
        <f t="shared" si="109"/>
        <v>0</v>
      </c>
      <c r="T235" s="203">
        <f t="shared" si="109"/>
        <v>0</v>
      </c>
      <c r="U235" s="203">
        <f t="shared" si="109"/>
        <v>13350</v>
      </c>
      <c r="V235" s="203">
        <f t="shared" si="109"/>
        <v>13350</v>
      </c>
    </row>
    <row r="236" spans="1:22" s="467" customFormat="1" ht="12" customHeight="1" x14ac:dyDescent="0.2">
      <c r="A236" s="477">
        <v>2018</v>
      </c>
      <c r="B236" s="203">
        <f t="shared" ref="B236:K236" si="110">IF(AND(B189="-",B142="-",B95="-",B48="-"),"-",SUM(B189,B142,B95,B48))</f>
        <v>798</v>
      </c>
      <c r="C236" s="203">
        <f t="shared" si="110"/>
        <v>1319</v>
      </c>
      <c r="D236" s="203">
        <f t="shared" si="110"/>
        <v>11756</v>
      </c>
      <c r="E236" s="203">
        <f t="shared" si="110"/>
        <v>8486</v>
      </c>
      <c r="F236" s="203">
        <f t="shared" si="110"/>
        <v>1883</v>
      </c>
      <c r="G236" s="203">
        <f t="shared" si="110"/>
        <v>459</v>
      </c>
      <c r="H236" s="203">
        <f t="shared" si="110"/>
        <v>0</v>
      </c>
      <c r="I236" s="203">
        <f t="shared" si="110"/>
        <v>129</v>
      </c>
      <c r="J236" s="203">
        <f t="shared" si="110"/>
        <v>23903</v>
      </c>
      <c r="K236" s="203">
        <f t="shared" si="110"/>
        <v>24830</v>
      </c>
      <c r="L236" s="72"/>
      <c r="M236" s="203">
        <f t="shared" ref="M236:V236" si="111">IF(AND(M189="-",M142="-",M95="-",M48="-"),"-",SUM(M189,M142,M95,M48))</f>
        <v>0</v>
      </c>
      <c r="N236" s="203">
        <f t="shared" si="111"/>
        <v>0</v>
      </c>
      <c r="O236" s="203">
        <f t="shared" si="111"/>
        <v>15</v>
      </c>
      <c r="P236" s="203">
        <f t="shared" si="111"/>
        <v>1751</v>
      </c>
      <c r="Q236" s="203">
        <f t="shared" si="111"/>
        <v>5512</v>
      </c>
      <c r="R236" s="203">
        <f t="shared" si="111"/>
        <v>4524</v>
      </c>
      <c r="S236" s="203">
        <f t="shared" si="111"/>
        <v>0</v>
      </c>
      <c r="T236" s="203">
        <f t="shared" si="111"/>
        <v>0</v>
      </c>
      <c r="U236" s="203">
        <f t="shared" si="111"/>
        <v>11802</v>
      </c>
      <c r="V236" s="203">
        <f t="shared" si="111"/>
        <v>11802</v>
      </c>
    </row>
    <row r="237" spans="1:22" s="487" customFormat="1" ht="12" customHeight="1" x14ac:dyDescent="0.2">
      <c r="A237" s="491">
        <v>2019</v>
      </c>
      <c r="B237" s="203">
        <f t="shared" ref="B237:K238" si="112">IF(AND(B190="-",B143="-",B96="-",B49="-"),"-",SUM(B190,B143,B96,B49))</f>
        <v>1001</v>
      </c>
      <c r="C237" s="203">
        <f t="shared" si="112"/>
        <v>809</v>
      </c>
      <c r="D237" s="203">
        <f t="shared" si="112"/>
        <v>2110</v>
      </c>
      <c r="E237" s="203">
        <f t="shared" si="112"/>
        <v>12314</v>
      </c>
      <c r="F237" s="203">
        <f t="shared" si="112"/>
        <v>2789</v>
      </c>
      <c r="G237" s="203">
        <f t="shared" si="112"/>
        <v>299</v>
      </c>
      <c r="H237" s="203">
        <f t="shared" si="112"/>
        <v>0</v>
      </c>
      <c r="I237" s="203">
        <f>IF(AND(I190="-",I143="-",I96="-",I49="-"),"-",SUM(I190,I143,I96,I49))</f>
        <v>70</v>
      </c>
      <c r="J237" s="203">
        <f t="shared" si="112"/>
        <v>18321</v>
      </c>
      <c r="K237" s="203">
        <f t="shared" si="112"/>
        <v>19392</v>
      </c>
      <c r="L237" s="72"/>
      <c r="M237" s="203">
        <f t="shared" ref="M237:V238" si="113">IF(AND(M190="-",M143="-",M96="-",M49="-"),"-",SUM(M190,M143,M96,M49))</f>
        <v>0</v>
      </c>
      <c r="N237" s="203">
        <f t="shared" si="113"/>
        <v>0</v>
      </c>
      <c r="O237" s="203">
        <f t="shared" si="113"/>
        <v>0</v>
      </c>
      <c r="P237" s="203">
        <f t="shared" si="113"/>
        <v>14414</v>
      </c>
      <c r="Q237" s="203">
        <f t="shared" si="113"/>
        <v>33818</v>
      </c>
      <c r="R237" s="203">
        <f t="shared" si="113"/>
        <v>7273</v>
      </c>
      <c r="S237" s="203">
        <f t="shared" si="113"/>
        <v>0</v>
      </c>
      <c r="T237" s="203">
        <f t="shared" si="113"/>
        <v>0</v>
      </c>
      <c r="U237" s="203">
        <f>IF(AND(U190="-",U143="-",U96="-",U49="-"),"-",SUM(U190,U143,U96,U49))</f>
        <v>55505</v>
      </c>
      <c r="V237" s="203">
        <f t="shared" si="113"/>
        <v>55505</v>
      </c>
    </row>
    <row r="238" spans="1:22" ht="12" customHeight="1" x14ac:dyDescent="0.2">
      <c r="A238" s="491" t="s">
        <v>392</v>
      </c>
      <c r="B238" s="20">
        <f t="shared" si="112"/>
        <v>661</v>
      </c>
      <c r="C238" s="20">
        <f t="shared" si="112"/>
        <v>8</v>
      </c>
      <c r="D238" s="20">
        <f t="shared" si="112"/>
        <v>23</v>
      </c>
      <c r="E238" s="20">
        <f t="shared" si="112"/>
        <v>622</v>
      </c>
      <c r="F238" s="20">
        <f t="shared" si="112"/>
        <v>1718</v>
      </c>
      <c r="G238" s="20">
        <f t="shared" si="112"/>
        <v>66</v>
      </c>
      <c r="H238" s="20">
        <f t="shared" si="112"/>
        <v>0</v>
      </c>
      <c r="I238" s="20">
        <f>IF(AND(I191="-",I144="-",I97="-",I50="-"),"-",SUM(I191,I144,I97,I50))</f>
        <v>0</v>
      </c>
      <c r="J238" s="20">
        <f t="shared" si="112"/>
        <v>2437</v>
      </c>
      <c r="K238" s="20">
        <f t="shared" si="112"/>
        <v>3098</v>
      </c>
      <c r="L238" s="131"/>
      <c r="M238" s="20">
        <f t="shared" si="113"/>
        <v>0</v>
      </c>
      <c r="N238" s="20">
        <f t="shared" si="113"/>
        <v>0</v>
      </c>
      <c r="O238" s="20">
        <f t="shared" si="113"/>
        <v>0</v>
      </c>
      <c r="P238" s="20">
        <f t="shared" si="113"/>
        <v>587</v>
      </c>
      <c r="Q238" s="20">
        <f t="shared" si="113"/>
        <v>10864</v>
      </c>
      <c r="R238" s="20">
        <f t="shared" si="113"/>
        <v>2940</v>
      </c>
      <c r="S238" s="20">
        <f t="shared" si="113"/>
        <v>0</v>
      </c>
      <c r="T238" s="20">
        <f t="shared" si="113"/>
        <v>0</v>
      </c>
      <c r="U238" s="20">
        <f>IF(AND(U191="-",U144="-",U97="-",U50="-"),"-",SUM(U191,U144,U97,U50))</f>
        <v>14391</v>
      </c>
      <c r="V238" s="20">
        <f t="shared" si="113"/>
        <v>14391</v>
      </c>
    </row>
    <row r="239" spans="1:22" ht="12" customHeight="1" x14ac:dyDescent="0.2">
      <c r="A239" s="468" t="s">
        <v>75</v>
      </c>
      <c r="B239" s="468"/>
      <c r="C239" s="468"/>
      <c r="D239" s="468"/>
      <c r="E239" s="468"/>
      <c r="F239" s="468"/>
      <c r="G239" s="468"/>
      <c r="H239" s="468"/>
      <c r="I239" s="468"/>
      <c r="J239" s="468"/>
      <c r="K239" s="468"/>
      <c r="L239" s="468"/>
      <c r="M239" s="468"/>
      <c r="N239" s="468"/>
      <c r="O239" s="468"/>
      <c r="P239" s="468"/>
      <c r="Q239" s="468"/>
      <c r="R239" s="468"/>
      <c r="S239" s="468"/>
      <c r="T239" s="468"/>
      <c r="U239" s="468"/>
      <c r="V239" s="468"/>
    </row>
    <row r="240" spans="1:22" ht="12" customHeight="1" x14ac:dyDescent="0.2">
      <c r="A240" s="473" t="s">
        <v>16</v>
      </c>
    </row>
    <row r="241" spans="1:22" ht="12" customHeight="1" x14ac:dyDescent="0.2"/>
    <row r="242" spans="1:22" ht="12" customHeight="1" x14ac:dyDescent="0.2"/>
    <row r="243" spans="1:22" ht="12" customHeight="1" x14ac:dyDescent="0.2"/>
    <row r="244" spans="1:22" ht="12" customHeight="1" x14ac:dyDescent="0.2">
      <c r="A244" s="123"/>
      <c r="B244" s="31"/>
    </row>
    <row r="245" spans="1:22" s="310" customFormat="1" ht="12" customHeight="1" x14ac:dyDescent="0.2">
      <c r="A245" s="240"/>
      <c r="B245" s="242"/>
      <c r="C245" s="242"/>
      <c r="D245" s="242"/>
      <c r="E245" s="242"/>
      <c r="F245" s="242"/>
      <c r="G245" s="242"/>
      <c r="H245" s="242"/>
      <c r="I245" s="242"/>
      <c r="J245" s="242"/>
      <c r="K245" s="242"/>
      <c r="L245" s="242"/>
      <c r="M245" s="242"/>
      <c r="N245" s="242"/>
      <c r="O245" s="242"/>
      <c r="P245" s="242"/>
      <c r="Q245" s="242"/>
      <c r="R245" s="242"/>
      <c r="S245" s="242"/>
      <c r="T245" s="242"/>
      <c r="U245" s="242"/>
      <c r="V245" s="250"/>
    </row>
    <row r="246" spans="1:22" ht="12" customHeight="1" x14ac:dyDescent="0.2"/>
    <row r="247" spans="1:22" ht="12" customHeight="1" x14ac:dyDescent="0.2"/>
    <row r="248" spans="1:22" ht="12" customHeight="1" x14ac:dyDescent="0.2"/>
    <row r="249" spans="1:22" ht="12" customHeight="1" x14ac:dyDescent="0.2"/>
    <row r="250" spans="1:22" ht="12" customHeight="1" x14ac:dyDescent="0.2"/>
    <row r="251" spans="1:22" ht="12" customHeight="1" x14ac:dyDescent="0.2"/>
    <row r="252" spans="1:22" ht="12" customHeight="1" x14ac:dyDescent="0.2"/>
    <row r="253" spans="1:22" ht="12" customHeight="1" x14ac:dyDescent="0.2"/>
    <row r="254" spans="1:22" ht="12" customHeight="1" x14ac:dyDescent="0.2"/>
    <row r="255" spans="1:22" ht="12" customHeight="1" x14ac:dyDescent="0.2"/>
    <row r="256" spans="1:22" ht="12" customHeight="1" x14ac:dyDescent="0.2"/>
    <row r="257" spans="1:22" ht="11.25" customHeight="1" x14ac:dyDescent="0.2">
      <c r="A257" s="523" t="s">
        <v>140</v>
      </c>
      <c r="B257" s="523"/>
      <c r="C257" s="523"/>
      <c r="D257" s="523"/>
      <c r="E257" s="523"/>
      <c r="F257" s="523"/>
      <c r="G257" s="523"/>
      <c r="H257" s="523"/>
      <c r="I257" s="523"/>
      <c r="J257" s="523"/>
      <c r="K257" s="523"/>
      <c r="L257" s="523"/>
      <c r="M257" s="523"/>
      <c r="N257" s="523"/>
      <c r="O257" s="523"/>
      <c r="P257" s="523"/>
      <c r="Q257" s="523"/>
      <c r="R257" s="523"/>
      <c r="S257" s="523"/>
      <c r="T257" s="523"/>
      <c r="U257" s="523"/>
      <c r="V257" s="523"/>
    </row>
    <row r="258" spans="1:22" ht="11.25" customHeight="1" x14ac:dyDescent="0.2">
      <c r="A258" s="585" t="s">
        <v>33</v>
      </c>
      <c r="B258" s="453"/>
      <c r="C258" s="453"/>
      <c r="D258" s="453"/>
      <c r="E258" s="453"/>
      <c r="F258" s="453"/>
      <c r="G258" s="453"/>
      <c r="H258" s="453"/>
      <c r="I258" s="453"/>
      <c r="J258" s="587" t="s">
        <v>61</v>
      </c>
      <c r="K258" s="587"/>
      <c r="L258" s="453"/>
      <c r="M258" s="453"/>
      <c r="N258" s="453"/>
      <c r="O258" s="453"/>
      <c r="P258" s="453"/>
      <c r="Q258" s="453"/>
      <c r="R258" s="453"/>
      <c r="S258" s="453"/>
      <c r="T258" s="453"/>
      <c r="U258" s="587" t="s">
        <v>61</v>
      </c>
      <c r="V258" s="587"/>
    </row>
    <row r="259" spans="1:22" ht="11.25" customHeight="1" x14ac:dyDescent="0.2">
      <c r="A259" s="586"/>
      <c r="B259" s="20" t="s">
        <v>71</v>
      </c>
      <c r="C259" s="20" t="s">
        <v>35</v>
      </c>
      <c r="D259" s="20" t="s">
        <v>36</v>
      </c>
      <c r="E259" s="20" t="s">
        <v>37</v>
      </c>
      <c r="F259" s="20" t="s">
        <v>38</v>
      </c>
      <c r="G259" s="20" t="s">
        <v>39</v>
      </c>
      <c r="H259" s="20" t="s">
        <v>294</v>
      </c>
      <c r="I259" s="47" t="s">
        <v>73</v>
      </c>
      <c r="J259" s="47" t="s">
        <v>74</v>
      </c>
      <c r="K259" s="20" t="s">
        <v>52</v>
      </c>
      <c r="L259" s="20"/>
      <c r="M259" s="20" t="s">
        <v>71</v>
      </c>
      <c r="N259" s="20" t="s">
        <v>35</v>
      </c>
      <c r="O259" s="20" t="s">
        <v>36</v>
      </c>
      <c r="P259" s="20" t="s">
        <v>37</v>
      </c>
      <c r="Q259" s="20" t="s">
        <v>38</v>
      </c>
      <c r="R259" s="20" t="s">
        <v>39</v>
      </c>
      <c r="S259" s="20" t="s">
        <v>294</v>
      </c>
      <c r="T259" s="47" t="s">
        <v>73</v>
      </c>
      <c r="U259" s="47" t="s">
        <v>74</v>
      </c>
      <c r="V259" s="20" t="s">
        <v>52</v>
      </c>
    </row>
    <row r="260" spans="1:22" ht="11.25" customHeight="1" x14ac:dyDescent="0.2">
      <c r="A260" s="159"/>
      <c r="B260" s="583" t="s">
        <v>67</v>
      </c>
      <c r="C260" s="583"/>
      <c r="D260" s="583"/>
      <c r="E260" s="583"/>
      <c r="F260" s="583"/>
      <c r="G260" s="583"/>
      <c r="H260" s="583"/>
      <c r="I260" s="583"/>
      <c r="J260" s="583"/>
      <c r="K260" s="583"/>
      <c r="L260" s="197"/>
      <c r="M260" s="583" t="s">
        <v>68</v>
      </c>
      <c r="N260" s="583"/>
      <c r="O260" s="583"/>
      <c r="P260" s="583"/>
      <c r="Q260" s="583"/>
      <c r="R260" s="583"/>
      <c r="S260" s="583"/>
      <c r="T260" s="583"/>
      <c r="U260" s="583"/>
      <c r="V260" s="583"/>
    </row>
    <row r="261" spans="1:22" ht="11.25" customHeight="1" x14ac:dyDescent="0.2">
      <c r="A261" s="159" t="s">
        <v>72</v>
      </c>
      <c r="B261" s="197"/>
      <c r="C261" s="197"/>
      <c r="D261" s="197"/>
      <c r="E261" s="197"/>
      <c r="F261" s="197"/>
      <c r="G261" s="197"/>
      <c r="H261" s="197"/>
      <c r="I261" s="197"/>
      <c r="J261" s="197"/>
      <c r="K261" s="197"/>
      <c r="L261" s="197"/>
      <c r="M261" s="197"/>
      <c r="N261" s="197"/>
      <c r="O261" s="197"/>
      <c r="P261" s="197"/>
      <c r="Q261" s="197"/>
      <c r="R261" s="197"/>
      <c r="S261" s="197"/>
      <c r="T261" s="197"/>
      <c r="U261" s="197"/>
      <c r="V261" s="479"/>
    </row>
    <row r="262" spans="1:22" ht="11.25" customHeight="1" x14ac:dyDescent="0.2">
      <c r="A262" s="477" t="s">
        <v>30</v>
      </c>
      <c r="B262" s="197">
        <f t="shared" ref="B262:K262" si="114">AVERAGE(B11:B15)</f>
        <v>13108.6</v>
      </c>
      <c r="C262" s="203">
        <f t="shared" si="114"/>
        <v>1066</v>
      </c>
      <c r="D262" s="203">
        <f t="shared" si="114"/>
        <v>247.8</v>
      </c>
      <c r="E262" s="203">
        <f t="shared" si="114"/>
        <v>93.8</v>
      </c>
      <c r="F262" s="203">
        <f t="shared" si="114"/>
        <v>49</v>
      </c>
      <c r="G262" s="203">
        <f t="shared" si="114"/>
        <v>28.6</v>
      </c>
      <c r="H262" s="203">
        <f t="shared" si="114"/>
        <v>144.80000000000001</v>
      </c>
      <c r="I262" s="197">
        <f t="shared" si="114"/>
        <v>823</v>
      </c>
      <c r="J262" s="197">
        <f t="shared" si="114"/>
        <v>1485.2</v>
      </c>
      <c r="K262" s="203">
        <f t="shared" si="114"/>
        <v>15561.6</v>
      </c>
      <c r="L262" s="197"/>
      <c r="M262" s="197">
        <f t="shared" ref="M262:V262" si="115">AVERAGE(M11:M15)</f>
        <v>41.6</v>
      </c>
      <c r="N262" s="203">
        <f t="shared" si="115"/>
        <v>244.6</v>
      </c>
      <c r="O262" s="203">
        <f t="shared" si="115"/>
        <v>184</v>
      </c>
      <c r="P262" s="203">
        <f t="shared" si="115"/>
        <v>825.4</v>
      </c>
      <c r="Q262" s="203">
        <f t="shared" si="115"/>
        <v>1014.6</v>
      </c>
      <c r="R262" s="203">
        <f t="shared" si="115"/>
        <v>207.6</v>
      </c>
      <c r="S262" s="203">
        <f t="shared" si="115"/>
        <v>35.799999999999997</v>
      </c>
      <c r="T262" s="197">
        <f t="shared" si="115"/>
        <v>7</v>
      </c>
      <c r="U262" s="197">
        <f t="shared" si="115"/>
        <v>2476.1999999999998</v>
      </c>
      <c r="V262" s="203">
        <f t="shared" si="115"/>
        <v>2560.6</v>
      </c>
    </row>
    <row r="263" spans="1:22" ht="11.25" customHeight="1" x14ac:dyDescent="0.2">
      <c r="A263" s="477" t="s">
        <v>87</v>
      </c>
      <c r="B263" s="197">
        <f t="shared" ref="B263:K263" si="116">AVERAGE(B16:B20)</f>
        <v>6008.8</v>
      </c>
      <c r="C263" s="203">
        <f t="shared" si="116"/>
        <v>2540</v>
      </c>
      <c r="D263" s="203">
        <f t="shared" si="116"/>
        <v>1745.8</v>
      </c>
      <c r="E263" s="203">
        <f t="shared" si="116"/>
        <v>284.2</v>
      </c>
      <c r="F263" s="203">
        <f t="shared" si="116"/>
        <v>323</v>
      </c>
      <c r="G263" s="203">
        <f t="shared" si="116"/>
        <v>63.4</v>
      </c>
      <c r="H263" s="203">
        <f t="shared" si="116"/>
        <v>12</v>
      </c>
      <c r="I263" s="197">
        <f t="shared" si="116"/>
        <v>2677</v>
      </c>
      <c r="J263" s="197">
        <f t="shared" si="116"/>
        <v>4956.3999999999996</v>
      </c>
      <c r="K263" s="203">
        <f t="shared" si="116"/>
        <v>13654.2</v>
      </c>
      <c r="L263" s="197"/>
      <c r="M263" s="197">
        <f t="shared" ref="M263:V263" si="117">AVERAGE(M16:M20)</f>
        <v>8.6</v>
      </c>
      <c r="N263" s="203">
        <f t="shared" si="117"/>
        <v>0.2</v>
      </c>
      <c r="O263" s="203">
        <f t="shared" si="117"/>
        <v>64.599999999999994</v>
      </c>
      <c r="P263" s="203">
        <f t="shared" si="117"/>
        <v>2150</v>
      </c>
      <c r="Q263" s="203">
        <f t="shared" si="117"/>
        <v>7766.4</v>
      </c>
      <c r="R263" s="203">
        <f t="shared" si="117"/>
        <v>812.6</v>
      </c>
      <c r="S263" s="203">
        <f t="shared" si="117"/>
        <v>6.8</v>
      </c>
      <c r="T263" s="197">
        <f t="shared" si="117"/>
        <v>12.6</v>
      </c>
      <c r="U263" s="197">
        <f t="shared" si="117"/>
        <v>10793.8</v>
      </c>
      <c r="V263" s="203">
        <f t="shared" si="117"/>
        <v>10821.8</v>
      </c>
    </row>
    <row r="264" spans="1:22" ht="11.25" customHeight="1" x14ac:dyDescent="0.2">
      <c r="A264" s="477" t="s">
        <v>14</v>
      </c>
      <c r="B264" s="197">
        <f>AVERAGE(B21:B25)</f>
        <v>3548.8</v>
      </c>
      <c r="C264" s="203">
        <f t="shared" ref="C264:K264" si="118">AVERAGE(C21:C25)</f>
        <v>467.4</v>
      </c>
      <c r="D264" s="203">
        <f t="shared" si="118"/>
        <v>865.2</v>
      </c>
      <c r="E264" s="203">
        <f t="shared" si="118"/>
        <v>60</v>
      </c>
      <c r="F264" s="203">
        <f t="shared" si="118"/>
        <v>281.8</v>
      </c>
      <c r="G264" s="203">
        <f t="shared" si="118"/>
        <v>2.4</v>
      </c>
      <c r="H264" s="203">
        <f t="shared" si="118"/>
        <v>147</v>
      </c>
      <c r="I264" s="197">
        <f t="shared" si="118"/>
        <v>1067.8</v>
      </c>
      <c r="J264" s="197">
        <f t="shared" si="118"/>
        <v>1676.8</v>
      </c>
      <c r="K264" s="203">
        <f t="shared" si="118"/>
        <v>6322.8</v>
      </c>
      <c r="L264" s="197"/>
      <c r="M264" s="197">
        <f t="shared" ref="M264:V264" si="119">AVERAGE(M21:M25)</f>
        <v>1.8</v>
      </c>
      <c r="N264" s="203">
        <f t="shared" si="119"/>
        <v>0</v>
      </c>
      <c r="O264" s="203">
        <f t="shared" si="119"/>
        <v>0</v>
      </c>
      <c r="P264" s="203">
        <f t="shared" si="119"/>
        <v>554.20000000000005</v>
      </c>
      <c r="Q264" s="203">
        <f t="shared" si="119"/>
        <v>4036</v>
      </c>
      <c r="R264" s="203">
        <f t="shared" si="119"/>
        <v>30</v>
      </c>
      <c r="S264" s="203">
        <f t="shared" si="119"/>
        <v>256.5</v>
      </c>
      <c r="T264" s="197">
        <f t="shared" si="119"/>
        <v>6.6</v>
      </c>
      <c r="U264" s="197">
        <f t="shared" si="119"/>
        <v>4620.2</v>
      </c>
      <c r="V264" s="203">
        <f t="shared" si="119"/>
        <v>4731.2</v>
      </c>
    </row>
    <row r="265" spans="1:22" ht="11.25" customHeight="1" x14ac:dyDescent="0.2">
      <c r="A265" s="477" t="s">
        <v>207</v>
      </c>
      <c r="B265" s="197">
        <f>AVERAGE(B26:B30)</f>
        <v>693.8</v>
      </c>
      <c r="C265" s="203">
        <f t="shared" ref="C265:K265" si="120">AVERAGE(C26:C30)</f>
        <v>371.4</v>
      </c>
      <c r="D265" s="203">
        <f t="shared" si="120"/>
        <v>459.4</v>
      </c>
      <c r="E265" s="203">
        <f t="shared" si="120"/>
        <v>25.4</v>
      </c>
      <c r="F265" s="203">
        <f t="shared" si="120"/>
        <v>113</v>
      </c>
      <c r="G265" s="203">
        <f t="shared" si="120"/>
        <v>30.6</v>
      </c>
      <c r="H265" s="203" t="s">
        <v>29</v>
      </c>
      <c r="I265" s="197">
        <f t="shared" si="120"/>
        <v>32.4</v>
      </c>
      <c r="J265" s="197">
        <f t="shared" si="120"/>
        <v>999.8</v>
      </c>
      <c r="K265" s="203">
        <f t="shared" si="120"/>
        <v>1726</v>
      </c>
      <c r="L265" s="197"/>
      <c r="M265" s="197">
        <f t="shared" ref="M265:V265" si="121">AVERAGE(M26:M30)</f>
        <v>0</v>
      </c>
      <c r="N265" s="203">
        <f t="shared" si="121"/>
        <v>0</v>
      </c>
      <c r="O265" s="203">
        <f t="shared" si="121"/>
        <v>0</v>
      </c>
      <c r="P265" s="203">
        <f t="shared" si="121"/>
        <v>0</v>
      </c>
      <c r="Q265" s="203">
        <f t="shared" si="121"/>
        <v>1221</v>
      </c>
      <c r="R265" s="203">
        <f t="shared" si="121"/>
        <v>132</v>
      </c>
      <c r="S265" s="203" t="s">
        <v>29</v>
      </c>
      <c r="T265" s="197">
        <f t="shared" si="121"/>
        <v>0</v>
      </c>
      <c r="U265" s="197">
        <f t="shared" si="121"/>
        <v>1353</v>
      </c>
      <c r="V265" s="203">
        <f t="shared" si="121"/>
        <v>1353</v>
      </c>
    </row>
    <row r="266" spans="1:22" ht="11.25" customHeight="1" x14ac:dyDescent="0.2">
      <c r="A266" s="477" t="s">
        <v>238</v>
      </c>
      <c r="B266" s="197">
        <f t="shared" ref="B266:G266" si="122">AVERAGE(B31:B35)</f>
        <v>894.2</v>
      </c>
      <c r="C266" s="203">
        <f t="shared" si="122"/>
        <v>387.6</v>
      </c>
      <c r="D266" s="203">
        <f t="shared" si="122"/>
        <v>2299</v>
      </c>
      <c r="E266" s="203">
        <f t="shared" si="122"/>
        <v>521.79999999999995</v>
      </c>
      <c r="F266" s="203">
        <f t="shared" si="122"/>
        <v>485</v>
      </c>
      <c r="G266" s="203">
        <f t="shared" si="122"/>
        <v>358.4</v>
      </c>
      <c r="H266" s="203" t="str">
        <f>H31</f>
        <v>-</v>
      </c>
      <c r="I266" s="197">
        <f t="shared" ref="I266:R266" si="123">AVERAGE(I31:I35)</f>
        <v>3764.8</v>
      </c>
      <c r="J266" s="197">
        <f t="shared" si="123"/>
        <v>4051.8</v>
      </c>
      <c r="K266" s="203">
        <f t="shared" si="123"/>
        <v>8710.7999999999993</v>
      </c>
      <c r="L266" s="203" t="e">
        <f t="shared" si="123"/>
        <v>#DIV/0!</v>
      </c>
      <c r="M266" s="197">
        <f t="shared" si="123"/>
        <v>0.6</v>
      </c>
      <c r="N266" s="203">
        <f t="shared" si="123"/>
        <v>0</v>
      </c>
      <c r="O266" s="203">
        <f t="shared" si="123"/>
        <v>0.2</v>
      </c>
      <c r="P266" s="203">
        <f t="shared" si="123"/>
        <v>1309</v>
      </c>
      <c r="Q266" s="203">
        <f t="shared" si="123"/>
        <v>3196.8</v>
      </c>
      <c r="R266" s="203">
        <f t="shared" si="123"/>
        <v>545</v>
      </c>
      <c r="S266" s="203" t="str">
        <f>S31</f>
        <v>-</v>
      </c>
      <c r="T266" s="197">
        <f>AVERAGE(T31:T35)</f>
        <v>30</v>
      </c>
      <c r="U266" s="197">
        <f>AVERAGE(U31:U35)</f>
        <v>5051</v>
      </c>
      <c r="V266" s="203">
        <f>AVERAGE(V31:V35)</f>
        <v>5081.6000000000004</v>
      </c>
    </row>
    <row r="267" spans="1:22" ht="11.25" customHeight="1" x14ac:dyDescent="0.2">
      <c r="A267" s="477">
        <v>2006</v>
      </c>
      <c r="B267" s="197">
        <f t="shared" ref="B267:K267" si="124">B36</f>
        <v>157</v>
      </c>
      <c r="C267" s="203">
        <f t="shared" si="124"/>
        <v>154</v>
      </c>
      <c r="D267" s="203">
        <f t="shared" si="124"/>
        <v>2335</v>
      </c>
      <c r="E267" s="203">
        <f t="shared" si="124"/>
        <v>50</v>
      </c>
      <c r="F267" s="203">
        <f t="shared" si="124"/>
        <v>93</v>
      </c>
      <c r="G267" s="203">
        <f t="shared" si="124"/>
        <v>81</v>
      </c>
      <c r="H267" s="203" t="str">
        <f t="shared" si="124"/>
        <v>-</v>
      </c>
      <c r="I267" s="197">
        <f t="shared" si="124"/>
        <v>456</v>
      </c>
      <c r="J267" s="197">
        <f t="shared" si="124"/>
        <v>2713</v>
      </c>
      <c r="K267" s="203">
        <f t="shared" si="124"/>
        <v>3326</v>
      </c>
      <c r="L267" s="197"/>
      <c r="M267" s="197">
        <f t="shared" ref="M267:V267" si="125">M36</f>
        <v>0</v>
      </c>
      <c r="N267" s="203">
        <f t="shared" si="125"/>
        <v>1</v>
      </c>
      <c r="O267" s="203">
        <f t="shared" si="125"/>
        <v>3</v>
      </c>
      <c r="P267" s="203">
        <f t="shared" si="125"/>
        <v>96</v>
      </c>
      <c r="Q267" s="203">
        <f t="shared" si="125"/>
        <v>22</v>
      </c>
      <c r="R267" s="203">
        <f t="shared" si="125"/>
        <v>47</v>
      </c>
      <c r="S267" s="203" t="str">
        <f t="shared" si="125"/>
        <v>-</v>
      </c>
      <c r="T267" s="197">
        <f t="shared" si="125"/>
        <v>0</v>
      </c>
      <c r="U267" s="197">
        <f t="shared" si="125"/>
        <v>169</v>
      </c>
      <c r="V267" s="203">
        <f t="shared" si="125"/>
        <v>169</v>
      </c>
    </row>
    <row r="268" spans="1:22" s="467" customFormat="1" ht="11.25" customHeight="1" x14ac:dyDescent="0.2">
      <c r="A268" s="477">
        <v>2007</v>
      </c>
      <c r="B268" s="197">
        <f t="shared" ref="B268:K268" si="126">B37</f>
        <v>2218</v>
      </c>
      <c r="C268" s="203">
        <f t="shared" si="126"/>
        <v>53</v>
      </c>
      <c r="D268" s="203">
        <f t="shared" si="126"/>
        <v>324</v>
      </c>
      <c r="E268" s="203">
        <f t="shared" si="126"/>
        <v>556</v>
      </c>
      <c r="F268" s="203">
        <f t="shared" si="126"/>
        <v>167</v>
      </c>
      <c r="G268" s="203">
        <f t="shared" si="126"/>
        <v>0</v>
      </c>
      <c r="H268" s="203" t="str">
        <f t="shared" si="126"/>
        <v>-</v>
      </c>
      <c r="I268" s="197">
        <f t="shared" si="126"/>
        <v>1340</v>
      </c>
      <c r="J268" s="197">
        <f t="shared" si="126"/>
        <v>1100</v>
      </c>
      <c r="K268" s="203">
        <f t="shared" si="126"/>
        <v>4658</v>
      </c>
      <c r="L268" s="197"/>
      <c r="M268" s="197">
        <f t="shared" ref="M268:V268" si="127">M37</f>
        <v>0</v>
      </c>
      <c r="N268" s="203">
        <f t="shared" si="127"/>
        <v>0</v>
      </c>
      <c r="O268" s="203">
        <f t="shared" si="127"/>
        <v>0</v>
      </c>
      <c r="P268" s="203">
        <f t="shared" si="127"/>
        <v>1496</v>
      </c>
      <c r="Q268" s="203">
        <f t="shared" si="127"/>
        <v>29</v>
      </c>
      <c r="R268" s="203">
        <f t="shared" si="127"/>
        <v>0</v>
      </c>
      <c r="S268" s="203" t="str">
        <f t="shared" si="127"/>
        <v>-</v>
      </c>
      <c r="T268" s="197">
        <f t="shared" si="127"/>
        <v>5</v>
      </c>
      <c r="U268" s="197">
        <f t="shared" si="127"/>
        <v>1525</v>
      </c>
      <c r="V268" s="203">
        <f t="shared" si="127"/>
        <v>1530</v>
      </c>
    </row>
    <row r="269" spans="1:22" s="467" customFormat="1" ht="11.25" customHeight="1" x14ac:dyDescent="0.2">
      <c r="A269" s="477">
        <v>2008</v>
      </c>
      <c r="B269" s="197">
        <f t="shared" ref="B269:K269" si="128">B38</f>
        <v>483</v>
      </c>
      <c r="C269" s="203">
        <f t="shared" si="128"/>
        <v>35</v>
      </c>
      <c r="D269" s="203">
        <f t="shared" si="128"/>
        <v>272</v>
      </c>
      <c r="E269" s="203">
        <f t="shared" si="128"/>
        <v>618</v>
      </c>
      <c r="F269" s="203">
        <f t="shared" si="128"/>
        <v>1607</v>
      </c>
      <c r="G269" s="203">
        <f t="shared" si="128"/>
        <v>109</v>
      </c>
      <c r="H269" s="203" t="str">
        <f t="shared" si="128"/>
        <v>-</v>
      </c>
      <c r="I269" s="197">
        <f t="shared" si="128"/>
        <v>375</v>
      </c>
      <c r="J269" s="197">
        <f t="shared" si="128"/>
        <v>2641</v>
      </c>
      <c r="K269" s="203">
        <f t="shared" si="128"/>
        <v>3499</v>
      </c>
      <c r="L269" s="197"/>
      <c r="M269" s="197">
        <f t="shared" ref="M269:V269" si="129">M38</f>
        <v>0</v>
      </c>
      <c r="N269" s="203">
        <f t="shared" si="129"/>
        <v>0</v>
      </c>
      <c r="O269" s="203">
        <f t="shared" si="129"/>
        <v>8</v>
      </c>
      <c r="P269" s="203">
        <f t="shared" si="129"/>
        <v>81</v>
      </c>
      <c r="Q269" s="203">
        <f t="shared" si="129"/>
        <v>483</v>
      </c>
      <c r="R269" s="203">
        <f t="shared" si="129"/>
        <v>72</v>
      </c>
      <c r="S269" s="203" t="str">
        <f t="shared" si="129"/>
        <v>-</v>
      </c>
      <c r="T269" s="197">
        <f t="shared" si="129"/>
        <v>0</v>
      </c>
      <c r="U269" s="197">
        <f t="shared" si="129"/>
        <v>644</v>
      </c>
      <c r="V269" s="203">
        <f t="shared" si="129"/>
        <v>644</v>
      </c>
    </row>
    <row r="270" spans="1:22" s="467" customFormat="1" ht="11.25" customHeight="1" x14ac:dyDescent="0.2">
      <c r="A270" s="477">
        <v>2009</v>
      </c>
      <c r="B270" s="197">
        <f t="shared" ref="B270:K270" si="130">B39</f>
        <v>464</v>
      </c>
      <c r="C270" s="203">
        <f t="shared" si="130"/>
        <v>481</v>
      </c>
      <c r="D270" s="203">
        <f t="shared" si="130"/>
        <v>4528</v>
      </c>
      <c r="E270" s="203">
        <f t="shared" si="130"/>
        <v>593</v>
      </c>
      <c r="F270" s="203">
        <f t="shared" si="130"/>
        <v>615</v>
      </c>
      <c r="G270" s="203">
        <f t="shared" si="130"/>
        <v>12</v>
      </c>
      <c r="H270" s="203" t="str">
        <f t="shared" si="130"/>
        <v>-</v>
      </c>
      <c r="I270" s="197">
        <f t="shared" si="130"/>
        <v>68</v>
      </c>
      <c r="J270" s="197">
        <f t="shared" si="130"/>
        <v>6229</v>
      </c>
      <c r="K270" s="203">
        <f t="shared" si="130"/>
        <v>6761</v>
      </c>
      <c r="L270" s="197"/>
      <c r="M270" s="197">
        <f t="shared" ref="M270:V270" si="131">M39</f>
        <v>0</v>
      </c>
      <c r="N270" s="203">
        <f t="shared" si="131"/>
        <v>0</v>
      </c>
      <c r="O270" s="203">
        <f t="shared" si="131"/>
        <v>0</v>
      </c>
      <c r="P270" s="203">
        <f t="shared" si="131"/>
        <v>3319</v>
      </c>
      <c r="Q270" s="203">
        <f t="shared" si="131"/>
        <v>4555</v>
      </c>
      <c r="R270" s="203">
        <f t="shared" si="131"/>
        <v>17</v>
      </c>
      <c r="S270" s="203" t="str">
        <f t="shared" si="131"/>
        <v>-</v>
      </c>
      <c r="T270" s="197">
        <f t="shared" si="131"/>
        <v>0</v>
      </c>
      <c r="U270" s="197">
        <f t="shared" si="131"/>
        <v>7891</v>
      </c>
      <c r="V270" s="203">
        <f t="shared" si="131"/>
        <v>7891</v>
      </c>
    </row>
    <row r="271" spans="1:22" s="467" customFormat="1" ht="11.25" customHeight="1" x14ac:dyDescent="0.2">
      <c r="A271" s="477">
        <v>2010</v>
      </c>
      <c r="B271" s="197">
        <f t="shared" ref="B271:K271" si="132">B40</f>
        <v>1722</v>
      </c>
      <c r="C271" s="203">
        <f t="shared" si="132"/>
        <v>1657</v>
      </c>
      <c r="D271" s="203">
        <f t="shared" si="132"/>
        <v>3240</v>
      </c>
      <c r="E271" s="203">
        <f t="shared" si="132"/>
        <v>171</v>
      </c>
      <c r="F271" s="203">
        <f t="shared" si="132"/>
        <v>37</v>
      </c>
      <c r="G271" s="203">
        <f t="shared" si="132"/>
        <v>9</v>
      </c>
      <c r="H271" s="203" t="str">
        <f t="shared" si="132"/>
        <v>-</v>
      </c>
      <c r="I271" s="197">
        <f t="shared" si="132"/>
        <v>200</v>
      </c>
      <c r="J271" s="197">
        <f t="shared" si="132"/>
        <v>5114</v>
      </c>
      <c r="K271" s="203">
        <f t="shared" si="132"/>
        <v>7036</v>
      </c>
      <c r="L271" s="197"/>
      <c r="M271" s="197">
        <f t="shared" ref="M271:V271" si="133">M40</f>
        <v>0</v>
      </c>
      <c r="N271" s="203">
        <f t="shared" si="133"/>
        <v>0</v>
      </c>
      <c r="O271" s="203">
        <f t="shared" si="133"/>
        <v>0</v>
      </c>
      <c r="P271" s="203">
        <f t="shared" si="133"/>
        <v>106</v>
      </c>
      <c r="Q271" s="203">
        <f t="shared" si="133"/>
        <v>3</v>
      </c>
      <c r="R271" s="203">
        <f t="shared" si="133"/>
        <v>0</v>
      </c>
      <c r="S271" s="203" t="str">
        <f t="shared" si="133"/>
        <v>-</v>
      </c>
      <c r="T271" s="197">
        <f t="shared" si="133"/>
        <v>12</v>
      </c>
      <c r="U271" s="197">
        <f t="shared" si="133"/>
        <v>109</v>
      </c>
      <c r="V271" s="203">
        <f t="shared" si="133"/>
        <v>121</v>
      </c>
    </row>
    <row r="272" spans="1:22" s="467" customFormat="1" ht="11.25" customHeight="1" x14ac:dyDescent="0.2">
      <c r="A272" s="477">
        <v>2011</v>
      </c>
      <c r="B272" s="197">
        <f t="shared" ref="B272:K272" si="134">B41</f>
        <v>2883</v>
      </c>
      <c r="C272" s="203">
        <f t="shared" si="134"/>
        <v>585</v>
      </c>
      <c r="D272" s="203">
        <f t="shared" si="134"/>
        <v>373</v>
      </c>
      <c r="E272" s="203">
        <f t="shared" si="134"/>
        <v>46</v>
      </c>
      <c r="F272" s="203">
        <f t="shared" si="134"/>
        <v>15</v>
      </c>
      <c r="G272" s="203">
        <f t="shared" si="134"/>
        <v>0</v>
      </c>
      <c r="H272" s="203" t="str">
        <f t="shared" si="134"/>
        <v>-</v>
      </c>
      <c r="I272" s="197">
        <f t="shared" si="134"/>
        <v>90</v>
      </c>
      <c r="J272" s="197">
        <f t="shared" si="134"/>
        <v>1019</v>
      </c>
      <c r="K272" s="203">
        <f t="shared" si="134"/>
        <v>3992</v>
      </c>
      <c r="L272" s="197"/>
      <c r="M272" s="197">
        <f t="shared" ref="M272:V272" si="135">M41</f>
        <v>2</v>
      </c>
      <c r="N272" s="203">
        <f t="shared" si="135"/>
        <v>0</v>
      </c>
      <c r="O272" s="203">
        <f t="shared" si="135"/>
        <v>0</v>
      </c>
      <c r="P272" s="203">
        <f t="shared" si="135"/>
        <v>10</v>
      </c>
      <c r="Q272" s="203">
        <f t="shared" si="135"/>
        <v>13</v>
      </c>
      <c r="R272" s="203">
        <f t="shared" si="135"/>
        <v>0</v>
      </c>
      <c r="S272" s="203" t="str">
        <f t="shared" si="135"/>
        <v>-</v>
      </c>
      <c r="T272" s="197">
        <f t="shared" si="135"/>
        <v>2</v>
      </c>
      <c r="U272" s="197">
        <f t="shared" si="135"/>
        <v>23</v>
      </c>
      <c r="V272" s="203">
        <f t="shared" si="135"/>
        <v>27</v>
      </c>
    </row>
    <row r="273" spans="1:22" s="467" customFormat="1" ht="11.25" customHeight="1" x14ac:dyDescent="0.2">
      <c r="A273" s="477">
        <v>2012</v>
      </c>
      <c r="B273" s="197">
        <f t="shared" ref="B273:K273" si="136">B42</f>
        <v>1216</v>
      </c>
      <c r="C273" s="203">
        <f t="shared" si="136"/>
        <v>635</v>
      </c>
      <c r="D273" s="203">
        <f t="shared" si="136"/>
        <v>699</v>
      </c>
      <c r="E273" s="203">
        <f t="shared" si="136"/>
        <v>651</v>
      </c>
      <c r="F273" s="203">
        <f t="shared" si="136"/>
        <v>295</v>
      </c>
      <c r="G273" s="203">
        <f t="shared" si="136"/>
        <v>43</v>
      </c>
      <c r="H273" s="203" t="str">
        <f t="shared" si="136"/>
        <v>-</v>
      </c>
      <c r="I273" s="197">
        <f t="shared" si="136"/>
        <v>335</v>
      </c>
      <c r="J273" s="197">
        <f t="shared" si="136"/>
        <v>2323</v>
      </c>
      <c r="K273" s="203">
        <f t="shared" si="136"/>
        <v>3874</v>
      </c>
      <c r="L273" s="197"/>
      <c r="M273" s="197">
        <f t="shared" ref="M273:V273" si="137">M42</f>
        <v>0</v>
      </c>
      <c r="N273" s="203">
        <f t="shared" si="137"/>
        <v>0</v>
      </c>
      <c r="O273" s="203">
        <f t="shared" si="137"/>
        <v>2</v>
      </c>
      <c r="P273" s="203">
        <f t="shared" si="137"/>
        <v>235</v>
      </c>
      <c r="Q273" s="203">
        <f t="shared" si="137"/>
        <v>229</v>
      </c>
      <c r="R273" s="203">
        <f t="shared" si="137"/>
        <v>166</v>
      </c>
      <c r="S273" s="203" t="str">
        <f t="shared" si="137"/>
        <v>-</v>
      </c>
      <c r="T273" s="197">
        <f t="shared" si="137"/>
        <v>4</v>
      </c>
      <c r="U273" s="197">
        <f t="shared" si="137"/>
        <v>632</v>
      </c>
      <c r="V273" s="203">
        <f t="shared" si="137"/>
        <v>636</v>
      </c>
    </row>
    <row r="274" spans="1:22" s="467" customFormat="1" ht="11.25" customHeight="1" x14ac:dyDescent="0.2">
      <c r="A274" s="477">
        <v>2013</v>
      </c>
      <c r="B274" s="197">
        <f t="shared" ref="B274:K274" si="138">B43</f>
        <v>1661</v>
      </c>
      <c r="C274" s="203">
        <f t="shared" si="138"/>
        <v>1989</v>
      </c>
      <c r="D274" s="203">
        <f t="shared" si="138"/>
        <v>2468</v>
      </c>
      <c r="E274" s="203">
        <f t="shared" si="138"/>
        <v>223</v>
      </c>
      <c r="F274" s="203">
        <f t="shared" si="138"/>
        <v>383</v>
      </c>
      <c r="G274" s="203">
        <f t="shared" si="138"/>
        <v>10</v>
      </c>
      <c r="H274" s="203" t="str">
        <f t="shared" si="138"/>
        <v>-</v>
      </c>
      <c r="I274" s="197">
        <f t="shared" si="138"/>
        <v>721</v>
      </c>
      <c r="J274" s="197">
        <f t="shared" si="138"/>
        <v>5073</v>
      </c>
      <c r="K274" s="203">
        <f t="shared" si="138"/>
        <v>7455</v>
      </c>
      <c r="L274" s="197"/>
      <c r="M274" s="197">
        <f t="shared" ref="M274:V274" si="139">M43</f>
        <v>3</v>
      </c>
      <c r="N274" s="203">
        <f t="shared" si="139"/>
        <v>0</v>
      </c>
      <c r="O274" s="203">
        <f t="shared" si="139"/>
        <v>0</v>
      </c>
      <c r="P274" s="203">
        <f t="shared" si="139"/>
        <v>378</v>
      </c>
      <c r="Q274" s="203">
        <f t="shared" si="139"/>
        <v>454</v>
      </c>
      <c r="R274" s="203">
        <f t="shared" si="139"/>
        <v>354</v>
      </c>
      <c r="S274" s="203" t="str">
        <f t="shared" si="139"/>
        <v>-</v>
      </c>
      <c r="T274" s="197">
        <f t="shared" si="139"/>
        <v>10</v>
      </c>
      <c r="U274" s="197">
        <f t="shared" si="139"/>
        <v>1186</v>
      </c>
      <c r="V274" s="203">
        <f t="shared" si="139"/>
        <v>1199</v>
      </c>
    </row>
    <row r="275" spans="1:22" s="467" customFormat="1" ht="11.25" customHeight="1" x14ac:dyDescent="0.2">
      <c r="A275" s="477">
        <v>2014</v>
      </c>
      <c r="B275" s="197">
        <f t="shared" ref="B275:K275" si="140">B44</f>
        <v>3316</v>
      </c>
      <c r="C275" s="203">
        <f t="shared" si="140"/>
        <v>819</v>
      </c>
      <c r="D275" s="203">
        <f t="shared" si="140"/>
        <v>3051</v>
      </c>
      <c r="E275" s="203">
        <f t="shared" si="140"/>
        <v>20</v>
      </c>
      <c r="F275" s="203">
        <f t="shared" si="140"/>
        <v>22</v>
      </c>
      <c r="G275" s="203">
        <f t="shared" si="140"/>
        <v>12</v>
      </c>
      <c r="H275" s="203" t="str">
        <f t="shared" si="140"/>
        <v>-</v>
      </c>
      <c r="I275" s="197">
        <f t="shared" si="140"/>
        <v>267</v>
      </c>
      <c r="J275" s="197">
        <f t="shared" si="140"/>
        <v>3924</v>
      </c>
      <c r="K275" s="203">
        <f t="shared" si="140"/>
        <v>7507</v>
      </c>
      <c r="L275" s="197"/>
      <c r="M275" s="197">
        <f t="shared" ref="M275:V275" si="141">M44</f>
        <v>3</v>
      </c>
      <c r="N275" s="203">
        <f t="shared" si="141"/>
        <v>0</v>
      </c>
      <c r="O275" s="203">
        <f t="shared" si="141"/>
        <v>0</v>
      </c>
      <c r="P275" s="203">
        <f t="shared" si="141"/>
        <v>12</v>
      </c>
      <c r="Q275" s="203">
        <f t="shared" si="141"/>
        <v>24</v>
      </c>
      <c r="R275" s="203">
        <f t="shared" si="141"/>
        <v>19</v>
      </c>
      <c r="S275" s="203" t="str">
        <f t="shared" si="141"/>
        <v>-</v>
      </c>
      <c r="T275" s="197">
        <f t="shared" si="141"/>
        <v>0</v>
      </c>
      <c r="U275" s="197">
        <f t="shared" si="141"/>
        <v>55</v>
      </c>
      <c r="V275" s="203">
        <f t="shared" si="141"/>
        <v>58</v>
      </c>
    </row>
    <row r="276" spans="1:22" s="467" customFormat="1" ht="11.25" customHeight="1" x14ac:dyDescent="0.2">
      <c r="A276" s="477">
        <v>2015</v>
      </c>
      <c r="B276" s="197">
        <f t="shared" ref="B276:K276" si="142">B45</f>
        <v>3249</v>
      </c>
      <c r="C276" s="203">
        <f t="shared" si="142"/>
        <v>4142</v>
      </c>
      <c r="D276" s="203">
        <f t="shared" si="142"/>
        <v>4283</v>
      </c>
      <c r="E276" s="203">
        <f t="shared" si="142"/>
        <v>47</v>
      </c>
      <c r="F276" s="203">
        <f t="shared" si="142"/>
        <v>135</v>
      </c>
      <c r="G276" s="203">
        <f t="shared" si="142"/>
        <v>73</v>
      </c>
      <c r="H276" s="203" t="str">
        <f t="shared" si="142"/>
        <v>-</v>
      </c>
      <c r="I276" s="197">
        <f t="shared" si="142"/>
        <v>17</v>
      </c>
      <c r="J276" s="197">
        <f t="shared" si="142"/>
        <v>8680</v>
      </c>
      <c r="K276" s="203">
        <f t="shared" si="142"/>
        <v>11946</v>
      </c>
      <c r="L276" s="197"/>
      <c r="M276" s="197">
        <f t="shared" ref="M276:V276" si="143">M45</f>
        <v>0</v>
      </c>
      <c r="N276" s="203">
        <f t="shared" si="143"/>
        <v>0</v>
      </c>
      <c r="O276" s="203">
        <f t="shared" si="143"/>
        <v>0</v>
      </c>
      <c r="P276" s="203">
        <f t="shared" si="143"/>
        <v>0</v>
      </c>
      <c r="Q276" s="203">
        <f t="shared" si="143"/>
        <v>249</v>
      </c>
      <c r="R276" s="203">
        <f t="shared" si="143"/>
        <v>190</v>
      </c>
      <c r="S276" s="203" t="str">
        <f t="shared" si="143"/>
        <v>-</v>
      </c>
      <c r="T276" s="197">
        <f t="shared" si="143"/>
        <v>2</v>
      </c>
      <c r="U276" s="197">
        <f t="shared" si="143"/>
        <v>439</v>
      </c>
      <c r="V276" s="203">
        <f t="shared" si="143"/>
        <v>441</v>
      </c>
    </row>
    <row r="277" spans="1:22" s="467" customFormat="1" ht="11.25" customHeight="1" x14ac:dyDescent="0.2">
      <c r="A277" s="477">
        <v>2016</v>
      </c>
      <c r="B277" s="197">
        <f t="shared" ref="B277:K277" si="144">B46</f>
        <v>244</v>
      </c>
      <c r="C277" s="203">
        <f t="shared" si="144"/>
        <v>1758</v>
      </c>
      <c r="D277" s="203">
        <f t="shared" si="144"/>
        <v>239</v>
      </c>
      <c r="E277" s="203">
        <f t="shared" si="144"/>
        <v>135</v>
      </c>
      <c r="F277" s="203">
        <f t="shared" si="144"/>
        <v>84</v>
      </c>
      <c r="G277" s="203">
        <f t="shared" si="144"/>
        <v>5</v>
      </c>
      <c r="H277" s="203" t="str">
        <f t="shared" si="144"/>
        <v>-</v>
      </c>
      <c r="I277" s="197">
        <f t="shared" si="144"/>
        <v>182</v>
      </c>
      <c r="J277" s="197">
        <f t="shared" si="144"/>
        <v>2221</v>
      </c>
      <c r="K277" s="203">
        <f t="shared" si="144"/>
        <v>2647</v>
      </c>
      <c r="L277" s="197"/>
      <c r="M277" s="197">
        <f t="shared" ref="M277:V277" si="145">M46</f>
        <v>0</v>
      </c>
      <c r="N277" s="203">
        <f t="shared" si="145"/>
        <v>0</v>
      </c>
      <c r="O277" s="203">
        <f t="shared" si="145"/>
        <v>0</v>
      </c>
      <c r="P277" s="203">
        <f t="shared" si="145"/>
        <v>8</v>
      </c>
      <c r="Q277" s="203">
        <f t="shared" si="145"/>
        <v>10</v>
      </c>
      <c r="R277" s="203">
        <f t="shared" si="145"/>
        <v>0</v>
      </c>
      <c r="S277" s="203" t="str">
        <f t="shared" si="145"/>
        <v>-</v>
      </c>
      <c r="T277" s="197">
        <f t="shared" si="145"/>
        <v>0</v>
      </c>
      <c r="U277" s="197">
        <f t="shared" si="145"/>
        <v>18</v>
      </c>
      <c r="V277" s="203">
        <f t="shared" si="145"/>
        <v>18</v>
      </c>
    </row>
    <row r="278" spans="1:22" s="467" customFormat="1" ht="11.25" customHeight="1" x14ac:dyDescent="0.2">
      <c r="A278" s="477">
        <v>2017</v>
      </c>
      <c r="B278" s="197">
        <f t="shared" ref="B278:K278" si="146">B47</f>
        <v>1343</v>
      </c>
      <c r="C278" s="203">
        <f t="shared" si="146"/>
        <v>68</v>
      </c>
      <c r="D278" s="203">
        <f t="shared" si="146"/>
        <v>712</v>
      </c>
      <c r="E278" s="203">
        <f t="shared" si="146"/>
        <v>452</v>
      </c>
      <c r="F278" s="203">
        <f t="shared" si="146"/>
        <v>56</v>
      </c>
      <c r="G278" s="203">
        <f t="shared" si="146"/>
        <v>92</v>
      </c>
      <c r="H278" s="203" t="str">
        <f t="shared" si="146"/>
        <v>-</v>
      </c>
      <c r="I278" s="197">
        <f t="shared" si="146"/>
        <v>11</v>
      </c>
      <c r="J278" s="197">
        <f t="shared" si="146"/>
        <v>1380</v>
      </c>
      <c r="K278" s="203">
        <f t="shared" si="146"/>
        <v>2734</v>
      </c>
      <c r="L278" s="197"/>
      <c r="M278" s="197">
        <f t="shared" ref="M278:V278" si="147">M47</f>
        <v>0</v>
      </c>
      <c r="N278" s="203">
        <f t="shared" si="147"/>
        <v>0</v>
      </c>
      <c r="O278" s="203">
        <f t="shared" si="147"/>
        <v>0</v>
      </c>
      <c r="P278" s="203">
        <f t="shared" si="147"/>
        <v>48</v>
      </c>
      <c r="Q278" s="203">
        <f t="shared" si="147"/>
        <v>51</v>
      </c>
      <c r="R278" s="203">
        <f t="shared" si="147"/>
        <v>288</v>
      </c>
      <c r="S278" s="203" t="str">
        <f t="shared" si="147"/>
        <v>-</v>
      </c>
      <c r="T278" s="197">
        <f t="shared" si="147"/>
        <v>0</v>
      </c>
      <c r="U278" s="197">
        <f t="shared" si="147"/>
        <v>387</v>
      </c>
      <c r="V278" s="203">
        <f t="shared" si="147"/>
        <v>387</v>
      </c>
    </row>
    <row r="279" spans="1:22" s="467" customFormat="1" ht="11.25" customHeight="1" x14ac:dyDescent="0.2">
      <c r="A279" s="477">
        <v>2018</v>
      </c>
      <c r="B279" s="197">
        <f t="shared" ref="B279:K279" si="148">B48</f>
        <v>798</v>
      </c>
      <c r="C279" s="203">
        <f t="shared" si="148"/>
        <v>727</v>
      </c>
      <c r="D279" s="203">
        <f t="shared" si="148"/>
        <v>2363</v>
      </c>
      <c r="E279" s="203">
        <f t="shared" si="148"/>
        <v>511</v>
      </c>
      <c r="F279" s="203">
        <f t="shared" si="148"/>
        <v>94</v>
      </c>
      <c r="G279" s="203">
        <f t="shared" si="148"/>
        <v>54</v>
      </c>
      <c r="H279" s="203" t="str">
        <f t="shared" si="148"/>
        <v>-</v>
      </c>
      <c r="I279" s="197">
        <f t="shared" si="148"/>
        <v>129</v>
      </c>
      <c r="J279" s="197">
        <f t="shared" si="148"/>
        <v>3749</v>
      </c>
      <c r="K279" s="203">
        <f t="shared" si="148"/>
        <v>4676</v>
      </c>
      <c r="L279" s="197"/>
      <c r="M279" s="197">
        <f t="shared" ref="M279:V279" si="149">M48</f>
        <v>0</v>
      </c>
      <c r="N279" s="203">
        <f t="shared" si="149"/>
        <v>0</v>
      </c>
      <c r="O279" s="203">
        <f t="shared" si="149"/>
        <v>3</v>
      </c>
      <c r="P279" s="203">
        <f t="shared" si="149"/>
        <v>192</v>
      </c>
      <c r="Q279" s="203">
        <f t="shared" si="149"/>
        <v>222</v>
      </c>
      <c r="R279" s="203">
        <f t="shared" si="149"/>
        <v>239</v>
      </c>
      <c r="S279" s="203" t="str">
        <f t="shared" si="149"/>
        <v>-</v>
      </c>
      <c r="T279" s="197">
        <f t="shared" si="149"/>
        <v>0</v>
      </c>
      <c r="U279" s="197">
        <f t="shared" si="149"/>
        <v>656</v>
      </c>
      <c r="V279" s="203">
        <f t="shared" si="149"/>
        <v>656</v>
      </c>
    </row>
    <row r="280" spans="1:22" s="487" customFormat="1" ht="11.25" customHeight="1" x14ac:dyDescent="0.2">
      <c r="A280" s="491">
        <v>2019</v>
      </c>
      <c r="B280" s="197">
        <f t="shared" ref="B280:K281" si="150">B49</f>
        <v>1001</v>
      </c>
      <c r="C280" s="203">
        <f t="shared" si="150"/>
        <v>503</v>
      </c>
      <c r="D280" s="203">
        <f t="shared" si="150"/>
        <v>603</v>
      </c>
      <c r="E280" s="203">
        <f t="shared" si="150"/>
        <v>700</v>
      </c>
      <c r="F280" s="203">
        <f t="shared" si="150"/>
        <v>8</v>
      </c>
      <c r="G280" s="203">
        <f t="shared" si="150"/>
        <v>5</v>
      </c>
      <c r="H280" s="203" t="str">
        <f t="shared" si="150"/>
        <v>-</v>
      </c>
      <c r="I280" s="197">
        <f t="shared" si="150"/>
        <v>70</v>
      </c>
      <c r="J280" s="197">
        <f t="shared" si="150"/>
        <v>1819</v>
      </c>
      <c r="K280" s="203">
        <f t="shared" si="150"/>
        <v>2890</v>
      </c>
      <c r="L280" s="197"/>
      <c r="M280" s="197">
        <f t="shared" ref="M280:V281" si="151">M49</f>
        <v>0</v>
      </c>
      <c r="N280" s="203">
        <f t="shared" si="151"/>
        <v>0</v>
      </c>
      <c r="O280" s="203">
        <f t="shared" si="151"/>
        <v>0</v>
      </c>
      <c r="P280" s="203">
        <f t="shared" si="151"/>
        <v>173</v>
      </c>
      <c r="Q280" s="203">
        <f t="shared" si="151"/>
        <v>59</v>
      </c>
      <c r="R280" s="203">
        <f t="shared" si="151"/>
        <v>7</v>
      </c>
      <c r="S280" s="203" t="str">
        <f t="shared" si="151"/>
        <v>-</v>
      </c>
      <c r="T280" s="197">
        <f t="shared" si="151"/>
        <v>0</v>
      </c>
      <c r="U280" s="197">
        <f t="shared" si="151"/>
        <v>239</v>
      </c>
      <c r="V280" s="203">
        <f t="shared" si="151"/>
        <v>239</v>
      </c>
    </row>
    <row r="281" spans="1:22" ht="11.25" customHeight="1" x14ac:dyDescent="0.2">
      <c r="A281" s="491" t="s">
        <v>392</v>
      </c>
      <c r="B281" s="197">
        <f t="shared" si="150"/>
        <v>661</v>
      </c>
      <c r="C281" s="203">
        <f t="shared" si="150"/>
        <v>0</v>
      </c>
      <c r="D281" s="203">
        <f t="shared" si="150"/>
        <v>0</v>
      </c>
      <c r="E281" s="203">
        <f t="shared" si="150"/>
        <v>93</v>
      </c>
      <c r="F281" s="203">
        <f t="shared" si="150"/>
        <v>74</v>
      </c>
      <c r="G281" s="203">
        <f t="shared" si="150"/>
        <v>8</v>
      </c>
      <c r="H281" s="203" t="str">
        <f t="shared" si="150"/>
        <v>-</v>
      </c>
      <c r="I281" s="197">
        <f t="shared" si="150"/>
        <v>0</v>
      </c>
      <c r="J281" s="197">
        <f t="shared" si="150"/>
        <v>175</v>
      </c>
      <c r="K281" s="203">
        <f t="shared" si="150"/>
        <v>836</v>
      </c>
      <c r="L281" s="197"/>
      <c r="M281" s="197">
        <f t="shared" si="151"/>
        <v>0</v>
      </c>
      <c r="N281" s="203">
        <f t="shared" si="151"/>
        <v>0</v>
      </c>
      <c r="O281" s="203">
        <f t="shared" si="151"/>
        <v>0</v>
      </c>
      <c r="P281" s="203">
        <f t="shared" si="151"/>
        <v>239</v>
      </c>
      <c r="Q281" s="203">
        <f t="shared" si="151"/>
        <v>396</v>
      </c>
      <c r="R281" s="203">
        <f t="shared" si="151"/>
        <v>12</v>
      </c>
      <c r="S281" s="203" t="str">
        <f t="shared" si="151"/>
        <v>-</v>
      </c>
      <c r="T281" s="197">
        <f t="shared" si="151"/>
        <v>0</v>
      </c>
      <c r="U281" s="197">
        <f t="shared" si="151"/>
        <v>647</v>
      </c>
      <c r="V281" s="203">
        <f t="shared" si="151"/>
        <v>647</v>
      </c>
    </row>
    <row r="282" spans="1:22" ht="11.25" customHeight="1" x14ac:dyDescent="0.2">
      <c r="A282" s="477"/>
      <c r="B282" s="197"/>
      <c r="C282" s="197"/>
      <c r="D282" s="197"/>
      <c r="E282" s="197"/>
      <c r="F282" s="197"/>
      <c r="G282" s="197"/>
      <c r="H282" s="197"/>
      <c r="I282" s="197"/>
      <c r="J282" s="197"/>
      <c r="K282" s="197"/>
      <c r="L282" s="197"/>
      <c r="M282" s="197"/>
      <c r="N282" s="197"/>
      <c r="O282" s="197"/>
      <c r="P282" s="197"/>
      <c r="Q282" s="197"/>
      <c r="R282" s="197"/>
      <c r="S282" s="197"/>
      <c r="T282" s="197"/>
      <c r="U282" s="197"/>
      <c r="V282" s="197"/>
    </row>
    <row r="283" spans="1:22" ht="11.25" customHeight="1" x14ac:dyDescent="0.2">
      <c r="A283" s="159" t="s">
        <v>65</v>
      </c>
      <c r="B283" s="197"/>
      <c r="C283" s="197"/>
      <c r="D283" s="197"/>
      <c r="E283" s="197"/>
      <c r="F283" s="197"/>
      <c r="G283" s="197"/>
      <c r="H283" s="197"/>
      <c r="I283" s="197"/>
      <c r="J283" s="197"/>
      <c r="K283" s="197"/>
      <c r="L283" s="197"/>
      <c r="M283" s="197"/>
      <c r="N283" s="197"/>
      <c r="O283" s="197"/>
      <c r="P283" s="197"/>
      <c r="Q283" s="197"/>
      <c r="R283" s="197"/>
      <c r="S283" s="197"/>
      <c r="T283" s="197"/>
      <c r="U283" s="197"/>
      <c r="V283" s="197"/>
    </row>
    <row r="284" spans="1:22" ht="11.25" customHeight="1" x14ac:dyDescent="0.2">
      <c r="A284" s="477" t="s">
        <v>30</v>
      </c>
      <c r="B284" s="197">
        <f t="shared" ref="B284:K284" si="152">AVERAGE(B58:B62)</f>
        <v>0.4</v>
      </c>
      <c r="C284" s="203">
        <f t="shared" si="152"/>
        <v>520</v>
      </c>
      <c r="D284" s="203">
        <f t="shared" si="152"/>
        <v>1190.8</v>
      </c>
      <c r="E284" s="203">
        <f t="shared" si="152"/>
        <v>2405.6</v>
      </c>
      <c r="F284" s="203">
        <f t="shared" si="152"/>
        <v>673.4</v>
      </c>
      <c r="G284" s="203">
        <f t="shared" si="152"/>
        <v>771.6</v>
      </c>
      <c r="H284" s="203">
        <f t="shared" si="152"/>
        <v>53.6</v>
      </c>
      <c r="I284" s="197">
        <f t="shared" si="152"/>
        <v>10.6</v>
      </c>
      <c r="J284" s="197">
        <f t="shared" si="152"/>
        <v>5561.4</v>
      </c>
      <c r="K284" s="203">
        <f t="shared" si="152"/>
        <v>5626</v>
      </c>
      <c r="L284" s="197"/>
      <c r="M284" s="197">
        <f t="shared" ref="M284:V284" si="153">AVERAGE(M58:M62)</f>
        <v>0</v>
      </c>
      <c r="N284" s="203">
        <f t="shared" si="153"/>
        <v>7.8</v>
      </c>
      <c r="O284" s="203">
        <f t="shared" si="153"/>
        <v>4647</v>
      </c>
      <c r="P284" s="203">
        <f t="shared" si="153"/>
        <v>9016.6</v>
      </c>
      <c r="Q284" s="203">
        <f t="shared" si="153"/>
        <v>16514.599999999999</v>
      </c>
      <c r="R284" s="203">
        <f t="shared" si="153"/>
        <v>13404.2</v>
      </c>
      <c r="S284" s="203">
        <f t="shared" si="153"/>
        <v>18.399999999999999</v>
      </c>
      <c r="T284" s="197">
        <f t="shared" si="153"/>
        <v>0</v>
      </c>
      <c r="U284" s="197">
        <f t="shared" si="153"/>
        <v>43590.2</v>
      </c>
      <c r="V284" s="203">
        <f t="shared" si="153"/>
        <v>43608.6</v>
      </c>
    </row>
    <row r="285" spans="1:22" ht="11.25" customHeight="1" x14ac:dyDescent="0.2">
      <c r="A285" s="477" t="s">
        <v>87</v>
      </c>
      <c r="B285" s="197">
        <f t="shared" ref="B285:K285" si="154">AVERAGE(B63:B67)</f>
        <v>6.4</v>
      </c>
      <c r="C285" s="203">
        <f t="shared" si="154"/>
        <v>2603.6</v>
      </c>
      <c r="D285" s="203">
        <f t="shared" si="154"/>
        <v>2316.6</v>
      </c>
      <c r="E285" s="203">
        <f t="shared" si="154"/>
        <v>3114.2</v>
      </c>
      <c r="F285" s="203">
        <f t="shared" si="154"/>
        <v>2656.6</v>
      </c>
      <c r="G285" s="203">
        <f t="shared" si="154"/>
        <v>684.8</v>
      </c>
      <c r="H285" s="203">
        <f t="shared" si="154"/>
        <v>0</v>
      </c>
      <c r="I285" s="197">
        <f t="shared" si="154"/>
        <v>0.2</v>
      </c>
      <c r="J285" s="197">
        <f t="shared" si="154"/>
        <v>11375.8</v>
      </c>
      <c r="K285" s="203">
        <f t="shared" si="154"/>
        <v>11382.4</v>
      </c>
      <c r="L285" s="197"/>
      <c r="M285" s="197">
        <f t="shared" ref="M285:V285" si="155">AVERAGE(M63:M67)</f>
        <v>0</v>
      </c>
      <c r="N285" s="203">
        <f t="shared" si="155"/>
        <v>3.2</v>
      </c>
      <c r="O285" s="203">
        <f t="shared" si="155"/>
        <v>106</v>
      </c>
      <c r="P285" s="203">
        <f t="shared" si="155"/>
        <v>16829.400000000001</v>
      </c>
      <c r="Q285" s="203">
        <f t="shared" si="155"/>
        <v>16934.2</v>
      </c>
      <c r="R285" s="203">
        <f t="shared" si="155"/>
        <v>7241.4</v>
      </c>
      <c r="S285" s="203">
        <f t="shared" si="155"/>
        <v>0</v>
      </c>
      <c r="T285" s="197">
        <f t="shared" si="155"/>
        <v>0</v>
      </c>
      <c r="U285" s="197">
        <f t="shared" si="155"/>
        <v>41114.199999999997</v>
      </c>
      <c r="V285" s="203">
        <f t="shared" si="155"/>
        <v>41114.199999999997</v>
      </c>
    </row>
    <row r="286" spans="1:22" ht="11.25" customHeight="1" x14ac:dyDescent="0.2">
      <c r="A286" s="477" t="s">
        <v>14</v>
      </c>
      <c r="B286" s="197">
        <f>AVERAGE(B68:B72)</f>
        <v>0</v>
      </c>
      <c r="C286" s="203">
        <f t="shared" ref="C286:K286" si="156">AVERAGE(C68:C72)</f>
        <v>3799.8</v>
      </c>
      <c r="D286" s="203">
        <f t="shared" si="156"/>
        <v>2806.6</v>
      </c>
      <c r="E286" s="203">
        <f t="shared" si="156"/>
        <v>2797.4</v>
      </c>
      <c r="F286" s="203">
        <f t="shared" si="156"/>
        <v>2704.2</v>
      </c>
      <c r="G286" s="203">
        <f t="shared" si="156"/>
        <v>471.4</v>
      </c>
      <c r="H286" s="203">
        <f t="shared" si="156"/>
        <v>0</v>
      </c>
      <c r="I286" s="197">
        <f t="shared" si="156"/>
        <v>16</v>
      </c>
      <c r="J286" s="197">
        <f t="shared" si="156"/>
        <v>12579.4</v>
      </c>
      <c r="K286" s="203">
        <f t="shared" si="156"/>
        <v>12595.4</v>
      </c>
      <c r="L286" s="197"/>
      <c r="M286" s="197">
        <f t="shared" ref="M286:V286" si="157">AVERAGE(M68:M72)</f>
        <v>0</v>
      </c>
      <c r="N286" s="203">
        <f t="shared" si="157"/>
        <v>0.6</v>
      </c>
      <c r="O286" s="203">
        <f t="shared" si="157"/>
        <v>0.6</v>
      </c>
      <c r="P286" s="203">
        <f t="shared" si="157"/>
        <v>12665.2</v>
      </c>
      <c r="Q286" s="203">
        <f t="shared" si="157"/>
        <v>13859.6</v>
      </c>
      <c r="R286" s="203">
        <f t="shared" si="157"/>
        <v>4815.8</v>
      </c>
      <c r="S286" s="203">
        <f t="shared" si="157"/>
        <v>0</v>
      </c>
      <c r="T286" s="197">
        <f t="shared" si="157"/>
        <v>1</v>
      </c>
      <c r="U286" s="197">
        <f t="shared" si="157"/>
        <v>31341.8</v>
      </c>
      <c r="V286" s="203">
        <f t="shared" si="157"/>
        <v>31342.799999999999</v>
      </c>
    </row>
    <row r="287" spans="1:22" ht="11.25" customHeight="1" x14ac:dyDescent="0.2">
      <c r="A287" s="477" t="s">
        <v>207</v>
      </c>
      <c r="B287" s="197">
        <f>AVERAGE(B73:B77)</f>
        <v>1.2</v>
      </c>
      <c r="C287" s="203">
        <f t="shared" ref="C287:K287" si="158">AVERAGE(C73:C77)</f>
        <v>2191.4</v>
      </c>
      <c r="D287" s="203">
        <f t="shared" si="158"/>
        <v>5957.4</v>
      </c>
      <c r="E287" s="203">
        <f t="shared" si="158"/>
        <v>353.2</v>
      </c>
      <c r="F287" s="203">
        <f t="shared" si="158"/>
        <v>3367.8</v>
      </c>
      <c r="G287" s="203">
        <f t="shared" si="158"/>
        <v>1809.4</v>
      </c>
      <c r="H287" s="203" t="s">
        <v>29</v>
      </c>
      <c r="I287" s="197">
        <f t="shared" si="158"/>
        <v>17</v>
      </c>
      <c r="J287" s="197">
        <f t="shared" si="158"/>
        <v>13679.2</v>
      </c>
      <c r="K287" s="203">
        <f t="shared" si="158"/>
        <v>13697.4</v>
      </c>
      <c r="L287" s="197"/>
      <c r="M287" s="197">
        <f t="shared" ref="M287:V287" si="159">AVERAGE(M73:M77)</f>
        <v>0</v>
      </c>
      <c r="N287" s="203">
        <f t="shared" si="159"/>
        <v>0</v>
      </c>
      <c r="O287" s="203">
        <f t="shared" si="159"/>
        <v>0.2</v>
      </c>
      <c r="P287" s="203">
        <f t="shared" si="159"/>
        <v>14.8</v>
      </c>
      <c r="Q287" s="203">
        <f t="shared" si="159"/>
        <v>9027.4</v>
      </c>
      <c r="R287" s="203">
        <f t="shared" si="159"/>
        <v>7939.6</v>
      </c>
      <c r="S287" s="203" t="s">
        <v>29</v>
      </c>
      <c r="T287" s="197">
        <f t="shared" si="159"/>
        <v>0</v>
      </c>
      <c r="U287" s="197">
        <f t="shared" si="159"/>
        <v>16982</v>
      </c>
      <c r="V287" s="203">
        <f t="shared" si="159"/>
        <v>16982</v>
      </c>
    </row>
    <row r="288" spans="1:22" ht="11.25" customHeight="1" x14ac:dyDescent="0.2">
      <c r="A288" s="477" t="s">
        <v>238</v>
      </c>
      <c r="B288" s="197">
        <f t="shared" ref="B288:G288" si="160">AVERAGE(B78:B82)</f>
        <v>11</v>
      </c>
      <c r="C288" s="203">
        <f t="shared" si="160"/>
        <v>4666</v>
      </c>
      <c r="D288" s="203">
        <f t="shared" si="160"/>
        <v>12259.4</v>
      </c>
      <c r="E288" s="203">
        <f t="shared" si="160"/>
        <v>8821.2000000000007</v>
      </c>
      <c r="F288" s="203">
        <f t="shared" si="160"/>
        <v>5524.2</v>
      </c>
      <c r="G288" s="203">
        <f t="shared" si="160"/>
        <v>2761.8</v>
      </c>
      <c r="H288" s="203" t="str">
        <f>+H78</f>
        <v>-</v>
      </c>
      <c r="I288" s="197">
        <f>AVERAGE(I78:I82)</f>
        <v>0</v>
      </c>
      <c r="J288" s="197">
        <f>AVERAGE(J78:J82)</f>
        <v>34032.6</v>
      </c>
      <c r="K288" s="203">
        <f>AVERAGE(K78:K82)</f>
        <v>34043.599999999999</v>
      </c>
      <c r="L288" s="197"/>
      <c r="M288" s="197">
        <f t="shared" ref="M288:R288" si="161">AVERAGE(M78:M82)</f>
        <v>19.600000000000001</v>
      </c>
      <c r="N288" s="203">
        <f t="shared" si="161"/>
        <v>2</v>
      </c>
      <c r="O288" s="203">
        <f t="shared" si="161"/>
        <v>3.2</v>
      </c>
      <c r="P288" s="203">
        <f t="shared" si="161"/>
        <v>5938</v>
      </c>
      <c r="Q288" s="203">
        <f t="shared" si="161"/>
        <v>14569.8</v>
      </c>
      <c r="R288" s="203">
        <f t="shared" si="161"/>
        <v>8744.4</v>
      </c>
      <c r="S288" s="203" t="str">
        <f>+S78</f>
        <v>-</v>
      </c>
      <c r="T288" s="197">
        <f>AVERAGE(T78:T82)</f>
        <v>0</v>
      </c>
      <c r="U288" s="197">
        <f>AVERAGE(U78:U82)</f>
        <v>29257.4</v>
      </c>
      <c r="V288" s="203">
        <f>AVERAGE(V78:V82)</f>
        <v>29277</v>
      </c>
    </row>
    <row r="289" spans="1:22" ht="11.25" customHeight="1" x14ac:dyDescent="0.2">
      <c r="A289" s="477">
        <v>2006</v>
      </c>
      <c r="B289" s="197">
        <f t="shared" ref="B289:K289" si="162">+B83</f>
        <v>6</v>
      </c>
      <c r="C289" s="203">
        <f t="shared" si="162"/>
        <v>2565</v>
      </c>
      <c r="D289" s="203">
        <f t="shared" si="162"/>
        <v>5714</v>
      </c>
      <c r="E289" s="203">
        <f t="shared" si="162"/>
        <v>6827</v>
      </c>
      <c r="F289" s="203">
        <f t="shared" si="162"/>
        <v>5696</v>
      </c>
      <c r="G289" s="203">
        <f t="shared" si="162"/>
        <v>4744</v>
      </c>
      <c r="H289" s="203" t="str">
        <f t="shared" si="162"/>
        <v>-</v>
      </c>
      <c r="I289" s="197">
        <f t="shared" si="162"/>
        <v>35</v>
      </c>
      <c r="J289" s="197">
        <f t="shared" si="162"/>
        <v>25546</v>
      </c>
      <c r="K289" s="203">
        <f t="shared" si="162"/>
        <v>25587</v>
      </c>
      <c r="L289" s="197"/>
      <c r="M289" s="197">
        <f t="shared" ref="M289:V289" si="163">+M83</f>
        <v>2</v>
      </c>
      <c r="N289" s="203">
        <f t="shared" si="163"/>
        <v>15</v>
      </c>
      <c r="O289" s="203">
        <f t="shared" si="163"/>
        <v>99</v>
      </c>
      <c r="P289" s="203">
        <f t="shared" si="163"/>
        <v>9928</v>
      </c>
      <c r="Q289" s="203">
        <f t="shared" si="163"/>
        <v>9304</v>
      </c>
      <c r="R289" s="203">
        <f t="shared" si="163"/>
        <v>10418</v>
      </c>
      <c r="S289" s="203" t="str">
        <f t="shared" si="163"/>
        <v>-</v>
      </c>
      <c r="T289" s="197">
        <f t="shared" si="163"/>
        <v>0</v>
      </c>
      <c r="U289" s="197">
        <f t="shared" si="163"/>
        <v>29764</v>
      </c>
      <c r="V289" s="203">
        <f t="shared" si="163"/>
        <v>29766</v>
      </c>
    </row>
    <row r="290" spans="1:22" s="467" customFormat="1" ht="11.25" customHeight="1" x14ac:dyDescent="0.2">
      <c r="A290" s="477">
        <v>2007</v>
      </c>
      <c r="B290" s="197">
        <f t="shared" ref="B290:K290" si="164">+B84</f>
        <v>0</v>
      </c>
      <c r="C290" s="203">
        <f t="shared" si="164"/>
        <v>263</v>
      </c>
      <c r="D290" s="203">
        <f t="shared" si="164"/>
        <v>12532</v>
      </c>
      <c r="E290" s="203">
        <f t="shared" si="164"/>
        <v>2639</v>
      </c>
      <c r="F290" s="203">
        <f t="shared" si="164"/>
        <v>4099</v>
      </c>
      <c r="G290" s="203">
        <f t="shared" si="164"/>
        <v>52</v>
      </c>
      <c r="H290" s="203" t="str">
        <f t="shared" si="164"/>
        <v>-</v>
      </c>
      <c r="I290" s="197">
        <f t="shared" si="164"/>
        <v>0</v>
      </c>
      <c r="J290" s="197">
        <f t="shared" si="164"/>
        <v>19585</v>
      </c>
      <c r="K290" s="203">
        <f t="shared" si="164"/>
        <v>19585</v>
      </c>
      <c r="L290" s="197"/>
      <c r="M290" s="197">
        <f t="shared" ref="M290:V290" si="165">+M84</f>
        <v>0</v>
      </c>
      <c r="N290" s="203">
        <f t="shared" si="165"/>
        <v>0</v>
      </c>
      <c r="O290" s="203">
        <f t="shared" si="165"/>
        <v>12</v>
      </c>
      <c r="P290" s="203">
        <f t="shared" si="165"/>
        <v>20862</v>
      </c>
      <c r="Q290" s="203">
        <f t="shared" si="165"/>
        <v>14951</v>
      </c>
      <c r="R290" s="203">
        <f t="shared" si="165"/>
        <v>745</v>
      </c>
      <c r="S290" s="203" t="str">
        <f t="shared" si="165"/>
        <v>-</v>
      </c>
      <c r="T290" s="197">
        <f t="shared" si="165"/>
        <v>0</v>
      </c>
      <c r="U290" s="197">
        <f t="shared" si="165"/>
        <v>36570</v>
      </c>
      <c r="V290" s="203">
        <f t="shared" si="165"/>
        <v>36570</v>
      </c>
    </row>
    <row r="291" spans="1:22" s="467" customFormat="1" ht="11.25" customHeight="1" x14ac:dyDescent="0.2">
      <c r="A291" s="477">
        <v>2008</v>
      </c>
      <c r="B291" s="197">
        <f t="shared" ref="B291:K291" si="166">+B85</f>
        <v>55</v>
      </c>
      <c r="C291" s="203">
        <f t="shared" si="166"/>
        <v>242</v>
      </c>
      <c r="D291" s="203">
        <f t="shared" si="166"/>
        <v>5694</v>
      </c>
      <c r="E291" s="203">
        <f t="shared" si="166"/>
        <v>1066</v>
      </c>
      <c r="F291" s="203">
        <f t="shared" si="166"/>
        <v>3119</v>
      </c>
      <c r="G291" s="203">
        <f t="shared" si="166"/>
        <v>3071</v>
      </c>
      <c r="H291" s="203" t="str">
        <f t="shared" si="166"/>
        <v>-</v>
      </c>
      <c r="I291" s="197">
        <f t="shared" si="166"/>
        <v>0</v>
      </c>
      <c r="J291" s="197">
        <f t="shared" si="166"/>
        <v>13192</v>
      </c>
      <c r="K291" s="203">
        <f t="shared" si="166"/>
        <v>13247</v>
      </c>
      <c r="L291" s="197"/>
      <c r="M291" s="197">
        <f t="shared" ref="M291:V291" si="167">+M85</f>
        <v>17</v>
      </c>
      <c r="N291" s="203">
        <f t="shared" si="167"/>
        <v>0</v>
      </c>
      <c r="O291" s="203">
        <f t="shared" si="167"/>
        <v>8</v>
      </c>
      <c r="P291" s="203">
        <f t="shared" si="167"/>
        <v>511</v>
      </c>
      <c r="Q291" s="203">
        <f t="shared" si="167"/>
        <v>2107</v>
      </c>
      <c r="R291" s="203">
        <f t="shared" si="167"/>
        <v>9304</v>
      </c>
      <c r="S291" s="203" t="str">
        <f t="shared" si="167"/>
        <v>-</v>
      </c>
      <c r="T291" s="197">
        <f t="shared" si="167"/>
        <v>0</v>
      </c>
      <c r="U291" s="197">
        <f t="shared" si="167"/>
        <v>11930</v>
      </c>
      <c r="V291" s="203">
        <f t="shared" si="167"/>
        <v>11947</v>
      </c>
    </row>
    <row r="292" spans="1:22" s="467" customFormat="1" ht="11.25" customHeight="1" x14ac:dyDescent="0.2">
      <c r="A292" s="477">
        <v>2009</v>
      </c>
      <c r="B292" s="197">
        <f t="shared" ref="B292:K292" si="168">+B86</f>
        <v>0</v>
      </c>
      <c r="C292" s="203">
        <f t="shared" si="168"/>
        <v>799</v>
      </c>
      <c r="D292" s="203">
        <f t="shared" si="168"/>
        <v>1083</v>
      </c>
      <c r="E292" s="203">
        <f t="shared" si="168"/>
        <v>1615</v>
      </c>
      <c r="F292" s="203">
        <f t="shared" si="168"/>
        <v>1649</v>
      </c>
      <c r="G292" s="203">
        <f t="shared" si="168"/>
        <v>0</v>
      </c>
      <c r="H292" s="203" t="str">
        <f t="shared" si="168"/>
        <v>-</v>
      </c>
      <c r="I292" s="197">
        <f t="shared" si="168"/>
        <v>0</v>
      </c>
      <c r="J292" s="197">
        <f t="shared" si="168"/>
        <v>5146</v>
      </c>
      <c r="K292" s="203">
        <f t="shared" si="168"/>
        <v>5146</v>
      </c>
      <c r="L292" s="197"/>
      <c r="M292" s="197">
        <f t="shared" ref="M292:V292" si="169">+M86</f>
        <v>0</v>
      </c>
      <c r="N292" s="203">
        <f t="shared" si="169"/>
        <v>0</v>
      </c>
      <c r="O292" s="203">
        <f t="shared" si="169"/>
        <v>0</v>
      </c>
      <c r="P292" s="203">
        <f t="shared" si="169"/>
        <v>21558</v>
      </c>
      <c r="Q292" s="203">
        <f t="shared" si="169"/>
        <v>23832</v>
      </c>
      <c r="R292" s="203">
        <f t="shared" si="169"/>
        <v>0</v>
      </c>
      <c r="S292" s="203" t="str">
        <f t="shared" si="169"/>
        <v>-</v>
      </c>
      <c r="T292" s="197">
        <f t="shared" si="169"/>
        <v>0</v>
      </c>
      <c r="U292" s="197">
        <f t="shared" si="169"/>
        <v>45390</v>
      </c>
      <c r="V292" s="203">
        <f t="shared" si="169"/>
        <v>45390</v>
      </c>
    </row>
    <row r="293" spans="1:22" s="467" customFormat="1" ht="11.25" customHeight="1" x14ac:dyDescent="0.2">
      <c r="A293" s="477">
        <v>2010</v>
      </c>
      <c r="B293" s="197">
        <f t="shared" ref="B293:K293" si="170">+B87</f>
        <v>0</v>
      </c>
      <c r="C293" s="203">
        <f t="shared" si="170"/>
        <v>231</v>
      </c>
      <c r="D293" s="203">
        <f t="shared" si="170"/>
        <v>8059</v>
      </c>
      <c r="E293" s="203">
        <f t="shared" si="170"/>
        <v>5080</v>
      </c>
      <c r="F293" s="203">
        <f t="shared" si="170"/>
        <v>8486</v>
      </c>
      <c r="G293" s="203">
        <f t="shared" si="170"/>
        <v>957</v>
      </c>
      <c r="H293" s="203" t="str">
        <f t="shared" si="170"/>
        <v>-</v>
      </c>
      <c r="I293" s="197">
        <f t="shared" si="170"/>
        <v>0</v>
      </c>
      <c r="J293" s="197">
        <f t="shared" si="170"/>
        <v>22813</v>
      </c>
      <c r="K293" s="203">
        <f t="shared" si="170"/>
        <v>22813</v>
      </c>
      <c r="L293" s="197"/>
      <c r="M293" s="197">
        <f t="shared" ref="M293:V293" si="171">+M87</f>
        <v>0</v>
      </c>
      <c r="N293" s="203">
        <f t="shared" si="171"/>
        <v>0</v>
      </c>
      <c r="O293" s="203">
        <f t="shared" si="171"/>
        <v>13</v>
      </c>
      <c r="P293" s="203">
        <f t="shared" si="171"/>
        <v>1304</v>
      </c>
      <c r="Q293" s="203">
        <f t="shared" si="171"/>
        <v>4580</v>
      </c>
      <c r="R293" s="203">
        <f t="shared" si="171"/>
        <v>2882</v>
      </c>
      <c r="S293" s="203" t="str">
        <f t="shared" si="171"/>
        <v>-</v>
      </c>
      <c r="T293" s="197">
        <f t="shared" si="171"/>
        <v>0</v>
      </c>
      <c r="U293" s="197">
        <f t="shared" si="171"/>
        <v>8779</v>
      </c>
      <c r="V293" s="203">
        <f t="shared" si="171"/>
        <v>8779</v>
      </c>
    </row>
    <row r="294" spans="1:22" s="467" customFormat="1" ht="11.25" customHeight="1" x14ac:dyDescent="0.2">
      <c r="A294" s="477">
        <v>2011</v>
      </c>
      <c r="B294" s="197">
        <f t="shared" ref="B294:K294" si="172">+B88</f>
        <v>0</v>
      </c>
      <c r="C294" s="203">
        <f t="shared" si="172"/>
        <v>535</v>
      </c>
      <c r="D294" s="203">
        <f t="shared" si="172"/>
        <v>7701</v>
      </c>
      <c r="E294" s="203">
        <f t="shared" si="172"/>
        <v>14462</v>
      </c>
      <c r="F294" s="203">
        <f t="shared" si="172"/>
        <v>5014</v>
      </c>
      <c r="G294" s="203">
        <f t="shared" si="172"/>
        <v>359</v>
      </c>
      <c r="H294" s="203" t="str">
        <f t="shared" si="172"/>
        <v>-</v>
      </c>
      <c r="I294" s="197">
        <f t="shared" si="172"/>
        <v>0</v>
      </c>
      <c r="J294" s="197">
        <f t="shared" si="172"/>
        <v>28071</v>
      </c>
      <c r="K294" s="203">
        <f t="shared" si="172"/>
        <v>28071</v>
      </c>
      <c r="L294" s="197"/>
      <c r="M294" s="197">
        <f t="shared" ref="M294:V294" si="173">+M88</f>
        <v>0</v>
      </c>
      <c r="N294" s="203">
        <f t="shared" si="173"/>
        <v>0</v>
      </c>
      <c r="O294" s="203">
        <f t="shared" si="173"/>
        <v>0</v>
      </c>
      <c r="P294" s="203">
        <f t="shared" si="173"/>
        <v>1951</v>
      </c>
      <c r="Q294" s="203">
        <f t="shared" si="173"/>
        <v>4196</v>
      </c>
      <c r="R294" s="203">
        <f t="shared" si="173"/>
        <v>6174</v>
      </c>
      <c r="S294" s="203" t="str">
        <f t="shared" si="173"/>
        <v>-</v>
      </c>
      <c r="T294" s="197">
        <f t="shared" si="173"/>
        <v>0</v>
      </c>
      <c r="U294" s="197">
        <f t="shared" si="173"/>
        <v>12321</v>
      </c>
      <c r="V294" s="203">
        <f t="shared" si="173"/>
        <v>12321</v>
      </c>
    </row>
    <row r="295" spans="1:22" s="467" customFormat="1" ht="11.25" customHeight="1" x14ac:dyDescent="0.2">
      <c r="A295" s="477">
        <v>2012</v>
      </c>
      <c r="B295" s="197">
        <f t="shared" ref="B295:K295" si="174">+B89</f>
        <v>0</v>
      </c>
      <c r="C295" s="203">
        <f t="shared" si="174"/>
        <v>2975</v>
      </c>
      <c r="D295" s="203">
        <f t="shared" si="174"/>
        <v>19218</v>
      </c>
      <c r="E295" s="203">
        <f t="shared" si="174"/>
        <v>8805</v>
      </c>
      <c r="F295" s="203">
        <f t="shared" si="174"/>
        <v>13121</v>
      </c>
      <c r="G295" s="203">
        <f t="shared" si="174"/>
        <v>4627</v>
      </c>
      <c r="H295" s="203" t="str">
        <f t="shared" si="174"/>
        <v>-</v>
      </c>
      <c r="I295" s="197">
        <f t="shared" si="174"/>
        <v>0</v>
      </c>
      <c r="J295" s="197">
        <f t="shared" si="174"/>
        <v>48746</v>
      </c>
      <c r="K295" s="203">
        <f t="shared" si="174"/>
        <v>48746</v>
      </c>
      <c r="L295" s="197"/>
      <c r="M295" s="197">
        <f t="shared" ref="M295:V295" si="175">+M89</f>
        <v>0</v>
      </c>
      <c r="N295" s="203">
        <f t="shared" si="175"/>
        <v>1</v>
      </c>
      <c r="O295" s="203">
        <f t="shared" si="175"/>
        <v>27</v>
      </c>
      <c r="P295" s="203">
        <f t="shared" si="175"/>
        <v>2131</v>
      </c>
      <c r="Q295" s="203">
        <f t="shared" si="175"/>
        <v>16750</v>
      </c>
      <c r="R295" s="203">
        <f t="shared" si="175"/>
        <v>15524</v>
      </c>
      <c r="S295" s="203" t="str">
        <f t="shared" si="175"/>
        <v>-</v>
      </c>
      <c r="T295" s="197">
        <f t="shared" si="175"/>
        <v>0</v>
      </c>
      <c r="U295" s="197">
        <f t="shared" si="175"/>
        <v>34433</v>
      </c>
      <c r="V295" s="203">
        <f t="shared" si="175"/>
        <v>34433</v>
      </c>
    </row>
    <row r="296" spans="1:22" s="467" customFormat="1" ht="11.25" customHeight="1" x14ac:dyDescent="0.2">
      <c r="A296" s="477">
        <v>2013</v>
      </c>
      <c r="B296" s="197">
        <f t="shared" ref="B296:K296" si="176">+B90</f>
        <v>0</v>
      </c>
      <c r="C296" s="203">
        <f t="shared" si="176"/>
        <v>8983</v>
      </c>
      <c r="D296" s="203">
        <f t="shared" si="176"/>
        <v>13788</v>
      </c>
      <c r="E296" s="203">
        <f t="shared" si="176"/>
        <v>7834</v>
      </c>
      <c r="F296" s="203">
        <f t="shared" si="176"/>
        <v>6995</v>
      </c>
      <c r="G296" s="203">
        <f t="shared" si="176"/>
        <v>2073</v>
      </c>
      <c r="H296" s="203" t="str">
        <f t="shared" si="176"/>
        <v>-</v>
      </c>
      <c r="I296" s="197">
        <f t="shared" si="176"/>
        <v>0</v>
      </c>
      <c r="J296" s="197">
        <f t="shared" si="176"/>
        <v>39673</v>
      </c>
      <c r="K296" s="203">
        <f t="shared" si="176"/>
        <v>39673</v>
      </c>
      <c r="L296" s="197"/>
      <c r="M296" s="197">
        <f t="shared" ref="M296:V296" si="177">+M90</f>
        <v>0</v>
      </c>
      <c r="N296" s="203">
        <f t="shared" si="177"/>
        <v>0</v>
      </c>
      <c r="O296" s="203">
        <f t="shared" si="177"/>
        <v>0</v>
      </c>
      <c r="P296" s="203">
        <f t="shared" si="177"/>
        <v>6955</v>
      </c>
      <c r="Q296" s="203">
        <f t="shared" si="177"/>
        <v>33559</v>
      </c>
      <c r="R296" s="203">
        <f t="shared" si="177"/>
        <v>3847</v>
      </c>
      <c r="S296" s="203" t="str">
        <f t="shared" si="177"/>
        <v>-</v>
      </c>
      <c r="T296" s="197">
        <f t="shared" si="177"/>
        <v>1</v>
      </c>
      <c r="U296" s="197">
        <f t="shared" si="177"/>
        <v>44361</v>
      </c>
      <c r="V296" s="203">
        <f t="shared" si="177"/>
        <v>44362</v>
      </c>
    </row>
    <row r="297" spans="1:22" s="467" customFormat="1" ht="11.25" customHeight="1" x14ac:dyDescent="0.2">
      <c r="A297" s="477">
        <v>2014</v>
      </c>
      <c r="B297" s="197">
        <f t="shared" ref="B297:K297" si="178">+B91</f>
        <v>0</v>
      </c>
      <c r="C297" s="203">
        <f t="shared" si="178"/>
        <v>7247</v>
      </c>
      <c r="D297" s="203">
        <f t="shared" si="178"/>
        <v>5754</v>
      </c>
      <c r="E297" s="203">
        <f t="shared" si="178"/>
        <v>4362</v>
      </c>
      <c r="F297" s="203">
        <f t="shared" si="178"/>
        <v>2617</v>
      </c>
      <c r="G297" s="203">
        <f t="shared" si="178"/>
        <v>492</v>
      </c>
      <c r="H297" s="203" t="str">
        <f t="shared" si="178"/>
        <v>-</v>
      </c>
      <c r="I297" s="197">
        <f t="shared" si="178"/>
        <v>0</v>
      </c>
      <c r="J297" s="197">
        <f t="shared" si="178"/>
        <v>20472</v>
      </c>
      <c r="K297" s="203">
        <f t="shared" si="178"/>
        <v>20472</v>
      </c>
      <c r="L297" s="197"/>
      <c r="M297" s="197">
        <f t="shared" ref="M297:V297" si="179">+M91</f>
        <v>0</v>
      </c>
      <c r="N297" s="203">
        <f t="shared" si="179"/>
        <v>0</v>
      </c>
      <c r="O297" s="203">
        <f t="shared" si="179"/>
        <v>11</v>
      </c>
      <c r="P297" s="203">
        <f t="shared" si="179"/>
        <v>2852</v>
      </c>
      <c r="Q297" s="203">
        <f t="shared" si="179"/>
        <v>9739</v>
      </c>
      <c r="R297" s="203">
        <f t="shared" si="179"/>
        <v>1070</v>
      </c>
      <c r="S297" s="203" t="str">
        <f t="shared" si="179"/>
        <v>-</v>
      </c>
      <c r="T297" s="197">
        <f t="shared" si="179"/>
        <v>0</v>
      </c>
      <c r="U297" s="197">
        <f t="shared" si="179"/>
        <v>13672</v>
      </c>
      <c r="V297" s="203">
        <f t="shared" si="179"/>
        <v>13672</v>
      </c>
    </row>
    <row r="298" spans="1:22" s="467" customFormat="1" ht="11.25" customHeight="1" x14ac:dyDescent="0.2">
      <c r="A298" s="477">
        <v>2015</v>
      </c>
      <c r="B298" s="197">
        <f t="shared" ref="B298:K298" si="180">+B92</f>
        <v>0</v>
      </c>
      <c r="C298" s="203">
        <f t="shared" si="180"/>
        <v>1196</v>
      </c>
      <c r="D298" s="203">
        <f t="shared" si="180"/>
        <v>17352</v>
      </c>
      <c r="E298" s="203">
        <f t="shared" si="180"/>
        <v>7361</v>
      </c>
      <c r="F298" s="203">
        <f t="shared" si="180"/>
        <v>1153</v>
      </c>
      <c r="G298" s="203">
        <f t="shared" si="180"/>
        <v>189</v>
      </c>
      <c r="H298" s="203" t="str">
        <f t="shared" si="180"/>
        <v>-</v>
      </c>
      <c r="I298" s="197">
        <f t="shared" si="180"/>
        <v>0</v>
      </c>
      <c r="J298" s="197">
        <f t="shared" si="180"/>
        <v>27251</v>
      </c>
      <c r="K298" s="203">
        <f t="shared" si="180"/>
        <v>27251</v>
      </c>
      <c r="L298" s="197"/>
      <c r="M298" s="197">
        <f t="shared" ref="M298:V298" si="181">+M92</f>
        <v>0</v>
      </c>
      <c r="N298" s="203">
        <f t="shared" si="181"/>
        <v>0</v>
      </c>
      <c r="O298" s="203">
        <f t="shared" si="181"/>
        <v>0</v>
      </c>
      <c r="P298" s="203">
        <f t="shared" si="181"/>
        <v>881</v>
      </c>
      <c r="Q298" s="203">
        <f t="shared" si="181"/>
        <v>568</v>
      </c>
      <c r="R298" s="203">
        <f t="shared" si="181"/>
        <v>218</v>
      </c>
      <c r="S298" s="203" t="str">
        <f t="shared" si="181"/>
        <v>-</v>
      </c>
      <c r="T298" s="197">
        <f t="shared" si="181"/>
        <v>0</v>
      </c>
      <c r="U298" s="197">
        <f t="shared" si="181"/>
        <v>1667</v>
      </c>
      <c r="V298" s="203">
        <f t="shared" si="181"/>
        <v>1667</v>
      </c>
    </row>
    <row r="299" spans="1:22" s="467" customFormat="1" ht="11.25" customHeight="1" x14ac:dyDescent="0.2">
      <c r="A299" s="477">
        <v>2016</v>
      </c>
      <c r="B299" s="197">
        <f t="shared" ref="B299:K299" si="182">+B93</f>
        <v>0</v>
      </c>
      <c r="C299" s="203">
        <f t="shared" si="182"/>
        <v>372</v>
      </c>
      <c r="D299" s="203">
        <f t="shared" si="182"/>
        <v>12687</v>
      </c>
      <c r="E299" s="203">
        <f t="shared" si="182"/>
        <v>4342</v>
      </c>
      <c r="F299" s="203">
        <f t="shared" si="182"/>
        <v>1036</v>
      </c>
      <c r="G299" s="203">
        <f t="shared" si="182"/>
        <v>0</v>
      </c>
      <c r="H299" s="203" t="str">
        <f t="shared" si="182"/>
        <v>-</v>
      </c>
      <c r="I299" s="197">
        <f t="shared" si="182"/>
        <v>1</v>
      </c>
      <c r="J299" s="197">
        <f t="shared" si="182"/>
        <v>18437</v>
      </c>
      <c r="K299" s="203">
        <f t="shared" si="182"/>
        <v>18438</v>
      </c>
      <c r="L299" s="197"/>
      <c r="M299" s="197">
        <f t="shared" ref="M299:V299" si="183">+M93</f>
        <v>0</v>
      </c>
      <c r="N299" s="203">
        <f t="shared" si="183"/>
        <v>0</v>
      </c>
      <c r="O299" s="203">
        <f t="shared" si="183"/>
        <v>0</v>
      </c>
      <c r="P299" s="203">
        <f t="shared" si="183"/>
        <v>15</v>
      </c>
      <c r="Q299" s="203">
        <f t="shared" si="183"/>
        <v>0</v>
      </c>
      <c r="R299" s="203">
        <f t="shared" si="183"/>
        <v>0</v>
      </c>
      <c r="S299" s="203" t="str">
        <f t="shared" si="183"/>
        <v>-</v>
      </c>
      <c r="T299" s="197">
        <f t="shared" si="183"/>
        <v>1</v>
      </c>
      <c r="U299" s="197">
        <f t="shared" si="183"/>
        <v>15</v>
      </c>
      <c r="V299" s="203">
        <f t="shared" si="183"/>
        <v>16</v>
      </c>
    </row>
    <row r="300" spans="1:22" s="467" customFormat="1" ht="11.25" customHeight="1" x14ac:dyDescent="0.2">
      <c r="A300" s="477">
        <v>2017</v>
      </c>
      <c r="B300" s="197">
        <f t="shared" ref="B300:K300" si="184">+B94</f>
        <v>0</v>
      </c>
      <c r="C300" s="203">
        <f t="shared" si="184"/>
        <v>1099</v>
      </c>
      <c r="D300" s="203">
        <f t="shared" si="184"/>
        <v>1297</v>
      </c>
      <c r="E300" s="203">
        <f t="shared" si="184"/>
        <v>15296</v>
      </c>
      <c r="F300" s="203">
        <f t="shared" si="184"/>
        <v>4316</v>
      </c>
      <c r="G300" s="203">
        <f t="shared" si="184"/>
        <v>589</v>
      </c>
      <c r="H300" s="203" t="str">
        <f t="shared" si="184"/>
        <v>-</v>
      </c>
      <c r="I300" s="197">
        <f t="shared" si="184"/>
        <v>0</v>
      </c>
      <c r="J300" s="197">
        <f t="shared" si="184"/>
        <v>22597</v>
      </c>
      <c r="K300" s="203">
        <f t="shared" si="184"/>
        <v>22597</v>
      </c>
      <c r="L300" s="197"/>
      <c r="M300" s="197">
        <f t="shared" ref="M300:V300" si="185">+M94</f>
        <v>0</v>
      </c>
      <c r="N300" s="203">
        <f t="shared" si="185"/>
        <v>0</v>
      </c>
      <c r="O300" s="203">
        <f t="shared" si="185"/>
        <v>0</v>
      </c>
      <c r="P300" s="203">
        <f t="shared" si="185"/>
        <v>833</v>
      </c>
      <c r="Q300" s="203">
        <f t="shared" si="185"/>
        <v>6811</v>
      </c>
      <c r="R300" s="203">
        <f t="shared" si="185"/>
        <v>4363</v>
      </c>
      <c r="S300" s="203" t="str">
        <f t="shared" si="185"/>
        <v>-</v>
      </c>
      <c r="T300" s="197">
        <f t="shared" si="185"/>
        <v>0</v>
      </c>
      <c r="U300" s="197">
        <f t="shared" si="185"/>
        <v>12007</v>
      </c>
      <c r="V300" s="203">
        <f t="shared" si="185"/>
        <v>12007</v>
      </c>
    </row>
    <row r="301" spans="1:22" s="467" customFormat="1" ht="11.25" customHeight="1" x14ac:dyDescent="0.2">
      <c r="A301" s="477">
        <v>2018</v>
      </c>
      <c r="B301" s="197">
        <f t="shared" ref="B301:K301" si="186">+B95</f>
        <v>0</v>
      </c>
      <c r="C301" s="203">
        <f t="shared" si="186"/>
        <v>521</v>
      </c>
      <c r="D301" s="203">
        <f t="shared" si="186"/>
        <v>9216</v>
      </c>
      <c r="E301" s="203">
        <f t="shared" si="186"/>
        <v>7952</v>
      </c>
      <c r="F301" s="203">
        <f t="shared" si="186"/>
        <v>1604</v>
      </c>
      <c r="G301" s="203">
        <f t="shared" si="186"/>
        <v>397</v>
      </c>
      <c r="H301" s="203" t="str">
        <f t="shared" si="186"/>
        <v>-</v>
      </c>
      <c r="I301" s="197">
        <f t="shared" si="186"/>
        <v>0</v>
      </c>
      <c r="J301" s="197">
        <f t="shared" si="186"/>
        <v>19690</v>
      </c>
      <c r="K301" s="203">
        <f t="shared" si="186"/>
        <v>19690</v>
      </c>
      <c r="L301" s="197"/>
      <c r="M301" s="197">
        <f t="shared" ref="M301:V301" si="187">+M95</f>
        <v>0</v>
      </c>
      <c r="N301" s="203">
        <f t="shared" si="187"/>
        <v>0</v>
      </c>
      <c r="O301" s="203">
        <f t="shared" si="187"/>
        <v>12</v>
      </c>
      <c r="P301" s="203">
        <f t="shared" si="187"/>
        <v>1559</v>
      </c>
      <c r="Q301" s="203">
        <f t="shared" si="187"/>
        <v>4781</v>
      </c>
      <c r="R301" s="203">
        <f t="shared" si="187"/>
        <v>3972</v>
      </c>
      <c r="S301" s="203" t="str">
        <f t="shared" si="187"/>
        <v>-</v>
      </c>
      <c r="T301" s="197">
        <f t="shared" si="187"/>
        <v>0</v>
      </c>
      <c r="U301" s="197">
        <f t="shared" si="187"/>
        <v>10324</v>
      </c>
      <c r="V301" s="203">
        <f t="shared" si="187"/>
        <v>10324</v>
      </c>
    </row>
    <row r="302" spans="1:22" s="487" customFormat="1" ht="11.25" customHeight="1" x14ac:dyDescent="0.2">
      <c r="A302" s="491">
        <v>2019</v>
      </c>
      <c r="B302" s="197">
        <f t="shared" ref="B302:K303" si="188">+B96</f>
        <v>0</v>
      </c>
      <c r="C302" s="203">
        <f t="shared" si="188"/>
        <v>186</v>
      </c>
      <c r="D302" s="203">
        <f t="shared" si="188"/>
        <v>1492</v>
      </c>
      <c r="E302" s="203">
        <f t="shared" si="188"/>
        <v>11589</v>
      </c>
      <c r="F302" s="203">
        <f t="shared" si="188"/>
        <v>2709</v>
      </c>
      <c r="G302" s="203">
        <f t="shared" si="188"/>
        <v>224</v>
      </c>
      <c r="H302" s="203" t="str">
        <f t="shared" si="188"/>
        <v>-</v>
      </c>
      <c r="I302" s="197">
        <f t="shared" si="188"/>
        <v>0</v>
      </c>
      <c r="J302" s="197">
        <f t="shared" si="188"/>
        <v>16200</v>
      </c>
      <c r="K302" s="203">
        <f t="shared" si="188"/>
        <v>16200</v>
      </c>
      <c r="L302" s="197"/>
      <c r="M302" s="197">
        <f t="shared" ref="M302:V303" si="189">+M96</f>
        <v>0</v>
      </c>
      <c r="N302" s="203">
        <f t="shared" si="189"/>
        <v>0</v>
      </c>
      <c r="O302" s="203">
        <f t="shared" si="189"/>
        <v>0</v>
      </c>
      <c r="P302" s="203">
        <f t="shared" si="189"/>
        <v>13981</v>
      </c>
      <c r="Q302" s="203">
        <f t="shared" si="189"/>
        <v>31842</v>
      </c>
      <c r="R302" s="203">
        <f t="shared" si="189"/>
        <v>5979</v>
      </c>
      <c r="S302" s="203" t="str">
        <f t="shared" si="189"/>
        <v>-</v>
      </c>
      <c r="T302" s="197">
        <f t="shared" si="189"/>
        <v>0</v>
      </c>
      <c r="U302" s="197">
        <f t="shared" si="189"/>
        <v>51802</v>
      </c>
      <c r="V302" s="203">
        <f t="shared" si="189"/>
        <v>51802</v>
      </c>
    </row>
    <row r="303" spans="1:22" ht="11.25" customHeight="1" x14ac:dyDescent="0.2">
      <c r="A303" s="491" t="s">
        <v>392</v>
      </c>
      <c r="B303" s="197">
        <f t="shared" si="188"/>
        <v>0</v>
      </c>
      <c r="C303" s="203">
        <f t="shared" si="188"/>
        <v>0</v>
      </c>
      <c r="D303" s="203">
        <f t="shared" si="188"/>
        <v>0</v>
      </c>
      <c r="E303" s="203">
        <f t="shared" si="188"/>
        <v>290</v>
      </c>
      <c r="F303" s="203">
        <f t="shared" si="188"/>
        <v>1500</v>
      </c>
      <c r="G303" s="203">
        <f t="shared" si="188"/>
        <v>44</v>
      </c>
      <c r="H303" s="203" t="str">
        <f t="shared" si="188"/>
        <v>-</v>
      </c>
      <c r="I303" s="197">
        <f t="shared" si="188"/>
        <v>0</v>
      </c>
      <c r="J303" s="197">
        <f t="shared" si="188"/>
        <v>1834</v>
      </c>
      <c r="K303" s="203">
        <f t="shared" si="188"/>
        <v>1834</v>
      </c>
      <c r="L303" s="197"/>
      <c r="M303" s="197">
        <f t="shared" si="189"/>
        <v>0</v>
      </c>
      <c r="N303" s="203">
        <f t="shared" si="189"/>
        <v>0</v>
      </c>
      <c r="O303" s="203">
        <f t="shared" si="189"/>
        <v>0</v>
      </c>
      <c r="P303" s="203">
        <f t="shared" si="189"/>
        <v>348</v>
      </c>
      <c r="Q303" s="203">
        <f t="shared" si="189"/>
        <v>10377</v>
      </c>
      <c r="R303" s="203">
        <f t="shared" si="189"/>
        <v>2723</v>
      </c>
      <c r="S303" s="203" t="str">
        <f t="shared" si="189"/>
        <v>-</v>
      </c>
      <c r="T303" s="197">
        <f t="shared" si="189"/>
        <v>0</v>
      </c>
      <c r="U303" s="197">
        <f t="shared" si="189"/>
        <v>13448</v>
      </c>
      <c r="V303" s="203">
        <f t="shared" si="189"/>
        <v>13448</v>
      </c>
    </row>
    <row r="304" spans="1:22" ht="11.25" customHeight="1" x14ac:dyDescent="0.2">
      <c r="V304" s="193"/>
    </row>
    <row r="305" spans="1:22" ht="11.25" customHeight="1" x14ac:dyDescent="0.2">
      <c r="A305" s="522" t="s">
        <v>141</v>
      </c>
      <c r="B305" s="522"/>
      <c r="C305" s="522"/>
      <c r="D305" s="522"/>
      <c r="E305" s="522"/>
      <c r="F305" s="522"/>
      <c r="G305" s="522"/>
      <c r="H305" s="522"/>
      <c r="I305" s="522"/>
      <c r="J305" s="522"/>
      <c r="K305" s="522"/>
      <c r="L305" s="522"/>
      <c r="M305" s="522"/>
      <c r="N305" s="522"/>
      <c r="O305" s="522"/>
      <c r="P305" s="522"/>
      <c r="Q305" s="522"/>
      <c r="R305" s="522"/>
      <c r="S305" s="522"/>
      <c r="T305" s="522"/>
      <c r="U305" s="522"/>
      <c r="V305" s="522"/>
    </row>
    <row r="306" spans="1:22" ht="11.25" customHeight="1" x14ac:dyDescent="0.2">
      <c r="A306" s="585" t="s">
        <v>33</v>
      </c>
      <c r="B306" s="23"/>
      <c r="C306" s="23"/>
      <c r="D306" s="23"/>
      <c r="E306" s="23"/>
      <c r="F306" s="23"/>
      <c r="G306" s="23"/>
      <c r="H306" s="23"/>
      <c r="I306" s="23"/>
      <c r="J306" s="587" t="s">
        <v>61</v>
      </c>
      <c r="K306" s="587"/>
      <c r="L306" s="23"/>
      <c r="M306" s="23"/>
      <c r="N306" s="23"/>
      <c r="O306" s="23"/>
      <c r="P306" s="23"/>
      <c r="Q306" s="23"/>
      <c r="R306" s="23"/>
      <c r="S306" s="23"/>
      <c r="T306" s="23"/>
      <c r="U306" s="587" t="s">
        <v>61</v>
      </c>
      <c r="V306" s="587"/>
    </row>
    <row r="307" spans="1:22" ht="11.25" customHeight="1" x14ac:dyDescent="0.2">
      <c r="A307" s="586"/>
      <c r="B307" s="20" t="s">
        <v>71</v>
      </c>
      <c r="C307" s="20" t="s">
        <v>35</v>
      </c>
      <c r="D307" s="20" t="s">
        <v>36</v>
      </c>
      <c r="E307" s="20" t="s">
        <v>37</v>
      </c>
      <c r="F307" s="20" t="s">
        <v>38</v>
      </c>
      <c r="G307" s="20" t="s">
        <v>39</v>
      </c>
      <c r="H307" s="20" t="s">
        <v>294</v>
      </c>
      <c r="I307" s="47" t="s">
        <v>73</v>
      </c>
      <c r="J307" s="47" t="s">
        <v>74</v>
      </c>
      <c r="K307" s="20" t="s">
        <v>52</v>
      </c>
      <c r="L307" s="20"/>
      <c r="M307" s="20" t="s">
        <v>71</v>
      </c>
      <c r="N307" s="20" t="s">
        <v>35</v>
      </c>
      <c r="O307" s="20" t="s">
        <v>36</v>
      </c>
      <c r="P307" s="20" t="s">
        <v>37</v>
      </c>
      <c r="Q307" s="20" t="s">
        <v>38</v>
      </c>
      <c r="R307" s="20" t="s">
        <v>39</v>
      </c>
      <c r="S307" s="20" t="s">
        <v>294</v>
      </c>
      <c r="T307" s="47" t="s">
        <v>73</v>
      </c>
      <c r="U307" s="47" t="s">
        <v>74</v>
      </c>
      <c r="V307" s="20" t="s">
        <v>52</v>
      </c>
    </row>
    <row r="308" spans="1:22" ht="11.25" customHeight="1" x14ac:dyDescent="0.2">
      <c r="A308" s="116"/>
      <c r="B308" s="583" t="s">
        <v>67</v>
      </c>
      <c r="C308" s="583"/>
      <c r="D308" s="583"/>
      <c r="E308" s="583"/>
      <c r="F308" s="583"/>
      <c r="G308" s="583"/>
      <c r="H308" s="583"/>
      <c r="I308" s="583"/>
      <c r="J308" s="583"/>
      <c r="K308" s="583"/>
      <c r="M308" s="583" t="s">
        <v>68</v>
      </c>
      <c r="N308" s="583"/>
      <c r="O308" s="583"/>
      <c r="P308" s="583"/>
      <c r="Q308" s="583"/>
      <c r="R308" s="583"/>
      <c r="S308" s="583"/>
      <c r="T308" s="583"/>
      <c r="U308" s="583"/>
      <c r="V308" s="583"/>
    </row>
    <row r="309" spans="1:22" ht="11.25" customHeight="1" x14ac:dyDescent="0.2">
      <c r="A309" s="116" t="s">
        <v>66</v>
      </c>
      <c r="V309" s="193"/>
    </row>
    <row r="310" spans="1:22" ht="11.25" customHeight="1" x14ac:dyDescent="0.2">
      <c r="A310" s="468" t="s">
        <v>30</v>
      </c>
      <c r="B310" s="197">
        <f t="shared" ref="B310:K310" si="190">AVERAGE(B105:B109)</f>
        <v>0</v>
      </c>
      <c r="C310" s="203">
        <f t="shared" si="190"/>
        <v>243</v>
      </c>
      <c r="D310" s="203">
        <f t="shared" si="190"/>
        <v>321.2</v>
      </c>
      <c r="E310" s="203">
        <f t="shared" si="190"/>
        <v>826.8</v>
      </c>
      <c r="F310" s="203">
        <f t="shared" si="190"/>
        <v>508.4</v>
      </c>
      <c r="G310" s="203">
        <f t="shared" si="190"/>
        <v>212.4</v>
      </c>
      <c r="H310" s="203">
        <f t="shared" si="190"/>
        <v>0</v>
      </c>
      <c r="I310" s="197">
        <f t="shared" si="190"/>
        <v>0</v>
      </c>
      <c r="J310" s="197">
        <f t="shared" si="190"/>
        <v>2111.8000000000002</v>
      </c>
      <c r="K310" s="203">
        <f t="shared" si="190"/>
        <v>2111.8000000000002</v>
      </c>
      <c r="L310" s="197"/>
      <c r="M310" s="197">
        <f t="shared" ref="M310:V310" si="191">AVERAGE(M105:M109)</f>
        <v>0</v>
      </c>
      <c r="N310" s="203">
        <f t="shared" si="191"/>
        <v>30.2</v>
      </c>
      <c r="O310" s="203">
        <f t="shared" si="191"/>
        <v>2251.1999999999998</v>
      </c>
      <c r="P310" s="203">
        <f t="shared" si="191"/>
        <v>5302</v>
      </c>
      <c r="Q310" s="203">
        <f t="shared" si="191"/>
        <v>6393.4</v>
      </c>
      <c r="R310" s="203">
        <f t="shared" si="191"/>
        <v>2855</v>
      </c>
      <c r="S310" s="203">
        <f t="shared" si="191"/>
        <v>0</v>
      </c>
      <c r="T310" s="197">
        <f t="shared" si="191"/>
        <v>0</v>
      </c>
      <c r="U310" s="197">
        <f t="shared" si="191"/>
        <v>16831.8</v>
      </c>
      <c r="V310" s="203">
        <f t="shared" si="191"/>
        <v>16831.8</v>
      </c>
    </row>
    <row r="311" spans="1:22" ht="11.25" customHeight="1" x14ac:dyDescent="0.2">
      <c r="A311" s="468" t="s">
        <v>87</v>
      </c>
      <c r="B311" s="197">
        <f t="shared" ref="B311:K311" si="192">AVERAGE(B110:B114)</f>
        <v>0</v>
      </c>
      <c r="C311" s="203">
        <f t="shared" si="192"/>
        <v>1062.2</v>
      </c>
      <c r="D311" s="203">
        <f t="shared" si="192"/>
        <v>943.8</v>
      </c>
      <c r="E311" s="203">
        <f t="shared" si="192"/>
        <v>2044.4</v>
      </c>
      <c r="F311" s="203">
        <f t="shared" si="192"/>
        <v>744</v>
      </c>
      <c r="G311" s="203">
        <f t="shared" si="192"/>
        <v>259.2</v>
      </c>
      <c r="H311" s="203" t="s">
        <v>29</v>
      </c>
      <c r="I311" s="197" t="s">
        <v>29</v>
      </c>
      <c r="J311" s="197">
        <f t="shared" si="192"/>
        <v>5053.6000000000004</v>
      </c>
      <c r="K311" s="203">
        <f t="shared" si="192"/>
        <v>5053.6000000000004</v>
      </c>
      <c r="L311" s="197"/>
      <c r="M311" s="197">
        <f t="shared" ref="M311:V311" si="193">AVERAGE(M110:M114)</f>
        <v>0</v>
      </c>
      <c r="N311" s="203">
        <f t="shared" si="193"/>
        <v>0</v>
      </c>
      <c r="O311" s="203">
        <f t="shared" si="193"/>
        <v>2694.4</v>
      </c>
      <c r="P311" s="203">
        <f t="shared" si="193"/>
        <v>8430</v>
      </c>
      <c r="Q311" s="203">
        <f t="shared" si="193"/>
        <v>7020.8</v>
      </c>
      <c r="R311" s="203">
        <f t="shared" si="193"/>
        <v>2250.1999999999998</v>
      </c>
      <c r="S311" s="203" t="s">
        <v>29</v>
      </c>
      <c r="T311" s="197" t="s">
        <v>29</v>
      </c>
      <c r="U311" s="197">
        <f t="shared" si="193"/>
        <v>20395.400000000001</v>
      </c>
      <c r="V311" s="203">
        <f t="shared" si="193"/>
        <v>20395.400000000001</v>
      </c>
    </row>
    <row r="312" spans="1:22" ht="11.25" customHeight="1" x14ac:dyDescent="0.2">
      <c r="A312" s="468" t="s">
        <v>14</v>
      </c>
      <c r="B312" s="197">
        <f>AVERAGE(B115:B119)</f>
        <v>0</v>
      </c>
      <c r="C312" s="203">
        <f t="shared" ref="C312:K312" si="194">AVERAGE(C115:C119)</f>
        <v>61</v>
      </c>
      <c r="D312" s="203">
        <f t="shared" si="194"/>
        <v>278.39999999999998</v>
      </c>
      <c r="E312" s="203">
        <f t="shared" si="194"/>
        <v>465</v>
      </c>
      <c r="F312" s="203">
        <f t="shared" si="194"/>
        <v>601.20000000000005</v>
      </c>
      <c r="G312" s="203">
        <f t="shared" si="194"/>
        <v>22.4</v>
      </c>
      <c r="H312" s="203" t="s">
        <v>29</v>
      </c>
      <c r="I312" s="197" t="s">
        <v>29</v>
      </c>
      <c r="J312" s="197">
        <f t="shared" si="194"/>
        <v>1428</v>
      </c>
      <c r="K312" s="203">
        <f t="shared" si="194"/>
        <v>1428</v>
      </c>
      <c r="L312" s="197"/>
      <c r="M312" s="197">
        <f t="shared" ref="M312:V312" si="195">AVERAGE(M115:M119)</f>
        <v>0</v>
      </c>
      <c r="N312" s="203">
        <f t="shared" si="195"/>
        <v>0</v>
      </c>
      <c r="O312" s="203">
        <f t="shared" si="195"/>
        <v>0</v>
      </c>
      <c r="P312" s="203">
        <f t="shared" si="195"/>
        <v>2863.2</v>
      </c>
      <c r="Q312" s="203">
        <f t="shared" si="195"/>
        <v>6123</v>
      </c>
      <c r="R312" s="203">
        <f t="shared" si="195"/>
        <v>201</v>
      </c>
      <c r="S312" s="203" t="s">
        <v>29</v>
      </c>
      <c r="T312" s="197" t="s">
        <v>29</v>
      </c>
      <c r="U312" s="197">
        <f t="shared" si="195"/>
        <v>9187.2000000000007</v>
      </c>
      <c r="V312" s="203">
        <f t="shared" si="195"/>
        <v>9187.2000000000007</v>
      </c>
    </row>
    <row r="313" spans="1:22" ht="11.25" customHeight="1" x14ac:dyDescent="0.2">
      <c r="A313" s="468" t="s">
        <v>207</v>
      </c>
      <c r="B313" s="197">
        <f>AVERAGE(B120:B124)</f>
        <v>0</v>
      </c>
      <c r="C313" s="203">
        <f t="shared" ref="C313:K313" si="196">AVERAGE(C120:C124)</f>
        <v>0</v>
      </c>
      <c r="D313" s="203">
        <f t="shared" si="196"/>
        <v>16.2</v>
      </c>
      <c r="E313" s="203">
        <f t="shared" si="196"/>
        <v>0</v>
      </c>
      <c r="F313" s="203">
        <f t="shared" si="196"/>
        <v>39.799999999999997</v>
      </c>
      <c r="G313" s="203">
        <f t="shared" si="196"/>
        <v>6.8</v>
      </c>
      <c r="H313" s="203" t="s">
        <v>29</v>
      </c>
      <c r="I313" s="197" t="s">
        <v>29</v>
      </c>
      <c r="J313" s="197">
        <f t="shared" si="196"/>
        <v>62.8</v>
      </c>
      <c r="K313" s="203">
        <f t="shared" si="196"/>
        <v>62.8</v>
      </c>
      <c r="L313" s="197"/>
      <c r="M313" s="197">
        <f t="shared" ref="M313:V313" si="197">AVERAGE(M120:M124)</f>
        <v>0</v>
      </c>
      <c r="N313" s="203">
        <f t="shared" si="197"/>
        <v>0</v>
      </c>
      <c r="O313" s="203">
        <f t="shared" si="197"/>
        <v>0</v>
      </c>
      <c r="P313" s="203">
        <f t="shared" si="197"/>
        <v>0</v>
      </c>
      <c r="Q313" s="203">
        <f t="shared" si="197"/>
        <v>102.8</v>
      </c>
      <c r="R313" s="203">
        <f t="shared" si="197"/>
        <v>94.8</v>
      </c>
      <c r="S313" s="203" t="s">
        <v>29</v>
      </c>
      <c r="T313" s="197" t="s">
        <v>29</v>
      </c>
      <c r="U313" s="197">
        <f t="shared" si="197"/>
        <v>197.6</v>
      </c>
      <c r="V313" s="203">
        <f t="shared" si="197"/>
        <v>197.6</v>
      </c>
    </row>
    <row r="314" spans="1:22" ht="11.25" customHeight="1" x14ac:dyDescent="0.2">
      <c r="A314" s="468" t="s">
        <v>238</v>
      </c>
      <c r="B314" s="197">
        <f t="shared" ref="B314:H314" si="198">AVERAGE(B125:B129)</f>
        <v>0</v>
      </c>
      <c r="C314" s="203">
        <f t="shared" si="198"/>
        <v>51.6</v>
      </c>
      <c r="D314" s="203">
        <f t="shared" si="198"/>
        <v>9.6</v>
      </c>
      <c r="E314" s="203">
        <f t="shared" si="198"/>
        <v>70.2</v>
      </c>
      <c r="F314" s="203">
        <f t="shared" si="198"/>
        <v>39.6</v>
      </c>
      <c r="G314" s="203">
        <f t="shared" si="198"/>
        <v>15.4</v>
      </c>
      <c r="H314" s="203">
        <f t="shared" si="198"/>
        <v>22.5</v>
      </c>
      <c r="I314" s="197" t="str">
        <f>+I125</f>
        <v>-</v>
      </c>
      <c r="J314" s="197">
        <f t="shared" ref="J314:R314" si="199">AVERAGE(J125:J129)</f>
        <v>186.4</v>
      </c>
      <c r="K314" s="203">
        <f t="shared" si="199"/>
        <v>204.4</v>
      </c>
      <c r="L314" s="203" t="e">
        <f t="shared" si="199"/>
        <v>#DIV/0!</v>
      </c>
      <c r="M314" s="197">
        <f t="shared" si="199"/>
        <v>0</v>
      </c>
      <c r="N314" s="203">
        <f t="shared" si="199"/>
        <v>0</v>
      </c>
      <c r="O314" s="203">
        <f t="shared" si="199"/>
        <v>0</v>
      </c>
      <c r="P314" s="203">
        <f t="shared" si="199"/>
        <v>12.4</v>
      </c>
      <c r="Q314" s="203">
        <f t="shared" si="199"/>
        <v>84.2</v>
      </c>
      <c r="R314" s="203">
        <f t="shared" si="199"/>
        <v>12</v>
      </c>
      <c r="S314" s="203">
        <f>AVERAGE(S125:S129)</f>
        <v>66.25</v>
      </c>
      <c r="T314" s="197" t="str">
        <f>+T125</f>
        <v>-</v>
      </c>
      <c r="U314" s="197">
        <f>AVERAGE(U125:U129)</f>
        <v>108.6</v>
      </c>
      <c r="V314" s="203">
        <f>AVERAGE(V125:V129)</f>
        <v>161.6</v>
      </c>
    </row>
    <row r="315" spans="1:22" ht="11.25" customHeight="1" x14ac:dyDescent="0.2">
      <c r="A315" s="468">
        <v>2006</v>
      </c>
      <c r="B315" s="197">
        <f t="shared" ref="B315:K315" si="200">+B130</f>
        <v>0</v>
      </c>
      <c r="C315" s="203">
        <f t="shared" si="200"/>
        <v>82</v>
      </c>
      <c r="D315" s="203">
        <f t="shared" si="200"/>
        <v>248</v>
      </c>
      <c r="E315" s="203">
        <f t="shared" si="200"/>
        <v>825</v>
      </c>
      <c r="F315" s="203">
        <f t="shared" si="200"/>
        <v>870</v>
      </c>
      <c r="G315" s="203">
        <f t="shared" si="200"/>
        <v>66</v>
      </c>
      <c r="H315" s="203">
        <f t="shared" si="200"/>
        <v>15</v>
      </c>
      <c r="I315" s="197" t="str">
        <f t="shared" si="200"/>
        <v>-</v>
      </c>
      <c r="J315" s="197">
        <f t="shared" si="200"/>
        <v>2091</v>
      </c>
      <c r="K315" s="203">
        <f t="shared" si="200"/>
        <v>2106</v>
      </c>
      <c r="L315" s="197"/>
      <c r="M315" s="197">
        <f t="shared" ref="M315:V315" si="201">+M130</f>
        <v>0</v>
      </c>
      <c r="N315" s="203">
        <f t="shared" si="201"/>
        <v>0</v>
      </c>
      <c r="O315" s="203">
        <f t="shared" si="201"/>
        <v>0</v>
      </c>
      <c r="P315" s="203">
        <f t="shared" si="201"/>
        <v>446</v>
      </c>
      <c r="Q315" s="203">
        <f t="shared" si="201"/>
        <v>1272</v>
      </c>
      <c r="R315" s="203">
        <f t="shared" si="201"/>
        <v>123</v>
      </c>
      <c r="S315" s="203">
        <f t="shared" si="201"/>
        <v>5</v>
      </c>
      <c r="T315" s="197" t="str">
        <f t="shared" si="201"/>
        <v>-</v>
      </c>
      <c r="U315" s="197">
        <f t="shared" si="201"/>
        <v>1841</v>
      </c>
      <c r="V315" s="203">
        <f t="shared" si="201"/>
        <v>1846</v>
      </c>
    </row>
    <row r="316" spans="1:22" s="467" customFormat="1" ht="11.25" customHeight="1" x14ac:dyDescent="0.2">
      <c r="A316" s="308">
        <v>2007</v>
      </c>
      <c r="B316" s="197">
        <f t="shared" ref="B316:K316" si="202">+B131</f>
        <v>0</v>
      </c>
      <c r="C316" s="203">
        <f t="shared" si="202"/>
        <v>0</v>
      </c>
      <c r="D316" s="203">
        <f t="shared" si="202"/>
        <v>1773</v>
      </c>
      <c r="E316" s="203">
        <f t="shared" si="202"/>
        <v>60</v>
      </c>
      <c r="F316" s="203">
        <f t="shared" si="202"/>
        <v>234</v>
      </c>
      <c r="G316" s="203">
        <f t="shared" si="202"/>
        <v>5</v>
      </c>
      <c r="H316" s="203">
        <f t="shared" si="202"/>
        <v>0</v>
      </c>
      <c r="I316" s="197" t="str">
        <f t="shared" si="202"/>
        <v>-</v>
      </c>
      <c r="J316" s="197">
        <f t="shared" si="202"/>
        <v>2072</v>
      </c>
      <c r="K316" s="203">
        <f t="shared" si="202"/>
        <v>2072</v>
      </c>
      <c r="L316" s="197"/>
      <c r="M316" s="197">
        <f t="shared" ref="M316:V316" si="203">+M131</f>
        <v>0</v>
      </c>
      <c r="N316" s="203">
        <f t="shared" si="203"/>
        <v>0</v>
      </c>
      <c r="O316" s="203">
        <f t="shared" si="203"/>
        <v>0</v>
      </c>
      <c r="P316" s="203">
        <f t="shared" si="203"/>
        <v>248</v>
      </c>
      <c r="Q316" s="203">
        <f t="shared" si="203"/>
        <v>1099</v>
      </c>
      <c r="R316" s="203">
        <f t="shared" si="203"/>
        <v>52</v>
      </c>
      <c r="S316" s="203">
        <f t="shared" si="203"/>
        <v>0</v>
      </c>
      <c r="T316" s="197" t="str">
        <f t="shared" si="203"/>
        <v>-</v>
      </c>
      <c r="U316" s="197">
        <f t="shared" si="203"/>
        <v>1399</v>
      </c>
      <c r="V316" s="203">
        <f t="shared" si="203"/>
        <v>1399</v>
      </c>
    </row>
    <row r="317" spans="1:22" s="467" customFormat="1" ht="11.25" customHeight="1" x14ac:dyDescent="0.2">
      <c r="A317" s="308">
        <v>2008</v>
      </c>
      <c r="B317" s="197">
        <f t="shared" ref="B317:K317" si="204">+B132</f>
        <v>0</v>
      </c>
      <c r="C317" s="203">
        <f t="shared" si="204"/>
        <v>58</v>
      </c>
      <c r="D317" s="203">
        <f t="shared" si="204"/>
        <v>2834</v>
      </c>
      <c r="E317" s="203">
        <f t="shared" si="204"/>
        <v>380</v>
      </c>
      <c r="F317" s="203">
        <f t="shared" si="204"/>
        <v>888</v>
      </c>
      <c r="G317" s="203">
        <f t="shared" si="204"/>
        <v>368</v>
      </c>
      <c r="H317" s="203">
        <f t="shared" si="204"/>
        <v>1</v>
      </c>
      <c r="I317" s="197" t="str">
        <f t="shared" si="204"/>
        <v>-</v>
      </c>
      <c r="J317" s="197">
        <f t="shared" si="204"/>
        <v>4528</v>
      </c>
      <c r="K317" s="203">
        <f t="shared" si="204"/>
        <v>4529</v>
      </c>
      <c r="L317" s="197"/>
      <c r="M317" s="197">
        <f t="shared" ref="M317:V317" si="205">+M132</f>
        <v>0</v>
      </c>
      <c r="N317" s="203">
        <f t="shared" si="205"/>
        <v>0</v>
      </c>
      <c r="O317" s="203">
        <f t="shared" si="205"/>
        <v>2</v>
      </c>
      <c r="P317" s="203">
        <f t="shared" si="205"/>
        <v>267</v>
      </c>
      <c r="Q317" s="203">
        <f t="shared" si="205"/>
        <v>297</v>
      </c>
      <c r="R317" s="203">
        <f t="shared" si="205"/>
        <v>379</v>
      </c>
      <c r="S317" s="203">
        <f t="shared" si="205"/>
        <v>0</v>
      </c>
      <c r="T317" s="197" t="str">
        <f t="shared" si="205"/>
        <v>-</v>
      </c>
      <c r="U317" s="197">
        <f t="shared" si="205"/>
        <v>945</v>
      </c>
      <c r="V317" s="203">
        <f t="shared" si="205"/>
        <v>945</v>
      </c>
    </row>
    <row r="318" spans="1:22" s="467" customFormat="1" ht="11.25" customHeight="1" x14ac:dyDescent="0.2">
      <c r="A318" s="308">
        <v>2009</v>
      </c>
      <c r="B318" s="197">
        <f t="shared" ref="B318:K318" si="206">+B133</f>
        <v>0</v>
      </c>
      <c r="C318" s="203">
        <f t="shared" si="206"/>
        <v>83</v>
      </c>
      <c r="D318" s="203">
        <f t="shared" si="206"/>
        <v>99</v>
      </c>
      <c r="E318" s="203">
        <f t="shared" si="206"/>
        <v>20</v>
      </c>
      <c r="F318" s="203">
        <f t="shared" si="206"/>
        <v>158</v>
      </c>
      <c r="G318" s="203">
        <f t="shared" si="206"/>
        <v>0</v>
      </c>
      <c r="H318" s="203">
        <f t="shared" si="206"/>
        <v>25</v>
      </c>
      <c r="I318" s="197" t="str">
        <f t="shared" si="206"/>
        <v>-</v>
      </c>
      <c r="J318" s="197">
        <f t="shared" si="206"/>
        <v>360</v>
      </c>
      <c r="K318" s="203">
        <f t="shared" si="206"/>
        <v>385</v>
      </c>
      <c r="L318" s="197"/>
      <c r="M318" s="197">
        <f t="shared" ref="M318:V318" si="207">+M133</f>
        <v>0</v>
      </c>
      <c r="N318" s="203">
        <f t="shared" si="207"/>
        <v>0</v>
      </c>
      <c r="O318" s="203">
        <f t="shared" si="207"/>
        <v>0</v>
      </c>
      <c r="P318" s="203">
        <f t="shared" si="207"/>
        <v>102</v>
      </c>
      <c r="Q318" s="203">
        <f t="shared" si="207"/>
        <v>3060</v>
      </c>
      <c r="R318" s="203">
        <f t="shared" si="207"/>
        <v>15</v>
      </c>
      <c r="S318" s="203">
        <f t="shared" si="207"/>
        <v>15</v>
      </c>
      <c r="T318" s="197" t="str">
        <f t="shared" si="207"/>
        <v>-</v>
      </c>
      <c r="U318" s="197">
        <f t="shared" si="207"/>
        <v>3177</v>
      </c>
      <c r="V318" s="203">
        <f t="shared" si="207"/>
        <v>3192</v>
      </c>
    </row>
    <row r="319" spans="1:22" s="467" customFormat="1" ht="11.25" customHeight="1" x14ac:dyDescent="0.2">
      <c r="A319" s="308">
        <v>2010</v>
      </c>
      <c r="B319" s="197">
        <f t="shared" ref="B319:K319" si="208">+B134</f>
        <v>0</v>
      </c>
      <c r="C319" s="203">
        <f t="shared" si="208"/>
        <v>6</v>
      </c>
      <c r="D319" s="203">
        <f t="shared" si="208"/>
        <v>85</v>
      </c>
      <c r="E319" s="203">
        <f t="shared" si="208"/>
        <v>754</v>
      </c>
      <c r="F319" s="203">
        <f t="shared" si="208"/>
        <v>702</v>
      </c>
      <c r="G319" s="203">
        <f t="shared" si="208"/>
        <v>74</v>
      </c>
      <c r="H319" s="203">
        <f t="shared" si="208"/>
        <v>10</v>
      </c>
      <c r="I319" s="197" t="str">
        <f t="shared" si="208"/>
        <v>-</v>
      </c>
      <c r="J319" s="197">
        <f t="shared" si="208"/>
        <v>1621</v>
      </c>
      <c r="K319" s="203">
        <f t="shared" si="208"/>
        <v>1631</v>
      </c>
      <c r="L319" s="197"/>
      <c r="M319" s="197">
        <f t="shared" ref="M319:V319" si="209">+M134</f>
        <v>0</v>
      </c>
      <c r="N319" s="203">
        <f t="shared" si="209"/>
        <v>2</v>
      </c>
      <c r="O319" s="203">
        <f t="shared" si="209"/>
        <v>0</v>
      </c>
      <c r="P319" s="203">
        <f t="shared" si="209"/>
        <v>157</v>
      </c>
      <c r="Q319" s="203">
        <f t="shared" si="209"/>
        <v>226</v>
      </c>
      <c r="R319" s="203">
        <f t="shared" si="209"/>
        <v>51</v>
      </c>
      <c r="S319" s="203">
        <f t="shared" si="209"/>
        <v>15</v>
      </c>
      <c r="T319" s="197" t="str">
        <f t="shared" si="209"/>
        <v>-</v>
      </c>
      <c r="U319" s="197">
        <f t="shared" si="209"/>
        <v>436</v>
      </c>
      <c r="V319" s="203">
        <f t="shared" si="209"/>
        <v>451</v>
      </c>
    </row>
    <row r="320" spans="1:22" s="467" customFormat="1" ht="11.25" customHeight="1" x14ac:dyDescent="0.2">
      <c r="A320" s="308">
        <v>2011</v>
      </c>
      <c r="B320" s="197">
        <f t="shared" ref="B320:K320" si="210">+B135</f>
        <v>0</v>
      </c>
      <c r="C320" s="203">
        <f t="shared" si="210"/>
        <v>0</v>
      </c>
      <c r="D320" s="203">
        <f t="shared" si="210"/>
        <v>457</v>
      </c>
      <c r="E320" s="203">
        <f t="shared" si="210"/>
        <v>0</v>
      </c>
      <c r="F320" s="203">
        <f t="shared" si="210"/>
        <v>69</v>
      </c>
      <c r="G320" s="203">
        <f t="shared" si="210"/>
        <v>46</v>
      </c>
      <c r="H320" s="203">
        <f t="shared" si="210"/>
        <v>0</v>
      </c>
      <c r="I320" s="197" t="str">
        <f t="shared" si="210"/>
        <v>-</v>
      </c>
      <c r="J320" s="197">
        <f t="shared" si="210"/>
        <v>572</v>
      </c>
      <c r="K320" s="203">
        <f t="shared" si="210"/>
        <v>572</v>
      </c>
      <c r="L320" s="197"/>
      <c r="M320" s="197">
        <f t="shared" ref="M320:V320" si="211">+M135</f>
        <v>0</v>
      </c>
      <c r="N320" s="203">
        <f t="shared" si="211"/>
        <v>0</v>
      </c>
      <c r="O320" s="203">
        <f t="shared" si="211"/>
        <v>0</v>
      </c>
      <c r="P320" s="203">
        <f t="shared" si="211"/>
        <v>0</v>
      </c>
      <c r="Q320" s="203">
        <f t="shared" si="211"/>
        <v>29</v>
      </c>
      <c r="R320" s="203">
        <f t="shared" si="211"/>
        <v>482</v>
      </c>
      <c r="S320" s="203">
        <f t="shared" si="211"/>
        <v>0</v>
      </c>
      <c r="T320" s="197" t="str">
        <f t="shared" si="211"/>
        <v>-</v>
      </c>
      <c r="U320" s="197">
        <f t="shared" si="211"/>
        <v>511</v>
      </c>
      <c r="V320" s="203">
        <f t="shared" si="211"/>
        <v>511</v>
      </c>
    </row>
    <row r="321" spans="1:22" s="467" customFormat="1" ht="11.25" customHeight="1" x14ac:dyDescent="0.2">
      <c r="A321" s="308">
        <v>2012</v>
      </c>
      <c r="B321" s="197">
        <f t="shared" ref="B321:K321" si="212">+B136</f>
        <v>0</v>
      </c>
      <c r="C321" s="203">
        <f t="shared" si="212"/>
        <v>722</v>
      </c>
      <c r="D321" s="203">
        <f t="shared" si="212"/>
        <v>258</v>
      </c>
      <c r="E321" s="203">
        <f t="shared" si="212"/>
        <v>322</v>
      </c>
      <c r="F321" s="203">
        <f t="shared" si="212"/>
        <v>1060</v>
      </c>
      <c r="G321" s="203">
        <f t="shared" si="212"/>
        <v>164</v>
      </c>
      <c r="H321" s="203">
        <f t="shared" si="212"/>
        <v>10</v>
      </c>
      <c r="I321" s="197" t="str">
        <f t="shared" si="212"/>
        <v>-</v>
      </c>
      <c r="J321" s="197">
        <f t="shared" si="212"/>
        <v>2526</v>
      </c>
      <c r="K321" s="203">
        <f t="shared" si="212"/>
        <v>2536</v>
      </c>
      <c r="L321" s="197"/>
      <c r="M321" s="197">
        <f t="shared" ref="M321:V321" si="213">+M136</f>
        <v>0</v>
      </c>
      <c r="N321" s="203">
        <f t="shared" si="213"/>
        <v>0</v>
      </c>
      <c r="O321" s="203">
        <f t="shared" si="213"/>
        <v>1</v>
      </c>
      <c r="P321" s="203">
        <f t="shared" si="213"/>
        <v>44</v>
      </c>
      <c r="Q321" s="203">
        <f t="shared" si="213"/>
        <v>1002</v>
      </c>
      <c r="R321" s="203">
        <f t="shared" si="213"/>
        <v>179</v>
      </c>
      <c r="S321" s="203">
        <f t="shared" si="213"/>
        <v>0</v>
      </c>
      <c r="T321" s="197" t="str">
        <f t="shared" si="213"/>
        <v>-</v>
      </c>
      <c r="U321" s="197">
        <f t="shared" si="213"/>
        <v>1226</v>
      </c>
      <c r="V321" s="203">
        <f t="shared" si="213"/>
        <v>1226</v>
      </c>
    </row>
    <row r="322" spans="1:22" s="467" customFormat="1" ht="11.25" customHeight="1" x14ac:dyDescent="0.2">
      <c r="A322" s="308">
        <v>2013</v>
      </c>
      <c r="B322" s="197">
        <f t="shared" ref="B322:K322" si="214">+B137</f>
        <v>0</v>
      </c>
      <c r="C322" s="203">
        <f t="shared" si="214"/>
        <v>954</v>
      </c>
      <c r="D322" s="203">
        <f t="shared" si="214"/>
        <v>2694</v>
      </c>
      <c r="E322" s="203">
        <f t="shared" si="214"/>
        <v>1197</v>
      </c>
      <c r="F322" s="203">
        <f t="shared" si="214"/>
        <v>207</v>
      </c>
      <c r="G322" s="203">
        <f t="shared" si="214"/>
        <v>794</v>
      </c>
      <c r="H322" s="203">
        <f t="shared" si="214"/>
        <v>0</v>
      </c>
      <c r="I322" s="197" t="str">
        <f t="shared" si="214"/>
        <v>-</v>
      </c>
      <c r="J322" s="197">
        <f t="shared" si="214"/>
        <v>5846</v>
      </c>
      <c r="K322" s="203">
        <f t="shared" si="214"/>
        <v>5846</v>
      </c>
      <c r="L322" s="197"/>
      <c r="M322" s="197">
        <f t="shared" ref="M322:V322" si="215">+M137</f>
        <v>0</v>
      </c>
      <c r="N322" s="203">
        <f t="shared" si="215"/>
        <v>0</v>
      </c>
      <c r="O322" s="203">
        <f t="shared" si="215"/>
        <v>7</v>
      </c>
      <c r="P322" s="203">
        <f t="shared" si="215"/>
        <v>370</v>
      </c>
      <c r="Q322" s="203">
        <f t="shared" si="215"/>
        <v>1176</v>
      </c>
      <c r="R322" s="203">
        <f t="shared" si="215"/>
        <v>127</v>
      </c>
      <c r="S322" s="203">
        <f t="shared" si="215"/>
        <v>0</v>
      </c>
      <c r="T322" s="197" t="str">
        <f t="shared" si="215"/>
        <v>-</v>
      </c>
      <c r="U322" s="197">
        <f t="shared" si="215"/>
        <v>1680</v>
      </c>
      <c r="V322" s="203">
        <f t="shared" si="215"/>
        <v>1680</v>
      </c>
    </row>
    <row r="323" spans="1:22" s="467" customFormat="1" ht="11.25" customHeight="1" x14ac:dyDescent="0.2">
      <c r="A323" s="308">
        <v>2014</v>
      </c>
      <c r="B323" s="197">
        <f t="shared" ref="B323:K323" si="216">+B138</f>
        <v>0</v>
      </c>
      <c r="C323" s="203">
        <f t="shared" si="216"/>
        <v>4192</v>
      </c>
      <c r="D323" s="203">
        <f t="shared" si="216"/>
        <v>7992</v>
      </c>
      <c r="E323" s="203">
        <f t="shared" si="216"/>
        <v>15669</v>
      </c>
      <c r="F323" s="203">
        <f t="shared" si="216"/>
        <v>5502</v>
      </c>
      <c r="G323" s="203">
        <f t="shared" si="216"/>
        <v>2152</v>
      </c>
      <c r="H323" s="203">
        <f t="shared" si="216"/>
        <v>0</v>
      </c>
      <c r="I323" s="197" t="str">
        <f t="shared" si="216"/>
        <v>-</v>
      </c>
      <c r="J323" s="197">
        <f t="shared" si="216"/>
        <v>35507</v>
      </c>
      <c r="K323" s="203">
        <f t="shared" si="216"/>
        <v>35507</v>
      </c>
      <c r="L323" s="197"/>
      <c r="M323" s="197">
        <f t="shared" ref="M323:V323" si="217">+M138</f>
        <v>0</v>
      </c>
      <c r="N323" s="203">
        <f t="shared" si="217"/>
        <v>0</v>
      </c>
      <c r="O323" s="203">
        <f t="shared" si="217"/>
        <v>4</v>
      </c>
      <c r="P323" s="203">
        <f t="shared" si="217"/>
        <v>7446</v>
      </c>
      <c r="Q323" s="203">
        <f t="shared" si="217"/>
        <v>29203</v>
      </c>
      <c r="R323" s="203">
        <f t="shared" si="217"/>
        <v>5031</v>
      </c>
      <c r="S323" s="203">
        <f t="shared" si="217"/>
        <v>0</v>
      </c>
      <c r="T323" s="197" t="str">
        <f t="shared" si="217"/>
        <v>-</v>
      </c>
      <c r="U323" s="197">
        <f t="shared" si="217"/>
        <v>41684</v>
      </c>
      <c r="V323" s="203">
        <f t="shared" si="217"/>
        <v>41684</v>
      </c>
    </row>
    <row r="324" spans="1:22" s="467" customFormat="1" ht="11.25" customHeight="1" x14ac:dyDescent="0.2">
      <c r="A324" s="308">
        <v>2015</v>
      </c>
      <c r="B324" s="197">
        <f t="shared" ref="B324:K324" si="218">+B139</f>
        <v>0</v>
      </c>
      <c r="C324" s="203">
        <f t="shared" si="218"/>
        <v>1868</v>
      </c>
      <c r="D324" s="203">
        <f t="shared" si="218"/>
        <v>1371</v>
      </c>
      <c r="E324" s="203">
        <f t="shared" si="218"/>
        <v>14068</v>
      </c>
      <c r="F324" s="203">
        <f t="shared" si="218"/>
        <v>1999</v>
      </c>
      <c r="G324" s="203">
        <f t="shared" si="218"/>
        <v>524</v>
      </c>
      <c r="H324" s="203">
        <f t="shared" si="218"/>
        <v>0</v>
      </c>
      <c r="I324" s="197" t="str">
        <f t="shared" si="218"/>
        <v>-</v>
      </c>
      <c r="J324" s="197">
        <f t="shared" si="218"/>
        <v>19830</v>
      </c>
      <c r="K324" s="203">
        <f t="shared" si="218"/>
        <v>19830</v>
      </c>
      <c r="L324" s="197"/>
      <c r="M324" s="197">
        <f t="shared" ref="M324:V324" si="219">+M139</f>
        <v>0</v>
      </c>
      <c r="N324" s="203">
        <f t="shared" si="219"/>
        <v>0</v>
      </c>
      <c r="O324" s="203">
        <f t="shared" si="219"/>
        <v>0</v>
      </c>
      <c r="P324" s="203">
        <f t="shared" si="219"/>
        <v>1008</v>
      </c>
      <c r="Q324" s="203">
        <f t="shared" si="219"/>
        <v>383</v>
      </c>
      <c r="R324" s="203">
        <f t="shared" si="219"/>
        <v>298</v>
      </c>
      <c r="S324" s="203">
        <f t="shared" si="219"/>
        <v>0</v>
      </c>
      <c r="T324" s="197" t="str">
        <f t="shared" si="219"/>
        <v>-</v>
      </c>
      <c r="U324" s="197">
        <f t="shared" si="219"/>
        <v>1689</v>
      </c>
      <c r="V324" s="203">
        <f t="shared" si="219"/>
        <v>1689</v>
      </c>
    </row>
    <row r="325" spans="1:22" s="467" customFormat="1" ht="11.25" customHeight="1" x14ac:dyDescent="0.2">
      <c r="A325" s="308">
        <v>2016</v>
      </c>
      <c r="B325" s="197">
        <f t="shared" ref="B325:K325" si="220">+B140</f>
        <v>0</v>
      </c>
      <c r="C325" s="203">
        <f t="shared" si="220"/>
        <v>641</v>
      </c>
      <c r="D325" s="203">
        <f t="shared" si="220"/>
        <v>555</v>
      </c>
      <c r="E325" s="203">
        <f t="shared" si="220"/>
        <v>256</v>
      </c>
      <c r="F325" s="203">
        <f t="shared" si="220"/>
        <v>4</v>
      </c>
      <c r="G325" s="203">
        <f t="shared" si="220"/>
        <v>0</v>
      </c>
      <c r="H325" s="203">
        <f t="shared" si="220"/>
        <v>0</v>
      </c>
      <c r="I325" s="197" t="str">
        <f t="shared" si="220"/>
        <v>-</v>
      </c>
      <c r="J325" s="197">
        <f t="shared" si="220"/>
        <v>1456</v>
      </c>
      <c r="K325" s="203">
        <f t="shared" si="220"/>
        <v>1456</v>
      </c>
      <c r="L325" s="197"/>
      <c r="M325" s="197">
        <f t="shared" ref="M325:V325" si="221">+M140</f>
        <v>0</v>
      </c>
      <c r="N325" s="203">
        <f t="shared" si="221"/>
        <v>0</v>
      </c>
      <c r="O325" s="203">
        <f t="shared" si="221"/>
        <v>0</v>
      </c>
      <c r="P325" s="203">
        <f t="shared" si="221"/>
        <v>0</v>
      </c>
      <c r="Q325" s="203">
        <f t="shared" si="221"/>
        <v>0</v>
      </c>
      <c r="R325" s="203">
        <f t="shared" si="221"/>
        <v>0</v>
      </c>
      <c r="S325" s="203">
        <f t="shared" si="221"/>
        <v>1</v>
      </c>
      <c r="T325" s="197" t="str">
        <f t="shared" si="221"/>
        <v>-</v>
      </c>
      <c r="U325" s="197">
        <f t="shared" si="221"/>
        <v>0</v>
      </c>
      <c r="V325" s="203">
        <f t="shared" si="221"/>
        <v>1</v>
      </c>
    </row>
    <row r="326" spans="1:22" s="467" customFormat="1" ht="11.25" customHeight="1" x14ac:dyDescent="0.2">
      <c r="A326" s="477">
        <v>2017</v>
      </c>
      <c r="B326" s="197">
        <f t="shared" ref="B326:K326" si="222">+B141</f>
        <v>0</v>
      </c>
      <c r="C326" s="203">
        <f t="shared" si="222"/>
        <v>0</v>
      </c>
      <c r="D326" s="203">
        <f t="shared" si="222"/>
        <v>10</v>
      </c>
      <c r="E326" s="203">
        <f t="shared" si="222"/>
        <v>5</v>
      </c>
      <c r="F326" s="203">
        <f t="shared" si="222"/>
        <v>4</v>
      </c>
      <c r="G326" s="203">
        <f t="shared" si="222"/>
        <v>30</v>
      </c>
      <c r="H326" s="203">
        <f t="shared" si="222"/>
        <v>0</v>
      </c>
      <c r="I326" s="197" t="str">
        <f t="shared" si="222"/>
        <v>-</v>
      </c>
      <c r="J326" s="197">
        <f t="shared" si="222"/>
        <v>49</v>
      </c>
      <c r="K326" s="203">
        <f t="shared" si="222"/>
        <v>49</v>
      </c>
      <c r="L326" s="197"/>
      <c r="M326" s="197">
        <f t="shared" ref="M326:V326" si="223">+M141</f>
        <v>0</v>
      </c>
      <c r="N326" s="203">
        <f t="shared" si="223"/>
        <v>0</v>
      </c>
      <c r="O326" s="203">
        <f t="shared" si="223"/>
        <v>0</v>
      </c>
      <c r="P326" s="203">
        <f t="shared" si="223"/>
        <v>8</v>
      </c>
      <c r="Q326" s="203">
        <f t="shared" si="223"/>
        <v>14</v>
      </c>
      <c r="R326" s="203">
        <f t="shared" si="223"/>
        <v>167</v>
      </c>
      <c r="S326" s="203">
        <f t="shared" si="223"/>
        <v>0</v>
      </c>
      <c r="T326" s="197" t="str">
        <f t="shared" si="223"/>
        <v>-</v>
      </c>
      <c r="U326" s="197">
        <f t="shared" si="223"/>
        <v>189</v>
      </c>
      <c r="V326" s="203">
        <f t="shared" si="223"/>
        <v>189</v>
      </c>
    </row>
    <row r="327" spans="1:22" s="467" customFormat="1" ht="11.25" customHeight="1" x14ac:dyDescent="0.2">
      <c r="A327" s="477">
        <v>2018</v>
      </c>
      <c r="B327" s="197">
        <f t="shared" ref="B327:K327" si="224">+B142</f>
        <v>0</v>
      </c>
      <c r="C327" s="203">
        <f t="shared" si="224"/>
        <v>0</v>
      </c>
      <c r="D327" s="203">
        <f t="shared" si="224"/>
        <v>25</v>
      </c>
      <c r="E327" s="203">
        <f t="shared" si="224"/>
        <v>0</v>
      </c>
      <c r="F327" s="203">
        <f t="shared" si="224"/>
        <v>0</v>
      </c>
      <c r="G327" s="203">
        <f t="shared" si="224"/>
        <v>3</v>
      </c>
      <c r="H327" s="203">
        <f t="shared" si="224"/>
        <v>0</v>
      </c>
      <c r="I327" s="197" t="str">
        <f t="shared" si="224"/>
        <v>-</v>
      </c>
      <c r="J327" s="197">
        <f t="shared" si="224"/>
        <v>28</v>
      </c>
      <c r="K327" s="203">
        <f t="shared" si="224"/>
        <v>28</v>
      </c>
      <c r="L327" s="197"/>
      <c r="M327" s="197">
        <f t="shared" ref="M327:V327" si="225">+M142</f>
        <v>0</v>
      </c>
      <c r="N327" s="203">
        <f t="shared" si="225"/>
        <v>0</v>
      </c>
      <c r="O327" s="203">
        <f t="shared" si="225"/>
        <v>0</v>
      </c>
      <c r="P327" s="203">
        <f t="shared" si="225"/>
        <v>0</v>
      </c>
      <c r="Q327" s="203">
        <f t="shared" si="225"/>
        <v>0</v>
      </c>
      <c r="R327" s="203">
        <f t="shared" si="225"/>
        <v>17</v>
      </c>
      <c r="S327" s="203">
        <f t="shared" si="225"/>
        <v>0</v>
      </c>
      <c r="T327" s="197" t="str">
        <f t="shared" si="225"/>
        <v>-</v>
      </c>
      <c r="U327" s="197">
        <f t="shared" si="225"/>
        <v>17</v>
      </c>
      <c r="V327" s="203">
        <f t="shared" si="225"/>
        <v>17</v>
      </c>
    </row>
    <row r="328" spans="1:22" s="487" customFormat="1" ht="11.25" customHeight="1" x14ac:dyDescent="0.2">
      <c r="A328" s="491">
        <v>2019</v>
      </c>
      <c r="B328" s="197">
        <f t="shared" ref="B328:K329" si="226">+B143</f>
        <v>0</v>
      </c>
      <c r="C328" s="203">
        <f t="shared" si="226"/>
        <v>0</v>
      </c>
      <c r="D328" s="203">
        <f t="shared" si="226"/>
        <v>0</v>
      </c>
      <c r="E328" s="203">
        <f t="shared" si="226"/>
        <v>0</v>
      </c>
      <c r="F328" s="203">
        <f t="shared" si="226"/>
        <v>14</v>
      </c>
      <c r="G328" s="203">
        <f t="shared" si="226"/>
        <v>23</v>
      </c>
      <c r="H328" s="203">
        <f t="shared" si="226"/>
        <v>0</v>
      </c>
      <c r="I328" s="197" t="str">
        <f t="shared" si="226"/>
        <v>-</v>
      </c>
      <c r="J328" s="197">
        <f t="shared" si="226"/>
        <v>37</v>
      </c>
      <c r="K328" s="203">
        <f t="shared" si="226"/>
        <v>37</v>
      </c>
      <c r="L328" s="197"/>
      <c r="M328" s="197">
        <f t="shared" ref="M328:V329" si="227">+M143</f>
        <v>0</v>
      </c>
      <c r="N328" s="203">
        <f t="shared" si="227"/>
        <v>0</v>
      </c>
      <c r="O328" s="203">
        <f t="shared" si="227"/>
        <v>0</v>
      </c>
      <c r="P328" s="203">
        <f t="shared" si="227"/>
        <v>0</v>
      </c>
      <c r="Q328" s="203">
        <f t="shared" si="227"/>
        <v>123</v>
      </c>
      <c r="R328" s="203">
        <f t="shared" si="227"/>
        <v>219</v>
      </c>
      <c r="S328" s="203">
        <f t="shared" si="227"/>
        <v>0</v>
      </c>
      <c r="T328" s="197" t="str">
        <f t="shared" si="227"/>
        <v>-</v>
      </c>
      <c r="U328" s="197">
        <f t="shared" si="227"/>
        <v>342</v>
      </c>
      <c r="V328" s="203">
        <f t="shared" si="227"/>
        <v>342</v>
      </c>
    </row>
    <row r="329" spans="1:22" ht="11.25" customHeight="1" x14ac:dyDescent="0.2">
      <c r="A329" s="491" t="s">
        <v>392</v>
      </c>
      <c r="B329" s="197">
        <f t="shared" si="226"/>
        <v>0</v>
      </c>
      <c r="C329" s="203">
        <f t="shared" si="226"/>
        <v>0</v>
      </c>
      <c r="D329" s="203">
        <f t="shared" si="226"/>
        <v>0</v>
      </c>
      <c r="E329" s="203">
        <f t="shared" si="226"/>
        <v>0</v>
      </c>
      <c r="F329" s="203">
        <f t="shared" si="226"/>
        <v>27</v>
      </c>
      <c r="G329" s="203">
        <f t="shared" si="226"/>
        <v>0</v>
      </c>
      <c r="H329" s="203">
        <f t="shared" si="226"/>
        <v>0</v>
      </c>
      <c r="I329" s="197" t="str">
        <f t="shared" si="226"/>
        <v>-</v>
      </c>
      <c r="J329" s="197">
        <f t="shared" si="226"/>
        <v>27</v>
      </c>
      <c r="K329" s="203">
        <f t="shared" si="226"/>
        <v>27</v>
      </c>
      <c r="L329" s="197"/>
      <c r="M329" s="197">
        <f t="shared" si="227"/>
        <v>0</v>
      </c>
      <c r="N329" s="203">
        <f t="shared" si="227"/>
        <v>0</v>
      </c>
      <c r="O329" s="203">
        <f t="shared" si="227"/>
        <v>0</v>
      </c>
      <c r="P329" s="203">
        <f t="shared" si="227"/>
        <v>0</v>
      </c>
      <c r="Q329" s="203">
        <f t="shared" si="227"/>
        <v>5</v>
      </c>
      <c r="R329" s="203">
        <f t="shared" si="227"/>
        <v>0</v>
      </c>
      <c r="S329" s="203">
        <f t="shared" si="227"/>
        <v>0</v>
      </c>
      <c r="T329" s="197" t="str">
        <f t="shared" si="227"/>
        <v>-</v>
      </c>
      <c r="U329" s="197">
        <f t="shared" si="227"/>
        <v>5</v>
      </c>
      <c r="V329" s="203">
        <f t="shared" si="227"/>
        <v>5</v>
      </c>
    </row>
    <row r="330" spans="1:22" ht="11.25" customHeight="1" x14ac:dyDescent="0.2">
      <c r="V330" s="193"/>
    </row>
    <row r="331" spans="1:22" ht="11.25" customHeight="1" x14ac:dyDescent="0.2">
      <c r="A331" s="116" t="s">
        <v>64</v>
      </c>
      <c r="V331" s="193"/>
    </row>
    <row r="332" spans="1:22" ht="11.25" customHeight="1" x14ac:dyDescent="0.2">
      <c r="A332" s="473" t="s">
        <v>30</v>
      </c>
      <c r="B332" s="197">
        <f t="shared" ref="B332:K332" si="228">AVERAGE(B152:B156)</f>
        <v>0</v>
      </c>
      <c r="C332" s="203">
        <f t="shared" si="228"/>
        <v>321.2</v>
      </c>
      <c r="D332" s="203">
        <f t="shared" si="228"/>
        <v>123.4</v>
      </c>
      <c r="E332" s="203">
        <f t="shared" si="228"/>
        <v>310</v>
      </c>
      <c r="F332" s="203">
        <f t="shared" si="228"/>
        <v>104.8</v>
      </c>
      <c r="G332" s="203">
        <f t="shared" si="228"/>
        <v>5.6</v>
      </c>
      <c r="H332" s="203">
        <f t="shared" si="228"/>
        <v>0</v>
      </c>
      <c r="I332" s="197">
        <f t="shared" si="228"/>
        <v>0</v>
      </c>
      <c r="J332" s="197">
        <f t="shared" si="228"/>
        <v>865</v>
      </c>
      <c r="K332" s="203">
        <f t="shared" si="228"/>
        <v>865</v>
      </c>
      <c r="L332" s="197"/>
      <c r="M332" s="197">
        <f t="shared" ref="M332:V332" si="229">AVERAGE(M152:M156)</f>
        <v>0</v>
      </c>
      <c r="N332" s="203">
        <f t="shared" si="229"/>
        <v>0.2</v>
      </c>
      <c r="O332" s="203">
        <f t="shared" si="229"/>
        <v>353.2</v>
      </c>
      <c r="P332" s="203">
        <f t="shared" si="229"/>
        <v>1261.8</v>
      </c>
      <c r="Q332" s="203">
        <f t="shared" si="229"/>
        <v>561.4</v>
      </c>
      <c r="R332" s="203">
        <f t="shared" si="229"/>
        <v>199</v>
      </c>
      <c r="S332" s="203">
        <f t="shared" si="229"/>
        <v>0</v>
      </c>
      <c r="T332" s="197">
        <f t="shared" si="229"/>
        <v>0</v>
      </c>
      <c r="U332" s="197">
        <f t="shared" si="229"/>
        <v>2375.6</v>
      </c>
      <c r="V332" s="203">
        <f t="shared" si="229"/>
        <v>2375.6</v>
      </c>
    </row>
    <row r="333" spans="1:22" ht="11.25" customHeight="1" x14ac:dyDescent="0.2">
      <c r="A333" s="473" t="s">
        <v>87</v>
      </c>
      <c r="B333" s="197">
        <f t="shared" ref="B333:K333" si="230">AVERAGE(B157:B161)</f>
        <v>0</v>
      </c>
      <c r="C333" s="203">
        <f t="shared" si="230"/>
        <v>670.8</v>
      </c>
      <c r="D333" s="203">
        <f t="shared" si="230"/>
        <v>949</v>
      </c>
      <c r="E333" s="203">
        <f t="shared" si="230"/>
        <v>1283</v>
      </c>
      <c r="F333" s="203">
        <f t="shared" si="230"/>
        <v>782.8</v>
      </c>
      <c r="G333" s="203">
        <f t="shared" si="230"/>
        <v>240.6</v>
      </c>
      <c r="H333" s="203" t="s">
        <v>29</v>
      </c>
      <c r="I333" s="197" t="s">
        <v>29</v>
      </c>
      <c r="J333" s="197">
        <f t="shared" si="230"/>
        <v>3926.2</v>
      </c>
      <c r="K333" s="203">
        <f t="shared" si="230"/>
        <v>3926.2</v>
      </c>
      <c r="L333" s="197"/>
      <c r="M333" s="197">
        <f t="shared" ref="M333:V333" si="231">AVERAGE(M157:M161)</f>
        <v>0</v>
      </c>
      <c r="N333" s="203">
        <f t="shared" si="231"/>
        <v>0</v>
      </c>
      <c r="O333" s="203">
        <f t="shared" si="231"/>
        <v>1391.2</v>
      </c>
      <c r="P333" s="203">
        <f t="shared" si="231"/>
        <v>4900.8</v>
      </c>
      <c r="Q333" s="203">
        <f t="shared" si="231"/>
        <v>4220.8</v>
      </c>
      <c r="R333" s="203">
        <f t="shared" si="231"/>
        <v>746.8</v>
      </c>
      <c r="S333" s="203" t="s">
        <v>29</v>
      </c>
      <c r="T333" s="197" t="s">
        <v>29</v>
      </c>
      <c r="U333" s="197">
        <f t="shared" si="231"/>
        <v>11259.6</v>
      </c>
      <c r="V333" s="203">
        <f t="shared" si="231"/>
        <v>11259.6</v>
      </c>
    </row>
    <row r="334" spans="1:22" ht="11.25" customHeight="1" x14ac:dyDescent="0.2">
      <c r="A334" s="473" t="s">
        <v>14</v>
      </c>
      <c r="B334" s="197">
        <f>AVERAGE(B162:B166)</f>
        <v>0</v>
      </c>
      <c r="C334" s="203">
        <f t="shared" ref="C334:K334" si="232">AVERAGE(C162:C166)</f>
        <v>14.8</v>
      </c>
      <c r="D334" s="203">
        <f t="shared" si="232"/>
        <v>231.2</v>
      </c>
      <c r="E334" s="203">
        <f t="shared" si="232"/>
        <v>188.2</v>
      </c>
      <c r="F334" s="203">
        <f t="shared" si="232"/>
        <v>656</v>
      </c>
      <c r="G334" s="203">
        <f t="shared" si="232"/>
        <v>74.400000000000006</v>
      </c>
      <c r="H334" s="203" t="s">
        <v>29</v>
      </c>
      <c r="I334" s="197" t="s">
        <v>29</v>
      </c>
      <c r="J334" s="197">
        <f t="shared" si="232"/>
        <v>1164.5999999999999</v>
      </c>
      <c r="K334" s="203">
        <f t="shared" si="232"/>
        <v>1164.5999999999999</v>
      </c>
      <c r="L334" s="197"/>
      <c r="M334" s="197">
        <f t="shared" ref="M334:V334" si="233">AVERAGE(M162:M166)</f>
        <v>0</v>
      </c>
      <c r="N334" s="203">
        <f t="shared" si="233"/>
        <v>0</v>
      </c>
      <c r="O334" s="203">
        <f t="shared" si="233"/>
        <v>0</v>
      </c>
      <c r="P334" s="203">
        <f t="shared" si="233"/>
        <v>1137.8</v>
      </c>
      <c r="Q334" s="203">
        <f t="shared" si="233"/>
        <v>2019.4</v>
      </c>
      <c r="R334" s="203">
        <f t="shared" si="233"/>
        <v>228.2</v>
      </c>
      <c r="S334" s="203" t="s">
        <v>29</v>
      </c>
      <c r="T334" s="197" t="s">
        <v>29</v>
      </c>
      <c r="U334" s="197">
        <f t="shared" si="233"/>
        <v>3385.4</v>
      </c>
      <c r="V334" s="203">
        <f t="shared" si="233"/>
        <v>3385.4</v>
      </c>
    </row>
    <row r="335" spans="1:22" ht="11.25" customHeight="1" x14ac:dyDescent="0.2">
      <c r="A335" s="473" t="s">
        <v>207</v>
      </c>
      <c r="B335" s="197">
        <f>AVERAGE(B167:B171)</f>
        <v>0</v>
      </c>
      <c r="C335" s="203">
        <f t="shared" ref="C335:K335" si="234">AVERAGE(C167:C171)</f>
        <v>17.600000000000001</v>
      </c>
      <c r="D335" s="203">
        <f t="shared" si="234"/>
        <v>91</v>
      </c>
      <c r="E335" s="203">
        <f t="shared" si="234"/>
        <v>67.400000000000006</v>
      </c>
      <c r="F335" s="203">
        <f t="shared" si="234"/>
        <v>285.60000000000002</v>
      </c>
      <c r="G335" s="203">
        <f t="shared" si="234"/>
        <v>46</v>
      </c>
      <c r="H335" s="203" t="s">
        <v>29</v>
      </c>
      <c r="I335" s="197" t="s">
        <v>29</v>
      </c>
      <c r="J335" s="197">
        <f t="shared" si="234"/>
        <v>507.6</v>
      </c>
      <c r="K335" s="203">
        <f t="shared" si="234"/>
        <v>507.6</v>
      </c>
      <c r="L335" s="197"/>
      <c r="M335" s="197">
        <f t="shared" ref="M335:V335" si="235">AVERAGE(M167:M171)</f>
        <v>0</v>
      </c>
      <c r="N335" s="203">
        <f t="shared" si="235"/>
        <v>0</v>
      </c>
      <c r="O335" s="203">
        <f t="shared" si="235"/>
        <v>0</v>
      </c>
      <c r="P335" s="203">
        <f t="shared" si="235"/>
        <v>0</v>
      </c>
      <c r="Q335" s="203">
        <f t="shared" si="235"/>
        <v>712</v>
      </c>
      <c r="R335" s="203">
        <f t="shared" si="235"/>
        <v>366.8</v>
      </c>
      <c r="S335" s="203" t="s">
        <v>29</v>
      </c>
      <c r="T335" s="197" t="s">
        <v>29</v>
      </c>
      <c r="U335" s="197">
        <f t="shared" si="235"/>
        <v>1078.8</v>
      </c>
      <c r="V335" s="203">
        <f t="shared" si="235"/>
        <v>1078.8</v>
      </c>
    </row>
    <row r="336" spans="1:22" ht="11.25" customHeight="1" x14ac:dyDescent="0.2">
      <c r="A336" s="473" t="s">
        <v>238</v>
      </c>
      <c r="B336" s="197">
        <f t="shared" ref="B336:G336" si="236">AVERAGE(B172:B176)</f>
        <v>0</v>
      </c>
      <c r="C336" s="203">
        <f t="shared" si="236"/>
        <v>355.4</v>
      </c>
      <c r="D336" s="203">
        <f t="shared" si="236"/>
        <v>92.2</v>
      </c>
      <c r="E336" s="203">
        <f t="shared" si="236"/>
        <v>49</v>
      </c>
      <c r="F336" s="203">
        <f t="shared" si="236"/>
        <v>222</v>
      </c>
      <c r="G336" s="203">
        <f t="shared" si="236"/>
        <v>124.8</v>
      </c>
      <c r="H336" s="203" t="str">
        <f>+H172</f>
        <v>-</v>
      </c>
      <c r="I336" s="197" t="str">
        <f>+I172</f>
        <v>-</v>
      </c>
      <c r="J336" s="197">
        <f t="shared" ref="J336:R336" si="237">AVERAGE(J172:J176)</f>
        <v>843.4</v>
      </c>
      <c r="K336" s="203">
        <f t="shared" si="237"/>
        <v>843.4</v>
      </c>
      <c r="L336" s="197" t="e">
        <f t="shared" si="237"/>
        <v>#DIV/0!</v>
      </c>
      <c r="M336" s="197">
        <f t="shared" si="237"/>
        <v>0</v>
      </c>
      <c r="N336" s="203">
        <f t="shared" si="237"/>
        <v>0</v>
      </c>
      <c r="O336" s="203">
        <f t="shared" si="237"/>
        <v>0</v>
      </c>
      <c r="P336" s="203">
        <f t="shared" si="237"/>
        <v>0</v>
      </c>
      <c r="Q336" s="203">
        <f t="shared" si="237"/>
        <v>113.6</v>
      </c>
      <c r="R336" s="203">
        <f t="shared" si="237"/>
        <v>80</v>
      </c>
      <c r="S336" s="203" t="str">
        <f>+S172</f>
        <v>-</v>
      </c>
      <c r="T336" s="197" t="str">
        <f>+T172</f>
        <v>-</v>
      </c>
      <c r="U336" s="197">
        <f>AVERAGE(U172:U176)</f>
        <v>193.6</v>
      </c>
      <c r="V336" s="203">
        <f>AVERAGE(V172:V176)</f>
        <v>193.6</v>
      </c>
    </row>
    <row r="337" spans="1:22" ht="11.25" customHeight="1" x14ac:dyDescent="0.2">
      <c r="A337" s="468">
        <v>2006</v>
      </c>
      <c r="B337" s="197">
        <f t="shared" ref="B337:K337" si="238">+B177</f>
        <v>0</v>
      </c>
      <c r="C337" s="203">
        <f t="shared" si="238"/>
        <v>20</v>
      </c>
      <c r="D337" s="203">
        <f t="shared" si="238"/>
        <v>44</v>
      </c>
      <c r="E337" s="203">
        <f t="shared" si="238"/>
        <v>34</v>
      </c>
      <c r="F337" s="203">
        <f t="shared" si="238"/>
        <v>31</v>
      </c>
      <c r="G337" s="203">
        <f t="shared" si="238"/>
        <v>66</v>
      </c>
      <c r="H337" s="203" t="str">
        <f t="shared" si="238"/>
        <v>-</v>
      </c>
      <c r="I337" s="197" t="str">
        <f t="shared" si="238"/>
        <v>-</v>
      </c>
      <c r="J337" s="197">
        <f t="shared" si="238"/>
        <v>195</v>
      </c>
      <c r="K337" s="203">
        <f t="shared" si="238"/>
        <v>195</v>
      </c>
      <c r="L337" s="197"/>
      <c r="M337" s="197">
        <f t="shared" ref="M337:V337" si="239">+M177</f>
        <v>0</v>
      </c>
      <c r="N337" s="203">
        <f t="shared" si="239"/>
        <v>0</v>
      </c>
      <c r="O337" s="203">
        <f t="shared" si="239"/>
        <v>0</v>
      </c>
      <c r="P337" s="203">
        <f t="shared" si="239"/>
        <v>5</v>
      </c>
      <c r="Q337" s="203">
        <f t="shared" si="239"/>
        <v>36</v>
      </c>
      <c r="R337" s="203">
        <f t="shared" si="239"/>
        <v>123</v>
      </c>
      <c r="S337" s="203" t="str">
        <f t="shared" si="239"/>
        <v>-</v>
      </c>
      <c r="T337" s="197" t="str">
        <f t="shared" si="239"/>
        <v>-</v>
      </c>
      <c r="U337" s="197">
        <f t="shared" si="239"/>
        <v>164</v>
      </c>
      <c r="V337" s="203">
        <f t="shared" si="239"/>
        <v>164</v>
      </c>
    </row>
    <row r="338" spans="1:22" s="467" customFormat="1" ht="11.25" customHeight="1" x14ac:dyDescent="0.2">
      <c r="A338" s="308">
        <v>2007</v>
      </c>
      <c r="B338" s="197">
        <f t="shared" ref="B338:K338" si="240">+B178</f>
        <v>0</v>
      </c>
      <c r="C338" s="203">
        <f t="shared" si="240"/>
        <v>0</v>
      </c>
      <c r="D338" s="203">
        <f t="shared" si="240"/>
        <v>0</v>
      </c>
      <c r="E338" s="203">
        <f t="shared" si="240"/>
        <v>94</v>
      </c>
      <c r="F338" s="203">
        <f t="shared" si="240"/>
        <v>79</v>
      </c>
      <c r="G338" s="203">
        <f t="shared" si="240"/>
        <v>13</v>
      </c>
      <c r="H338" s="203" t="str">
        <f t="shared" si="240"/>
        <v>-</v>
      </c>
      <c r="I338" s="197" t="str">
        <f t="shared" si="240"/>
        <v>-</v>
      </c>
      <c r="J338" s="197">
        <f t="shared" si="240"/>
        <v>186</v>
      </c>
      <c r="K338" s="203">
        <f t="shared" si="240"/>
        <v>186</v>
      </c>
      <c r="L338" s="197"/>
      <c r="M338" s="197">
        <f t="shared" ref="M338:V338" si="241">+M178</f>
        <v>0</v>
      </c>
      <c r="N338" s="203">
        <f t="shared" si="241"/>
        <v>0</v>
      </c>
      <c r="O338" s="203">
        <f t="shared" si="241"/>
        <v>0</v>
      </c>
      <c r="P338" s="203">
        <f t="shared" si="241"/>
        <v>137</v>
      </c>
      <c r="Q338" s="203">
        <f t="shared" si="241"/>
        <v>344</v>
      </c>
      <c r="R338" s="203">
        <f t="shared" si="241"/>
        <v>63</v>
      </c>
      <c r="S338" s="203" t="str">
        <f t="shared" si="241"/>
        <v>-</v>
      </c>
      <c r="T338" s="197" t="str">
        <f t="shared" si="241"/>
        <v>-</v>
      </c>
      <c r="U338" s="197">
        <f t="shared" si="241"/>
        <v>544</v>
      </c>
      <c r="V338" s="203">
        <f t="shared" si="241"/>
        <v>544</v>
      </c>
    </row>
    <row r="339" spans="1:22" s="467" customFormat="1" ht="11.25" customHeight="1" x14ac:dyDescent="0.2">
      <c r="A339" s="308">
        <v>2008</v>
      </c>
      <c r="B339" s="197">
        <f t="shared" ref="B339:K339" si="242">+B179</f>
        <v>0</v>
      </c>
      <c r="C339" s="203">
        <f t="shared" si="242"/>
        <v>23</v>
      </c>
      <c r="D339" s="203">
        <f t="shared" si="242"/>
        <v>64</v>
      </c>
      <c r="E339" s="203">
        <f t="shared" si="242"/>
        <v>35</v>
      </c>
      <c r="F339" s="203">
        <f t="shared" si="242"/>
        <v>393</v>
      </c>
      <c r="G339" s="203">
        <f t="shared" si="242"/>
        <v>31</v>
      </c>
      <c r="H339" s="203" t="str">
        <f t="shared" si="242"/>
        <v>-</v>
      </c>
      <c r="I339" s="197" t="str">
        <f t="shared" si="242"/>
        <v>-</v>
      </c>
      <c r="J339" s="197">
        <f t="shared" si="242"/>
        <v>546</v>
      </c>
      <c r="K339" s="203">
        <f t="shared" si="242"/>
        <v>546</v>
      </c>
      <c r="L339" s="197"/>
      <c r="M339" s="197">
        <f t="shared" ref="M339:V339" si="243">+M179</f>
        <v>0</v>
      </c>
      <c r="N339" s="203">
        <f t="shared" si="243"/>
        <v>0</v>
      </c>
      <c r="O339" s="203">
        <f t="shared" si="243"/>
        <v>0</v>
      </c>
      <c r="P339" s="203">
        <f t="shared" si="243"/>
        <v>6</v>
      </c>
      <c r="Q339" s="203">
        <f t="shared" si="243"/>
        <v>674</v>
      </c>
      <c r="R339" s="203">
        <f t="shared" si="243"/>
        <v>65</v>
      </c>
      <c r="S339" s="203" t="str">
        <f t="shared" si="243"/>
        <v>-</v>
      </c>
      <c r="T339" s="197" t="str">
        <f t="shared" si="243"/>
        <v>-</v>
      </c>
      <c r="U339" s="197">
        <f t="shared" si="243"/>
        <v>745</v>
      </c>
      <c r="V339" s="203">
        <f t="shared" si="243"/>
        <v>745</v>
      </c>
    </row>
    <row r="340" spans="1:22" s="467" customFormat="1" ht="11.25" customHeight="1" x14ac:dyDescent="0.2">
      <c r="A340" s="308">
        <v>2009</v>
      </c>
      <c r="B340" s="197">
        <f t="shared" ref="B340:K340" si="244">+B180</f>
        <v>0</v>
      </c>
      <c r="C340" s="203">
        <f t="shared" si="244"/>
        <v>128</v>
      </c>
      <c r="D340" s="203">
        <f t="shared" si="244"/>
        <v>118</v>
      </c>
      <c r="E340" s="203">
        <f t="shared" si="244"/>
        <v>101</v>
      </c>
      <c r="F340" s="203">
        <f t="shared" si="244"/>
        <v>144</v>
      </c>
      <c r="G340" s="203">
        <f t="shared" si="244"/>
        <v>0</v>
      </c>
      <c r="H340" s="203" t="str">
        <f t="shared" si="244"/>
        <v>-</v>
      </c>
      <c r="I340" s="197" t="str">
        <f t="shared" si="244"/>
        <v>-</v>
      </c>
      <c r="J340" s="197">
        <f t="shared" si="244"/>
        <v>491</v>
      </c>
      <c r="K340" s="203">
        <f t="shared" si="244"/>
        <v>491</v>
      </c>
      <c r="L340" s="197"/>
      <c r="M340" s="197">
        <f t="shared" ref="M340:V340" si="245">+M180</f>
        <v>0</v>
      </c>
      <c r="N340" s="203">
        <f t="shared" si="245"/>
        <v>0</v>
      </c>
      <c r="O340" s="203">
        <f t="shared" si="245"/>
        <v>0</v>
      </c>
      <c r="P340" s="203">
        <f t="shared" si="245"/>
        <v>443</v>
      </c>
      <c r="Q340" s="203">
        <f t="shared" si="245"/>
        <v>3694</v>
      </c>
      <c r="R340" s="203">
        <f t="shared" si="245"/>
        <v>68</v>
      </c>
      <c r="S340" s="203" t="str">
        <f t="shared" si="245"/>
        <v>-</v>
      </c>
      <c r="T340" s="197" t="str">
        <f t="shared" si="245"/>
        <v>-</v>
      </c>
      <c r="U340" s="197">
        <f t="shared" si="245"/>
        <v>4205</v>
      </c>
      <c r="V340" s="203">
        <f t="shared" si="245"/>
        <v>4205</v>
      </c>
    </row>
    <row r="341" spans="1:22" s="467" customFormat="1" ht="11.25" customHeight="1" x14ac:dyDescent="0.2">
      <c r="A341" s="308">
        <v>2010</v>
      </c>
      <c r="B341" s="197">
        <f t="shared" ref="B341:K341" si="246">+B181</f>
        <v>0</v>
      </c>
      <c r="C341" s="203">
        <f t="shared" si="246"/>
        <v>32</v>
      </c>
      <c r="D341" s="203">
        <f t="shared" si="246"/>
        <v>766</v>
      </c>
      <c r="E341" s="203">
        <f t="shared" si="246"/>
        <v>938</v>
      </c>
      <c r="F341" s="203">
        <f t="shared" si="246"/>
        <v>468</v>
      </c>
      <c r="G341" s="203">
        <f t="shared" si="246"/>
        <v>624</v>
      </c>
      <c r="H341" s="203" t="str">
        <f t="shared" si="246"/>
        <v>-</v>
      </c>
      <c r="I341" s="197" t="str">
        <f t="shared" si="246"/>
        <v>-</v>
      </c>
      <c r="J341" s="197">
        <f t="shared" si="246"/>
        <v>2828</v>
      </c>
      <c r="K341" s="203">
        <f t="shared" si="246"/>
        <v>2828</v>
      </c>
      <c r="L341" s="197"/>
      <c r="M341" s="197">
        <f t="shared" ref="M341:V341" si="247">+M181</f>
        <v>0</v>
      </c>
      <c r="N341" s="203">
        <f t="shared" si="247"/>
        <v>0</v>
      </c>
      <c r="O341" s="203">
        <f t="shared" si="247"/>
        <v>50</v>
      </c>
      <c r="P341" s="203">
        <f t="shared" si="247"/>
        <v>448</v>
      </c>
      <c r="Q341" s="203">
        <f t="shared" si="247"/>
        <v>249</v>
      </c>
      <c r="R341" s="203">
        <f t="shared" si="247"/>
        <v>1390</v>
      </c>
      <c r="S341" s="203" t="str">
        <f t="shared" si="247"/>
        <v>-</v>
      </c>
      <c r="T341" s="197" t="str">
        <f t="shared" si="247"/>
        <v>-</v>
      </c>
      <c r="U341" s="197">
        <f t="shared" si="247"/>
        <v>2137</v>
      </c>
      <c r="V341" s="203">
        <f t="shared" si="247"/>
        <v>2137</v>
      </c>
    </row>
    <row r="342" spans="1:22" s="467" customFormat="1" ht="11.25" customHeight="1" x14ac:dyDescent="0.2">
      <c r="A342" s="308">
        <v>2011</v>
      </c>
      <c r="B342" s="197">
        <f t="shared" ref="B342:K342" si="248">+B182</f>
        <v>0</v>
      </c>
      <c r="C342" s="203">
        <f t="shared" si="248"/>
        <v>0</v>
      </c>
      <c r="D342" s="203">
        <f t="shared" si="248"/>
        <v>286</v>
      </c>
      <c r="E342" s="203">
        <f t="shared" si="248"/>
        <v>253</v>
      </c>
      <c r="F342" s="203">
        <f t="shared" si="248"/>
        <v>1610</v>
      </c>
      <c r="G342" s="203">
        <f t="shared" si="248"/>
        <v>13</v>
      </c>
      <c r="H342" s="203" t="str">
        <f t="shared" si="248"/>
        <v>-</v>
      </c>
      <c r="I342" s="197" t="str">
        <f t="shared" si="248"/>
        <v>-</v>
      </c>
      <c r="J342" s="197">
        <f t="shared" si="248"/>
        <v>2162</v>
      </c>
      <c r="K342" s="203">
        <f t="shared" si="248"/>
        <v>2162</v>
      </c>
      <c r="L342" s="197"/>
      <c r="M342" s="197">
        <f t="shared" ref="M342:V342" si="249">+M182</f>
        <v>0</v>
      </c>
      <c r="N342" s="203">
        <f t="shared" si="249"/>
        <v>0</v>
      </c>
      <c r="O342" s="203">
        <f t="shared" si="249"/>
        <v>0</v>
      </c>
      <c r="P342" s="203">
        <f t="shared" si="249"/>
        <v>101</v>
      </c>
      <c r="Q342" s="203">
        <f t="shared" si="249"/>
        <v>553</v>
      </c>
      <c r="R342" s="203">
        <f t="shared" si="249"/>
        <v>55</v>
      </c>
      <c r="S342" s="203" t="str">
        <f t="shared" si="249"/>
        <v>-</v>
      </c>
      <c r="T342" s="197" t="str">
        <f t="shared" si="249"/>
        <v>-</v>
      </c>
      <c r="U342" s="197">
        <f t="shared" si="249"/>
        <v>709</v>
      </c>
      <c r="V342" s="203">
        <f t="shared" si="249"/>
        <v>709</v>
      </c>
    </row>
    <row r="343" spans="1:22" s="467" customFormat="1" ht="11.25" customHeight="1" x14ac:dyDescent="0.2">
      <c r="A343" s="308">
        <v>2012</v>
      </c>
      <c r="B343" s="197">
        <f t="shared" ref="B343:K343" si="250">+B183</f>
        <v>0</v>
      </c>
      <c r="C343" s="203">
        <f t="shared" si="250"/>
        <v>133</v>
      </c>
      <c r="D343" s="203">
        <f t="shared" si="250"/>
        <v>521</v>
      </c>
      <c r="E343" s="203">
        <f t="shared" si="250"/>
        <v>366</v>
      </c>
      <c r="F343" s="203">
        <f t="shared" si="250"/>
        <v>174</v>
      </c>
      <c r="G343" s="203">
        <f t="shared" si="250"/>
        <v>0</v>
      </c>
      <c r="H343" s="203" t="str">
        <f t="shared" si="250"/>
        <v>-</v>
      </c>
      <c r="I343" s="197" t="str">
        <f t="shared" si="250"/>
        <v>-</v>
      </c>
      <c r="J343" s="197">
        <f t="shared" si="250"/>
        <v>1194</v>
      </c>
      <c r="K343" s="203">
        <f t="shared" si="250"/>
        <v>1194</v>
      </c>
      <c r="L343" s="197"/>
      <c r="M343" s="197">
        <f t="shared" ref="M343:V343" si="251">+M183</f>
        <v>0</v>
      </c>
      <c r="N343" s="203">
        <f t="shared" si="251"/>
        <v>0</v>
      </c>
      <c r="O343" s="203">
        <f t="shared" si="251"/>
        <v>71</v>
      </c>
      <c r="P343" s="203">
        <f t="shared" si="251"/>
        <v>359</v>
      </c>
      <c r="Q343" s="203">
        <f t="shared" si="251"/>
        <v>809</v>
      </c>
      <c r="R343" s="203">
        <f t="shared" si="251"/>
        <v>0</v>
      </c>
      <c r="S343" s="203" t="str">
        <f t="shared" si="251"/>
        <v>-</v>
      </c>
      <c r="T343" s="197" t="str">
        <f t="shared" si="251"/>
        <v>-</v>
      </c>
      <c r="U343" s="197">
        <f t="shared" si="251"/>
        <v>1239</v>
      </c>
      <c r="V343" s="203">
        <f t="shared" si="251"/>
        <v>1239</v>
      </c>
    </row>
    <row r="344" spans="1:22" s="467" customFormat="1" ht="11.25" customHeight="1" x14ac:dyDescent="0.2">
      <c r="A344" s="308">
        <v>2013</v>
      </c>
      <c r="B344" s="197">
        <f t="shared" ref="B344:K344" si="252">+B184</f>
        <v>0</v>
      </c>
      <c r="C344" s="203">
        <f t="shared" si="252"/>
        <v>3</v>
      </c>
      <c r="D344" s="203">
        <f t="shared" si="252"/>
        <v>153</v>
      </c>
      <c r="E344" s="203">
        <f t="shared" si="252"/>
        <v>56</v>
      </c>
      <c r="F344" s="203">
        <f t="shared" si="252"/>
        <v>331</v>
      </c>
      <c r="G344" s="203">
        <f t="shared" si="252"/>
        <v>25</v>
      </c>
      <c r="H344" s="203" t="str">
        <f t="shared" si="252"/>
        <v>-</v>
      </c>
      <c r="I344" s="197" t="str">
        <f t="shared" si="252"/>
        <v>-</v>
      </c>
      <c r="J344" s="197">
        <f t="shared" si="252"/>
        <v>568</v>
      </c>
      <c r="K344" s="203">
        <f t="shared" si="252"/>
        <v>568</v>
      </c>
      <c r="L344" s="197"/>
      <c r="M344" s="197">
        <f t="shared" ref="M344:V344" si="253">+M184</f>
        <v>0</v>
      </c>
      <c r="N344" s="203">
        <f t="shared" si="253"/>
        <v>0</v>
      </c>
      <c r="O344" s="203">
        <f t="shared" si="253"/>
        <v>0</v>
      </c>
      <c r="P344" s="203">
        <f t="shared" si="253"/>
        <v>19</v>
      </c>
      <c r="Q344" s="203">
        <f t="shared" si="253"/>
        <v>974</v>
      </c>
      <c r="R344" s="203">
        <f t="shared" si="253"/>
        <v>48</v>
      </c>
      <c r="S344" s="203" t="str">
        <f t="shared" si="253"/>
        <v>-</v>
      </c>
      <c r="T344" s="197" t="str">
        <f t="shared" si="253"/>
        <v>-</v>
      </c>
      <c r="U344" s="197">
        <f t="shared" si="253"/>
        <v>1041</v>
      </c>
      <c r="V344" s="203">
        <f t="shared" si="253"/>
        <v>1041</v>
      </c>
    </row>
    <row r="345" spans="1:22" s="467" customFormat="1" ht="11.25" customHeight="1" x14ac:dyDescent="0.2">
      <c r="A345" s="308">
        <v>2014</v>
      </c>
      <c r="B345" s="197">
        <f t="shared" ref="B345:K345" si="254">+B185</f>
        <v>0</v>
      </c>
      <c r="C345" s="203">
        <f t="shared" si="254"/>
        <v>350</v>
      </c>
      <c r="D345" s="203">
        <f t="shared" si="254"/>
        <v>205</v>
      </c>
      <c r="E345" s="203">
        <f t="shared" si="254"/>
        <v>592</v>
      </c>
      <c r="F345" s="203">
        <f t="shared" si="254"/>
        <v>652</v>
      </c>
      <c r="G345" s="203">
        <f t="shared" si="254"/>
        <v>59</v>
      </c>
      <c r="H345" s="203" t="str">
        <f t="shared" si="254"/>
        <v>-</v>
      </c>
      <c r="I345" s="197" t="str">
        <f t="shared" si="254"/>
        <v>-</v>
      </c>
      <c r="J345" s="197">
        <f t="shared" si="254"/>
        <v>1858</v>
      </c>
      <c r="K345" s="203">
        <f t="shared" si="254"/>
        <v>1858</v>
      </c>
      <c r="L345" s="197"/>
      <c r="M345" s="197">
        <f t="shared" ref="M345:V345" si="255">+M185</f>
        <v>0</v>
      </c>
      <c r="N345" s="203">
        <f t="shared" si="255"/>
        <v>0</v>
      </c>
      <c r="O345" s="203">
        <f t="shared" si="255"/>
        <v>15</v>
      </c>
      <c r="P345" s="203">
        <f t="shared" si="255"/>
        <v>95</v>
      </c>
      <c r="Q345" s="203">
        <f t="shared" si="255"/>
        <v>265</v>
      </c>
      <c r="R345" s="203">
        <f t="shared" si="255"/>
        <v>249</v>
      </c>
      <c r="S345" s="203" t="str">
        <f t="shared" si="255"/>
        <v>-</v>
      </c>
      <c r="T345" s="197" t="str">
        <f t="shared" si="255"/>
        <v>-</v>
      </c>
      <c r="U345" s="197">
        <f t="shared" si="255"/>
        <v>624</v>
      </c>
      <c r="V345" s="203">
        <f t="shared" si="255"/>
        <v>624</v>
      </c>
    </row>
    <row r="346" spans="1:22" s="467" customFormat="1" ht="11.25" customHeight="1" x14ac:dyDescent="0.2">
      <c r="A346" s="308">
        <v>2015</v>
      </c>
      <c r="B346" s="197">
        <f t="shared" ref="B346:K346" si="256">+B186</f>
        <v>0</v>
      </c>
      <c r="C346" s="203">
        <f t="shared" si="256"/>
        <v>109</v>
      </c>
      <c r="D346" s="203">
        <f t="shared" si="256"/>
        <v>691</v>
      </c>
      <c r="E346" s="203">
        <f t="shared" si="256"/>
        <v>1634</v>
      </c>
      <c r="F346" s="203">
        <f t="shared" si="256"/>
        <v>744</v>
      </c>
      <c r="G346" s="203">
        <f t="shared" si="256"/>
        <v>0</v>
      </c>
      <c r="H346" s="203" t="str">
        <f t="shared" si="256"/>
        <v>-</v>
      </c>
      <c r="I346" s="197" t="str">
        <f t="shared" si="256"/>
        <v>-</v>
      </c>
      <c r="J346" s="197">
        <f t="shared" si="256"/>
        <v>3178</v>
      </c>
      <c r="K346" s="203">
        <f t="shared" si="256"/>
        <v>3178</v>
      </c>
      <c r="L346" s="197"/>
      <c r="M346" s="197">
        <f t="shared" ref="M346:V346" si="257">+M186</f>
        <v>0</v>
      </c>
      <c r="N346" s="203">
        <f t="shared" si="257"/>
        <v>0</v>
      </c>
      <c r="O346" s="203">
        <f t="shared" si="257"/>
        <v>3</v>
      </c>
      <c r="P346" s="203">
        <f t="shared" si="257"/>
        <v>105</v>
      </c>
      <c r="Q346" s="203">
        <f t="shared" si="257"/>
        <v>107</v>
      </c>
      <c r="R346" s="203">
        <f t="shared" si="257"/>
        <v>0</v>
      </c>
      <c r="S346" s="203" t="str">
        <f t="shared" si="257"/>
        <v>-</v>
      </c>
      <c r="T346" s="197" t="str">
        <f t="shared" si="257"/>
        <v>-</v>
      </c>
      <c r="U346" s="197">
        <f t="shared" si="257"/>
        <v>215</v>
      </c>
      <c r="V346" s="203">
        <f t="shared" si="257"/>
        <v>215</v>
      </c>
    </row>
    <row r="347" spans="1:22" s="467" customFormat="1" ht="11.25" customHeight="1" x14ac:dyDescent="0.2">
      <c r="A347" s="308">
        <v>2016</v>
      </c>
      <c r="B347" s="197">
        <f t="shared" ref="B347:K347" si="258">+B187</f>
        <v>0</v>
      </c>
      <c r="C347" s="203">
        <f t="shared" si="258"/>
        <v>134</v>
      </c>
      <c r="D347" s="203">
        <f t="shared" si="258"/>
        <v>271</v>
      </c>
      <c r="E347" s="203">
        <f t="shared" si="258"/>
        <v>396</v>
      </c>
      <c r="F347" s="203">
        <f t="shared" si="258"/>
        <v>186</v>
      </c>
      <c r="G347" s="203">
        <f t="shared" si="258"/>
        <v>0</v>
      </c>
      <c r="H347" s="203" t="str">
        <f t="shared" si="258"/>
        <v>-</v>
      </c>
      <c r="I347" s="197" t="str">
        <f t="shared" si="258"/>
        <v>-</v>
      </c>
      <c r="J347" s="197">
        <f t="shared" si="258"/>
        <v>987</v>
      </c>
      <c r="K347" s="203">
        <f t="shared" si="258"/>
        <v>987</v>
      </c>
      <c r="L347" s="197"/>
      <c r="M347" s="197">
        <f t="shared" ref="M347:V347" si="259">+M187</f>
        <v>0</v>
      </c>
      <c r="N347" s="203">
        <f t="shared" si="259"/>
        <v>0</v>
      </c>
      <c r="O347" s="203">
        <f t="shared" si="259"/>
        <v>0</v>
      </c>
      <c r="P347" s="203">
        <f t="shared" si="259"/>
        <v>6</v>
      </c>
      <c r="Q347" s="203">
        <f t="shared" si="259"/>
        <v>5</v>
      </c>
      <c r="R347" s="203">
        <f t="shared" si="259"/>
        <v>0</v>
      </c>
      <c r="S347" s="203" t="str">
        <f t="shared" si="259"/>
        <v>-</v>
      </c>
      <c r="T347" s="197" t="str">
        <f t="shared" si="259"/>
        <v>-</v>
      </c>
      <c r="U347" s="197">
        <f t="shared" si="259"/>
        <v>11</v>
      </c>
      <c r="V347" s="203">
        <f t="shared" si="259"/>
        <v>11</v>
      </c>
    </row>
    <row r="348" spans="1:22" s="467" customFormat="1" ht="11.25" customHeight="1" x14ac:dyDescent="0.2">
      <c r="A348" s="477">
        <v>2017</v>
      </c>
      <c r="B348" s="197">
        <f t="shared" ref="B348:K348" si="260">+B188</f>
        <v>0</v>
      </c>
      <c r="C348" s="203">
        <f t="shared" si="260"/>
        <v>86</v>
      </c>
      <c r="D348" s="203">
        <f t="shared" si="260"/>
        <v>20</v>
      </c>
      <c r="E348" s="203">
        <f t="shared" si="260"/>
        <v>19</v>
      </c>
      <c r="F348" s="203">
        <f t="shared" si="260"/>
        <v>229</v>
      </c>
      <c r="G348" s="203">
        <f t="shared" si="260"/>
        <v>34</v>
      </c>
      <c r="H348" s="203" t="str">
        <f t="shared" si="260"/>
        <v>-</v>
      </c>
      <c r="I348" s="197" t="str">
        <f t="shared" si="260"/>
        <v>-</v>
      </c>
      <c r="J348" s="197">
        <f t="shared" si="260"/>
        <v>388</v>
      </c>
      <c r="K348" s="203">
        <f t="shared" si="260"/>
        <v>388</v>
      </c>
      <c r="L348" s="197"/>
      <c r="M348" s="197">
        <f t="shared" ref="M348:V348" si="261">+M188</f>
        <v>0</v>
      </c>
      <c r="N348" s="203">
        <f t="shared" si="261"/>
        <v>0</v>
      </c>
      <c r="O348" s="203">
        <f t="shared" si="261"/>
        <v>0</v>
      </c>
      <c r="P348" s="203">
        <f t="shared" si="261"/>
        <v>114</v>
      </c>
      <c r="Q348" s="203">
        <f t="shared" si="261"/>
        <v>274</v>
      </c>
      <c r="R348" s="203">
        <f t="shared" si="261"/>
        <v>379</v>
      </c>
      <c r="S348" s="203" t="str">
        <f t="shared" si="261"/>
        <v>-</v>
      </c>
      <c r="T348" s="197" t="str">
        <f t="shared" si="261"/>
        <v>-</v>
      </c>
      <c r="U348" s="197">
        <f t="shared" si="261"/>
        <v>767</v>
      </c>
      <c r="V348" s="203">
        <f t="shared" si="261"/>
        <v>767</v>
      </c>
    </row>
    <row r="349" spans="1:22" s="467" customFormat="1" ht="11.25" customHeight="1" x14ac:dyDescent="0.2">
      <c r="A349" s="477">
        <v>2018</v>
      </c>
      <c r="B349" s="197">
        <f t="shared" ref="B349:K349" si="262">+B189</f>
        <v>0</v>
      </c>
      <c r="C349" s="203">
        <f t="shared" si="262"/>
        <v>71</v>
      </c>
      <c r="D349" s="203">
        <f t="shared" si="262"/>
        <v>152</v>
      </c>
      <c r="E349" s="203">
        <f t="shared" si="262"/>
        <v>23</v>
      </c>
      <c r="F349" s="203">
        <f t="shared" si="262"/>
        <v>185</v>
      </c>
      <c r="G349" s="203">
        <f t="shared" si="262"/>
        <v>5</v>
      </c>
      <c r="H349" s="203" t="str">
        <f t="shared" si="262"/>
        <v>-</v>
      </c>
      <c r="I349" s="197" t="str">
        <f t="shared" si="262"/>
        <v>-</v>
      </c>
      <c r="J349" s="197">
        <f t="shared" si="262"/>
        <v>436</v>
      </c>
      <c r="K349" s="203">
        <f t="shared" si="262"/>
        <v>436</v>
      </c>
      <c r="L349" s="197"/>
      <c r="M349" s="197">
        <f t="shared" ref="M349:V349" si="263">+M189</f>
        <v>0</v>
      </c>
      <c r="N349" s="203">
        <f t="shared" si="263"/>
        <v>0</v>
      </c>
      <c r="O349" s="203">
        <f t="shared" si="263"/>
        <v>0</v>
      </c>
      <c r="P349" s="203">
        <f t="shared" si="263"/>
        <v>0</v>
      </c>
      <c r="Q349" s="203">
        <f t="shared" si="263"/>
        <v>509</v>
      </c>
      <c r="R349" s="203">
        <f t="shared" si="263"/>
        <v>296</v>
      </c>
      <c r="S349" s="203" t="str">
        <f t="shared" si="263"/>
        <v>-</v>
      </c>
      <c r="T349" s="197" t="str">
        <f t="shared" si="263"/>
        <v>-</v>
      </c>
      <c r="U349" s="197">
        <f t="shared" si="263"/>
        <v>805</v>
      </c>
      <c r="V349" s="203">
        <f t="shared" si="263"/>
        <v>805</v>
      </c>
    </row>
    <row r="350" spans="1:22" s="487" customFormat="1" ht="11.25" customHeight="1" x14ac:dyDescent="0.2">
      <c r="A350" s="491">
        <v>2019</v>
      </c>
      <c r="B350" s="197">
        <f t="shared" ref="B350:K351" si="264">+B190</f>
        <v>0</v>
      </c>
      <c r="C350" s="203">
        <f t="shared" si="264"/>
        <v>120</v>
      </c>
      <c r="D350" s="203">
        <f t="shared" si="264"/>
        <v>15</v>
      </c>
      <c r="E350" s="203">
        <f t="shared" si="264"/>
        <v>25</v>
      </c>
      <c r="F350" s="203">
        <f t="shared" si="264"/>
        <v>58</v>
      </c>
      <c r="G350" s="203">
        <f t="shared" si="264"/>
        <v>47</v>
      </c>
      <c r="H350" s="203" t="str">
        <f t="shared" si="264"/>
        <v>-</v>
      </c>
      <c r="I350" s="197" t="str">
        <f t="shared" si="264"/>
        <v>-</v>
      </c>
      <c r="J350" s="197">
        <f t="shared" si="264"/>
        <v>265</v>
      </c>
      <c r="K350" s="203">
        <f t="shared" si="264"/>
        <v>265</v>
      </c>
      <c r="L350" s="197"/>
      <c r="M350" s="197">
        <f t="shared" ref="M350:V351" si="265">+M190</f>
        <v>0</v>
      </c>
      <c r="N350" s="203">
        <f t="shared" si="265"/>
        <v>0</v>
      </c>
      <c r="O350" s="203">
        <f t="shared" si="265"/>
        <v>0</v>
      </c>
      <c r="P350" s="203">
        <f t="shared" si="265"/>
        <v>260</v>
      </c>
      <c r="Q350" s="203">
        <f t="shared" si="265"/>
        <v>1794</v>
      </c>
      <c r="R350" s="203">
        <f t="shared" si="265"/>
        <v>1068</v>
      </c>
      <c r="S350" s="203" t="str">
        <f t="shared" si="265"/>
        <v>-</v>
      </c>
      <c r="T350" s="197" t="str">
        <f t="shared" si="265"/>
        <v>-</v>
      </c>
      <c r="U350" s="197">
        <f t="shared" si="265"/>
        <v>3122</v>
      </c>
      <c r="V350" s="203">
        <f t="shared" si="265"/>
        <v>3122</v>
      </c>
    </row>
    <row r="351" spans="1:22" ht="11.25" customHeight="1" x14ac:dyDescent="0.2">
      <c r="A351" s="491" t="s">
        <v>392</v>
      </c>
      <c r="B351" s="197">
        <f t="shared" si="264"/>
        <v>0</v>
      </c>
      <c r="C351" s="203">
        <f t="shared" si="264"/>
        <v>8</v>
      </c>
      <c r="D351" s="203">
        <f t="shared" si="264"/>
        <v>23</v>
      </c>
      <c r="E351" s="203">
        <f t="shared" si="264"/>
        <v>239</v>
      </c>
      <c r="F351" s="203">
        <f t="shared" si="264"/>
        <v>117</v>
      </c>
      <c r="G351" s="203">
        <f t="shared" si="264"/>
        <v>14</v>
      </c>
      <c r="H351" s="203" t="str">
        <f t="shared" si="264"/>
        <v>-</v>
      </c>
      <c r="I351" s="197" t="str">
        <f t="shared" si="264"/>
        <v>-</v>
      </c>
      <c r="J351" s="197">
        <f t="shared" si="264"/>
        <v>401</v>
      </c>
      <c r="K351" s="203">
        <f t="shared" si="264"/>
        <v>401</v>
      </c>
      <c r="L351" s="197"/>
      <c r="M351" s="197">
        <f t="shared" si="265"/>
        <v>0</v>
      </c>
      <c r="N351" s="203">
        <f t="shared" si="265"/>
        <v>0</v>
      </c>
      <c r="O351" s="203">
        <f t="shared" si="265"/>
        <v>0</v>
      </c>
      <c r="P351" s="203">
        <f t="shared" si="265"/>
        <v>0</v>
      </c>
      <c r="Q351" s="203">
        <f t="shared" si="265"/>
        <v>86</v>
      </c>
      <c r="R351" s="203">
        <f t="shared" si="265"/>
        <v>205</v>
      </c>
      <c r="S351" s="203" t="str">
        <f t="shared" si="265"/>
        <v>-</v>
      </c>
      <c r="T351" s="197" t="str">
        <f t="shared" si="265"/>
        <v>-</v>
      </c>
      <c r="U351" s="197">
        <f t="shared" si="265"/>
        <v>291</v>
      </c>
      <c r="V351" s="203">
        <f t="shared" si="265"/>
        <v>291</v>
      </c>
    </row>
    <row r="352" spans="1:22" ht="11.25" customHeight="1" x14ac:dyDescent="0.2">
      <c r="V352" s="193"/>
    </row>
    <row r="353" spans="1:22" ht="11.25" customHeight="1" x14ac:dyDescent="0.2">
      <c r="A353" s="522" t="s">
        <v>143</v>
      </c>
      <c r="B353" s="522"/>
      <c r="C353" s="522"/>
      <c r="D353" s="522"/>
      <c r="E353" s="522"/>
      <c r="F353" s="522"/>
      <c r="G353" s="522"/>
      <c r="H353" s="522"/>
      <c r="I353" s="522"/>
      <c r="J353" s="522"/>
      <c r="K353" s="522"/>
      <c r="L353" s="522"/>
      <c r="M353" s="522"/>
      <c r="N353" s="522"/>
      <c r="O353" s="522"/>
      <c r="P353" s="522"/>
      <c r="Q353" s="522"/>
      <c r="R353" s="522"/>
      <c r="S353" s="522"/>
      <c r="T353" s="522"/>
      <c r="U353" s="522"/>
      <c r="V353" s="522"/>
    </row>
    <row r="354" spans="1:22" ht="11.25" customHeight="1" x14ac:dyDescent="0.2">
      <c r="A354" s="585" t="s">
        <v>33</v>
      </c>
      <c r="B354" s="23"/>
      <c r="C354" s="23"/>
      <c r="D354" s="23"/>
      <c r="E354" s="23"/>
      <c r="F354" s="23"/>
      <c r="G354" s="23"/>
      <c r="H354" s="23"/>
      <c r="I354" s="23"/>
      <c r="J354" s="587" t="s">
        <v>61</v>
      </c>
      <c r="K354" s="587"/>
      <c r="L354" s="23"/>
      <c r="M354" s="23"/>
      <c r="N354" s="23"/>
      <c r="O354" s="23"/>
      <c r="P354" s="23"/>
      <c r="Q354" s="23"/>
      <c r="R354" s="23"/>
      <c r="S354" s="23"/>
      <c r="T354" s="23"/>
      <c r="U354" s="587" t="s">
        <v>61</v>
      </c>
      <c r="V354" s="587"/>
    </row>
    <row r="355" spans="1:22" ht="11.25" customHeight="1" x14ac:dyDescent="0.2">
      <c r="A355" s="586"/>
      <c r="B355" s="20" t="s">
        <v>71</v>
      </c>
      <c r="C355" s="20" t="s">
        <v>35</v>
      </c>
      <c r="D355" s="20" t="s">
        <v>36</v>
      </c>
      <c r="E355" s="20" t="s">
        <v>37</v>
      </c>
      <c r="F355" s="20" t="s">
        <v>38</v>
      </c>
      <c r="G355" s="20" t="s">
        <v>39</v>
      </c>
      <c r="H355" s="20" t="s">
        <v>294</v>
      </c>
      <c r="I355" s="47" t="s">
        <v>73</v>
      </c>
      <c r="J355" s="47" t="s">
        <v>74</v>
      </c>
      <c r="K355" s="20" t="s">
        <v>52</v>
      </c>
      <c r="L355" s="20"/>
      <c r="M355" s="20" t="s">
        <v>71</v>
      </c>
      <c r="N355" s="20" t="s">
        <v>35</v>
      </c>
      <c r="O355" s="20" t="s">
        <v>36</v>
      </c>
      <c r="P355" s="20" t="s">
        <v>37</v>
      </c>
      <c r="Q355" s="20" t="s">
        <v>38</v>
      </c>
      <c r="R355" s="20" t="s">
        <v>39</v>
      </c>
      <c r="S355" s="20" t="s">
        <v>294</v>
      </c>
      <c r="T355" s="47" t="s">
        <v>73</v>
      </c>
      <c r="U355" s="47" t="s">
        <v>74</v>
      </c>
      <c r="V355" s="20" t="s">
        <v>52</v>
      </c>
    </row>
    <row r="356" spans="1:22" ht="11.25" customHeight="1" x14ac:dyDescent="0.2">
      <c r="A356" s="116"/>
      <c r="B356" s="583" t="s">
        <v>67</v>
      </c>
      <c r="C356" s="583"/>
      <c r="D356" s="583"/>
      <c r="E356" s="583"/>
      <c r="F356" s="583"/>
      <c r="G356" s="583"/>
      <c r="H356" s="583"/>
      <c r="I356" s="583"/>
      <c r="J356" s="583"/>
      <c r="K356" s="583"/>
      <c r="M356" s="583" t="s">
        <v>68</v>
      </c>
      <c r="N356" s="583"/>
      <c r="O356" s="583"/>
      <c r="P356" s="583"/>
      <c r="Q356" s="583"/>
      <c r="R356" s="583"/>
      <c r="S356" s="583"/>
      <c r="T356" s="583"/>
      <c r="U356" s="583"/>
      <c r="V356" s="583"/>
    </row>
    <row r="357" spans="1:22" ht="11.25" customHeight="1" x14ac:dyDescent="0.2">
      <c r="A357" s="120" t="s">
        <v>111</v>
      </c>
      <c r="V357" s="193"/>
    </row>
    <row r="358" spans="1:22" ht="11.25" customHeight="1" x14ac:dyDescent="0.2">
      <c r="A358" s="468" t="s">
        <v>30</v>
      </c>
      <c r="B358" s="193">
        <f t="shared" ref="B358:J358" si="266">AVERAGE(B199:B203)</f>
        <v>13109</v>
      </c>
      <c r="C358" s="200">
        <f t="shared" si="266"/>
        <v>2150.1999999999998</v>
      </c>
      <c r="D358" s="200">
        <f t="shared" si="266"/>
        <v>1883.2</v>
      </c>
      <c r="E358" s="200">
        <f t="shared" si="266"/>
        <v>3636.2</v>
      </c>
      <c r="F358" s="200">
        <f t="shared" si="266"/>
        <v>1335.6</v>
      </c>
      <c r="G358" s="200">
        <f t="shared" si="266"/>
        <v>1018.2</v>
      </c>
      <c r="H358" s="200">
        <f t="shared" si="266"/>
        <v>198.4</v>
      </c>
      <c r="I358" s="193">
        <f t="shared" si="266"/>
        <v>833.6</v>
      </c>
      <c r="J358" s="193">
        <f t="shared" si="266"/>
        <v>10023.4</v>
      </c>
      <c r="K358" s="200">
        <f>AVERAGE(K199:K203)</f>
        <v>24164.400000000001</v>
      </c>
      <c r="M358" s="193">
        <f t="shared" ref="M358:V358" si="267">AVERAGE(M199:M203)</f>
        <v>41.6</v>
      </c>
      <c r="N358" s="200">
        <f t="shared" si="267"/>
        <v>282.8</v>
      </c>
      <c r="O358" s="200">
        <f t="shared" si="267"/>
        <v>7435.4</v>
      </c>
      <c r="P358" s="200">
        <f t="shared" si="267"/>
        <v>16405.8</v>
      </c>
      <c r="Q358" s="200">
        <f t="shared" si="267"/>
        <v>24484</v>
      </c>
      <c r="R358" s="200">
        <f t="shared" si="267"/>
        <v>16665.8</v>
      </c>
      <c r="S358" s="200">
        <f t="shared" si="267"/>
        <v>54.2</v>
      </c>
      <c r="T358" s="193">
        <f t="shared" si="267"/>
        <v>7</v>
      </c>
      <c r="U358" s="193">
        <f t="shared" si="267"/>
        <v>65273.8</v>
      </c>
      <c r="V358" s="200">
        <f t="shared" si="267"/>
        <v>65376.6</v>
      </c>
    </row>
    <row r="359" spans="1:22" ht="11.25" customHeight="1" x14ac:dyDescent="0.2">
      <c r="A359" s="468" t="s">
        <v>87</v>
      </c>
      <c r="B359" s="193">
        <f t="shared" ref="B359:K359" si="268">AVERAGE(B204:B208)</f>
        <v>6015.2</v>
      </c>
      <c r="C359" s="200">
        <f t="shared" si="268"/>
        <v>6876.6</v>
      </c>
      <c r="D359" s="200">
        <f t="shared" si="268"/>
        <v>5955.2</v>
      </c>
      <c r="E359" s="200">
        <f t="shared" si="268"/>
        <v>6725.8</v>
      </c>
      <c r="F359" s="200">
        <f t="shared" si="268"/>
        <v>4506.3999999999996</v>
      </c>
      <c r="G359" s="200">
        <f t="shared" si="268"/>
        <v>1248</v>
      </c>
      <c r="H359" s="200">
        <f t="shared" si="268"/>
        <v>12</v>
      </c>
      <c r="I359" s="193">
        <f t="shared" si="268"/>
        <v>2677.2</v>
      </c>
      <c r="J359" s="193">
        <f t="shared" si="268"/>
        <v>25312</v>
      </c>
      <c r="K359" s="200">
        <f t="shared" si="268"/>
        <v>34016.400000000001</v>
      </c>
      <c r="M359" s="193">
        <f t="shared" ref="M359:V359" si="269">AVERAGE(M204:M208)</f>
        <v>8.6</v>
      </c>
      <c r="N359" s="200">
        <f t="shared" si="269"/>
        <v>3.4</v>
      </c>
      <c r="O359" s="200">
        <f t="shared" si="269"/>
        <v>4256.2</v>
      </c>
      <c r="P359" s="200">
        <f t="shared" si="269"/>
        <v>32310.2</v>
      </c>
      <c r="Q359" s="200">
        <f t="shared" si="269"/>
        <v>35942.199999999997</v>
      </c>
      <c r="R359" s="200">
        <f t="shared" si="269"/>
        <v>11051</v>
      </c>
      <c r="S359" s="200">
        <f t="shared" si="269"/>
        <v>6.8</v>
      </c>
      <c r="T359" s="193">
        <f t="shared" si="269"/>
        <v>12.6</v>
      </c>
      <c r="U359" s="193">
        <f t="shared" si="269"/>
        <v>83563</v>
      </c>
      <c r="V359" s="200">
        <f t="shared" si="269"/>
        <v>83591</v>
      </c>
    </row>
    <row r="360" spans="1:22" ht="11.25" customHeight="1" x14ac:dyDescent="0.2">
      <c r="A360" s="468" t="s">
        <v>14</v>
      </c>
      <c r="B360" s="193">
        <f>AVERAGE(B209:B213)</f>
        <v>3548.8</v>
      </c>
      <c r="C360" s="200">
        <f t="shared" ref="C360:K360" si="270">AVERAGE(C209:C213)</f>
        <v>4343</v>
      </c>
      <c r="D360" s="200">
        <f t="shared" si="270"/>
        <v>4181.3999999999996</v>
      </c>
      <c r="E360" s="200">
        <f t="shared" si="270"/>
        <v>3510.6</v>
      </c>
      <c r="F360" s="200">
        <f t="shared" si="270"/>
        <v>4243.2</v>
      </c>
      <c r="G360" s="200">
        <f t="shared" si="270"/>
        <v>570.6</v>
      </c>
      <c r="H360" s="200">
        <f t="shared" si="270"/>
        <v>29.4</v>
      </c>
      <c r="I360" s="193">
        <f t="shared" si="270"/>
        <v>1083.8</v>
      </c>
      <c r="J360" s="193">
        <f t="shared" si="270"/>
        <v>16848.8</v>
      </c>
      <c r="K360" s="200">
        <f t="shared" si="270"/>
        <v>21510.799999999999</v>
      </c>
      <c r="M360" s="193">
        <f t="shared" ref="M360:V360" si="271">AVERAGE(M209:M213)</f>
        <v>1.8</v>
      </c>
      <c r="N360" s="200">
        <f t="shared" si="271"/>
        <v>0.6</v>
      </c>
      <c r="O360" s="200">
        <f t="shared" si="271"/>
        <v>0.6</v>
      </c>
      <c r="P360" s="200">
        <f t="shared" si="271"/>
        <v>17220.400000000001</v>
      </c>
      <c r="Q360" s="200">
        <f t="shared" si="271"/>
        <v>26038</v>
      </c>
      <c r="R360" s="200">
        <f t="shared" si="271"/>
        <v>5275</v>
      </c>
      <c r="S360" s="200">
        <f t="shared" si="271"/>
        <v>102.6</v>
      </c>
      <c r="T360" s="193">
        <f t="shared" si="271"/>
        <v>7.6</v>
      </c>
      <c r="U360" s="193">
        <f t="shared" si="271"/>
        <v>48534.6</v>
      </c>
      <c r="V360" s="200">
        <f t="shared" si="271"/>
        <v>48646.6</v>
      </c>
    </row>
    <row r="361" spans="1:22" ht="11.25" customHeight="1" x14ac:dyDescent="0.2">
      <c r="A361" s="468" t="s">
        <v>207</v>
      </c>
      <c r="B361" s="193">
        <f>AVERAGE(B214:B218)</f>
        <v>695</v>
      </c>
      <c r="C361" s="200">
        <f t="shared" ref="C361:K361" si="272">AVERAGE(C214:C218)</f>
        <v>2580.4</v>
      </c>
      <c r="D361" s="200">
        <f t="shared" si="272"/>
        <v>6524</v>
      </c>
      <c r="E361" s="200">
        <f t="shared" si="272"/>
        <v>446</v>
      </c>
      <c r="F361" s="200">
        <f t="shared" si="272"/>
        <v>3806.2</v>
      </c>
      <c r="G361" s="200">
        <f t="shared" si="272"/>
        <v>1892.8</v>
      </c>
      <c r="H361" s="200" t="s">
        <v>29</v>
      </c>
      <c r="I361" s="193">
        <f t="shared" si="272"/>
        <v>49.4</v>
      </c>
      <c r="J361" s="193">
        <f t="shared" si="272"/>
        <v>15249.4</v>
      </c>
      <c r="K361" s="200">
        <f t="shared" si="272"/>
        <v>15993.8</v>
      </c>
      <c r="M361" s="193">
        <f t="shared" ref="M361:V361" si="273">AVERAGE(M214:M218)</f>
        <v>0</v>
      </c>
      <c r="N361" s="200">
        <f t="shared" si="273"/>
        <v>0</v>
      </c>
      <c r="O361" s="200">
        <f t="shared" si="273"/>
        <v>0.2</v>
      </c>
      <c r="P361" s="200">
        <f t="shared" si="273"/>
        <v>14.8</v>
      </c>
      <c r="Q361" s="200">
        <f t="shared" si="273"/>
        <v>11063.2</v>
      </c>
      <c r="R361" s="200">
        <f t="shared" si="273"/>
        <v>8533.2000000000007</v>
      </c>
      <c r="S361" s="200" t="s">
        <v>29</v>
      </c>
      <c r="T361" s="193">
        <f t="shared" si="273"/>
        <v>0</v>
      </c>
      <c r="U361" s="193">
        <f t="shared" si="273"/>
        <v>19611.400000000001</v>
      </c>
      <c r="V361" s="200">
        <f t="shared" si="273"/>
        <v>19611.400000000001</v>
      </c>
    </row>
    <row r="362" spans="1:22" ht="11.25" customHeight="1" x14ac:dyDescent="0.2">
      <c r="A362" s="468" t="s">
        <v>238</v>
      </c>
      <c r="B362" s="193">
        <f>AVERAGE(B219:B223)</f>
        <v>905.2</v>
      </c>
      <c r="C362" s="200">
        <f>AVERAGE(C219:C223)</f>
        <v>5460.6</v>
      </c>
      <c r="D362" s="200">
        <f t="shared" ref="D362:V362" si="274">AVERAGE(D219:D223)</f>
        <v>14660.2</v>
      </c>
      <c r="E362" s="200">
        <f t="shared" si="274"/>
        <v>9462.2000000000007</v>
      </c>
      <c r="F362" s="200">
        <f t="shared" si="274"/>
        <v>6270.8</v>
      </c>
      <c r="G362" s="200">
        <f t="shared" si="274"/>
        <v>3260.4</v>
      </c>
      <c r="H362" s="200">
        <f t="shared" si="274"/>
        <v>22.5</v>
      </c>
      <c r="I362" s="193">
        <f t="shared" si="274"/>
        <v>3764.8</v>
      </c>
      <c r="J362" s="193">
        <f t="shared" si="274"/>
        <v>39114.199999999997</v>
      </c>
      <c r="K362" s="200">
        <f t="shared" si="274"/>
        <v>43802.2</v>
      </c>
      <c r="L362" s="200" t="e">
        <f t="shared" si="274"/>
        <v>#DIV/0!</v>
      </c>
      <c r="M362" s="193">
        <f t="shared" si="274"/>
        <v>20.2</v>
      </c>
      <c r="N362" s="200">
        <f t="shared" si="274"/>
        <v>2</v>
      </c>
      <c r="O362" s="200">
        <f t="shared" si="274"/>
        <v>3.4</v>
      </c>
      <c r="P362" s="200">
        <f t="shared" si="274"/>
        <v>7259.4</v>
      </c>
      <c r="Q362" s="200">
        <f t="shared" si="274"/>
        <v>17964.400000000001</v>
      </c>
      <c r="R362" s="200">
        <f t="shared" si="274"/>
        <v>9381.4</v>
      </c>
      <c r="S362" s="200">
        <f t="shared" si="274"/>
        <v>66.25</v>
      </c>
      <c r="T362" s="193">
        <f t="shared" si="274"/>
        <v>30</v>
      </c>
      <c r="U362" s="193">
        <f t="shared" si="274"/>
        <v>34610.6</v>
      </c>
      <c r="V362" s="200">
        <f t="shared" si="274"/>
        <v>34713.800000000003</v>
      </c>
    </row>
    <row r="363" spans="1:22" s="467" customFormat="1" ht="11.25" customHeight="1" x14ac:dyDescent="0.2">
      <c r="A363" s="468">
        <v>2006</v>
      </c>
      <c r="B363" s="197">
        <f t="shared" ref="B363:K363" si="275">+B224</f>
        <v>163</v>
      </c>
      <c r="C363" s="203">
        <f t="shared" si="275"/>
        <v>2821</v>
      </c>
      <c r="D363" s="203">
        <f t="shared" si="275"/>
        <v>8341</v>
      </c>
      <c r="E363" s="203">
        <f t="shared" si="275"/>
        <v>7736</v>
      </c>
      <c r="F363" s="203">
        <f t="shared" si="275"/>
        <v>6690</v>
      </c>
      <c r="G363" s="203">
        <f t="shared" si="275"/>
        <v>4957</v>
      </c>
      <c r="H363" s="203">
        <f t="shared" si="275"/>
        <v>15</v>
      </c>
      <c r="I363" s="197">
        <f t="shared" si="275"/>
        <v>491</v>
      </c>
      <c r="J363" s="197">
        <f t="shared" si="275"/>
        <v>30545</v>
      </c>
      <c r="K363" s="203">
        <f t="shared" si="275"/>
        <v>31214</v>
      </c>
      <c r="L363" s="197"/>
      <c r="M363" s="197">
        <f t="shared" ref="M363:V363" si="276">+M224</f>
        <v>2</v>
      </c>
      <c r="N363" s="203">
        <f t="shared" si="276"/>
        <v>16</v>
      </c>
      <c r="O363" s="203">
        <f t="shared" si="276"/>
        <v>102</v>
      </c>
      <c r="P363" s="203">
        <f t="shared" si="276"/>
        <v>10475</v>
      </c>
      <c r="Q363" s="203">
        <f t="shared" si="276"/>
        <v>10634</v>
      </c>
      <c r="R363" s="203">
        <f t="shared" si="276"/>
        <v>10711</v>
      </c>
      <c r="S363" s="203">
        <f t="shared" si="276"/>
        <v>5</v>
      </c>
      <c r="T363" s="197">
        <f t="shared" si="276"/>
        <v>0</v>
      </c>
      <c r="U363" s="197">
        <f t="shared" si="276"/>
        <v>31938</v>
      </c>
      <c r="V363" s="203">
        <f t="shared" si="276"/>
        <v>31945</v>
      </c>
    </row>
    <row r="364" spans="1:22" s="467" customFormat="1" ht="11.25" customHeight="1" x14ac:dyDescent="0.2">
      <c r="A364" s="308">
        <v>2007</v>
      </c>
      <c r="B364" s="197">
        <f t="shared" ref="B364:K364" si="277">+B225</f>
        <v>2218</v>
      </c>
      <c r="C364" s="203">
        <f t="shared" si="277"/>
        <v>316</v>
      </c>
      <c r="D364" s="203">
        <f t="shared" si="277"/>
        <v>14629</v>
      </c>
      <c r="E364" s="203">
        <f t="shared" si="277"/>
        <v>3349</v>
      </c>
      <c r="F364" s="203">
        <f t="shared" si="277"/>
        <v>4579</v>
      </c>
      <c r="G364" s="203">
        <f t="shared" si="277"/>
        <v>70</v>
      </c>
      <c r="H364" s="203">
        <f t="shared" si="277"/>
        <v>0</v>
      </c>
      <c r="I364" s="197">
        <f t="shared" si="277"/>
        <v>1340</v>
      </c>
      <c r="J364" s="197">
        <f t="shared" si="277"/>
        <v>22943</v>
      </c>
      <c r="K364" s="203">
        <f t="shared" si="277"/>
        <v>26501</v>
      </c>
      <c r="L364" s="197"/>
      <c r="M364" s="197">
        <f t="shared" ref="M364:V364" si="278">+M225</f>
        <v>0</v>
      </c>
      <c r="N364" s="203">
        <f t="shared" si="278"/>
        <v>0</v>
      </c>
      <c r="O364" s="203">
        <f t="shared" si="278"/>
        <v>12</v>
      </c>
      <c r="P364" s="203">
        <f t="shared" si="278"/>
        <v>22743</v>
      </c>
      <c r="Q364" s="203">
        <f t="shared" si="278"/>
        <v>16423</v>
      </c>
      <c r="R364" s="203">
        <f t="shared" si="278"/>
        <v>860</v>
      </c>
      <c r="S364" s="203">
        <f t="shared" si="278"/>
        <v>0</v>
      </c>
      <c r="T364" s="197">
        <f t="shared" si="278"/>
        <v>5</v>
      </c>
      <c r="U364" s="197">
        <f t="shared" si="278"/>
        <v>40038</v>
      </c>
      <c r="V364" s="203">
        <f t="shared" si="278"/>
        <v>40043</v>
      </c>
    </row>
    <row r="365" spans="1:22" s="467" customFormat="1" ht="11.25" customHeight="1" x14ac:dyDescent="0.2">
      <c r="A365" s="308">
        <v>2008</v>
      </c>
      <c r="B365" s="197">
        <f t="shared" ref="B365:K365" si="279">+B226</f>
        <v>538</v>
      </c>
      <c r="C365" s="203">
        <f t="shared" si="279"/>
        <v>358</v>
      </c>
      <c r="D365" s="203">
        <f t="shared" si="279"/>
        <v>8864</v>
      </c>
      <c r="E365" s="203">
        <f t="shared" si="279"/>
        <v>2099</v>
      </c>
      <c r="F365" s="203">
        <f t="shared" si="279"/>
        <v>6007</v>
      </c>
      <c r="G365" s="203">
        <f t="shared" si="279"/>
        <v>3579</v>
      </c>
      <c r="H365" s="203">
        <f t="shared" si="279"/>
        <v>1</v>
      </c>
      <c r="I365" s="197">
        <f t="shared" si="279"/>
        <v>375</v>
      </c>
      <c r="J365" s="197">
        <f t="shared" si="279"/>
        <v>20907</v>
      </c>
      <c r="K365" s="203">
        <f t="shared" si="279"/>
        <v>21821</v>
      </c>
      <c r="L365" s="197"/>
      <c r="M365" s="197">
        <f t="shared" ref="M365:V365" si="280">+M226</f>
        <v>17</v>
      </c>
      <c r="N365" s="203">
        <f t="shared" si="280"/>
        <v>0</v>
      </c>
      <c r="O365" s="203">
        <f t="shared" si="280"/>
        <v>18</v>
      </c>
      <c r="P365" s="203">
        <f t="shared" si="280"/>
        <v>865</v>
      </c>
      <c r="Q365" s="203">
        <f t="shared" si="280"/>
        <v>3561</v>
      </c>
      <c r="R365" s="203">
        <f t="shared" si="280"/>
        <v>9820</v>
      </c>
      <c r="S365" s="203">
        <f t="shared" si="280"/>
        <v>0</v>
      </c>
      <c r="T365" s="197">
        <f t="shared" si="280"/>
        <v>0</v>
      </c>
      <c r="U365" s="197">
        <f t="shared" si="280"/>
        <v>14264</v>
      </c>
      <c r="V365" s="203">
        <f t="shared" si="280"/>
        <v>14281</v>
      </c>
    </row>
    <row r="366" spans="1:22" s="467" customFormat="1" ht="11.25" customHeight="1" x14ac:dyDescent="0.2">
      <c r="A366" s="308">
        <v>2009</v>
      </c>
      <c r="B366" s="197">
        <f t="shared" ref="B366:K366" si="281">+B227</f>
        <v>464</v>
      </c>
      <c r="C366" s="203">
        <f t="shared" si="281"/>
        <v>1491</v>
      </c>
      <c r="D366" s="203">
        <f t="shared" si="281"/>
        <v>5828</v>
      </c>
      <c r="E366" s="203">
        <f t="shared" si="281"/>
        <v>2329</v>
      </c>
      <c r="F366" s="203">
        <f t="shared" si="281"/>
        <v>2566</v>
      </c>
      <c r="G366" s="203">
        <f t="shared" si="281"/>
        <v>12</v>
      </c>
      <c r="H366" s="203">
        <f t="shared" si="281"/>
        <v>25</v>
      </c>
      <c r="I366" s="197">
        <f t="shared" si="281"/>
        <v>68</v>
      </c>
      <c r="J366" s="197">
        <f t="shared" si="281"/>
        <v>12226</v>
      </c>
      <c r="K366" s="203">
        <f t="shared" si="281"/>
        <v>12783</v>
      </c>
      <c r="L366" s="197"/>
      <c r="M366" s="197">
        <f t="shared" ref="M366:V366" si="282">+M227</f>
        <v>0</v>
      </c>
      <c r="N366" s="203">
        <f t="shared" si="282"/>
        <v>0</v>
      </c>
      <c r="O366" s="203">
        <f t="shared" si="282"/>
        <v>0</v>
      </c>
      <c r="P366" s="203">
        <f t="shared" si="282"/>
        <v>25422</v>
      </c>
      <c r="Q366" s="203">
        <f t="shared" si="282"/>
        <v>35141</v>
      </c>
      <c r="R366" s="203">
        <f t="shared" si="282"/>
        <v>100</v>
      </c>
      <c r="S366" s="203">
        <f t="shared" si="282"/>
        <v>15</v>
      </c>
      <c r="T366" s="197">
        <f t="shared" si="282"/>
        <v>0</v>
      </c>
      <c r="U366" s="197">
        <f t="shared" si="282"/>
        <v>60663</v>
      </c>
      <c r="V366" s="203">
        <f t="shared" si="282"/>
        <v>60678</v>
      </c>
    </row>
    <row r="367" spans="1:22" s="467" customFormat="1" ht="11.25" customHeight="1" x14ac:dyDescent="0.2">
      <c r="A367" s="308">
        <v>2010</v>
      </c>
      <c r="B367" s="197">
        <f t="shared" ref="B367:K367" si="283">+B228</f>
        <v>1722</v>
      </c>
      <c r="C367" s="203">
        <f t="shared" si="283"/>
        <v>1926</v>
      </c>
      <c r="D367" s="203">
        <f t="shared" si="283"/>
        <v>12150</v>
      </c>
      <c r="E367" s="203">
        <f t="shared" si="283"/>
        <v>6943</v>
      </c>
      <c r="F367" s="203">
        <f t="shared" si="283"/>
        <v>9693</v>
      </c>
      <c r="G367" s="203">
        <f t="shared" si="283"/>
        <v>1664</v>
      </c>
      <c r="H367" s="203">
        <f t="shared" si="283"/>
        <v>10</v>
      </c>
      <c r="I367" s="197">
        <f t="shared" si="283"/>
        <v>200</v>
      </c>
      <c r="J367" s="197">
        <f t="shared" si="283"/>
        <v>32376</v>
      </c>
      <c r="K367" s="203">
        <f t="shared" si="283"/>
        <v>34308</v>
      </c>
      <c r="L367" s="197"/>
      <c r="M367" s="197">
        <f t="shared" ref="M367:V367" si="284">+M228</f>
        <v>0</v>
      </c>
      <c r="N367" s="203">
        <f t="shared" si="284"/>
        <v>2</v>
      </c>
      <c r="O367" s="203">
        <f t="shared" si="284"/>
        <v>63</v>
      </c>
      <c r="P367" s="203">
        <f t="shared" si="284"/>
        <v>2015</v>
      </c>
      <c r="Q367" s="203">
        <f t="shared" si="284"/>
        <v>5058</v>
      </c>
      <c r="R367" s="203">
        <f t="shared" si="284"/>
        <v>4323</v>
      </c>
      <c r="S367" s="203">
        <f t="shared" si="284"/>
        <v>15</v>
      </c>
      <c r="T367" s="197">
        <f t="shared" si="284"/>
        <v>12</v>
      </c>
      <c r="U367" s="197">
        <f t="shared" si="284"/>
        <v>11461</v>
      </c>
      <c r="V367" s="203">
        <f t="shared" si="284"/>
        <v>11488</v>
      </c>
    </row>
    <row r="368" spans="1:22" s="467" customFormat="1" ht="11.25" customHeight="1" x14ac:dyDescent="0.2">
      <c r="A368" s="308">
        <v>2011</v>
      </c>
      <c r="B368" s="197">
        <f t="shared" ref="B368:K368" si="285">+B229</f>
        <v>2883</v>
      </c>
      <c r="C368" s="203">
        <f t="shared" si="285"/>
        <v>1120</v>
      </c>
      <c r="D368" s="203">
        <f t="shared" si="285"/>
        <v>8817</v>
      </c>
      <c r="E368" s="203">
        <f t="shared" si="285"/>
        <v>14761</v>
      </c>
      <c r="F368" s="203">
        <f t="shared" si="285"/>
        <v>6708</v>
      </c>
      <c r="G368" s="203">
        <f t="shared" si="285"/>
        <v>418</v>
      </c>
      <c r="H368" s="203">
        <f t="shared" si="285"/>
        <v>0</v>
      </c>
      <c r="I368" s="197">
        <f t="shared" si="285"/>
        <v>90</v>
      </c>
      <c r="J368" s="197">
        <f t="shared" si="285"/>
        <v>31824</v>
      </c>
      <c r="K368" s="203">
        <f t="shared" si="285"/>
        <v>34797</v>
      </c>
      <c r="L368" s="197"/>
      <c r="M368" s="197">
        <f t="shared" ref="M368:V368" si="286">+M229</f>
        <v>2</v>
      </c>
      <c r="N368" s="203">
        <f t="shared" si="286"/>
        <v>0</v>
      </c>
      <c r="O368" s="203">
        <f t="shared" si="286"/>
        <v>0</v>
      </c>
      <c r="P368" s="203">
        <f t="shared" si="286"/>
        <v>2062</v>
      </c>
      <c r="Q368" s="203">
        <f t="shared" si="286"/>
        <v>4791</v>
      </c>
      <c r="R368" s="203">
        <f t="shared" si="286"/>
        <v>6711</v>
      </c>
      <c r="S368" s="203">
        <f t="shared" si="286"/>
        <v>0</v>
      </c>
      <c r="T368" s="197">
        <f t="shared" si="286"/>
        <v>2</v>
      </c>
      <c r="U368" s="197">
        <f t="shared" si="286"/>
        <v>13564</v>
      </c>
      <c r="V368" s="203">
        <f t="shared" si="286"/>
        <v>13568</v>
      </c>
    </row>
    <row r="369" spans="1:22" s="467" customFormat="1" ht="11.25" customHeight="1" x14ac:dyDescent="0.2">
      <c r="A369" s="308">
        <v>2012</v>
      </c>
      <c r="B369" s="197">
        <f t="shared" ref="B369:K369" si="287">+B230</f>
        <v>1216</v>
      </c>
      <c r="C369" s="203">
        <f t="shared" si="287"/>
        <v>4465</v>
      </c>
      <c r="D369" s="203">
        <f t="shared" si="287"/>
        <v>20696</v>
      </c>
      <c r="E369" s="203">
        <f t="shared" si="287"/>
        <v>10144</v>
      </c>
      <c r="F369" s="203">
        <f t="shared" si="287"/>
        <v>14650</v>
      </c>
      <c r="G369" s="203">
        <f t="shared" si="287"/>
        <v>4834</v>
      </c>
      <c r="H369" s="203">
        <f t="shared" si="287"/>
        <v>10</v>
      </c>
      <c r="I369" s="197">
        <f t="shared" si="287"/>
        <v>335</v>
      </c>
      <c r="J369" s="197">
        <f t="shared" si="287"/>
        <v>54789</v>
      </c>
      <c r="K369" s="203">
        <f t="shared" si="287"/>
        <v>56350</v>
      </c>
      <c r="L369" s="197"/>
      <c r="M369" s="197">
        <f t="shared" ref="M369:V369" si="288">+M230</f>
        <v>0</v>
      </c>
      <c r="N369" s="203">
        <f t="shared" si="288"/>
        <v>1</v>
      </c>
      <c r="O369" s="203">
        <f t="shared" si="288"/>
        <v>101</v>
      </c>
      <c r="P369" s="203">
        <f t="shared" si="288"/>
        <v>2769</v>
      </c>
      <c r="Q369" s="203">
        <f t="shared" si="288"/>
        <v>18790</v>
      </c>
      <c r="R369" s="203">
        <f t="shared" si="288"/>
        <v>15869</v>
      </c>
      <c r="S369" s="203">
        <f t="shared" si="288"/>
        <v>0</v>
      </c>
      <c r="T369" s="197">
        <f t="shared" si="288"/>
        <v>4</v>
      </c>
      <c r="U369" s="197">
        <f t="shared" si="288"/>
        <v>37530</v>
      </c>
      <c r="V369" s="203">
        <f t="shared" si="288"/>
        <v>37534</v>
      </c>
    </row>
    <row r="370" spans="1:22" s="467" customFormat="1" ht="11.25" customHeight="1" x14ac:dyDescent="0.2">
      <c r="A370" s="308">
        <v>2013</v>
      </c>
      <c r="B370" s="197">
        <f t="shared" ref="B370:K370" si="289">+B231</f>
        <v>1661</v>
      </c>
      <c r="C370" s="203">
        <f t="shared" si="289"/>
        <v>11929</v>
      </c>
      <c r="D370" s="203">
        <f t="shared" si="289"/>
        <v>19103</v>
      </c>
      <c r="E370" s="203">
        <f t="shared" si="289"/>
        <v>9310</v>
      </c>
      <c r="F370" s="203">
        <f t="shared" si="289"/>
        <v>7916</v>
      </c>
      <c r="G370" s="203">
        <f t="shared" si="289"/>
        <v>2902</v>
      </c>
      <c r="H370" s="203">
        <f t="shared" si="289"/>
        <v>0</v>
      </c>
      <c r="I370" s="197">
        <f t="shared" si="289"/>
        <v>721</v>
      </c>
      <c r="J370" s="197">
        <f t="shared" si="289"/>
        <v>51160</v>
      </c>
      <c r="K370" s="203">
        <f t="shared" si="289"/>
        <v>53542</v>
      </c>
      <c r="L370" s="197"/>
      <c r="M370" s="197">
        <f t="shared" ref="M370:V370" si="290">+M231</f>
        <v>3</v>
      </c>
      <c r="N370" s="203">
        <f t="shared" si="290"/>
        <v>0</v>
      </c>
      <c r="O370" s="203">
        <f t="shared" si="290"/>
        <v>7</v>
      </c>
      <c r="P370" s="203">
        <f t="shared" si="290"/>
        <v>7722</v>
      </c>
      <c r="Q370" s="203">
        <f t="shared" si="290"/>
        <v>36163</v>
      </c>
      <c r="R370" s="203">
        <f t="shared" si="290"/>
        <v>4376</v>
      </c>
      <c r="S370" s="203">
        <f t="shared" si="290"/>
        <v>0</v>
      </c>
      <c r="T370" s="197">
        <f t="shared" si="290"/>
        <v>11</v>
      </c>
      <c r="U370" s="197">
        <f t="shared" si="290"/>
        <v>48268</v>
      </c>
      <c r="V370" s="203">
        <f t="shared" si="290"/>
        <v>48282</v>
      </c>
    </row>
    <row r="371" spans="1:22" s="467" customFormat="1" ht="11.25" customHeight="1" x14ac:dyDescent="0.2">
      <c r="A371" s="308">
        <v>2014</v>
      </c>
      <c r="B371" s="197">
        <f t="shared" ref="B371:K371" si="291">+B232</f>
        <v>3316</v>
      </c>
      <c r="C371" s="203">
        <f t="shared" si="291"/>
        <v>12608</v>
      </c>
      <c r="D371" s="203">
        <f t="shared" si="291"/>
        <v>17002</v>
      </c>
      <c r="E371" s="203">
        <f t="shared" si="291"/>
        <v>20643</v>
      </c>
      <c r="F371" s="203">
        <f t="shared" si="291"/>
        <v>8793</v>
      </c>
      <c r="G371" s="203">
        <f t="shared" si="291"/>
        <v>2715</v>
      </c>
      <c r="H371" s="203">
        <f t="shared" si="291"/>
        <v>0</v>
      </c>
      <c r="I371" s="197">
        <f t="shared" si="291"/>
        <v>267</v>
      </c>
      <c r="J371" s="197">
        <f t="shared" si="291"/>
        <v>61761</v>
      </c>
      <c r="K371" s="203">
        <f t="shared" si="291"/>
        <v>65344</v>
      </c>
      <c r="L371" s="197"/>
      <c r="M371" s="197">
        <f t="shared" ref="M371:V371" si="292">+M232</f>
        <v>3</v>
      </c>
      <c r="N371" s="203">
        <f t="shared" si="292"/>
        <v>0</v>
      </c>
      <c r="O371" s="203">
        <f t="shared" si="292"/>
        <v>30</v>
      </c>
      <c r="P371" s="203">
        <f t="shared" si="292"/>
        <v>10405</v>
      </c>
      <c r="Q371" s="203">
        <f t="shared" si="292"/>
        <v>39231</v>
      </c>
      <c r="R371" s="203">
        <f t="shared" si="292"/>
        <v>6369</v>
      </c>
      <c r="S371" s="203">
        <f t="shared" si="292"/>
        <v>0</v>
      </c>
      <c r="T371" s="197">
        <f t="shared" si="292"/>
        <v>0</v>
      </c>
      <c r="U371" s="197">
        <f t="shared" si="292"/>
        <v>56035</v>
      </c>
      <c r="V371" s="203">
        <f t="shared" si="292"/>
        <v>56038</v>
      </c>
    </row>
    <row r="372" spans="1:22" s="467" customFormat="1" ht="11.25" customHeight="1" x14ac:dyDescent="0.2">
      <c r="A372" s="308">
        <v>2015</v>
      </c>
      <c r="B372" s="197">
        <f t="shared" ref="B372:K372" si="293">+B233</f>
        <v>3249</v>
      </c>
      <c r="C372" s="203">
        <f t="shared" si="293"/>
        <v>7315</v>
      </c>
      <c r="D372" s="203">
        <f t="shared" si="293"/>
        <v>23697</v>
      </c>
      <c r="E372" s="203">
        <f t="shared" si="293"/>
        <v>23110</v>
      </c>
      <c r="F372" s="203">
        <f t="shared" si="293"/>
        <v>4031</v>
      </c>
      <c r="G372" s="203">
        <f t="shared" si="293"/>
        <v>786</v>
      </c>
      <c r="H372" s="203">
        <f t="shared" si="293"/>
        <v>0</v>
      </c>
      <c r="I372" s="197">
        <f t="shared" si="293"/>
        <v>17</v>
      </c>
      <c r="J372" s="197">
        <f t="shared" si="293"/>
        <v>58939</v>
      </c>
      <c r="K372" s="203">
        <f t="shared" si="293"/>
        <v>62205</v>
      </c>
      <c r="L372" s="197"/>
      <c r="M372" s="197">
        <f t="shared" ref="M372:V372" si="294">+M233</f>
        <v>0</v>
      </c>
      <c r="N372" s="203">
        <f t="shared" si="294"/>
        <v>0</v>
      </c>
      <c r="O372" s="203">
        <f t="shared" si="294"/>
        <v>3</v>
      </c>
      <c r="P372" s="203">
        <f t="shared" si="294"/>
        <v>1994</v>
      </c>
      <c r="Q372" s="203">
        <f t="shared" si="294"/>
        <v>1307</v>
      </c>
      <c r="R372" s="203">
        <f t="shared" si="294"/>
        <v>706</v>
      </c>
      <c r="S372" s="203">
        <f t="shared" si="294"/>
        <v>0</v>
      </c>
      <c r="T372" s="197">
        <f t="shared" si="294"/>
        <v>2</v>
      </c>
      <c r="U372" s="197">
        <f t="shared" si="294"/>
        <v>4010</v>
      </c>
      <c r="V372" s="203">
        <f t="shared" si="294"/>
        <v>4012</v>
      </c>
    </row>
    <row r="373" spans="1:22" s="467" customFormat="1" ht="11.25" customHeight="1" x14ac:dyDescent="0.2">
      <c r="A373" s="308">
        <v>2016</v>
      </c>
      <c r="B373" s="197">
        <f t="shared" ref="B373:K373" si="295">+B234</f>
        <v>244</v>
      </c>
      <c r="C373" s="203">
        <f t="shared" si="295"/>
        <v>2905</v>
      </c>
      <c r="D373" s="203">
        <f t="shared" si="295"/>
        <v>13752</v>
      </c>
      <c r="E373" s="203">
        <f t="shared" si="295"/>
        <v>5129</v>
      </c>
      <c r="F373" s="203">
        <f t="shared" si="295"/>
        <v>1310</v>
      </c>
      <c r="G373" s="203">
        <f t="shared" si="295"/>
        <v>5</v>
      </c>
      <c r="H373" s="203">
        <f t="shared" si="295"/>
        <v>0</v>
      </c>
      <c r="I373" s="197">
        <f t="shared" si="295"/>
        <v>183</v>
      </c>
      <c r="J373" s="197">
        <f t="shared" si="295"/>
        <v>23101</v>
      </c>
      <c r="K373" s="203">
        <f t="shared" si="295"/>
        <v>23528</v>
      </c>
      <c r="L373" s="197"/>
      <c r="M373" s="197">
        <f t="shared" ref="M373:V373" si="296">+M234</f>
        <v>0</v>
      </c>
      <c r="N373" s="203">
        <f t="shared" si="296"/>
        <v>0</v>
      </c>
      <c r="O373" s="203">
        <f t="shared" si="296"/>
        <v>0</v>
      </c>
      <c r="P373" s="203">
        <f t="shared" si="296"/>
        <v>29</v>
      </c>
      <c r="Q373" s="203">
        <f t="shared" si="296"/>
        <v>15</v>
      </c>
      <c r="R373" s="203">
        <f t="shared" si="296"/>
        <v>0</v>
      </c>
      <c r="S373" s="203">
        <f t="shared" si="296"/>
        <v>1</v>
      </c>
      <c r="T373" s="197">
        <f t="shared" si="296"/>
        <v>1</v>
      </c>
      <c r="U373" s="197">
        <f t="shared" si="296"/>
        <v>44</v>
      </c>
      <c r="V373" s="203">
        <f t="shared" si="296"/>
        <v>46</v>
      </c>
    </row>
    <row r="374" spans="1:22" s="467" customFormat="1" ht="11.25" customHeight="1" x14ac:dyDescent="0.2">
      <c r="A374" s="477">
        <v>2017</v>
      </c>
      <c r="B374" s="197">
        <f t="shared" ref="B374:K374" si="297">+B235</f>
        <v>1343</v>
      </c>
      <c r="C374" s="203">
        <f t="shared" si="297"/>
        <v>1253</v>
      </c>
      <c r="D374" s="203">
        <f t="shared" si="297"/>
        <v>2039</v>
      </c>
      <c r="E374" s="203">
        <f t="shared" si="297"/>
        <v>15772</v>
      </c>
      <c r="F374" s="203">
        <f t="shared" si="297"/>
        <v>4605</v>
      </c>
      <c r="G374" s="203">
        <f t="shared" si="297"/>
        <v>745</v>
      </c>
      <c r="H374" s="203">
        <f t="shared" si="297"/>
        <v>0</v>
      </c>
      <c r="I374" s="197">
        <f t="shared" si="297"/>
        <v>11</v>
      </c>
      <c r="J374" s="197">
        <f t="shared" si="297"/>
        <v>24414</v>
      </c>
      <c r="K374" s="203">
        <f t="shared" si="297"/>
        <v>25768</v>
      </c>
      <c r="L374" s="197"/>
      <c r="M374" s="197">
        <f t="shared" ref="M374:V374" si="298">+M235</f>
        <v>0</v>
      </c>
      <c r="N374" s="203">
        <f t="shared" si="298"/>
        <v>0</v>
      </c>
      <c r="O374" s="203">
        <f t="shared" si="298"/>
        <v>0</v>
      </c>
      <c r="P374" s="203">
        <f t="shared" si="298"/>
        <v>1003</v>
      </c>
      <c r="Q374" s="203">
        <f t="shared" si="298"/>
        <v>7150</v>
      </c>
      <c r="R374" s="203">
        <f t="shared" si="298"/>
        <v>5197</v>
      </c>
      <c r="S374" s="203">
        <f t="shared" si="298"/>
        <v>0</v>
      </c>
      <c r="T374" s="197">
        <f t="shared" si="298"/>
        <v>0</v>
      </c>
      <c r="U374" s="197">
        <f t="shared" si="298"/>
        <v>13350</v>
      </c>
      <c r="V374" s="203">
        <f t="shared" si="298"/>
        <v>13350</v>
      </c>
    </row>
    <row r="375" spans="1:22" s="467" customFormat="1" ht="11.25" customHeight="1" x14ac:dyDescent="0.2">
      <c r="A375" s="477">
        <v>2018</v>
      </c>
      <c r="B375" s="197">
        <f t="shared" ref="B375:K375" si="299">+B236</f>
        <v>798</v>
      </c>
      <c r="C375" s="203">
        <f t="shared" si="299"/>
        <v>1319</v>
      </c>
      <c r="D375" s="203">
        <f t="shared" si="299"/>
        <v>11756</v>
      </c>
      <c r="E375" s="203">
        <f t="shared" si="299"/>
        <v>8486</v>
      </c>
      <c r="F375" s="203">
        <f t="shared" si="299"/>
        <v>1883</v>
      </c>
      <c r="G375" s="203">
        <f t="shared" si="299"/>
        <v>459</v>
      </c>
      <c r="H375" s="203">
        <f t="shared" si="299"/>
        <v>0</v>
      </c>
      <c r="I375" s="197">
        <f t="shared" si="299"/>
        <v>129</v>
      </c>
      <c r="J375" s="197">
        <f t="shared" si="299"/>
        <v>23903</v>
      </c>
      <c r="K375" s="203">
        <f t="shared" si="299"/>
        <v>24830</v>
      </c>
      <c r="L375" s="197"/>
      <c r="M375" s="197">
        <f t="shared" ref="M375:V375" si="300">+M236</f>
        <v>0</v>
      </c>
      <c r="N375" s="203">
        <f t="shared" si="300"/>
        <v>0</v>
      </c>
      <c r="O375" s="203">
        <f t="shared" si="300"/>
        <v>15</v>
      </c>
      <c r="P375" s="203">
        <f t="shared" si="300"/>
        <v>1751</v>
      </c>
      <c r="Q375" s="203">
        <f t="shared" si="300"/>
        <v>5512</v>
      </c>
      <c r="R375" s="203">
        <f t="shared" si="300"/>
        <v>4524</v>
      </c>
      <c r="S375" s="203">
        <f t="shared" si="300"/>
        <v>0</v>
      </c>
      <c r="T375" s="197">
        <f t="shared" si="300"/>
        <v>0</v>
      </c>
      <c r="U375" s="197">
        <f t="shared" si="300"/>
        <v>11802</v>
      </c>
      <c r="V375" s="203">
        <f t="shared" si="300"/>
        <v>11802</v>
      </c>
    </row>
    <row r="376" spans="1:22" s="487" customFormat="1" ht="11.25" customHeight="1" x14ac:dyDescent="0.2">
      <c r="A376" s="491">
        <v>2019</v>
      </c>
      <c r="B376" s="197">
        <f t="shared" ref="B376:K377" si="301">+B237</f>
        <v>1001</v>
      </c>
      <c r="C376" s="203">
        <f t="shared" si="301"/>
        <v>809</v>
      </c>
      <c r="D376" s="203">
        <f t="shared" si="301"/>
        <v>2110</v>
      </c>
      <c r="E376" s="203">
        <f t="shared" si="301"/>
        <v>12314</v>
      </c>
      <c r="F376" s="203">
        <f t="shared" si="301"/>
        <v>2789</v>
      </c>
      <c r="G376" s="203">
        <f t="shared" si="301"/>
        <v>299</v>
      </c>
      <c r="H376" s="203">
        <f t="shared" si="301"/>
        <v>0</v>
      </c>
      <c r="I376" s="197">
        <f t="shared" si="301"/>
        <v>70</v>
      </c>
      <c r="J376" s="197">
        <f t="shared" si="301"/>
        <v>18321</v>
      </c>
      <c r="K376" s="203">
        <f t="shared" si="301"/>
        <v>19392</v>
      </c>
      <c r="L376" s="197"/>
      <c r="M376" s="197">
        <f t="shared" ref="M376:V377" si="302">+M237</f>
        <v>0</v>
      </c>
      <c r="N376" s="203">
        <f t="shared" si="302"/>
        <v>0</v>
      </c>
      <c r="O376" s="203">
        <f t="shared" si="302"/>
        <v>0</v>
      </c>
      <c r="P376" s="203">
        <f t="shared" si="302"/>
        <v>14414</v>
      </c>
      <c r="Q376" s="203">
        <f t="shared" si="302"/>
        <v>33818</v>
      </c>
      <c r="R376" s="203">
        <f t="shared" si="302"/>
        <v>7273</v>
      </c>
      <c r="S376" s="203">
        <f t="shared" si="302"/>
        <v>0</v>
      </c>
      <c r="T376" s="197">
        <f t="shared" si="302"/>
        <v>0</v>
      </c>
      <c r="U376" s="197">
        <f t="shared" si="302"/>
        <v>55505</v>
      </c>
      <c r="V376" s="203">
        <f t="shared" si="302"/>
        <v>55505</v>
      </c>
    </row>
    <row r="377" spans="1:22" ht="11.25" customHeight="1" x14ac:dyDescent="0.2">
      <c r="A377" s="119" t="s">
        <v>392</v>
      </c>
      <c r="B377" s="32">
        <f t="shared" si="301"/>
        <v>661</v>
      </c>
      <c r="C377" s="20">
        <f t="shared" si="301"/>
        <v>8</v>
      </c>
      <c r="D377" s="20">
        <f t="shared" si="301"/>
        <v>23</v>
      </c>
      <c r="E377" s="20">
        <f t="shared" si="301"/>
        <v>622</v>
      </c>
      <c r="F377" s="20">
        <f t="shared" si="301"/>
        <v>1718</v>
      </c>
      <c r="G377" s="20">
        <f t="shared" si="301"/>
        <v>66</v>
      </c>
      <c r="H377" s="20">
        <f t="shared" si="301"/>
        <v>0</v>
      </c>
      <c r="I377" s="32">
        <f t="shared" si="301"/>
        <v>0</v>
      </c>
      <c r="J377" s="32">
        <f t="shared" si="301"/>
        <v>2437</v>
      </c>
      <c r="K377" s="20">
        <f t="shared" si="301"/>
        <v>3098</v>
      </c>
      <c r="L377" s="32"/>
      <c r="M377" s="32">
        <f t="shared" si="302"/>
        <v>0</v>
      </c>
      <c r="N377" s="20">
        <f t="shared" si="302"/>
        <v>0</v>
      </c>
      <c r="O377" s="20">
        <f t="shared" si="302"/>
        <v>0</v>
      </c>
      <c r="P377" s="20">
        <f t="shared" si="302"/>
        <v>587</v>
      </c>
      <c r="Q377" s="20">
        <f t="shared" si="302"/>
        <v>10864</v>
      </c>
      <c r="R377" s="20">
        <f t="shared" si="302"/>
        <v>2940</v>
      </c>
      <c r="S377" s="20">
        <f t="shared" si="302"/>
        <v>0</v>
      </c>
      <c r="T377" s="32">
        <f t="shared" si="302"/>
        <v>0</v>
      </c>
      <c r="U377" s="32">
        <f t="shared" si="302"/>
        <v>14391</v>
      </c>
      <c r="V377" s="20">
        <f t="shared" si="302"/>
        <v>14391</v>
      </c>
    </row>
    <row r="378" spans="1:22" ht="11.25" customHeight="1" x14ac:dyDescent="0.2">
      <c r="A378" s="584" t="str">
        <f>+A239</f>
        <v>a/  Preliminary.</v>
      </c>
      <c r="B378" s="584"/>
      <c r="C378" s="584"/>
      <c r="D378" s="584"/>
      <c r="E378" s="584"/>
      <c r="F378" s="584"/>
      <c r="G378" s="584"/>
      <c r="H378" s="584"/>
      <c r="I378" s="584"/>
      <c r="J378" s="584"/>
      <c r="K378" s="584"/>
      <c r="L378" s="584"/>
      <c r="M378" s="584"/>
      <c r="N378" s="584"/>
      <c r="O378" s="584"/>
      <c r="P378" s="584"/>
      <c r="Q378" s="584"/>
      <c r="R378" s="584"/>
      <c r="S378" s="584"/>
      <c r="T378" s="584"/>
      <c r="U378" s="584"/>
      <c r="V378" s="584"/>
    </row>
    <row r="379" spans="1:22" ht="11.25" customHeight="1" x14ac:dyDescent="0.2">
      <c r="A379" s="584" t="str">
        <f>+A240</f>
        <v>b/ October landings beginning in 2002 occurred during Quileute ceremonial and subsistence fishery.</v>
      </c>
      <c r="B379" s="584"/>
      <c r="C379" s="584"/>
      <c r="D379" s="584"/>
      <c r="E379" s="584"/>
      <c r="F379" s="584"/>
      <c r="G379" s="584"/>
      <c r="H379" s="584"/>
      <c r="I379" s="584"/>
      <c r="J379" s="584"/>
      <c r="K379" s="584"/>
      <c r="L379" s="584"/>
      <c r="M379" s="584"/>
      <c r="N379" s="584"/>
      <c r="O379" s="584"/>
      <c r="P379" s="584"/>
      <c r="Q379" s="584"/>
      <c r="R379" s="584"/>
      <c r="S379" s="584"/>
      <c r="T379" s="584"/>
      <c r="U379" s="584"/>
      <c r="V379" s="584"/>
    </row>
    <row r="380" spans="1:22" ht="12" customHeight="1" x14ac:dyDescent="0.2"/>
    <row r="381" spans="1:22" ht="12" customHeight="1" x14ac:dyDescent="0.2"/>
    <row r="382" spans="1:22" ht="12" customHeight="1" x14ac:dyDescent="0.2"/>
    <row r="383" spans="1:22" ht="12" customHeight="1" x14ac:dyDescent="0.2"/>
    <row r="384" spans="1:22" ht="12" customHeight="1" x14ac:dyDescent="0.2"/>
    <row r="385" ht="12" customHeight="1" x14ac:dyDescent="0.2"/>
    <row r="386" ht="12" customHeight="1" x14ac:dyDescent="0.2"/>
    <row r="387" ht="12" customHeight="1" x14ac:dyDescent="0.2"/>
    <row r="388" ht="12" customHeight="1" x14ac:dyDescent="0.2"/>
    <row r="389" ht="12" customHeight="1" x14ac:dyDescent="0.2"/>
    <row r="390" ht="12" customHeight="1" x14ac:dyDescent="0.2"/>
    <row r="391" ht="12" customHeight="1" x14ac:dyDescent="0.2"/>
    <row r="392" ht="12" customHeight="1" x14ac:dyDescent="0.2"/>
    <row r="393" ht="12" customHeight="1" x14ac:dyDescent="0.2"/>
    <row r="394" ht="12" customHeight="1" x14ac:dyDescent="0.2"/>
    <row r="395" ht="12" customHeight="1" x14ac:dyDescent="0.2"/>
    <row r="396" ht="12" customHeight="1" x14ac:dyDescent="0.2"/>
    <row r="397" ht="12" customHeight="1" x14ac:dyDescent="0.2"/>
  </sheetData>
  <mergeCells count="26">
    <mergeCell ref="A1:V1"/>
    <mergeCell ref="A2:A3"/>
    <mergeCell ref="J2:K2"/>
    <mergeCell ref="U2:V2"/>
    <mergeCell ref="B4:K4"/>
    <mergeCell ref="M4:V4"/>
    <mergeCell ref="A257:V257"/>
    <mergeCell ref="A258:A259"/>
    <mergeCell ref="J258:K258"/>
    <mergeCell ref="U258:V258"/>
    <mergeCell ref="B260:K260"/>
    <mergeCell ref="M260:V260"/>
    <mergeCell ref="A305:V305"/>
    <mergeCell ref="A306:A307"/>
    <mergeCell ref="J306:K306"/>
    <mergeCell ref="U306:V306"/>
    <mergeCell ref="B308:K308"/>
    <mergeCell ref="M308:V308"/>
    <mergeCell ref="A378:V378"/>
    <mergeCell ref="A379:V379"/>
    <mergeCell ref="A353:V353"/>
    <mergeCell ref="A354:A355"/>
    <mergeCell ref="J354:K354"/>
    <mergeCell ref="U354:V354"/>
    <mergeCell ref="B356:K356"/>
    <mergeCell ref="M356:V356"/>
  </mergeCells>
  <pageMargins left="0.7" right="0.7" top="0.75" bottom="0.75" header="0.3" footer="0.3"/>
  <pageSetup scale="94" orientation="landscape" r:id="rId1"/>
  <rowBreaks count="2" manualBreakCount="2">
    <brk id="304" max="21" man="1"/>
    <brk id="352" max="2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9"/>
  <dimension ref="A1:M251"/>
  <sheetViews>
    <sheetView showGridLines="0" zoomScaleNormal="100" zoomScaleSheetLayoutView="90" workbookViewId="0">
      <pane xSplit="1" ySplit="3" topLeftCell="B192" activePane="bottomRight" state="frozen"/>
      <selection sqref="A1:J2"/>
      <selection pane="topRight" sqref="A1:J2"/>
      <selection pane="bottomLeft" sqref="A1:J2"/>
      <selection pane="bottomRight" sqref="A1:J2"/>
    </sheetView>
  </sheetViews>
  <sheetFormatPr defaultColWidth="9" defaultRowHeight="11.25" x14ac:dyDescent="0.2"/>
  <cols>
    <col min="1" max="1" width="7.625" style="465" customWidth="1"/>
    <col min="2" max="11" width="7" style="193" customWidth="1"/>
    <col min="12" max="16384" width="9" style="1"/>
  </cols>
  <sheetData>
    <row r="1" spans="1:12" ht="12" customHeight="1" x14ac:dyDescent="0.2">
      <c r="A1" s="590" t="s">
        <v>144</v>
      </c>
      <c r="B1" s="590"/>
      <c r="C1" s="590"/>
      <c r="D1" s="590"/>
      <c r="E1" s="590"/>
      <c r="F1" s="590"/>
      <c r="G1" s="590"/>
      <c r="H1" s="590"/>
      <c r="I1" s="590"/>
      <c r="J1" s="590"/>
      <c r="K1" s="590"/>
    </row>
    <row r="2" spans="1:12" s="462" customFormat="1" ht="12" customHeight="1" x14ac:dyDescent="0.2">
      <c r="A2" s="570" t="s">
        <v>288</v>
      </c>
      <c r="B2" s="464"/>
      <c r="C2" s="464"/>
      <c r="D2" s="464"/>
      <c r="E2" s="464"/>
      <c r="F2" s="464"/>
      <c r="G2" s="464"/>
      <c r="H2" s="464"/>
      <c r="I2" s="464"/>
      <c r="J2" s="592" t="s">
        <v>61</v>
      </c>
      <c r="K2" s="592"/>
    </row>
    <row r="3" spans="1:12" ht="12" customHeight="1" x14ac:dyDescent="0.2">
      <c r="A3" s="586"/>
      <c r="B3" s="464" t="s">
        <v>71</v>
      </c>
      <c r="C3" s="464" t="s">
        <v>35</v>
      </c>
      <c r="D3" s="464" t="s">
        <v>36</v>
      </c>
      <c r="E3" s="464" t="s">
        <v>37</v>
      </c>
      <c r="F3" s="464" t="s">
        <v>38</v>
      </c>
      <c r="G3" s="464" t="s">
        <v>39</v>
      </c>
      <c r="H3" s="464" t="s">
        <v>40</v>
      </c>
      <c r="I3" s="464" t="s">
        <v>73</v>
      </c>
      <c r="J3" s="464" t="s">
        <v>74</v>
      </c>
      <c r="K3" s="464" t="s">
        <v>52</v>
      </c>
    </row>
    <row r="4" spans="1:12" ht="12" customHeight="1" x14ac:dyDescent="0.2">
      <c r="A4" s="116" t="s">
        <v>72</v>
      </c>
      <c r="B4" s="28"/>
    </row>
    <row r="5" spans="1:12" ht="12" customHeight="1" x14ac:dyDescent="0.2">
      <c r="A5" s="465">
        <v>1977</v>
      </c>
      <c r="B5" s="31">
        <v>0</v>
      </c>
      <c r="C5" s="33">
        <v>4</v>
      </c>
      <c r="D5" s="33">
        <v>1</v>
      </c>
      <c r="E5" s="33">
        <v>68</v>
      </c>
      <c r="F5" s="33">
        <v>528</v>
      </c>
      <c r="G5" s="33">
        <v>6</v>
      </c>
      <c r="H5" s="33">
        <v>0</v>
      </c>
      <c r="I5" s="33">
        <v>0</v>
      </c>
      <c r="J5" s="33">
        <f t="shared" ref="J5:J24" si="0">SUM(C5:G5)</f>
        <v>607</v>
      </c>
      <c r="K5" s="33">
        <f t="shared" ref="K5:K24" si="1">SUM(B5:I5)</f>
        <v>607</v>
      </c>
    </row>
    <row r="6" spans="1:12" ht="12" customHeight="1" x14ac:dyDescent="0.2">
      <c r="A6" s="465">
        <v>1979</v>
      </c>
      <c r="B6" s="31">
        <v>1</v>
      </c>
      <c r="C6" s="33">
        <v>0</v>
      </c>
      <c r="D6" s="33">
        <v>533</v>
      </c>
      <c r="E6" s="33">
        <v>248</v>
      </c>
      <c r="F6" s="33">
        <v>769</v>
      </c>
      <c r="G6" s="33">
        <v>26</v>
      </c>
      <c r="H6" s="33">
        <v>0</v>
      </c>
      <c r="I6" s="33">
        <v>0</v>
      </c>
      <c r="J6" s="33">
        <f t="shared" si="0"/>
        <v>1576</v>
      </c>
      <c r="K6" s="33">
        <f t="shared" si="1"/>
        <v>1577</v>
      </c>
    </row>
    <row r="7" spans="1:12" ht="12" customHeight="1" x14ac:dyDescent="0.2">
      <c r="A7" s="465">
        <v>1981</v>
      </c>
      <c r="B7" s="31">
        <v>0</v>
      </c>
      <c r="C7" s="33">
        <v>68</v>
      </c>
      <c r="D7" s="33">
        <v>2</v>
      </c>
      <c r="E7" s="33">
        <v>73</v>
      </c>
      <c r="F7" s="33">
        <v>835</v>
      </c>
      <c r="G7" s="33">
        <v>8</v>
      </c>
      <c r="H7" s="33">
        <v>0</v>
      </c>
      <c r="I7" s="33">
        <v>0</v>
      </c>
      <c r="J7" s="33">
        <f t="shared" si="0"/>
        <v>986</v>
      </c>
      <c r="K7" s="33">
        <f t="shared" si="1"/>
        <v>986</v>
      </c>
    </row>
    <row r="8" spans="1:12" ht="12" customHeight="1" x14ac:dyDescent="0.2">
      <c r="A8" s="465">
        <v>1983</v>
      </c>
      <c r="B8" s="31">
        <v>0</v>
      </c>
      <c r="C8" s="33">
        <v>1</v>
      </c>
      <c r="D8" s="33">
        <v>3</v>
      </c>
      <c r="E8" s="33">
        <v>235</v>
      </c>
      <c r="F8" s="33">
        <v>1246</v>
      </c>
      <c r="G8" s="33">
        <v>13</v>
      </c>
      <c r="H8" s="33">
        <v>0</v>
      </c>
      <c r="I8" s="33">
        <v>0</v>
      </c>
      <c r="J8" s="33">
        <f t="shared" si="0"/>
        <v>1498</v>
      </c>
      <c r="K8" s="33">
        <f t="shared" si="1"/>
        <v>1498</v>
      </c>
    </row>
    <row r="9" spans="1:12" ht="12" customHeight="1" x14ac:dyDescent="0.2">
      <c r="A9" s="465">
        <v>1985</v>
      </c>
      <c r="B9" s="31">
        <v>0</v>
      </c>
      <c r="C9" s="33">
        <v>0</v>
      </c>
      <c r="D9" s="33">
        <v>0</v>
      </c>
      <c r="E9" s="33">
        <v>16</v>
      </c>
      <c r="F9" s="33">
        <v>14</v>
      </c>
      <c r="G9" s="33">
        <v>0</v>
      </c>
      <c r="H9" s="33">
        <v>0</v>
      </c>
      <c r="I9" s="33">
        <v>0</v>
      </c>
      <c r="J9" s="33">
        <f t="shared" si="0"/>
        <v>30</v>
      </c>
      <c r="K9" s="33">
        <f t="shared" si="1"/>
        <v>30</v>
      </c>
    </row>
    <row r="10" spans="1:12" ht="12" customHeight="1" x14ac:dyDescent="0.2">
      <c r="A10" s="465">
        <v>1987</v>
      </c>
      <c r="B10" s="31">
        <v>0</v>
      </c>
      <c r="C10" s="33">
        <v>0</v>
      </c>
      <c r="D10" s="33">
        <v>0</v>
      </c>
      <c r="E10" s="33">
        <v>247</v>
      </c>
      <c r="F10" s="33">
        <v>621</v>
      </c>
      <c r="G10" s="33">
        <v>0</v>
      </c>
      <c r="H10" s="33">
        <v>0</v>
      </c>
      <c r="I10" s="33">
        <v>0</v>
      </c>
      <c r="J10" s="33">
        <f t="shared" si="0"/>
        <v>868</v>
      </c>
      <c r="K10" s="33">
        <f t="shared" si="1"/>
        <v>868</v>
      </c>
    </row>
    <row r="11" spans="1:12" ht="12" customHeight="1" x14ac:dyDescent="0.2">
      <c r="A11" s="465">
        <v>1989</v>
      </c>
      <c r="B11" s="31">
        <v>0</v>
      </c>
      <c r="C11" s="33">
        <v>0</v>
      </c>
      <c r="D11" s="33">
        <v>0</v>
      </c>
      <c r="E11" s="33">
        <v>2542</v>
      </c>
      <c r="F11" s="33">
        <v>664</v>
      </c>
      <c r="G11" s="33">
        <v>283</v>
      </c>
      <c r="H11" s="33">
        <v>0</v>
      </c>
      <c r="I11" s="33">
        <v>0</v>
      </c>
      <c r="J11" s="33">
        <f t="shared" si="0"/>
        <v>3489</v>
      </c>
      <c r="K11" s="33">
        <f t="shared" si="1"/>
        <v>3489</v>
      </c>
    </row>
    <row r="12" spans="1:12" ht="12" customHeight="1" x14ac:dyDescent="0.2">
      <c r="A12" s="465">
        <v>1991</v>
      </c>
      <c r="B12" s="31">
        <v>0</v>
      </c>
      <c r="C12" s="33">
        <v>0</v>
      </c>
      <c r="D12" s="33">
        <v>0</v>
      </c>
      <c r="E12" s="33">
        <v>74</v>
      </c>
      <c r="F12" s="33">
        <v>1260</v>
      </c>
      <c r="G12" s="33">
        <v>0</v>
      </c>
      <c r="H12" s="33">
        <v>0</v>
      </c>
      <c r="I12" s="33">
        <v>0</v>
      </c>
      <c r="J12" s="33">
        <f t="shared" si="0"/>
        <v>1334</v>
      </c>
      <c r="K12" s="33">
        <f t="shared" si="1"/>
        <v>1334</v>
      </c>
      <c r="L12" s="22"/>
    </row>
    <row r="13" spans="1:12" ht="12" customHeight="1" x14ac:dyDescent="0.2">
      <c r="A13" s="465">
        <v>1993</v>
      </c>
      <c r="B13" s="31">
        <v>0</v>
      </c>
      <c r="C13" s="33">
        <v>0</v>
      </c>
      <c r="D13" s="33">
        <v>0</v>
      </c>
      <c r="E13" s="33">
        <v>54</v>
      </c>
      <c r="F13" s="33">
        <v>123</v>
      </c>
      <c r="G13" s="33">
        <v>5</v>
      </c>
      <c r="H13" s="33" t="s">
        <v>29</v>
      </c>
      <c r="I13" s="33">
        <v>0</v>
      </c>
      <c r="J13" s="33">
        <f t="shared" si="0"/>
        <v>182</v>
      </c>
      <c r="K13" s="33">
        <f t="shared" si="1"/>
        <v>182</v>
      </c>
      <c r="L13" s="22"/>
    </row>
    <row r="14" spans="1:12" ht="12" customHeight="1" x14ac:dyDescent="0.2">
      <c r="A14" s="465">
        <v>1995</v>
      </c>
      <c r="B14" s="31">
        <v>0</v>
      </c>
      <c r="C14" s="33">
        <v>0</v>
      </c>
      <c r="D14" s="33">
        <v>0</v>
      </c>
      <c r="E14" s="33">
        <v>0</v>
      </c>
      <c r="F14" s="33">
        <v>2317</v>
      </c>
      <c r="G14" s="33">
        <v>0</v>
      </c>
      <c r="H14" s="33" t="s">
        <v>29</v>
      </c>
      <c r="I14" s="33">
        <v>0</v>
      </c>
      <c r="J14" s="33">
        <f t="shared" si="0"/>
        <v>2317</v>
      </c>
      <c r="K14" s="33">
        <f t="shared" si="1"/>
        <v>2317</v>
      </c>
      <c r="L14" s="22"/>
    </row>
    <row r="15" spans="1:12" ht="12" customHeight="1" x14ac:dyDescent="0.2">
      <c r="A15" s="465">
        <v>1997</v>
      </c>
      <c r="B15" s="31">
        <v>0</v>
      </c>
      <c r="C15" s="33">
        <v>0</v>
      </c>
      <c r="D15" s="33">
        <v>0</v>
      </c>
      <c r="E15" s="33">
        <v>0</v>
      </c>
      <c r="F15" s="33">
        <v>696</v>
      </c>
      <c r="G15" s="33">
        <v>10</v>
      </c>
      <c r="H15" s="33" t="s">
        <v>29</v>
      </c>
      <c r="I15" s="33">
        <v>0</v>
      </c>
      <c r="J15" s="33">
        <f t="shared" si="0"/>
        <v>706</v>
      </c>
      <c r="K15" s="33">
        <f t="shared" si="1"/>
        <v>706</v>
      </c>
      <c r="L15" s="22"/>
    </row>
    <row r="16" spans="1:12" ht="12" customHeight="1" x14ac:dyDescent="0.2">
      <c r="A16" s="465">
        <v>1999</v>
      </c>
      <c r="B16" s="31">
        <v>0</v>
      </c>
      <c r="C16" s="33">
        <v>0</v>
      </c>
      <c r="D16" s="33">
        <v>0</v>
      </c>
      <c r="E16" s="33">
        <v>0</v>
      </c>
      <c r="F16" s="33">
        <v>404</v>
      </c>
      <c r="G16" s="33">
        <v>4</v>
      </c>
      <c r="H16" s="33" t="s">
        <v>29</v>
      </c>
      <c r="I16" s="33">
        <v>0</v>
      </c>
      <c r="J16" s="33">
        <f t="shared" si="0"/>
        <v>408</v>
      </c>
      <c r="K16" s="33">
        <f t="shared" si="1"/>
        <v>408</v>
      </c>
      <c r="L16" s="22"/>
    </row>
    <row r="17" spans="1:12" ht="12" customHeight="1" x14ac:dyDescent="0.2">
      <c r="A17" s="465">
        <v>2001</v>
      </c>
      <c r="B17" s="31">
        <v>0</v>
      </c>
      <c r="C17" s="33">
        <v>0</v>
      </c>
      <c r="D17" s="33">
        <v>0</v>
      </c>
      <c r="E17" s="33">
        <v>504</v>
      </c>
      <c r="F17" s="33">
        <v>334</v>
      </c>
      <c r="G17" s="33">
        <v>15</v>
      </c>
      <c r="H17" s="33" t="s">
        <v>29</v>
      </c>
      <c r="I17" s="33">
        <v>0</v>
      </c>
      <c r="J17" s="33">
        <f t="shared" si="0"/>
        <v>853</v>
      </c>
      <c r="K17" s="33">
        <f t="shared" si="1"/>
        <v>853</v>
      </c>
      <c r="L17" s="22"/>
    </row>
    <row r="18" spans="1:12" ht="12" customHeight="1" x14ac:dyDescent="0.2">
      <c r="A18" s="123">
        <v>2003</v>
      </c>
      <c r="B18" s="31">
        <v>0</v>
      </c>
      <c r="C18" s="33">
        <v>0</v>
      </c>
      <c r="D18" s="33">
        <v>0</v>
      </c>
      <c r="E18" s="33">
        <v>0</v>
      </c>
      <c r="F18" s="33">
        <v>0</v>
      </c>
      <c r="G18" s="33">
        <v>0</v>
      </c>
      <c r="H18" s="33" t="s">
        <v>29</v>
      </c>
      <c r="I18" s="33">
        <v>0</v>
      </c>
      <c r="J18" s="33">
        <f t="shared" si="0"/>
        <v>0</v>
      </c>
      <c r="K18" s="33">
        <f t="shared" si="1"/>
        <v>0</v>
      </c>
      <c r="L18" s="22"/>
    </row>
    <row r="19" spans="1:12" s="461" customFormat="1" ht="12" customHeight="1" x14ac:dyDescent="0.2">
      <c r="A19" s="466">
        <v>2005</v>
      </c>
      <c r="B19" s="52">
        <v>0</v>
      </c>
      <c r="C19" s="100">
        <v>0</v>
      </c>
      <c r="D19" s="100">
        <v>0</v>
      </c>
      <c r="E19" s="100">
        <v>154</v>
      </c>
      <c r="F19" s="100">
        <v>88</v>
      </c>
      <c r="G19" s="100">
        <v>0</v>
      </c>
      <c r="H19" s="33" t="s">
        <v>29</v>
      </c>
      <c r="I19" s="100">
        <v>0</v>
      </c>
      <c r="J19" s="33">
        <f t="shared" si="0"/>
        <v>242</v>
      </c>
      <c r="K19" s="33">
        <f t="shared" si="1"/>
        <v>242</v>
      </c>
      <c r="L19" s="148"/>
    </row>
    <row r="20" spans="1:12" s="461" customFormat="1" ht="12" customHeight="1" x14ac:dyDescent="0.2">
      <c r="A20" s="466">
        <v>2007</v>
      </c>
      <c r="B20" s="52">
        <v>0</v>
      </c>
      <c r="C20" s="100">
        <v>0</v>
      </c>
      <c r="D20" s="100">
        <v>0</v>
      </c>
      <c r="E20" s="100">
        <v>82</v>
      </c>
      <c r="F20" s="100">
        <v>141</v>
      </c>
      <c r="G20" s="100">
        <v>0</v>
      </c>
      <c r="H20" s="100" t="s">
        <v>29</v>
      </c>
      <c r="I20" s="100">
        <v>0</v>
      </c>
      <c r="J20" s="100">
        <f t="shared" si="0"/>
        <v>223</v>
      </c>
      <c r="K20" s="100">
        <f t="shared" si="1"/>
        <v>223</v>
      </c>
      <c r="L20" s="148"/>
    </row>
    <row r="21" spans="1:12" s="461" customFormat="1" ht="12" customHeight="1" x14ac:dyDescent="0.2">
      <c r="A21" s="466">
        <v>2009</v>
      </c>
      <c r="B21" s="52">
        <v>0</v>
      </c>
      <c r="C21" s="100">
        <v>0</v>
      </c>
      <c r="D21" s="100">
        <v>0</v>
      </c>
      <c r="E21" s="100">
        <v>189</v>
      </c>
      <c r="F21" s="100">
        <v>219</v>
      </c>
      <c r="G21" s="100">
        <v>0</v>
      </c>
      <c r="H21" s="100" t="s">
        <v>29</v>
      </c>
      <c r="I21" s="100">
        <v>0</v>
      </c>
      <c r="J21" s="100">
        <f t="shared" si="0"/>
        <v>408</v>
      </c>
      <c r="K21" s="100">
        <f t="shared" si="1"/>
        <v>408</v>
      </c>
      <c r="L21" s="148"/>
    </row>
    <row r="22" spans="1:12" s="461" customFormat="1" ht="12" customHeight="1" x14ac:dyDescent="0.2">
      <c r="A22" s="466">
        <v>2011</v>
      </c>
      <c r="B22" s="52">
        <v>0</v>
      </c>
      <c r="C22" s="100">
        <v>0</v>
      </c>
      <c r="D22" s="100">
        <v>3</v>
      </c>
      <c r="E22" s="100">
        <v>55</v>
      </c>
      <c r="F22" s="100">
        <v>15</v>
      </c>
      <c r="G22" s="100">
        <v>0</v>
      </c>
      <c r="H22" s="100" t="s">
        <v>29</v>
      </c>
      <c r="I22" s="100">
        <v>0</v>
      </c>
      <c r="J22" s="100">
        <f t="shared" si="0"/>
        <v>73</v>
      </c>
      <c r="K22" s="100">
        <f t="shared" si="1"/>
        <v>73</v>
      </c>
      <c r="L22" s="148"/>
    </row>
    <row r="23" spans="1:12" s="461" customFormat="1" ht="12" customHeight="1" x14ac:dyDescent="0.2">
      <c r="A23" s="466">
        <v>2013</v>
      </c>
      <c r="B23" s="52">
        <v>0</v>
      </c>
      <c r="C23" s="100">
        <v>0</v>
      </c>
      <c r="D23" s="100">
        <v>0</v>
      </c>
      <c r="E23" s="100">
        <v>39</v>
      </c>
      <c r="F23" s="100">
        <v>0</v>
      </c>
      <c r="G23" s="100">
        <v>0</v>
      </c>
      <c r="H23" s="100" t="s">
        <v>29</v>
      </c>
      <c r="I23" s="100">
        <v>0</v>
      </c>
      <c r="J23" s="100">
        <f t="shared" si="0"/>
        <v>39</v>
      </c>
      <c r="K23" s="100">
        <f t="shared" si="1"/>
        <v>39</v>
      </c>
      <c r="L23" s="148"/>
    </row>
    <row r="24" spans="1:12" s="461" customFormat="1" ht="12" customHeight="1" x14ac:dyDescent="0.2">
      <c r="A24" s="466">
        <v>2015</v>
      </c>
      <c r="B24" s="52">
        <v>0</v>
      </c>
      <c r="C24" s="100">
        <v>0</v>
      </c>
      <c r="D24" s="100">
        <v>2</v>
      </c>
      <c r="E24" s="100">
        <v>0</v>
      </c>
      <c r="F24" s="100">
        <v>2</v>
      </c>
      <c r="G24" s="100">
        <v>0</v>
      </c>
      <c r="H24" s="100" t="s">
        <v>29</v>
      </c>
      <c r="I24" s="100">
        <v>0</v>
      </c>
      <c r="J24" s="100">
        <f t="shared" si="0"/>
        <v>4</v>
      </c>
      <c r="K24" s="100">
        <f t="shared" si="1"/>
        <v>4</v>
      </c>
      <c r="L24" s="148"/>
    </row>
    <row r="25" spans="1:12" s="461" customFormat="1" ht="12" customHeight="1" x14ac:dyDescent="0.2">
      <c r="A25" s="466">
        <v>2017</v>
      </c>
      <c r="B25" s="52">
        <v>0</v>
      </c>
      <c r="C25" s="100">
        <v>0</v>
      </c>
      <c r="D25" s="100">
        <v>0</v>
      </c>
      <c r="E25" s="100">
        <v>1</v>
      </c>
      <c r="F25" s="100">
        <v>1</v>
      </c>
      <c r="G25" s="100">
        <v>0</v>
      </c>
      <c r="H25" s="100" t="s">
        <v>29</v>
      </c>
      <c r="I25" s="100">
        <v>0</v>
      </c>
      <c r="J25" s="100">
        <f>SUM(C25:G25)</f>
        <v>2</v>
      </c>
      <c r="K25" s="100">
        <f>SUM(B25:I25)</f>
        <v>2</v>
      </c>
      <c r="L25" s="148"/>
    </row>
    <row r="26" spans="1:12" s="487" customFormat="1" ht="12" customHeight="1" x14ac:dyDescent="0.2">
      <c r="A26" s="491">
        <v>2019</v>
      </c>
      <c r="B26" s="52">
        <v>0</v>
      </c>
      <c r="C26" s="100">
        <v>0</v>
      </c>
      <c r="D26" s="100">
        <v>0</v>
      </c>
      <c r="E26" s="100">
        <v>0</v>
      </c>
      <c r="F26" s="100">
        <v>0</v>
      </c>
      <c r="G26" s="100">
        <v>0</v>
      </c>
      <c r="H26" s="100" t="s">
        <v>29</v>
      </c>
      <c r="I26" s="100">
        <v>0</v>
      </c>
      <c r="J26" s="100">
        <f t="shared" ref="J26" si="2">SUM(C26:G26)</f>
        <v>0</v>
      </c>
      <c r="K26" s="100">
        <f t="shared" ref="K26" si="3">SUM(B26:I26)</f>
        <v>0</v>
      </c>
      <c r="L26" s="148"/>
    </row>
    <row r="27" spans="1:12" s="461" customFormat="1" ht="12" customHeight="1" x14ac:dyDescent="0.2">
      <c r="A27" s="466"/>
      <c r="B27" s="52"/>
      <c r="C27" s="100"/>
      <c r="D27" s="100"/>
      <c r="E27" s="100"/>
      <c r="F27" s="100"/>
      <c r="G27" s="100"/>
      <c r="H27" s="100"/>
      <c r="I27" s="100"/>
      <c r="J27" s="100"/>
      <c r="K27" s="100"/>
      <c r="L27" s="148"/>
    </row>
    <row r="28" spans="1:12" s="461" customFormat="1" x14ac:dyDescent="0.2">
      <c r="A28" s="466"/>
      <c r="B28" s="52"/>
      <c r="C28" s="100"/>
      <c r="D28" s="100"/>
      <c r="E28" s="100"/>
      <c r="F28" s="100"/>
      <c r="G28" s="100"/>
      <c r="H28" s="33"/>
      <c r="I28" s="100"/>
      <c r="J28" s="33"/>
      <c r="K28" s="33"/>
      <c r="L28" s="148"/>
    </row>
    <row r="29" spans="1:12" x14ac:dyDescent="0.2">
      <c r="B29" s="31"/>
      <c r="C29" s="33"/>
      <c r="D29" s="33"/>
      <c r="E29" s="33"/>
      <c r="F29" s="33"/>
      <c r="G29" s="33"/>
      <c r="H29" s="33"/>
      <c r="I29" s="33"/>
      <c r="J29" s="33"/>
      <c r="K29" s="33"/>
    </row>
    <row r="30" spans="1:12" ht="12" customHeight="1" x14ac:dyDescent="0.2">
      <c r="A30" s="116" t="s">
        <v>65</v>
      </c>
      <c r="B30" s="234"/>
      <c r="C30" s="33"/>
      <c r="D30" s="33"/>
      <c r="E30" s="33"/>
      <c r="F30" s="33"/>
      <c r="G30" s="33"/>
      <c r="H30" s="33"/>
      <c r="I30" s="33"/>
      <c r="J30" s="33"/>
      <c r="K30" s="33"/>
    </row>
    <row r="31" spans="1:12" ht="12" customHeight="1" x14ac:dyDescent="0.2">
      <c r="A31" s="465">
        <v>1977</v>
      </c>
      <c r="B31" s="31">
        <v>0</v>
      </c>
      <c r="C31" s="33">
        <v>84</v>
      </c>
      <c r="D31" s="33">
        <v>1</v>
      </c>
      <c r="E31" s="33">
        <v>1041</v>
      </c>
      <c r="F31" s="33">
        <v>1284</v>
      </c>
      <c r="G31" s="33">
        <v>1</v>
      </c>
      <c r="H31" s="33">
        <v>0</v>
      </c>
      <c r="I31" s="33">
        <v>0</v>
      </c>
      <c r="J31" s="33">
        <f t="shared" ref="J31:J51" si="4">SUM(C31:G31)</f>
        <v>2411</v>
      </c>
      <c r="K31" s="33">
        <f t="shared" ref="K31:K51" si="5">SUM(B31:I31)</f>
        <v>2411</v>
      </c>
    </row>
    <row r="32" spans="1:12" ht="12" customHeight="1" x14ac:dyDescent="0.2">
      <c r="A32" s="465">
        <v>1979</v>
      </c>
      <c r="B32" s="31">
        <v>0</v>
      </c>
      <c r="C32" s="33">
        <v>0</v>
      </c>
      <c r="D32" s="33">
        <v>180</v>
      </c>
      <c r="E32" s="33">
        <v>231</v>
      </c>
      <c r="F32" s="33">
        <v>1393</v>
      </c>
      <c r="G32" s="33">
        <v>9</v>
      </c>
      <c r="H32" s="33">
        <v>0</v>
      </c>
      <c r="I32" s="33">
        <v>0</v>
      </c>
      <c r="J32" s="33">
        <f t="shared" si="4"/>
        <v>1813</v>
      </c>
      <c r="K32" s="33">
        <f t="shared" si="5"/>
        <v>1813</v>
      </c>
    </row>
    <row r="33" spans="1:11" ht="12" customHeight="1" x14ac:dyDescent="0.2">
      <c r="A33" s="465">
        <v>1981</v>
      </c>
      <c r="B33" s="31">
        <v>0</v>
      </c>
      <c r="C33" s="33">
        <v>0</v>
      </c>
      <c r="D33" s="33">
        <v>0</v>
      </c>
      <c r="E33" s="33">
        <v>563</v>
      </c>
      <c r="F33" s="33">
        <v>2020</v>
      </c>
      <c r="G33" s="33">
        <v>405</v>
      </c>
      <c r="H33" s="33">
        <v>0</v>
      </c>
      <c r="I33" s="33">
        <v>0</v>
      </c>
      <c r="J33" s="33">
        <f t="shared" si="4"/>
        <v>2988</v>
      </c>
      <c r="K33" s="33">
        <f t="shared" si="5"/>
        <v>2988</v>
      </c>
    </row>
    <row r="34" spans="1:11" ht="12" customHeight="1" x14ac:dyDescent="0.2">
      <c r="A34" s="465">
        <v>1983</v>
      </c>
      <c r="B34" s="31">
        <v>0</v>
      </c>
      <c r="C34" s="33">
        <v>0</v>
      </c>
      <c r="D34" s="33">
        <v>7</v>
      </c>
      <c r="E34" s="33">
        <v>1233</v>
      </c>
      <c r="F34" s="33">
        <v>16227</v>
      </c>
      <c r="G34" s="33">
        <v>334</v>
      </c>
      <c r="H34" s="33">
        <v>0</v>
      </c>
      <c r="I34" s="33">
        <v>0</v>
      </c>
      <c r="J34" s="33">
        <f t="shared" si="4"/>
        <v>17801</v>
      </c>
      <c r="K34" s="33">
        <f t="shared" si="5"/>
        <v>17801</v>
      </c>
    </row>
    <row r="35" spans="1:11" ht="12" customHeight="1" x14ac:dyDescent="0.2">
      <c r="A35" s="465">
        <v>1985</v>
      </c>
      <c r="B35" s="31">
        <v>0</v>
      </c>
      <c r="C35" s="33">
        <v>0</v>
      </c>
      <c r="D35" s="33">
        <v>275</v>
      </c>
      <c r="E35" s="33">
        <v>2223</v>
      </c>
      <c r="F35" s="33">
        <v>1805</v>
      </c>
      <c r="G35" s="33">
        <v>166</v>
      </c>
      <c r="H35" s="33">
        <v>0</v>
      </c>
      <c r="I35" s="33">
        <v>0</v>
      </c>
      <c r="J35" s="33">
        <f t="shared" si="4"/>
        <v>4469</v>
      </c>
      <c r="K35" s="33">
        <f t="shared" si="5"/>
        <v>4469</v>
      </c>
    </row>
    <row r="36" spans="1:11" ht="12" customHeight="1" x14ac:dyDescent="0.2">
      <c r="A36" s="465">
        <v>1987</v>
      </c>
      <c r="B36" s="31">
        <v>0</v>
      </c>
      <c r="C36" s="33">
        <v>4</v>
      </c>
      <c r="D36" s="33">
        <v>0</v>
      </c>
      <c r="E36" s="33">
        <v>8688</v>
      </c>
      <c r="F36" s="33">
        <v>3933</v>
      </c>
      <c r="G36" s="33">
        <v>0</v>
      </c>
      <c r="H36" s="33">
        <v>0</v>
      </c>
      <c r="I36" s="33">
        <v>0</v>
      </c>
      <c r="J36" s="33">
        <f t="shared" si="4"/>
        <v>12625</v>
      </c>
      <c r="K36" s="33">
        <f t="shared" si="5"/>
        <v>12625</v>
      </c>
    </row>
    <row r="37" spans="1:11" ht="12" customHeight="1" x14ac:dyDescent="0.2">
      <c r="A37" s="465">
        <v>1989</v>
      </c>
      <c r="B37" s="31">
        <v>0</v>
      </c>
      <c r="C37" s="33">
        <v>0</v>
      </c>
      <c r="D37" s="33">
        <v>8</v>
      </c>
      <c r="E37" s="33">
        <v>4417</v>
      </c>
      <c r="F37" s="33">
        <v>1869</v>
      </c>
      <c r="G37" s="33">
        <v>754</v>
      </c>
      <c r="H37" s="33">
        <v>0</v>
      </c>
      <c r="I37" s="33">
        <v>0</v>
      </c>
      <c r="J37" s="33">
        <f t="shared" si="4"/>
        <v>7048</v>
      </c>
      <c r="K37" s="33">
        <f t="shared" si="5"/>
        <v>7048</v>
      </c>
    </row>
    <row r="38" spans="1:11" ht="12" customHeight="1" x14ac:dyDescent="0.2">
      <c r="A38" s="465">
        <v>1991</v>
      </c>
      <c r="B38" s="31">
        <v>0</v>
      </c>
      <c r="C38" s="33">
        <v>0</v>
      </c>
      <c r="D38" s="33">
        <v>2</v>
      </c>
      <c r="E38" s="33">
        <v>999</v>
      </c>
      <c r="F38" s="33">
        <v>1643</v>
      </c>
      <c r="G38" s="33">
        <v>0</v>
      </c>
      <c r="H38" s="33">
        <v>0</v>
      </c>
      <c r="I38" s="33">
        <v>0</v>
      </c>
      <c r="J38" s="33">
        <f t="shared" si="4"/>
        <v>2644</v>
      </c>
      <c r="K38" s="33">
        <f t="shared" si="5"/>
        <v>2644</v>
      </c>
    </row>
    <row r="39" spans="1:11" ht="12" customHeight="1" x14ac:dyDescent="0.2">
      <c r="A39" s="465">
        <v>1993</v>
      </c>
      <c r="B39" s="31">
        <v>0</v>
      </c>
      <c r="C39" s="33">
        <v>0</v>
      </c>
      <c r="D39" s="33">
        <v>0</v>
      </c>
      <c r="E39" s="33">
        <v>155</v>
      </c>
      <c r="F39" s="33">
        <v>1774</v>
      </c>
      <c r="G39" s="33">
        <v>747</v>
      </c>
      <c r="H39" s="33">
        <v>0</v>
      </c>
      <c r="I39" s="33">
        <v>0</v>
      </c>
      <c r="J39" s="33">
        <f t="shared" si="4"/>
        <v>2676</v>
      </c>
      <c r="K39" s="33">
        <f t="shared" si="5"/>
        <v>2676</v>
      </c>
    </row>
    <row r="40" spans="1:11" ht="12" customHeight="1" x14ac:dyDescent="0.2">
      <c r="A40" s="465">
        <v>1995</v>
      </c>
      <c r="B40" s="31">
        <v>0</v>
      </c>
      <c r="C40" s="33">
        <v>0</v>
      </c>
      <c r="D40" s="33">
        <v>0</v>
      </c>
      <c r="E40" s="33">
        <v>0</v>
      </c>
      <c r="F40" s="33">
        <v>8589</v>
      </c>
      <c r="G40" s="33">
        <v>0</v>
      </c>
      <c r="H40" s="33">
        <v>0</v>
      </c>
      <c r="I40" s="33">
        <v>0</v>
      </c>
      <c r="J40" s="33">
        <f t="shared" si="4"/>
        <v>8589</v>
      </c>
      <c r="K40" s="33">
        <f t="shared" si="5"/>
        <v>8589</v>
      </c>
    </row>
    <row r="41" spans="1:11" ht="12" customHeight="1" x14ac:dyDescent="0.2">
      <c r="A41" s="465">
        <v>1997</v>
      </c>
      <c r="B41" s="31">
        <v>0</v>
      </c>
      <c r="C41" s="33">
        <v>0</v>
      </c>
      <c r="D41" s="33">
        <v>0</v>
      </c>
      <c r="E41" s="33">
        <v>0</v>
      </c>
      <c r="F41" s="33">
        <v>1061</v>
      </c>
      <c r="G41" s="33">
        <v>43</v>
      </c>
      <c r="H41" s="33" t="s">
        <v>29</v>
      </c>
      <c r="I41" s="33">
        <v>0</v>
      </c>
      <c r="J41" s="33">
        <f t="shared" si="4"/>
        <v>1104</v>
      </c>
      <c r="K41" s="33">
        <f t="shared" si="5"/>
        <v>1104</v>
      </c>
    </row>
    <row r="42" spans="1:11" ht="12" customHeight="1" x14ac:dyDescent="0.2">
      <c r="A42" s="465">
        <v>1999</v>
      </c>
      <c r="B42" s="31">
        <v>0</v>
      </c>
      <c r="C42" s="33">
        <v>0</v>
      </c>
      <c r="D42" s="33">
        <v>0</v>
      </c>
      <c r="E42" s="33">
        <v>0</v>
      </c>
      <c r="F42" s="33">
        <v>984</v>
      </c>
      <c r="G42" s="33">
        <v>104</v>
      </c>
      <c r="H42" s="33" t="s">
        <v>29</v>
      </c>
      <c r="I42" s="33">
        <v>0</v>
      </c>
      <c r="J42" s="33">
        <f t="shared" si="4"/>
        <v>1088</v>
      </c>
      <c r="K42" s="33">
        <f t="shared" si="5"/>
        <v>1088</v>
      </c>
    </row>
    <row r="43" spans="1:11" ht="12" customHeight="1" x14ac:dyDescent="0.2">
      <c r="A43" s="465">
        <v>2001</v>
      </c>
      <c r="B43" s="31">
        <v>0</v>
      </c>
      <c r="C43" s="33">
        <v>11</v>
      </c>
      <c r="D43" s="33">
        <v>0</v>
      </c>
      <c r="E43" s="33">
        <v>192</v>
      </c>
      <c r="F43" s="33">
        <v>1203</v>
      </c>
      <c r="G43" s="33">
        <v>192</v>
      </c>
      <c r="H43" s="33" t="s">
        <v>29</v>
      </c>
      <c r="I43" s="33">
        <v>0</v>
      </c>
      <c r="J43" s="33">
        <f t="shared" si="4"/>
        <v>1598</v>
      </c>
      <c r="K43" s="33">
        <f t="shared" si="5"/>
        <v>1598</v>
      </c>
    </row>
    <row r="44" spans="1:11" ht="12" customHeight="1" x14ac:dyDescent="0.2">
      <c r="A44" s="123">
        <v>2003</v>
      </c>
      <c r="B44" s="31">
        <v>0</v>
      </c>
      <c r="C44" s="33">
        <v>0</v>
      </c>
      <c r="D44" s="33">
        <v>0</v>
      </c>
      <c r="E44" s="33">
        <v>172</v>
      </c>
      <c r="F44" s="33">
        <v>41</v>
      </c>
      <c r="G44" s="33">
        <v>23</v>
      </c>
      <c r="H44" s="33" t="s">
        <v>29</v>
      </c>
      <c r="I44" s="33">
        <v>0</v>
      </c>
      <c r="J44" s="33">
        <f t="shared" si="4"/>
        <v>236</v>
      </c>
      <c r="K44" s="33">
        <f t="shared" si="5"/>
        <v>236</v>
      </c>
    </row>
    <row r="45" spans="1:11" s="461" customFormat="1" ht="12" customHeight="1" x14ac:dyDescent="0.2">
      <c r="A45" s="466">
        <v>2005</v>
      </c>
      <c r="B45" s="52">
        <v>0</v>
      </c>
      <c r="C45" s="100">
        <v>0</v>
      </c>
      <c r="D45" s="100">
        <v>0</v>
      </c>
      <c r="E45" s="100">
        <v>32</v>
      </c>
      <c r="F45" s="100">
        <v>103</v>
      </c>
      <c r="G45" s="100">
        <v>3</v>
      </c>
      <c r="H45" s="33" t="s">
        <v>29</v>
      </c>
      <c r="I45" s="100">
        <v>0</v>
      </c>
      <c r="J45" s="100">
        <f t="shared" si="4"/>
        <v>138</v>
      </c>
      <c r="K45" s="100">
        <f t="shared" si="5"/>
        <v>138</v>
      </c>
    </row>
    <row r="46" spans="1:11" s="461" customFormat="1" ht="12" customHeight="1" x14ac:dyDescent="0.2">
      <c r="A46" s="466">
        <v>2007</v>
      </c>
      <c r="B46" s="52">
        <v>0</v>
      </c>
      <c r="C46" s="100">
        <v>0</v>
      </c>
      <c r="D46" s="100">
        <v>7</v>
      </c>
      <c r="E46" s="100">
        <v>244</v>
      </c>
      <c r="F46" s="100">
        <v>96</v>
      </c>
      <c r="G46" s="100">
        <v>0</v>
      </c>
      <c r="H46" s="100" t="s">
        <v>29</v>
      </c>
      <c r="I46" s="100">
        <v>0</v>
      </c>
      <c r="J46" s="100">
        <f t="shared" si="4"/>
        <v>347</v>
      </c>
      <c r="K46" s="100">
        <f t="shared" si="5"/>
        <v>347</v>
      </c>
    </row>
    <row r="47" spans="1:11" s="461" customFormat="1" ht="12" customHeight="1" x14ac:dyDescent="0.2">
      <c r="A47" s="466">
        <v>2009</v>
      </c>
      <c r="B47" s="52">
        <v>0</v>
      </c>
      <c r="C47" s="100">
        <v>0</v>
      </c>
      <c r="D47" s="100">
        <v>0</v>
      </c>
      <c r="E47" s="100">
        <v>237</v>
      </c>
      <c r="F47" s="100">
        <v>145</v>
      </c>
      <c r="G47" s="100">
        <v>0</v>
      </c>
      <c r="H47" s="100" t="s">
        <v>29</v>
      </c>
      <c r="I47" s="100">
        <v>0</v>
      </c>
      <c r="J47" s="100">
        <f t="shared" si="4"/>
        <v>382</v>
      </c>
      <c r="K47" s="100">
        <f t="shared" si="5"/>
        <v>382</v>
      </c>
    </row>
    <row r="48" spans="1:11" s="461" customFormat="1" ht="12" customHeight="1" x14ac:dyDescent="0.2">
      <c r="A48" s="466">
        <v>2011</v>
      </c>
      <c r="B48" s="52">
        <v>0</v>
      </c>
      <c r="C48" s="100">
        <v>0</v>
      </c>
      <c r="D48" s="100">
        <v>3</v>
      </c>
      <c r="E48" s="100">
        <v>659</v>
      </c>
      <c r="F48" s="100">
        <v>310</v>
      </c>
      <c r="G48" s="100">
        <v>16</v>
      </c>
      <c r="H48" s="100" t="s">
        <v>29</v>
      </c>
      <c r="I48" s="100">
        <v>0</v>
      </c>
      <c r="J48" s="100">
        <f t="shared" si="4"/>
        <v>988</v>
      </c>
      <c r="K48" s="100">
        <f t="shared" si="5"/>
        <v>988</v>
      </c>
    </row>
    <row r="49" spans="1:12" s="461" customFormat="1" ht="12" customHeight="1" x14ac:dyDescent="0.2">
      <c r="A49" s="466">
        <v>2013</v>
      </c>
      <c r="B49" s="52">
        <v>0</v>
      </c>
      <c r="C49" s="100">
        <v>0</v>
      </c>
      <c r="D49" s="100">
        <v>0</v>
      </c>
      <c r="E49" s="100">
        <v>49</v>
      </c>
      <c r="F49" s="100">
        <v>115</v>
      </c>
      <c r="G49" s="100">
        <v>0</v>
      </c>
      <c r="H49" s="100" t="s">
        <v>29</v>
      </c>
      <c r="I49" s="100">
        <v>0</v>
      </c>
      <c r="J49" s="100">
        <f t="shared" si="4"/>
        <v>164</v>
      </c>
      <c r="K49" s="100">
        <f t="shared" si="5"/>
        <v>164</v>
      </c>
    </row>
    <row r="50" spans="1:12" s="461" customFormat="1" ht="12" customHeight="1" x14ac:dyDescent="0.2">
      <c r="A50" s="466">
        <v>2015</v>
      </c>
      <c r="B50" s="52">
        <v>0</v>
      </c>
      <c r="C50" s="100">
        <v>0</v>
      </c>
      <c r="D50" s="100">
        <v>4</v>
      </c>
      <c r="E50" s="100">
        <v>0</v>
      </c>
      <c r="F50" s="100">
        <v>16</v>
      </c>
      <c r="G50" s="100">
        <v>0</v>
      </c>
      <c r="H50" s="100" t="s">
        <v>29</v>
      </c>
      <c r="I50" s="100">
        <v>0</v>
      </c>
      <c r="J50" s="100">
        <f t="shared" si="4"/>
        <v>20</v>
      </c>
      <c r="K50" s="100">
        <f t="shared" si="5"/>
        <v>20</v>
      </c>
    </row>
    <row r="51" spans="1:12" s="461" customFormat="1" ht="12" customHeight="1" x14ac:dyDescent="0.2">
      <c r="A51" s="466">
        <v>2017</v>
      </c>
      <c r="B51" s="52">
        <v>0</v>
      </c>
      <c r="C51" s="100">
        <v>0</v>
      </c>
      <c r="D51" s="100">
        <v>0</v>
      </c>
      <c r="E51" s="100">
        <v>60</v>
      </c>
      <c r="F51" s="100">
        <v>133</v>
      </c>
      <c r="G51" s="100">
        <v>0</v>
      </c>
      <c r="H51" s="100" t="s">
        <v>29</v>
      </c>
      <c r="I51" s="100">
        <v>0</v>
      </c>
      <c r="J51" s="100">
        <f t="shared" si="4"/>
        <v>193</v>
      </c>
      <c r="K51" s="100">
        <f t="shared" si="5"/>
        <v>193</v>
      </c>
    </row>
    <row r="52" spans="1:12" s="487" customFormat="1" ht="12" customHeight="1" x14ac:dyDescent="0.2">
      <c r="A52" s="491">
        <v>2019</v>
      </c>
      <c r="B52" s="52">
        <v>0</v>
      </c>
      <c r="C52" s="100">
        <v>0</v>
      </c>
      <c r="D52" s="100">
        <v>0</v>
      </c>
      <c r="E52" s="100">
        <v>243</v>
      </c>
      <c r="F52" s="100">
        <v>270</v>
      </c>
      <c r="G52" s="100">
        <v>0</v>
      </c>
      <c r="H52" s="100" t="s">
        <v>29</v>
      </c>
      <c r="I52" s="100">
        <v>0</v>
      </c>
      <c r="J52" s="100">
        <f>SUM(C52:G52)</f>
        <v>513</v>
      </c>
      <c r="K52" s="100">
        <f>SUM(B52:I52)</f>
        <v>513</v>
      </c>
    </row>
    <row r="53" spans="1:12" s="461" customFormat="1" x14ac:dyDescent="0.2">
      <c r="A53" s="466"/>
      <c r="B53" s="52"/>
      <c r="C53" s="100"/>
      <c r="D53" s="100"/>
      <c r="E53" s="100"/>
      <c r="F53" s="100"/>
      <c r="G53" s="100"/>
      <c r="H53" s="100"/>
      <c r="I53" s="100"/>
      <c r="J53" s="100"/>
      <c r="K53" s="100"/>
    </row>
    <row r="54" spans="1:12" s="461" customFormat="1" x14ac:dyDescent="0.2">
      <c r="A54" s="466"/>
      <c r="B54" s="52"/>
      <c r="C54" s="100"/>
      <c r="D54" s="100"/>
      <c r="E54" s="100"/>
      <c r="F54" s="100"/>
      <c r="G54" s="100"/>
      <c r="H54" s="33"/>
      <c r="I54" s="100"/>
      <c r="J54" s="100"/>
      <c r="K54" s="100"/>
    </row>
    <row r="55" spans="1:12" x14ac:dyDescent="0.2">
      <c r="B55" s="31"/>
      <c r="C55" s="33"/>
      <c r="D55" s="33"/>
      <c r="E55" s="33"/>
      <c r="F55" s="33"/>
      <c r="G55" s="33"/>
      <c r="H55" s="33"/>
      <c r="I55" s="33"/>
      <c r="J55" s="33"/>
      <c r="K55" s="33"/>
    </row>
    <row r="56" spans="1:12" ht="12" customHeight="1" x14ac:dyDescent="0.2">
      <c r="A56" s="116" t="s">
        <v>66</v>
      </c>
      <c r="B56" s="234"/>
      <c r="C56" s="33"/>
      <c r="D56" s="33"/>
      <c r="E56" s="33"/>
      <c r="F56" s="33"/>
      <c r="G56" s="33"/>
      <c r="H56" s="33"/>
      <c r="I56" s="33"/>
      <c r="J56" s="33"/>
      <c r="K56" s="33"/>
    </row>
    <row r="57" spans="1:12" ht="12" customHeight="1" x14ac:dyDescent="0.2">
      <c r="A57" s="465">
        <v>1977</v>
      </c>
      <c r="B57" s="31">
        <v>0</v>
      </c>
      <c r="C57" s="33">
        <v>10</v>
      </c>
      <c r="D57" s="33">
        <v>1431</v>
      </c>
      <c r="E57" s="33">
        <v>160</v>
      </c>
      <c r="F57" s="33">
        <v>302</v>
      </c>
      <c r="G57" s="33">
        <v>0</v>
      </c>
      <c r="H57" s="33">
        <v>0</v>
      </c>
      <c r="I57" s="33">
        <v>0</v>
      </c>
      <c r="J57" s="33">
        <f t="shared" ref="J57:J76" si="6">SUM(C57:G57)</f>
        <v>1903</v>
      </c>
      <c r="K57" s="33">
        <f t="shared" ref="K57:K76" si="7">SUM(B57:I57)</f>
        <v>1903</v>
      </c>
    </row>
    <row r="58" spans="1:12" ht="12" customHeight="1" x14ac:dyDescent="0.2">
      <c r="A58" s="465">
        <v>1979</v>
      </c>
      <c r="B58" s="31">
        <v>0</v>
      </c>
      <c r="C58" s="33">
        <v>0</v>
      </c>
      <c r="D58" s="33">
        <v>953</v>
      </c>
      <c r="E58" s="33">
        <v>357</v>
      </c>
      <c r="F58" s="33">
        <v>1762</v>
      </c>
      <c r="G58" s="33">
        <v>0</v>
      </c>
      <c r="H58" s="33">
        <v>0</v>
      </c>
      <c r="I58" s="33">
        <v>0</v>
      </c>
      <c r="J58" s="33">
        <f t="shared" si="6"/>
        <v>3072</v>
      </c>
      <c r="K58" s="33">
        <f t="shared" si="7"/>
        <v>3072</v>
      </c>
    </row>
    <row r="59" spans="1:12" ht="12" customHeight="1" x14ac:dyDescent="0.2">
      <c r="A59" s="465">
        <v>1981</v>
      </c>
      <c r="B59" s="31">
        <v>0</v>
      </c>
      <c r="C59" s="33">
        <v>22</v>
      </c>
      <c r="D59" s="33">
        <v>183</v>
      </c>
      <c r="E59" s="33">
        <v>494</v>
      </c>
      <c r="F59" s="33">
        <v>311</v>
      </c>
      <c r="G59" s="33">
        <v>28</v>
      </c>
      <c r="H59" s="33">
        <v>0</v>
      </c>
      <c r="I59" s="33">
        <v>0</v>
      </c>
      <c r="J59" s="33">
        <f t="shared" si="6"/>
        <v>1038</v>
      </c>
      <c r="K59" s="33">
        <f t="shared" si="7"/>
        <v>1038</v>
      </c>
    </row>
    <row r="60" spans="1:12" ht="12" customHeight="1" x14ac:dyDescent="0.2">
      <c r="A60" s="465">
        <v>1983</v>
      </c>
      <c r="B60" s="31">
        <v>0</v>
      </c>
      <c r="C60" s="33">
        <v>0</v>
      </c>
      <c r="D60" s="33">
        <v>27</v>
      </c>
      <c r="E60" s="33">
        <v>69</v>
      </c>
      <c r="F60" s="33">
        <v>469</v>
      </c>
      <c r="G60" s="33">
        <v>0</v>
      </c>
      <c r="H60" s="33" t="s">
        <v>29</v>
      </c>
      <c r="I60" s="33" t="s">
        <v>29</v>
      </c>
      <c r="J60" s="33">
        <f t="shared" si="6"/>
        <v>565</v>
      </c>
      <c r="K60" s="33">
        <f t="shared" si="7"/>
        <v>565</v>
      </c>
    </row>
    <row r="61" spans="1:12" ht="12" customHeight="1" x14ac:dyDescent="0.2">
      <c r="A61" s="465">
        <v>1985</v>
      </c>
      <c r="B61" s="31">
        <v>0</v>
      </c>
      <c r="C61" s="33">
        <v>0</v>
      </c>
      <c r="D61" s="33">
        <v>90</v>
      </c>
      <c r="E61" s="33">
        <v>1398</v>
      </c>
      <c r="F61" s="33">
        <v>474</v>
      </c>
      <c r="G61" s="33">
        <v>7</v>
      </c>
      <c r="H61" s="33" t="s">
        <v>29</v>
      </c>
      <c r="I61" s="33" t="s">
        <v>29</v>
      </c>
      <c r="J61" s="33">
        <f t="shared" si="6"/>
        <v>1969</v>
      </c>
      <c r="K61" s="33">
        <f t="shared" si="7"/>
        <v>1969</v>
      </c>
    </row>
    <row r="62" spans="1:12" ht="12" customHeight="1" x14ac:dyDescent="0.2">
      <c r="A62" s="465">
        <v>1987</v>
      </c>
      <c r="B62" s="31">
        <v>0</v>
      </c>
      <c r="C62" s="33">
        <v>0</v>
      </c>
      <c r="D62" s="33">
        <v>0</v>
      </c>
      <c r="E62" s="33">
        <v>1025</v>
      </c>
      <c r="F62" s="33">
        <v>1226</v>
      </c>
      <c r="G62" s="33">
        <v>0</v>
      </c>
      <c r="H62" s="33" t="s">
        <v>29</v>
      </c>
      <c r="I62" s="33" t="s">
        <v>29</v>
      </c>
      <c r="J62" s="33">
        <f t="shared" si="6"/>
        <v>2251</v>
      </c>
      <c r="K62" s="33">
        <f t="shared" si="7"/>
        <v>2251</v>
      </c>
    </row>
    <row r="63" spans="1:12" ht="12" customHeight="1" x14ac:dyDescent="0.2">
      <c r="A63" s="465">
        <v>1989</v>
      </c>
      <c r="B63" s="31">
        <v>0</v>
      </c>
      <c r="C63" s="33">
        <v>6</v>
      </c>
      <c r="D63" s="33">
        <v>12</v>
      </c>
      <c r="E63" s="33">
        <v>225</v>
      </c>
      <c r="F63" s="33">
        <v>107</v>
      </c>
      <c r="G63" s="33">
        <v>129</v>
      </c>
      <c r="H63" s="33" t="s">
        <v>29</v>
      </c>
      <c r="I63" s="33" t="s">
        <v>29</v>
      </c>
      <c r="J63" s="33">
        <f t="shared" si="6"/>
        <v>479</v>
      </c>
      <c r="K63" s="33">
        <f t="shared" si="7"/>
        <v>479</v>
      </c>
    </row>
    <row r="64" spans="1:12" ht="12" customHeight="1" x14ac:dyDescent="0.2">
      <c r="A64" s="465">
        <v>1991</v>
      </c>
      <c r="B64" s="31">
        <v>0</v>
      </c>
      <c r="C64" s="33">
        <v>0</v>
      </c>
      <c r="D64" s="33">
        <v>0</v>
      </c>
      <c r="E64" s="33">
        <v>75</v>
      </c>
      <c r="F64" s="33">
        <v>449</v>
      </c>
      <c r="G64" s="33">
        <v>0</v>
      </c>
      <c r="H64" s="33" t="s">
        <v>29</v>
      </c>
      <c r="I64" s="33" t="s">
        <v>29</v>
      </c>
      <c r="J64" s="33">
        <f t="shared" si="6"/>
        <v>524</v>
      </c>
      <c r="K64" s="33">
        <f t="shared" si="7"/>
        <v>524</v>
      </c>
      <c r="L64" s="30"/>
    </row>
    <row r="65" spans="1:12" ht="12" customHeight="1" x14ac:dyDescent="0.2">
      <c r="A65" s="465">
        <v>1993</v>
      </c>
      <c r="B65" s="31">
        <v>0</v>
      </c>
      <c r="C65" s="33">
        <v>0</v>
      </c>
      <c r="D65" s="33">
        <v>0</v>
      </c>
      <c r="E65" s="33">
        <v>120</v>
      </c>
      <c r="F65" s="33">
        <v>351</v>
      </c>
      <c r="G65" s="33">
        <v>31</v>
      </c>
      <c r="H65" s="33" t="s">
        <v>29</v>
      </c>
      <c r="I65" s="33" t="s">
        <v>29</v>
      </c>
      <c r="J65" s="33">
        <f t="shared" si="6"/>
        <v>502</v>
      </c>
      <c r="K65" s="33">
        <f t="shared" si="7"/>
        <v>502</v>
      </c>
      <c r="L65" s="30"/>
    </row>
    <row r="66" spans="1:12" ht="12" customHeight="1" x14ac:dyDescent="0.2">
      <c r="A66" s="465">
        <v>1995</v>
      </c>
      <c r="B66" s="31">
        <v>0</v>
      </c>
      <c r="C66" s="33">
        <v>0</v>
      </c>
      <c r="D66" s="33">
        <v>0</v>
      </c>
      <c r="E66" s="33">
        <v>0</v>
      </c>
      <c r="F66" s="33">
        <v>32</v>
      </c>
      <c r="G66" s="33">
        <v>0</v>
      </c>
      <c r="H66" s="33" t="s">
        <v>29</v>
      </c>
      <c r="I66" s="33" t="s">
        <v>29</v>
      </c>
      <c r="J66" s="33">
        <f t="shared" si="6"/>
        <v>32</v>
      </c>
      <c r="K66" s="33">
        <f t="shared" si="7"/>
        <v>32</v>
      </c>
      <c r="L66" s="30"/>
    </row>
    <row r="67" spans="1:12" ht="12" customHeight="1" x14ac:dyDescent="0.2">
      <c r="A67" s="465">
        <v>1997</v>
      </c>
      <c r="B67" s="31">
        <v>0</v>
      </c>
      <c r="C67" s="33">
        <v>0</v>
      </c>
      <c r="D67" s="33">
        <v>0</v>
      </c>
      <c r="E67" s="33">
        <v>0</v>
      </c>
      <c r="F67" s="33">
        <v>0</v>
      </c>
      <c r="G67" s="33">
        <v>0</v>
      </c>
      <c r="H67" s="33" t="s">
        <v>29</v>
      </c>
      <c r="I67" s="33" t="s">
        <v>29</v>
      </c>
      <c r="J67" s="33">
        <f t="shared" si="6"/>
        <v>0</v>
      </c>
      <c r="K67" s="33">
        <f t="shared" si="7"/>
        <v>0</v>
      </c>
      <c r="L67" s="30"/>
    </row>
    <row r="68" spans="1:12" ht="12" customHeight="1" x14ac:dyDescent="0.2">
      <c r="A68" s="465">
        <v>1999</v>
      </c>
      <c r="B68" s="31">
        <v>0</v>
      </c>
      <c r="C68" s="33">
        <v>0</v>
      </c>
      <c r="D68" s="33">
        <v>0</v>
      </c>
      <c r="E68" s="33">
        <v>0</v>
      </c>
      <c r="F68" s="33">
        <v>0</v>
      </c>
      <c r="G68" s="33">
        <v>0</v>
      </c>
      <c r="H68" s="33" t="s">
        <v>29</v>
      </c>
      <c r="I68" s="33" t="s">
        <v>29</v>
      </c>
      <c r="J68" s="33">
        <f t="shared" si="6"/>
        <v>0</v>
      </c>
      <c r="K68" s="33">
        <f t="shared" si="7"/>
        <v>0</v>
      </c>
      <c r="L68" s="30"/>
    </row>
    <row r="69" spans="1:12" ht="12" customHeight="1" x14ac:dyDescent="0.2">
      <c r="A69" s="465">
        <v>2001</v>
      </c>
      <c r="B69" s="31">
        <v>0</v>
      </c>
      <c r="C69" s="33">
        <v>0</v>
      </c>
      <c r="D69" s="33">
        <v>0</v>
      </c>
      <c r="E69" s="33">
        <v>0</v>
      </c>
      <c r="F69" s="33">
        <v>0</v>
      </c>
      <c r="G69" s="33">
        <v>0</v>
      </c>
      <c r="H69" s="33" t="s">
        <v>29</v>
      </c>
      <c r="I69" s="33" t="s">
        <v>29</v>
      </c>
      <c r="J69" s="33">
        <f t="shared" si="6"/>
        <v>0</v>
      </c>
      <c r="K69" s="33">
        <f t="shared" si="7"/>
        <v>0</v>
      </c>
      <c r="L69" s="30"/>
    </row>
    <row r="70" spans="1:12" ht="12" customHeight="1" x14ac:dyDescent="0.2">
      <c r="A70" s="123">
        <v>2003</v>
      </c>
      <c r="B70" s="31">
        <v>0</v>
      </c>
      <c r="C70" s="33">
        <v>0</v>
      </c>
      <c r="D70" s="33">
        <v>0</v>
      </c>
      <c r="E70" s="33">
        <v>0</v>
      </c>
      <c r="F70" s="33">
        <v>0</v>
      </c>
      <c r="G70" s="33">
        <v>0</v>
      </c>
      <c r="H70" s="33">
        <v>0</v>
      </c>
      <c r="I70" s="33" t="s">
        <v>29</v>
      </c>
      <c r="J70" s="33">
        <f t="shared" si="6"/>
        <v>0</v>
      </c>
      <c r="K70" s="33">
        <f t="shared" si="7"/>
        <v>0</v>
      </c>
      <c r="L70" s="30"/>
    </row>
    <row r="71" spans="1:12" s="461" customFormat="1" ht="12" customHeight="1" x14ac:dyDescent="0.2">
      <c r="A71" s="466">
        <v>2005</v>
      </c>
      <c r="B71" s="52">
        <v>0</v>
      </c>
      <c r="C71" s="100">
        <v>0</v>
      </c>
      <c r="D71" s="100">
        <v>0</v>
      </c>
      <c r="E71" s="100">
        <v>0</v>
      </c>
      <c r="F71" s="100">
        <v>1</v>
      </c>
      <c r="G71" s="100">
        <v>0</v>
      </c>
      <c r="H71" s="100">
        <v>0</v>
      </c>
      <c r="I71" s="33" t="s">
        <v>29</v>
      </c>
      <c r="J71" s="100">
        <f t="shared" si="6"/>
        <v>1</v>
      </c>
      <c r="K71" s="100">
        <f t="shared" si="7"/>
        <v>1</v>
      </c>
      <c r="L71" s="149"/>
    </row>
    <row r="72" spans="1:12" s="461" customFormat="1" ht="12" customHeight="1" x14ac:dyDescent="0.2">
      <c r="A72" s="466">
        <v>2007</v>
      </c>
      <c r="B72" s="52">
        <v>0</v>
      </c>
      <c r="C72" s="100">
        <v>0</v>
      </c>
      <c r="D72" s="100">
        <v>0</v>
      </c>
      <c r="E72" s="100">
        <v>0</v>
      </c>
      <c r="F72" s="100">
        <v>14</v>
      </c>
      <c r="G72" s="100">
        <v>0</v>
      </c>
      <c r="H72" s="100">
        <v>0</v>
      </c>
      <c r="I72" s="100" t="s">
        <v>29</v>
      </c>
      <c r="J72" s="100">
        <f t="shared" si="6"/>
        <v>14</v>
      </c>
      <c r="K72" s="100">
        <f t="shared" si="7"/>
        <v>14</v>
      </c>
      <c r="L72" s="149"/>
    </row>
    <row r="73" spans="1:12" s="461" customFormat="1" ht="12" customHeight="1" x14ac:dyDescent="0.2">
      <c r="A73" s="466">
        <v>2009</v>
      </c>
      <c r="B73" s="52">
        <v>0</v>
      </c>
      <c r="C73" s="100">
        <v>0</v>
      </c>
      <c r="D73" s="100">
        <v>0</v>
      </c>
      <c r="E73" s="100">
        <v>1</v>
      </c>
      <c r="F73" s="100">
        <v>4</v>
      </c>
      <c r="G73" s="100">
        <v>0</v>
      </c>
      <c r="H73" s="100">
        <v>0</v>
      </c>
      <c r="I73" s="100" t="s">
        <v>29</v>
      </c>
      <c r="J73" s="100">
        <f t="shared" si="6"/>
        <v>5</v>
      </c>
      <c r="K73" s="100">
        <f t="shared" si="7"/>
        <v>5</v>
      </c>
      <c r="L73" s="149"/>
    </row>
    <row r="74" spans="1:12" s="461" customFormat="1" ht="12" customHeight="1" x14ac:dyDescent="0.2">
      <c r="A74" s="466">
        <v>2011</v>
      </c>
      <c r="B74" s="52">
        <v>0</v>
      </c>
      <c r="C74" s="100">
        <v>0</v>
      </c>
      <c r="D74" s="100">
        <v>0</v>
      </c>
      <c r="E74" s="100">
        <v>0</v>
      </c>
      <c r="F74" s="100">
        <v>4</v>
      </c>
      <c r="G74" s="100">
        <v>0</v>
      </c>
      <c r="H74" s="100">
        <v>0</v>
      </c>
      <c r="I74" s="100" t="s">
        <v>29</v>
      </c>
      <c r="J74" s="100">
        <f t="shared" si="6"/>
        <v>4</v>
      </c>
      <c r="K74" s="100">
        <f t="shared" si="7"/>
        <v>4</v>
      </c>
      <c r="L74" s="149"/>
    </row>
    <row r="75" spans="1:12" s="461" customFormat="1" ht="12" customHeight="1" x14ac:dyDescent="0.2">
      <c r="A75" s="466">
        <v>2013</v>
      </c>
      <c r="B75" s="52">
        <v>0</v>
      </c>
      <c r="C75" s="100">
        <v>0</v>
      </c>
      <c r="D75" s="100">
        <v>0</v>
      </c>
      <c r="E75" s="100">
        <v>1</v>
      </c>
      <c r="F75" s="100">
        <v>5</v>
      </c>
      <c r="G75" s="100">
        <v>0</v>
      </c>
      <c r="H75" s="100">
        <v>0</v>
      </c>
      <c r="I75" s="100" t="s">
        <v>29</v>
      </c>
      <c r="J75" s="100">
        <f t="shared" si="6"/>
        <v>6</v>
      </c>
      <c r="K75" s="100">
        <f t="shared" si="7"/>
        <v>6</v>
      </c>
      <c r="L75" s="149"/>
    </row>
    <row r="76" spans="1:12" s="461" customFormat="1" ht="12" customHeight="1" x14ac:dyDescent="0.2">
      <c r="A76" s="466">
        <v>2015</v>
      </c>
      <c r="B76" s="52">
        <v>0</v>
      </c>
      <c r="C76" s="100">
        <v>0</v>
      </c>
      <c r="D76" s="100">
        <v>0</v>
      </c>
      <c r="E76" s="100">
        <v>98</v>
      </c>
      <c r="F76" s="100">
        <v>0</v>
      </c>
      <c r="G76" s="100">
        <v>0</v>
      </c>
      <c r="H76" s="100">
        <v>0</v>
      </c>
      <c r="I76" s="100" t="s">
        <v>29</v>
      </c>
      <c r="J76" s="100">
        <f t="shared" si="6"/>
        <v>98</v>
      </c>
      <c r="K76" s="100">
        <f t="shared" si="7"/>
        <v>98</v>
      </c>
      <c r="L76" s="149"/>
    </row>
    <row r="77" spans="1:12" s="461" customFormat="1" ht="12" customHeight="1" x14ac:dyDescent="0.2">
      <c r="A77" s="466">
        <v>2017</v>
      </c>
      <c r="B77" s="52">
        <v>0</v>
      </c>
      <c r="C77" s="100">
        <v>0</v>
      </c>
      <c r="D77" s="100">
        <v>0</v>
      </c>
      <c r="E77" s="100">
        <v>0</v>
      </c>
      <c r="F77" s="100">
        <v>0</v>
      </c>
      <c r="G77" s="100">
        <v>0</v>
      </c>
      <c r="H77" s="100">
        <v>0</v>
      </c>
      <c r="I77" s="100" t="s">
        <v>29</v>
      </c>
      <c r="J77" s="100">
        <f>SUM(C77:G77)</f>
        <v>0</v>
      </c>
      <c r="K77" s="100">
        <f>SUM(B77:I77)</f>
        <v>0</v>
      </c>
      <c r="L77" s="149"/>
    </row>
    <row r="78" spans="1:12" s="487" customFormat="1" ht="12" customHeight="1" x14ac:dyDescent="0.2">
      <c r="A78" s="491">
        <v>2019</v>
      </c>
      <c r="B78" s="52">
        <v>0</v>
      </c>
      <c r="C78" s="100">
        <v>0</v>
      </c>
      <c r="D78" s="100">
        <v>0</v>
      </c>
      <c r="E78" s="100">
        <v>0</v>
      </c>
      <c r="F78" s="100">
        <v>0</v>
      </c>
      <c r="G78" s="100">
        <v>0</v>
      </c>
      <c r="H78" s="100">
        <v>0</v>
      </c>
      <c r="I78" s="100" t="s">
        <v>29</v>
      </c>
      <c r="J78" s="100">
        <f t="shared" ref="J78" si="8">SUM(C78:G78)</f>
        <v>0</v>
      </c>
      <c r="K78" s="100">
        <f t="shared" ref="K78" si="9">SUM(B78:I78)</f>
        <v>0</v>
      </c>
      <c r="L78" s="149"/>
    </row>
    <row r="79" spans="1:12" s="461" customFormat="1" x14ac:dyDescent="0.2">
      <c r="A79" s="466"/>
      <c r="B79" s="52"/>
      <c r="C79" s="100"/>
      <c r="D79" s="100"/>
      <c r="E79" s="100"/>
      <c r="F79" s="100"/>
      <c r="G79" s="100"/>
      <c r="H79" s="100"/>
      <c r="I79" s="33"/>
      <c r="J79" s="100"/>
      <c r="K79" s="100"/>
      <c r="L79" s="149"/>
    </row>
    <row r="80" spans="1:12" s="461" customFormat="1" x14ac:dyDescent="0.2">
      <c r="A80" s="466"/>
      <c r="B80" s="52"/>
      <c r="C80" s="100"/>
      <c r="D80" s="100"/>
      <c r="E80" s="100"/>
      <c r="F80" s="100"/>
      <c r="G80" s="100"/>
      <c r="H80" s="100"/>
      <c r="I80" s="100"/>
      <c r="J80" s="100"/>
      <c r="K80" s="100"/>
      <c r="L80" s="149"/>
    </row>
    <row r="81" spans="1:11" ht="12" customHeight="1" x14ac:dyDescent="0.2">
      <c r="A81" s="116" t="s">
        <v>64</v>
      </c>
      <c r="B81" s="234"/>
      <c r="C81" s="33"/>
      <c r="D81" s="33"/>
      <c r="E81" s="33"/>
      <c r="F81" s="33"/>
      <c r="G81" s="33"/>
      <c r="H81" s="33"/>
      <c r="I81" s="33"/>
      <c r="J81" s="33"/>
      <c r="K81" s="33"/>
    </row>
    <row r="82" spans="1:11" ht="12" customHeight="1" x14ac:dyDescent="0.2">
      <c r="A82" s="465">
        <v>1977</v>
      </c>
      <c r="B82" s="31">
        <v>0</v>
      </c>
      <c r="C82" s="33">
        <v>0</v>
      </c>
      <c r="D82" s="33">
        <v>0</v>
      </c>
      <c r="E82" s="33">
        <v>0</v>
      </c>
      <c r="F82" s="33">
        <v>0</v>
      </c>
      <c r="G82" s="33">
        <v>0</v>
      </c>
      <c r="H82" s="33">
        <v>0</v>
      </c>
      <c r="I82" s="33">
        <v>0</v>
      </c>
      <c r="J82" s="33">
        <f t="shared" ref="J82:J103" si="10">SUM(C82:G82)</f>
        <v>0</v>
      </c>
      <c r="K82" s="33">
        <f t="shared" ref="K82:K103" si="11">SUM(B82:I82)</f>
        <v>0</v>
      </c>
    </row>
    <row r="83" spans="1:11" ht="12" customHeight="1" x14ac:dyDescent="0.2">
      <c r="A83" s="465">
        <v>1979</v>
      </c>
      <c r="B83" s="31">
        <v>0</v>
      </c>
      <c r="C83" s="33">
        <v>0</v>
      </c>
      <c r="D83" s="33">
        <v>0</v>
      </c>
      <c r="E83" s="33">
        <v>0</v>
      </c>
      <c r="F83" s="33">
        <v>0</v>
      </c>
      <c r="G83" s="33">
        <v>0</v>
      </c>
      <c r="H83" s="33">
        <v>0</v>
      </c>
      <c r="I83" s="33">
        <v>0</v>
      </c>
      <c r="J83" s="33">
        <f t="shared" si="10"/>
        <v>0</v>
      </c>
      <c r="K83" s="33">
        <f t="shared" si="11"/>
        <v>0</v>
      </c>
    </row>
    <row r="84" spans="1:11" ht="12" customHeight="1" x14ac:dyDescent="0.2">
      <c r="A84" s="465">
        <v>1981</v>
      </c>
      <c r="B84" s="31">
        <v>0</v>
      </c>
      <c r="C84" s="33">
        <v>0</v>
      </c>
      <c r="D84" s="33">
        <v>25</v>
      </c>
      <c r="E84" s="33">
        <v>25</v>
      </c>
      <c r="F84" s="33">
        <v>1</v>
      </c>
      <c r="G84" s="33">
        <v>0</v>
      </c>
      <c r="H84" s="33">
        <v>0</v>
      </c>
      <c r="I84" s="33">
        <v>0</v>
      </c>
      <c r="J84" s="33">
        <f t="shared" si="10"/>
        <v>51</v>
      </c>
      <c r="K84" s="33">
        <f t="shared" si="11"/>
        <v>51</v>
      </c>
    </row>
    <row r="85" spans="1:11" ht="12" customHeight="1" x14ac:dyDescent="0.2">
      <c r="A85" s="465">
        <v>1983</v>
      </c>
      <c r="B85" s="31">
        <v>0</v>
      </c>
      <c r="C85" s="33">
        <v>0</v>
      </c>
      <c r="D85" s="33">
        <v>0</v>
      </c>
      <c r="E85" s="33">
        <v>0</v>
      </c>
      <c r="F85" s="33">
        <v>0</v>
      </c>
      <c r="G85" s="33">
        <v>0</v>
      </c>
      <c r="H85" s="33" t="s">
        <v>29</v>
      </c>
      <c r="I85" s="33" t="s">
        <v>29</v>
      </c>
      <c r="J85" s="33">
        <f t="shared" si="10"/>
        <v>0</v>
      </c>
      <c r="K85" s="33">
        <f t="shared" si="11"/>
        <v>0</v>
      </c>
    </row>
    <row r="86" spans="1:11" ht="12" customHeight="1" x14ac:dyDescent="0.2">
      <c r="A86" s="465">
        <v>1985</v>
      </c>
      <c r="B86" s="31">
        <v>0</v>
      </c>
      <c r="C86" s="33">
        <v>4</v>
      </c>
      <c r="D86" s="33">
        <v>30</v>
      </c>
      <c r="E86" s="33">
        <v>294</v>
      </c>
      <c r="F86" s="33">
        <v>17</v>
      </c>
      <c r="G86" s="33">
        <v>0</v>
      </c>
      <c r="H86" s="33" t="s">
        <v>29</v>
      </c>
      <c r="I86" s="33" t="s">
        <v>29</v>
      </c>
      <c r="J86" s="33">
        <f t="shared" si="10"/>
        <v>345</v>
      </c>
      <c r="K86" s="33">
        <f t="shared" si="11"/>
        <v>345</v>
      </c>
    </row>
    <row r="87" spans="1:11" ht="12" customHeight="1" x14ac:dyDescent="0.2">
      <c r="A87" s="465">
        <v>1987</v>
      </c>
      <c r="B87" s="31">
        <v>0</v>
      </c>
      <c r="C87" s="33">
        <v>0</v>
      </c>
      <c r="D87" s="33">
        <v>0</v>
      </c>
      <c r="E87" s="33">
        <v>816</v>
      </c>
      <c r="F87" s="33">
        <v>60</v>
      </c>
      <c r="G87" s="33">
        <v>0</v>
      </c>
      <c r="H87" s="33" t="s">
        <v>29</v>
      </c>
      <c r="I87" s="33" t="s">
        <v>29</v>
      </c>
      <c r="J87" s="33">
        <f t="shared" si="10"/>
        <v>876</v>
      </c>
      <c r="K87" s="33">
        <f t="shared" si="11"/>
        <v>876</v>
      </c>
    </row>
    <row r="88" spans="1:11" ht="12" customHeight="1" x14ac:dyDescent="0.2">
      <c r="A88" s="465">
        <v>1989</v>
      </c>
      <c r="B88" s="31">
        <v>0</v>
      </c>
      <c r="C88" s="33">
        <v>0</v>
      </c>
      <c r="D88" s="33">
        <v>0</v>
      </c>
      <c r="E88" s="33">
        <v>22</v>
      </c>
      <c r="F88" s="33">
        <v>27</v>
      </c>
      <c r="G88" s="33">
        <v>16</v>
      </c>
      <c r="H88" s="33" t="s">
        <v>29</v>
      </c>
      <c r="I88" s="33" t="s">
        <v>29</v>
      </c>
      <c r="J88" s="33">
        <f t="shared" si="10"/>
        <v>65</v>
      </c>
      <c r="K88" s="33">
        <f t="shared" si="11"/>
        <v>65</v>
      </c>
    </row>
    <row r="89" spans="1:11" ht="12" customHeight="1" x14ac:dyDescent="0.2">
      <c r="A89" s="465">
        <v>1991</v>
      </c>
      <c r="B89" s="31">
        <v>0</v>
      </c>
      <c r="C89" s="33">
        <v>0</v>
      </c>
      <c r="D89" s="33">
        <v>0</v>
      </c>
      <c r="E89" s="33">
        <v>0</v>
      </c>
      <c r="F89" s="33">
        <v>4</v>
      </c>
      <c r="G89" s="33">
        <v>0</v>
      </c>
      <c r="H89" s="33" t="s">
        <v>29</v>
      </c>
      <c r="I89" s="33" t="s">
        <v>29</v>
      </c>
      <c r="J89" s="33">
        <f t="shared" si="10"/>
        <v>4</v>
      </c>
      <c r="K89" s="33">
        <f t="shared" si="11"/>
        <v>4</v>
      </c>
    </row>
    <row r="90" spans="1:11" ht="12" customHeight="1" x14ac:dyDescent="0.2">
      <c r="A90" s="465">
        <v>1993</v>
      </c>
      <c r="B90" s="31">
        <v>0</v>
      </c>
      <c r="C90" s="33">
        <v>0</v>
      </c>
      <c r="D90" s="33">
        <v>0</v>
      </c>
      <c r="E90" s="33">
        <v>20</v>
      </c>
      <c r="F90" s="33">
        <v>13</v>
      </c>
      <c r="G90" s="33">
        <v>0</v>
      </c>
      <c r="H90" s="33" t="s">
        <v>29</v>
      </c>
      <c r="I90" s="33" t="s">
        <v>29</v>
      </c>
      <c r="J90" s="33">
        <f t="shared" si="10"/>
        <v>33</v>
      </c>
      <c r="K90" s="33">
        <f t="shared" si="11"/>
        <v>33</v>
      </c>
    </row>
    <row r="91" spans="1:11" ht="12" customHeight="1" x14ac:dyDescent="0.2">
      <c r="A91" s="465">
        <v>1995</v>
      </c>
      <c r="B91" s="31">
        <v>0</v>
      </c>
      <c r="C91" s="33">
        <v>0</v>
      </c>
      <c r="D91" s="33">
        <v>0</v>
      </c>
      <c r="E91" s="33">
        <v>0</v>
      </c>
      <c r="F91" s="33">
        <v>2</v>
      </c>
      <c r="G91" s="33">
        <v>0</v>
      </c>
      <c r="H91" s="33" t="s">
        <v>29</v>
      </c>
      <c r="I91" s="33" t="s">
        <v>29</v>
      </c>
      <c r="J91" s="33">
        <f t="shared" si="10"/>
        <v>2</v>
      </c>
      <c r="K91" s="33">
        <f t="shared" si="11"/>
        <v>2</v>
      </c>
    </row>
    <row r="92" spans="1:11" ht="12" customHeight="1" x14ac:dyDescent="0.2">
      <c r="A92" s="465">
        <v>1997</v>
      </c>
      <c r="B92" s="31">
        <v>0</v>
      </c>
      <c r="C92" s="33">
        <v>0</v>
      </c>
      <c r="D92" s="33">
        <v>0</v>
      </c>
      <c r="E92" s="33">
        <v>0</v>
      </c>
      <c r="F92" s="33">
        <v>0</v>
      </c>
      <c r="G92" s="33">
        <v>0</v>
      </c>
      <c r="H92" s="33" t="s">
        <v>29</v>
      </c>
      <c r="I92" s="33" t="s">
        <v>29</v>
      </c>
      <c r="J92" s="33">
        <f t="shared" si="10"/>
        <v>0</v>
      </c>
      <c r="K92" s="33">
        <f t="shared" si="11"/>
        <v>0</v>
      </c>
    </row>
    <row r="93" spans="1:11" ht="12" customHeight="1" x14ac:dyDescent="0.2">
      <c r="A93" s="465">
        <v>1999</v>
      </c>
      <c r="B93" s="31">
        <v>0</v>
      </c>
      <c r="C93" s="33">
        <v>0</v>
      </c>
      <c r="D93" s="33">
        <v>0</v>
      </c>
      <c r="E93" s="33">
        <v>0</v>
      </c>
      <c r="F93" s="33">
        <v>0</v>
      </c>
      <c r="G93" s="33">
        <v>0</v>
      </c>
      <c r="H93" s="33" t="s">
        <v>29</v>
      </c>
      <c r="I93" s="33" t="s">
        <v>29</v>
      </c>
      <c r="J93" s="33">
        <f t="shared" si="10"/>
        <v>0</v>
      </c>
      <c r="K93" s="33">
        <f t="shared" si="11"/>
        <v>0</v>
      </c>
    </row>
    <row r="94" spans="1:11" ht="12" customHeight="1" x14ac:dyDescent="0.2">
      <c r="A94" s="465">
        <v>2001</v>
      </c>
      <c r="B94" s="31">
        <v>0</v>
      </c>
      <c r="C94" s="33">
        <v>0</v>
      </c>
      <c r="D94" s="33">
        <v>0</v>
      </c>
      <c r="E94" s="33">
        <v>0</v>
      </c>
      <c r="F94" s="33">
        <v>0</v>
      </c>
      <c r="G94" s="33">
        <v>0</v>
      </c>
      <c r="H94" s="33" t="s">
        <v>29</v>
      </c>
      <c r="I94" s="33" t="s">
        <v>29</v>
      </c>
      <c r="J94" s="33">
        <f t="shared" si="10"/>
        <v>0</v>
      </c>
      <c r="K94" s="33">
        <f t="shared" si="11"/>
        <v>0</v>
      </c>
    </row>
    <row r="95" spans="1:11" ht="12" customHeight="1" x14ac:dyDescent="0.2">
      <c r="A95" s="123">
        <v>2003</v>
      </c>
      <c r="B95" s="31">
        <v>0</v>
      </c>
      <c r="C95" s="33">
        <v>0</v>
      </c>
      <c r="D95" s="33">
        <v>0</v>
      </c>
      <c r="E95" s="33">
        <v>0</v>
      </c>
      <c r="F95" s="33">
        <v>0</v>
      </c>
      <c r="G95" s="33">
        <v>0</v>
      </c>
      <c r="H95" s="33" t="s">
        <v>29</v>
      </c>
      <c r="I95" s="33" t="s">
        <v>29</v>
      </c>
      <c r="J95" s="33">
        <f t="shared" si="10"/>
        <v>0</v>
      </c>
      <c r="K95" s="33">
        <f t="shared" si="11"/>
        <v>0</v>
      </c>
    </row>
    <row r="96" spans="1:11" ht="12" customHeight="1" x14ac:dyDescent="0.2">
      <c r="A96" s="466">
        <v>2005</v>
      </c>
      <c r="B96" s="31">
        <v>0</v>
      </c>
      <c r="C96" s="33">
        <v>0</v>
      </c>
      <c r="D96" s="33">
        <v>0</v>
      </c>
      <c r="E96" s="33">
        <v>0</v>
      </c>
      <c r="F96" s="33">
        <v>6</v>
      </c>
      <c r="G96" s="33">
        <v>0</v>
      </c>
      <c r="H96" s="33" t="s">
        <v>29</v>
      </c>
      <c r="I96" s="33" t="s">
        <v>29</v>
      </c>
      <c r="J96" s="33">
        <f t="shared" si="10"/>
        <v>6</v>
      </c>
      <c r="K96" s="33">
        <f t="shared" si="11"/>
        <v>6</v>
      </c>
    </row>
    <row r="97" spans="1:11" s="461" customFormat="1" ht="12" customHeight="1" x14ac:dyDescent="0.2">
      <c r="A97" s="466">
        <v>2007</v>
      </c>
      <c r="B97" s="52">
        <v>0</v>
      </c>
      <c r="C97" s="100">
        <v>0</v>
      </c>
      <c r="D97" s="100">
        <v>0</v>
      </c>
      <c r="E97" s="100">
        <v>0</v>
      </c>
      <c r="F97" s="100">
        <v>0</v>
      </c>
      <c r="G97" s="100">
        <v>0</v>
      </c>
      <c r="H97" s="100" t="s">
        <v>29</v>
      </c>
      <c r="I97" s="100" t="s">
        <v>29</v>
      </c>
      <c r="J97" s="100">
        <f t="shared" si="10"/>
        <v>0</v>
      </c>
      <c r="K97" s="100">
        <f t="shared" si="11"/>
        <v>0</v>
      </c>
    </row>
    <row r="98" spans="1:11" s="461" customFormat="1" ht="12" customHeight="1" x14ac:dyDescent="0.2">
      <c r="A98" s="466">
        <v>2009</v>
      </c>
      <c r="B98" s="52">
        <v>0</v>
      </c>
      <c r="C98" s="100">
        <v>0</v>
      </c>
      <c r="D98" s="100">
        <v>0</v>
      </c>
      <c r="E98" s="100">
        <v>4</v>
      </c>
      <c r="F98" s="100">
        <v>1</v>
      </c>
      <c r="G98" s="100">
        <v>0</v>
      </c>
      <c r="H98" s="100" t="s">
        <v>29</v>
      </c>
      <c r="I98" s="100" t="s">
        <v>29</v>
      </c>
      <c r="J98" s="100">
        <f t="shared" si="10"/>
        <v>5</v>
      </c>
      <c r="K98" s="100">
        <f t="shared" si="11"/>
        <v>5</v>
      </c>
    </row>
    <row r="99" spans="1:11" s="461" customFormat="1" ht="12" customHeight="1" x14ac:dyDescent="0.2">
      <c r="A99" s="466">
        <v>2011</v>
      </c>
      <c r="B99" s="52">
        <v>0</v>
      </c>
      <c r="C99" s="100">
        <v>0</v>
      </c>
      <c r="D99" s="100">
        <v>0</v>
      </c>
      <c r="E99" s="100">
        <v>4</v>
      </c>
      <c r="F99" s="100">
        <v>5</v>
      </c>
      <c r="G99" s="100">
        <v>0</v>
      </c>
      <c r="H99" s="100" t="s">
        <v>29</v>
      </c>
      <c r="I99" s="100" t="s">
        <v>29</v>
      </c>
      <c r="J99" s="100">
        <f t="shared" si="10"/>
        <v>9</v>
      </c>
      <c r="K99" s="100">
        <f t="shared" si="11"/>
        <v>9</v>
      </c>
    </row>
    <row r="100" spans="1:11" s="461" customFormat="1" ht="12" customHeight="1" x14ac:dyDescent="0.2">
      <c r="A100" s="466">
        <v>2013</v>
      </c>
      <c r="B100" s="52">
        <v>0</v>
      </c>
      <c r="C100" s="100">
        <v>0</v>
      </c>
      <c r="D100" s="100">
        <v>0</v>
      </c>
      <c r="E100" s="100">
        <v>0</v>
      </c>
      <c r="F100" s="100">
        <v>0</v>
      </c>
      <c r="G100" s="100">
        <v>0</v>
      </c>
      <c r="H100" s="100" t="s">
        <v>29</v>
      </c>
      <c r="I100" s="100" t="s">
        <v>29</v>
      </c>
      <c r="J100" s="100">
        <f t="shared" si="10"/>
        <v>0</v>
      </c>
      <c r="K100" s="100">
        <f t="shared" si="11"/>
        <v>0</v>
      </c>
    </row>
    <row r="101" spans="1:11" s="461" customFormat="1" ht="12" customHeight="1" x14ac:dyDescent="0.2">
      <c r="A101" s="466">
        <v>2015</v>
      </c>
      <c r="B101" s="52">
        <v>0</v>
      </c>
      <c r="C101" s="100">
        <v>0</v>
      </c>
      <c r="D101" s="100">
        <v>0</v>
      </c>
      <c r="E101" s="100">
        <v>0</v>
      </c>
      <c r="F101" s="100">
        <v>0</v>
      </c>
      <c r="G101" s="100">
        <v>0</v>
      </c>
      <c r="H101" s="100" t="s">
        <v>29</v>
      </c>
      <c r="I101" s="100" t="s">
        <v>29</v>
      </c>
      <c r="J101" s="100">
        <f t="shared" si="10"/>
        <v>0</v>
      </c>
      <c r="K101" s="100">
        <f t="shared" si="11"/>
        <v>0</v>
      </c>
    </row>
    <row r="102" spans="1:11" s="461" customFormat="1" ht="12" customHeight="1" x14ac:dyDescent="0.2">
      <c r="A102" s="466">
        <v>2017</v>
      </c>
      <c r="B102" s="52">
        <v>0</v>
      </c>
      <c r="C102" s="100">
        <v>0</v>
      </c>
      <c r="D102" s="100">
        <v>0</v>
      </c>
      <c r="E102" s="100">
        <v>0</v>
      </c>
      <c r="F102" s="100">
        <v>0</v>
      </c>
      <c r="G102" s="100">
        <v>0</v>
      </c>
      <c r="H102" s="100" t="s">
        <v>29</v>
      </c>
      <c r="I102" s="100" t="s">
        <v>29</v>
      </c>
      <c r="J102" s="100">
        <f>SUM(C102:G102)</f>
        <v>0</v>
      </c>
      <c r="K102" s="100">
        <f>SUM(B102:I102)</f>
        <v>0</v>
      </c>
    </row>
    <row r="103" spans="1:11" s="461" customFormat="1" ht="12" customHeight="1" x14ac:dyDescent="0.2">
      <c r="A103" s="466">
        <v>2019</v>
      </c>
      <c r="B103" s="52">
        <v>0</v>
      </c>
      <c r="C103" s="100">
        <v>0</v>
      </c>
      <c r="D103" s="100">
        <v>0</v>
      </c>
      <c r="E103" s="100">
        <v>0</v>
      </c>
      <c r="F103" s="100">
        <v>0</v>
      </c>
      <c r="G103" s="100">
        <v>0</v>
      </c>
      <c r="H103" s="100" t="s">
        <v>29</v>
      </c>
      <c r="I103" s="100" t="s">
        <v>29</v>
      </c>
      <c r="J103" s="100">
        <f t="shared" si="10"/>
        <v>0</v>
      </c>
      <c r="K103" s="100">
        <f t="shared" si="11"/>
        <v>0</v>
      </c>
    </row>
    <row r="104" spans="1:11" x14ac:dyDescent="0.2">
      <c r="A104" s="466"/>
      <c r="B104" s="31"/>
      <c r="C104" s="33"/>
      <c r="D104" s="33"/>
      <c r="E104" s="33"/>
      <c r="F104" s="33"/>
      <c r="G104" s="33"/>
      <c r="H104" s="33"/>
      <c r="I104" s="33"/>
      <c r="J104" s="33"/>
      <c r="K104" s="33"/>
    </row>
    <row r="105" spans="1:11" x14ac:dyDescent="0.2">
      <c r="C105" s="29"/>
      <c r="D105" s="29"/>
      <c r="E105" s="29"/>
      <c r="F105" s="29"/>
      <c r="G105" s="29"/>
      <c r="H105" s="29"/>
      <c r="I105" s="29"/>
      <c r="J105" s="29"/>
      <c r="K105" s="29"/>
    </row>
    <row r="106" spans="1:11" ht="12" customHeight="1" x14ac:dyDescent="0.2">
      <c r="A106" s="120" t="s">
        <v>41</v>
      </c>
      <c r="B106" s="28"/>
      <c r="C106" s="29"/>
      <c r="D106" s="29"/>
      <c r="E106" s="29"/>
      <c r="F106" s="29"/>
      <c r="G106" s="29"/>
      <c r="H106" s="29"/>
      <c r="I106" s="29"/>
      <c r="J106" s="29"/>
      <c r="K106" s="29"/>
    </row>
    <row r="107" spans="1:11" ht="12" customHeight="1" x14ac:dyDescent="0.2">
      <c r="A107" s="465">
        <v>1977</v>
      </c>
      <c r="B107" s="52">
        <f t="shared" ref="B107:K107" si="12">IF(AND(B82="-",B57="-",B31="-",B5="-"),"-",SUM(B82,B57,B31,B5))</f>
        <v>0</v>
      </c>
      <c r="C107" s="52">
        <f t="shared" si="12"/>
        <v>98</v>
      </c>
      <c r="D107" s="52">
        <f t="shared" si="12"/>
        <v>1433</v>
      </c>
      <c r="E107" s="52">
        <f t="shared" si="12"/>
        <v>1269</v>
      </c>
      <c r="F107" s="52">
        <f t="shared" si="12"/>
        <v>2114</v>
      </c>
      <c r="G107" s="52">
        <f t="shared" si="12"/>
        <v>7</v>
      </c>
      <c r="H107" s="52">
        <f t="shared" si="12"/>
        <v>0</v>
      </c>
      <c r="I107" s="52">
        <f t="shared" si="12"/>
        <v>0</v>
      </c>
      <c r="J107" s="52">
        <f t="shared" si="12"/>
        <v>4921</v>
      </c>
      <c r="K107" s="52">
        <f t="shared" si="12"/>
        <v>4921</v>
      </c>
    </row>
    <row r="108" spans="1:11" ht="12" customHeight="1" x14ac:dyDescent="0.2">
      <c r="A108" s="465">
        <v>1979</v>
      </c>
      <c r="B108" s="52">
        <f t="shared" ref="B108:K108" si="13">IF(AND(B83="-",B58="-",B32="-",B6="-"),"-",SUM(B83,B58,B32,B6))</f>
        <v>1</v>
      </c>
      <c r="C108" s="52">
        <f t="shared" si="13"/>
        <v>0</v>
      </c>
      <c r="D108" s="52">
        <f t="shared" si="13"/>
        <v>1666</v>
      </c>
      <c r="E108" s="52">
        <f t="shared" si="13"/>
        <v>836</v>
      </c>
      <c r="F108" s="52">
        <f t="shared" si="13"/>
        <v>3924</v>
      </c>
      <c r="G108" s="52">
        <f t="shared" si="13"/>
        <v>35</v>
      </c>
      <c r="H108" s="52">
        <f t="shared" si="13"/>
        <v>0</v>
      </c>
      <c r="I108" s="52">
        <f t="shared" si="13"/>
        <v>0</v>
      </c>
      <c r="J108" s="52">
        <f t="shared" si="13"/>
        <v>6461</v>
      </c>
      <c r="K108" s="52">
        <f t="shared" si="13"/>
        <v>6462</v>
      </c>
    </row>
    <row r="109" spans="1:11" ht="12" customHeight="1" x14ac:dyDescent="0.2">
      <c r="A109" s="465">
        <v>1981</v>
      </c>
      <c r="B109" s="52">
        <f t="shared" ref="B109:K109" si="14">IF(AND(B84="-",B59="-",B33="-",B7="-"),"-",SUM(B84,B59,B33,B7))</f>
        <v>0</v>
      </c>
      <c r="C109" s="52">
        <f t="shared" si="14"/>
        <v>90</v>
      </c>
      <c r="D109" s="52">
        <f t="shared" si="14"/>
        <v>210</v>
      </c>
      <c r="E109" s="52">
        <f t="shared" si="14"/>
        <v>1155</v>
      </c>
      <c r="F109" s="52">
        <f t="shared" si="14"/>
        <v>3167</v>
      </c>
      <c r="G109" s="52">
        <f t="shared" si="14"/>
        <v>441</v>
      </c>
      <c r="H109" s="52">
        <f t="shared" si="14"/>
        <v>0</v>
      </c>
      <c r="I109" s="52">
        <f t="shared" si="14"/>
        <v>0</v>
      </c>
      <c r="J109" s="52">
        <f t="shared" si="14"/>
        <v>5063</v>
      </c>
      <c r="K109" s="52">
        <f t="shared" si="14"/>
        <v>5063</v>
      </c>
    </row>
    <row r="110" spans="1:11" ht="12" customHeight="1" x14ac:dyDescent="0.2">
      <c r="A110" s="465">
        <v>1983</v>
      </c>
      <c r="B110" s="52">
        <f t="shared" ref="B110:K110" si="15">IF(AND(B85="-",B60="-",B34="-",B8="-"),"-",SUM(B85,B60,B34,B8))</f>
        <v>0</v>
      </c>
      <c r="C110" s="52">
        <f t="shared" si="15"/>
        <v>1</v>
      </c>
      <c r="D110" s="52">
        <f t="shared" si="15"/>
        <v>37</v>
      </c>
      <c r="E110" s="52">
        <f t="shared" si="15"/>
        <v>1537</v>
      </c>
      <c r="F110" s="52">
        <f t="shared" si="15"/>
        <v>17942</v>
      </c>
      <c r="G110" s="52">
        <f t="shared" si="15"/>
        <v>347</v>
      </c>
      <c r="H110" s="52">
        <f t="shared" si="15"/>
        <v>0</v>
      </c>
      <c r="I110" s="52">
        <f t="shared" si="15"/>
        <v>0</v>
      </c>
      <c r="J110" s="52">
        <f t="shared" si="15"/>
        <v>19864</v>
      </c>
      <c r="K110" s="52">
        <f t="shared" si="15"/>
        <v>19864</v>
      </c>
    </row>
    <row r="111" spans="1:11" ht="12" customHeight="1" x14ac:dyDescent="0.2">
      <c r="A111" s="465">
        <v>1985</v>
      </c>
      <c r="B111" s="52">
        <f t="shared" ref="B111:K111" si="16">IF(AND(B86="-",B61="-",B35="-",B9="-"),"-",SUM(B86,B61,B35,B9))</f>
        <v>0</v>
      </c>
      <c r="C111" s="52">
        <f t="shared" si="16"/>
        <v>4</v>
      </c>
      <c r="D111" s="52">
        <f t="shared" si="16"/>
        <v>395</v>
      </c>
      <c r="E111" s="52">
        <f t="shared" si="16"/>
        <v>3931</v>
      </c>
      <c r="F111" s="52">
        <f t="shared" si="16"/>
        <v>2310</v>
      </c>
      <c r="G111" s="52">
        <f t="shared" si="16"/>
        <v>173</v>
      </c>
      <c r="H111" s="52">
        <f t="shared" si="16"/>
        <v>0</v>
      </c>
      <c r="I111" s="52">
        <f t="shared" si="16"/>
        <v>0</v>
      </c>
      <c r="J111" s="52">
        <f t="shared" si="16"/>
        <v>6813</v>
      </c>
      <c r="K111" s="52">
        <f t="shared" si="16"/>
        <v>6813</v>
      </c>
    </row>
    <row r="112" spans="1:11" ht="12" customHeight="1" x14ac:dyDescent="0.2">
      <c r="A112" s="465">
        <v>1987</v>
      </c>
      <c r="B112" s="52">
        <f t="shared" ref="B112:K112" si="17">IF(AND(B87="-",B62="-",B36="-",B10="-"),"-",SUM(B87,B62,B36,B10))</f>
        <v>0</v>
      </c>
      <c r="C112" s="52">
        <f t="shared" si="17"/>
        <v>4</v>
      </c>
      <c r="D112" s="52">
        <f t="shared" si="17"/>
        <v>0</v>
      </c>
      <c r="E112" s="52">
        <f t="shared" si="17"/>
        <v>10776</v>
      </c>
      <c r="F112" s="52">
        <f t="shared" si="17"/>
        <v>5840</v>
      </c>
      <c r="G112" s="52">
        <f t="shared" si="17"/>
        <v>0</v>
      </c>
      <c r="H112" s="52">
        <f t="shared" si="17"/>
        <v>0</v>
      </c>
      <c r="I112" s="52">
        <f t="shared" si="17"/>
        <v>0</v>
      </c>
      <c r="J112" s="52">
        <f t="shared" si="17"/>
        <v>16620</v>
      </c>
      <c r="K112" s="52">
        <f t="shared" si="17"/>
        <v>16620</v>
      </c>
    </row>
    <row r="113" spans="1:11" ht="12" customHeight="1" x14ac:dyDescent="0.2">
      <c r="A113" s="465">
        <v>1989</v>
      </c>
      <c r="B113" s="52">
        <f t="shared" ref="B113:K113" si="18">IF(AND(B88="-",B63="-",B37="-",B11="-"),"-",SUM(B88,B63,B37,B11))</f>
        <v>0</v>
      </c>
      <c r="C113" s="52">
        <f t="shared" si="18"/>
        <v>6</v>
      </c>
      <c r="D113" s="52">
        <f t="shared" si="18"/>
        <v>20</v>
      </c>
      <c r="E113" s="52">
        <f t="shared" si="18"/>
        <v>7206</v>
      </c>
      <c r="F113" s="52">
        <f t="shared" si="18"/>
        <v>2667</v>
      </c>
      <c r="G113" s="52">
        <f t="shared" si="18"/>
        <v>1182</v>
      </c>
      <c r="H113" s="52">
        <f t="shared" si="18"/>
        <v>0</v>
      </c>
      <c r="I113" s="52">
        <f t="shared" si="18"/>
        <v>0</v>
      </c>
      <c r="J113" s="52">
        <f t="shared" si="18"/>
        <v>11081</v>
      </c>
      <c r="K113" s="52">
        <f t="shared" si="18"/>
        <v>11081</v>
      </c>
    </row>
    <row r="114" spans="1:11" ht="12" customHeight="1" x14ac:dyDescent="0.2">
      <c r="A114" s="465">
        <v>1991</v>
      </c>
      <c r="B114" s="52">
        <f t="shared" ref="B114:K114" si="19">IF(AND(B89="-",B64="-",B38="-",B12="-"),"-",SUM(B89,B64,B38,B12))</f>
        <v>0</v>
      </c>
      <c r="C114" s="52">
        <f t="shared" si="19"/>
        <v>0</v>
      </c>
      <c r="D114" s="52">
        <f t="shared" si="19"/>
        <v>2</v>
      </c>
      <c r="E114" s="52">
        <f t="shared" si="19"/>
        <v>1148</v>
      </c>
      <c r="F114" s="52">
        <f t="shared" si="19"/>
        <v>3356</v>
      </c>
      <c r="G114" s="52">
        <f t="shared" si="19"/>
        <v>0</v>
      </c>
      <c r="H114" s="52">
        <f t="shared" si="19"/>
        <v>0</v>
      </c>
      <c r="I114" s="52">
        <f t="shared" si="19"/>
        <v>0</v>
      </c>
      <c r="J114" s="52">
        <f t="shared" si="19"/>
        <v>4506</v>
      </c>
      <c r="K114" s="52">
        <f t="shared" si="19"/>
        <v>4506</v>
      </c>
    </row>
    <row r="115" spans="1:11" ht="12" customHeight="1" x14ac:dyDescent="0.2">
      <c r="A115" s="465">
        <v>1993</v>
      </c>
      <c r="B115" s="52">
        <f t="shared" ref="B115:K115" si="20">IF(AND(B90="-",B65="-",B39="-",B13="-"),"-",SUM(B90,B65,B39,B13))</f>
        <v>0</v>
      </c>
      <c r="C115" s="52">
        <f t="shared" si="20"/>
        <v>0</v>
      </c>
      <c r="D115" s="52">
        <f t="shared" si="20"/>
        <v>0</v>
      </c>
      <c r="E115" s="52">
        <f t="shared" si="20"/>
        <v>349</v>
      </c>
      <c r="F115" s="52">
        <f t="shared" si="20"/>
        <v>2261</v>
      </c>
      <c r="G115" s="52">
        <f t="shared" si="20"/>
        <v>783</v>
      </c>
      <c r="H115" s="52">
        <f t="shared" si="20"/>
        <v>0</v>
      </c>
      <c r="I115" s="52">
        <f t="shared" si="20"/>
        <v>0</v>
      </c>
      <c r="J115" s="52">
        <f t="shared" si="20"/>
        <v>3393</v>
      </c>
      <c r="K115" s="52">
        <f t="shared" si="20"/>
        <v>3393</v>
      </c>
    </row>
    <row r="116" spans="1:11" ht="12" customHeight="1" x14ac:dyDescent="0.2">
      <c r="A116" s="465">
        <v>1995</v>
      </c>
      <c r="B116" s="52">
        <f t="shared" ref="B116:K116" si="21">IF(AND(B91="-",B66="-",B40="-",B14="-"),"-",SUM(B91,B66,B40,B14))</f>
        <v>0</v>
      </c>
      <c r="C116" s="52">
        <f t="shared" si="21"/>
        <v>0</v>
      </c>
      <c r="D116" s="52">
        <f t="shared" si="21"/>
        <v>0</v>
      </c>
      <c r="E116" s="52">
        <f t="shared" si="21"/>
        <v>0</v>
      </c>
      <c r="F116" s="52">
        <f t="shared" si="21"/>
        <v>10940</v>
      </c>
      <c r="G116" s="52">
        <f t="shared" si="21"/>
        <v>0</v>
      </c>
      <c r="H116" s="52">
        <f t="shared" si="21"/>
        <v>0</v>
      </c>
      <c r="I116" s="52">
        <f t="shared" si="21"/>
        <v>0</v>
      </c>
      <c r="J116" s="52">
        <f t="shared" si="21"/>
        <v>10940</v>
      </c>
      <c r="K116" s="52">
        <f t="shared" si="21"/>
        <v>10940</v>
      </c>
    </row>
    <row r="117" spans="1:11" ht="12" customHeight="1" x14ac:dyDescent="0.2">
      <c r="A117" s="465">
        <v>1997</v>
      </c>
      <c r="B117" s="52">
        <f t="shared" ref="B117:K117" si="22">IF(AND(B92="-",B67="-",B41="-",B15="-"),"-",SUM(B92,B67,B41,B15))</f>
        <v>0</v>
      </c>
      <c r="C117" s="52">
        <f t="shared" si="22"/>
        <v>0</v>
      </c>
      <c r="D117" s="52">
        <f t="shared" si="22"/>
        <v>0</v>
      </c>
      <c r="E117" s="52">
        <f t="shared" si="22"/>
        <v>0</v>
      </c>
      <c r="F117" s="52">
        <f t="shared" si="22"/>
        <v>1757</v>
      </c>
      <c r="G117" s="52">
        <f t="shared" si="22"/>
        <v>53</v>
      </c>
      <c r="H117" s="52" t="str">
        <f t="shared" si="22"/>
        <v>-</v>
      </c>
      <c r="I117" s="52">
        <f t="shared" si="22"/>
        <v>0</v>
      </c>
      <c r="J117" s="52">
        <f t="shared" si="22"/>
        <v>1810</v>
      </c>
      <c r="K117" s="52">
        <f t="shared" si="22"/>
        <v>1810</v>
      </c>
    </row>
    <row r="118" spans="1:11" ht="12" customHeight="1" x14ac:dyDescent="0.2">
      <c r="A118" s="465">
        <v>1999</v>
      </c>
      <c r="B118" s="52">
        <f t="shared" ref="B118:K118" si="23">IF(AND(B93="-",B68="-",B42="-",B16="-"),"-",SUM(B93,B68,B42,B16))</f>
        <v>0</v>
      </c>
      <c r="C118" s="52">
        <f t="shared" si="23"/>
        <v>0</v>
      </c>
      <c r="D118" s="52">
        <f t="shared" si="23"/>
        <v>0</v>
      </c>
      <c r="E118" s="52">
        <f t="shared" si="23"/>
        <v>0</v>
      </c>
      <c r="F118" s="52">
        <f t="shared" si="23"/>
        <v>1388</v>
      </c>
      <c r="G118" s="52">
        <f t="shared" si="23"/>
        <v>108</v>
      </c>
      <c r="H118" s="52" t="str">
        <f t="shared" si="23"/>
        <v>-</v>
      </c>
      <c r="I118" s="52">
        <f t="shared" si="23"/>
        <v>0</v>
      </c>
      <c r="J118" s="52">
        <f t="shared" si="23"/>
        <v>1496</v>
      </c>
      <c r="K118" s="52">
        <f t="shared" si="23"/>
        <v>1496</v>
      </c>
    </row>
    <row r="119" spans="1:11" ht="12" customHeight="1" x14ac:dyDescent="0.2">
      <c r="A119" s="465">
        <v>2001</v>
      </c>
      <c r="B119" s="52">
        <f t="shared" ref="B119:K119" si="24">IF(AND(B94="-",B69="-",B43="-",B17="-"),"-",SUM(B94,B69,B43,B17))</f>
        <v>0</v>
      </c>
      <c r="C119" s="52">
        <f t="shared" si="24"/>
        <v>11</v>
      </c>
      <c r="D119" s="52">
        <f t="shared" si="24"/>
        <v>0</v>
      </c>
      <c r="E119" s="52">
        <f t="shared" si="24"/>
        <v>696</v>
      </c>
      <c r="F119" s="52">
        <f t="shared" si="24"/>
        <v>1537</v>
      </c>
      <c r="G119" s="52">
        <f t="shared" si="24"/>
        <v>207</v>
      </c>
      <c r="H119" s="52" t="str">
        <f t="shared" si="24"/>
        <v>-</v>
      </c>
      <c r="I119" s="52">
        <f t="shared" si="24"/>
        <v>0</v>
      </c>
      <c r="J119" s="52">
        <f t="shared" si="24"/>
        <v>2451</v>
      </c>
      <c r="K119" s="52">
        <f t="shared" si="24"/>
        <v>2451</v>
      </c>
    </row>
    <row r="120" spans="1:11" ht="12" customHeight="1" x14ac:dyDescent="0.2">
      <c r="A120" s="123">
        <v>2003</v>
      </c>
      <c r="B120" s="52">
        <f t="shared" ref="B120:K120" si="25">IF(AND(B95="-",B70="-",B44="-",B18="-"),"-",SUM(B95,B70,B44,B18))</f>
        <v>0</v>
      </c>
      <c r="C120" s="52">
        <f t="shared" si="25"/>
        <v>0</v>
      </c>
      <c r="D120" s="52">
        <f t="shared" si="25"/>
        <v>0</v>
      </c>
      <c r="E120" s="52">
        <f t="shared" si="25"/>
        <v>172</v>
      </c>
      <c r="F120" s="52">
        <f t="shared" si="25"/>
        <v>41</v>
      </c>
      <c r="G120" s="52">
        <f t="shared" si="25"/>
        <v>23</v>
      </c>
      <c r="H120" s="52">
        <f t="shared" si="25"/>
        <v>0</v>
      </c>
      <c r="I120" s="52">
        <f t="shared" si="25"/>
        <v>0</v>
      </c>
      <c r="J120" s="52">
        <f t="shared" si="25"/>
        <v>236</v>
      </c>
      <c r="K120" s="52">
        <f t="shared" si="25"/>
        <v>236</v>
      </c>
    </row>
    <row r="121" spans="1:11" s="461" customFormat="1" ht="12" customHeight="1" x14ac:dyDescent="0.2">
      <c r="A121" s="466">
        <v>2005</v>
      </c>
      <c r="B121" s="52">
        <f t="shared" ref="B121:K121" si="26">IF(AND(B96="-",B71="-",B45="-",B19="-"),"-",SUM(B96,B71,B45,B19))</f>
        <v>0</v>
      </c>
      <c r="C121" s="52">
        <f t="shared" si="26"/>
        <v>0</v>
      </c>
      <c r="D121" s="52">
        <f t="shared" si="26"/>
        <v>0</v>
      </c>
      <c r="E121" s="52">
        <f t="shared" si="26"/>
        <v>186</v>
      </c>
      <c r="F121" s="52">
        <f t="shared" si="26"/>
        <v>198</v>
      </c>
      <c r="G121" s="52">
        <f t="shared" si="26"/>
        <v>3</v>
      </c>
      <c r="H121" s="52">
        <f t="shared" si="26"/>
        <v>0</v>
      </c>
      <c r="I121" s="52">
        <f t="shared" si="26"/>
        <v>0</v>
      </c>
      <c r="J121" s="52">
        <f t="shared" si="26"/>
        <v>387</v>
      </c>
      <c r="K121" s="52">
        <f t="shared" si="26"/>
        <v>387</v>
      </c>
    </row>
    <row r="122" spans="1:11" s="461" customFormat="1" ht="12" customHeight="1" x14ac:dyDescent="0.2">
      <c r="A122" s="466">
        <v>2007</v>
      </c>
      <c r="B122" s="52">
        <f t="shared" ref="B122:K122" si="27">IF(AND(B97="-",B72="-",B46="-",B20="-"),"-",SUM(B97,B72,B46,B20))</f>
        <v>0</v>
      </c>
      <c r="C122" s="52">
        <f t="shared" si="27"/>
        <v>0</v>
      </c>
      <c r="D122" s="52">
        <f t="shared" si="27"/>
        <v>7</v>
      </c>
      <c r="E122" s="52">
        <f t="shared" si="27"/>
        <v>326</v>
      </c>
      <c r="F122" s="52">
        <f t="shared" si="27"/>
        <v>251</v>
      </c>
      <c r="G122" s="52">
        <f t="shared" si="27"/>
        <v>0</v>
      </c>
      <c r="H122" s="52">
        <f t="shared" si="27"/>
        <v>0</v>
      </c>
      <c r="I122" s="52">
        <f t="shared" si="27"/>
        <v>0</v>
      </c>
      <c r="J122" s="52">
        <f t="shared" si="27"/>
        <v>584</v>
      </c>
      <c r="K122" s="52">
        <f t="shared" si="27"/>
        <v>584</v>
      </c>
    </row>
    <row r="123" spans="1:11" s="461" customFormat="1" ht="12" customHeight="1" x14ac:dyDescent="0.2">
      <c r="A123" s="466">
        <v>2009</v>
      </c>
      <c r="B123" s="52">
        <f t="shared" ref="B123:K123" si="28">IF(AND(B98="-",B73="-",B47="-",B21="-"),"-",SUM(B98,B73,B47,B21))</f>
        <v>0</v>
      </c>
      <c r="C123" s="52">
        <f t="shared" si="28"/>
        <v>0</v>
      </c>
      <c r="D123" s="52">
        <f t="shared" si="28"/>
        <v>0</v>
      </c>
      <c r="E123" s="52">
        <f t="shared" si="28"/>
        <v>431</v>
      </c>
      <c r="F123" s="52">
        <f t="shared" si="28"/>
        <v>369</v>
      </c>
      <c r="G123" s="52">
        <f t="shared" si="28"/>
        <v>0</v>
      </c>
      <c r="H123" s="52">
        <f t="shared" si="28"/>
        <v>0</v>
      </c>
      <c r="I123" s="52">
        <f t="shared" si="28"/>
        <v>0</v>
      </c>
      <c r="J123" s="52">
        <f t="shared" si="28"/>
        <v>800</v>
      </c>
      <c r="K123" s="52">
        <f t="shared" si="28"/>
        <v>800</v>
      </c>
    </row>
    <row r="124" spans="1:11" s="461" customFormat="1" ht="12" customHeight="1" x14ac:dyDescent="0.2">
      <c r="A124" s="466">
        <v>2011</v>
      </c>
      <c r="B124" s="52">
        <f t="shared" ref="B124:K124" si="29">IF(AND(B99="-",B74="-",B48="-",B22="-"),"-",SUM(B99,B74,B48,B22))</f>
        <v>0</v>
      </c>
      <c r="C124" s="52">
        <f t="shared" si="29"/>
        <v>0</v>
      </c>
      <c r="D124" s="52">
        <f t="shared" si="29"/>
        <v>6</v>
      </c>
      <c r="E124" s="52">
        <f t="shared" si="29"/>
        <v>718</v>
      </c>
      <c r="F124" s="52">
        <f t="shared" si="29"/>
        <v>334</v>
      </c>
      <c r="G124" s="52">
        <f t="shared" si="29"/>
        <v>16</v>
      </c>
      <c r="H124" s="52">
        <f t="shared" si="29"/>
        <v>0</v>
      </c>
      <c r="I124" s="52">
        <f t="shared" si="29"/>
        <v>0</v>
      </c>
      <c r="J124" s="52">
        <f t="shared" si="29"/>
        <v>1074</v>
      </c>
      <c r="K124" s="52">
        <f t="shared" si="29"/>
        <v>1074</v>
      </c>
    </row>
    <row r="125" spans="1:11" s="461" customFormat="1" ht="12" customHeight="1" x14ac:dyDescent="0.2">
      <c r="A125" s="466">
        <v>2013</v>
      </c>
      <c r="B125" s="52">
        <f t="shared" ref="B125:K125" si="30">IF(AND(B100="-",B75="-",B49="-",B23="-"),"-",SUM(B100,B75,B49,B23))</f>
        <v>0</v>
      </c>
      <c r="C125" s="52">
        <f t="shared" si="30"/>
        <v>0</v>
      </c>
      <c r="D125" s="52">
        <f t="shared" si="30"/>
        <v>0</v>
      </c>
      <c r="E125" s="52">
        <f t="shared" si="30"/>
        <v>89</v>
      </c>
      <c r="F125" s="52">
        <f t="shared" si="30"/>
        <v>120</v>
      </c>
      <c r="G125" s="52">
        <f t="shared" si="30"/>
        <v>0</v>
      </c>
      <c r="H125" s="52">
        <f t="shared" si="30"/>
        <v>0</v>
      </c>
      <c r="I125" s="52">
        <f t="shared" si="30"/>
        <v>0</v>
      </c>
      <c r="J125" s="52">
        <f t="shared" si="30"/>
        <v>209</v>
      </c>
      <c r="K125" s="52">
        <f t="shared" si="30"/>
        <v>209</v>
      </c>
    </row>
    <row r="126" spans="1:11" s="461" customFormat="1" ht="12" customHeight="1" x14ac:dyDescent="0.2">
      <c r="A126" s="466">
        <v>2015</v>
      </c>
      <c r="B126" s="52">
        <f t="shared" ref="B126:K126" si="31">IF(AND(B101="-",B76="-",B50="-",B24="-"),"-",SUM(B101,B76,B50,B24))</f>
        <v>0</v>
      </c>
      <c r="C126" s="52">
        <f t="shared" si="31"/>
        <v>0</v>
      </c>
      <c r="D126" s="52">
        <f t="shared" si="31"/>
        <v>6</v>
      </c>
      <c r="E126" s="52">
        <f t="shared" si="31"/>
        <v>98</v>
      </c>
      <c r="F126" s="52">
        <f t="shared" si="31"/>
        <v>18</v>
      </c>
      <c r="G126" s="52">
        <f t="shared" si="31"/>
        <v>0</v>
      </c>
      <c r="H126" s="52">
        <f t="shared" si="31"/>
        <v>0</v>
      </c>
      <c r="I126" s="52">
        <f t="shared" si="31"/>
        <v>0</v>
      </c>
      <c r="J126" s="52">
        <f t="shared" si="31"/>
        <v>122</v>
      </c>
      <c r="K126" s="52">
        <f t="shared" si="31"/>
        <v>122</v>
      </c>
    </row>
    <row r="127" spans="1:11" s="461" customFormat="1" ht="12" customHeight="1" x14ac:dyDescent="0.2">
      <c r="A127" s="466">
        <v>2017</v>
      </c>
      <c r="B127" s="52">
        <f t="shared" ref="B127:K127" si="32">IF(AND(B102="-",B77="-",B51="-",B25="-"),"-",SUM(B102,B77,B51,B25))</f>
        <v>0</v>
      </c>
      <c r="C127" s="52">
        <f t="shared" si="32"/>
        <v>0</v>
      </c>
      <c r="D127" s="52">
        <f t="shared" si="32"/>
        <v>0</v>
      </c>
      <c r="E127" s="52">
        <f t="shared" si="32"/>
        <v>61</v>
      </c>
      <c r="F127" s="52">
        <f t="shared" si="32"/>
        <v>134</v>
      </c>
      <c r="G127" s="52">
        <f t="shared" si="32"/>
        <v>0</v>
      </c>
      <c r="H127" s="52">
        <f t="shared" si="32"/>
        <v>0</v>
      </c>
      <c r="I127" s="52">
        <f t="shared" si="32"/>
        <v>0</v>
      </c>
      <c r="J127" s="52">
        <f t="shared" si="32"/>
        <v>195</v>
      </c>
      <c r="K127" s="52">
        <f t="shared" si="32"/>
        <v>195</v>
      </c>
    </row>
    <row r="128" spans="1:11" s="461" customFormat="1" ht="12" customHeight="1" x14ac:dyDescent="0.2">
      <c r="A128" s="466">
        <v>2019</v>
      </c>
      <c r="B128" s="52">
        <f t="shared" ref="B128:K128" si="33">IF(AND(B103="-",B78="-",B52="-",B26="-"),"-",SUM(B103,B78,B52,B26))</f>
        <v>0</v>
      </c>
      <c r="C128" s="52">
        <f t="shared" si="33"/>
        <v>0</v>
      </c>
      <c r="D128" s="52">
        <f t="shared" si="33"/>
        <v>0</v>
      </c>
      <c r="E128" s="52">
        <f>IF(AND(E103="-",E78="-",E52="-",E26="-"),"-",SUM(E103,E78,E52,E26))</f>
        <v>243</v>
      </c>
      <c r="F128" s="52">
        <f t="shared" si="33"/>
        <v>270</v>
      </c>
      <c r="G128" s="52">
        <f t="shared" si="33"/>
        <v>0</v>
      </c>
      <c r="H128" s="52">
        <f t="shared" si="33"/>
        <v>0</v>
      </c>
      <c r="I128" s="52">
        <f t="shared" si="33"/>
        <v>0</v>
      </c>
      <c r="J128" s="52">
        <f t="shared" si="33"/>
        <v>513</v>
      </c>
      <c r="K128" s="52">
        <f t="shared" si="33"/>
        <v>513</v>
      </c>
    </row>
    <row r="129" spans="1:11" ht="12" customHeight="1" x14ac:dyDescent="0.2">
      <c r="A129" s="591" t="s">
        <v>120</v>
      </c>
      <c r="B129" s="591"/>
      <c r="C129" s="591"/>
      <c r="D129" s="591"/>
      <c r="E129" s="591"/>
      <c r="F129" s="591"/>
      <c r="G129" s="591"/>
      <c r="H129" s="591"/>
      <c r="I129" s="591"/>
      <c r="J129" s="591"/>
      <c r="K129" s="591"/>
    </row>
    <row r="130" spans="1:11" ht="12" customHeight="1" x14ac:dyDescent="0.2">
      <c r="A130" s="593"/>
      <c r="B130" s="593"/>
      <c r="C130" s="593"/>
      <c r="D130" s="593"/>
      <c r="E130" s="593"/>
      <c r="F130" s="593"/>
      <c r="G130" s="593"/>
      <c r="H130" s="593"/>
      <c r="I130" s="593"/>
      <c r="J130" s="593"/>
      <c r="K130" s="593"/>
    </row>
    <row r="131" spans="1:11" ht="12" customHeight="1" x14ac:dyDescent="0.2"/>
    <row r="132" spans="1:11" ht="12" customHeight="1" x14ac:dyDescent="0.2"/>
    <row r="133" spans="1:11" s="310" customFormat="1" ht="12" customHeight="1" x14ac:dyDescent="0.2">
      <c r="A133" s="240"/>
      <c r="B133" s="242"/>
      <c r="C133" s="242"/>
      <c r="D133" s="242"/>
      <c r="E133" s="242"/>
      <c r="F133" s="242"/>
      <c r="G133" s="242"/>
      <c r="H133" s="242"/>
      <c r="I133" s="242"/>
      <c r="J133" s="242"/>
      <c r="K133" s="242"/>
    </row>
    <row r="134" spans="1:11" ht="12" customHeight="1" x14ac:dyDescent="0.2"/>
    <row r="135" spans="1:11" ht="12" customHeight="1" x14ac:dyDescent="0.2"/>
    <row r="136" spans="1:11" ht="12" customHeight="1" x14ac:dyDescent="0.2"/>
    <row r="137" spans="1:11" ht="12" customHeight="1" x14ac:dyDescent="0.2"/>
    <row r="138" spans="1:11" ht="12" customHeight="1" x14ac:dyDescent="0.2"/>
    <row r="139" spans="1:11" ht="12" customHeight="1" x14ac:dyDescent="0.2"/>
    <row r="140" spans="1:11" ht="12" customHeight="1" x14ac:dyDescent="0.2"/>
    <row r="141" spans="1:11" ht="12" customHeight="1" x14ac:dyDescent="0.2">
      <c r="A141" s="572" t="s">
        <v>19</v>
      </c>
      <c r="B141" s="572"/>
      <c r="C141" s="572"/>
      <c r="D141" s="572"/>
      <c r="E141" s="572"/>
      <c r="F141" s="572"/>
      <c r="G141" s="572"/>
      <c r="H141" s="572"/>
      <c r="I141" s="572"/>
      <c r="J141" s="572"/>
      <c r="K141" s="572"/>
    </row>
    <row r="142" spans="1:11" ht="12" customHeight="1" x14ac:dyDescent="0.2">
      <c r="A142" s="572"/>
      <c r="B142" s="572"/>
      <c r="C142" s="572"/>
      <c r="D142" s="572"/>
      <c r="E142" s="572"/>
      <c r="F142" s="572"/>
      <c r="G142" s="572"/>
      <c r="H142" s="572"/>
      <c r="I142" s="572"/>
      <c r="J142" s="572"/>
      <c r="K142" s="572"/>
    </row>
    <row r="143" spans="1:11" ht="12" customHeight="1" x14ac:dyDescent="0.2">
      <c r="A143" s="585" t="s">
        <v>288</v>
      </c>
      <c r="B143" s="453"/>
      <c r="C143" s="453"/>
      <c r="D143" s="453"/>
      <c r="E143" s="453"/>
      <c r="F143" s="453"/>
      <c r="G143" s="453"/>
      <c r="H143" s="453"/>
      <c r="I143" s="453"/>
      <c r="J143" s="587" t="s">
        <v>61</v>
      </c>
      <c r="K143" s="587"/>
    </row>
    <row r="144" spans="1:11" ht="12" customHeight="1" x14ac:dyDescent="0.2">
      <c r="A144" s="589"/>
      <c r="B144" s="464" t="s">
        <v>71</v>
      </c>
      <c r="C144" s="464" t="s">
        <v>35</v>
      </c>
      <c r="D144" s="464" t="s">
        <v>36</v>
      </c>
      <c r="E144" s="464" t="s">
        <v>37</v>
      </c>
      <c r="F144" s="464" t="s">
        <v>38</v>
      </c>
      <c r="G144" s="464" t="s">
        <v>39</v>
      </c>
      <c r="H144" s="464" t="s">
        <v>40</v>
      </c>
      <c r="I144" s="464" t="s">
        <v>73</v>
      </c>
      <c r="J144" s="464" t="s">
        <v>74</v>
      </c>
      <c r="K144" s="464" t="s">
        <v>52</v>
      </c>
    </row>
    <row r="145" spans="1:11" ht="12" customHeight="1" x14ac:dyDescent="0.2">
      <c r="A145" s="159" t="s">
        <v>72</v>
      </c>
      <c r="B145" s="478"/>
      <c r="C145" s="197"/>
      <c r="D145" s="197"/>
      <c r="E145" s="197"/>
      <c r="F145" s="197"/>
      <c r="G145" s="197"/>
      <c r="H145" s="197"/>
      <c r="I145" s="197"/>
      <c r="J145" s="197"/>
      <c r="K145" s="197"/>
    </row>
    <row r="146" spans="1:11" ht="12" customHeight="1" x14ac:dyDescent="0.2">
      <c r="A146" s="466" t="s">
        <v>30</v>
      </c>
      <c r="B146" s="197">
        <f t="shared" ref="B146:K146" si="34">AVERAGE(B7,B8,B9)</f>
        <v>0</v>
      </c>
      <c r="C146" s="197">
        <f t="shared" si="34"/>
        <v>23</v>
      </c>
      <c r="D146" s="197">
        <f t="shared" si="34"/>
        <v>1.6666666666666667</v>
      </c>
      <c r="E146" s="197">
        <f t="shared" si="34"/>
        <v>108</v>
      </c>
      <c r="F146" s="197">
        <f t="shared" si="34"/>
        <v>698.33333333333337</v>
      </c>
      <c r="G146" s="197">
        <f t="shared" si="34"/>
        <v>7</v>
      </c>
      <c r="H146" s="197">
        <f t="shared" si="34"/>
        <v>0</v>
      </c>
      <c r="I146" s="197">
        <f t="shared" si="34"/>
        <v>0</v>
      </c>
      <c r="J146" s="197">
        <f t="shared" si="34"/>
        <v>838</v>
      </c>
      <c r="K146" s="197">
        <f t="shared" si="34"/>
        <v>838</v>
      </c>
    </row>
    <row r="147" spans="1:11" ht="12" customHeight="1" x14ac:dyDescent="0.2">
      <c r="A147" s="466" t="s">
        <v>119</v>
      </c>
      <c r="B147" s="197">
        <f t="shared" ref="B147:K147" si="35">AVERAGE(B10,B11)</f>
        <v>0</v>
      </c>
      <c r="C147" s="197">
        <f t="shared" si="35"/>
        <v>0</v>
      </c>
      <c r="D147" s="197">
        <f t="shared" si="35"/>
        <v>0</v>
      </c>
      <c r="E147" s="197">
        <f t="shared" si="35"/>
        <v>1394.5</v>
      </c>
      <c r="F147" s="197">
        <f t="shared" si="35"/>
        <v>642.5</v>
      </c>
      <c r="G147" s="197">
        <f t="shared" si="35"/>
        <v>141.5</v>
      </c>
      <c r="H147" s="197">
        <f t="shared" si="35"/>
        <v>0</v>
      </c>
      <c r="I147" s="197">
        <f t="shared" si="35"/>
        <v>0</v>
      </c>
      <c r="J147" s="197">
        <f t="shared" si="35"/>
        <v>2178.5</v>
      </c>
      <c r="K147" s="197">
        <f t="shared" si="35"/>
        <v>2178.5</v>
      </c>
    </row>
    <row r="148" spans="1:11" ht="12" customHeight="1" x14ac:dyDescent="0.2">
      <c r="A148" s="466" t="s">
        <v>14</v>
      </c>
      <c r="B148" s="197">
        <f t="shared" ref="B148:K148" si="36">AVERAGE(B12,B13,B14)</f>
        <v>0</v>
      </c>
      <c r="C148" s="197">
        <f t="shared" si="36"/>
        <v>0</v>
      </c>
      <c r="D148" s="197">
        <f t="shared" si="36"/>
        <v>0</v>
      </c>
      <c r="E148" s="197">
        <f t="shared" si="36"/>
        <v>42.666666666666664</v>
      </c>
      <c r="F148" s="197">
        <f t="shared" si="36"/>
        <v>1233.3333333333333</v>
      </c>
      <c r="G148" s="197">
        <f t="shared" si="36"/>
        <v>1.6666666666666667</v>
      </c>
      <c r="H148" s="197">
        <f t="shared" si="36"/>
        <v>0</v>
      </c>
      <c r="I148" s="197">
        <f t="shared" si="36"/>
        <v>0</v>
      </c>
      <c r="J148" s="197">
        <f t="shared" si="36"/>
        <v>1277.6666666666667</v>
      </c>
      <c r="K148" s="197">
        <f t="shared" si="36"/>
        <v>1277.6666666666667</v>
      </c>
    </row>
    <row r="149" spans="1:11" ht="12" customHeight="1" x14ac:dyDescent="0.2">
      <c r="A149" s="466" t="s">
        <v>212</v>
      </c>
      <c r="B149" s="197">
        <f t="shared" ref="B149:G149" si="37">AVERAGE(B15,B16)</f>
        <v>0</v>
      </c>
      <c r="C149" s="197">
        <f t="shared" si="37"/>
        <v>0</v>
      </c>
      <c r="D149" s="197">
        <f t="shared" si="37"/>
        <v>0</v>
      </c>
      <c r="E149" s="197">
        <f t="shared" si="37"/>
        <v>0</v>
      </c>
      <c r="F149" s="197">
        <f t="shared" si="37"/>
        <v>550</v>
      </c>
      <c r="G149" s="197">
        <f t="shared" si="37"/>
        <v>7</v>
      </c>
      <c r="H149" s="197" t="s">
        <v>29</v>
      </c>
      <c r="I149" s="197">
        <f>AVERAGE(I15,I16)</f>
        <v>0</v>
      </c>
      <c r="J149" s="197">
        <f>AVERAGE(J15,J16)</f>
        <v>557</v>
      </c>
      <c r="K149" s="197">
        <f>AVERAGE(K15,K16)</f>
        <v>557</v>
      </c>
    </row>
    <row r="150" spans="1:11" ht="12" customHeight="1" x14ac:dyDescent="0.2">
      <c r="A150" s="466">
        <v>2001</v>
      </c>
      <c r="B150" s="197">
        <f t="shared" ref="B150:K150" si="38">B17</f>
        <v>0</v>
      </c>
      <c r="C150" s="197">
        <f t="shared" si="38"/>
        <v>0</v>
      </c>
      <c r="D150" s="197">
        <f t="shared" si="38"/>
        <v>0</v>
      </c>
      <c r="E150" s="197">
        <f t="shared" si="38"/>
        <v>504</v>
      </c>
      <c r="F150" s="197">
        <f t="shared" si="38"/>
        <v>334</v>
      </c>
      <c r="G150" s="197">
        <f t="shared" si="38"/>
        <v>15</v>
      </c>
      <c r="H150" s="197" t="str">
        <f t="shared" si="38"/>
        <v>-</v>
      </c>
      <c r="I150" s="197">
        <f t="shared" si="38"/>
        <v>0</v>
      </c>
      <c r="J150" s="197">
        <f t="shared" si="38"/>
        <v>853</v>
      </c>
      <c r="K150" s="197">
        <f t="shared" si="38"/>
        <v>853</v>
      </c>
    </row>
    <row r="151" spans="1:11" ht="12" customHeight="1" x14ac:dyDescent="0.2">
      <c r="A151" s="122">
        <v>2003</v>
      </c>
      <c r="B151" s="197">
        <f t="shared" ref="B151:K151" si="39">B18</f>
        <v>0</v>
      </c>
      <c r="C151" s="197">
        <f t="shared" si="39"/>
        <v>0</v>
      </c>
      <c r="D151" s="197">
        <f t="shared" si="39"/>
        <v>0</v>
      </c>
      <c r="E151" s="197">
        <f t="shared" si="39"/>
        <v>0</v>
      </c>
      <c r="F151" s="197">
        <f t="shared" si="39"/>
        <v>0</v>
      </c>
      <c r="G151" s="197">
        <f t="shared" si="39"/>
        <v>0</v>
      </c>
      <c r="H151" s="197" t="str">
        <f t="shared" si="39"/>
        <v>-</v>
      </c>
      <c r="I151" s="197">
        <f t="shared" si="39"/>
        <v>0</v>
      </c>
      <c r="J151" s="197">
        <f t="shared" si="39"/>
        <v>0</v>
      </c>
      <c r="K151" s="197">
        <f t="shared" si="39"/>
        <v>0</v>
      </c>
    </row>
    <row r="152" spans="1:11" ht="12" customHeight="1" x14ac:dyDescent="0.2">
      <c r="A152" s="466">
        <v>2005</v>
      </c>
      <c r="B152" s="197">
        <f t="shared" ref="B152:K152" si="40">B19</f>
        <v>0</v>
      </c>
      <c r="C152" s="197">
        <f t="shared" si="40"/>
        <v>0</v>
      </c>
      <c r="D152" s="197">
        <f t="shared" si="40"/>
        <v>0</v>
      </c>
      <c r="E152" s="197">
        <f t="shared" si="40"/>
        <v>154</v>
      </c>
      <c r="F152" s="197">
        <f t="shared" si="40"/>
        <v>88</v>
      </c>
      <c r="G152" s="197">
        <f t="shared" si="40"/>
        <v>0</v>
      </c>
      <c r="H152" s="197" t="str">
        <f t="shared" si="40"/>
        <v>-</v>
      </c>
      <c r="I152" s="197">
        <f t="shared" si="40"/>
        <v>0</v>
      </c>
      <c r="J152" s="197">
        <f t="shared" si="40"/>
        <v>242</v>
      </c>
      <c r="K152" s="197">
        <f t="shared" si="40"/>
        <v>242</v>
      </c>
    </row>
    <row r="153" spans="1:11" s="461" customFormat="1" ht="12" customHeight="1" x14ac:dyDescent="0.2">
      <c r="A153" s="466">
        <v>2007</v>
      </c>
      <c r="B153" s="197">
        <f t="shared" ref="B153:K153" si="41">B20</f>
        <v>0</v>
      </c>
      <c r="C153" s="197">
        <f t="shared" si="41"/>
        <v>0</v>
      </c>
      <c r="D153" s="197">
        <f t="shared" si="41"/>
        <v>0</v>
      </c>
      <c r="E153" s="197">
        <f t="shared" si="41"/>
        <v>82</v>
      </c>
      <c r="F153" s="197">
        <f t="shared" si="41"/>
        <v>141</v>
      </c>
      <c r="G153" s="197">
        <f t="shared" si="41"/>
        <v>0</v>
      </c>
      <c r="H153" s="197" t="str">
        <f t="shared" si="41"/>
        <v>-</v>
      </c>
      <c r="I153" s="197">
        <f t="shared" si="41"/>
        <v>0</v>
      </c>
      <c r="J153" s="197">
        <f t="shared" si="41"/>
        <v>223</v>
      </c>
      <c r="K153" s="197">
        <f t="shared" si="41"/>
        <v>223</v>
      </c>
    </row>
    <row r="154" spans="1:11" s="461" customFormat="1" ht="12" customHeight="1" x14ac:dyDescent="0.2">
      <c r="A154" s="466">
        <v>2009</v>
      </c>
      <c r="B154" s="197">
        <f t="shared" ref="B154:K154" si="42">B21</f>
        <v>0</v>
      </c>
      <c r="C154" s="197">
        <f t="shared" si="42"/>
        <v>0</v>
      </c>
      <c r="D154" s="197">
        <f t="shared" si="42"/>
        <v>0</v>
      </c>
      <c r="E154" s="197">
        <f t="shared" si="42"/>
        <v>189</v>
      </c>
      <c r="F154" s="197">
        <f t="shared" si="42"/>
        <v>219</v>
      </c>
      <c r="G154" s="197">
        <f t="shared" si="42"/>
        <v>0</v>
      </c>
      <c r="H154" s="197" t="str">
        <f t="shared" si="42"/>
        <v>-</v>
      </c>
      <c r="I154" s="197">
        <f t="shared" si="42"/>
        <v>0</v>
      </c>
      <c r="J154" s="197">
        <f t="shared" si="42"/>
        <v>408</v>
      </c>
      <c r="K154" s="197">
        <f t="shared" si="42"/>
        <v>408</v>
      </c>
    </row>
    <row r="155" spans="1:11" s="461" customFormat="1" ht="12" customHeight="1" x14ac:dyDescent="0.2">
      <c r="A155" s="466">
        <v>2011</v>
      </c>
      <c r="B155" s="197">
        <f t="shared" ref="B155:K155" si="43">B22</f>
        <v>0</v>
      </c>
      <c r="C155" s="197">
        <f t="shared" si="43"/>
        <v>0</v>
      </c>
      <c r="D155" s="197">
        <f t="shared" si="43"/>
        <v>3</v>
      </c>
      <c r="E155" s="197">
        <f t="shared" si="43"/>
        <v>55</v>
      </c>
      <c r="F155" s="197">
        <f t="shared" si="43"/>
        <v>15</v>
      </c>
      <c r="G155" s="197">
        <f t="shared" si="43"/>
        <v>0</v>
      </c>
      <c r="H155" s="197" t="str">
        <f t="shared" si="43"/>
        <v>-</v>
      </c>
      <c r="I155" s="197">
        <f t="shared" si="43"/>
        <v>0</v>
      </c>
      <c r="J155" s="197">
        <f t="shared" si="43"/>
        <v>73</v>
      </c>
      <c r="K155" s="197">
        <f t="shared" si="43"/>
        <v>73</v>
      </c>
    </row>
    <row r="156" spans="1:11" s="461" customFormat="1" ht="12" customHeight="1" x14ac:dyDescent="0.2">
      <c r="A156" s="466">
        <v>2013</v>
      </c>
      <c r="B156" s="197">
        <f t="shared" ref="B156:K156" si="44">B23</f>
        <v>0</v>
      </c>
      <c r="C156" s="197">
        <f t="shared" si="44"/>
        <v>0</v>
      </c>
      <c r="D156" s="197">
        <f t="shared" si="44"/>
        <v>0</v>
      </c>
      <c r="E156" s="197">
        <f t="shared" si="44"/>
        <v>39</v>
      </c>
      <c r="F156" s="197">
        <f t="shared" si="44"/>
        <v>0</v>
      </c>
      <c r="G156" s="197">
        <f t="shared" si="44"/>
        <v>0</v>
      </c>
      <c r="H156" s="197" t="str">
        <f t="shared" si="44"/>
        <v>-</v>
      </c>
      <c r="I156" s="197">
        <f t="shared" si="44"/>
        <v>0</v>
      </c>
      <c r="J156" s="197">
        <f t="shared" si="44"/>
        <v>39</v>
      </c>
      <c r="K156" s="197">
        <f t="shared" si="44"/>
        <v>39</v>
      </c>
    </row>
    <row r="157" spans="1:11" s="461" customFormat="1" ht="12" customHeight="1" x14ac:dyDescent="0.2">
      <c r="A157" s="466">
        <v>2015</v>
      </c>
      <c r="B157" s="197">
        <f t="shared" ref="B157:K157" si="45">B24</f>
        <v>0</v>
      </c>
      <c r="C157" s="197">
        <f t="shared" si="45"/>
        <v>0</v>
      </c>
      <c r="D157" s="197">
        <f t="shared" si="45"/>
        <v>2</v>
      </c>
      <c r="E157" s="197">
        <f t="shared" si="45"/>
        <v>0</v>
      </c>
      <c r="F157" s="197">
        <f t="shared" si="45"/>
        <v>2</v>
      </c>
      <c r="G157" s="197">
        <f t="shared" si="45"/>
        <v>0</v>
      </c>
      <c r="H157" s="197" t="str">
        <f t="shared" si="45"/>
        <v>-</v>
      </c>
      <c r="I157" s="197">
        <f t="shared" si="45"/>
        <v>0</v>
      </c>
      <c r="J157" s="197">
        <f t="shared" si="45"/>
        <v>4</v>
      </c>
      <c r="K157" s="197">
        <f t="shared" si="45"/>
        <v>4</v>
      </c>
    </row>
    <row r="158" spans="1:11" s="461" customFormat="1" x14ac:dyDescent="0.2">
      <c r="A158" s="466">
        <v>2017</v>
      </c>
      <c r="B158" s="197">
        <f t="shared" ref="B158:K158" si="46">B25</f>
        <v>0</v>
      </c>
      <c r="C158" s="197">
        <f t="shared" si="46"/>
        <v>0</v>
      </c>
      <c r="D158" s="197">
        <f t="shared" si="46"/>
        <v>0</v>
      </c>
      <c r="E158" s="197">
        <f t="shared" si="46"/>
        <v>1</v>
      </c>
      <c r="F158" s="197">
        <f t="shared" si="46"/>
        <v>1</v>
      </c>
      <c r="G158" s="197">
        <f t="shared" si="46"/>
        <v>0</v>
      </c>
      <c r="H158" s="197" t="str">
        <f t="shared" si="46"/>
        <v>-</v>
      </c>
      <c r="I158" s="197">
        <f t="shared" si="46"/>
        <v>0</v>
      </c>
      <c r="J158" s="197">
        <f t="shared" si="46"/>
        <v>2</v>
      </c>
      <c r="K158" s="197">
        <f t="shared" si="46"/>
        <v>2</v>
      </c>
    </row>
    <row r="159" spans="1:11" s="461" customFormat="1" x14ac:dyDescent="0.2">
      <c r="A159" s="466">
        <v>2019</v>
      </c>
      <c r="B159" s="197">
        <f t="shared" ref="B159:K159" si="47">B27</f>
        <v>0</v>
      </c>
      <c r="C159" s="197">
        <f t="shared" si="47"/>
        <v>0</v>
      </c>
      <c r="D159" s="197">
        <f t="shared" si="47"/>
        <v>0</v>
      </c>
      <c r="E159" s="197">
        <f t="shared" si="47"/>
        <v>0</v>
      </c>
      <c r="F159" s="197">
        <f t="shared" si="47"/>
        <v>0</v>
      </c>
      <c r="G159" s="197">
        <f t="shared" si="47"/>
        <v>0</v>
      </c>
      <c r="H159" s="197">
        <f t="shared" si="47"/>
        <v>0</v>
      </c>
      <c r="I159" s="197">
        <f t="shared" si="47"/>
        <v>0</v>
      </c>
      <c r="J159" s="197">
        <f t="shared" si="47"/>
        <v>0</v>
      </c>
      <c r="K159" s="197">
        <f t="shared" si="47"/>
        <v>0</v>
      </c>
    </row>
    <row r="160" spans="1:11" x14ac:dyDescent="0.2">
      <c r="A160" s="466"/>
      <c r="B160" s="197"/>
      <c r="C160" s="197"/>
      <c r="D160" s="197"/>
      <c r="E160" s="197"/>
      <c r="F160" s="197"/>
      <c r="G160" s="197"/>
      <c r="H160" s="197"/>
      <c r="I160" s="197"/>
      <c r="J160" s="197"/>
      <c r="K160" s="197"/>
    </row>
    <row r="161" spans="1:11" x14ac:dyDescent="0.2">
      <c r="A161" s="466"/>
      <c r="B161" s="197"/>
      <c r="C161" s="197"/>
      <c r="D161" s="197"/>
      <c r="E161" s="197"/>
      <c r="F161" s="197"/>
      <c r="G161" s="197"/>
      <c r="H161" s="197"/>
      <c r="I161" s="197"/>
      <c r="J161" s="197"/>
      <c r="K161" s="197"/>
    </row>
    <row r="162" spans="1:11" x14ac:dyDescent="0.2">
      <c r="A162" s="159" t="s">
        <v>65</v>
      </c>
      <c r="B162" s="197"/>
      <c r="C162" s="197"/>
      <c r="D162" s="197"/>
      <c r="E162" s="197"/>
      <c r="F162" s="197"/>
      <c r="G162" s="197"/>
      <c r="H162" s="197"/>
      <c r="I162" s="197"/>
      <c r="J162" s="197"/>
      <c r="K162" s="197"/>
    </row>
    <row r="163" spans="1:11" ht="12" customHeight="1" x14ac:dyDescent="0.2">
      <c r="A163" s="466" t="s">
        <v>30</v>
      </c>
      <c r="B163" s="197">
        <f t="shared" ref="B163:K163" si="48">AVERAGE(B33,B34,B35)</f>
        <v>0</v>
      </c>
      <c r="C163" s="197">
        <f t="shared" si="48"/>
        <v>0</v>
      </c>
      <c r="D163" s="197">
        <f t="shared" si="48"/>
        <v>94</v>
      </c>
      <c r="E163" s="197">
        <f t="shared" si="48"/>
        <v>1339.6666666666667</v>
      </c>
      <c r="F163" s="197">
        <f t="shared" si="48"/>
        <v>6684</v>
      </c>
      <c r="G163" s="197">
        <f t="shared" si="48"/>
        <v>301.66666666666669</v>
      </c>
      <c r="H163" s="197">
        <f t="shared" si="48"/>
        <v>0</v>
      </c>
      <c r="I163" s="197">
        <f t="shared" si="48"/>
        <v>0</v>
      </c>
      <c r="J163" s="197">
        <f t="shared" si="48"/>
        <v>8419.3333333333339</v>
      </c>
      <c r="K163" s="197">
        <f t="shared" si="48"/>
        <v>8419.3333333333339</v>
      </c>
    </row>
    <row r="164" spans="1:11" ht="12" customHeight="1" x14ac:dyDescent="0.2">
      <c r="A164" s="466" t="s">
        <v>119</v>
      </c>
      <c r="B164" s="197">
        <f t="shared" ref="B164:K164" si="49">AVERAGE(B36,B37)</f>
        <v>0</v>
      </c>
      <c r="C164" s="197">
        <f t="shared" si="49"/>
        <v>2</v>
      </c>
      <c r="D164" s="197">
        <f t="shared" si="49"/>
        <v>4</v>
      </c>
      <c r="E164" s="197">
        <f t="shared" si="49"/>
        <v>6552.5</v>
      </c>
      <c r="F164" s="197">
        <f t="shared" si="49"/>
        <v>2901</v>
      </c>
      <c r="G164" s="197">
        <f t="shared" si="49"/>
        <v>377</v>
      </c>
      <c r="H164" s="197">
        <f t="shared" si="49"/>
        <v>0</v>
      </c>
      <c r="I164" s="197">
        <f t="shared" si="49"/>
        <v>0</v>
      </c>
      <c r="J164" s="197">
        <f t="shared" si="49"/>
        <v>9836.5</v>
      </c>
      <c r="K164" s="197">
        <f t="shared" si="49"/>
        <v>9836.5</v>
      </c>
    </row>
    <row r="165" spans="1:11" ht="12" customHeight="1" x14ac:dyDescent="0.2">
      <c r="A165" s="466" t="s">
        <v>14</v>
      </c>
      <c r="B165" s="197">
        <f t="shared" ref="B165:K165" si="50">AVERAGE(B38,B39,B40)</f>
        <v>0</v>
      </c>
      <c r="C165" s="197">
        <f t="shared" si="50"/>
        <v>0</v>
      </c>
      <c r="D165" s="197">
        <f t="shared" si="50"/>
        <v>0.66666666666666663</v>
      </c>
      <c r="E165" s="197">
        <f t="shared" si="50"/>
        <v>384.66666666666669</v>
      </c>
      <c r="F165" s="197">
        <f t="shared" si="50"/>
        <v>4002</v>
      </c>
      <c r="G165" s="197">
        <f t="shared" si="50"/>
        <v>249</v>
      </c>
      <c r="H165" s="197">
        <f t="shared" si="50"/>
        <v>0</v>
      </c>
      <c r="I165" s="197">
        <f t="shared" si="50"/>
        <v>0</v>
      </c>
      <c r="J165" s="197">
        <f t="shared" si="50"/>
        <v>4636.333333333333</v>
      </c>
      <c r="K165" s="197">
        <f t="shared" si="50"/>
        <v>4636.333333333333</v>
      </c>
    </row>
    <row r="166" spans="1:11" ht="12" customHeight="1" x14ac:dyDescent="0.2">
      <c r="A166" s="466" t="s">
        <v>212</v>
      </c>
      <c r="B166" s="197">
        <f t="shared" ref="B166:G166" si="51">AVERAGE(B41, B42)</f>
        <v>0</v>
      </c>
      <c r="C166" s="197">
        <f t="shared" si="51"/>
        <v>0</v>
      </c>
      <c r="D166" s="197">
        <f t="shared" si="51"/>
        <v>0</v>
      </c>
      <c r="E166" s="197">
        <f t="shared" si="51"/>
        <v>0</v>
      </c>
      <c r="F166" s="197">
        <f t="shared" si="51"/>
        <v>1022.5</v>
      </c>
      <c r="G166" s="197">
        <f t="shared" si="51"/>
        <v>73.5</v>
      </c>
      <c r="H166" s="197" t="s">
        <v>29</v>
      </c>
      <c r="I166" s="197">
        <f>AVERAGE(I41, I42)</f>
        <v>0</v>
      </c>
      <c r="J166" s="197">
        <f>AVERAGE(J41, J42)</f>
        <v>1096</v>
      </c>
      <c r="K166" s="197">
        <f>AVERAGE(K41, K42)</f>
        <v>1096</v>
      </c>
    </row>
    <row r="167" spans="1:11" ht="12" customHeight="1" x14ac:dyDescent="0.2">
      <c r="A167" s="466">
        <v>2001</v>
      </c>
      <c r="B167" s="197">
        <f t="shared" ref="B167:K167" si="52">B43</f>
        <v>0</v>
      </c>
      <c r="C167" s="197">
        <f t="shared" si="52"/>
        <v>11</v>
      </c>
      <c r="D167" s="197">
        <f t="shared" si="52"/>
        <v>0</v>
      </c>
      <c r="E167" s="197">
        <f t="shared" si="52"/>
        <v>192</v>
      </c>
      <c r="F167" s="197">
        <f t="shared" si="52"/>
        <v>1203</v>
      </c>
      <c r="G167" s="197">
        <f t="shared" si="52"/>
        <v>192</v>
      </c>
      <c r="H167" s="197" t="str">
        <f t="shared" si="52"/>
        <v>-</v>
      </c>
      <c r="I167" s="197">
        <f t="shared" si="52"/>
        <v>0</v>
      </c>
      <c r="J167" s="197">
        <f t="shared" si="52"/>
        <v>1598</v>
      </c>
      <c r="K167" s="197">
        <f t="shared" si="52"/>
        <v>1598</v>
      </c>
    </row>
    <row r="168" spans="1:11" ht="12" customHeight="1" x14ac:dyDescent="0.2">
      <c r="A168" s="466">
        <v>2003</v>
      </c>
      <c r="B168" s="197">
        <f t="shared" ref="B168:K168" si="53">B44</f>
        <v>0</v>
      </c>
      <c r="C168" s="197">
        <f t="shared" si="53"/>
        <v>0</v>
      </c>
      <c r="D168" s="197">
        <f t="shared" si="53"/>
        <v>0</v>
      </c>
      <c r="E168" s="197">
        <f t="shared" si="53"/>
        <v>172</v>
      </c>
      <c r="F168" s="197">
        <f t="shared" si="53"/>
        <v>41</v>
      </c>
      <c r="G168" s="197">
        <f t="shared" si="53"/>
        <v>23</v>
      </c>
      <c r="H168" s="197" t="str">
        <f t="shared" si="53"/>
        <v>-</v>
      </c>
      <c r="I168" s="197">
        <f t="shared" si="53"/>
        <v>0</v>
      </c>
      <c r="J168" s="197">
        <f t="shared" si="53"/>
        <v>236</v>
      </c>
      <c r="K168" s="197">
        <f t="shared" si="53"/>
        <v>236</v>
      </c>
    </row>
    <row r="169" spans="1:11" ht="12" customHeight="1" x14ac:dyDescent="0.2">
      <c r="A169" s="466">
        <v>2005</v>
      </c>
      <c r="B169" s="197">
        <f t="shared" ref="B169:K169" si="54">B45</f>
        <v>0</v>
      </c>
      <c r="C169" s="197">
        <f t="shared" si="54"/>
        <v>0</v>
      </c>
      <c r="D169" s="197">
        <f t="shared" si="54"/>
        <v>0</v>
      </c>
      <c r="E169" s="197">
        <f t="shared" si="54"/>
        <v>32</v>
      </c>
      <c r="F169" s="197">
        <f t="shared" si="54"/>
        <v>103</v>
      </c>
      <c r="G169" s="197">
        <f t="shared" si="54"/>
        <v>3</v>
      </c>
      <c r="H169" s="197" t="str">
        <f t="shared" si="54"/>
        <v>-</v>
      </c>
      <c r="I169" s="197">
        <f t="shared" si="54"/>
        <v>0</v>
      </c>
      <c r="J169" s="197">
        <f t="shared" si="54"/>
        <v>138</v>
      </c>
      <c r="K169" s="197">
        <f t="shared" si="54"/>
        <v>138</v>
      </c>
    </row>
    <row r="170" spans="1:11" s="461" customFormat="1" ht="12" customHeight="1" x14ac:dyDescent="0.2">
      <c r="A170" s="466">
        <v>2007</v>
      </c>
      <c r="B170" s="197">
        <f t="shared" ref="B170:K170" si="55">B46</f>
        <v>0</v>
      </c>
      <c r="C170" s="197">
        <f t="shared" si="55"/>
        <v>0</v>
      </c>
      <c r="D170" s="197">
        <f t="shared" si="55"/>
        <v>7</v>
      </c>
      <c r="E170" s="197">
        <f t="shared" si="55"/>
        <v>244</v>
      </c>
      <c r="F170" s="197">
        <f t="shared" si="55"/>
        <v>96</v>
      </c>
      <c r="G170" s="197">
        <f t="shared" si="55"/>
        <v>0</v>
      </c>
      <c r="H170" s="197" t="str">
        <f t="shared" si="55"/>
        <v>-</v>
      </c>
      <c r="I170" s="197">
        <f t="shared" si="55"/>
        <v>0</v>
      </c>
      <c r="J170" s="197">
        <f t="shared" si="55"/>
        <v>347</v>
      </c>
      <c r="K170" s="197">
        <f t="shared" si="55"/>
        <v>347</v>
      </c>
    </row>
    <row r="171" spans="1:11" s="461" customFormat="1" ht="12" customHeight="1" x14ac:dyDescent="0.2">
      <c r="A171" s="466">
        <v>2009</v>
      </c>
      <c r="B171" s="197">
        <f t="shared" ref="B171:K171" si="56">B47</f>
        <v>0</v>
      </c>
      <c r="C171" s="197">
        <f t="shared" si="56"/>
        <v>0</v>
      </c>
      <c r="D171" s="197">
        <f t="shared" si="56"/>
        <v>0</v>
      </c>
      <c r="E171" s="197">
        <f t="shared" si="56"/>
        <v>237</v>
      </c>
      <c r="F171" s="197">
        <f t="shared" si="56"/>
        <v>145</v>
      </c>
      <c r="G171" s="197">
        <f t="shared" si="56"/>
        <v>0</v>
      </c>
      <c r="H171" s="197" t="str">
        <f t="shared" si="56"/>
        <v>-</v>
      </c>
      <c r="I171" s="197">
        <f t="shared" si="56"/>
        <v>0</v>
      </c>
      <c r="J171" s="197">
        <f t="shared" si="56"/>
        <v>382</v>
      </c>
      <c r="K171" s="197">
        <f t="shared" si="56"/>
        <v>382</v>
      </c>
    </row>
    <row r="172" spans="1:11" s="461" customFormat="1" ht="12" customHeight="1" x14ac:dyDescent="0.2">
      <c r="A172" s="466">
        <v>2011</v>
      </c>
      <c r="B172" s="197">
        <f t="shared" ref="B172:K172" si="57">B48</f>
        <v>0</v>
      </c>
      <c r="C172" s="197">
        <f t="shared" si="57"/>
        <v>0</v>
      </c>
      <c r="D172" s="197">
        <f t="shared" si="57"/>
        <v>3</v>
      </c>
      <c r="E172" s="197">
        <f t="shared" si="57"/>
        <v>659</v>
      </c>
      <c r="F172" s="197">
        <f t="shared" si="57"/>
        <v>310</v>
      </c>
      <c r="G172" s="197">
        <f t="shared" si="57"/>
        <v>16</v>
      </c>
      <c r="H172" s="197" t="str">
        <f t="shared" si="57"/>
        <v>-</v>
      </c>
      <c r="I172" s="197">
        <f t="shared" si="57"/>
        <v>0</v>
      </c>
      <c r="J172" s="197">
        <f t="shared" si="57"/>
        <v>988</v>
      </c>
      <c r="K172" s="197">
        <f t="shared" si="57"/>
        <v>988</v>
      </c>
    </row>
    <row r="173" spans="1:11" s="461" customFormat="1" ht="12" customHeight="1" x14ac:dyDescent="0.2">
      <c r="A173" s="466">
        <v>2013</v>
      </c>
      <c r="B173" s="197">
        <f t="shared" ref="B173:K173" si="58">B49</f>
        <v>0</v>
      </c>
      <c r="C173" s="197">
        <f t="shared" si="58"/>
        <v>0</v>
      </c>
      <c r="D173" s="197">
        <f t="shared" si="58"/>
        <v>0</v>
      </c>
      <c r="E173" s="197">
        <f t="shared" si="58"/>
        <v>49</v>
      </c>
      <c r="F173" s="197">
        <f t="shared" si="58"/>
        <v>115</v>
      </c>
      <c r="G173" s="197">
        <f t="shared" si="58"/>
        <v>0</v>
      </c>
      <c r="H173" s="197" t="str">
        <f t="shared" si="58"/>
        <v>-</v>
      </c>
      <c r="I173" s="197">
        <f t="shared" si="58"/>
        <v>0</v>
      </c>
      <c r="J173" s="197">
        <f t="shared" si="58"/>
        <v>164</v>
      </c>
      <c r="K173" s="197">
        <f t="shared" si="58"/>
        <v>164</v>
      </c>
    </row>
    <row r="174" spans="1:11" s="461" customFormat="1" ht="12" customHeight="1" x14ac:dyDescent="0.2">
      <c r="A174" s="466">
        <v>2015</v>
      </c>
      <c r="B174" s="197">
        <f t="shared" ref="B174:K174" si="59">B50</f>
        <v>0</v>
      </c>
      <c r="C174" s="197">
        <f t="shared" si="59"/>
        <v>0</v>
      </c>
      <c r="D174" s="197">
        <f t="shared" si="59"/>
        <v>4</v>
      </c>
      <c r="E174" s="197">
        <f t="shared" si="59"/>
        <v>0</v>
      </c>
      <c r="F174" s="197">
        <f t="shared" si="59"/>
        <v>16</v>
      </c>
      <c r="G174" s="197">
        <f t="shared" si="59"/>
        <v>0</v>
      </c>
      <c r="H174" s="197" t="str">
        <f t="shared" si="59"/>
        <v>-</v>
      </c>
      <c r="I174" s="197">
        <f t="shared" si="59"/>
        <v>0</v>
      </c>
      <c r="J174" s="197">
        <f t="shared" si="59"/>
        <v>20</v>
      </c>
      <c r="K174" s="197">
        <f t="shared" si="59"/>
        <v>20</v>
      </c>
    </row>
    <row r="175" spans="1:11" s="461" customFormat="1" x14ac:dyDescent="0.2">
      <c r="A175" s="466">
        <v>2017</v>
      </c>
      <c r="B175" s="197">
        <f t="shared" ref="B175:K175" si="60">B51</f>
        <v>0</v>
      </c>
      <c r="C175" s="197">
        <f t="shared" si="60"/>
        <v>0</v>
      </c>
      <c r="D175" s="197">
        <f t="shared" si="60"/>
        <v>0</v>
      </c>
      <c r="E175" s="197">
        <f t="shared" si="60"/>
        <v>60</v>
      </c>
      <c r="F175" s="197">
        <f t="shared" si="60"/>
        <v>133</v>
      </c>
      <c r="G175" s="197">
        <f t="shared" si="60"/>
        <v>0</v>
      </c>
      <c r="H175" s="197" t="str">
        <f t="shared" si="60"/>
        <v>-</v>
      </c>
      <c r="I175" s="197">
        <f t="shared" si="60"/>
        <v>0</v>
      </c>
      <c r="J175" s="197">
        <f t="shared" si="60"/>
        <v>193</v>
      </c>
      <c r="K175" s="197">
        <f t="shared" si="60"/>
        <v>193</v>
      </c>
    </row>
    <row r="176" spans="1:11" s="461" customFormat="1" x14ac:dyDescent="0.2">
      <c r="A176" s="466">
        <v>2019</v>
      </c>
      <c r="B176" s="197">
        <f t="shared" ref="B176:K176" si="61">B52</f>
        <v>0</v>
      </c>
      <c r="C176" s="197">
        <f t="shared" si="61"/>
        <v>0</v>
      </c>
      <c r="D176" s="197">
        <f t="shared" si="61"/>
        <v>0</v>
      </c>
      <c r="E176" s="197">
        <f t="shared" si="61"/>
        <v>243</v>
      </c>
      <c r="F176" s="197">
        <f t="shared" si="61"/>
        <v>270</v>
      </c>
      <c r="G176" s="197">
        <f t="shared" si="61"/>
        <v>0</v>
      </c>
      <c r="H176" s="197" t="str">
        <f t="shared" si="61"/>
        <v>-</v>
      </c>
      <c r="I176" s="197">
        <f t="shared" si="61"/>
        <v>0</v>
      </c>
      <c r="J176" s="197">
        <f t="shared" si="61"/>
        <v>513</v>
      </c>
      <c r="K176" s="197">
        <f t="shared" si="61"/>
        <v>513</v>
      </c>
    </row>
    <row r="177" spans="1:11" x14ac:dyDescent="0.2">
      <c r="A177" s="466"/>
      <c r="B177" s="197"/>
      <c r="C177" s="197"/>
      <c r="D177" s="197"/>
      <c r="E177" s="197"/>
      <c r="F177" s="197"/>
      <c r="G177" s="197"/>
      <c r="H177" s="197"/>
      <c r="I177" s="197"/>
      <c r="J177" s="197"/>
      <c r="K177" s="197"/>
    </row>
    <row r="178" spans="1:11" x14ac:dyDescent="0.2">
      <c r="A178" s="466"/>
      <c r="B178" s="197"/>
      <c r="C178" s="197"/>
      <c r="D178" s="197"/>
      <c r="E178" s="197"/>
      <c r="F178" s="197"/>
      <c r="G178" s="197"/>
      <c r="H178" s="197"/>
      <c r="I178" s="197"/>
      <c r="J178" s="197"/>
      <c r="K178" s="197"/>
    </row>
    <row r="179" spans="1:11" x14ac:dyDescent="0.2">
      <c r="A179" s="159" t="s">
        <v>66</v>
      </c>
      <c r="B179" s="197"/>
      <c r="C179" s="197"/>
      <c r="D179" s="197"/>
      <c r="E179" s="197"/>
      <c r="F179" s="197"/>
      <c r="G179" s="197"/>
      <c r="H179" s="197"/>
      <c r="I179" s="197"/>
      <c r="J179" s="197"/>
      <c r="K179" s="197"/>
    </row>
    <row r="180" spans="1:11" ht="12" customHeight="1" x14ac:dyDescent="0.2">
      <c r="A180" s="466" t="s">
        <v>30</v>
      </c>
      <c r="B180" s="197">
        <f t="shared" ref="B180:G180" si="62">AVERAGE(B59,B60,B61)</f>
        <v>0</v>
      </c>
      <c r="C180" s="197">
        <f t="shared" si="62"/>
        <v>7.333333333333333</v>
      </c>
      <c r="D180" s="197">
        <f t="shared" si="62"/>
        <v>100</v>
      </c>
      <c r="E180" s="197">
        <f t="shared" si="62"/>
        <v>653.66666666666663</v>
      </c>
      <c r="F180" s="197">
        <f t="shared" si="62"/>
        <v>418</v>
      </c>
      <c r="G180" s="197">
        <f t="shared" si="62"/>
        <v>11.666666666666666</v>
      </c>
      <c r="H180" s="197">
        <f>AVERAGE(H58, H59)</f>
        <v>0</v>
      </c>
      <c r="I180" s="197">
        <f>AVERAGE(I58, I59)</f>
        <v>0</v>
      </c>
      <c r="J180" s="197">
        <f>AVERAGE(J59,J60,J61)</f>
        <v>1190.6666666666667</v>
      </c>
      <c r="K180" s="197">
        <f>AVERAGE(K59,K60,K61)</f>
        <v>1190.6666666666667</v>
      </c>
    </row>
    <row r="181" spans="1:11" ht="12" customHeight="1" x14ac:dyDescent="0.2">
      <c r="A181" s="466" t="s">
        <v>119</v>
      </c>
      <c r="B181" s="197">
        <f t="shared" ref="B181:G181" si="63">AVERAGE(B62,B63)</f>
        <v>0</v>
      </c>
      <c r="C181" s="197">
        <f t="shared" si="63"/>
        <v>3</v>
      </c>
      <c r="D181" s="197">
        <f t="shared" si="63"/>
        <v>6</v>
      </c>
      <c r="E181" s="197">
        <f t="shared" si="63"/>
        <v>625</v>
      </c>
      <c r="F181" s="197">
        <f t="shared" si="63"/>
        <v>666.5</v>
      </c>
      <c r="G181" s="197">
        <f t="shared" si="63"/>
        <v>64.5</v>
      </c>
      <c r="H181" s="197" t="s">
        <v>29</v>
      </c>
      <c r="I181" s="197" t="s">
        <v>29</v>
      </c>
      <c r="J181" s="197">
        <f>AVERAGE(J62,J63)</f>
        <v>1365</v>
      </c>
      <c r="K181" s="197">
        <f>AVERAGE(K62,K63)</f>
        <v>1365</v>
      </c>
    </row>
    <row r="182" spans="1:11" ht="12" customHeight="1" x14ac:dyDescent="0.2">
      <c r="A182" s="466" t="s">
        <v>14</v>
      </c>
      <c r="B182" s="197">
        <f t="shared" ref="B182:G182" si="64">AVERAGE(B64,B65,B66)</f>
        <v>0</v>
      </c>
      <c r="C182" s="197">
        <f t="shared" si="64"/>
        <v>0</v>
      </c>
      <c r="D182" s="197">
        <f t="shared" si="64"/>
        <v>0</v>
      </c>
      <c r="E182" s="197">
        <f t="shared" si="64"/>
        <v>65</v>
      </c>
      <c r="F182" s="197">
        <f t="shared" si="64"/>
        <v>277.33333333333331</v>
      </c>
      <c r="G182" s="197">
        <f t="shared" si="64"/>
        <v>10.333333333333334</v>
      </c>
      <c r="H182" s="197" t="s">
        <v>29</v>
      </c>
      <c r="I182" s="197" t="s">
        <v>29</v>
      </c>
      <c r="J182" s="197">
        <f>AVERAGE(J64,J65,J66)</f>
        <v>352.66666666666669</v>
      </c>
      <c r="K182" s="197">
        <f>AVERAGE(K64,K65,K66)</f>
        <v>352.66666666666669</v>
      </c>
    </row>
    <row r="183" spans="1:11" ht="12" customHeight="1" x14ac:dyDescent="0.2">
      <c r="A183" s="466" t="s">
        <v>212</v>
      </c>
      <c r="B183" s="197">
        <f t="shared" ref="B183:G183" si="65">AVERAGE(B67,B68)</f>
        <v>0</v>
      </c>
      <c r="C183" s="197">
        <f t="shared" si="65"/>
        <v>0</v>
      </c>
      <c r="D183" s="197">
        <f t="shared" si="65"/>
        <v>0</v>
      </c>
      <c r="E183" s="197">
        <f t="shared" si="65"/>
        <v>0</v>
      </c>
      <c r="F183" s="197">
        <f t="shared" si="65"/>
        <v>0</v>
      </c>
      <c r="G183" s="197">
        <f t="shared" si="65"/>
        <v>0</v>
      </c>
      <c r="H183" s="197" t="s">
        <v>29</v>
      </c>
      <c r="I183" s="197" t="s">
        <v>29</v>
      </c>
      <c r="J183" s="197">
        <f>AVERAGE(J67,J68)</f>
        <v>0</v>
      </c>
      <c r="K183" s="197">
        <f>AVERAGE(K67,K68)</f>
        <v>0</v>
      </c>
    </row>
    <row r="184" spans="1:11" ht="12" customHeight="1" x14ac:dyDescent="0.2">
      <c r="A184" s="466">
        <v>2001</v>
      </c>
      <c r="B184" s="197">
        <f t="shared" ref="B184:K184" si="66">B69</f>
        <v>0</v>
      </c>
      <c r="C184" s="197">
        <f t="shared" si="66"/>
        <v>0</v>
      </c>
      <c r="D184" s="197">
        <f t="shared" si="66"/>
        <v>0</v>
      </c>
      <c r="E184" s="197">
        <f t="shared" si="66"/>
        <v>0</v>
      </c>
      <c r="F184" s="197">
        <f t="shared" si="66"/>
        <v>0</v>
      </c>
      <c r="G184" s="197">
        <f t="shared" si="66"/>
        <v>0</v>
      </c>
      <c r="H184" s="197" t="str">
        <f t="shared" si="66"/>
        <v>-</v>
      </c>
      <c r="I184" s="197" t="str">
        <f t="shared" si="66"/>
        <v>-</v>
      </c>
      <c r="J184" s="197">
        <f t="shared" si="66"/>
        <v>0</v>
      </c>
      <c r="K184" s="197">
        <f t="shared" si="66"/>
        <v>0</v>
      </c>
    </row>
    <row r="185" spans="1:11" ht="12" customHeight="1" x14ac:dyDescent="0.2">
      <c r="A185" s="466">
        <v>2003</v>
      </c>
      <c r="B185" s="197">
        <f t="shared" ref="B185:K185" si="67">B70</f>
        <v>0</v>
      </c>
      <c r="C185" s="197">
        <f t="shared" si="67"/>
        <v>0</v>
      </c>
      <c r="D185" s="197">
        <f t="shared" si="67"/>
        <v>0</v>
      </c>
      <c r="E185" s="197">
        <f t="shared" si="67"/>
        <v>0</v>
      </c>
      <c r="F185" s="197">
        <f t="shared" si="67"/>
        <v>0</v>
      </c>
      <c r="G185" s="197">
        <f t="shared" si="67"/>
        <v>0</v>
      </c>
      <c r="H185" s="197">
        <f t="shared" si="67"/>
        <v>0</v>
      </c>
      <c r="I185" s="197" t="str">
        <f t="shared" si="67"/>
        <v>-</v>
      </c>
      <c r="J185" s="197">
        <f t="shared" si="67"/>
        <v>0</v>
      </c>
      <c r="K185" s="197">
        <f t="shared" si="67"/>
        <v>0</v>
      </c>
    </row>
    <row r="186" spans="1:11" ht="12" customHeight="1" x14ac:dyDescent="0.2">
      <c r="A186" s="466">
        <v>2005</v>
      </c>
      <c r="B186" s="197">
        <f t="shared" ref="B186:K186" si="68">B71</f>
        <v>0</v>
      </c>
      <c r="C186" s="197">
        <f t="shared" si="68"/>
        <v>0</v>
      </c>
      <c r="D186" s="197">
        <f t="shared" si="68"/>
        <v>0</v>
      </c>
      <c r="E186" s="197">
        <f t="shared" si="68"/>
        <v>0</v>
      </c>
      <c r="F186" s="197">
        <f t="shared" si="68"/>
        <v>1</v>
      </c>
      <c r="G186" s="197">
        <f t="shared" si="68"/>
        <v>0</v>
      </c>
      <c r="H186" s="197">
        <f t="shared" si="68"/>
        <v>0</v>
      </c>
      <c r="I186" s="197" t="str">
        <f t="shared" si="68"/>
        <v>-</v>
      </c>
      <c r="J186" s="197">
        <f t="shared" si="68"/>
        <v>1</v>
      </c>
      <c r="K186" s="197">
        <f t="shared" si="68"/>
        <v>1</v>
      </c>
    </row>
    <row r="187" spans="1:11" s="461" customFormat="1" ht="12" customHeight="1" x14ac:dyDescent="0.2">
      <c r="A187" s="466">
        <v>2007</v>
      </c>
      <c r="B187" s="197">
        <f t="shared" ref="B187:K187" si="69">B72</f>
        <v>0</v>
      </c>
      <c r="C187" s="197">
        <f t="shared" si="69"/>
        <v>0</v>
      </c>
      <c r="D187" s="197">
        <f t="shared" si="69"/>
        <v>0</v>
      </c>
      <c r="E187" s="197">
        <f t="shared" si="69"/>
        <v>0</v>
      </c>
      <c r="F187" s="197">
        <f t="shared" si="69"/>
        <v>14</v>
      </c>
      <c r="G187" s="197">
        <f t="shared" si="69"/>
        <v>0</v>
      </c>
      <c r="H187" s="197">
        <f t="shared" si="69"/>
        <v>0</v>
      </c>
      <c r="I187" s="197" t="str">
        <f t="shared" si="69"/>
        <v>-</v>
      </c>
      <c r="J187" s="197">
        <f t="shared" si="69"/>
        <v>14</v>
      </c>
      <c r="K187" s="197">
        <f t="shared" si="69"/>
        <v>14</v>
      </c>
    </row>
    <row r="188" spans="1:11" s="461" customFormat="1" ht="12" customHeight="1" x14ac:dyDescent="0.2">
      <c r="A188" s="466">
        <v>2009</v>
      </c>
      <c r="B188" s="197">
        <f t="shared" ref="B188:K188" si="70">B73</f>
        <v>0</v>
      </c>
      <c r="C188" s="197">
        <f t="shared" si="70"/>
        <v>0</v>
      </c>
      <c r="D188" s="197">
        <f t="shared" si="70"/>
        <v>0</v>
      </c>
      <c r="E188" s="197">
        <f t="shared" si="70"/>
        <v>1</v>
      </c>
      <c r="F188" s="197">
        <f t="shared" si="70"/>
        <v>4</v>
      </c>
      <c r="G188" s="197">
        <f t="shared" si="70"/>
        <v>0</v>
      </c>
      <c r="H188" s="197">
        <f t="shared" si="70"/>
        <v>0</v>
      </c>
      <c r="I188" s="197" t="str">
        <f t="shared" si="70"/>
        <v>-</v>
      </c>
      <c r="J188" s="197">
        <f t="shared" si="70"/>
        <v>5</v>
      </c>
      <c r="K188" s="197">
        <f t="shared" si="70"/>
        <v>5</v>
      </c>
    </row>
    <row r="189" spans="1:11" s="461" customFormat="1" ht="12" customHeight="1" x14ac:dyDescent="0.2">
      <c r="A189" s="466">
        <v>2011</v>
      </c>
      <c r="B189" s="197">
        <f t="shared" ref="B189:K189" si="71">B74</f>
        <v>0</v>
      </c>
      <c r="C189" s="197">
        <f t="shared" si="71"/>
        <v>0</v>
      </c>
      <c r="D189" s="197">
        <f t="shared" si="71"/>
        <v>0</v>
      </c>
      <c r="E189" s="197">
        <f t="shared" si="71"/>
        <v>0</v>
      </c>
      <c r="F189" s="197">
        <f t="shared" si="71"/>
        <v>4</v>
      </c>
      <c r="G189" s="197">
        <f t="shared" si="71"/>
        <v>0</v>
      </c>
      <c r="H189" s="197">
        <f t="shared" si="71"/>
        <v>0</v>
      </c>
      <c r="I189" s="197" t="str">
        <f t="shared" si="71"/>
        <v>-</v>
      </c>
      <c r="J189" s="197">
        <f t="shared" si="71"/>
        <v>4</v>
      </c>
      <c r="K189" s="197">
        <f t="shared" si="71"/>
        <v>4</v>
      </c>
    </row>
    <row r="190" spans="1:11" s="461" customFormat="1" ht="12" customHeight="1" x14ac:dyDescent="0.2">
      <c r="A190" s="466">
        <v>2013</v>
      </c>
      <c r="B190" s="197">
        <f t="shared" ref="B190:K190" si="72">B75</f>
        <v>0</v>
      </c>
      <c r="C190" s="197">
        <f t="shared" si="72"/>
        <v>0</v>
      </c>
      <c r="D190" s="197">
        <f t="shared" si="72"/>
        <v>0</v>
      </c>
      <c r="E190" s="197">
        <f t="shared" si="72"/>
        <v>1</v>
      </c>
      <c r="F190" s="197">
        <f t="shared" si="72"/>
        <v>5</v>
      </c>
      <c r="G190" s="197">
        <f t="shared" si="72"/>
        <v>0</v>
      </c>
      <c r="H190" s="197">
        <f t="shared" si="72"/>
        <v>0</v>
      </c>
      <c r="I190" s="197" t="str">
        <f t="shared" si="72"/>
        <v>-</v>
      </c>
      <c r="J190" s="197">
        <f t="shared" si="72"/>
        <v>6</v>
      </c>
      <c r="K190" s="197">
        <f t="shared" si="72"/>
        <v>6</v>
      </c>
    </row>
    <row r="191" spans="1:11" s="461" customFormat="1" ht="12" customHeight="1" x14ac:dyDescent="0.2">
      <c r="A191" s="466">
        <v>2015</v>
      </c>
      <c r="B191" s="197">
        <f t="shared" ref="B191:K191" si="73">B76</f>
        <v>0</v>
      </c>
      <c r="C191" s="197">
        <f t="shared" si="73"/>
        <v>0</v>
      </c>
      <c r="D191" s="197">
        <f t="shared" si="73"/>
        <v>0</v>
      </c>
      <c r="E191" s="197">
        <f t="shared" si="73"/>
        <v>98</v>
      </c>
      <c r="F191" s="197">
        <f t="shared" si="73"/>
        <v>0</v>
      </c>
      <c r="G191" s="197">
        <f t="shared" si="73"/>
        <v>0</v>
      </c>
      <c r="H191" s="197">
        <f t="shared" si="73"/>
        <v>0</v>
      </c>
      <c r="I191" s="197" t="str">
        <f t="shared" si="73"/>
        <v>-</v>
      </c>
      <c r="J191" s="197">
        <f t="shared" si="73"/>
        <v>98</v>
      </c>
      <c r="K191" s="197">
        <f t="shared" si="73"/>
        <v>98</v>
      </c>
    </row>
    <row r="192" spans="1:11" s="461" customFormat="1" x14ac:dyDescent="0.2">
      <c r="A192" s="466">
        <v>2017</v>
      </c>
      <c r="B192" s="197">
        <f t="shared" ref="B192:K192" si="74">B77</f>
        <v>0</v>
      </c>
      <c r="C192" s="197">
        <f t="shared" si="74"/>
        <v>0</v>
      </c>
      <c r="D192" s="197">
        <f t="shared" si="74"/>
        <v>0</v>
      </c>
      <c r="E192" s="197">
        <f t="shared" si="74"/>
        <v>0</v>
      </c>
      <c r="F192" s="197">
        <f t="shared" si="74"/>
        <v>0</v>
      </c>
      <c r="G192" s="197">
        <f t="shared" si="74"/>
        <v>0</v>
      </c>
      <c r="H192" s="197">
        <f t="shared" si="74"/>
        <v>0</v>
      </c>
      <c r="I192" s="197" t="str">
        <f t="shared" si="74"/>
        <v>-</v>
      </c>
      <c r="J192" s="197">
        <f t="shared" si="74"/>
        <v>0</v>
      </c>
      <c r="K192" s="197">
        <f t="shared" si="74"/>
        <v>0</v>
      </c>
    </row>
    <row r="193" spans="1:11" s="461" customFormat="1" x14ac:dyDescent="0.2">
      <c r="A193" s="466">
        <v>2019</v>
      </c>
      <c r="B193" s="197">
        <f t="shared" ref="B193:K193" si="75">B78</f>
        <v>0</v>
      </c>
      <c r="C193" s="197">
        <f t="shared" si="75"/>
        <v>0</v>
      </c>
      <c r="D193" s="197">
        <f t="shared" si="75"/>
        <v>0</v>
      </c>
      <c r="E193" s="197">
        <f t="shared" si="75"/>
        <v>0</v>
      </c>
      <c r="F193" s="197">
        <f t="shared" si="75"/>
        <v>0</v>
      </c>
      <c r="G193" s="197">
        <f t="shared" si="75"/>
        <v>0</v>
      </c>
      <c r="H193" s="197">
        <f t="shared" si="75"/>
        <v>0</v>
      </c>
      <c r="I193" s="197" t="str">
        <f t="shared" si="75"/>
        <v>-</v>
      </c>
      <c r="J193" s="197">
        <f t="shared" si="75"/>
        <v>0</v>
      </c>
      <c r="K193" s="197">
        <f t="shared" si="75"/>
        <v>0</v>
      </c>
    </row>
    <row r="194" spans="1:11" x14ac:dyDescent="0.2">
      <c r="A194" s="466"/>
      <c r="B194" s="197"/>
      <c r="C194" s="197"/>
      <c r="D194" s="197"/>
      <c r="E194" s="197"/>
      <c r="F194" s="197"/>
      <c r="G194" s="197"/>
      <c r="H194" s="197"/>
      <c r="I194" s="197"/>
      <c r="J194" s="197"/>
      <c r="K194" s="197"/>
    </row>
    <row r="195" spans="1:11" x14ac:dyDescent="0.2">
      <c r="A195" s="466"/>
      <c r="B195" s="197"/>
      <c r="C195" s="197"/>
      <c r="D195" s="197"/>
      <c r="E195" s="197"/>
      <c r="F195" s="197"/>
      <c r="G195" s="197"/>
      <c r="H195" s="197"/>
      <c r="I195" s="197"/>
      <c r="J195" s="197"/>
      <c r="K195" s="197"/>
    </row>
    <row r="196" spans="1:11" x14ac:dyDescent="0.2">
      <c r="A196" s="572" t="s">
        <v>222</v>
      </c>
      <c r="B196" s="572"/>
      <c r="C196" s="572"/>
      <c r="D196" s="572"/>
      <c r="E196" s="572"/>
      <c r="F196" s="572"/>
      <c r="G196" s="572"/>
      <c r="H196" s="572"/>
      <c r="I196" s="572"/>
      <c r="J196" s="572"/>
      <c r="K196" s="572"/>
    </row>
    <row r="197" spans="1:11" ht="12" customHeight="1" x14ac:dyDescent="0.2">
      <c r="A197" s="590"/>
      <c r="B197" s="590"/>
      <c r="C197" s="590"/>
      <c r="D197" s="590"/>
      <c r="E197" s="590"/>
      <c r="F197" s="590"/>
      <c r="G197" s="590"/>
      <c r="H197" s="590"/>
      <c r="I197" s="590"/>
      <c r="J197" s="590"/>
      <c r="K197" s="590"/>
    </row>
    <row r="198" spans="1:11" ht="12" customHeight="1" x14ac:dyDescent="0.2">
      <c r="A198" s="585" t="s">
        <v>288</v>
      </c>
      <c r="B198" s="23"/>
      <c r="C198" s="23"/>
      <c r="D198" s="23"/>
      <c r="E198" s="23"/>
      <c r="F198" s="23"/>
      <c r="G198" s="23"/>
      <c r="H198" s="23"/>
      <c r="I198" s="23"/>
      <c r="J198" s="587" t="s">
        <v>61</v>
      </c>
      <c r="K198" s="587"/>
    </row>
    <row r="199" spans="1:11" ht="12" customHeight="1" x14ac:dyDescent="0.2">
      <c r="A199" s="589"/>
      <c r="B199" s="464" t="s">
        <v>71</v>
      </c>
      <c r="C199" s="464" t="s">
        <v>35</v>
      </c>
      <c r="D199" s="464" t="s">
        <v>36</v>
      </c>
      <c r="E199" s="464" t="s">
        <v>37</v>
      </c>
      <c r="F199" s="464" t="s">
        <v>38</v>
      </c>
      <c r="G199" s="464" t="s">
        <v>39</v>
      </c>
      <c r="H199" s="464" t="s">
        <v>40</v>
      </c>
      <c r="I199" s="464" t="s">
        <v>73</v>
      </c>
      <c r="J199" s="464" t="s">
        <v>74</v>
      </c>
      <c r="K199" s="464" t="s">
        <v>52</v>
      </c>
    </row>
    <row r="200" spans="1:11" ht="12" customHeight="1" x14ac:dyDescent="0.2">
      <c r="A200" s="159" t="s">
        <v>64</v>
      </c>
      <c r="B200" s="197"/>
      <c r="C200" s="197"/>
      <c r="D200" s="197"/>
      <c r="E200" s="197"/>
      <c r="F200" s="197"/>
      <c r="G200" s="197"/>
      <c r="H200" s="197"/>
      <c r="I200" s="197"/>
      <c r="J200" s="197"/>
      <c r="K200" s="197"/>
    </row>
    <row r="201" spans="1:11" ht="12" customHeight="1" x14ac:dyDescent="0.2">
      <c r="A201" s="466" t="s">
        <v>30</v>
      </c>
      <c r="B201" s="197">
        <f t="shared" ref="B201:K201" si="76">AVERAGE(B84,B85,B86)</f>
        <v>0</v>
      </c>
      <c r="C201" s="197">
        <f t="shared" si="76"/>
        <v>1.3333333333333333</v>
      </c>
      <c r="D201" s="197">
        <f t="shared" si="76"/>
        <v>18.333333333333332</v>
      </c>
      <c r="E201" s="197">
        <f t="shared" si="76"/>
        <v>106.33333333333333</v>
      </c>
      <c r="F201" s="197">
        <f t="shared" si="76"/>
        <v>6</v>
      </c>
      <c r="G201" s="197">
        <f t="shared" si="76"/>
        <v>0</v>
      </c>
      <c r="H201" s="197">
        <f>AVERAGE(H84,H85,H86)</f>
        <v>0</v>
      </c>
      <c r="I201" s="197">
        <f>AVERAGE(I84,I85,I86)</f>
        <v>0</v>
      </c>
      <c r="J201" s="197">
        <f t="shared" si="76"/>
        <v>132</v>
      </c>
      <c r="K201" s="197">
        <f t="shared" si="76"/>
        <v>132</v>
      </c>
    </row>
    <row r="202" spans="1:11" ht="12" customHeight="1" x14ac:dyDescent="0.2">
      <c r="A202" s="466" t="s">
        <v>119</v>
      </c>
      <c r="B202" s="197">
        <f t="shared" ref="B202:K202" si="77">AVERAGE(B87,B88)</f>
        <v>0</v>
      </c>
      <c r="C202" s="197">
        <f t="shared" si="77"/>
        <v>0</v>
      </c>
      <c r="D202" s="197">
        <f t="shared" si="77"/>
        <v>0</v>
      </c>
      <c r="E202" s="197">
        <f t="shared" si="77"/>
        <v>419</v>
      </c>
      <c r="F202" s="197">
        <f t="shared" si="77"/>
        <v>43.5</v>
      </c>
      <c r="G202" s="197">
        <f t="shared" si="77"/>
        <v>8</v>
      </c>
      <c r="H202" s="197" t="s">
        <v>29</v>
      </c>
      <c r="I202" s="197" t="s">
        <v>29</v>
      </c>
      <c r="J202" s="197">
        <f t="shared" si="77"/>
        <v>470.5</v>
      </c>
      <c r="K202" s="197">
        <f t="shared" si="77"/>
        <v>470.5</v>
      </c>
    </row>
    <row r="203" spans="1:11" ht="12" customHeight="1" x14ac:dyDescent="0.2">
      <c r="A203" s="466" t="s">
        <v>14</v>
      </c>
      <c r="B203" s="197">
        <f t="shared" ref="B203:K203" si="78">AVERAGE(B89,B90,B91)</f>
        <v>0</v>
      </c>
      <c r="C203" s="197">
        <f t="shared" si="78"/>
        <v>0</v>
      </c>
      <c r="D203" s="197">
        <f t="shared" si="78"/>
        <v>0</v>
      </c>
      <c r="E203" s="197">
        <f t="shared" si="78"/>
        <v>6.666666666666667</v>
      </c>
      <c r="F203" s="197">
        <f t="shared" si="78"/>
        <v>6.333333333333333</v>
      </c>
      <c r="G203" s="197">
        <f t="shared" si="78"/>
        <v>0</v>
      </c>
      <c r="H203" s="197" t="s">
        <v>29</v>
      </c>
      <c r="I203" s="197" t="s">
        <v>29</v>
      </c>
      <c r="J203" s="197">
        <f t="shared" si="78"/>
        <v>13</v>
      </c>
      <c r="K203" s="197">
        <f t="shared" si="78"/>
        <v>13</v>
      </c>
    </row>
    <row r="204" spans="1:11" ht="12" customHeight="1" x14ac:dyDescent="0.2">
      <c r="A204" s="466" t="s">
        <v>212</v>
      </c>
      <c r="B204" s="197">
        <f t="shared" ref="B204:G204" si="79">AVERAGE(B92,B93)</f>
        <v>0</v>
      </c>
      <c r="C204" s="197">
        <f t="shared" si="79"/>
        <v>0</v>
      </c>
      <c r="D204" s="197">
        <f t="shared" si="79"/>
        <v>0</v>
      </c>
      <c r="E204" s="197">
        <f t="shared" si="79"/>
        <v>0</v>
      </c>
      <c r="F204" s="197">
        <f t="shared" si="79"/>
        <v>0</v>
      </c>
      <c r="G204" s="197">
        <f t="shared" si="79"/>
        <v>0</v>
      </c>
      <c r="H204" s="197" t="s">
        <v>29</v>
      </c>
      <c r="I204" s="197" t="s">
        <v>29</v>
      </c>
      <c r="J204" s="197">
        <f>AVERAGE(J92,J93)</f>
        <v>0</v>
      </c>
      <c r="K204" s="197">
        <f>AVERAGE(K92,K93)</f>
        <v>0</v>
      </c>
    </row>
    <row r="205" spans="1:11" ht="12" customHeight="1" x14ac:dyDescent="0.2">
      <c r="A205" s="466">
        <v>2001</v>
      </c>
      <c r="B205" s="197">
        <f t="shared" ref="B205:K205" si="80">B94</f>
        <v>0</v>
      </c>
      <c r="C205" s="197">
        <f t="shared" si="80"/>
        <v>0</v>
      </c>
      <c r="D205" s="197">
        <f t="shared" si="80"/>
        <v>0</v>
      </c>
      <c r="E205" s="197">
        <f t="shared" si="80"/>
        <v>0</v>
      </c>
      <c r="F205" s="197">
        <f t="shared" si="80"/>
        <v>0</v>
      </c>
      <c r="G205" s="197">
        <f t="shared" si="80"/>
        <v>0</v>
      </c>
      <c r="H205" s="197" t="str">
        <f t="shared" si="80"/>
        <v>-</v>
      </c>
      <c r="I205" s="197" t="str">
        <f t="shared" si="80"/>
        <v>-</v>
      </c>
      <c r="J205" s="197">
        <f t="shared" si="80"/>
        <v>0</v>
      </c>
      <c r="K205" s="197">
        <f t="shared" si="80"/>
        <v>0</v>
      </c>
    </row>
    <row r="206" spans="1:11" ht="12" customHeight="1" x14ac:dyDescent="0.2">
      <c r="A206" s="466">
        <v>2003</v>
      </c>
      <c r="B206" s="197">
        <f t="shared" ref="B206:K206" si="81">B95</f>
        <v>0</v>
      </c>
      <c r="C206" s="197">
        <f t="shared" si="81"/>
        <v>0</v>
      </c>
      <c r="D206" s="197">
        <f t="shared" si="81"/>
        <v>0</v>
      </c>
      <c r="E206" s="197">
        <f t="shared" si="81"/>
        <v>0</v>
      </c>
      <c r="F206" s="197">
        <f t="shared" si="81"/>
        <v>0</v>
      </c>
      <c r="G206" s="197">
        <f t="shared" si="81"/>
        <v>0</v>
      </c>
      <c r="H206" s="197" t="str">
        <f t="shared" si="81"/>
        <v>-</v>
      </c>
      <c r="I206" s="197" t="str">
        <f t="shared" si="81"/>
        <v>-</v>
      </c>
      <c r="J206" s="197">
        <f t="shared" si="81"/>
        <v>0</v>
      </c>
      <c r="K206" s="197">
        <f t="shared" si="81"/>
        <v>0</v>
      </c>
    </row>
    <row r="207" spans="1:11" ht="12" customHeight="1" x14ac:dyDescent="0.2">
      <c r="A207" s="466">
        <v>2005</v>
      </c>
      <c r="B207" s="197">
        <f t="shared" ref="B207:K207" si="82">B96</f>
        <v>0</v>
      </c>
      <c r="C207" s="197">
        <f t="shared" si="82"/>
        <v>0</v>
      </c>
      <c r="D207" s="197">
        <f t="shared" si="82"/>
        <v>0</v>
      </c>
      <c r="E207" s="197">
        <f t="shared" si="82"/>
        <v>0</v>
      </c>
      <c r="F207" s="197">
        <f t="shared" si="82"/>
        <v>6</v>
      </c>
      <c r="G207" s="197">
        <f t="shared" si="82"/>
        <v>0</v>
      </c>
      <c r="H207" s="197" t="str">
        <f t="shared" si="82"/>
        <v>-</v>
      </c>
      <c r="I207" s="197" t="str">
        <f t="shared" si="82"/>
        <v>-</v>
      </c>
      <c r="J207" s="197">
        <f t="shared" si="82"/>
        <v>6</v>
      </c>
      <c r="K207" s="197">
        <f t="shared" si="82"/>
        <v>6</v>
      </c>
    </row>
    <row r="208" spans="1:11" s="461" customFormat="1" ht="12" customHeight="1" x14ac:dyDescent="0.2">
      <c r="A208" s="466">
        <v>2007</v>
      </c>
      <c r="B208" s="197">
        <f t="shared" ref="B208:K208" si="83">B97</f>
        <v>0</v>
      </c>
      <c r="C208" s="197">
        <f t="shared" si="83"/>
        <v>0</v>
      </c>
      <c r="D208" s="197">
        <f t="shared" si="83"/>
        <v>0</v>
      </c>
      <c r="E208" s="197">
        <f t="shared" si="83"/>
        <v>0</v>
      </c>
      <c r="F208" s="197">
        <f t="shared" si="83"/>
        <v>0</v>
      </c>
      <c r="G208" s="197">
        <f t="shared" si="83"/>
        <v>0</v>
      </c>
      <c r="H208" s="197" t="str">
        <f t="shared" si="83"/>
        <v>-</v>
      </c>
      <c r="I208" s="197" t="str">
        <f t="shared" si="83"/>
        <v>-</v>
      </c>
      <c r="J208" s="197">
        <f t="shared" si="83"/>
        <v>0</v>
      </c>
      <c r="K208" s="197">
        <f t="shared" si="83"/>
        <v>0</v>
      </c>
    </row>
    <row r="209" spans="1:13" s="461" customFormat="1" ht="12" customHeight="1" x14ac:dyDescent="0.2">
      <c r="A209" s="466">
        <v>2009</v>
      </c>
      <c r="B209" s="197">
        <f t="shared" ref="B209:K209" si="84">B98</f>
        <v>0</v>
      </c>
      <c r="C209" s="197">
        <f t="shared" si="84"/>
        <v>0</v>
      </c>
      <c r="D209" s="197">
        <f t="shared" si="84"/>
        <v>0</v>
      </c>
      <c r="E209" s="197">
        <f t="shared" si="84"/>
        <v>4</v>
      </c>
      <c r="F209" s="197">
        <f t="shared" si="84"/>
        <v>1</v>
      </c>
      <c r="G209" s="197">
        <f t="shared" si="84"/>
        <v>0</v>
      </c>
      <c r="H209" s="197" t="str">
        <f t="shared" si="84"/>
        <v>-</v>
      </c>
      <c r="I209" s="197" t="str">
        <f t="shared" si="84"/>
        <v>-</v>
      </c>
      <c r="J209" s="197">
        <f t="shared" si="84"/>
        <v>5</v>
      </c>
      <c r="K209" s="197">
        <f t="shared" si="84"/>
        <v>5</v>
      </c>
    </row>
    <row r="210" spans="1:13" s="461" customFormat="1" ht="12" customHeight="1" x14ac:dyDescent="0.2">
      <c r="A210" s="466">
        <v>2011</v>
      </c>
      <c r="B210" s="197">
        <f t="shared" ref="B210:K210" si="85">B99</f>
        <v>0</v>
      </c>
      <c r="C210" s="197">
        <f t="shared" si="85"/>
        <v>0</v>
      </c>
      <c r="D210" s="197">
        <f t="shared" si="85"/>
        <v>0</v>
      </c>
      <c r="E210" s="197">
        <f t="shared" si="85"/>
        <v>4</v>
      </c>
      <c r="F210" s="197">
        <f t="shared" si="85"/>
        <v>5</v>
      </c>
      <c r="G210" s="197">
        <f t="shared" si="85"/>
        <v>0</v>
      </c>
      <c r="H210" s="197" t="str">
        <f t="shared" si="85"/>
        <v>-</v>
      </c>
      <c r="I210" s="197" t="str">
        <f t="shared" si="85"/>
        <v>-</v>
      </c>
      <c r="J210" s="197">
        <f t="shared" si="85"/>
        <v>9</v>
      </c>
      <c r="K210" s="197">
        <f t="shared" si="85"/>
        <v>9</v>
      </c>
    </row>
    <row r="211" spans="1:13" s="461" customFormat="1" ht="12" customHeight="1" x14ac:dyDescent="0.2">
      <c r="A211" s="466">
        <v>2013</v>
      </c>
      <c r="B211" s="197">
        <f t="shared" ref="B211:K211" si="86">B100</f>
        <v>0</v>
      </c>
      <c r="C211" s="197">
        <f t="shared" si="86"/>
        <v>0</v>
      </c>
      <c r="D211" s="197">
        <f t="shared" si="86"/>
        <v>0</v>
      </c>
      <c r="E211" s="197">
        <f t="shared" si="86"/>
        <v>0</v>
      </c>
      <c r="F211" s="197">
        <f t="shared" si="86"/>
        <v>0</v>
      </c>
      <c r="G211" s="197">
        <f t="shared" si="86"/>
        <v>0</v>
      </c>
      <c r="H211" s="197" t="str">
        <f t="shared" si="86"/>
        <v>-</v>
      </c>
      <c r="I211" s="197" t="str">
        <f t="shared" si="86"/>
        <v>-</v>
      </c>
      <c r="J211" s="197">
        <f t="shared" si="86"/>
        <v>0</v>
      </c>
      <c r="K211" s="197">
        <f t="shared" si="86"/>
        <v>0</v>
      </c>
    </row>
    <row r="212" spans="1:13" s="461" customFormat="1" ht="12" customHeight="1" x14ac:dyDescent="0.2">
      <c r="A212" s="466">
        <v>2015</v>
      </c>
      <c r="B212" s="197">
        <f t="shared" ref="B212:K212" si="87">B101</f>
        <v>0</v>
      </c>
      <c r="C212" s="197">
        <f t="shared" si="87"/>
        <v>0</v>
      </c>
      <c r="D212" s="197">
        <f t="shared" si="87"/>
        <v>0</v>
      </c>
      <c r="E212" s="197">
        <f t="shared" si="87"/>
        <v>0</v>
      </c>
      <c r="F212" s="197">
        <f t="shared" si="87"/>
        <v>0</v>
      </c>
      <c r="G212" s="197">
        <f t="shared" si="87"/>
        <v>0</v>
      </c>
      <c r="H212" s="197" t="str">
        <f t="shared" si="87"/>
        <v>-</v>
      </c>
      <c r="I212" s="197" t="str">
        <f t="shared" si="87"/>
        <v>-</v>
      </c>
      <c r="J212" s="197">
        <f t="shared" si="87"/>
        <v>0</v>
      </c>
      <c r="K212" s="197">
        <f t="shared" si="87"/>
        <v>0</v>
      </c>
    </row>
    <row r="213" spans="1:13" s="461" customFormat="1" x14ac:dyDescent="0.2">
      <c r="A213" s="466">
        <v>2017</v>
      </c>
      <c r="B213" s="197">
        <f t="shared" ref="B213:K214" si="88">B102</f>
        <v>0</v>
      </c>
      <c r="C213" s="197">
        <f t="shared" si="88"/>
        <v>0</v>
      </c>
      <c r="D213" s="197">
        <f t="shared" si="88"/>
        <v>0</v>
      </c>
      <c r="E213" s="197">
        <f t="shared" si="88"/>
        <v>0</v>
      </c>
      <c r="F213" s="197">
        <f t="shared" si="88"/>
        <v>0</v>
      </c>
      <c r="G213" s="197">
        <f t="shared" si="88"/>
        <v>0</v>
      </c>
      <c r="H213" s="197" t="str">
        <f t="shared" si="88"/>
        <v>-</v>
      </c>
      <c r="I213" s="197" t="str">
        <f t="shared" si="88"/>
        <v>-</v>
      </c>
      <c r="J213" s="197">
        <f t="shared" si="88"/>
        <v>0</v>
      </c>
      <c r="K213" s="197">
        <f t="shared" si="88"/>
        <v>0</v>
      </c>
    </row>
    <row r="214" spans="1:13" s="461" customFormat="1" x14ac:dyDescent="0.2">
      <c r="A214" s="466">
        <v>2019</v>
      </c>
      <c r="B214" s="197">
        <f t="shared" si="88"/>
        <v>0</v>
      </c>
      <c r="C214" s="197">
        <f t="shared" si="88"/>
        <v>0</v>
      </c>
      <c r="D214" s="197">
        <f t="shared" si="88"/>
        <v>0</v>
      </c>
      <c r="E214" s="197">
        <f t="shared" si="88"/>
        <v>0</v>
      </c>
      <c r="F214" s="197">
        <f t="shared" si="88"/>
        <v>0</v>
      </c>
      <c r="G214" s="197">
        <f t="shared" si="88"/>
        <v>0</v>
      </c>
      <c r="H214" s="197" t="str">
        <f t="shared" si="88"/>
        <v>-</v>
      </c>
      <c r="I214" s="197" t="str">
        <f t="shared" si="88"/>
        <v>-</v>
      </c>
      <c r="J214" s="197">
        <f t="shared" si="88"/>
        <v>0</v>
      </c>
      <c r="K214" s="197">
        <f t="shared" si="88"/>
        <v>0</v>
      </c>
    </row>
    <row r="215" spans="1:13" x14ac:dyDescent="0.2">
      <c r="A215" s="466"/>
      <c r="B215" s="197"/>
      <c r="C215" s="197"/>
      <c r="D215" s="197"/>
      <c r="E215" s="197"/>
      <c r="F215" s="197"/>
      <c r="G215" s="197"/>
      <c r="H215" s="197"/>
      <c r="I215" s="197"/>
      <c r="J215" s="197"/>
      <c r="K215" s="197"/>
    </row>
    <row r="217" spans="1:13" ht="12" customHeight="1" x14ac:dyDescent="0.2">
      <c r="A217" s="120" t="s">
        <v>41</v>
      </c>
    </row>
    <row r="218" spans="1:13" ht="12" customHeight="1" x14ac:dyDescent="0.2">
      <c r="A218" s="465" t="s">
        <v>30</v>
      </c>
      <c r="B218" s="193">
        <f t="shared" ref="B218:K218" si="89">AVERAGE(B109,B110,B111)</f>
        <v>0</v>
      </c>
      <c r="C218" s="193">
        <f t="shared" si="89"/>
        <v>31.666666666666668</v>
      </c>
      <c r="D218" s="193">
        <f t="shared" si="89"/>
        <v>214</v>
      </c>
      <c r="E218" s="193">
        <f t="shared" si="89"/>
        <v>2207.6666666666665</v>
      </c>
      <c r="F218" s="193">
        <f t="shared" si="89"/>
        <v>7806.333333333333</v>
      </c>
      <c r="G218" s="193">
        <f t="shared" si="89"/>
        <v>320.33333333333331</v>
      </c>
      <c r="H218" s="193">
        <f t="shared" si="89"/>
        <v>0</v>
      </c>
      <c r="I218" s="193">
        <f t="shared" si="89"/>
        <v>0</v>
      </c>
      <c r="J218" s="193">
        <f t="shared" si="89"/>
        <v>10580</v>
      </c>
      <c r="K218" s="193">
        <f t="shared" si="89"/>
        <v>10580</v>
      </c>
    </row>
    <row r="219" spans="1:13" ht="12" customHeight="1" x14ac:dyDescent="0.2">
      <c r="A219" s="465" t="s">
        <v>119</v>
      </c>
      <c r="B219" s="193">
        <f t="shared" ref="B219:K219" si="90">AVERAGE(B112,B113)</f>
        <v>0</v>
      </c>
      <c r="C219" s="193">
        <f t="shared" si="90"/>
        <v>5</v>
      </c>
      <c r="D219" s="193">
        <f t="shared" si="90"/>
        <v>10</v>
      </c>
      <c r="E219" s="193">
        <f t="shared" si="90"/>
        <v>8991</v>
      </c>
      <c r="F219" s="193">
        <f t="shared" si="90"/>
        <v>4253.5</v>
      </c>
      <c r="G219" s="193">
        <f t="shared" si="90"/>
        <v>591</v>
      </c>
      <c r="H219" s="193">
        <f t="shared" si="90"/>
        <v>0</v>
      </c>
      <c r="I219" s="193">
        <f t="shared" si="90"/>
        <v>0</v>
      </c>
      <c r="J219" s="193">
        <f t="shared" si="90"/>
        <v>13850.5</v>
      </c>
      <c r="K219" s="193">
        <f t="shared" si="90"/>
        <v>13850.5</v>
      </c>
    </row>
    <row r="220" spans="1:13" ht="12" customHeight="1" x14ac:dyDescent="0.2">
      <c r="A220" s="465" t="s">
        <v>14</v>
      </c>
      <c r="B220" s="193">
        <f t="shared" ref="B220:K220" si="91">AVERAGE(B114,B115,B116)</f>
        <v>0</v>
      </c>
      <c r="C220" s="193">
        <f t="shared" si="91"/>
        <v>0</v>
      </c>
      <c r="D220" s="193">
        <f t="shared" si="91"/>
        <v>0.66666666666666663</v>
      </c>
      <c r="E220" s="193">
        <f t="shared" si="91"/>
        <v>499</v>
      </c>
      <c r="F220" s="193">
        <f t="shared" si="91"/>
        <v>5519</v>
      </c>
      <c r="G220" s="193">
        <f t="shared" si="91"/>
        <v>261</v>
      </c>
      <c r="H220" s="193">
        <f t="shared" si="91"/>
        <v>0</v>
      </c>
      <c r="I220" s="193">
        <f t="shared" si="91"/>
        <v>0</v>
      </c>
      <c r="J220" s="193">
        <f t="shared" si="91"/>
        <v>6279.666666666667</v>
      </c>
      <c r="K220" s="193">
        <f t="shared" si="91"/>
        <v>6279.666666666667</v>
      </c>
    </row>
    <row r="221" spans="1:13" ht="12" customHeight="1" x14ac:dyDescent="0.2">
      <c r="A221" s="465" t="s">
        <v>212</v>
      </c>
      <c r="B221" s="193">
        <f t="shared" ref="B221:G221" si="92">AVERAGE(B117,B118)</f>
        <v>0</v>
      </c>
      <c r="C221" s="193">
        <f t="shared" si="92"/>
        <v>0</v>
      </c>
      <c r="D221" s="193">
        <f t="shared" si="92"/>
        <v>0</v>
      </c>
      <c r="E221" s="193">
        <f t="shared" si="92"/>
        <v>0</v>
      </c>
      <c r="F221" s="193">
        <f t="shared" si="92"/>
        <v>1572.5</v>
      </c>
      <c r="G221" s="193">
        <f t="shared" si="92"/>
        <v>80.5</v>
      </c>
      <c r="H221" s="193" t="s">
        <v>29</v>
      </c>
      <c r="I221" s="193">
        <f>AVERAGE(I117,I118)</f>
        <v>0</v>
      </c>
      <c r="J221" s="193">
        <f>AVERAGE(J117,J118)</f>
        <v>1653</v>
      </c>
      <c r="K221" s="193">
        <f>AVERAGE(K117,K118)</f>
        <v>1653</v>
      </c>
    </row>
    <row r="222" spans="1:13" ht="12" customHeight="1" x14ac:dyDescent="0.2">
      <c r="A222" s="465">
        <v>2001</v>
      </c>
      <c r="B222" s="193">
        <f t="shared" ref="B222:K222" si="93">B119</f>
        <v>0</v>
      </c>
      <c r="C222" s="193">
        <f t="shared" si="93"/>
        <v>11</v>
      </c>
      <c r="D222" s="193">
        <f t="shared" si="93"/>
        <v>0</v>
      </c>
      <c r="E222" s="193">
        <f t="shared" si="93"/>
        <v>696</v>
      </c>
      <c r="F222" s="193">
        <f t="shared" si="93"/>
        <v>1537</v>
      </c>
      <c r="G222" s="193">
        <f t="shared" si="93"/>
        <v>207</v>
      </c>
      <c r="H222" s="193" t="str">
        <f t="shared" si="93"/>
        <v>-</v>
      </c>
      <c r="I222" s="193">
        <f t="shared" si="93"/>
        <v>0</v>
      </c>
      <c r="J222" s="193">
        <f t="shared" si="93"/>
        <v>2451</v>
      </c>
      <c r="K222" s="193">
        <f t="shared" si="93"/>
        <v>2451</v>
      </c>
    </row>
    <row r="223" spans="1:13" ht="12" customHeight="1" x14ac:dyDescent="0.2">
      <c r="A223" s="466">
        <v>2003</v>
      </c>
      <c r="B223" s="193">
        <f t="shared" ref="B223:K223" si="94">B120</f>
        <v>0</v>
      </c>
      <c r="C223" s="193">
        <f t="shared" si="94"/>
        <v>0</v>
      </c>
      <c r="D223" s="193">
        <f t="shared" si="94"/>
        <v>0</v>
      </c>
      <c r="E223" s="193">
        <f t="shared" si="94"/>
        <v>172</v>
      </c>
      <c r="F223" s="193">
        <f t="shared" si="94"/>
        <v>41</v>
      </c>
      <c r="G223" s="193">
        <f t="shared" si="94"/>
        <v>23</v>
      </c>
      <c r="H223" s="193">
        <f t="shared" si="94"/>
        <v>0</v>
      </c>
      <c r="I223" s="193">
        <f t="shared" si="94"/>
        <v>0</v>
      </c>
      <c r="J223" s="193">
        <f t="shared" si="94"/>
        <v>236</v>
      </c>
      <c r="K223" s="193">
        <f t="shared" si="94"/>
        <v>236</v>
      </c>
      <c r="M223" s="22"/>
    </row>
    <row r="224" spans="1:13" ht="12" customHeight="1" x14ac:dyDescent="0.2">
      <c r="A224" s="466">
        <v>2005</v>
      </c>
      <c r="B224" s="197">
        <f t="shared" ref="B224:K224" si="95">B121</f>
        <v>0</v>
      </c>
      <c r="C224" s="197">
        <f t="shared" si="95"/>
        <v>0</v>
      </c>
      <c r="D224" s="197">
        <f t="shared" si="95"/>
        <v>0</v>
      </c>
      <c r="E224" s="197">
        <f t="shared" si="95"/>
        <v>186</v>
      </c>
      <c r="F224" s="197">
        <f t="shared" si="95"/>
        <v>198</v>
      </c>
      <c r="G224" s="197">
        <f t="shared" si="95"/>
        <v>3</v>
      </c>
      <c r="H224" s="197">
        <f t="shared" si="95"/>
        <v>0</v>
      </c>
      <c r="I224" s="197">
        <f t="shared" si="95"/>
        <v>0</v>
      </c>
      <c r="J224" s="197">
        <f t="shared" si="95"/>
        <v>387</v>
      </c>
      <c r="K224" s="197">
        <f t="shared" si="95"/>
        <v>387</v>
      </c>
    </row>
    <row r="225" spans="1:11" s="461" customFormat="1" ht="12" customHeight="1" x14ac:dyDescent="0.2">
      <c r="A225" s="466">
        <v>2007</v>
      </c>
      <c r="B225" s="197">
        <f t="shared" ref="B225:K225" si="96">B122</f>
        <v>0</v>
      </c>
      <c r="C225" s="197">
        <f t="shared" si="96"/>
        <v>0</v>
      </c>
      <c r="D225" s="197">
        <f t="shared" si="96"/>
        <v>7</v>
      </c>
      <c r="E225" s="197">
        <f t="shared" si="96"/>
        <v>326</v>
      </c>
      <c r="F225" s="197">
        <f t="shared" si="96"/>
        <v>251</v>
      </c>
      <c r="G225" s="197">
        <f t="shared" si="96"/>
        <v>0</v>
      </c>
      <c r="H225" s="197">
        <f t="shared" si="96"/>
        <v>0</v>
      </c>
      <c r="I225" s="197">
        <f t="shared" si="96"/>
        <v>0</v>
      </c>
      <c r="J225" s="197">
        <f t="shared" si="96"/>
        <v>584</v>
      </c>
      <c r="K225" s="197">
        <f t="shared" si="96"/>
        <v>584</v>
      </c>
    </row>
    <row r="226" spans="1:11" s="461" customFormat="1" ht="12" customHeight="1" x14ac:dyDescent="0.2">
      <c r="A226" s="466">
        <v>2009</v>
      </c>
      <c r="B226" s="197">
        <f t="shared" ref="B226:K226" si="97">B123</f>
        <v>0</v>
      </c>
      <c r="C226" s="197">
        <f t="shared" si="97"/>
        <v>0</v>
      </c>
      <c r="D226" s="197">
        <f t="shared" si="97"/>
        <v>0</v>
      </c>
      <c r="E226" s="197">
        <f t="shared" si="97"/>
        <v>431</v>
      </c>
      <c r="F226" s="197">
        <f t="shared" si="97"/>
        <v>369</v>
      </c>
      <c r="G226" s="197">
        <f t="shared" si="97"/>
        <v>0</v>
      </c>
      <c r="H226" s="197">
        <f t="shared" si="97"/>
        <v>0</v>
      </c>
      <c r="I226" s="197">
        <f t="shared" si="97"/>
        <v>0</v>
      </c>
      <c r="J226" s="197">
        <f t="shared" si="97"/>
        <v>800</v>
      </c>
      <c r="K226" s="197">
        <f t="shared" si="97"/>
        <v>800</v>
      </c>
    </row>
    <row r="227" spans="1:11" s="461" customFormat="1" ht="12" customHeight="1" x14ac:dyDescent="0.2">
      <c r="A227" s="466">
        <v>2011</v>
      </c>
      <c r="B227" s="197">
        <f t="shared" ref="B227:K227" si="98">B124</f>
        <v>0</v>
      </c>
      <c r="C227" s="197">
        <f t="shared" si="98"/>
        <v>0</v>
      </c>
      <c r="D227" s="197">
        <f t="shared" si="98"/>
        <v>6</v>
      </c>
      <c r="E227" s="197">
        <f t="shared" si="98"/>
        <v>718</v>
      </c>
      <c r="F227" s="197">
        <f t="shared" si="98"/>
        <v>334</v>
      </c>
      <c r="G227" s="197">
        <f t="shared" si="98"/>
        <v>16</v>
      </c>
      <c r="H227" s="197">
        <f t="shared" si="98"/>
        <v>0</v>
      </c>
      <c r="I227" s="197">
        <f t="shared" si="98"/>
        <v>0</v>
      </c>
      <c r="J227" s="197">
        <f t="shared" si="98"/>
        <v>1074</v>
      </c>
      <c r="K227" s="197">
        <f t="shared" si="98"/>
        <v>1074</v>
      </c>
    </row>
    <row r="228" spans="1:11" s="461" customFormat="1" ht="12" customHeight="1" x14ac:dyDescent="0.2">
      <c r="A228" s="466">
        <v>2013</v>
      </c>
      <c r="B228" s="197">
        <f t="shared" ref="B228:K228" si="99">B125</f>
        <v>0</v>
      </c>
      <c r="C228" s="197">
        <f t="shared" si="99"/>
        <v>0</v>
      </c>
      <c r="D228" s="197">
        <f t="shared" si="99"/>
        <v>0</v>
      </c>
      <c r="E228" s="197">
        <f t="shared" si="99"/>
        <v>89</v>
      </c>
      <c r="F228" s="197">
        <f t="shared" si="99"/>
        <v>120</v>
      </c>
      <c r="G228" s="197">
        <f t="shared" si="99"/>
        <v>0</v>
      </c>
      <c r="H228" s="197">
        <f t="shared" si="99"/>
        <v>0</v>
      </c>
      <c r="I228" s="197">
        <f t="shared" si="99"/>
        <v>0</v>
      </c>
      <c r="J228" s="197">
        <f t="shared" si="99"/>
        <v>209</v>
      </c>
      <c r="K228" s="197">
        <f t="shared" si="99"/>
        <v>209</v>
      </c>
    </row>
    <row r="229" spans="1:11" s="461" customFormat="1" ht="12" customHeight="1" x14ac:dyDescent="0.2">
      <c r="A229" s="466">
        <v>2015</v>
      </c>
      <c r="B229" s="197">
        <f t="shared" ref="B229:K229" si="100">B126</f>
        <v>0</v>
      </c>
      <c r="C229" s="197">
        <f t="shared" si="100"/>
        <v>0</v>
      </c>
      <c r="D229" s="197">
        <f t="shared" si="100"/>
        <v>6</v>
      </c>
      <c r="E229" s="197">
        <f t="shared" si="100"/>
        <v>98</v>
      </c>
      <c r="F229" s="197">
        <f t="shared" si="100"/>
        <v>18</v>
      </c>
      <c r="G229" s="197">
        <f t="shared" si="100"/>
        <v>0</v>
      </c>
      <c r="H229" s="197">
        <f t="shared" si="100"/>
        <v>0</v>
      </c>
      <c r="I229" s="197">
        <f t="shared" si="100"/>
        <v>0</v>
      </c>
      <c r="J229" s="197">
        <f t="shared" si="100"/>
        <v>122</v>
      </c>
      <c r="K229" s="197">
        <f t="shared" si="100"/>
        <v>122</v>
      </c>
    </row>
    <row r="230" spans="1:11" s="461" customFormat="1" ht="12" customHeight="1" x14ac:dyDescent="0.2">
      <c r="A230" s="466">
        <v>2017</v>
      </c>
      <c r="B230" s="197">
        <f t="shared" ref="B230:K231" si="101">B127</f>
        <v>0</v>
      </c>
      <c r="C230" s="197">
        <f t="shared" si="101"/>
        <v>0</v>
      </c>
      <c r="D230" s="197">
        <f t="shared" si="101"/>
        <v>0</v>
      </c>
      <c r="E230" s="197">
        <f t="shared" si="101"/>
        <v>61</v>
      </c>
      <c r="F230" s="197">
        <f t="shared" si="101"/>
        <v>134</v>
      </c>
      <c r="G230" s="197">
        <f t="shared" si="101"/>
        <v>0</v>
      </c>
      <c r="H230" s="197">
        <f t="shared" si="101"/>
        <v>0</v>
      </c>
      <c r="I230" s="197">
        <f t="shared" si="101"/>
        <v>0</v>
      </c>
      <c r="J230" s="197">
        <f t="shared" si="101"/>
        <v>195</v>
      </c>
      <c r="K230" s="197">
        <f t="shared" si="101"/>
        <v>195</v>
      </c>
    </row>
    <row r="231" spans="1:11" s="461" customFormat="1" ht="12" customHeight="1" x14ac:dyDescent="0.2">
      <c r="A231" s="466">
        <v>2019</v>
      </c>
      <c r="B231" s="197">
        <f t="shared" si="101"/>
        <v>0</v>
      </c>
      <c r="C231" s="197">
        <f t="shared" si="101"/>
        <v>0</v>
      </c>
      <c r="D231" s="197">
        <f t="shared" si="101"/>
        <v>0</v>
      </c>
      <c r="E231" s="197">
        <f t="shared" si="101"/>
        <v>243</v>
      </c>
      <c r="F231" s="197">
        <f t="shared" si="101"/>
        <v>270</v>
      </c>
      <c r="G231" s="197">
        <f t="shared" si="101"/>
        <v>0</v>
      </c>
      <c r="H231" s="197">
        <f t="shared" si="101"/>
        <v>0</v>
      </c>
      <c r="I231" s="197">
        <f t="shared" si="101"/>
        <v>0</v>
      </c>
      <c r="J231" s="197">
        <f t="shared" si="101"/>
        <v>513</v>
      </c>
      <c r="K231" s="197">
        <f t="shared" si="101"/>
        <v>513</v>
      </c>
    </row>
    <row r="232" spans="1:11" ht="12" customHeight="1" x14ac:dyDescent="0.2">
      <c r="A232" s="591" t="str">
        <f>A129</f>
        <v>a/  Odd year averages only.</v>
      </c>
      <c r="B232" s="591"/>
      <c r="C232" s="591"/>
      <c r="D232" s="591"/>
      <c r="E232" s="591"/>
      <c r="F232" s="591"/>
      <c r="G232" s="591"/>
      <c r="H232" s="591"/>
      <c r="I232" s="591"/>
      <c r="J232" s="591"/>
      <c r="K232" s="591"/>
    </row>
    <row r="233" spans="1:11" ht="12" customHeight="1" x14ac:dyDescent="0.2">
      <c r="A233" s="588"/>
      <c r="B233" s="588"/>
      <c r="C233" s="588"/>
      <c r="D233" s="588"/>
      <c r="E233" s="588"/>
      <c r="F233" s="588"/>
      <c r="G233" s="588"/>
      <c r="H233" s="588"/>
      <c r="I233" s="588"/>
      <c r="J233" s="588"/>
      <c r="K233" s="588"/>
    </row>
    <row r="234" spans="1:11" ht="12" customHeight="1" x14ac:dyDescent="0.2"/>
    <row r="235" spans="1:11" ht="12" customHeight="1" x14ac:dyDescent="0.2"/>
    <row r="236" spans="1:11" ht="12" customHeight="1" x14ac:dyDescent="0.2"/>
    <row r="237" spans="1:11" ht="12" customHeight="1" x14ac:dyDescent="0.2"/>
    <row r="238" spans="1:11" ht="12" customHeight="1" x14ac:dyDescent="0.2"/>
    <row r="239" spans="1:11" ht="12" customHeight="1" x14ac:dyDescent="0.2"/>
    <row r="240" spans="1:11"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sheetData>
  <mergeCells count="13">
    <mergeCell ref="A141:K142"/>
    <mergeCell ref="A1:K1"/>
    <mergeCell ref="A2:A3"/>
    <mergeCell ref="J2:K2"/>
    <mergeCell ref="A129:K129"/>
    <mergeCell ref="A130:K130"/>
    <mergeCell ref="A233:K233"/>
    <mergeCell ref="A143:A144"/>
    <mergeCell ref="J143:K143"/>
    <mergeCell ref="A196:K197"/>
    <mergeCell ref="A198:A199"/>
    <mergeCell ref="J198:K198"/>
    <mergeCell ref="A232:K232"/>
  </mergeCells>
  <pageMargins left="0.7" right="0.7" top="0.75" bottom="0.75" header="0.3" footer="0.3"/>
  <pageSetup orientation="portrait" r:id="rId1"/>
  <rowBreaks count="1" manualBreakCount="1">
    <brk id="195" max="10" man="1"/>
  </rowBreak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50"/>
  <dimension ref="A1:P374"/>
  <sheetViews>
    <sheetView showGridLines="0" topLeftCell="A322" zoomScaleNormal="100" workbookViewId="0">
      <selection sqref="A1:J2"/>
    </sheetView>
  </sheetViews>
  <sheetFormatPr defaultColWidth="9" defaultRowHeight="11.25" x14ac:dyDescent="0.2"/>
  <cols>
    <col min="1" max="1" width="8.625" style="371" customWidth="1"/>
    <col min="2" max="9" width="9.125" style="193" customWidth="1"/>
    <col min="10" max="16384" width="9" style="1"/>
  </cols>
  <sheetData>
    <row r="1" spans="1:9" x14ac:dyDescent="0.2">
      <c r="A1" s="522" t="s">
        <v>5</v>
      </c>
      <c r="B1" s="522"/>
      <c r="C1" s="522"/>
      <c r="D1" s="522"/>
      <c r="E1" s="522"/>
      <c r="F1" s="522"/>
      <c r="G1" s="522"/>
      <c r="H1" s="522"/>
      <c r="I1" s="522"/>
    </row>
    <row r="2" spans="1:9" s="368" customFormat="1" x14ac:dyDescent="0.2">
      <c r="A2" s="2" t="s">
        <v>33</v>
      </c>
      <c r="B2" s="58" t="s">
        <v>34</v>
      </c>
      <c r="C2" s="58" t="s">
        <v>35</v>
      </c>
      <c r="D2" s="58" t="s">
        <v>36</v>
      </c>
      <c r="E2" s="58" t="s">
        <v>37</v>
      </c>
      <c r="F2" s="58" t="s">
        <v>38</v>
      </c>
      <c r="G2" s="58" t="s">
        <v>39</v>
      </c>
      <c r="H2" s="58" t="s">
        <v>40</v>
      </c>
      <c r="I2" s="369" t="s">
        <v>28</v>
      </c>
    </row>
    <row r="3" spans="1:9" x14ac:dyDescent="0.2">
      <c r="A3" s="116" t="s">
        <v>65</v>
      </c>
    </row>
    <row r="4" spans="1:9" x14ac:dyDescent="0.2">
      <c r="A4" s="371">
        <v>1976</v>
      </c>
      <c r="B4" s="31">
        <f>445+334+246</f>
        <v>1025</v>
      </c>
      <c r="C4" s="193">
        <v>1492</v>
      </c>
      <c r="D4" s="193">
        <v>3115</v>
      </c>
      <c r="E4" s="193">
        <v>12609</v>
      </c>
      <c r="F4" s="193">
        <v>17709</v>
      </c>
      <c r="G4" s="193">
        <v>8172</v>
      </c>
      <c r="H4" s="193">
        <v>160</v>
      </c>
      <c r="I4" s="193">
        <f t="shared" ref="I4:I21" si="0">SUM(B4:H4)</f>
        <v>44282</v>
      </c>
    </row>
    <row r="5" spans="1:9" x14ac:dyDescent="0.2">
      <c r="A5" s="371">
        <v>1977</v>
      </c>
      <c r="B5" s="193">
        <v>315</v>
      </c>
      <c r="C5" s="193">
        <v>812</v>
      </c>
      <c r="D5" s="193">
        <v>5140</v>
      </c>
      <c r="E5" s="193">
        <v>12983</v>
      </c>
      <c r="F5" s="193">
        <v>25531</v>
      </c>
      <c r="G5" s="193">
        <v>10922</v>
      </c>
      <c r="H5" s="193">
        <v>535</v>
      </c>
      <c r="I5" s="193">
        <f t="shared" si="0"/>
        <v>56238</v>
      </c>
    </row>
    <row r="6" spans="1:9" x14ac:dyDescent="0.2">
      <c r="A6" s="371">
        <v>1978</v>
      </c>
      <c r="B6" s="31">
        <f>44+251</f>
        <v>295</v>
      </c>
      <c r="C6" s="193">
        <v>1926</v>
      </c>
      <c r="D6" s="193">
        <v>4970</v>
      </c>
      <c r="E6" s="193">
        <v>17196</v>
      </c>
      <c r="F6" s="193">
        <v>20654</v>
      </c>
      <c r="G6" s="31">
        <v>12209</v>
      </c>
      <c r="H6" s="31">
        <f>1738+100</f>
        <v>1838</v>
      </c>
      <c r="I6" s="193">
        <f t="shared" si="0"/>
        <v>59088</v>
      </c>
    </row>
    <row r="7" spans="1:9" x14ac:dyDescent="0.2">
      <c r="A7" s="371">
        <v>1979</v>
      </c>
      <c r="B7" s="31">
        <v>1347</v>
      </c>
      <c r="C7" s="31">
        <v>610</v>
      </c>
      <c r="D7" s="193">
        <v>3836</v>
      </c>
      <c r="E7" s="193">
        <v>10732</v>
      </c>
      <c r="F7" s="193">
        <v>13835</v>
      </c>
      <c r="G7" s="31">
        <v>1557</v>
      </c>
      <c r="H7" s="31">
        <v>84</v>
      </c>
      <c r="I7" s="193">
        <f t="shared" si="0"/>
        <v>32001</v>
      </c>
    </row>
    <row r="8" spans="1:9" x14ac:dyDescent="0.2">
      <c r="A8" s="371">
        <v>1980</v>
      </c>
      <c r="B8" s="31" t="s">
        <v>29</v>
      </c>
      <c r="C8" s="31">
        <v>632</v>
      </c>
      <c r="D8" s="193">
        <v>3440</v>
      </c>
      <c r="E8" s="193">
        <v>11613</v>
      </c>
      <c r="F8" s="193">
        <v>11694</v>
      </c>
      <c r="G8" s="31">
        <v>2011</v>
      </c>
      <c r="H8" s="31">
        <v>30</v>
      </c>
      <c r="I8" s="193">
        <f t="shared" si="0"/>
        <v>29420</v>
      </c>
    </row>
    <row r="9" spans="1:9" x14ac:dyDescent="0.2">
      <c r="A9" s="371">
        <v>1981</v>
      </c>
      <c r="B9" s="31">
        <f>39+78+60</f>
        <v>177</v>
      </c>
      <c r="C9" s="31">
        <v>1198</v>
      </c>
      <c r="D9" s="193">
        <v>2210</v>
      </c>
      <c r="E9" s="193">
        <v>9823</v>
      </c>
      <c r="F9" s="193">
        <v>12000</v>
      </c>
      <c r="G9" s="31">
        <v>3052</v>
      </c>
      <c r="H9" s="31">
        <v>223</v>
      </c>
      <c r="I9" s="193">
        <f t="shared" si="0"/>
        <v>28683</v>
      </c>
    </row>
    <row r="10" spans="1:9" x14ac:dyDescent="0.2">
      <c r="A10" s="371">
        <v>1982</v>
      </c>
      <c r="B10" s="31">
        <v>18</v>
      </c>
      <c r="C10" s="31">
        <v>573</v>
      </c>
      <c r="D10" s="193">
        <v>1532</v>
      </c>
      <c r="E10" s="193">
        <v>10891</v>
      </c>
      <c r="F10" s="193">
        <v>17254</v>
      </c>
      <c r="G10" s="31">
        <v>5787</v>
      </c>
      <c r="H10" s="31">
        <v>113</v>
      </c>
      <c r="I10" s="193">
        <f t="shared" si="0"/>
        <v>36168</v>
      </c>
    </row>
    <row r="11" spans="1:9" x14ac:dyDescent="0.2">
      <c r="A11" s="371">
        <v>1983</v>
      </c>
      <c r="B11" s="31">
        <v>142</v>
      </c>
      <c r="C11" s="31">
        <v>453</v>
      </c>
      <c r="D11" s="193" t="s">
        <v>29</v>
      </c>
      <c r="E11" s="193">
        <v>16126</v>
      </c>
      <c r="F11" s="193">
        <v>22218</v>
      </c>
      <c r="G11" s="31">
        <v>7741</v>
      </c>
      <c r="H11" s="31">
        <v>43</v>
      </c>
      <c r="I11" s="193">
        <f t="shared" si="0"/>
        <v>46723</v>
      </c>
    </row>
    <row r="12" spans="1:9" x14ac:dyDescent="0.2">
      <c r="A12" s="371">
        <v>1984</v>
      </c>
      <c r="B12" s="31">
        <f>35+20</f>
        <v>55</v>
      </c>
      <c r="C12" s="31" t="s">
        <v>29</v>
      </c>
      <c r="D12" s="193">
        <v>0</v>
      </c>
      <c r="E12" s="193">
        <v>2494</v>
      </c>
      <c r="F12" s="193">
        <v>5905</v>
      </c>
      <c r="G12" s="31">
        <v>179</v>
      </c>
      <c r="H12" s="31" t="s">
        <v>29</v>
      </c>
      <c r="I12" s="193">
        <f t="shared" si="0"/>
        <v>8633</v>
      </c>
    </row>
    <row r="13" spans="1:9" x14ac:dyDescent="0.2">
      <c r="A13" s="371">
        <v>1985</v>
      </c>
      <c r="B13" s="31">
        <v>9</v>
      </c>
      <c r="C13" s="31">
        <v>2</v>
      </c>
      <c r="D13" s="193">
        <v>173</v>
      </c>
      <c r="E13" s="193">
        <v>7356</v>
      </c>
      <c r="F13" s="193">
        <v>9576</v>
      </c>
      <c r="G13" s="193">
        <v>151</v>
      </c>
      <c r="H13" s="193" t="s">
        <v>29</v>
      </c>
      <c r="I13" s="193">
        <f t="shared" si="0"/>
        <v>17267</v>
      </c>
    </row>
    <row r="14" spans="1:9" x14ac:dyDescent="0.2">
      <c r="A14" s="371">
        <v>1986</v>
      </c>
      <c r="B14" s="31" t="s">
        <v>29</v>
      </c>
      <c r="C14" s="31" t="s">
        <v>29</v>
      </c>
      <c r="D14" s="193">
        <v>448</v>
      </c>
      <c r="E14" s="193">
        <v>10779</v>
      </c>
      <c r="F14" s="193">
        <v>7325</v>
      </c>
      <c r="G14" s="193" t="s">
        <v>29</v>
      </c>
      <c r="H14" s="193" t="s">
        <v>29</v>
      </c>
      <c r="I14" s="193">
        <f t="shared" si="0"/>
        <v>18552</v>
      </c>
    </row>
    <row r="15" spans="1:9" x14ac:dyDescent="0.2">
      <c r="A15" s="371">
        <v>1987</v>
      </c>
      <c r="B15" s="31" t="s">
        <v>29</v>
      </c>
      <c r="C15" s="31" t="s">
        <v>29</v>
      </c>
      <c r="D15" s="193">
        <v>577</v>
      </c>
      <c r="E15" s="193">
        <v>12224</v>
      </c>
      <c r="F15" s="193">
        <v>6442</v>
      </c>
      <c r="G15" s="193" t="s">
        <v>29</v>
      </c>
      <c r="H15" s="193" t="s">
        <v>29</v>
      </c>
      <c r="I15" s="193">
        <f t="shared" si="0"/>
        <v>19243</v>
      </c>
    </row>
    <row r="16" spans="1:9" x14ac:dyDescent="0.2">
      <c r="A16" s="371">
        <v>1988</v>
      </c>
      <c r="B16" s="31" t="s">
        <v>29</v>
      </c>
      <c r="C16" s="31">
        <v>6</v>
      </c>
      <c r="D16" s="193" t="s">
        <v>29</v>
      </c>
      <c r="E16" s="193">
        <v>13470</v>
      </c>
      <c r="F16" s="193">
        <v>1944</v>
      </c>
      <c r="G16" s="193">
        <v>518</v>
      </c>
      <c r="H16" s="193" t="s">
        <v>29</v>
      </c>
      <c r="I16" s="193">
        <f t="shared" si="0"/>
        <v>15938</v>
      </c>
    </row>
    <row r="17" spans="1:16" x14ac:dyDescent="0.2">
      <c r="A17" s="371" t="s">
        <v>268</v>
      </c>
      <c r="B17" s="193" t="s">
        <v>29</v>
      </c>
      <c r="C17" s="193">
        <v>856</v>
      </c>
      <c r="D17" s="193">
        <v>928</v>
      </c>
      <c r="E17" s="193">
        <v>14722</v>
      </c>
      <c r="F17" s="31">
        <v>6454</v>
      </c>
      <c r="G17" s="31">
        <v>5362</v>
      </c>
      <c r="H17" s="193" t="s">
        <v>29</v>
      </c>
      <c r="I17" s="193">
        <f t="shared" si="0"/>
        <v>28322</v>
      </c>
    </row>
    <row r="18" spans="1:16" x14ac:dyDescent="0.2">
      <c r="A18" s="371" t="s">
        <v>269</v>
      </c>
      <c r="B18" s="193" t="s">
        <v>29</v>
      </c>
      <c r="C18" s="193" t="s">
        <v>29</v>
      </c>
      <c r="D18" s="31">
        <v>9</v>
      </c>
      <c r="E18" s="193">
        <v>18572</v>
      </c>
      <c r="F18" s="193">
        <v>14539</v>
      </c>
      <c r="G18" s="193">
        <v>699</v>
      </c>
      <c r="H18" s="193" t="s">
        <v>29</v>
      </c>
      <c r="I18" s="193">
        <f t="shared" si="0"/>
        <v>33819</v>
      </c>
    </row>
    <row r="19" spans="1:16" x14ac:dyDescent="0.2">
      <c r="A19" s="123" t="s">
        <v>270</v>
      </c>
      <c r="B19" s="193" t="s">
        <v>29</v>
      </c>
      <c r="C19" s="193" t="s">
        <v>29</v>
      </c>
      <c r="D19" s="31">
        <v>4</v>
      </c>
      <c r="E19" s="193">
        <v>16192</v>
      </c>
      <c r="F19" s="193">
        <v>9236</v>
      </c>
      <c r="G19" s="31">
        <v>9</v>
      </c>
      <c r="H19" s="193" t="s">
        <v>29</v>
      </c>
      <c r="I19" s="193">
        <f t="shared" si="0"/>
        <v>25441</v>
      </c>
      <c r="J19" s="36"/>
      <c r="K19" s="36"/>
      <c r="L19" s="36"/>
      <c r="O19" s="36"/>
      <c r="P19" s="36"/>
    </row>
    <row r="20" spans="1:16" x14ac:dyDescent="0.2">
      <c r="A20" s="123" t="s">
        <v>271</v>
      </c>
      <c r="B20" s="193" t="s">
        <v>29</v>
      </c>
      <c r="C20" s="193">
        <v>1344</v>
      </c>
      <c r="D20" s="193" t="s">
        <v>29</v>
      </c>
      <c r="E20" s="193">
        <v>10375</v>
      </c>
      <c r="F20" s="193">
        <v>7949</v>
      </c>
      <c r="G20" s="193">
        <v>50</v>
      </c>
      <c r="H20" s="193" t="s">
        <v>29</v>
      </c>
      <c r="I20" s="193">
        <f t="shared" si="0"/>
        <v>19718</v>
      </c>
      <c r="L20" s="36"/>
      <c r="P20" s="36"/>
    </row>
    <row r="21" spans="1:16" x14ac:dyDescent="0.2">
      <c r="A21" s="123" t="s">
        <v>272</v>
      </c>
      <c r="B21" s="193" t="s">
        <v>29</v>
      </c>
      <c r="C21" s="193">
        <v>1172</v>
      </c>
      <c r="D21" s="193" t="s">
        <v>29</v>
      </c>
      <c r="E21" s="193">
        <v>11093</v>
      </c>
      <c r="F21" s="193">
        <v>11245</v>
      </c>
      <c r="G21" s="193">
        <v>3819</v>
      </c>
      <c r="H21" s="193" t="s">
        <v>29</v>
      </c>
      <c r="I21" s="193">
        <f t="shared" si="0"/>
        <v>27329</v>
      </c>
      <c r="J21" s="36"/>
      <c r="P21" s="36"/>
    </row>
    <row r="22" spans="1:16" x14ac:dyDescent="0.2">
      <c r="A22" s="123">
        <v>1994</v>
      </c>
      <c r="B22" s="193" t="s">
        <v>29</v>
      </c>
      <c r="C22" s="193" t="s">
        <v>29</v>
      </c>
      <c r="D22" s="193" t="s">
        <v>29</v>
      </c>
      <c r="E22" s="193" t="s">
        <v>29</v>
      </c>
      <c r="F22" s="193" t="s">
        <v>29</v>
      </c>
      <c r="G22" s="193" t="s">
        <v>29</v>
      </c>
      <c r="H22" s="193" t="s">
        <v>29</v>
      </c>
      <c r="I22" s="193" t="s">
        <v>29</v>
      </c>
      <c r="J22" s="36"/>
      <c r="K22" s="36"/>
      <c r="L22" s="36"/>
      <c r="M22" s="36"/>
      <c r="N22" s="36"/>
      <c r="O22" s="36"/>
      <c r="P22" s="36"/>
    </row>
    <row r="23" spans="1:16" x14ac:dyDescent="0.2">
      <c r="A23" s="123" t="s">
        <v>273</v>
      </c>
      <c r="B23" s="193" t="s">
        <v>29</v>
      </c>
      <c r="C23" s="193" t="s">
        <v>29</v>
      </c>
      <c r="D23" s="193" t="s">
        <v>29</v>
      </c>
      <c r="E23" s="193" t="s">
        <v>29</v>
      </c>
      <c r="F23" s="193">
        <v>9391</v>
      </c>
      <c r="G23" s="193">
        <v>98</v>
      </c>
      <c r="H23" s="193" t="s">
        <v>29</v>
      </c>
      <c r="I23" s="193">
        <f t="shared" ref="I23:I34" si="1">SUM(B23:H23)</f>
        <v>9489</v>
      </c>
      <c r="J23" s="36"/>
      <c r="K23" s="36"/>
      <c r="L23" s="36"/>
      <c r="M23" s="36"/>
      <c r="P23" s="36"/>
    </row>
    <row r="24" spans="1:16" x14ac:dyDescent="0.2">
      <c r="A24" s="123" t="s">
        <v>274</v>
      </c>
      <c r="B24" s="193" t="s">
        <v>29</v>
      </c>
      <c r="C24" s="193" t="s">
        <v>29</v>
      </c>
      <c r="D24" s="193" t="s">
        <v>29</v>
      </c>
      <c r="E24" s="193" t="s">
        <v>29</v>
      </c>
      <c r="F24" s="193">
        <v>9786</v>
      </c>
      <c r="G24" s="193">
        <v>1096</v>
      </c>
      <c r="H24" s="193" t="s">
        <v>29</v>
      </c>
      <c r="I24" s="193">
        <f t="shared" si="1"/>
        <v>10882</v>
      </c>
      <c r="J24" s="36"/>
      <c r="K24" s="36"/>
      <c r="L24" s="36"/>
      <c r="M24" s="36"/>
      <c r="P24" s="36"/>
    </row>
    <row r="25" spans="1:16" x14ac:dyDescent="0.2">
      <c r="A25" s="123" t="s">
        <v>275</v>
      </c>
      <c r="B25" s="193" t="s">
        <v>29</v>
      </c>
      <c r="C25" s="193" t="s">
        <v>29</v>
      </c>
      <c r="D25" s="193" t="s">
        <v>29</v>
      </c>
      <c r="E25" s="193">
        <v>2883</v>
      </c>
      <c r="F25" s="193">
        <v>1897</v>
      </c>
      <c r="G25" s="31">
        <v>21</v>
      </c>
      <c r="H25" s="193" t="s">
        <v>29</v>
      </c>
      <c r="I25" s="193">
        <f t="shared" si="1"/>
        <v>4801</v>
      </c>
      <c r="J25" s="36"/>
      <c r="K25" s="36"/>
      <c r="L25" s="36"/>
      <c r="O25" s="36"/>
      <c r="P25" s="36"/>
    </row>
    <row r="26" spans="1:16" x14ac:dyDescent="0.2">
      <c r="A26" s="123" t="s">
        <v>276</v>
      </c>
      <c r="B26" s="193" t="s">
        <v>29</v>
      </c>
      <c r="C26" s="193" t="s">
        <v>29</v>
      </c>
      <c r="D26" s="193" t="s">
        <v>29</v>
      </c>
      <c r="E26" s="193" t="s">
        <v>29</v>
      </c>
      <c r="F26" s="193">
        <v>6367</v>
      </c>
      <c r="G26" s="193" t="s">
        <v>29</v>
      </c>
      <c r="H26" s="193" t="s">
        <v>29</v>
      </c>
      <c r="I26" s="193">
        <f t="shared" si="1"/>
        <v>6367</v>
      </c>
      <c r="J26" s="36"/>
      <c r="K26" s="36"/>
      <c r="L26" s="36"/>
      <c r="M26" s="36"/>
      <c r="O26" s="36"/>
      <c r="P26" s="36"/>
    </row>
    <row r="27" spans="1:16" ht="10.5" customHeight="1" x14ac:dyDescent="0.2">
      <c r="A27" s="123">
        <v>1999</v>
      </c>
      <c r="B27" s="193" t="s">
        <v>29</v>
      </c>
      <c r="C27" s="193" t="s">
        <v>29</v>
      </c>
      <c r="D27" s="193" t="s">
        <v>29</v>
      </c>
      <c r="E27" s="193">
        <v>2524</v>
      </c>
      <c r="F27" s="193">
        <v>3950</v>
      </c>
      <c r="G27" s="193">
        <f>1628</f>
        <v>1628</v>
      </c>
      <c r="H27" s="193" t="s">
        <v>29</v>
      </c>
      <c r="I27" s="193">
        <f t="shared" si="1"/>
        <v>8102</v>
      </c>
      <c r="J27" s="36"/>
      <c r="K27" s="36"/>
      <c r="L27" s="36"/>
    </row>
    <row r="28" spans="1:16" x14ac:dyDescent="0.2">
      <c r="A28" s="123" t="s">
        <v>277</v>
      </c>
      <c r="B28" s="193" t="s">
        <v>29</v>
      </c>
      <c r="C28" s="193" t="s">
        <v>29</v>
      </c>
      <c r="D28" s="193" t="s">
        <v>29</v>
      </c>
      <c r="E28" s="193">
        <v>4980</v>
      </c>
      <c r="F28" s="193">
        <v>4727</v>
      </c>
      <c r="G28" s="193">
        <v>1646</v>
      </c>
      <c r="H28" s="193" t="s">
        <v>29</v>
      </c>
      <c r="I28" s="193">
        <f t="shared" si="1"/>
        <v>11353</v>
      </c>
      <c r="J28" s="36"/>
      <c r="K28" s="36"/>
      <c r="L28" s="36"/>
      <c r="P28" s="36"/>
    </row>
    <row r="29" spans="1:16" x14ac:dyDescent="0.2">
      <c r="A29" s="371">
        <v>2001</v>
      </c>
      <c r="B29" s="193" t="s">
        <v>29</v>
      </c>
      <c r="C29" s="193" t="s">
        <v>29</v>
      </c>
      <c r="D29" s="193" t="s">
        <v>29</v>
      </c>
      <c r="E29" s="31">
        <v>10450</v>
      </c>
      <c r="F29" s="193">
        <v>6516</v>
      </c>
      <c r="G29" s="193">
        <v>981</v>
      </c>
      <c r="H29" s="193" t="s">
        <v>29</v>
      </c>
      <c r="I29" s="193">
        <f t="shared" si="1"/>
        <v>17947</v>
      </c>
      <c r="J29" s="36"/>
      <c r="K29" s="36"/>
      <c r="L29" s="36"/>
      <c r="P29" s="36"/>
    </row>
    <row r="30" spans="1:16" x14ac:dyDescent="0.2">
      <c r="A30" s="371">
        <v>2002</v>
      </c>
      <c r="B30" s="193" t="s">
        <v>29</v>
      </c>
      <c r="C30" s="193">
        <v>576</v>
      </c>
      <c r="D30" s="193">
        <v>2533</v>
      </c>
      <c r="E30" s="193">
        <v>3957</v>
      </c>
      <c r="F30" s="193">
        <v>5467</v>
      </c>
      <c r="G30" s="193">
        <v>1151</v>
      </c>
      <c r="H30" s="193" t="s">
        <v>29</v>
      </c>
      <c r="I30" s="193">
        <f t="shared" si="1"/>
        <v>13684</v>
      </c>
      <c r="J30" s="36"/>
    </row>
    <row r="31" spans="1:16" x14ac:dyDescent="0.2">
      <c r="A31" s="371">
        <v>2003</v>
      </c>
      <c r="B31" s="193" t="s">
        <v>29</v>
      </c>
      <c r="C31" s="193" t="s">
        <v>29</v>
      </c>
      <c r="D31" s="193">
        <v>1372</v>
      </c>
      <c r="E31" s="193">
        <v>10109</v>
      </c>
      <c r="F31" s="193">
        <v>8071</v>
      </c>
      <c r="G31" s="193">
        <v>897</v>
      </c>
      <c r="H31" s="193" t="s">
        <v>29</v>
      </c>
      <c r="I31" s="31">
        <f t="shared" si="1"/>
        <v>20449</v>
      </c>
      <c r="J31" s="36"/>
      <c r="K31" s="36"/>
      <c r="P31" s="36"/>
    </row>
    <row r="32" spans="1:16" x14ac:dyDescent="0.2">
      <c r="A32" s="371">
        <v>2004</v>
      </c>
      <c r="B32" s="193" t="s">
        <v>29</v>
      </c>
      <c r="C32" s="193" t="s">
        <v>29</v>
      </c>
      <c r="D32" s="193">
        <v>435</v>
      </c>
      <c r="E32" s="193">
        <v>14337</v>
      </c>
      <c r="F32" s="193">
        <v>10376</v>
      </c>
      <c r="G32" s="193">
        <v>993</v>
      </c>
      <c r="H32" s="193" t="s">
        <v>29</v>
      </c>
      <c r="I32" s="193">
        <f t="shared" si="1"/>
        <v>26141</v>
      </c>
    </row>
    <row r="33" spans="1:9" s="359" customFormat="1" x14ac:dyDescent="0.2">
      <c r="A33" s="348">
        <v>2005</v>
      </c>
      <c r="B33" s="197" t="s">
        <v>29</v>
      </c>
      <c r="C33" s="197" t="s">
        <v>29</v>
      </c>
      <c r="D33" s="197" t="s">
        <v>29</v>
      </c>
      <c r="E33" s="197">
        <v>11461.744915506741</v>
      </c>
      <c r="F33" s="197">
        <v>4976.536814377022</v>
      </c>
      <c r="G33" s="197">
        <v>1972.1950999392814</v>
      </c>
      <c r="H33" s="197" t="s">
        <v>29</v>
      </c>
      <c r="I33" s="197">
        <f t="shared" si="1"/>
        <v>18410.476829823045</v>
      </c>
    </row>
    <row r="34" spans="1:9" x14ac:dyDescent="0.2">
      <c r="A34" s="348">
        <v>2006</v>
      </c>
      <c r="B34" s="193" t="s">
        <v>29</v>
      </c>
      <c r="C34" s="193" t="s">
        <v>29</v>
      </c>
      <c r="D34" s="193">
        <v>946.38</v>
      </c>
      <c r="E34" s="193">
        <v>6600.08</v>
      </c>
      <c r="F34" s="193">
        <v>4934.7</v>
      </c>
      <c r="G34" s="193">
        <v>928.28</v>
      </c>
      <c r="H34" s="193" t="s">
        <v>29</v>
      </c>
      <c r="I34" s="193">
        <f t="shared" si="1"/>
        <v>13409.44</v>
      </c>
    </row>
    <row r="35" spans="1:9" s="359" customFormat="1" x14ac:dyDescent="0.2">
      <c r="A35" s="348">
        <v>2007</v>
      </c>
      <c r="B35" s="197" t="s">
        <v>29</v>
      </c>
      <c r="C35" s="197" t="s">
        <v>29</v>
      </c>
      <c r="D35" s="197" t="s">
        <v>29</v>
      </c>
      <c r="E35" s="197">
        <v>6944.6</v>
      </c>
      <c r="F35" s="197">
        <v>5731.14</v>
      </c>
      <c r="G35" s="197">
        <v>691.05</v>
      </c>
      <c r="H35" s="197" t="s">
        <v>29</v>
      </c>
      <c r="I35" s="197">
        <f>SUM(B35:H35)</f>
        <v>13366.79</v>
      </c>
    </row>
    <row r="36" spans="1:9" s="359" customFormat="1" x14ac:dyDescent="0.2">
      <c r="A36" s="348">
        <v>2008</v>
      </c>
      <c r="B36" s="197" t="s">
        <v>29</v>
      </c>
      <c r="C36" s="197" t="s">
        <v>29</v>
      </c>
      <c r="D36" s="197">
        <v>1066.31</v>
      </c>
      <c r="E36" s="197">
        <v>2475.31</v>
      </c>
      <c r="F36" s="197">
        <v>2581.77</v>
      </c>
      <c r="G36" s="197">
        <v>246.55</v>
      </c>
      <c r="H36" s="197" t="s">
        <v>29</v>
      </c>
      <c r="I36" s="197">
        <f t="shared" ref="I36:I48" si="2">SUM(B36:H36)</f>
        <v>6369.94</v>
      </c>
    </row>
    <row r="37" spans="1:9" s="359" customFormat="1" x14ac:dyDescent="0.2">
      <c r="A37" s="348">
        <v>2009</v>
      </c>
      <c r="B37" s="197" t="s">
        <v>29</v>
      </c>
      <c r="C37" s="197" t="s">
        <v>29</v>
      </c>
      <c r="D37" s="197">
        <v>224.88</v>
      </c>
      <c r="E37" s="197">
        <v>6436.32</v>
      </c>
      <c r="F37" s="197">
        <v>8607.83</v>
      </c>
      <c r="G37" s="197">
        <v>1201.92</v>
      </c>
      <c r="H37" s="197" t="s">
        <v>29</v>
      </c>
      <c r="I37" s="197">
        <f t="shared" si="2"/>
        <v>16470.949999999997</v>
      </c>
    </row>
    <row r="38" spans="1:9" s="359" customFormat="1" x14ac:dyDescent="0.2">
      <c r="A38" s="348">
        <v>2010</v>
      </c>
      <c r="B38" s="197" t="s">
        <v>29</v>
      </c>
      <c r="C38" s="197" t="s">
        <v>29</v>
      </c>
      <c r="D38" s="197">
        <v>1239.23</v>
      </c>
      <c r="E38" s="197">
        <v>5700.79</v>
      </c>
      <c r="F38" s="197">
        <v>3802.5</v>
      </c>
      <c r="G38" s="197">
        <v>806.83999999999992</v>
      </c>
      <c r="H38" s="197" t="s">
        <v>29</v>
      </c>
      <c r="I38" s="197">
        <f t="shared" si="2"/>
        <v>11549.36</v>
      </c>
    </row>
    <row r="39" spans="1:9" s="359" customFormat="1" x14ac:dyDescent="0.2">
      <c r="A39" s="348">
        <v>2011</v>
      </c>
      <c r="B39" s="197" t="s">
        <v>29</v>
      </c>
      <c r="C39" s="197" t="s">
        <v>29</v>
      </c>
      <c r="D39" s="197">
        <v>638.43000000000006</v>
      </c>
      <c r="E39" s="197">
        <v>5500.32</v>
      </c>
      <c r="F39" s="197">
        <v>4259.45</v>
      </c>
      <c r="G39" s="197">
        <v>671.22</v>
      </c>
      <c r="H39" s="197" t="s">
        <v>29</v>
      </c>
      <c r="I39" s="197">
        <f t="shared" si="2"/>
        <v>11069.42</v>
      </c>
    </row>
    <row r="40" spans="1:9" s="359" customFormat="1" x14ac:dyDescent="0.2">
      <c r="A40" s="348">
        <v>2012</v>
      </c>
      <c r="B40" s="197" t="s">
        <v>29</v>
      </c>
      <c r="C40" s="197" t="s">
        <v>29</v>
      </c>
      <c r="D40" s="197">
        <v>1204.44</v>
      </c>
      <c r="E40" s="197">
        <v>7324.48</v>
      </c>
      <c r="F40" s="197">
        <v>3641.32</v>
      </c>
      <c r="G40" s="197">
        <v>1268.3599999999999</v>
      </c>
      <c r="H40" s="197" t="s">
        <v>29</v>
      </c>
      <c r="I40" s="197">
        <f t="shared" si="2"/>
        <v>13438.6</v>
      </c>
    </row>
    <row r="41" spans="1:9" s="359" customFormat="1" x14ac:dyDescent="0.2">
      <c r="A41" s="348">
        <v>2013</v>
      </c>
      <c r="B41" s="197" t="s">
        <v>29</v>
      </c>
      <c r="C41" s="197">
        <v>814.98</v>
      </c>
      <c r="D41" s="197">
        <v>1713.94</v>
      </c>
      <c r="E41" s="197">
        <v>7398.92</v>
      </c>
      <c r="F41" s="197">
        <v>5043.95</v>
      </c>
      <c r="G41" s="197">
        <v>390.53</v>
      </c>
      <c r="H41" s="197" t="s">
        <v>29</v>
      </c>
      <c r="I41" s="197">
        <f t="shared" si="2"/>
        <v>15362.320000000002</v>
      </c>
    </row>
    <row r="42" spans="1:9" s="359" customFormat="1" x14ac:dyDescent="0.2">
      <c r="A42" s="348">
        <v>2014</v>
      </c>
      <c r="B42" s="197" t="s">
        <v>29</v>
      </c>
      <c r="C42" s="197">
        <v>827.09</v>
      </c>
      <c r="D42" s="197">
        <v>2334.31</v>
      </c>
      <c r="E42" s="197">
        <v>8101.53</v>
      </c>
      <c r="F42" s="197">
        <v>3547.48</v>
      </c>
      <c r="G42" s="197">
        <v>1706.28</v>
      </c>
      <c r="H42" s="197" t="s">
        <v>29</v>
      </c>
      <c r="I42" s="197">
        <f t="shared" si="2"/>
        <v>16516.689999999999</v>
      </c>
    </row>
    <row r="43" spans="1:9" s="359" customFormat="1" x14ac:dyDescent="0.2">
      <c r="A43" s="348">
        <v>2015</v>
      </c>
      <c r="B43" s="197" t="s">
        <v>29</v>
      </c>
      <c r="C43" s="197">
        <v>370.23</v>
      </c>
      <c r="D43" s="197">
        <v>2370.8000000000002</v>
      </c>
      <c r="E43" s="197">
        <v>8760.52</v>
      </c>
      <c r="F43" s="197">
        <v>2345.36</v>
      </c>
      <c r="G43" s="197">
        <v>918.56999999999994</v>
      </c>
      <c r="H43" s="197" t="s">
        <v>29</v>
      </c>
      <c r="I43" s="197">
        <f>SUM(B43:H43)</f>
        <v>14765.480000000001</v>
      </c>
    </row>
    <row r="44" spans="1:9" s="359" customFormat="1" x14ac:dyDescent="0.2">
      <c r="A44" s="348">
        <v>2016</v>
      </c>
      <c r="B44" s="197" t="s">
        <v>29</v>
      </c>
      <c r="C44" s="197" t="s">
        <v>29</v>
      </c>
      <c r="D44" s="197" t="s">
        <v>29</v>
      </c>
      <c r="E44" s="197">
        <v>7503.69</v>
      </c>
      <c r="F44" s="197">
        <v>751.07</v>
      </c>
      <c r="G44" s="197" t="s">
        <v>29</v>
      </c>
      <c r="H44" s="197" t="s">
        <v>29</v>
      </c>
      <c r="I44" s="197">
        <f>SUM(B44:H44)</f>
        <v>8254.76</v>
      </c>
    </row>
    <row r="45" spans="1:9" s="359" customFormat="1" x14ac:dyDescent="0.2">
      <c r="A45" s="348">
        <v>2017</v>
      </c>
      <c r="B45" s="197" t="s">
        <v>29</v>
      </c>
      <c r="C45" s="197" t="s">
        <v>29</v>
      </c>
      <c r="D45" s="197">
        <v>385.86</v>
      </c>
      <c r="E45" s="197">
        <v>7874.17</v>
      </c>
      <c r="F45" s="197">
        <v>2037</v>
      </c>
      <c r="G45" s="197">
        <v>493.65</v>
      </c>
      <c r="H45" s="197" t="s">
        <v>29</v>
      </c>
      <c r="I45" s="197">
        <f>SUM(B45:H45)</f>
        <v>10790.68</v>
      </c>
    </row>
    <row r="46" spans="1:9" s="359" customFormat="1" x14ac:dyDescent="0.2">
      <c r="A46" s="348">
        <v>2018</v>
      </c>
      <c r="B46" s="197" t="s">
        <v>29</v>
      </c>
      <c r="C46" s="197" t="s">
        <v>29</v>
      </c>
      <c r="D46" s="197">
        <v>1169.17</v>
      </c>
      <c r="E46" s="197">
        <v>5989.08</v>
      </c>
      <c r="F46" s="197">
        <v>1499.01</v>
      </c>
      <c r="G46" s="197">
        <v>0</v>
      </c>
      <c r="H46" s="197" t="s">
        <v>29</v>
      </c>
      <c r="I46" s="197">
        <f>SUM(B46:H46)</f>
        <v>8657.26</v>
      </c>
    </row>
    <row r="47" spans="1:9" s="487" customFormat="1" x14ac:dyDescent="0.2">
      <c r="A47" s="491">
        <v>2019</v>
      </c>
      <c r="B47" s="197" t="s">
        <v>29</v>
      </c>
      <c r="C47" s="197" t="s">
        <v>29</v>
      </c>
      <c r="D47" s="197">
        <v>2526.71</v>
      </c>
      <c r="E47" s="197">
        <v>5150.1400000000003</v>
      </c>
      <c r="F47" s="197">
        <v>1986.97</v>
      </c>
      <c r="G47" s="197">
        <v>400.36</v>
      </c>
      <c r="H47" s="197" t="s">
        <v>29</v>
      </c>
      <c r="I47" s="197">
        <f t="shared" ref="I47" si="3">SUM(B47:H47)</f>
        <v>10064.18</v>
      </c>
    </row>
    <row r="48" spans="1:9" x14ac:dyDescent="0.2">
      <c r="A48" s="490" t="s">
        <v>395</v>
      </c>
      <c r="B48" s="193" t="s">
        <v>29</v>
      </c>
      <c r="C48" s="193" t="s">
        <v>29</v>
      </c>
      <c r="D48" s="193">
        <v>1322.47</v>
      </c>
      <c r="E48" s="193">
        <v>4700.04</v>
      </c>
      <c r="F48" s="193">
        <v>767.93</v>
      </c>
      <c r="G48" s="193" t="s">
        <v>29</v>
      </c>
      <c r="H48" s="193" t="s">
        <v>29</v>
      </c>
      <c r="I48" s="193">
        <f t="shared" si="2"/>
        <v>6790.4400000000005</v>
      </c>
    </row>
    <row r="50" spans="1:9" x14ac:dyDescent="0.2">
      <c r="A50" s="116" t="s">
        <v>66</v>
      </c>
    </row>
    <row r="51" spans="1:9" x14ac:dyDescent="0.2">
      <c r="A51" s="371">
        <v>1976</v>
      </c>
      <c r="B51" s="193" t="s">
        <v>29</v>
      </c>
      <c r="C51" s="193">
        <v>916</v>
      </c>
      <c r="D51" s="193">
        <v>2940</v>
      </c>
      <c r="E51" s="193">
        <v>13001</v>
      </c>
      <c r="F51" s="193">
        <v>19862</v>
      </c>
      <c r="G51" s="193">
        <v>9326</v>
      </c>
      <c r="H51" s="193">
        <v>85</v>
      </c>
      <c r="I51" s="193">
        <f t="shared" ref="I51:I68" si="4">SUM(B51:H51)</f>
        <v>46130</v>
      </c>
    </row>
    <row r="52" spans="1:9" x14ac:dyDescent="0.2">
      <c r="A52" s="371">
        <v>1977</v>
      </c>
      <c r="B52" s="31">
        <v>0</v>
      </c>
      <c r="C52" s="31">
        <v>476</v>
      </c>
      <c r="D52" s="31">
        <v>1082</v>
      </c>
      <c r="E52" s="31">
        <v>7530</v>
      </c>
      <c r="F52" s="193">
        <v>15382</v>
      </c>
      <c r="G52" s="193">
        <v>4439</v>
      </c>
      <c r="H52" s="193">
        <v>72</v>
      </c>
      <c r="I52" s="193">
        <f t="shared" si="4"/>
        <v>28981</v>
      </c>
    </row>
    <row r="53" spans="1:9" x14ac:dyDescent="0.2">
      <c r="A53" s="371">
        <v>1978</v>
      </c>
      <c r="B53" s="31">
        <v>48</v>
      </c>
      <c r="C53" s="31">
        <v>143</v>
      </c>
      <c r="D53" s="31">
        <v>1363</v>
      </c>
      <c r="E53" s="31">
        <v>9308</v>
      </c>
      <c r="F53" s="193">
        <v>9531</v>
      </c>
      <c r="G53" s="193">
        <v>1884</v>
      </c>
      <c r="H53" s="193">
        <v>1150</v>
      </c>
      <c r="I53" s="193">
        <f t="shared" si="4"/>
        <v>23427</v>
      </c>
    </row>
    <row r="54" spans="1:9" x14ac:dyDescent="0.2">
      <c r="A54" s="371">
        <v>1979</v>
      </c>
      <c r="B54" s="31" t="s">
        <v>29</v>
      </c>
      <c r="C54" s="31">
        <v>53</v>
      </c>
      <c r="D54" s="31">
        <v>229</v>
      </c>
      <c r="E54" s="31">
        <v>4393</v>
      </c>
      <c r="F54" s="193">
        <v>7857</v>
      </c>
      <c r="G54" s="193">
        <v>15</v>
      </c>
      <c r="H54" s="193" t="s">
        <v>29</v>
      </c>
      <c r="I54" s="193">
        <f t="shared" si="4"/>
        <v>12547</v>
      </c>
    </row>
    <row r="55" spans="1:9" x14ac:dyDescent="0.2">
      <c r="A55" s="371">
        <v>1980</v>
      </c>
      <c r="B55" s="31" t="s">
        <v>29</v>
      </c>
      <c r="C55" s="31">
        <v>130</v>
      </c>
      <c r="D55" s="31">
        <v>1089</v>
      </c>
      <c r="E55" s="31">
        <v>5426</v>
      </c>
      <c r="F55" s="193">
        <v>5950</v>
      </c>
      <c r="G55" s="193" t="s">
        <v>29</v>
      </c>
      <c r="H55" s="193" t="s">
        <v>29</v>
      </c>
      <c r="I55" s="193">
        <f t="shared" si="4"/>
        <v>12595</v>
      </c>
    </row>
    <row r="56" spans="1:9" x14ac:dyDescent="0.2">
      <c r="A56" s="371">
        <v>1981</v>
      </c>
      <c r="B56" s="31" t="s">
        <v>29</v>
      </c>
      <c r="C56" s="31">
        <v>0</v>
      </c>
      <c r="D56" s="31">
        <v>0</v>
      </c>
      <c r="E56" s="31">
        <v>0</v>
      </c>
      <c r="F56" s="193">
        <v>1392</v>
      </c>
      <c r="G56" s="193" t="s">
        <v>29</v>
      </c>
      <c r="H56" s="193" t="s">
        <v>29</v>
      </c>
      <c r="I56" s="193">
        <f t="shared" si="4"/>
        <v>1392</v>
      </c>
    </row>
    <row r="57" spans="1:9" x14ac:dyDescent="0.2">
      <c r="A57" s="371">
        <v>1982</v>
      </c>
      <c r="B57" s="31" t="s">
        <v>29</v>
      </c>
      <c r="C57" s="31">
        <v>0</v>
      </c>
      <c r="D57" s="31">
        <v>208</v>
      </c>
      <c r="E57" s="31">
        <v>3453</v>
      </c>
      <c r="F57" s="193">
        <v>3709</v>
      </c>
      <c r="G57" s="193" t="s">
        <v>29</v>
      </c>
      <c r="H57" s="193" t="s">
        <v>29</v>
      </c>
      <c r="I57" s="193">
        <f t="shared" si="4"/>
        <v>7370</v>
      </c>
    </row>
    <row r="58" spans="1:9" x14ac:dyDescent="0.2">
      <c r="A58" s="371">
        <v>1983</v>
      </c>
      <c r="B58" s="193" t="s">
        <v>29</v>
      </c>
      <c r="C58" s="193" t="s">
        <v>29</v>
      </c>
      <c r="D58" s="193" t="s">
        <v>29</v>
      </c>
      <c r="E58" s="193">
        <v>1314</v>
      </c>
      <c r="F58" s="193">
        <v>4333</v>
      </c>
      <c r="G58" s="193">
        <v>461</v>
      </c>
      <c r="H58" s="193" t="s">
        <v>29</v>
      </c>
      <c r="I58" s="193">
        <f t="shared" si="4"/>
        <v>6108</v>
      </c>
    </row>
    <row r="59" spans="1:9" x14ac:dyDescent="0.2">
      <c r="A59" s="371">
        <v>1984</v>
      </c>
      <c r="B59" s="193" t="s">
        <v>29</v>
      </c>
      <c r="C59" s="193" t="s">
        <v>29</v>
      </c>
      <c r="D59" s="193" t="s">
        <v>29</v>
      </c>
      <c r="E59" s="193">
        <v>66</v>
      </c>
      <c r="F59" s="193">
        <v>176</v>
      </c>
      <c r="G59" s="193" t="s">
        <v>29</v>
      </c>
      <c r="H59" s="193" t="s">
        <v>29</v>
      </c>
      <c r="I59" s="193">
        <f t="shared" si="4"/>
        <v>242</v>
      </c>
    </row>
    <row r="60" spans="1:9" x14ac:dyDescent="0.2">
      <c r="A60" s="371">
        <v>1985</v>
      </c>
      <c r="B60" s="193" t="s">
        <v>29</v>
      </c>
      <c r="C60" s="193" t="s">
        <v>29</v>
      </c>
      <c r="D60" s="193">
        <v>23</v>
      </c>
      <c r="E60" s="193">
        <v>762</v>
      </c>
      <c r="F60" s="193">
        <v>764</v>
      </c>
      <c r="G60" s="193">
        <v>0</v>
      </c>
      <c r="H60" s="193" t="s">
        <v>29</v>
      </c>
      <c r="I60" s="193">
        <f t="shared" si="4"/>
        <v>1549</v>
      </c>
    </row>
    <row r="61" spans="1:9" x14ac:dyDescent="0.2">
      <c r="A61" s="371">
        <v>1986</v>
      </c>
      <c r="B61" s="193" t="s">
        <v>29</v>
      </c>
      <c r="C61" s="193" t="s">
        <v>29</v>
      </c>
      <c r="D61" s="193">
        <v>54</v>
      </c>
      <c r="E61" s="193">
        <v>887</v>
      </c>
      <c r="F61" s="193">
        <v>761</v>
      </c>
      <c r="G61" s="193" t="s">
        <v>29</v>
      </c>
      <c r="H61" s="193" t="s">
        <v>29</v>
      </c>
      <c r="I61" s="193">
        <f t="shared" si="4"/>
        <v>1702</v>
      </c>
    </row>
    <row r="62" spans="1:9" x14ac:dyDescent="0.2">
      <c r="A62" s="371">
        <v>1987</v>
      </c>
      <c r="B62" s="193" t="s">
        <v>29</v>
      </c>
      <c r="C62" s="193" t="s">
        <v>29</v>
      </c>
      <c r="D62" s="193">
        <v>70</v>
      </c>
      <c r="E62" s="193">
        <v>1203</v>
      </c>
      <c r="F62" s="193">
        <v>767</v>
      </c>
      <c r="G62" s="193" t="s">
        <v>29</v>
      </c>
      <c r="H62" s="193" t="s">
        <v>29</v>
      </c>
      <c r="I62" s="193">
        <f t="shared" si="4"/>
        <v>2040</v>
      </c>
    </row>
    <row r="63" spans="1:9" x14ac:dyDescent="0.2">
      <c r="A63" s="371">
        <v>1988</v>
      </c>
      <c r="B63" s="193" t="s">
        <v>29</v>
      </c>
      <c r="C63" s="193" t="s">
        <v>29</v>
      </c>
      <c r="D63" s="193" t="s">
        <v>29</v>
      </c>
      <c r="E63" s="193">
        <v>2377</v>
      </c>
      <c r="F63" s="193">
        <v>346</v>
      </c>
      <c r="G63" s="193">
        <v>86</v>
      </c>
      <c r="H63" s="193" t="s">
        <v>29</v>
      </c>
      <c r="I63" s="193">
        <f t="shared" si="4"/>
        <v>2809</v>
      </c>
    </row>
    <row r="64" spans="1:9" x14ac:dyDescent="0.2">
      <c r="A64" s="371">
        <v>1989</v>
      </c>
      <c r="B64" s="193" t="s">
        <v>29</v>
      </c>
      <c r="C64" s="193">
        <v>66</v>
      </c>
      <c r="D64" s="193">
        <v>57</v>
      </c>
      <c r="E64" s="193">
        <v>1524</v>
      </c>
      <c r="F64" s="193" t="s">
        <v>29</v>
      </c>
      <c r="G64" s="193" t="s">
        <v>29</v>
      </c>
      <c r="H64" s="193" t="s">
        <v>29</v>
      </c>
      <c r="I64" s="193">
        <f t="shared" si="4"/>
        <v>1647</v>
      </c>
    </row>
    <row r="65" spans="1:16" x14ac:dyDescent="0.2">
      <c r="A65" s="371">
        <v>1990</v>
      </c>
      <c r="B65" s="193" t="s">
        <v>29</v>
      </c>
      <c r="C65" s="193" t="s">
        <v>29</v>
      </c>
      <c r="D65" s="193" t="s">
        <v>29</v>
      </c>
      <c r="E65" s="193">
        <v>2847</v>
      </c>
      <c r="F65" s="193">
        <v>1122</v>
      </c>
      <c r="G65" s="193">
        <v>221</v>
      </c>
      <c r="H65" s="193" t="s">
        <v>29</v>
      </c>
      <c r="I65" s="193">
        <f t="shared" si="4"/>
        <v>4190</v>
      </c>
    </row>
    <row r="66" spans="1:16" x14ac:dyDescent="0.2">
      <c r="A66" s="371">
        <v>1991</v>
      </c>
      <c r="B66" s="193" t="s">
        <v>29</v>
      </c>
      <c r="C66" s="193" t="s">
        <v>29</v>
      </c>
      <c r="D66" s="193" t="s">
        <v>29</v>
      </c>
      <c r="E66" s="193">
        <v>3528</v>
      </c>
      <c r="F66" s="31">
        <v>6</v>
      </c>
      <c r="G66" s="193" t="s">
        <v>29</v>
      </c>
      <c r="H66" s="193" t="s">
        <v>29</v>
      </c>
      <c r="I66" s="193">
        <f t="shared" si="4"/>
        <v>3534</v>
      </c>
      <c r="J66" s="36"/>
      <c r="K66" s="36"/>
      <c r="L66" s="36"/>
      <c r="N66" s="36"/>
      <c r="O66" s="36"/>
      <c r="P66" s="36"/>
    </row>
    <row r="67" spans="1:16" x14ac:dyDescent="0.2">
      <c r="A67" s="371">
        <v>1992</v>
      </c>
      <c r="B67" s="193" t="s">
        <v>29</v>
      </c>
      <c r="C67" s="193" t="s">
        <v>29</v>
      </c>
      <c r="D67" s="193" t="s">
        <v>29</v>
      </c>
      <c r="E67" s="193">
        <v>1675</v>
      </c>
      <c r="F67" s="193">
        <v>513</v>
      </c>
      <c r="G67" s="193">
        <v>266</v>
      </c>
      <c r="H67" s="31">
        <v>8</v>
      </c>
      <c r="I67" s="193">
        <f t="shared" si="4"/>
        <v>2462</v>
      </c>
      <c r="J67" s="36"/>
      <c r="K67" s="36"/>
      <c r="L67" s="36"/>
      <c r="P67" s="36"/>
    </row>
    <row r="68" spans="1:16" x14ac:dyDescent="0.2">
      <c r="A68" s="371">
        <v>1993</v>
      </c>
      <c r="B68" s="193" t="s">
        <v>29</v>
      </c>
      <c r="C68" s="193" t="s">
        <v>29</v>
      </c>
      <c r="D68" s="193" t="s">
        <v>29</v>
      </c>
      <c r="E68" s="193">
        <v>1505</v>
      </c>
      <c r="F68" s="193">
        <v>762</v>
      </c>
      <c r="G68" s="193">
        <f>557+76</f>
        <v>633</v>
      </c>
      <c r="H68" s="193" t="s">
        <v>29</v>
      </c>
      <c r="I68" s="193">
        <f t="shared" si="4"/>
        <v>2900</v>
      </c>
      <c r="J68" s="36"/>
      <c r="K68" s="36"/>
      <c r="L68" s="36"/>
      <c r="P68" s="36"/>
    </row>
    <row r="69" spans="1:16" x14ac:dyDescent="0.2">
      <c r="A69" s="371">
        <v>1994</v>
      </c>
      <c r="B69" s="193" t="s">
        <v>29</v>
      </c>
      <c r="C69" s="193" t="s">
        <v>29</v>
      </c>
      <c r="D69" s="193" t="s">
        <v>29</v>
      </c>
      <c r="E69" s="193" t="s">
        <v>29</v>
      </c>
      <c r="F69" s="193" t="s">
        <v>29</v>
      </c>
      <c r="G69" s="193" t="s">
        <v>29</v>
      </c>
      <c r="H69" s="193" t="s">
        <v>29</v>
      </c>
      <c r="I69" s="193" t="s">
        <v>29</v>
      </c>
      <c r="J69" s="36"/>
      <c r="K69" s="36"/>
      <c r="L69" s="36"/>
      <c r="M69" s="36"/>
      <c r="N69" s="36"/>
      <c r="O69" s="36"/>
      <c r="P69" s="36"/>
    </row>
    <row r="70" spans="1:16" x14ac:dyDescent="0.2">
      <c r="A70" s="371">
        <v>1995</v>
      </c>
      <c r="B70" s="193" t="s">
        <v>29</v>
      </c>
      <c r="C70" s="193" t="s">
        <v>29</v>
      </c>
      <c r="D70" s="193" t="s">
        <v>29</v>
      </c>
      <c r="E70" s="193" t="s">
        <v>29</v>
      </c>
      <c r="F70" s="193">
        <v>911</v>
      </c>
      <c r="G70" s="193">
        <v>540</v>
      </c>
      <c r="H70" s="193" t="s">
        <v>29</v>
      </c>
      <c r="I70" s="193">
        <f t="shared" ref="I70:I81" si="5">SUM(B70:H70)</f>
        <v>1451</v>
      </c>
      <c r="J70" s="36"/>
      <c r="K70" s="36"/>
      <c r="L70" s="36"/>
      <c r="M70" s="36"/>
      <c r="P70" s="36"/>
    </row>
    <row r="71" spans="1:16" x14ac:dyDescent="0.2">
      <c r="A71" s="371">
        <v>1996</v>
      </c>
      <c r="B71" s="193" t="s">
        <v>29</v>
      </c>
      <c r="C71" s="193" t="s">
        <v>29</v>
      </c>
      <c r="D71" s="193" t="s">
        <v>29</v>
      </c>
      <c r="E71" s="193" t="s">
        <v>29</v>
      </c>
      <c r="F71" s="193">
        <v>781</v>
      </c>
      <c r="G71" s="193">
        <v>506</v>
      </c>
      <c r="H71" s="193" t="s">
        <v>29</v>
      </c>
      <c r="I71" s="193">
        <f t="shared" si="5"/>
        <v>1287</v>
      </c>
      <c r="J71" s="36"/>
      <c r="K71" s="36"/>
      <c r="L71" s="36"/>
      <c r="M71" s="36"/>
      <c r="P71" s="36"/>
    </row>
    <row r="72" spans="1:16" x14ac:dyDescent="0.2">
      <c r="A72" s="371">
        <v>1997</v>
      </c>
      <c r="B72" s="193" t="s">
        <v>29</v>
      </c>
      <c r="C72" s="193" t="s">
        <v>29</v>
      </c>
      <c r="D72" s="193" t="s">
        <v>29</v>
      </c>
      <c r="E72" s="193">
        <v>925</v>
      </c>
      <c r="F72" s="31">
        <v>0</v>
      </c>
      <c r="G72" s="193" t="s">
        <v>29</v>
      </c>
      <c r="H72" s="193" t="s">
        <v>29</v>
      </c>
      <c r="I72" s="193">
        <f t="shared" si="5"/>
        <v>925</v>
      </c>
      <c r="J72" s="36"/>
      <c r="K72" s="36"/>
      <c r="L72" s="36"/>
      <c r="N72" s="36"/>
      <c r="O72" s="36"/>
      <c r="P72" s="36"/>
    </row>
    <row r="73" spans="1:16" x14ac:dyDescent="0.2">
      <c r="A73" s="371">
        <v>1998</v>
      </c>
      <c r="B73" s="193" t="s">
        <v>29</v>
      </c>
      <c r="C73" s="193" t="s">
        <v>29</v>
      </c>
      <c r="D73" s="193" t="s">
        <v>29</v>
      </c>
      <c r="E73" s="193" t="s">
        <v>29</v>
      </c>
      <c r="F73" s="193">
        <v>578</v>
      </c>
      <c r="G73" s="193" t="s">
        <v>29</v>
      </c>
      <c r="H73" s="193" t="s">
        <v>29</v>
      </c>
      <c r="I73" s="193">
        <f t="shared" si="5"/>
        <v>578</v>
      </c>
      <c r="J73" s="36"/>
      <c r="K73" s="36"/>
      <c r="L73" s="36"/>
      <c r="M73" s="36"/>
      <c r="O73" s="36"/>
      <c r="P73" s="36"/>
    </row>
    <row r="74" spans="1:16" x14ac:dyDescent="0.2">
      <c r="A74" s="371">
        <v>1999</v>
      </c>
      <c r="B74" s="193" t="s">
        <v>29</v>
      </c>
      <c r="C74" s="193" t="s">
        <v>29</v>
      </c>
      <c r="D74" s="193" t="s">
        <v>29</v>
      </c>
      <c r="E74" s="193">
        <v>1022</v>
      </c>
      <c r="F74" s="193">
        <v>1230</v>
      </c>
      <c r="G74" s="193">
        <v>669</v>
      </c>
      <c r="H74" s="193" t="s">
        <v>29</v>
      </c>
      <c r="I74" s="193">
        <f t="shared" si="5"/>
        <v>2921</v>
      </c>
      <c r="J74" s="36"/>
      <c r="K74" s="36"/>
      <c r="L74" s="36"/>
      <c r="P74" s="36"/>
    </row>
    <row r="75" spans="1:16" x14ac:dyDescent="0.2">
      <c r="A75" s="371">
        <v>2000</v>
      </c>
      <c r="B75" s="193" t="s">
        <v>29</v>
      </c>
      <c r="C75" s="193" t="s">
        <v>29</v>
      </c>
      <c r="D75" s="193" t="s">
        <v>29</v>
      </c>
      <c r="E75" s="193">
        <v>1233</v>
      </c>
      <c r="F75" s="193">
        <v>742</v>
      </c>
      <c r="G75" s="193" t="s">
        <v>29</v>
      </c>
      <c r="H75" s="193" t="s">
        <v>29</v>
      </c>
      <c r="I75" s="193">
        <f t="shared" si="5"/>
        <v>1975</v>
      </c>
      <c r="J75" s="36"/>
      <c r="K75" s="36"/>
      <c r="L75" s="36"/>
      <c r="O75" s="36"/>
      <c r="P75" s="36"/>
    </row>
    <row r="76" spans="1:16" x14ac:dyDescent="0.2">
      <c r="A76" s="371">
        <v>2001</v>
      </c>
      <c r="B76" s="193" t="s">
        <v>29</v>
      </c>
      <c r="C76" s="193" t="s">
        <v>29</v>
      </c>
      <c r="D76" s="193" t="s">
        <v>29</v>
      </c>
      <c r="E76" s="193">
        <v>1941</v>
      </c>
      <c r="F76" s="193">
        <v>960</v>
      </c>
      <c r="G76" s="193">
        <v>247</v>
      </c>
      <c r="H76" s="193">
        <v>239</v>
      </c>
      <c r="I76" s="193">
        <f t="shared" si="5"/>
        <v>3387</v>
      </c>
      <c r="J76" s="36"/>
      <c r="K76" s="36"/>
      <c r="L76" s="36"/>
    </row>
    <row r="77" spans="1:16" x14ac:dyDescent="0.2">
      <c r="A77" s="371">
        <v>2002</v>
      </c>
      <c r="B77" s="193" t="s">
        <v>29</v>
      </c>
      <c r="C77" s="193">
        <v>59</v>
      </c>
      <c r="D77" s="193">
        <v>231</v>
      </c>
      <c r="E77" s="193">
        <v>1089</v>
      </c>
      <c r="F77" s="193">
        <v>1350</v>
      </c>
      <c r="G77" s="193">
        <v>568</v>
      </c>
      <c r="H77" s="193">
        <v>113</v>
      </c>
      <c r="I77" s="193">
        <f t="shared" si="5"/>
        <v>3410</v>
      </c>
      <c r="J77" s="36"/>
    </row>
    <row r="78" spans="1:16" x14ac:dyDescent="0.2">
      <c r="A78" s="371">
        <v>2003</v>
      </c>
      <c r="B78" s="193" t="s">
        <v>29</v>
      </c>
      <c r="C78" s="193" t="s">
        <v>29</v>
      </c>
      <c r="D78" s="193">
        <v>244</v>
      </c>
      <c r="E78" s="193">
        <v>1774</v>
      </c>
      <c r="F78" s="193">
        <v>1595</v>
      </c>
      <c r="G78" s="193">
        <v>628</v>
      </c>
      <c r="H78" s="193">
        <v>128</v>
      </c>
      <c r="I78" s="193">
        <f t="shared" si="5"/>
        <v>4369</v>
      </c>
      <c r="J78" s="36"/>
      <c r="K78" s="36"/>
    </row>
    <row r="79" spans="1:16" x14ac:dyDescent="0.2">
      <c r="A79" s="371">
        <v>2004</v>
      </c>
      <c r="B79" s="193" t="s">
        <v>29</v>
      </c>
      <c r="C79" s="193" t="s">
        <v>29</v>
      </c>
      <c r="D79" s="193">
        <v>123</v>
      </c>
      <c r="E79" s="193">
        <v>1883</v>
      </c>
      <c r="F79" s="193">
        <v>1484</v>
      </c>
      <c r="G79" s="193">
        <v>1053</v>
      </c>
      <c r="H79" s="31">
        <v>20</v>
      </c>
      <c r="I79" s="193">
        <f t="shared" si="5"/>
        <v>4563</v>
      </c>
    </row>
    <row r="80" spans="1:16" s="359" customFormat="1" x14ac:dyDescent="0.2">
      <c r="A80" s="348">
        <v>2005</v>
      </c>
      <c r="B80" s="197" t="s">
        <v>29</v>
      </c>
      <c r="C80" s="197" t="s">
        <v>29</v>
      </c>
      <c r="D80" s="197" t="s">
        <v>29</v>
      </c>
      <c r="E80" s="197">
        <v>1867</v>
      </c>
      <c r="F80" s="197">
        <v>2039</v>
      </c>
      <c r="G80" s="197">
        <v>895</v>
      </c>
      <c r="H80" s="197">
        <v>160</v>
      </c>
      <c r="I80" s="197">
        <f t="shared" si="5"/>
        <v>4961</v>
      </c>
    </row>
    <row r="81" spans="1:9" x14ac:dyDescent="0.2">
      <c r="A81" s="348">
        <v>2006</v>
      </c>
      <c r="B81" s="193" t="s">
        <v>29</v>
      </c>
      <c r="C81" s="193" t="s">
        <v>29</v>
      </c>
      <c r="D81" s="193">
        <v>172.55</v>
      </c>
      <c r="E81" s="193">
        <v>1029.3</v>
      </c>
      <c r="F81" s="193">
        <v>1942.5</v>
      </c>
      <c r="G81" s="193">
        <v>740.28</v>
      </c>
      <c r="H81" s="193">
        <v>258.35000000000002</v>
      </c>
      <c r="I81" s="193">
        <f t="shared" si="5"/>
        <v>4142.9800000000005</v>
      </c>
    </row>
    <row r="82" spans="1:9" s="359" customFormat="1" x14ac:dyDescent="0.2">
      <c r="A82" s="348">
        <v>2007</v>
      </c>
      <c r="B82" s="197" t="s">
        <v>29</v>
      </c>
      <c r="C82" s="197" t="s">
        <v>29</v>
      </c>
      <c r="D82" s="197" t="s">
        <v>29</v>
      </c>
      <c r="E82" s="197">
        <v>989.28</v>
      </c>
      <c r="F82" s="197">
        <v>1639.83</v>
      </c>
      <c r="G82" s="197">
        <v>639.07000000000005</v>
      </c>
      <c r="H82" s="197">
        <v>0</v>
      </c>
      <c r="I82" s="197">
        <f>SUM(B82:H82)</f>
        <v>3268.18</v>
      </c>
    </row>
    <row r="83" spans="1:9" s="359" customFormat="1" x14ac:dyDescent="0.2">
      <c r="A83" s="348">
        <v>2008</v>
      </c>
      <c r="B83" s="197" t="s">
        <v>29</v>
      </c>
      <c r="C83" s="197" t="s">
        <v>29</v>
      </c>
      <c r="D83" s="197">
        <v>281.12</v>
      </c>
      <c r="E83" s="197">
        <v>535.26</v>
      </c>
      <c r="F83" s="197">
        <v>708.58</v>
      </c>
      <c r="G83" s="197">
        <v>508.07</v>
      </c>
      <c r="H83" s="197">
        <v>37.5</v>
      </c>
      <c r="I83" s="197">
        <f t="shared" ref="I83:I95" si="6">SUM(B83:H83)</f>
        <v>2070.5299999999997</v>
      </c>
    </row>
    <row r="84" spans="1:9" s="359" customFormat="1" x14ac:dyDescent="0.2">
      <c r="A84" s="348">
        <v>2009</v>
      </c>
      <c r="B84" s="197" t="s">
        <v>29</v>
      </c>
      <c r="C84" s="197" t="s">
        <v>29</v>
      </c>
      <c r="D84" s="197">
        <v>101.94</v>
      </c>
      <c r="E84" s="197">
        <v>1462.33</v>
      </c>
      <c r="F84" s="197">
        <v>2699.54</v>
      </c>
      <c r="G84" s="197">
        <v>600.89</v>
      </c>
      <c r="H84" s="197">
        <v>212.42</v>
      </c>
      <c r="I84" s="197">
        <f t="shared" si="6"/>
        <v>5077.12</v>
      </c>
    </row>
    <row r="85" spans="1:9" s="359" customFormat="1" x14ac:dyDescent="0.2">
      <c r="A85" s="348">
        <v>2010</v>
      </c>
      <c r="B85" s="197" t="s">
        <v>29</v>
      </c>
      <c r="C85" s="197" t="s">
        <v>29</v>
      </c>
      <c r="D85" s="197">
        <v>390.17</v>
      </c>
      <c r="E85" s="197">
        <v>838.42</v>
      </c>
      <c r="F85" s="197">
        <v>1939.67</v>
      </c>
      <c r="G85" s="197">
        <v>513.42999999999995</v>
      </c>
      <c r="H85" s="197">
        <v>153.97</v>
      </c>
      <c r="I85" s="197">
        <f t="shared" si="6"/>
        <v>3835.66</v>
      </c>
    </row>
    <row r="86" spans="1:9" s="359" customFormat="1" x14ac:dyDescent="0.2">
      <c r="A86" s="348">
        <v>2011</v>
      </c>
      <c r="B86" s="197" t="s">
        <v>29</v>
      </c>
      <c r="C86" s="197" t="s">
        <v>29</v>
      </c>
      <c r="D86" s="197">
        <v>193.5</v>
      </c>
      <c r="E86" s="197">
        <v>1406.3</v>
      </c>
      <c r="F86" s="197">
        <v>1945.76</v>
      </c>
      <c r="G86" s="197">
        <v>675.82</v>
      </c>
      <c r="H86" s="197">
        <v>16.05</v>
      </c>
      <c r="I86" s="197">
        <f t="shared" si="6"/>
        <v>4237.43</v>
      </c>
    </row>
    <row r="87" spans="1:9" s="359" customFormat="1" x14ac:dyDescent="0.2">
      <c r="A87" s="348">
        <v>2012</v>
      </c>
      <c r="B87" s="197" t="s">
        <v>29</v>
      </c>
      <c r="C87" s="197" t="s">
        <v>29</v>
      </c>
      <c r="D87" s="197">
        <v>235.73</v>
      </c>
      <c r="E87" s="197">
        <v>1189.72</v>
      </c>
      <c r="F87" s="197">
        <v>1379.4</v>
      </c>
      <c r="G87" s="197">
        <v>767.68</v>
      </c>
      <c r="H87" s="197">
        <v>353.11</v>
      </c>
      <c r="I87" s="197">
        <f t="shared" si="6"/>
        <v>3925.6400000000003</v>
      </c>
    </row>
    <row r="88" spans="1:9" s="359" customFormat="1" x14ac:dyDescent="0.2">
      <c r="A88" s="348">
        <v>2013</v>
      </c>
      <c r="B88" s="197" t="s">
        <v>29</v>
      </c>
      <c r="C88" s="197">
        <v>135.88</v>
      </c>
      <c r="D88" s="197">
        <v>239.16</v>
      </c>
      <c r="E88" s="197">
        <v>970.73</v>
      </c>
      <c r="F88" s="197">
        <v>2263.3000000000002</v>
      </c>
      <c r="G88" s="197">
        <v>419.6</v>
      </c>
      <c r="H88" s="197">
        <v>237.41</v>
      </c>
      <c r="I88" s="197">
        <f t="shared" si="6"/>
        <v>4266.08</v>
      </c>
    </row>
    <row r="89" spans="1:9" s="359" customFormat="1" x14ac:dyDescent="0.2">
      <c r="A89" s="348">
        <v>2014</v>
      </c>
      <c r="B89" s="197" t="s">
        <v>29</v>
      </c>
      <c r="C89" s="197">
        <v>35.909999999999997</v>
      </c>
      <c r="D89" s="197">
        <v>351.96</v>
      </c>
      <c r="E89" s="197">
        <v>1421.59</v>
      </c>
      <c r="F89" s="197">
        <v>2006.75</v>
      </c>
      <c r="G89" s="197">
        <v>882.89</v>
      </c>
      <c r="H89" s="197">
        <v>364.82</v>
      </c>
      <c r="I89" s="197">
        <f t="shared" si="6"/>
        <v>5063.92</v>
      </c>
    </row>
    <row r="90" spans="1:9" s="359" customFormat="1" x14ac:dyDescent="0.2">
      <c r="A90" s="348">
        <v>2015</v>
      </c>
      <c r="B90" s="197" t="s">
        <v>29</v>
      </c>
      <c r="C90" s="197">
        <v>89.81</v>
      </c>
      <c r="D90" s="197">
        <v>247.25</v>
      </c>
      <c r="E90" s="197">
        <v>1389.02</v>
      </c>
      <c r="F90" s="197">
        <v>1058.25</v>
      </c>
      <c r="G90" s="197">
        <v>419.76</v>
      </c>
      <c r="H90" s="197">
        <v>300.16000000000003</v>
      </c>
      <c r="I90" s="197">
        <f>SUM(B90:H90)</f>
        <v>3504.25</v>
      </c>
    </row>
    <row r="91" spans="1:9" s="359" customFormat="1" x14ac:dyDescent="0.2">
      <c r="A91" s="348">
        <v>2016</v>
      </c>
      <c r="B91" s="197" t="s">
        <v>29</v>
      </c>
      <c r="C91" s="197" t="s">
        <v>29</v>
      </c>
      <c r="D91" s="197" t="s">
        <v>29</v>
      </c>
      <c r="E91" s="197">
        <v>701.78</v>
      </c>
      <c r="F91" s="197">
        <v>387.06</v>
      </c>
      <c r="G91" s="197" t="s">
        <v>29</v>
      </c>
      <c r="H91" s="197" t="s">
        <v>29</v>
      </c>
      <c r="I91" s="197">
        <f>SUM(B91:H91)</f>
        <v>1088.8399999999999</v>
      </c>
    </row>
    <row r="92" spans="1:9" s="359" customFormat="1" x14ac:dyDescent="0.2">
      <c r="A92" s="348">
        <v>2017</v>
      </c>
      <c r="B92" s="197" t="s">
        <v>29</v>
      </c>
      <c r="C92" s="197" t="s">
        <v>29</v>
      </c>
      <c r="D92" s="197">
        <v>82.3</v>
      </c>
      <c r="E92" s="197">
        <v>465.42</v>
      </c>
      <c r="F92" s="197">
        <v>1004.77</v>
      </c>
      <c r="G92" s="197">
        <v>348.11</v>
      </c>
      <c r="H92" s="197" t="s">
        <v>29</v>
      </c>
      <c r="I92" s="197">
        <f>SUM(B92:H92)</f>
        <v>1900.6</v>
      </c>
    </row>
    <row r="93" spans="1:9" s="359" customFormat="1" x14ac:dyDescent="0.2">
      <c r="A93" s="348">
        <v>2018</v>
      </c>
      <c r="B93" s="197" t="s">
        <v>29</v>
      </c>
      <c r="C93" s="197" t="s">
        <v>29</v>
      </c>
      <c r="D93" s="197">
        <v>79.83</v>
      </c>
      <c r="E93" s="197">
        <v>399.74</v>
      </c>
      <c r="F93" s="197">
        <v>1407.96</v>
      </c>
      <c r="G93" s="197">
        <v>20</v>
      </c>
      <c r="H93" s="197" t="s">
        <v>29</v>
      </c>
      <c r="I93" s="197">
        <f>SUM(B93:H93)</f>
        <v>1907.53</v>
      </c>
    </row>
    <row r="94" spans="1:9" s="487" customFormat="1" x14ac:dyDescent="0.2">
      <c r="A94" s="491">
        <v>2019</v>
      </c>
      <c r="B94" s="197" t="s">
        <v>29</v>
      </c>
      <c r="C94" s="197" t="s">
        <v>29</v>
      </c>
      <c r="D94" s="197">
        <v>123.52</v>
      </c>
      <c r="E94" s="197">
        <v>529.84</v>
      </c>
      <c r="F94" s="197">
        <v>1114.17</v>
      </c>
      <c r="G94" s="197">
        <v>293.72000000000003</v>
      </c>
      <c r="H94" s="197">
        <v>239.57</v>
      </c>
      <c r="I94" s="197">
        <f t="shared" ref="I94" si="7">SUM(B94:H94)</f>
        <v>2300.8200000000002</v>
      </c>
    </row>
    <row r="95" spans="1:9" x14ac:dyDescent="0.2">
      <c r="A95" s="494" t="s">
        <v>395</v>
      </c>
      <c r="B95" s="193" t="s">
        <v>29</v>
      </c>
      <c r="C95" s="193" t="s">
        <v>29</v>
      </c>
      <c r="D95" s="193">
        <v>0</v>
      </c>
      <c r="E95" s="193">
        <v>16.649999999999999</v>
      </c>
      <c r="F95" s="193">
        <v>145.68</v>
      </c>
      <c r="G95" s="193">
        <v>62.94</v>
      </c>
      <c r="H95" s="193" t="s">
        <v>29</v>
      </c>
      <c r="I95" s="193">
        <f t="shared" si="6"/>
        <v>225.27</v>
      </c>
    </row>
    <row r="97" spans="1:9" x14ac:dyDescent="0.2">
      <c r="A97" s="116" t="s">
        <v>64</v>
      </c>
    </row>
    <row r="98" spans="1:9" x14ac:dyDescent="0.2">
      <c r="A98" s="371">
        <v>1976</v>
      </c>
      <c r="B98" s="193" t="s">
        <v>29</v>
      </c>
      <c r="C98" s="193">
        <v>12466</v>
      </c>
      <c r="D98" s="193">
        <v>39431</v>
      </c>
      <c r="E98" s="193">
        <v>77844</v>
      </c>
      <c r="F98" s="193">
        <v>73035</v>
      </c>
      <c r="G98" s="193">
        <v>38311</v>
      </c>
      <c r="H98" s="193">
        <v>5901</v>
      </c>
      <c r="I98" s="193">
        <f t="shared" ref="I98:I115" si="8">SUM(B98:H98)</f>
        <v>246988</v>
      </c>
    </row>
    <row r="99" spans="1:9" x14ac:dyDescent="0.2">
      <c r="A99" s="371">
        <v>1977</v>
      </c>
      <c r="B99" s="193">
        <v>7367</v>
      </c>
      <c r="C99" s="193">
        <v>11761</v>
      </c>
      <c r="D99" s="193">
        <v>39957</v>
      </c>
      <c r="E99" s="193">
        <v>70431</v>
      </c>
      <c r="F99" s="193">
        <v>88609</v>
      </c>
      <c r="G99" s="193">
        <v>42309</v>
      </c>
      <c r="H99" s="193">
        <v>2772</v>
      </c>
      <c r="I99" s="193">
        <f t="shared" si="8"/>
        <v>263206</v>
      </c>
    </row>
    <row r="100" spans="1:9" x14ac:dyDescent="0.2">
      <c r="A100" s="371">
        <v>1978</v>
      </c>
      <c r="B100" s="193">
        <v>2073</v>
      </c>
      <c r="C100" s="193">
        <v>11933</v>
      </c>
      <c r="D100" s="193">
        <v>42265</v>
      </c>
      <c r="E100" s="193">
        <v>79473</v>
      </c>
      <c r="F100" s="193">
        <v>72955</v>
      </c>
      <c r="G100" s="193">
        <v>31200</v>
      </c>
      <c r="H100" s="193">
        <v>4822</v>
      </c>
      <c r="I100" s="193">
        <f t="shared" si="8"/>
        <v>244721</v>
      </c>
    </row>
    <row r="101" spans="1:9" x14ac:dyDescent="0.2">
      <c r="A101" s="371">
        <v>1979</v>
      </c>
      <c r="B101" s="193" t="s">
        <v>29</v>
      </c>
      <c r="C101" s="193">
        <v>14410</v>
      </c>
      <c r="D101" s="193">
        <v>34571</v>
      </c>
      <c r="E101" s="193">
        <v>53195</v>
      </c>
      <c r="F101" s="193">
        <v>55093</v>
      </c>
      <c r="G101" s="31">
        <v>3052</v>
      </c>
      <c r="H101" s="86">
        <v>322</v>
      </c>
      <c r="I101" s="193">
        <f t="shared" si="8"/>
        <v>160643</v>
      </c>
    </row>
    <row r="102" spans="1:9" x14ac:dyDescent="0.2">
      <c r="A102" s="371">
        <v>1980</v>
      </c>
      <c r="B102" s="193" t="s">
        <v>29</v>
      </c>
      <c r="C102" s="193">
        <v>11128</v>
      </c>
      <c r="D102" s="193">
        <v>30618</v>
      </c>
      <c r="E102" s="193">
        <v>51493</v>
      </c>
      <c r="F102" s="193">
        <v>41837</v>
      </c>
      <c r="G102" s="31">
        <v>795</v>
      </c>
      <c r="H102" s="193" t="s">
        <v>29</v>
      </c>
      <c r="I102" s="193">
        <f t="shared" si="8"/>
        <v>135871</v>
      </c>
    </row>
    <row r="103" spans="1:9" x14ac:dyDescent="0.2">
      <c r="A103" s="371">
        <v>1981</v>
      </c>
      <c r="B103" s="193" t="s">
        <v>29</v>
      </c>
      <c r="C103" s="193">
        <v>6465</v>
      </c>
      <c r="D103" s="193">
        <v>23446</v>
      </c>
      <c r="E103" s="193">
        <v>48013</v>
      </c>
      <c r="F103" s="193">
        <v>39129</v>
      </c>
      <c r="G103" s="86">
        <v>620</v>
      </c>
      <c r="H103" s="86">
        <v>208</v>
      </c>
      <c r="I103" s="193">
        <f t="shared" si="8"/>
        <v>117881</v>
      </c>
    </row>
    <row r="104" spans="1:9" x14ac:dyDescent="0.2">
      <c r="A104" s="371">
        <v>1982</v>
      </c>
      <c r="B104" s="193" t="s">
        <v>29</v>
      </c>
      <c r="C104" s="193">
        <v>2125</v>
      </c>
      <c r="D104" s="193">
        <v>29608</v>
      </c>
      <c r="E104" s="193">
        <v>55050</v>
      </c>
      <c r="F104" s="193">
        <v>26422</v>
      </c>
      <c r="G104" s="86">
        <v>71</v>
      </c>
      <c r="H104" s="193" t="s">
        <v>29</v>
      </c>
      <c r="I104" s="193">
        <f t="shared" si="8"/>
        <v>113276</v>
      </c>
    </row>
    <row r="105" spans="1:9" x14ac:dyDescent="0.2">
      <c r="A105" s="371">
        <v>1983</v>
      </c>
      <c r="B105" s="193" t="s">
        <v>29</v>
      </c>
      <c r="C105" s="193">
        <v>2470</v>
      </c>
      <c r="D105" s="193">
        <v>25634</v>
      </c>
      <c r="E105" s="193">
        <v>36720</v>
      </c>
      <c r="F105" s="193">
        <v>21811</v>
      </c>
      <c r="G105" s="31">
        <v>6299</v>
      </c>
      <c r="H105" s="193" t="s">
        <v>29</v>
      </c>
      <c r="I105" s="193">
        <f t="shared" si="8"/>
        <v>92934</v>
      </c>
    </row>
    <row r="106" spans="1:9" x14ac:dyDescent="0.2">
      <c r="A106" s="371">
        <v>1984</v>
      </c>
      <c r="B106" s="193" t="s">
        <v>29</v>
      </c>
      <c r="C106" s="193">
        <v>3367</v>
      </c>
      <c r="D106" s="193" t="s">
        <v>29</v>
      </c>
      <c r="E106" s="31">
        <v>3424</v>
      </c>
      <c r="F106" s="31">
        <v>7077</v>
      </c>
      <c r="G106" s="193" t="s">
        <v>29</v>
      </c>
      <c r="H106" s="193" t="s">
        <v>29</v>
      </c>
      <c r="I106" s="193">
        <f t="shared" si="8"/>
        <v>13868</v>
      </c>
    </row>
    <row r="107" spans="1:9" x14ac:dyDescent="0.2">
      <c r="A107" s="371">
        <v>1985</v>
      </c>
      <c r="B107" s="193" t="s">
        <v>29</v>
      </c>
      <c r="C107" s="193" t="s">
        <v>29</v>
      </c>
      <c r="D107" s="193">
        <v>1881</v>
      </c>
      <c r="E107" s="193">
        <v>27651</v>
      </c>
      <c r="F107" s="193">
        <v>22922</v>
      </c>
      <c r="G107" s="193">
        <v>3416</v>
      </c>
      <c r="H107" s="193" t="s">
        <v>29</v>
      </c>
      <c r="I107" s="193">
        <f t="shared" si="8"/>
        <v>55870</v>
      </c>
    </row>
    <row r="108" spans="1:9" x14ac:dyDescent="0.2">
      <c r="A108" s="371">
        <v>1986</v>
      </c>
      <c r="B108" s="193" t="s">
        <v>29</v>
      </c>
      <c r="C108" s="193" t="s">
        <v>29</v>
      </c>
      <c r="D108" s="193">
        <v>1967</v>
      </c>
      <c r="E108" s="193">
        <v>30133</v>
      </c>
      <c r="F108" s="193">
        <v>19253</v>
      </c>
      <c r="G108" s="86">
        <v>943</v>
      </c>
      <c r="H108" s="86">
        <v>86</v>
      </c>
      <c r="I108" s="193">
        <f t="shared" si="8"/>
        <v>52382</v>
      </c>
    </row>
    <row r="109" spans="1:9" x14ac:dyDescent="0.2">
      <c r="A109" s="371">
        <v>1987</v>
      </c>
      <c r="B109" s="193" t="s">
        <v>29</v>
      </c>
      <c r="C109" s="193" t="s">
        <v>29</v>
      </c>
      <c r="D109" s="193">
        <v>2063</v>
      </c>
      <c r="E109" s="193">
        <v>29670</v>
      </c>
      <c r="F109" s="193">
        <v>11371</v>
      </c>
      <c r="G109" s="86">
        <v>784</v>
      </c>
      <c r="H109" s="86">
        <v>22</v>
      </c>
      <c r="I109" s="193">
        <f t="shared" si="8"/>
        <v>43910</v>
      </c>
    </row>
    <row r="110" spans="1:9" x14ac:dyDescent="0.2">
      <c r="A110" s="371">
        <v>1988</v>
      </c>
      <c r="B110" s="193" t="s">
        <v>29</v>
      </c>
      <c r="C110" s="193" t="s">
        <v>29</v>
      </c>
      <c r="D110" s="193" t="s">
        <v>29</v>
      </c>
      <c r="E110" s="193">
        <v>35445</v>
      </c>
      <c r="F110" s="193">
        <v>1889</v>
      </c>
      <c r="G110" s="193" t="s">
        <v>29</v>
      </c>
      <c r="H110" s="86">
        <v>12</v>
      </c>
      <c r="I110" s="193">
        <f t="shared" si="8"/>
        <v>37346</v>
      </c>
    </row>
    <row r="111" spans="1:9" x14ac:dyDescent="0.2">
      <c r="A111" s="371">
        <v>1989</v>
      </c>
      <c r="B111" s="193" t="s">
        <v>29</v>
      </c>
      <c r="C111" s="193">
        <v>1451</v>
      </c>
      <c r="D111" s="193">
        <v>3406</v>
      </c>
      <c r="E111" s="193">
        <v>29205</v>
      </c>
      <c r="F111" s="193">
        <v>25449</v>
      </c>
      <c r="G111" s="193" t="s">
        <v>29</v>
      </c>
      <c r="H111" s="193" t="s">
        <v>29</v>
      </c>
      <c r="I111" s="193">
        <f t="shared" si="8"/>
        <v>59511</v>
      </c>
    </row>
    <row r="112" spans="1:9" x14ac:dyDescent="0.2">
      <c r="A112" s="371">
        <v>1990</v>
      </c>
      <c r="B112" s="193" t="s">
        <v>29</v>
      </c>
      <c r="C112" s="193" t="s">
        <v>29</v>
      </c>
      <c r="D112" s="193">
        <v>7216</v>
      </c>
      <c r="E112" s="193">
        <v>26825</v>
      </c>
      <c r="F112" s="193">
        <v>21995</v>
      </c>
      <c r="G112" s="193">
        <v>13273</v>
      </c>
      <c r="H112" s="193" t="s">
        <v>29</v>
      </c>
      <c r="I112" s="193">
        <f t="shared" si="8"/>
        <v>69309</v>
      </c>
    </row>
    <row r="113" spans="1:16" x14ac:dyDescent="0.2">
      <c r="A113" s="371">
        <v>1991</v>
      </c>
      <c r="B113" s="193" t="s">
        <v>29</v>
      </c>
      <c r="C113" s="193" t="s">
        <v>29</v>
      </c>
      <c r="D113" s="193">
        <v>4955</v>
      </c>
      <c r="E113" s="193">
        <v>35028</v>
      </c>
      <c r="F113" s="193">
        <v>8900</v>
      </c>
      <c r="G113" s="193">
        <v>3855</v>
      </c>
      <c r="H113" s="193" t="s">
        <v>29</v>
      </c>
      <c r="I113" s="193">
        <f t="shared" si="8"/>
        <v>52738</v>
      </c>
      <c r="J113" s="36"/>
      <c r="K113" s="36"/>
      <c r="P113" s="36"/>
    </row>
    <row r="114" spans="1:16" x14ac:dyDescent="0.2">
      <c r="A114" s="371">
        <v>1992</v>
      </c>
      <c r="B114" s="193" t="s">
        <v>29</v>
      </c>
      <c r="C114" s="193" t="s">
        <v>29</v>
      </c>
      <c r="D114" s="193" t="s">
        <v>29</v>
      </c>
      <c r="E114" s="193">
        <v>22868</v>
      </c>
      <c r="F114" s="193">
        <v>20722</v>
      </c>
      <c r="G114" s="193">
        <v>9405</v>
      </c>
      <c r="H114" s="193">
        <v>706</v>
      </c>
      <c r="I114" s="193">
        <f t="shared" si="8"/>
        <v>53701</v>
      </c>
      <c r="J114" s="36"/>
      <c r="K114" s="36"/>
      <c r="L114" s="36"/>
    </row>
    <row r="115" spans="1:16" x14ac:dyDescent="0.2">
      <c r="A115" s="371">
        <v>1993</v>
      </c>
      <c r="B115" s="193" t="s">
        <v>29</v>
      </c>
      <c r="C115" s="193" t="s">
        <v>29</v>
      </c>
      <c r="D115" s="193" t="s">
        <v>29</v>
      </c>
      <c r="E115" s="193">
        <v>17753</v>
      </c>
      <c r="F115" s="193">
        <v>19390</v>
      </c>
      <c r="G115" s="193">
        <v>13747</v>
      </c>
      <c r="H115" s="193" t="s">
        <v>29</v>
      </c>
      <c r="I115" s="193">
        <f t="shared" si="8"/>
        <v>50890</v>
      </c>
      <c r="J115" s="36"/>
      <c r="K115" s="36"/>
      <c r="L115" s="36"/>
      <c r="P115" s="36"/>
    </row>
    <row r="116" spans="1:16" x14ac:dyDescent="0.2">
      <c r="A116" s="371">
        <v>1994</v>
      </c>
      <c r="B116" s="193" t="s">
        <v>29</v>
      </c>
      <c r="C116" s="193" t="s">
        <v>29</v>
      </c>
      <c r="D116" s="193" t="s">
        <v>29</v>
      </c>
      <c r="E116" s="193" t="s">
        <v>29</v>
      </c>
      <c r="F116" s="193" t="s">
        <v>29</v>
      </c>
      <c r="G116" s="193" t="s">
        <v>29</v>
      </c>
      <c r="H116" s="193" t="s">
        <v>29</v>
      </c>
      <c r="I116" s="193" t="s">
        <v>29</v>
      </c>
      <c r="J116" s="36"/>
      <c r="K116" s="36"/>
      <c r="L116" s="36"/>
      <c r="M116" s="36"/>
      <c r="N116" s="36"/>
      <c r="O116" s="36"/>
      <c r="P116" s="36"/>
    </row>
    <row r="117" spans="1:16" x14ac:dyDescent="0.2">
      <c r="A117" s="371">
        <v>1995</v>
      </c>
      <c r="B117" s="193" t="s">
        <v>29</v>
      </c>
      <c r="C117" s="193" t="s">
        <v>29</v>
      </c>
      <c r="D117" s="193" t="s">
        <v>29</v>
      </c>
      <c r="E117" s="193">
        <v>4859</v>
      </c>
      <c r="F117" s="193">
        <v>11572</v>
      </c>
      <c r="G117" s="193">
        <v>5279</v>
      </c>
      <c r="H117" s="193" t="s">
        <v>29</v>
      </c>
      <c r="I117" s="193">
        <f t="shared" ref="I117:I128" si="9">SUM(B117:H117)</f>
        <v>21710</v>
      </c>
      <c r="J117" s="36"/>
      <c r="K117" s="36"/>
      <c r="L117" s="36"/>
      <c r="P117" s="36"/>
    </row>
    <row r="118" spans="1:16" x14ac:dyDescent="0.2">
      <c r="A118" s="371">
        <v>1996</v>
      </c>
      <c r="B118" s="193" t="s">
        <v>29</v>
      </c>
      <c r="C118" s="193" t="s">
        <v>29</v>
      </c>
      <c r="D118" s="193" t="s">
        <v>29</v>
      </c>
      <c r="E118" s="193">
        <v>4458</v>
      </c>
      <c r="F118" s="193">
        <v>9638</v>
      </c>
      <c r="G118" s="193">
        <v>1392</v>
      </c>
      <c r="H118" s="193" t="s">
        <v>29</v>
      </c>
      <c r="I118" s="193">
        <f t="shared" si="9"/>
        <v>15488</v>
      </c>
      <c r="J118" s="36"/>
      <c r="K118" s="36"/>
      <c r="L118" s="36"/>
      <c r="P118" s="36"/>
    </row>
    <row r="119" spans="1:16" x14ac:dyDescent="0.2">
      <c r="A119" s="371">
        <v>1997</v>
      </c>
      <c r="B119" s="193" t="s">
        <v>29</v>
      </c>
      <c r="C119" s="193" t="s">
        <v>29</v>
      </c>
      <c r="D119" s="193" t="s">
        <v>29</v>
      </c>
      <c r="E119" s="193">
        <v>7986</v>
      </c>
      <c r="F119" s="193">
        <v>8147</v>
      </c>
      <c r="G119" s="193">
        <v>1150</v>
      </c>
      <c r="H119" s="193" t="s">
        <v>29</v>
      </c>
      <c r="I119" s="193">
        <f t="shared" si="9"/>
        <v>17283</v>
      </c>
      <c r="J119" s="36"/>
      <c r="K119" s="36"/>
      <c r="L119" s="36"/>
      <c r="P119" s="36"/>
    </row>
    <row r="120" spans="1:16" x14ac:dyDescent="0.2">
      <c r="A120" s="371">
        <v>1998</v>
      </c>
      <c r="B120" s="193" t="s">
        <v>29</v>
      </c>
      <c r="C120" s="193" t="s">
        <v>29</v>
      </c>
      <c r="D120" s="193" t="s">
        <v>29</v>
      </c>
      <c r="E120" s="193" t="s">
        <v>29</v>
      </c>
      <c r="F120" s="193">
        <v>7068</v>
      </c>
      <c r="G120" s="193">
        <v>943</v>
      </c>
      <c r="H120" s="193" t="s">
        <v>29</v>
      </c>
      <c r="I120" s="193">
        <f t="shared" si="9"/>
        <v>8011</v>
      </c>
      <c r="J120" s="36"/>
      <c r="K120" s="36"/>
      <c r="L120" s="36"/>
      <c r="M120" s="36"/>
      <c r="P120" s="36"/>
    </row>
    <row r="121" spans="1:16" x14ac:dyDescent="0.2">
      <c r="A121" s="371">
        <v>1999</v>
      </c>
      <c r="B121" s="193" t="s">
        <v>29</v>
      </c>
      <c r="C121" s="193" t="s">
        <v>29</v>
      </c>
      <c r="D121" s="193" t="s">
        <v>29</v>
      </c>
      <c r="E121" s="193">
        <v>5329</v>
      </c>
      <c r="F121" s="193">
        <v>9427</v>
      </c>
      <c r="G121" s="193">
        <v>4319</v>
      </c>
      <c r="H121" s="31" t="s">
        <v>29</v>
      </c>
      <c r="I121" s="193">
        <f t="shared" si="9"/>
        <v>19075</v>
      </c>
      <c r="J121" s="36"/>
      <c r="K121" s="36"/>
      <c r="L121" s="36"/>
    </row>
    <row r="122" spans="1:16" x14ac:dyDescent="0.2">
      <c r="A122" s="371">
        <v>2000</v>
      </c>
      <c r="B122" s="193" t="s">
        <v>29</v>
      </c>
      <c r="C122" s="193" t="s">
        <v>29</v>
      </c>
      <c r="D122" s="193" t="s">
        <v>29</v>
      </c>
      <c r="E122" s="193">
        <v>12343</v>
      </c>
      <c r="F122" s="193">
        <v>7491</v>
      </c>
      <c r="G122" s="193" t="s">
        <v>29</v>
      </c>
      <c r="H122" s="193" t="s">
        <v>29</v>
      </c>
      <c r="I122" s="193">
        <f t="shared" si="9"/>
        <v>19834</v>
      </c>
      <c r="J122" s="36"/>
      <c r="K122" s="36"/>
      <c r="L122" s="36"/>
      <c r="O122" s="36"/>
      <c r="P122" s="36"/>
    </row>
    <row r="123" spans="1:16" x14ac:dyDescent="0.2">
      <c r="A123" s="371">
        <v>2001</v>
      </c>
      <c r="B123" s="193" t="s">
        <v>29</v>
      </c>
      <c r="C123" s="193" t="s">
        <v>29</v>
      </c>
      <c r="D123" s="193" t="s">
        <v>29</v>
      </c>
      <c r="E123" s="31">
        <v>25363</v>
      </c>
      <c r="F123" s="193">
        <v>16256</v>
      </c>
      <c r="G123" s="193">
        <v>8063</v>
      </c>
      <c r="H123" s="193" t="s">
        <v>29</v>
      </c>
      <c r="I123" s="193">
        <f t="shared" si="9"/>
        <v>49682</v>
      </c>
      <c r="J123" s="36"/>
      <c r="K123" s="36"/>
      <c r="L123" s="36"/>
      <c r="P123" s="36"/>
    </row>
    <row r="124" spans="1:16" x14ac:dyDescent="0.2">
      <c r="A124" s="371">
        <v>2002</v>
      </c>
      <c r="B124" s="193" t="s">
        <v>29</v>
      </c>
      <c r="C124" s="193">
        <v>1861</v>
      </c>
      <c r="D124" s="193">
        <v>10849</v>
      </c>
      <c r="E124" s="193">
        <v>16358</v>
      </c>
      <c r="F124" s="193">
        <v>12343</v>
      </c>
      <c r="G124" s="193" t="s">
        <v>29</v>
      </c>
      <c r="H124" s="193" t="s">
        <v>29</v>
      </c>
      <c r="I124" s="193">
        <f t="shared" si="9"/>
        <v>41411</v>
      </c>
      <c r="J124" s="36"/>
      <c r="O124" s="36"/>
      <c r="P124" s="36"/>
    </row>
    <row r="125" spans="1:16" x14ac:dyDescent="0.2">
      <c r="A125" s="371">
        <v>2003</v>
      </c>
      <c r="B125" s="193" t="s">
        <v>29</v>
      </c>
      <c r="C125" s="193" t="s">
        <v>29</v>
      </c>
      <c r="D125" s="193">
        <v>4278</v>
      </c>
      <c r="E125" s="193">
        <v>20747</v>
      </c>
      <c r="F125" s="193">
        <v>18302</v>
      </c>
      <c r="G125" s="193">
        <v>4722</v>
      </c>
      <c r="H125" s="193" t="s">
        <v>29</v>
      </c>
      <c r="I125" s="31">
        <f t="shared" si="9"/>
        <v>48049</v>
      </c>
      <c r="J125" s="36"/>
      <c r="K125" s="36"/>
      <c r="P125" s="36"/>
    </row>
    <row r="126" spans="1:16" x14ac:dyDescent="0.2">
      <c r="A126" s="371">
        <v>2004</v>
      </c>
      <c r="B126" s="193" t="s">
        <v>29</v>
      </c>
      <c r="C126" s="193" t="s">
        <v>29</v>
      </c>
      <c r="D126" s="193">
        <v>1455</v>
      </c>
      <c r="E126" s="193">
        <v>15722</v>
      </c>
      <c r="F126" s="193">
        <v>15045</v>
      </c>
      <c r="G126" s="193">
        <v>5967</v>
      </c>
      <c r="H126" s="193" t="s">
        <v>29</v>
      </c>
      <c r="I126" s="193">
        <f t="shared" si="9"/>
        <v>38189</v>
      </c>
    </row>
    <row r="127" spans="1:16" s="359" customFormat="1" x14ac:dyDescent="0.2">
      <c r="A127" s="348">
        <v>2005</v>
      </c>
      <c r="B127" s="197" t="s">
        <v>29</v>
      </c>
      <c r="C127" s="197" t="s">
        <v>29</v>
      </c>
      <c r="D127" s="197">
        <v>1119</v>
      </c>
      <c r="E127" s="197">
        <v>12560</v>
      </c>
      <c r="F127" s="197">
        <v>15488</v>
      </c>
      <c r="G127" s="197">
        <v>6003</v>
      </c>
      <c r="H127" s="197" t="s">
        <v>29</v>
      </c>
      <c r="I127" s="197">
        <f t="shared" si="9"/>
        <v>35170</v>
      </c>
    </row>
    <row r="128" spans="1:16" x14ac:dyDescent="0.2">
      <c r="A128" s="348">
        <v>2006</v>
      </c>
      <c r="B128" s="193" t="s">
        <v>29</v>
      </c>
      <c r="C128" s="193" t="s">
        <v>29</v>
      </c>
      <c r="D128" s="193" t="s">
        <v>29</v>
      </c>
      <c r="E128" s="193">
        <v>8856.86</v>
      </c>
      <c r="F128" s="193">
        <v>13801.51</v>
      </c>
      <c r="G128" s="193">
        <v>1882.64</v>
      </c>
      <c r="H128" s="193" t="s">
        <v>29</v>
      </c>
      <c r="I128" s="193">
        <f t="shared" si="9"/>
        <v>24541.010000000002</v>
      </c>
    </row>
    <row r="129" spans="1:9" s="359" customFormat="1" x14ac:dyDescent="0.2">
      <c r="A129" s="348">
        <v>2007</v>
      </c>
      <c r="B129" s="197" t="s">
        <v>29</v>
      </c>
      <c r="C129" s="197" t="s">
        <v>29</v>
      </c>
      <c r="D129" s="197" t="s">
        <v>29</v>
      </c>
      <c r="E129" s="197">
        <v>9547.9599999999991</v>
      </c>
      <c r="F129" s="197">
        <v>14143.2</v>
      </c>
      <c r="G129" s="197">
        <v>2225.15</v>
      </c>
      <c r="H129" s="197" t="s">
        <v>29</v>
      </c>
      <c r="I129" s="197">
        <f>SUM(B129:H129)</f>
        <v>25916.31</v>
      </c>
    </row>
    <row r="130" spans="1:9" s="359" customFormat="1" x14ac:dyDescent="0.2">
      <c r="A130" s="348">
        <v>2008</v>
      </c>
      <c r="B130" s="197" t="s">
        <v>29</v>
      </c>
      <c r="C130" s="197" t="s">
        <v>29</v>
      </c>
      <c r="D130" s="197">
        <v>2659.91</v>
      </c>
      <c r="E130" s="197">
        <v>8381.2000000000007</v>
      </c>
      <c r="F130" s="197">
        <v>5880.24</v>
      </c>
      <c r="G130" s="197">
        <v>1809.16</v>
      </c>
      <c r="H130" s="197" t="s">
        <v>29</v>
      </c>
      <c r="I130" s="197">
        <f t="shared" ref="I130:I142" si="10">SUM(B130:H130)</f>
        <v>18730.509999999998</v>
      </c>
    </row>
    <row r="131" spans="1:9" s="359" customFormat="1" x14ac:dyDescent="0.2">
      <c r="A131" s="348">
        <v>2009</v>
      </c>
      <c r="B131" s="197" t="s">
        <v>29</v>
      </c>
      <c r="C131" s="197" t="s">
        <v>29</v>
      </c>
      <c r="D131" s="197">
        <v>777.47</v>
      </c>
      <c r="E131" s="197">
        <v>10216.51</v>
      </c>
      <c r="F131" s="197">
        <v>21238.2</v>
      </c>
      <c r="G131" s="197">
        <v>5599.22</v>
      </c>
      <c r="H131" s="197" t="s">
        <v>29</v>
      </c>
      <c r="I131" s="197">
        <f t="shared" si="10"/>
        <v>37831.4</v>
      </c>
    </row>
    <row r="132" spans="1:9" s="359" customFormat="1" x14ac:dyDescent="0.2">
      <c r="A132" s="348">
        <v>2010</v>
      </c>
      <c r="B132" s="197" t="s">
        <v>29</v>
      </c>
      <c r="C132" s="197" t="s">
        <v>29</v>
      </c>
      <c r="D132" s="197">
        <v>7821.73</v>
      </c>
      <c r="E132" s="197">
        <v>11840.99</v>
      </c>
      <c r="F132" s="197">
        <v>13804.28</v>
      </c>
      <c r="G132" s="197">
        <v>4961.33</v>
      </c>
      <c r="H132" s="197" t="s">
        <v>29</v>
      </c>
      <c r="I132" s="197">
        <f t="shared" si="10"/>
        <v>38428.33</v>
      </c>
    </row>
    <row r="133" spans="1:9" s="359" customFormat="1" x14ac:dyDescent="0.2">
      <c r="A133" s="348">
        <v>2011</v>
      </c>
      <c r="B133" s="197" t="s">
        <v>29</v>
      </c>
      <c r="C133" s="197" t="s">
        <v>29</v>
      </c>
      <c r="D133" s="197">
        <v>4704.8999999999996</v>
      </c>
      <c r="E133" s="197">
        <v>10427.73</v>
      </c>
      <c r="F133" s="197">
        <v>14973.04</v>
      </c>
      <c r="G133" s="197">
        <v>3439.54</v>
      </c>
      <c r="H133" s="197" t="s">
        <v>29</v>
      </c>
      <c r="I133" s="197">
        <f t="shared" si="10"/>
        <v>33545.21</v>
      </c>
    </row>
    <row r="134" spans="1:9" s="359" customFormat="1" x14ac:dyDescent="0.2">
      <c r="A134" s="348">
        <v>2012</v>
      </c>
      <c r="B134" s="197" t="s">
        <v>29</v>
      </c>
      <c r="C134" s="197" t="s">
        <v>29</v>
      </c>
      <c r="D134" s="197">
        <v>8187.05</v>
      </c>
      <c r="E134" s="197">
        <v>8898.33</v>
      </c>
      <c r="F134" s="197">
        <v>14147.32</v>
      </c>
      <c r="G134" s="197">
        <v>6092.07</v>
      </c>
      <c r="H134" s="197" t="s">
        <v>29</v>
      </c>
      <c r="I134" s="197">
        <f t="shared" si="10"/>
        <v>37324.770000000004</v>
      </c>
    </row>
    <row r="135" spans="1:9" s="359" customFormat="1" x14ac:dyDescent="0.2">
      <c r="A135" s="348">
        <v>2013</v>
      </c>
      <c r="B135" s="197" t="s">
        <v>29</v>
      </c>
      <c r="C135" s="197" t="s">
        <v>29</v>
      </c>
      <c r="D135" s="197">
        <v>7019.98</v>
      </c>
      <c r="E135" s="197">
        <v>7640.77</v>
      </c>
      <c r="F135" s="197">
        <v>16639.23</v>
      </c>
      <c r="G135" s="197">
        <v>4589.41</v>
      </c>
      <c r="H135" s="197" t="s">
        <v>29</v>
      </c>
      <c r="I135" s="197">
        <f t="shared" si="10"/>
        <v>35889.39</v>
      </c>
    </row>
    <row r="136" spans="1:9" s="359" customFormat="1" x14ac:dyDescent="0.2">
      <c r="A136" s="348">
        <v>2014</v>
      </c>
      <c r="B136" s="197" t="s">
        <v>29</v>
      </c>
      <c r="C136" s="197">
        <v>779.56</v>
      </c>
      <c r="D136" s="197">
        <v>7644.65</v>
      </c>
      <c r="E136" s="197">
        <v>19005.55</v>
      </c>
      <c r="F136" s="197">
        <v>18838.48</v>
      </c>
      <c r="G136" s="197">
        <v>7500.28</v>
      </c>
      <c r="H136" s="197" t="s">
        <v>29</v>
      </c>
      <c r="I136" s="197">
        <f t="shared" si="10"/>
        <v>53768.52</v>
      </c>
    </row>
    <row r="137" spans="1:9" s="359" customFormat="1" x14ac:dyDescent="0.2">
      <c r="A137" s="348">
        <v>2015</v>
      </c>
      <c r="B137" s="197" t="s">
        <v>29</v>
      </c>
      <c r="C137" s="197">
        <v>980.88</v>
      </c>
      <c r="D137" s="197">
        <v>6355.74</v>
      </c>
      <c r="E137" s="197">
        <v>18629.23</v>
      </c>
      <c r="F137" s="197">
        <v>12162.23</v>
      </c>
      <c r="G137" s="197">
        <v>7327.39</v>
      </c>
      <c r="H137" s="197" t="s">
        <v>29</v>
      </c>
      <c r="I137" s="197">
        <f>SUM(B137:H137)</f>
        <v>45455.47</v>
      </c>
    </row>
    <row r="138" spans="1:9" s="359" customFormat="1" x14ac:dyDescent="0.2">
      <c r="A138" s="348">
        <v>2016</v>
      </c>
      <c r="B138" s="197" t="s">
        <v>29</v>
      </c>
      <c r="C138" s="197" t="s">
        <v>29</v>
      </c>
      <c r="D138" s="197" t="s">
        <v>29</v>
      </c>
      <c r="E138" s="197">
        <v>9586.74</v>
      </c>
      <c r="F138" s="197">
        <v>8252.7900000000009</v>
      </c>
      <c r="G138" s="197" t="s">
        <v>29</v>
      </c>
      <c r="H138" s="197" t="s">
        <v>29</v>
      </c>
      <c r="I138" s="197">
        <f>SUM(B138:H138)</f>
        <v>17839.53</v>
      </c>
    </row>
    <row r="139" spans="1:9" s="359" customFormat="1" x14ac:dyDescent="0.2">
      <c r="A139" s="348">
        <v>2017</v>
      </c>
      <c r="B139" s="197" t="s">
        <v>29</v>
      </c>
      <c r="C139" s="197" t="s">
        <v>29</v>
      </c>
      <c r="D139" s="197" t="s">
        <v>29</v>
      </c>
      <c r="E139" s="197">
        <v>13216.220000000001</v>
      </c>
      <c r="F139" s="197">
        <v>12780.4</v>
      </c>
      <c r="G139" s="197" t="s">
        <v>29</v>
      </c>
      <c r="H139" s="197" t="s">
        <v>29</v>
      </c>
      <c r="I139" s="197">
        <f>SUM(B139:H139)</f>
        <v>25996.620000000003</v>
      </c>
    </row>
    <row r="140" spans="1:9" s="359" customFormat="1" x14ac:dyDescent="0.2">
      <c r="A140" s="348">
        <v>2018</v>
      </c>
      <c r="B140" s="197" t="s">
        <v>29</v>
      </c>
      <c r="C140" s="197" t="s">
        <v>29</v>
      </c>
      <c r="D140" s="197" t="s">
        <v>29</v>
      </c>
      <c r="E140" s="197">
        <v>8019.12</v>
      </c>
      <c r="F140" s="197">
        <v>14109.73</v>
      </c>
      <c r="G140" s="197">
        <v>390.35</v>
      </c>
      <c r="H140" s="197" t="s">
        <v>29</v>
      </c>
      <c r="I140" s="197">
        <f>SUM(B140:H140)</f>
        <v>22519.199999999997</v>
      </c>
    </row>
    <row r="141" spans="1:9" s="487" customFormat="1" x14ac:dyDescent="0.2">
      <c r="A141" s="491">
        <v>2019</v>
      </c>
      <c r="B141" s="197" t="s">
        <v>29</v>
      </c>
      <c r="C141" s="197" t="s">
        <v>29</v>
      </c>
      <c r="D141" s="197">
        <v>1604.25</v>
      </c>
      <c r="E141" s="197">
        <v>9823.31</v>
      </c>
      <c r="F141" s="197">
        <v>10177.58</v>
      </c>
      <c r="G141" s="197">
        <v>1787.53</v>
      </c>
      <c r="H141" s="197" t="s">
        <v>29</v>
      </c>
      <c r="I141" s="197">
        <f t="shared" ref="I141" si="11">SUM(B141:H141)</f>
        <v>23392.67</v>
      </c>
    </row>
    <row r="142" spans="1:9" x14ac:dyDescent="0.2">
      <c r="A142" s="490" t="s">
        <v>393</v>
      </c>
      <c r="B142" s="193" t="s">
        <v>29</v>
      </c>
      <c r="C142" s="193" t="s">
        <v>29</v>
      </c>
      <c r="D142" s="193">
        <v>676.47</v>
      </c>
      <c r="E142" s="193">
        <v>7936.97</v>
      </c>
      <c r="F142" s="193">
        <v>6205.16</v>
      </c>
      <c r="G142" s="193">
        <v>3277.97</v>
      </c>
      <c r="H142" s="193" t="s">
        <v>29</v>
      </c>
      <c r="I142" s="193">
        <f t="shared" si="10"/>
        <v>18096.57</v>
      </c>
    </row>
    <row r="143" spans="1:9" ht="9" customHeight="1" x14ac:dyDescent="0.2"/>
    <row r="144" spans="1:9" x14ac:dyDescent="0.2">
      <c r="A144" s="116" t="s">
        <v>339</v>
      </c>
    </row>
    <row r="145" spans="1:16" x14ac:dyDescent="0.2">
      <c r="A145" s="371">
        <v>1976</v>
      </c>
      <c r="B145" s="193" t="s">
        <v>29</v>
      </c>
      <c r="C145" s="193">
        <v>6033</v>
      </c>
      <c r="D145" s="193">
        <v>24523</v>
      </c>
      <c r="E145" s="193">
        <v>51234</v>
      </c>
      <c r="F145" s="193">
        <v>81534</v>
      </c>
      <c r="G145" s="193">
        <v>34115</v>
      </c>
      <c r="H145" s="193">
        <v>3227</v>
      </c>
      <c r="I145" s="193">
        <f t="shared" ref="I145:I162" si="12">SUM(B145:H145)</f>
        <v>200666</v>
      </c>
    </row>
    <row r="146" spans="1:16" x14ac:dyDescent="0.2">
      <c r="A146" s="371">
        <v>1977</v>
      </c>
      <c r="B146" s="31">
        <v>1333</v>
      </c>
      <c r="C146" s="31">
        <v>6009</v>
      </c>
      <c r="D146" s="31">
        <v>21219</v>
      </c>
      <c r="E146" s="31">
        <v>43253</v>
      </c>
      <c r="F146" s="31">
        <v>81093</v>
      </c>
      <c r="G146" s="31">
        <v>26547</v>
      </c>
      <c r="H146" s="31">
        <v>2074</v>
      </c>
      <c r="I146" s="193">
        <f t="shared" si="12"/>
        <v>181528</v>
      </c>
    </row>
    <row r="147" spans="1:16" x14ac:dyDescent="0.2">
      <c r="A147" s="371">
        <v>1978</v>
      </c>
      <c r="B147" s="31">
        <v>494</v>
      </c>
      <c r="C147" s="31">
        <v>3257</v>
      </c>
      <c r="D147" s="31">
        <v>23042</v>
      </c>
      <c r="E147" s="31">
        <v>42678</v>
      </c>
      <c r="F147" s="31">
        <v>56249</v>
      </c>
      <c r="G147" s="31">
        <v>27911</v>
      </c>
      <c r="H147" s="31">
        <v>1934</v>
      </c>
      <c r="I147" s="193">
        <f t="shared" si="12"/>
        <v>155565</v>
      </c>
    </row>
    <row r="148" spans="1:16" x14ac:dyDescent="0.2">
      <c r="A148" s="371">
        <v>1979</v>
      </c>
      <c r="B148" s="31" t="s">
        <v>29</v>
      </c>
      <c r="C148" s="31">
        <v>4216</v>
      </c>
      <c r="D148" s="31">
        <v>15553</v>
      </c>
      <c r="E148" s="31">
        <v>37243</v>
      </c>
      <c r="F148" s="31">
        <v>50936</v>
      </c>
      <c r="G148" s="31">
        <v>2810</v>
      </c>
      <c r="H148" s="31">
        <v>1272</v>
      </c>
      <c r="I148" s="193">
        <f t="shared" si="12"/>
        <v>112030</v>
      </c>
    </row>
    <row r="149" spans="1:16" x14ac:dyDescent="0.2">
      <c r="A149" s="371">
        <v>1980</v>
      </c>
      <c r="B149" s="31" t="s">
        <v>29</v>
      </c>
      <c r="C149" s="31">
        <v>3833</v>
      </c>
      <c r="D149" s="31">
        <v>19707</v>
      </c>
      <c r="E149" s="31">
        <v>35532</v>
      </c>
      <c r="F149" s="31">
        <v>42047</v>
      </c>
      <c r="G149" s="31">
        <v>1997</v>
      </c>
      <c r="H149" s="31" t="s">
        <v>29</v>
      </c>
      <c r="I149" s="193">
        <f t="shared" si="12"/>
        <v>103116</v>
      </c>
    </row>
    <row r="150" spans="1:16" x14ac:dyDescent="0.2">
      <c r="A150" s="371">
        <v>1981</v>
      </c>
      <c r="B150" s="31" t="s">
        <v>29</v>
      </c>
      <c r="C150" s="31">
        <v>3077</v>
      </c>
      <c r="D150" s="31">
        <v>12333</v>
      </c>
      <c r="E150" s="31">
        <v>28174</v>
      </c>
      <c r="F150" s="31">
        <f>39892+5347</f>
        <v>45239</v>
      </c>
      <c r="G150" s="31" t="s">
        <v>29</v>
      </c>
      <c r="H150" s="31" t="s">
        <v>29</v>
      </c>
      <c r="I150" s="193">
        <f t="shared" si="12"/>
        <v>88823</v>
      </c>
    </row>
    <row r="151" spans="1:16" x14ac:dyDescent="0.2">
      <c r="A151" s="371">
        <v>1982</v>
      </c>
      <c r="B151" s="31" t="s">
        <v>29</v>
      </c>
      <c r="C151" s="31">
        <v>0</v>
      </c>
      <c r="D151" s="31">
        <v>10209</v>
      </c>
      <c r="E151" s="31">
        <v>38492</v>
      </c>
      <c r="F151" s="31">
        <v>7902</v>
      </c>
      <c r="G151" s="31">
        <v>4538</v>
      </c>
      <c r="H151" s="31">
        <f>654+67</f>
        <v>721</v>
      </c>
      <c r="I151" s="193">
        <f t="shared" si="12"/>
        <v>61862</v>
      </c>
    </row>
    <row r="152" spans="1:16" x14ac:dyDescent="0.2">
      <c r="A152" s="371">
        <v>1983</v>
      </c>
      <c r="B152" s="31" t="s">
        <v>29</v>
      </c>
      <c r="C152" s="31">
        <v>270</v>
      </c>
      <c r="D152" s="31">
        <v>6700</v>
      </c>
      <c r="E152" s="31">
        <v>26575</v>
      </c>
      <c r="F152" s="31">
        <v>24136</v>
      </c>
      <c r="G152" s="31">
        <v>6220</v>
      </c>
      <c r="H152" s="31" t="s">
        <v>29</v>
      </c>
      <c r="I152" s="193">
        <f t="shared" si="12"/>
        <v>63901</v>
      </c>
    </row>
    <row r="153" spans="1:16" x14ac:dyDescent="0.2">
      <c r="A153" s="371">
        <v>1984</v>
      </c>
      <c r="B153" s="31" t="s">
        <v>29</v>
      </c>
      <c r="C153" s="31">
        <v>337</v>
      </c>
      <c r="D153" s="31" t="s">
        <v>29</v>
      </c>
      <c r="E153" s="31">
        <v>3863</v>
      </c>
      <c r="F153" s="31">
        <v>9844</v>
      </c>
      <c r="G153" s="31" t="s">
        <v>29</v>
      </c>
      <c r="H153" s="31" t="s">
        <v>29</v>
      </c>
      <c r="I153" s="193">
        <f t="shared" si="12"/>
        <v>14044</v>
      </c>
    </row>
    <row r="154" spans="1:16" x14ac:dyDescent="0.2">
      <c r="A154" s="371">
        <v>1985</v>
      </c>
      <c r="B154" s="31" t="s">
        <v>29</v>
      </c>
      <c r="C154" s="31" t="s">
        <v>29</v>
      </c>
      <c r="D154" s="31">
        <v>996</v>
      </c>
      <c r="E154" s="31">
        <v>19139</v>
      </c>
      <c r="F154" s="31">
        <v>19795</v>
      </c>
      <c r="G154" s="31">
        <v>197</v>
      </c>
      <c r="H154" s="31" t="s">
        <v>29</v>
      </c>
      <c r="I154" s="193">
        <f t="shared" si="12"/>
        <v>40127</v>
      </c>
    </row>
    <row r="155" spans="1:16" x14ac:dyDescent="0.2">
      <c r="A155" s="371">
        <v>1986</v>
      </c>
      <c r="B155" s="31" t="s">
        <v>29</v>
      </c>
      <c r="C155" s="31" t="s">
        <v>29</v>
      </c>
      <c r="D155" s="31">
        <v>1141</v>
      </c>
      <c r="E155" s="31">
        <v>19644</v>
      </c>
      <c r="F155" s="31">
        <v>15860</v>
      </c>
      <c r="G155" s="31" t="s">
        <v>29</v>
      </c>
      <c r="H155" s="31" t="s">
        <v>29</v>
      </c>
      <c r="I155" s="193">
        <f t="shared" si="12"/>
        <v>36645</v>
      </c>
    </row>
    <row r="156" spans="1:16" x14ac:dyDescent="0.2">
      <c r="A156" s="371">
        <v>1987</v>
      </c>
      <c r="B156" s="31" t="s">
        <v>29</v>
      </c>
      <c r="C156" s="31" t="s">
        <v>29</v>
      </c>
      <c r="D156" s="31">
        <v>989</v>
      </c>
      <c r="E156" s="31">
        <v>17553</v>
      </c>
      <c r="F156" s="31">
        <v>17730</v>
      </c>
      <c r="G156" s="31" t="s">
        <v>29</v>
      </c>
      <c r="H156" s="31" t="s">
        <v>29</v>
      </c>
      <c r="I156" s="193">
        <f t="shared" si="12"/>
        <v>36272</v>
      </c>
    </row>
    <row r="157" spans="1:16" x14ac:dyDescent="0.2">
      <c r="A157" s="371">
        <v>1988</v>
      </c>
      <c r="B157" s="31" t="s">
        <v>29</v>
      </c>
      <c r="C157" s="31" t="s">
        <v>29</v>
      </c>
      <c r="D157" s="31" t="s">
        <v>29</v>
      </c>
      <c r="E157" s="31">
        <v>12183</v>
      </c>
      <c r="F157" s="31">
        <v>595</v>
      </c>
      <c r="G157" s="31">
        <v>47</v>
      </c>
      <c r="H157" s="31" t="s">
        <v>29</v>
      </c>
      <c r="I157" s="193">
        <f t="shared" si="12"/>
        <v>12825</v>
      </c>
    </row>
    <row r="158" spans="1:16" x14ac:dyDescent="0.2">
      <c r="A158" s="371">
        <v>1989</v>
      </c>
      <c r="B158" s="31" t="s">
        <v>29</v>
      </c>
      <c r="C158" s="31">
        <v>298</v>
      </c>
      <c r="D158" s="31">
        <v>563</v>
      </c>
      <c r="E158" s="31">
        <v>22295</v>
      </c>
      <c r="F158" s="31">
        <v>29612</v>
      </c>
      <c r="G158" s="31" t="s">
        <v>29</v>
      </c>
      <c r="H158" s="31" t="s">
        <v>29</v>
      </c>
      <c r="I158" s="193">
        <f t="shared" si="12"/>
        <v>52768</v>
      </c>
    </row>
    <row r="159" spans="1:16" x14ac:dyDescent="0.2">
      <c r="A159" s="371">
        <v>1990</v>
      </c>
      <c r="B159" s="31" t="s">
        <v>29</v>
      </c>
      <c r="C159" s="31" t="s">
        <v>29</v>
      </c>
      <c r="D159" s="31">
        <v>3870</v>
      </c>
      <c r="E159" s="31">
        <v>26992</v>
      </c>
      <c r="F159" s="31">
        <v>33454</v>
      </c>
      <c r="G159" s="31">
        <v>3516</v>
      </c>
      <c r="H159" s="31" t="s">
        <v>29</v>
      </c>
      <c r="I159" s="193">
        <f t="shared" si="12"/>
        <v>67832</v>
      </c>
    </row>
    <row r="160" spans="1:16" x14ac:dyDescent="0.2">
      <c r="A160" s="371">
        <v>1991</v>
      </c>
      <c r="B160" s="193" t="s">
        <v>29</v>
      </c>
      <c r="C160" s="193" t="s">
        <v>29</v>
      </c>
      <c r="D160" s="193">
        <v>3320</v>
      </c>
      <c r="E160" s="193">
        <v>26055</v>
      </c>
      <c r="F160" s="193">
        <v>11294</v>
      </c>
      <c r="G160" s="193">
        <v>4798</v>
      </c>
      <c r="H160" s="193" t="s">
        <v>29</v>
      </c>
      <c r="I160" s="193">
        <f t="shared" si="12"/>
        <v>45467</v>
      </c>
      <c r="J160" s="36"/>
      <c r="K160" s="36"/>
      <c r="P160" s="36"/>
    </row>
    <row r="161" spans="1:16" x14ac:dyDescent="0.2">
      <c r="A161" s="371">
        <v>1992</v>
      </c>
      <c r="B161" s="193" t="s">
        <v>29</v>
      </c>
      <c r="C161" s="193" t="s">
        <v>29</v>
      </c>
      <c r="D161" s="31">
        <v>0</v>
      </c>
      <c r="E161" s="193">
        <v>25611</v>
      </c>
      <c r="F161" s="193">
        <v>4505</v>
      </c>
      <c r="G161" s="193">
        <v>2903</v>
      </c>
      <c r="H161" s="193" t="s">
        <v>29</v>
      </c>
      <c r="I161" s="193">
        <f t="shared" si="12"/>
        <v>33019</v>
      </c>
      <c r="J161" s="36"/>
      <c r="K161" s="36"/>
      <c r="L161" s="36"/>
      <c r="P161" s="36"/>
    </row>
    <row r="162" spans="1:16" x14ac:dyDescent="0.2">
      <c r="A162" s="371">
        <v>1993</v>
      </c>
      <c r="B162" s="193" t="s">
        <v>29</v>
      </c>
      <c r="C162" s="193" t="s">
        <v>29</v>
      </c>
      <c r="D162" s="193" t="s">
        <v>29</v>
      </c>
      <c r="E162" s="193">
        <v>12914</v>
      </c>
      <c r="F162" s="193">
        <v>19681</v>
      </c>
      <c r="G162" s="193">
        <v>15056</v>
      </c>
      <c r="H162" s="193" t="s">
        <v>29</v>
      </c>
      <c r="I162" s="193">
        <f t="shared" si="12"/>
        <v>47651</v>
      </c>
      <c r="J162" s="36"/>
      <c r="K162" s="36"/>
      <c r="L162" s="36"/>
      <c r="P162" s="36"/>
    </row>
    <row r="163" spans="1:16" x14ac:dyDescent="0.2">
      <c r="A163" s="371">
        <v>1994</v>
      </c>
      <c r="B163" s="193" t="s">
        <v>29</v>
      </c>
      <c r="C163" s="193" t="s">
        <v>29</v>
      </c>
      <c r="D163" s="193" t="s">
        <v>29</v>
      </c>
      <c r="E163" s="193" t="s">
        <v>29</v>
      </c>
      <c r="F163" s="193" t="s">
        <v>29</v>
      </c>
      <c r="G163" s="193" t="s">
        <v>29</v>
      </c>
      <c r="H163" s="193" t="s">
        <v>29</v>
      </c>
      <c r="I163" s="193" t="s">
        <v>29</v>
      </c>
      <c r="J163" s="36"/>
      <c r="K163" s="36"/>
      <c r="L163" s="36"/>
      <c r="M163" s="36"/>
      <c r="N163" s="36"/>
      <c r="O163" s="36"/>
      <c r="P163" s="36"/>
    </row>
    <row r="164" spans="1:16" x14ac:dyDescent="0.2">
      <c r="A164" s="371">
        <v>1995</v>
      </c>
      <c r="B164" s="193" t="s">
        <v>29</v>
      </c>
      <c r="C164" s="193" t="s">
        <v>29</v>
      </c>
      <c r="D164" s="193" t="s">
        <v>29</v>
      </c>
      <c r="E164" s="193">
        <v>3821</v>
      </c>
      <c r="F164" s="193">
        <v>11583</v>
      </c>
      <c r="G164" s="193">
        <v>6890</v>
      </c>
      <c r="H164" s="193" t="s">
        <v>29</v>
      </c>
      <c r="I164" s="193">
        <f t="shared" ref="I164:I175" si="13">SUM(B164:H164)</f>
        <v>22294</v>
      </c>
      <c r="J164" s="36"/>
      <c r="K164" s="36"/>
      <c r="L164" s="36"/>
      <c r="P164" s="36"/>
    </row>
    <row r="165" spans="1:16" x14ac:dyDescent="0.2">
      <c r="A165" s="371">
        <v>1996</v>
      </c>
      <c r="B165" s="193" t="s">
        <v>29</v>
      </c>
      <c r="C165" s="193" t="s">
        <v>29</v>
      </c>
      <c r="D165" s="193" t="s">
        <v>29</v>
      </c>
      <c r="E165" s="193">
        <v>3252</v>
      </c>
      <c r="F165" s="193">
        <v>8745</v>
      </c>
      <c r="G165" s="193">
        <v>3596</v>
      </c>
      <c r="H165" s="193" t="s">
        <v>29</v>
      </c>
      <c r="I165" s="193">
        <f t="shared" si="13"/>
        <v>15593</v>
      </c>
      <c r="J165" s="36"/>
      <c r="K165" s="36"/>
      <c r="L165" s="36"/>
      <c r="P165" s="36"/>
    </row>
    <row r="166" spans="1:16" x14ac:dyDescent="0.2">
      <c r="A166" s="371">
        <v>1997</v>
      </c>
      <c r="B166" s="193" t="s">
        <v>29</v>
      </c>
      <c r="C166" s="193" t="s">
        <v>29</v>
      </c>
      <c r="D166" s="193" t="s">
        <v>29</v>
      </c>
      <c r="E166" s="193">
        <v>4556</v>
      </c>
      <c r="F166" s="193">
        <v>2134</v>
      </c>
      <c r="G166" s="193" t="s">
        <v>29</v>
      </c>
      <c r="H166" s="193" t="s">
        <v>29</v>
      </c>
      <c r="I166" s="193">
        <f t="shared" si="13"/>
        <v>6690</v>
      </c>
      <c r="J166" s="36"/>
      <c r="K166" s="36"/>
      <c r="L166" s="36"/>
      <c r="O166" s="36"/>
      <c r="P166" s="36"/>
    </row>
    <row r="167" spans="1:16" x14ac:dyDescent="0.2">
      <c r="A167" s="371">
        <v>1998</v>
      </c>
      <c r="B167" s="193" t="s">
        <v>29</v>
      </c>
      <c r="C167" s="193" t="s">
        <v>29</v>
      </c>
      <c r="D167" s="193" t="s">
        <v>29</v>
      </c>
      <c r="E167" s="193" t="s">
        <v>29</v>
      </c>
      <c r="F167" s="193">
        <v>4277</v>
      </c>
      <c r="G167" s="193">
        <v>420</v>
      </c>
      <c r="H167" s="193" t="s">
        <v>29</v>
      </c>
      <c r="I167" s="193">
        <f t="shared" si="13"/>
        <v>4697</v>
      </c>
      <c r="J167" s="36"/>
      <c r="K167" s="36"/>
      <c r="L167" s="36"/>
      <c r="M167" s="36"/>
      <c r="P167" s="36"/>
    </row>
    <row r="168" spans="1:16" x14ac:dyDescent="0.2">
      <c r="A168" s="371">
        <v>1999</v>
      </c>
      <c r="B168" s="193" t="s">
        <v>29</v>
      </c>
      <c r="C168" s="193" t="s">
        <v>29</v>
      </c>
      <c r="D168" s="193" t="s">
        <v>29</v>
      </c>
      <c r="E168" s="193">
        <v>4448</v>
      </c>
      <c r="F168" s="193">
        <v>11133</v>
      </c>
      <c r="G168" s="193">
        <v>5095</v>
      </c>
      <c r="H168" s="31" t="s">
        <v>29</v>
      </c>
      <c r="I168" s="193">
        <f t="shared" si="13"/>
        <v>20676</v>
      </c>
      <c r="J168" s="36"/>
      <c r="K168" s="36"/>
      <c r="L168" s="36"/>
      <c r="P168" s="36"/>
    </row>
    <row r="169" spans="1:16" x14ac:dyDescent="0.2">
      <c r="A169" s="371">
        <v>2000</v>
      </c>
      <c r="B169" s="193" t="s">
        <v>29</v>
      </c>
      <c r="C169" s="193" t="s">
        <v>29</v>
      </c>
      <c r="D169" s="193" t="s">
        <v>29</v>
      </c>
      <c r="E169" s="193">
        <v>6842</v>
      </c>
      <c r="F169" s="193">
        <v>8915</v>
      </c>
      <c r="G169" s="193" t="s">
        <v>29</v>
      </c>
      <c r="H169" s="193" t="s">
        <v>29</v>
      </c>
      <c r="I169" s="193">
        <f t="shared" si="13"/>
        <v>15757</v>
      </c>
      <c r="J169" s="36"/>
      <c r="K169" s="36"/>
      <c r="L169" s="36"/>
      <c r="O169" s="36"/>
      <c r="P169" s="36"/>
    </row>
    <row r="170" spans="1:16" x14ac:dyDescent="0.2">
      <c r="A170" s="371">
        <v>2001</v>
      </c>
      <c r="B170" s="193" t="s">
        <v>29</v>
      </c>
      <c r="C170" s="193" t="s">
        <v>29</v>
      </c>
      <c r="D170" s="193" t="s">
        <v>29</v>
      </c>
      <c r="E170" s="31">
        <v>21097</v>
      </c>
      <c r="F170" s="193">
        <v>25229</v>
      </c>
      <c r="G170" s="193">
        <v>9060</v>
      </c>
      <c r="H170" s="193" t="s">
        <v>29</v>
      </c>
      <c r="I170" s="193">
        <f t="shared" si="13"/>
        <v>55386</v>
      </c>
      <c r="J170" s="36"/>
      <c r="K170" s="36"/>
      <c r="L170" s="36"/>
      <c r="P170" s="36"/>
    </row>
    <row r="171" spans="1:16" x14ac:dyDescent="0.2">
      <c r="A171" s="371">
        <v>2002</v>
      </c>
      <c r="B171" s="193" t="s">
        <v>29</v>
      </c>
      <c r="C171" s="193">
        <v>215</v>
      </c>
      <c r="D171" s="193">
        <v>1290</v>
      </c>
      <c r="E171" s="193">
        <v>9004</v>
      </c>
      <c r="F171" s="193">
        <v>18137</v>
      </c>
      <c r="G171" s="193">
        <v>8016</v>
      </c>
      <c r="H171" s="193" t="s">
        <v>29</v>
      </c>
      <c r="I171" s="193">
        <f t="shared" si="13"/>
        <v>36662</v>
      </c>
      <c r="J171" s="36"/>
      <c r="P171" s="36"/>
    </row>
    <row r="172" spans="1:16" x14ac:dyDescent="0.2">
      <c r="A172" s="371">
        <v>2003</v>
      </c>
      <c r="B172" s="193" t="s">
        <v>29</v>
      </c>
      <c r="C172" s="193" t="s">
        <v>29</v>
      </c>
      <c r="D172" s="31">
        <v>455</v>
      </c>
      <c r="E172" s="193">
        <v>15033</v>
      </c>
      <c r="F172" s="193">
        <v>29574</v>
      </c>
      <c r="G172" s="193">
        <v>6938</v>
      </c>
      <c r="H172" s="193" t="s">
        <v>29</v>
      </c>
      <c r="I172" s="193">
        <f t="shared" si="13"/>
        <v>52000</v>
      </c>
      <c r="J172" s="36"/>
      <c r="K172" s="36"/>
      <c r="P172" s="36"/>
    </row>
    <row r="173" spans="1:16" x14ac:dyDescent="0.2">
      <c r="A173" s="371">
        <v>2004</v>
      </c>
      <c r="B173" s="193" t="s">
        <v>29</v>
      </c>
      <c r="C173" s="193" t="s">
        <v>29</v>
      </c>
      <c r="D173" s="193">
        <v>597</v>
      </c>
      <c r="E173" s="193">
        <v>11662</v>
      </c>
      <c r="F173" s="193">
        <v>23716</v>
      </c>
      <c r="G173" s="193">
        <v>7836</v>
      </c>
      <c r="H173" s="193" t="s">
        <v>29</v>
      </c>
      <c r="I173" s="193">
        <f t="shared" si="13"/>
        <v>43811</v>
      </c>
    </row>
    <row r="174" spans="1:16" s="359" customFormat="1" x14ac:dyDescent="0.2">
      <c r="A174" s="348">
        <v>2005</v>
      </c>
      <c r="B174" s="197" t="s">
        <v>29</v>
      </c>
      <c r="C174" s="197" t="s">
        <v>29</v>
      </c>
      <c r="D174" s="197" t="s">
        <v>29</v>
      </c>
      <c r="E174" s="197">
        <v>6070</v>
      </c>
      <c r="F174" s="197">
        <v>18968</v>
      </c>
      <c r="G174" s="197">
        <v>7016</v>
      </c>
      <c r="H174" s="197" t="s">
        <v>29</v>
      </c>
      <c r="I174" s="197">
        <f t="shared" si="13"/>
        <v>32054</v>
      </c>
    </row>
    <row r="175" spans="1:16" x14ac:dyDescent="0.2">
      <c r="A175" s="348">
        <v>2006</v>
      </c>
      <c r="B175" s="193" t="s">
        <v>29</v>
      </c>
      <c r="C175" s="193" t="s">
        <v>29</v>
      </c>
      <c r="D175" s="193" t="s">
        <v>29</v>
      </c>
      <c r="E175" s="193">
        <v>5739.97</v>
      </c>
      <c r="F175" s="193">
        <v>15479.84</v>
      </c>
      <c r="G175" s="193">
        <v>1949.75</v>
      </c>
      <c r="H175" s="193" t="s">
        <v>29</v>
      </c>
      <c r="I175" s="193">
        <f t="shared" si="13"/>
        <v>23169.56</v>
      </c>
    </row>
    <row r="176" spans="1:16" s="359" customFormat="1" x14ac:dyDescent="0.2">
      <c r="A176" s="348">
        <v>2007</v>
      </c>
      <c r="B176" s="197" t="s">
        <v>29</v>
      </c>
      <c r="C176" s="197" t="s">
        <v>29</v>
      </c>
      <c r="D176" s="197" t="s">
        <v>29</v>
      </c>
      <c r="E176" s="197">
        <v>7485.66</v>
      </c>
      <c r="F176" s="197">
        <v>20350.48</v>
      </c>
      <c r="G176" s="197">
        <v>2295.4899999999998</v>
      </c>
      <c r="H176" s="197" t="s">
        <v>29</v>
      </c>
      <c r="I176" s="197">
        <f>SUM(B176:H176)</f>
        <v>30131.629999999997</v>
      </c>
    </row>
    <row r="177" spans="1:9" s="359" customFormat="1" x14ac:dyDescent="0.2">
      <c r="A177" s="348">
        <v>2008</v>
      </c>
      <c r="B177" s="197" t="s">
        <v>29</v>
      </c>
      <c r="C177" s="197" t="s">
        <v>29</v>
      </c>
      <c r="D177" s="197">
        <v>777.02</v>
      </c>
      <c r="E177" s="197">
        <v>4506.17</v>
      </c>
      <c r="F177" s="197">
        <v>5156.0600000000004</v>
      </c>
      <c r="G177" s="197" t="s">
        <v>29</v>
      </c>
      <c r="H177" s="197" t="s">
        <v>29</v>
      </c>
      <c r="I177" s="197">
        <f t="shared" ref="I177:I189" si="14">SUM(B177:H177)</f>
        <v>10439.25</v>
      </c>
    </row>
    <row r="178" spans="1:9" s="359" customFormat="1" x14ac:dyDescent="0.2">
      <c r="A178" s="348">
        <v>2009</v>
      </c>
      <c r="B178" s="197" t="s">
        <v>29</v>
      </c>
      <c r="C178" s="197" t="s">
        <v>29</v>
      </c>
      <c r="D178" s="197">
        <v>192.9</v>
      </c>
      <c r="E178" s="197">
        <v>10270.84</v>
      </c>
      <c r="F178" s="197">
        <v>30246.92</v>
      </c>
      <c r="G178" s="197">
        <v>1469.92</v>
      </c>
      <c r="H178" s="197" t="s">
        <v>29</v>
      </c>
      <c r="I178" s="197">
        <f t="shared" si="14"/>
        <v>42180.579999999994</v>
      </c>
    </row>
    <row r="179" spans="1:9" s="359" customFormat="1" x14ac:dyDescent="0.2">
      <c r="A179" s="348">
        <v>2010</v>
      </c>
      <c r="B179" s="197" t="s">
        <v>29</v>
      </c>
      <c r="C179" s="197" t="s">
        <v>29</v>
      </c>
      <c r="D179" s="197">
        <v>556.7299999999999</v>
      </c>
      <c r="E179" s="197">
        <v>7165.41</v>
      </c>
      <c r="F179" s="197">
        <v>17349.330000000002</v>
      </c>
      <c r="G179" s="197">
        <v>2069.6799999999998</v>
      </c>
      <c r="H179" s="197" t="s">
        <v>29</v>
      </c>
      <c r="I179" s="197">
        <f t="shared" si="14"/>
        <v>27141.15</v>
      </c>
    </row>
    <row r="180" spans="1:9" s="359" customFormat="1" x14ac:dyDescent="0.2">
      <c r="A180" s="348">
        <v>2011</v>
      </c>
      <c r="B180" s="197" t="s">
        <v>29</v>
      </c>
      <c r="C180" s="197" t="s">
        <v>29</v>
      </c>
      <c r="D180" s="197">
        <v>673.74</v>
      </c>
      <c r="E180" s="197">
        <v>5358.06</v>
      </c>
      <c r="F180" s="197">
        <v>15126.68</v>
      </c>
      <c r="G180" s="197">
        <v>3585.7</v>
      </c>
      <c r="H180" s="197" t="s">
        <v>29</v>
      </c>
      <c r="I180" s="197">
        <f t="shared" si="14"/>
        <v>24744.18</v>
      </c>
    </row>
    <row r="181" spans="1:9" s="359" customFormat="1" x14ac:dyDescent="0.2">
      <c r="A181" s="348">
        <v>2012</v>
      </c>
      <c r="B181" s="197" t="s">
        <v>29</v>
      </c>
      <c r="C181" s="197" t="s">
        <v>29</v>
      </c>
      <c r="D181" s="197">
        <v>1964.24</v>
      </c>
      <c r="E181" s="197">
        <v>5627.21</v>
      </c>
      <c r="F181" s="197">
        <v>10154.34</v>
      </c>
      <c r="G181" s="197">
        <v>5223.7700000000004</v>
      </c>
      <c r="H181" s="197" t="s">
        <v>29</v>
      </c>
      <c r="I181" s="197">
        <f t="shared" si="14"/>
        <v>22969.56</v>
      </c>
    </row>
    <row r="182" spans="1:9" s="359" customFormat="1" x14ac:dyDescent="0.2">
      <c r="A182" s="348">
        <v>2013</v>
      </c>
      <c r="B182" s="197" t="s">
        <v>29</v>
      </c>
      <c r="C182" s="197" t="s">
        <v>29</v>
      </c>
      <c r="D182" s="197">
        <v>2842.8199999999997</v>
      </c>
      <c r="E182" s="197">
        <v>4833.45</v>
      </c>
      <c r="F182" s="197">
        <v>13381.33</v>
      </c>
      <c r="G182" s="197">
        <v>3438.4</v>
      </c>
      <c r="H182" s="197" t="s">
        <v>29</v>
      </c>
      <c r="I182" s="197">
        <f t="shared" si="14"/>
        <v>24496</v>
      </c>
    </row>
    <row r="183" spans="1:9" s="359" customFormat="1" x14ac:dyDescent="0.2">
      <c r="A183" s="348">
        <v>2014</v>
      </c>
      <c r="B183" s="197" t="s">
        <v>29</v>
      </c>
      <c r="C183" s="197">
        <v>35.86</v>
      </c>
      <c r="D183" s="197">
        <v>2574.9900000000002</v>
      </c>
      <c r="E183" s="197">
        <v>11305.62</v>
      </c>
      <c r="F183" s="197">
        <v>22617.119999999999</v>
      </c>
      <c r="G183" s="197">
        <v>7734.6</v>
      </c>
      <c r="H183" s="197" t="s">
        <v>29</v>
      </c>
      <c r="I183" s="197">
        <f t="shared" si="14"/>
        <v>44268.189999999995</v>
      </c>
    </row>
    <row r="184" spans="1:9" s="359" customFormat="1" x14ac:dyDescent="0.2">
      <c r="A184" s="348">
        <v>2015</v>
      </c>
      <c r="B184" s="197" t="s">
        <v>29</v>
      </c>
      <c r="C184" s="197">
        <v>207.04</v>
      </c>
      <c r="D184" s="197">
        <v>2346.5299999999997</v>
      </c>
      <c r="E184" s="197">
        <v>8520.15</v>
      </c>
      <c r="F184" s="197">
        <v>15496.98</v>
      </c>
      <c r="G184" s="197">
        <v>6818.5599999999995</v>
      </c>
      <c r="H184" s="197" t="s">
        <v>29</v>
      </c>
      <c r="I184" s="197">
        <f>SUM(B184:H184)</f>
        <v>33389.259999999995</v>
      </c>
    </row>
    <row r="185" spans="1:9" s="359" customFormat="1" x14ac:dyDescent="0.2">
      <c r="A185" s="348">
        <v>2016</v>
      </c>
      <c r="B185" s="197" t="s">
        <v>29</v>
      </c>
      <c r="C185" s="197" t="s">
        <v>29</v>
      </c>
      <c r="D185" s="197" t="s">
        <v>29</v>
      </c>
      <c r="E185" s="197">
        <v>7666.17</v>
      </c>
      <c r="F185" s="197">
        <v>16587.330000000002</v>
      </c>
      <c r="G185" s="197" t="s">
        <v>29</v>
      </c>
      <c r="H185" s="197" t="s">
        <v>29</v>
      </c>
      <c r="I185" s="197">
        <f>SUM(B185:H185)</f>
        <v>24253.5</v>
      </c>
    </row>
    <row r="186" spans="1:9" s="359" customFormat="1" x14ac:dyDescent="0.2">
      <c r="A186" s="348">
        <v>2017</v>
      </c>
      <c r="B186" s="197" t="s">
        <v>29</v>
      </c>
      <c r="C186" s="197" t="s">
        <v>29</v>
      </c>
      <c r="D186" s="197">
        <v>388.48</v>
      </c>
      <c r="E186" s="197">
        <v>8532.23</v>
      </c>
      <c r="F186" s="197">
        <v>13844.1</v>
      </c>
      <c r="G186" s="197" t="s">
        <v>29</v>
      </c>
      <c r="H186" s="197" t="s">
        <v>29</v>
      </c>
      <c r="I186" s="197">
        <f>SUM(B186:H186)</f>
        <v>22764.809999999998</v>
      </c>
    </row>
    <row r="187" spans="1:9" s="359" customFormat="1" x14ac:dyDescent="0.2">
      <c r="A187" s="348">
        <v>2018</v>
      </c>
      <c r="B187" s="197" t="s">
        <v>29</v>
      </c>
      <c r="C187" s="197" t="s">
        <v>29</v>
      </c>
      <c r="D187" s="197">
        <v>1194.55</v>
      </c>
      <c r="E187" s="197">
        <v>5098.37</v>
      </c>
      <c r="F187" s="197">
        <v>7978.5</v>
      </c>
      <c r="G187" s="197">
        <v>612.73</v>
      </c>
      <c r="H187" s="197" t="s">
        <v>29</v>
      </c>
      <c r="I187" s="197">
        <f>SUM(B187:H187)</f>
        <v>14884.15</v>
      </c>
    </row>
    <row r="188" spans="1:9" s="487" customFormat="1" x14ac:dyDescent="0.2">
      <c r="A188" s="491">
        <v>2019</v>
      </c>
      <c r="B188" s="197" t="s">
        <v>29</v>
      </c>
      <c r="C188" s="197" t="s">
        <v>29</v>
      </c>
      <c r="D188" s="197">
        <v>2396.15</v>
      </c>
      <c r="E188" s="197">
        <v>10576.04</v>
      </c>
      <c r="F188" s="197">
        <v>15601.87</v>
      </c>
      <c r="G188" s="197">
        <v>1334.82</v>
      </c>
      <c r="H188" s="197" t="s">
        <v>29</v>
      </c>
      <c r="I188" s="197">
        <f t="shared" ref="I188" si="15">SUM(B188:H188)</f>
        <v>29908.880000000001</v>
      </c>
    </row>
    <row r="189" spans="1:9" x14ac:dyDescent="0.2">
      <c r="A189" s="490" t="s">
        <v>393</v>
      </c>
      <c r="B189" s="193" t="s">
        <v>29</v>
      </c>
      <c r="C189" s="193" t="s">
        <v>29</v>
      </c>
      <c r="D189" s="193">
        <v>609.98</v>
      </c>
      <c r="E189" s="193">
        <v>8162.54</v>
      </c>
      <c r="F189" s="193" t="s">
        <v>29</v>
      </c>
      <c r="G189" s="193" t="s">
        <v>29</v>
      </c>
      <c r="H189" s="193" t="s">
        <v>29</v>
      </c>
      <c r="I189" s="193">
        <f t="shared" si="14"/>
        <v>8772.52</v>
      </c>
    </row>
    <row r="190" spans="1:9" x14ac:dyDescent="0.2">
      <c r="A190" s="371" t="s">
        <v>45</v>
      </c>
    </row>
    <row r="191" spans="1:9" x14ac:dyDescent="0.2">
      <c r="A191" s="392" t="s">
        <v>345</v>
      </c>
    </row>
    <row r="192" spans="1:9" x14ac:dyDescent="0.2">
      <c r="A192" s="371">
        <v>1976</v>
      </c>
      <c r="B192" s="197">
        <f t="shared" ref="B192:I201" si="16">IF(AND(B145="-",B98="-",B51="-",B4="-"),"-",SUM(B145,B98,B51,B4))</f>
        <v>1025</v>
      </c>
      <c r="C192" s="197">
        <f t="shared" si="16"/>
        <v>20907</v>
      </c>
      <c r="D192" s="197">
        <f t="shared" si="16"/>
        <v>70009</v>
      </c>
      <c r="E192" s="197">
        <f t="shared" si="16"/>
        <v>154688</v>
      </c>
      <c r="F192" s="197">
        <f t="shared" si="16"/>
        <v>192140</v>
      </c>
      <c r="G192" s="197">
        <f t="shared" si="16"/>
        <v>89924</v>
      </c>
      <c r="H192" s="197">
        <f t="shared" si="16"/>
        <v>9373</v>
      </c>
      <c r="I192" s="197">
        <f t="shared" si="16"/>
        <v>538066</v>
      </c>
    </row>
    <row r="193" spans="1:9" x14ac:dyDescent="0.2">
      <c r="A193" s="371">
        <v>1977</v>
      </c>
      <c r="B193" s="197">
        <f t="shared" si="16"/>
        <v>9015</v>
      </c>
      <c r="C193" s="197">
        <f t="shared" si="16"/>
        <v>19058</v>
      </c>
      <c r="D193" s="197">
        <f t="shared" si="16"/>
        <v>67398</v>
      </c>
      <c r="E193" s="197">
        <f t="shared" si="16"/>
        <v>134197</v>
      </c>
      <c r="F193" s="197">
        <f t="shared" si="16"/>
        <v>210615</v>
      </c>
      <c r="G193" s="197">
        <f t="shared" si="16"/>
        <v>84217</v>
      </c>
      <c r="H193" s="197">
        <f t="shared" si="16"/>
        <v>5453</v>
      </c>
      <c r="I193" s="197">
        <f t="shared" si="16"/>
        <v>529953</v>
      </c>
    </row>
    <row r="194" spans="1:9" x14ac:dyDescent="0.2">
      <c r="A194" s="371">
        <v>1978</v>
      </c>
      <c r="B194" s="197">
        <f t="shared" si="16"/>
        <v>2910</v>
      </c>
      <c r="C194" s="197">
        <f t="shared" si="16"/>
        <v>17259</v>
      </c>
      <c r="D194" s="197">
        <f t="shared" si="16"/>
        <v>71640</v>
      </c>
      <c r="E194" s="197">
        <f t="shared" si="16"/>
        <v>148655</v>
      </c>
      <c r="F194" s="197">
        <f t="shared" si="16"/>
        <v>159389</v>
      </c>
      <c r="G194" s="197">
        <f t="shared" si="16"/>
        <v>73204</v>
      </c>
      <c r="H194" s="197">
        <f t="shared" si="16"/>
        <v>9744</v>
      </c>
      <c r="I194" s="197">
        <f t="shared" si="16"/>
        <v>482801</v>
      </c>
    </row>
    <row r="195" spans="1:9" x14ac:dyDescent="0.2">
      <c r="A195" s="371">
        <v>1979</v>
      </c>
      <c r="B195" s="197">
        <f t="shared" si="16"/>
        <v>1347</v>
      </c>
      <c r="C195" s="197">
        <f t="shared" si="16"/>
        <v>19289</v>
      </c>
      <c r="D195" s="197">
        <f t="shared" si="16"/>
        <v>54189</v>
      </c>
      <c r="E195" s="197">
        <f t="shared" si="16"/>
        <v>105563</v>
      </c>
      <c r="F195" s="197">
        <f t="shared" si="16"/>
        <v>127721</v>
      </c>
      <c r="G195" s="197">
        <f t="shared" si="16"/>
        <v>7434</v>
      </c>
      <c r="H195" s="197">
        <f t="shared" si="16"/>
        <v>1678</v>
      </c>
      <c r="I195" s="197">
        <f t="shared" si="16"/>
        <v>317221</v>
      </c>
    </row>
    <row r="196" spans="1:9" x14ac:dyDescent="0.2">
      <c r="A196" s="371">
        <v>1980</v>
      </c>
      <c r="B196" s="197" t="str">
        <f t="shared" si="16"/>
        <v>-</v>
      </c>
      <c r="C196" s="197">
        <f t="shared" si="16"/>
        <v>15723</v>
      </c>
      <c r="D196" s="197">
        <f t="shared" si="16"/>
        <v>54854</v>
      </c>
      <c r="E196" s="197">
        <f t="shared" si="16"/>
        <v>104064</v>
      </c>
      <c r="F196" s="197">
        <f t="shared" si="16"/>
        <v>101528</v>
      </c>
      <c r="G196" s="197">
        <f t="shared" si="16"/>
        <v>4803</v>
      </c>
      <c r="H196" s="197">
        <f t="shared" si="16"/>
        <v>30</v>
      </c>
      <c r="I196" s="197">
        <f t="shared" si="16"/>
        <v>281002</v>
      </c>
    </row>
    <row r="197" spans="1:9" x14ac:dyDescent="0.2">
      <c r="A197" s="371">
        <v>1981</v>
      </c>
      <c r="B197" s="197">
        <f t="shared" si="16"/>
        <v>177</v>
      </c>
      <c r="C197" s="197">
        <f t="shared" si="16"/>
        <v>10740</v>
      </c>
      <c r="D197" s="197">
        <f t="shared" si="16"/>
        <v>37989</v>
      </c>
      <c r="E197" s="197">
        <f t="shared" si="16"/>
        <v>86010</v>
      </c>
      <c r="F197" s="197">
        <f t="shared" si="16"/>
        <v>97760</v>
      </c>
      <c r="G197" s="197">
        <f t="shared" si="16"/>
        <v>3672</v>
      </c>
      <c r="H197" s="197">
        <f t="shared" si="16"/>
        <v>431</v>
      </c>
      <c r="I197" s="197">
        <f t="shared" si="16"/>
        <v>236779</v>
      </c>
    </row>
    <row r="198" spans="1:9" x14ac:dyDescent="0.2">
      <c r="A198" s="371">
        <v>1982</v>
      </c>
      <c r="B198" s="197">
        <f t="shared" si="16"/>
        <v>18</v>
      </c>
      <c r="C198" s="197">
        <f t="shared" si="16"/>
        <v>2698</v>
      </c>
      <c r="D198" s="197">
        <f t="shared" si="16"/>
        <v>41557</v>
      </c>
      <c r="E198" s="197">
        <f t="shared" si="16"/>
        <v>107886</v>
      </c>
      <c r="F198" s="197">
        <f t="shared" si="16"/>
        <v>55287</v>
      </c>
      <c r="G198" s="197">
        <f t="shared" si="16"/>
        <v>10396</v>
      </c>
      <c r="H198" s="197">
        <f t="shared" si="16"/>
        <v>834</v>
      </c>
      <c r="I198" s="197">
        <f t="shared" si="16"/>
        <v>218676</v>
      </c>
    </row>
    <row r="199" spans="1:9" x14ac:dyDescent="0.2">
      <c r="A199" s="371">
        <v>1983</v>
      </c>
      <c r="B199" s="197">
        <f t="shared" si="16"/>
        <v>142</v>
      </c>
      <c r="C199" s="197">
        <f t="shared" si="16"/>
        <v>3193</v>
      </c>
      <c r="D199" s="197">
        <f t="shared" si="16"/>
        <v>32334</v>
      </c>
      <c r="E199" s="197">
        <f t="shared" si="16"/>
        <v>80735</v>
      </c>
      <c r="F199" s="197">
        <f t="shared" si="16"/>
        <v>72498</v>
      </c>
      <c r="G199" s="197">
        <f t="shared" si="16"/>
        <v>20721</v>
      </c>
      <c r="H199" s="197">
        <f t="shared" si="16"/>
        <v>43</v>
      </c>
      <c r="I199" s="197">
        <f t="shared" si="16"/>
        <v>209666</v>
      </c>
    </row>
    <row r="200" spans="1:9" x14ac:dyDescent="0.2">
      <c r="A200" s="371">
        <v>1984</v>
      </c>
      <c r="B200" s="197">
        <f t="shared" si="16"/>
        <v>55</v>
      </c>
      <c r="C200" s="197">
        <f t="shared" si="16"/>
        <v>3704</v>
      </c>
      <c r="D200" s="197">
        <f t="shared" si="16"/>
        <v>0</v>
      </c>
      <c r="E200" s="197">
        <f t="shared" si="16"/>
        <v>9847</v>
      </c>
      <c r="F200" s="197">
        <f t="shared" si="16"/>
        <v>23002</v>
      </c>
      <c r="G200" s="197">
        <f t="shared" si="16"/>
        <v>179</v>
      </c>
      <c r="H200" s="197" t="str">
        <f t="shared" si="16"/>
        <v>-</v>
      </c>
      <c r="I200" s="197">
        <f t="shared" si="16"/>
        <v>36787</v>
      </c>
    </row>
    <row r="201" spans="1:9" x14ac:dyDescent="0.2">
      <c r="A201" s="371">
        <v>1985</v>
      </c>
      <c r="B201" s="197">
        <f t="shared" si="16"/>
        <v>9</v>
      </c>
      <c r="C201" s="197">
        <f t="shared" si="16"/>
        <v>2</v>
      </c>
      <c r="D201" s="197">
        <f t="shared" si="16"/>
        <v>3073</v>
      </c>
      <c r="E201" s="197">
        <f t="shared" si="16"/>
        <v>54908</v>
      </c>
      <c r="F201" s="197">
        <f t="shared" si="16"/>
        <v>53057</v>
      </c>
      <c r="G201" s="197">
        <f t="shared" si="16"/>
        <v>3764</v>
      </c>
      <c r="H201" s="197" t="str">
        <f t="shared" si="16"/>
        <v>-</v>
      </c>
      <c r="I201" s="197">
        <f t="shared" si="16"/>
        <v>114813</v>
      </c>
    </row>
    <row r="202" spans="1:9" x14ac:dyDescent="0.2">
      <c r="A202" s="371">
        <v>1986</v>
      </c>
      <c r="B202" s="197" t="str">
        <f t="shared" ref="B202:I209" si="17">IF(AND(B155="-",B108="-",B61="-",B14="-"),"-",SUM(B155,B108,B61,B14))</f>
        <v>-</v>
      </c>
      <c r="C202" s="197" t="str">
        <f t="shared" si="17"/>
        <v>-</v>
      </c>
      <c r="D202" s="197">
        <f t="shared" si="17"/>
        <v>3610</v>
      </c>
      <c r="E202" s="197">
        <f t="shared" si="17"/>
        <v>61443</v>
      </c>
      <c r="F202" s="197">
        <f t="shared" si="17"/>
        <v>43199</v>
      </c>
      <c r="G202" s="197">
        <f t="shared" si="17"/>
        <v>943</v>
      </c>
      <c r="H202" s="197">
        <f t="shared" si="17"/>
        <v>86</v>
      </c>
      <c r="I202" s="197">
        <f t="shared" si="17"/>
        <v>109281</v>
      </c>
    </row>
    <row r="203" spans="1:9" x14ac:dyDescent="0.2">
      <c r="A203" s="371">
        <v>1987</v>
      </c>
      <c r="B203" s="197" t="str">
        <f t="shared" si="17"/>
        <v>-</v>
      </c>
      <c r="C203" s="197" t="str">
        <f t="shared" si="17"/>
        <v>-</v>
      </c>
      <c r="D203" s="197">
        <f t="shared" si="17"/>
        <v>3699</v>
      </c>
      <c r="E203" s="197">
        <f t="shared" si="17"/>
        <v>60650</v>
      </c>
      <c r="F203" s="197">
        <f t="shared" si="17"/>
        <v>36310</v>
      </c>
      <c r="G203" s="197">
        <f t="shared" si="17"/>
        <v>784</v>
      </c>
      <c r="H203" s="197">
        <f t="shared" si="17"/>
        <v>22</v>
      </c>
      <c r="I203" s="197">
        <f t="shared" si="17"/>
        <v>101465</v>
      </c>
    </row>
    <row r="204" spans="1:9" x14ac:dyDescent="0.2">
      <c r="A204" s="371">
        <v>1988</v>
      </c>
      <c r="B204" s="197" t="str">
        <f t="shared" si="17"/>
        <v>-</v>
      </c>
      <c r="C204" s="197">
        <f t="shared" si="17"/>
        <v>6</v>
      </c>
      <c r="D204" s="197" t="str">
        <f t="shared" si="17"/>
        <v>-</v>
      </c>
      <c r="E204" s="197">
        <f t="shared" si="17"/>
        <v>63475</v>
      </c>
      <c r="F204" s="197">
        <f t="shared" si="17"/>
        <v>4774</v>
      </c>
      <c r="G204" s="197">
        <f t="shared" si="17"/>
        <v>651</v>
      </c>
      <c r="H204" s="197">
        <f t="shared" si="17"/>
        <v>12</v>
      </c>
      <c r="I204" s="197">
        <f t="shared" si="17"/>
        <v>68918</v>
      </c>
    </row>
    <row r="205" spans="1:9" x14ac:dyDescent="0.2">
      <c r="A205" s="371">
        <v>1989</v>
      </c>
      <c r="B205" s="197" t="str">
        <f t="shared" si="17"/>
        <v>-</v>
      </c>
      <c r="C205" s="197">
        <f t="shared" si="17"/>
        <v>2671</v>
      </c>
      <c r="D205" s="197">
        <f t="shared" si="17"/>
        <v>4954</v>
      </c>
      <c r="E205" s="197">
        <f t="shared" si="17"/>
        <v>67746</v>
      </c>
      <c r="F205" s="197">
        <f t="shared" si="17"/>
        <v>61515</v>
      </c>
      <c r="G205" s="197">
        <f t="shared" si="17"/>
        <v>5362</v>
      </c>
      <c r="H205" s="197" t="str">
        <f t="shared" si="17"/>
        <v>-</v>
      </c>
      <c r="I205" s="197">
        <f t="shared" si="17"/>
        <v>142248</v>
      </c>
    </row>
    <row r="206" spans="1:9" x14ac:dyDescent="0.2">
      <c r="A206" s="371">
        <v>1990</v>
      </c>
      <c r="B206" s="197" t="str">
        <f t="shared" si="17"/>
        <v>-</v>
      </c>
      <c r="C206" s="197" t="str">
        <f t="shared" si="17"/>
        <v>-</v>
      </c>
      <c r="D206" s="197">
        <f t="shared" si="17"/>
        <v>11095</v>
      </c>
      <c r="E206" s="197">
        <f t="shared" si="17"/>
        <v>75236</v>
      </c>
      <c r="F206" s="197">
        <f t="shared" si="17"/>
        <v>71110</v>
      </c>
      <c r="G206" s="197">
        <f t="shared" si="17"/>
        <v>17709</v>
      </c>
      <c r="H206" s="197" t="str">
        <f t="shared" si="17"/>
        <v>-</v>
      </c>
      <c r="I206" s="197">
        <f t="shared" si="17"/>
        <v>175150</v>
      </c>
    </row>
    <row r="207" spans="1:9" x14ac:dyDescent="0.2">
      <c r="A207" s="371">
        <v>1991</v>
      </c>
      <c r="B207" s="197" t="str">
        <f t="shared" si="17"/>
        <v>-</v>
      </c>
      <c r="C207" s="197" t="str">
        <f t="shared" si="17"/>
        <v>-</v>
      </c>
      <c r="D207" s="197">
        <f t="shared" si="17"/>
        <v>8279</v>
      </c>
      <c r="E207" s="197">
        <f t="shared" si="17"/>
        <v>80803</v>
      </c>
      <c r="F207" s="197">
        <f t="shared" si="17"/>
        <v>29436</v>
      </c>
      <c r="G207" s="197">
        <f t="shared" si="17"/>
        <v>8662</v>
      </c>
      <c r="H207" s="197" t="str">
        <f t="shared" si="17"/>
        <v>-</v>
      </c>
      <c r="I207" s="197">
        <f t="shared" si="17"/>
        <v>127180</v>
      </c>
    </row>
    <row r="208" spans="1:9" x14ac:dyDescent="0.2">
      <c r="A208" s="371">
        <v>1992</v>
      </c>
      <c r="B208" s="197" t="str">
        <f t="shared" si="17"/>
        <v>-</v>
      </c>
      <c r="C208" s="197">
        <f t="shared" si="17"/>
        <v>1344</v>
      </c>
      <c r="D208" s="197">
        <f t="shared" si="17"/>
        <v>0</v>
      </c>
      <c r="E208" s="197">
        <f t="shared" si="17"/>
        <v>60529</v>
      </c>
      <c r="F208" s="197">
        <f t="shared" si="17"/>
        <v>33689</v>
      </c>
      <c r="G208" s="197">
        <f t="shared" si="17"/>
        <v>12624</v>
      </c>
      <c r="H208" s="197">
        <f t="shared" si="17"/>
        <v>714</v>
      </c>
      <c r="I208" s="197">
        <f t="shared" si="17"/>
        <v>108900</v>
      </c>
    </row>
    <row r="209" spans="1:9" x14ac:dyDescent="0.2">
      <c r="A209" s="371">
        <v>1993</v>
      </c>
      <c r="B209" s="197" t="str">
        <f t="shared" si="17"/>
        <v>-</v>
      </c>
      <c r="C209" s="197">
        <f t="shared" si="17"/>
        <v>1172</v>
      </c>
      <c r="D209" s="197" t="str">
        <f t="shared" si="17"/>
        <v>-</v>
      </c>
      <c r="E209" s="197">
        <f t="shared" si="17"/>
        <v>43265</v>
      </c>
      <c r="F209" s="197">
        <f t="shared" si="17"/>
        <v>51078</v>
      </c>
      <c r="G209" s="197">
        <f t="shared" si="17"/>
        <v>33255</v>
      </c>
      <c r="H209" s="197" t="str">
        <f t="shared" si="17"/>
        <v>-</v>
      </c>
      <c r="I209" s="197">
        <f t="shared" si="17"/>
        <v>128770</v>
      </c>
    </row>
    <row r="210" spans="1:9" x14ac:dyDescent="0.2">
      <c r="A210" s="123">
        <v>1994</v>
      </c>
      <c r="B210" s="197" t="str">
        <f t="shared" ref="B210:H219" si="18">IF(AND(B163="-",B116="-",B69="-",B22="-"),"-",SUM(B163,B116,B69,B22))</f>
        <v>-</v>
      </c>
      <c r="C210" s="197" t="str">
        <f t="shared" si="18"/>
        <v>-</v>
      </c>
      <c r="D210" s="197" t="str">
        <f t="shared" si="18"/>
        <v>-</v>
      </c>
      <c r="E210" s="197" t="str">
        <f t="shared" si="18"/>
        <v>-</v>
      </c>
      <c r="F210" s="197" t="str">
        <f t="shared" si="18"/>
        <v>-</v>
      </c>
      <c r="G210" s="197" t="str">
        <f t="shared" si="18"/>
        <v>-</v>
      </c>
      <c r="H210" s="197" t="str">
        <f t="shared" si="18"/>
        <v>-</v>
      </c>
      <c r="I210" s="193" t="s">
        <v>29</v>
      </c>
    </row>
    <row r="211" spans="1:9" x14ac:dyDescent="0.2">
      <c r="A211" s="371">
        <v>1995</v>
      </c>
      <c r="B211" s="197" t="str">
        <f t="shared" si="18"/>
        <v>-</v>
      </c>
      <c r="C211" s="197" t="str">
        <f t="shared" si="18"/>
        <v>-</v>
      </c>
      <c r="D211" s="197" t="str">
        <f t="shared" si="18"/>
        <v>-</v>
      </c>
      <c r="E211" s="197">
        <f t="shared" si="18"/>
        <v>8680</v>
      </c>
      <c r="F211" s="197">
        <f t="shared" si="18"/>
        <v>33457</v>
      </c>
      <c r="G211" s="197">
        <f t="shared" si="18"/>
        <v>12807</v>
      </c>
      <c r="H211" s="197" t="str">
        <f t="shared" si="18"/>
        <v>-</v>
      </c>
      <c r="I211" s="197">
        <f t="shared" ref="I211:I234" si="19">IF(AND(I164="-",I117="-",I70="-",I23="-"),"-",SUM(I164,I117,I70,I23))</f>
        <v>54944</v>
      </c>
    </row>
    <row r="212" spans="1:9" x14ac:dyDescent="0.2">
      <c r="A212" s="371">
        <v>1996</v>
      </c>
      <c r="B212" s="197" t="str">
        <f t="shared" si="18"/>
        <v>-</v>
      </c>
      <c r="C212" s="197" t="str">
        <f t="shared" si="18"/>
        <v>-</v>
      </c>
      <c r="D212" s="197" t="str">
        <f t="shared" si="18"/>
        <v>-</v>
      </c>
      <c r="E212" s="197">
        <f t="shared" si="18"/>
        <v>7710</v>
      </c>
      <c r="F212" s="197">
        <f t="shared" si="18"/>
        <v>28950</v>
      </c>
      <c r="G212" s="197">
        <f t="shared" si="18"/>
        <v>6590</v>
      </c>
      <c r="H212" s="197" t="str">
        <f t="shared" si="18"/>
        <v>-</v>
      </c>
      <c r="I212" s="197">
        <f t="shared" si="19"/>
        <v>43250</v>
      </c>
    </row>
    <row r="213" spans="1:9" x14ac:dyDescent="0.2">
      <c r="A213" s="371">
        <v>1997</v>
      </c>
      <c r="B213" s="197" t="str">
        <f t="shared" si="18"/>
        <v>-</v>
      </c>
      <c r="C213" s="197" t="str">
        <f t="shared" si="18"/>
        <v>-</v>
      </c>
      <c r="D213" s="197" t="str">
        <f t="shared" si="18"/>
        <v>-</v>
      </c>
      <c r="E213" s="197">
        <f t="shared" si="18"/>
        <v>16350</v>
      </c>
      <c r="F213" s="197">
        <f t="shared" si="18"/>
        <v>12178</v>
      </c>
      <c r="G213" s="197">
        <f t="shared" si="18"/>
        <v>1171</v>
      </c>
      <c r="H213" s="197" t="str">
        <f t="shared" si="18"/>
        <v>-</v>
      </c>
      <c r="I213" s="197">
        <f t="shared" si="19"/>
        <v>29699</v>
      </c>
    </row>
    <row r="214" spans="1:9" x14ac:dyDescent="0.2">
      <c r="A214" s="371">
        <v>1998</v>
      </c>
      <c r="B214" s="197" t="str">
        <f t="shared" si="18"/>
        <v>-</v>
      </c>
      <c r="C214" s="197" t="str">
        <f t="shared" si="18"/>
        <v>-</v>
      </c>
      <c r="D214" s="197" t="str">
        <f t="shared" si="18"/>
        <v>-</v>
      </c>
      <c r="E214" s="197" t="str">
        <f t="shared" si="18"/>
        <v>-</v>
      </c>
      <c r="F214" s="197">
        <f t="shared" si="18"/>
        <v>18290</v>
      </c>
      <c r="G214" s="197">
        <f t="shared" si="18"/>
        <v>1363</v>
      </c>
      <c r="H214" s="197" t="str">
        <f t="shared" si="18"/>
        <v>-</v>
      </c>
      <c r="I214" s="197">
        <f t="shared" si="19"/>
        <v>19653</v>
      </c>
    </row>
    <row r="215" spans="1:9" x14ac:dyDescent="0.2">
      <c r="A215" s="371">
        <v>1999</v>
      </c>
      <c r="B215" s="197" t="str">
        <f t="shared" si="18"/>
        <v>-</v>
      </c>
      <c r="C215" s="197" t="str">
        <f t="shared" si="18"/>
        <v>-</v>
      </c>
      <c r="D215" s="197" t="str">
        <f t="shared" si="18"/>
        <v>-</v>
      </c>
      <c r="E215" s="197">
        <f t="shared" si="18"/>
        <v>13323</v>
      </c>
      <c r="F215" s="197">
        <f t="shared" si="18"/>
        <v>25740</v>
      </c>
      <c r="G215" s="197">
        <f t="shared" si="18"/>
        <v>11711</v>
      </c>
      <c r="H215" s="197" t="str">
        <f t="shared" si="18"/>
        <v>-</v>
      </c>
      <c r="I215" s="197">
        <f t="shared" si="19"/>
        <v>50774</v>
      </c>
    </row>
    <row r="216" spans="1:9" x14ac:dyDescent="0.2">
      <c r="A216" s="123">
        <v>2000</v>
      </c>
      <c r="B216" s="197" t="str">
        <f t="shared" si="18"/>
        <v>-</v>
      </c>
      <c r="C216" s="197" t="str">
        <f t="shared" si="18"/>
        <v>-</v>
      </c>
      <c r="D216" s="197" t="str">
        <f t="shared" si="18"/>
        <v>-</v>
      </c>
      <c r="E216" s="197">
        <f t="shared" si="18"/>
        <v>25398</v>
      </c>
      <c r="F216" s="197">
        <f t="shared" si="18"/>
        <v>21875</v>
      </c>
      <c r="G216" s="197">
        <f t="shared" si="18"/>
        <v>1646</v>
      </c>
      <c r="H216" s="197" t="str">
        <f t="shared" si="18"/>
        <v>-</v>
      </c>
      <c r="I216" s="197">
        <f t="shared" si="19"/>
        <v>48919</v>
      </c>
    </row>
    <row r="217" spans="1:9" x14ac:dyDescent="0.2">
      <c r="A217" s="371">
        <v>2001</v>
      </c>
      <c r="B217" s="197" t="str">
        <f t="shared" si="18"/>
        <v>-</v>
      </c>
      <c r="C217" s="197" t="str">
        <f t="shared" si="18"/>
        <v>-</v>
      </c>
      <c r="D217" s="197" t="str">
        <f t="shared" si="18"/>
        <v>-</v>
      </c>
      <c r="E217" s="197">
        <f t="shared" si="18"/>
        <v>58851</v>
      </c>
      <c r="F217" s="197">
        <f t="shared" si="18"/>
        <v>48961</v>
      </c>
      <c r="G217" s="197">
        <f t="shared" si="18"/>
        <v>18351</v>
      </c>
      <c r="H217" s="197">
        <f t="shared" si="18"/>
        <v>239</v>
      </c>
      <c r="I217" s="197">
        <f t="shared" si="19"/>
        <v>126402</v>
      </c>
    </row>
    <row r="218" spans="1:9" x14ac:dyDescent="0.2">
      <c r="A218" s="371">
        <v>2002</v>
      </c>
      <c r="B218" s="197" t="str">
        <f t="shared" si="18"/>
        <v>-</v>
      </c>
      <c r="C218" s="197">
        <f t="shared" si="18"/>
        <v>2711</v>
      </c>
      <c r="D218" s="197">
        <f t="shared" si="18"/>
        <v>14903</v>
      </c>
      <c r="E218" s="197">
        <f t="shared" si="18"/>
        <v>30408</v>
      </c>
      <c r="F218" s="197">
        <f t="shared" si="18"/>
        <v>37297</v>
      </c>
      <c r="G218" s="197">
        <f t="shared" si="18"/>
        <v>9735</v>
      </c>
      <c r="H218" s="197">
        <f t="shared" si="18"/>
        <v>113</v>
      </c>
      <c r="I218" s="197">
        <f t="shared" si="19"/>
        <v>95167</v>
      </c>
    </row>
    <row r="219" spans="1:9" x14ac:dyDescent="0.2">
      <c r="A219" s="371">
        <v>2003</v>
      </c>
      <c r="B219" s="197" t="str">
        <f t="shared" si="18"/>
        <v>-</v>
      </c>
      <c r="C219" s="197" t="str">
        <f t="shared" si="18"/>
        <v>-</v>
      </c>
      <c r="D219" s="197">
        <f t="shared" si="18"/>
        <v>6349</v>
      </c>
      <c r="E219" s="197">
        <f t="shared" si="18"/>
        <v>47663</v>
      </c>
      <c r="F219" s="197">
        <f t="shared" si="18"/>
        <v>57542</v>
      </c>
      <c r="G219" s="197">
        <f t="shared" si="18"/>
        <v>13185</v>
      </c>
      <c r="H219" s="197">
        <f t="shared" si="18"/>
        <v>128</v>
      </c>
      <c r="I219" s="52">
        <f t="shared" si="19"/>
        <v>124867</v>
      </c>
    </row>
    <row r="220" spans="1:9" x14ac:dyDescent="0.2">
      <c r="A220" s="371">
        <v>2004</v>
      </c>
      <c r="B220" s="197" t="str">
        <f t="shared" ref="B220:H229" si="20">IF(AND(B173="-",B126="-",B79="-",B32="-"),"-",SUM(B173,B126,B79,B32))</f>
        <v>-</v>
      </c>
      <c r="C220" s="197" t="str">
        <f t="shared" si="20"/>
        <v>-</v>
      </c>
      <c r="D220" s="197">
        <f t="shared" si="20"/>
        <v>2610</v>
      </c>
      <c r="E220" s="197">
        <f t="shared" si="20"/>
        <v>43604</v>
      </c>
      <c r="F220" s="197">
        <f t="shared" si="20"/>
        <v>50621</v>
      </c>
      <c r="G220" s="197">
        <f t="shared" si="20"/>
        <v>15849</v>
      </c>
      <c r="H220" s="197">
        <f t="shared" si="20"/>
        <v>20</v>
      </c>
      <c r="I220" s="197">
        <f t="shared" si="19"/>
        <v>112704</v>
      </c>
    </row>
    <row r="221" spans="1:9" s="359" customFormat="1" x14ac:dyDescent="0.2">
      <c r="A221" s="371">
        <v>2005</v>
      </c>
      <c r="B221" s="197" t="str">
        <f t="shared" si="20"/>
        <v>-</v>
      </c>
      <c r="C221" s="197" t="str">
        <f t="shared" si="20"/>
        <v>-</v>
      </c>
      <c r="D221" s="197">
        <f t="shared" si="20"/>
        <v>1119</v>
      </c>
      <c r="E221" s="197">
        <f t="shared" si="20"/>
        <v>31958.744915506741</v>
      </c>
      <c r="F221" s="197">
        <f t="shared" si="20"/>
        <v>41471.536814377025</v>
      </c>
      <c r="G221" s="197">
        <f t="shared" si="20"/>
        <v>15886.195099939281</v>
      </c>
      <c r="H221" s="197">
        <f t="shared" si="20"/>
        <v>160</v>
      </c>
      <c r="I221" s="197">
        <f t="shared" si="19"/>
        <v>90595.476829823048</v>
      </c>
    </row>
    <row r="222" spans="1:9" s="359" customFormat="1" x14ac:dyDescent="0.2">
      <c r="A222" s="123">
        <v>2006</v>
      </c>
      <c r="B222" s="197" t="str">
        <f t="shared" si="20"/>
        <v>-</v>
      </c>
      <c r="C222" s="197" t="str">
        <f t="shared" si="20"/>
        <v>-</v>
      </c>
      <c r="D222" s="197">
        <f t="shared" si="20"/>
        <v>1118.93</v>
      </c>
      <c r="E222" s="197">
        <f t="shared" si="20"/>
        <v>22226.21</v>
      </c>
      <c r="F222" s="197">
        <f t="shared" si="20"/>
        <v>36158.549999999996</v>
      </c>
      <c r="G222" s="197">
        <f t="shared" si="20"/>
        <v>5500.95</v>
      </c>
      <c r="H222" s="197">
        <f t="shared" si="20"/>
        <v>258.35000000000002</v>
      </c>
      <c r="I222" s="197">
        <f t="shared" si="19"/>
        <v>65262.990000000013</v>
      </c>
    </row>
    <row r="223" spans="1:9" s="359" customFormat="1" x14ac:dyDescent="0.2">
      <c r="A223" s="371">
        <v>2007</v>
      </c>
      <c r="B223" s="197" t="str">
        <f t="shared" si="20"/>
        <v>-</v>
      </c>
      <c r="C223" s="197" t="str">
        <f t="shared" si="20"/>
        <v>-</v>
      </c>
      <c r="D223" s="197" t="str">
        <f t="shared" si="20"/>
        <v>-</v>
      </c>
      <c r="E223" s="197">
        <f t="shared" si="20"/>
        <v>24967.5</v>
      </c>
      <c r="F223" s="197">
        <f t="shared" si="20"/>
        <v>41864.65</v>
      </c>
      <c r="G223" s="197">
        <f t="shared" si="20"/>
        <v>5850.7599999999993</v>
      </c>
      <c r="H223" s="197">
        <f t="shared" si="20"/>
        <v>0</v>
      </c>
      <c r="I223" s="197">
        <f t="shared" si="19"/>
        <v>72682.91</v>
      </c>
    </row>
    <row r="224" spans="1:9" s="359" customFormat="1" x14ac:dyDescent="0.2">
      <c r="A224" s="371">
        <v>2008</v>
      </c>
      <c r="B224" s="197" t="str">
        <f t="shared" si="20"/>
        <v>-</v>
      </c>
      <c r="C224" s="197" t="str">
        <f t="shared" si="20"/>
        <v>-</v>
      </c>
      <c r="D224" s="197">
        <f t="shared" si="20"/>
        <v>4784.3599999999997</v>
      </c>
      <c r="E224" s="197">
        <f t="shared" si="20"/>
        <v>15897.94</v>
      </c>
      <c r="F224" s="197">
        <f t="shared" si="20"/>
        <v>14326.65</v>
      </c>
      <c r="G224" s="197">
        <f t="shared" si="20"/>
        <v>2563.7800000000002</v>
      </c>
      <c r="H224" s="197">
        <f t="shared" si="20"/>
        <v>37.5</v>
      </c>
      <c r="I224" s="197">
        <f t="shared" si="19"/>
        <v>37610.229999999996</v>
      </c>
    </row>
    <row r="225" spans="1:9" s="359" customFormat="1" x14ac:dyDescent="0.2">
      <c r="A225" s="371">
        <v>2009</v>
      </c>
      <c r="B225" s="197" t="str">
        <f t="shared" si="20"/>
        <v>-</v>
      </c>
      <c r="C225" s="197" t="str">
        <f t="shared" si="20"/>
        <v>-</v>
      </c>
      <c r="D225" s="197">
        <f t="shared" si="20"/>
        <v>1297.19</v>
      </c>
      <c r="E225" s="197">
        <f t="shared" si="20"/>
        <v>28386</v>
      </c>
      <c r="F225" s="197">
        <f t="shared" si="20"/>
        <v>62792.49</v>
      </c>
      <c r="G225" s="197">
        <f t="shared" si="20"/>
        <v>8871.9500000000007</v>
      </c>
      <c r="H225" s="197">
        <f t="shared" si="20"/>
        <v>212.42</v>
      </c>
      <c r="I225" s="197">
        <f t="shared" si="19"/>
        <v>101560.04999999999</v>
      </c>
    </row>
    <row r="226" spans="1:9" s="359" customFormat="1" x14ac:dyDescent="0.2">
      <c r="A226" s="348">
        <v>2010</v>
      </c>
      <c r="B226" s="197" t="str">
        <f t="shared" si="20"/>
        <v>-</v>
      </c>
      <c r="C226" s="197" t="str">
        <f t="shared" si="20"/>
        <v>-</v>
      </c>
      <c r="D226" s="197">
        <f t="shared" si="20"/>
        <v>10007.859999999999</v>
      </c>
      <c r="E226" s="197">
        <f t="shared" si="20"/>
        <v>25545.61</v>
      </c>
      <c r="F226" s="197">
        <f t="shared" si="20"/>
        <v>36895.78</v>
      </c>
      <c r="G226" s="197">
        <f t="shared" si="20"/>
        <v>8351.2800000000007</v>
      </c>
      <c r="H226" s="197">
        <f t="shared" si="20"/>
        <v>153.97</v>
      </c>
      <c r="I226" s="197">
        <f t="shared" si="19"/>
        <v>80954.500000000015</v>
      </c>
    </row>
    <row r="227" spans="1:9" s="359" customFormat="1" x14ac:dyDescent="0.2">
      <c r="A227" s="348">
        <v>2011</v>
      </c>
      <c r="B227" s="197" t="str">
        <f t="shared" si="20"/>
        <v>-</v>
      </c>
      <c r="C227" s="197" t="str">
        <f t="shared" si="20"/>
        <v>-</v>
      </c>
      <c r="D227" s="197">
        <f t="shared" si="20"/>
        <v>6210.57</v>
      </c>
      <c r="E227" s="197">
        <f t="shared" si="20"/>
        <v>22692.41</v>
      </c>
      <c r="F227" s="197">
        <f t="shared" si="20"/>
        <v>36304.93</v>
      </c>
      <c r="G227" s="197">
        <f t="shared" si="20"/>
        <v>8372.2799999999988</v>
      </c>
      <c r="H227" s="197">
        <f t="shared" si="20"/>
        <v>16.05</v>
      </c>
      <c r="I227" s="197">
        <f t="shared" si="19"/>
        <v>73596.240000000005</v>
      </c>
    </row>
    <row r="228" spans="1:9" s="359" customFormat="1" x14ac:dyDescent="0.2">
      <c r="A228" s="348">
        <v>2012</v>
      </c>
      <c r="B228" s="197" t="str">
        <f t="shared" si="20"/>
        <v>-</v>
      </c>
      <c r="C228" s="197" t="str">
        <f t="shared" si="20"/>
        <v>-</v>
      </c>
      <c r="D228" s="197">
        <f t="shared" si="20"/>
        <v>11591.460000000001</v>
      </c>
      <c r="E228" s="197">
        <f t="shared" si="20"/>
        <v>23039.739999999998</v>
      </c>
      <c r="F228" s="197">
        <f t="shared" si="20"/>
        <v>29322.38</v>
      </c>
      <c r="G228" s="197">
        <f t="shared" si="20"/>
        <v>13351.880000000001</v>
      </c>
      <c r="H228" s="197">
        <f t="shared" si="20"/>
        <v>353.11</v>
      </c>
      <c r="I228" s="197">
        <f t="shared" si="19"/>
        <v>77658.570000000007</v>
      </c>
    </row>
    <row r="229" spans="1:9" s="359" customFormat="1" x14ac:dyDescent="0.2">
      <c r="A229" s="348">
        <v>2013</v>
      </c>
      <c r="B229" s="197" t="str">
        <f t="shared" si="20"/>
        <v>-</v>
      </c>
      <c r="C229" s="197">
        <f t="shared" si="20"/>
        <v>950.86</v>
      </c>
      <c r="D229" s="197">
        <f t="shared" si="20"/>
        <v>11815.9</v>
      </c>
      <c r="E229" s="197">
        <f t="shared" si="20"/>
        <v>20843.870000000003</v>
      </c>
      <c r="F229" s="197">
        <f t="shared" si="20"/>
        <v>37327.81</v>
      </c>
      <c r="G229" s="197">
        <f t="shared" si="20"/>
        <v>8837.94</v>
      </c>
      <c r="H229" s="197">
        <f t="shared" si="20"/>
        <v>237.41</v>
      </c>
      <c r="I229" s="197">
        <f t="shared" si="19"/>
        <v>80013.790000000008</v>
      </c>
    </row>
    <row r="230" spans="1:9" s="359" customFormat="1" x14ac:dyDescent="0.2">
      <c r="A230" s="348">
        <v>2014</v>
      </c>
      <c r="B230" s="197" t="str">
        <f t="shared" ref="B230:H230" si="21">IF(AND(B183="-",B136="-",B89="-",B42="-"),"-",SUM(B183,B136,B89,B42))</f>
        <v>-</v>
      </c>
      <c r="C230" s="197">
        <f t="shared" si="21"/>
        <v>1678.42</v>
      </c>
      <c r="D230" s="197">
        <f t="shared" si="21"/>
        <v>12905.909999999998</v>
      </c>
      <c r="E230" s="197">
        <f t="shared" si="21"/>
        <v>39834.29</v>
      </c>
      <c r="F230" s="197">
        <f t="shared" si="21"/>
        <v>47009.83</v>
      </c>
      <c r="G230" s="197">
        <f t="shared" si="21"/>
        <v>17824.05</v>
      </c>
      <c r="H230" s="197">
        <f t="shared" si="21"/>
        <v>364.82</v>
      </c>
      <c r="I230" s="197">
        <f t="shared" si="19"/>
        <v>119617.31999999999</v>
      </c>
    </row>
    <row r="231" spans="1:9" s="359" customFormat="1" x14ac:dyDescent="0.2">
      <c r="A231" s="348">
        <v>2015</v>
      </c>
      <c r="B231" s="197" t="str">
        <f t="shared" ref="B231:H231" si="22">IF(AND(B184="-",B137="-",B90="-",B43="-"),"-",SUM(B184,B137,B90,B43))</f>
        <v>-</v>
      </c>
      <c r="C231" s="197">
        <f t="shared" si="22"/>
        <v>1647.96</v>
      </c>
      <c r="D231" s="197">
        <f t="shared" si="22"/>
        <v>11320.32</v>
      </c>
      <c r="E231" s="197">
        <f t="shared" si="22"/>
        <v>37298.92</v>
      </c>
      <c r="F231" s="197">
        <f t="shared" si="22"/>
        <v>31062.82</v>
      </c>
      <c r="G231" s="197">
        <f t="shared" si="22"/>
        <v>15484.28</v>
      </c>
      <c r="H231" s="197">
        <f t="shared" si="22"/>
        <v>300.16000000000003</v>
      </c>
      <c r="I231" s="197">
        <f t="shared" si="19"/>
        <v>97114.459999999992</v>
      </c>
    </row>
    <row r="232" spans="1:9" s="359" customFormat="1" x14ac:dyDescent="0.2">
      <c r="A232" s="348">
        <v>2016</v>
      </c>
      <c r="B232" s="197" t="str">
        <f t="shared" ref="B232:H232" si="23">IF(AND(B185="-",B138="-",B91="-",B44="-"),"-",SUM(B185,B138,B91,B44))</f>
        <v>-</v>
      </c>
      <c r="C232" s="197" t="str">
        <f t="shared" si="23"/>
        <v>-</v>
      </c>
      <c r="D232" s="197" t="str">
        <f t="shared" si="23"/>
        <v>-</v>
      </c>
      <c r="E232" s="197">
        <f t="shared" si="23"/>
        <v>25458.379999999997</v>
      </c>
      <c r="F232" s="197">
        <f t="shared" si="23"/>
        <v>25978.250000000004</v>
      </c>
      <c r="G232" s="197" t="str">
        <f t="shared" si="23"/>
        <v>-</v>
      </c>
      <c r="H232" s="197" t="str">
        <f t="shared" si="23"/>
        <v>-</v>
      </c>
      <c r="I232" s="197">
        <f t="shared" si="19"/>
        <v>51436.63</v>
      </c>
    </row>
    <row r="233" spans="1:9" s="359" customFormat="1" x14ac:dyDescent="0.2">
      <c r="A233" s="348">
        <v>2017</v>
      </c>
      <c r="B233" s="197" t="str">
        <f t="shared" ref="B233:H233" si="24">IF(AND(B186="-",B139="-",B92="-",B45="-"),"-",SUM(B186,B139,B92,B45))</f>
        <v>-</v>
      </c>
      <c r="C233" s="197" t="str">
        <f t="shared" si="24"/>
        <v>-</v>
      </c>
      <c r="D233" s="197">
        <f t="shared" si="24"/>
        <v>856.6400000000001</v>
      </c>
      <c r="E233" s="197">
        <f t="shared" si="24"/>
        <v>30088.04</v>
      </c>
      <c r="F233" s="197">
        <f t="shared" si="24"/>
        <v>29666.27</v>
      </c>
      <c r="G233" s="197">
        <f t="shared" si="24"/>
        <v>841.76</v>
      </c>
      <c r="H233" s="197" t="str">
        <f t="shared" si="24"/>
        <v>-</v>
      </c>
      <c r="I233" s="197">
        <f t="shared" si="19"/>
        <v>61452.71</v>
      </c>
    </row>
    <row r="234" spans="1:9" s="359" customFormat="1" x14ac:dyDescent="0.2">
      <c r="A234" s="348" t="s">
        <v>337</v>
      </c>
      <c r="B234" s="197" t="str">
        <f t="shared" ref="B234:H234" si="25">IF(AND(B187="-",B140="-",B93="-",B46="-"),"-",SUM(B187,B140,B93,B46))</f>
        <v>-</v>
      </c>
      <c r="C234" s="197" t="str">
        <f t="shared" si="25"/>
        <v>-</v>
      </c>
      <c r="D234" s="197">
        <f t="shared" si="25"/>
        <v>2443.5500000000002</v>
      </c>
      <c r="E234" s="197">
        <f t="shared" si="25"/>
        <v>19506.309999999998</v>
      </c>
      <c r="F234" s="197">
        <f t="shared" si="25"/>
        <v>24995.199999999997</v>
      </c>
      <c r="G234" s="197">
        <f t="shared" si="25"/>
        <v>1023.08</v>
      </c>
      <c r="H234" s="197" t="str">
        <f t="shared" si="25"/>
        <v>-</v>
      </c>
      <c r="I234" s="197">
        <f t="shared" si="19"/>
        <v>47968.14</v>
      </c>
    </row>
    <row r="235" spans="1:9" s="487" customFormat="1" x14ac:dyDescent="0.2">
      <c r="A235" s="491">
        <v>2019</v>
      </c>
      <c r="B235" s="197" t="str">
        <f t="shared" ref="B235:I236" si="26">IF(AND(B188="-",B141="-",B94="-",B47="-"),"-",SUM(B188,B141,B94,B47))</f>
        <v>-</v>
      </c>
      <c r="C235" s="197" t="str">
        <f t="shared" si="26"/>
        <v>-</v>
      </c>
      <c r="D235" s="197">
        <f t="shared" si="26"/>
        <v>6650.63</v>
      </c>
      <c r="E235" s="197">
        <f t="shared" si="26"/>
        <v>26079.329999999998</v>
      </c>
      <c r="F235" s="197">
        <f t="shared" si="26"/>
        <v>28880.590000000004</v>
      </c>
      <c r="G235" s="197">
        <f t="shared" si="26"/>
        <v>3816.43</v>
      </c>
      <c r="H235" s="197">
        <f t="shared" si="26"/>
        <v>239.57</v>
      </c>
      <c r="I235" s="197">
        <f t="shared" si="26"/>
        <v>65666.55</v>
      </c>
    </row>
    <row r="236" spans="1:9" x14ac:dyDescent="0.2">
      <c r="A236" s="494" t="s">
        <v>395</v>
      </c>
      <c r="B236" s="197" t="str">
        <f t="shared" si="26"/>
        <v>-</v>
      </c>
      <c r="C236" s="197" t="str">
        <f t="shared" si="26"/>
        <v>-</v>
      </c>
      <c r="D236" s="197">
        <f t="shared" si="26"/>
        <v>2608.92</v>
      </c>
      <c r="E236" s="197">
        <f t="shared" si="26"/>
        <v>20816.2</v>
      </c>
      <c r="F236" s="197">
        <f t="shared" si="26"/>
        <v>7118.77</v>
      </c>
      <c r="G236" s="197">
        <f t="shared" si="26"/>
        <v>3340.91</v>
      </c>
      <c r="H236" s="197" t="str">
        <f t="shared" si="26"/>
        <v>-</v>
      </c>
      <c r="I236" s="197">
        <f t="shared" si="26"/>
        <v>33884.800000000003</v>
      </c>
    </row>
    <row r="237" spans="1:9" x14ac:dyDescent="0.2">
      <c r="A237" s="162" t="s">
        <v>208</v>
      </c>
      <c r="B237" s="495"/>
      <c r="C237" s="495"/>
      <c r="D237" s="495"/>
      <c r="E237" s="495"/>
      <c r="F237" s="495"/>
      <c r="G237" s="495"/>
      <c r="H237" s="495"/>
      <c r="I237" s="495"/>
    </row>
    <row r="238" spans="1:9" x14ac:dyDescent="0.2">
      <c r="A238" s="371" t="s">
        <v>48</v>
      </c>
    </row>
    <row r="239" spans="1:9" x14ac:dyDescent="0.2">
      <c r="A239" s="596" t="s">
        <v>78</v>
      </c>
      <c r="B239" s="596"/>
      <c r="C239" s="596"/>
      <c r="D239" s="596"/>
      <c r="E239" s="596"/>
      <c r="F239" s="596"/>
      <c r="G239" s="596"/>
      <c r="H239" s="596"/>
      <c r="I239" s="596"/>
    </row>
    <row r="240" spans="1:9" x14ac:dyDescent="0.2">
      <c r="A240" s="596"/>
      <c r="B240" s="596"/>
      <c r="C240" s="596"/>
      <c r="D240" s="596"/>
      <c r="E240" s="596"/>
      <c r="F240" s="596"/>
      <c r="G240" s="596"/>
      <c r="H240" s="596"/>
      <c r="I240" s="596"/>
    </row>
    <row r="241" spans="1:9" ht="31.5" customHeight="1" x14ac:dyDescent="0.2">
      <c r="A241" s="599" t="s">
        <v>401</v>
      </c>
      <c r="B241" s="599"/>
      <c r="C241" s="599"/>
      <c r="D241" s="599"/>
      <c r="E241" s="599"/>
      <c r="F241" s="599"/>
      <c r="G241" s="599"/>
      <c r="H241" s="599"/>
      <c r="I241" s="599"/>
    </row>
    <row r="245" spans="1:9" s="310" customFormat="1" x14ac:dyDescent="0.2">
      <c r="A245" s="240"/>
      <c r="B245" s="242"/>
      <c r="C245" s="242"/>
      <c r="D245" s="242"/>
      <c r="E245" s="242"/>
      <c r="F245" s="242"/>
      <c r="G245" s="242"/>
      <c r="H245" s="242"/>
      <c r="I245" s="242"/>
    </row>
    <row r="257" spans="1:10" x14ac:dyDescent="0.2">
      <c r="A257" s="522" t="s">
        <v>210</v>
      </c>
      <c r="B257" s="522"/>
      <c r="C257" s="522"/>
      <c r="D257" s="522"/>
      <c r="E257" s="522"/>
      <c r="F257" s="522"/>
      <c r="G257" s="522"/>
      <c r="H257" s="522"/>
      <c r="I257" s="522"/>
    </row>
    <row r="258" spans="1:10" x14ac:dyDescent="0.2">
      <c r="A258" s="393" t="s">
        <v>33</v>
      </c>
      <c r="B258" s="394" t="s">
        <v>34</v>
      </c>
      <c r="C258" s="394" t="s">
        <v>35</v>
      </c>
      <c r="D258" s="394" t="s">
        <v>36</v>
      </c>
      <c r="E258" s="394" t="s">
        <v>37</v>
      </c>
      <c r="F258" s="394" t="s">
        <v>38</v>
      </c>
      <c r="G258" s="394" t="s">
        <v>39</v>
      </c>
      <c r="H258" s="394" t="s">
        <v>40</v>
      </c>
      <c r="I258" s="369" t="s">
        <v>28</v>
      </c>
    </row>
    <row r="259" spans="1:10" x14ac:dyDescent="0.2">
      <c r="A259" s="159" t="s">
        <v>65</v>
      </c>
      <c r="B259" s="197"/>
      <c r="C259" s="197"/>
      <c r="D259" s="197"/>
      <c r="E259" s="197"/>
      <c r="F259" s="197"/>
      <c r="G259" s="197"/>
      <c r="H259" s="197"/>
      <c r="I259" s="197"/>
    </row>
    <row r="260" spans="1:10" ht="11.25" customHeight="1" x14ac:dyDescent="0.2">
      <c r="A260" s="361" t="s">
        <v>30</v>
      </c>
      <c r="B260" s="197">
        <f t="shared" ref="B260:H260" si="27">AVERAGE(B9:B13)</f>
        <v>80.2</v>
      </c>
      <c r="C260" s="197">
        <f t="shared" si="27"/>
        <v>556.5</v>
      </c>
      <c r="D260" s="197">
        <f t="shared" si="27"/>
        <v>978.75</v>
      </c>
      <c r="E260" s="197">
        <f t="shared" si="27"/>
        <v>9338</v>
      </c>
      <c r="F260" s="197">
        <f t="shared" si="27"/>
        <v>13390.6</v>
      </c>
      <c r="G260" s="197">
        <f t="shared" si="27"/>
        <v>3382</v>
      </c>
      <c r="H260" s="197">
        <f t="shared" si="27"/>
        <v>126.33333333333333</v>
      </c>
      <c r="I260" s="197">
        <f>AVERAGE(I9:I13)</f>
        <v>27494.799999999999</v>
      </c>
      <c r="J260" s="22">
        <f>SUM(B260:G260)</f>
        <v>27726.050000000003</v>
      </c>
    </row>
    <row r="261" spans="1:10" ht="11.25" customHeight="1" x14ac:dyDescent="0.2">
      <c r="A261" s="360" t="s">
        <v>347</v>
      </c>
      <c r="B261" s="197" t="s">
        <v>29</v>
      </c>
      <c r="C261" s="197">
        <f>AVERAGE(C14:C18)</f>
        <v>431</v>
      </c>
      <c r="D261" s="197">
        <f>AVERAGE(D14:D18)</f>
        <v>490.5</v>
      </c>
      <c r="E261" s="197">
        <f>AVERAGE(E14:E18)</f>
        <v>13953.4</v>
      </c>
      <c r="F261" s="197">
        <f>AVERAGE(F14:F18)</f>
        <v>7340.8</v>
      </c>
      <c r="G261" s="197">
        <f>AVERAGE(G14:G18)</f>
        <v>2193</v>
      </c>
      <c r="H261" s="197" t="s">
        <v>29</v>
      </c>
      <c r="I261" s="197">
        <f>AVERAGE(I14:I18)</f>
        <v>23174.799999999999</v>
      </c>
      <c r="J261" s="22">
        <f>SUM(B261:G261)</f>
        <v>24408.7</v>
      </c>
    </row>
    <row r="262" spans="1:10" s="359" customFormat="1" ht="11.25" customHeight="1" x14ac:dyDescent="0.2">
      <c r="A262" s="360" t="s">
        <v>346</v>
      </c>
      <c r="B262" s="197" t="s">
        <v>29</v>
      </c>
      <c r="C262" s="197">
        <f>AVERAGE(C19:C23)</f>
        <v>1258</v>
      </c>
      <c r="D262" s="197">
        <f>AVERAGE(D19:D23)</f>
        <v>4</v>
      </c>
      <c r="E262" s="197">
        <f>AVERAGE(E19:E23)</f>
        <v>12553.333333333334</v>
      </c>
      <c r="F262" s="197">
        <f>AVERAGE(F19:F23)</f>
        <v>9455.25</v>
      </c>
      <c r="G262" s="197">
        <f>AVERAGE(G19:G23)</f>
        <v>994</v>
      </c>
      <c r="H262" s="197" t="s">
        <v>29</v>
      </c>
      <c r="I262" s="197">
        <f>AVERAGE(I19:I23)</f>
        <v>20494.25</v>
      </c>
      <c r="J262" s="22">
        <f>SUM(B262:G262)</f>
        <v>24264.583333333336</v>
      </c>
    </row>
    <row r="263" spans="1:10" s="359" customFormat="1" ht="11.25" customHeight="1" x14ac:dyDescent="0.2">
      <c r="A263" s="361" t="s">
        <v>207</v>
      </c>
      <c r="B263" s="197" t="s">
        <v>29</v>
      </c>
      <c r="C263" s="197" t="s">
        <v>29</v>
      </c>
      <c r="D263" s="197" t="s">
        <v>29</v>
      </c>
      <c r="E263" s="197">
        <f>AVERAGE(E24:E28)</f>
        <v>3462.3333333333335</v>
      </c>
      <c r="F263" s="197">
        <f>AVERAGE(F24:F28)</f>
        <v>5345.4</v>
      </c>
      <c r="G263" s="197">
        <f>AVERAGE(G24:G28)</f>
        <v>1097.75</v>
      </c>
      <c r="H263" s="197" t="s">
        <v>29</v>
      </c>
      <c r="I263" s="197">
        <f>AVERAGE(I24:I28)</f>
        <v>8301</v>
      </c>
    </row>
    <row r="264" spans="1:10" ht="11.25" customHeight="1" x14ac:dyDescent="0.2">
      <c r="A264" s="361" t="s">
        <v>238</v>
      </c>
      <c r="B264" s="197" t="str">
        <f>B29</f>
        <v>-</v>
      </c>
      <c r="C264" s="197">
        <f>AVERAGE(C29:C33)</f>
        <v>576</v>
      </c>
      <c r="D264" s="197">
        <f>AVERAGE(D29:D33)</f>
        <v>1446.6666666666667</v>
      </c>
      <c r="E264" s="197">
        <f>AVERAGE(E29:E33)</f>
        <v>10062.948983101349</v>
      </c>
      <c r="F264" s="197">
        <f>AVERAGE(F29:F33)</f>
        <v>7081.3073628754046</v>
      </c>
      <c r="G264" s="197">
        <f>AVERAGE(G29:G33)</f>
        <v>1198.8390199878563</v>
      </c>
      <c r="H264" s="197" t="str">
        <f>H29</f>
        <v>-</v>
      </c>
      <c r="I264" s="197">
        <f>AVERAGE(I29:I33)</f>
        <v>19326.295365964608</v>
      </c>
    </row>
    <row r="265" spans="1:10" ht="11.25" customHeight="1" x14ac:dyDescent="0.2">
      <c r="A265" s="308">
        <v>2006</v>
      </c>
      <c r="B265" s="197" t="str">
        <f t="shared" ref="B265:I265" si="28">B34</f>
        <v>-</v>
      </c>
      <c r="C265" s="197" t="str">
        <f t="shared" si="28"/>
        <v>-</v>
      </c>
      <c r="D265" s="197">
        <f t="shared" si="28"/>
        <v>946.38</v>
      </c>
      <c r="E265" s="197">
        <f>E34</f>
        <v>6600.08</v>
      </c>
      <c r="F265" s="197">
        <f t="shared" si="28"/>
        <v>4934.7</v>
      </c>
      <c r="G265" s="197">
        <f t="shared" si="28"/>
        <v>928.28</v>
      </c>
      <c r="H265" s="197" t="str">
        <f t="shared" si="28"/>
        <v>-</v>
      </c>
      <c r="I265" s="197">
        <f t="shared" si="28"/>
        <v>13409.44</v>
      </c>
    </row>
    <row r="266" spans="1:10" s="359" customFormat="1" ht="11.25" customHeight="1" x14ac:dyDescent="0.2">
      <c r="A266" s="308">
        <v>2007</v>
      </c>
      <c r="B266" s="197" t="str">
        <f t="shared" ref="B266:I266" si="29">B35</f>
        <v>-</v>
      </c>
      <c r="C266" s="197" t="str">
        <f t="shared" si="29"/>
        <v>-</v>
      </c>
      <c r="D266" s="197" t="str">
        <f t="shared" si="29"/>
        <v>-</v>
      </c>
      <c r="E266" s="197">
        <f t="shared" si="29"/>
        <v>6944.6</v>
      </c>
      <c r="F266" s="197">
        <f t="shared" si="29"/>
        <v>5731.14</v>
      </c>
      <c r="G266" s="197">
        <f t="shared" si="29"/>
        <v>691.05</v>
      </c>
      <c r="H266" s="197" t="str">
        <f t="shared" si="29"/>
        <v>-</v>
      </c>
      <c r="I266" s="197">
        <f t="shared" si="29"/>
        <v>13366.79</v>
      </c>
    </row>
    <row r="267" spans="1:10" s="359" customFormat="1" ht="11.25" customHeight="1" x14ac:dyDescent="0.2">
      <c r="A267" s="308">
        <v>2008</v>
      </c>
      <c r="B267" s="197" t="str">
        <f t="shared" ref="B267:I267" si="30">B36</f>
        <v>-</v>
      </c>
      <c r="C267" s="197" t="str">
        <f t="shared" si="30"/>
        <v>-</v>
      </c>
      <c r="D267" s="197">
        <f t="shared" si="30"/>
        <v>1066.31</v>
      </c>
      <c r="E267" s="197">
        <f t="shared" si="30"/>
        <v>2475.31</v>
      </c>
      <c r="F267" s="197">
        <f t="shared" si="30"/>
        <v>2581.77</v>
      </c>
      <c r="G267" s="197">
        <f t="shared" si="30"/>
        <v>246.55</v>
      </c>
      <c r="H267" s="197" t="str">
        <f t="shared" si="30"/>
        <v>-</v>
      </c>
      <c r="I267" s="197">
        <f t="shared" si="30"/>
        <v>6369.94</v>
      </c>
    </row>
    <row r="268" spans="1:10" s="359" customFormat="1" ht="11.25" customHeight="1" x14ac:dyDescent="0.2">
      <c r="A268" s="308">
        <v>2009</v>
      </c>
      <c r="B268" s="197" t="str">
        <f t="shared" ref="B268:I268" si="31">B37</f>
        <v>-</v>
      </c>
      <c r="C268" s="197" t="str">
        <f t="shared" si="31"/>
        <v>-</v>
      </c>
      <c r="D268" s="197">
        <f t="shared" si="31"/>
        <v>224.88</v>
      </c>
      <c r="E268" s="197">
        <f t="shared" si="31"/>
        <v>6436.32</v>
      </c>
      <c r="F268" s="197">
        <f t="shared" si="31"/>
        <v>8607.83</v>
      </c>
      <c r="G268" s="197">
        <f t="shared" si="31"/>
        <v>1201.92</v>
      </c>
      <c r="H268" s="197" t="str">
        <f t="shared" si="31"/>
        <v>-</v>
      </c>
      <c r="I268" s="197">
        <f t="shared" si="31"/>
        <v>16470.949999999997</v>
      </c>
    </row>
    <row r="269" spans="1:10" s="359" customFormat="1" ht="11.25" customHeight="1" x14ac:dyDescent="0.2">
      <c r="A269" s="308">
        <v>2010</v>
      </c>
      <c r="B269" s="197" t="str">
        <f t="shared" ref="B269:I269" si="32">B38</f>
        <v>-</v>
      </c>
      <c r="C269" s="197" t="str">
        <f t="shared" si="32"/>
        <v>-</v>
      </c>
      <c r="D269" s="197">
        <f t="shared" si="32"/>
        <v>1239.23</v>
      </c>
      <c r="E269" s="197">
        <f t="shared" si="32"/>
        <v>5700.79</v>
      </c>
      <c r="F269" s="197">
        <f t="shared" si="32"/>
        <v>3802.5</v>
      </c>
      <c r="G269" s="197">
        <f t="shared" si="32"/>
        <v>806.83999999999992</v>
      </c>
      <c r="H269" s="197" t="str">
        <f t="shared" si="32"/>
        <v>-</v>
      </c>
      <c r="I269" s="197">
        <f t="shared" si="32"/>
        <v>11549.36</v>
      </c>
    </row>
    <row r="270" spans="1:10" s="359" customFormat="1" ht="11.25" customHeight="1" x14ac:dyDescent="0.2">
      <c r="A270" s="308">
        <v>2011</v>
      </c>
      <c r="B270" s="197" t="str">
        <f t="shared" ref="B270:H270" si="33">B39</f>
        <v>-</v>
      </c>
      <c r="C270" s="197" t="str">
        <f t="shared" si="33"/>
        <v>-</v>
      </c>
      <c r="D270" s="197">
        <f t="shared" si="33"/>
        <v>638.43000000000006</v>
      </c>
      <c r="E270" s="197">
        <f t="shared" si="33"/>
        <v>5500.32</v>
      </c>
      <c r="F270" s="197">
        <f t="shared" si="33"/>
        <v>4259.45</v>
      </c>
      <c r="G270" s="197">
        <f t="shared" si="33"/>
        <v>671.22</v>
      </c>
      <c r="H270" s="197" t="str">
        <f t="shared" si="33"/>
        <v>-</v>
      </c>
      <c r="I270" s="197">
        <f>I39</f>
        <v>11069.42</v>
      </c>
    </row>
    <row r="271" spans="1:10" s="359" customFormat="1" ht="11.25" customHeight="1" x14ac:dyDescent="0.2">
      <c r="A271" s="308">
        <v>2012</v>
      </c>
      <c r="B271" s="197" t="str">
        <f t="shared" ref="B271:I271" si="34">B40</f>
        <v>-</v>
      </c>
      <c r="C271" s="197" t="str">
        <f t="shared" si="34"/>
        <v>-</v>
      </c>
      <c r="D271" s="197">
        <f t="shared" si="34"/>
        <v>1204.44</v>
      </c>
      <c r="E271" s="197">
        <f t="shared" si="34"/>
        <v>7324.48</v>
      </c>
      <c r="F271" s="197">
        <f t="shared" si="34"/>
        <v>3641.32</v>
      </c>
      <c r="G271" s="197">
        <f t="shared" si="34"/>
        <v>1268.3599999999999</v>
      </c>
      <c r="H271" s="197" t="str">
        <f t="shared" si="34"/>
        <v>-</v>
      </c>
      <c r="I271" s="197">
        <f t="shared" si="34"/>
        <v>13438.6</v>
      </c>
    </row>
    <row r="272" spans="1:10" s="359" customFormat="1" ht="11.25" customHeight="1" x14ac:dyDescent="0.2">
      <c r="A272" s="308">
        <v>2013</v>
      </c>
      <c r="B272" s="197" t="str">
        <f t="shared" ref="B272:I272" si="35">B41</f>
        <v>-</v>
      </c>
      <c r="C272" s="197">
        <f t="shared" si="35"/>
        <v>814.98</v>
      </c>
      <c r="D272" s="197">
        <f t="shared" si="35"/>
        <v>1713.94</v>
      </c>
      <c r="E272" s="197">
        <f t="shared" si="35"/>
        <v>7398.92</v>
      </c>
      <c r="F272" s="197">
        <f t="shared" si="35"/>
        <v>5043.95</v>
      </c>
      <c r="G272" s="197">
        <f t="shared" si="35"/>
        <v>390.53</v>
      </c>
      <c r="H272" s="197" t="str">
        <f t="shared" si="35"/>
        <v>-</v>
      </c>
      <c r="I272" s="197">
        <f t="shared" si="35"/>
        <v>15362.320000000002</v>
      </c>
    </row>
    <row r="273" spans="1:9" s="359" customFormat="1" ht="11.25" customHeight="1" x14ac:dyDescent="0.2">
      <c r="A273" s="308">
        <v>2014</v>
      </c>
      <c r="B273" s="197" t="str">
        <f t="shared" ref="B273:I273" si="36">B42</f>
        <v>-</v>
      </c>
      <c r="C273" s="197">
        <f t="shared" si="36"/>
        <v>827.09</v>
      </c>
      <c r="D273" s="197">
        <f t="shared" si="36"/>
        <v>2334.31</v>
      </c>
      <c r="E273" s="197">
        <f t="shared" si="36"/>
        <v>8101.53</v>
      </c>
      <c r="F273" s="197">
        <f t="shared" si="36"/>
        <v>3547.48</v>
      </c>
      <c r="G273" s="197">
        <f t="shared" si="36"/>
        <v>1706.28</v>
      </c>
      <c r="H273" s="197" t="str">
        <f t="shared" si="36"/>
        <v>-</v>
      </c>
      <c r="I273" s="197">
        <f t="shared" si="36"/>
        <v>16516.689999999999</v>
      </c>
    </row>
    <row r="274" spans="1:9" s="359" customFormat="1" ht="11.25" customHeight="1" x14ac:dyDescent="0.2">
      <c r="A274" s="308">
        <v>2015</v>
      </c>
      <c r="B274" s="197" t="str">
        <f t="shared" ref="B274:I274" si="37">B43</f>
        <v>-</v>
      </c>
      <c r="C274" s="197">
        <f t="shared" si="37"/>
        <v>370.23</v>
      </c>
      <c r="D274" s="197">
        <f t="shared" si="37"/>
        <v>2370.8000000000002</v>
      </c>
      <c r="E274" s="197">
        <f t="shared" si="37"/>
        <v>8760.52</v>
      </c>
      <c r="F274" s="197">
        <f t="shared" si="37"/>
        <v>2345.36</v>
      </c>
      <c r="G274" s="197">
        <f t="shared" si="37"/>
        <v>918.56999999999994</v>
      </c>
      <c r="H274" s="197" t="str">
        <f t="shared" si="37"/>
        <v>-</v>
      </c>
      <c r="I274" s="197">
        <f t="shared" si="37"/>
        <v>14765.480000000001</v>
      </c>
    </row>
    <row r="275" spans="1:9" s="359" customFormat="1" ht="11.25" customHeight="1" x14ac:dyDescent="0.2">
      <c r="A275" s="308">
        <v>2016</v>
      </c>
      <c r="B275" s="197" t="str">
        <f t="shared" ref="B275:I275" si="38">B44</f>
        <v>-</v>
      </c>
      <c r="C275" s="197" t="str">
        <f t="shared" si="38"/>
        <v>-</v>
      </c>
      <c r="D275" s="197" t="str">
        <f t="shared" si="38"/>
        <v>-</v>
      </c>
      <c r="E275" s="197">
        <f t="shared" si="38"/>
        <v>7503.69</v>
      </c>
      <c r="F275" s="197">
        <f t="shared" si="38"/>
        <v>751.07</v>
      </c>
      <c r="G275" s="197" t="str">
        <f t="shared" si="38"/>
        <v>-</v>
      </c>
      <c r="H275" s="197" t="str">
        <f t="shared" si="38"/>
        <v>-</v>
      </c>
      <c r="I275" s="197">
        <f t="shared" si="38"/>
        <v>8254.76</v>
      </c>
    </row>
    <row r="276" spans="1:9" s="359" customFormat="1" ht="11.25" customHeight="1" x14ac:dyDescent="0.2">
      <c r="A276" s="348">
        <v>2017</v>
      </c>
      <c r="B276" s="197" t="str">
        <f t="shared" ref="B276:I276" si="39">B45</f>
        <v>-</v>
      </c>
      <c r="C276" s="197" t="str">
        <f t="shared" si="39"/>
        <v>-</v>
      </c>
      <c r="D276" s="197">
        <f t="shared" si="39"/>
        <v>385.86</v>
      </c>
      <c r="E276" s="197">
        <f t="shared" si="39"/>
        <v>7874.17</v>
      </c>
      <c r="F276" s="197">
        <f t="shared" si="39"/>
        <v>2037</v>
      </c>
      <c r="G276" s="197">
        <f t="shared" si="39"/>
        <v>493.65</v>
      </c>
      <c r="H276" s="197" t="str">
        <f t="shared" si="39"/>
        <v>-</v>
      </c>
      <c r="I276" s="197">
        <f t="shared" si="39"/>
        <v>10790.68</v>
      </c>
    </row>
    <row r="277" spans="1:9" s="359" customFormat="1" ht="11.25" customHeight="1" x14ac:dyDescent="0.2">
      <c r="A277" s="348">
        <v>2018</v>
      </c>
      <c r="B277" s="197" t="str">
        <f t="shared" ref="B277:I277" si="40">B46</f>
        <v>-</v>
      </c>
      <c r="C277" s="197" t="str">
        <f t="shared" si="40"/>
        <v>-</v>
      </c>
      <c r="D277" s="197">
        <f t="shared" si="40"/>
        <v>1169.17</v>
      </c>
      <c r="E277" s="197">
        <f t="shared" si="40"/>
        <v>5989.08</v>
      </c>
      <c r="F277" s="197">
        <f t="shared" si="40"/>
        <v>1499.01</v>
      </c>
      <c r="G277" s="197">
        <f t="shared" si="40"/>
        <v>0</v>
      </c>
      <c r="H277" s="197" t="str">
        <f t="shared" si="40"/>
        <v>-</v>
      </c>
      <c r="I277" s="197">
        <f t="shared" si="40"/>
        <v>8657.26</v>
      </c>
    </row>
    <row r="278" spans="1:9" s="487" customFormat="1" ht="11.25" customHeight="1" x14ac:dyDescent="0.2">
      <c r="A278" s="491">
        <v>2019</v>
      </c>
      <c r="B278" s="197" t="str">
        <f t="shared" ref="B278:I279" si="41">B47</f>
        <v>-</v>
      </c>
      <c r="C278" s="197" t="str">
        <f t="shared" si="41"/>
        <v>-</v>
      </c>
      <c r="D278" s="197">
        <f t="shared" si="41"/>
        <v>2526.71</v>
      </c>
      <c r="E278" s="197">
        <f t="shared" si="41"/>
        <v>5150.1400000000003</v>
      </c>
      <c r="F278" s="197">
        <f t="shared" si="41"/>
        <v>1986.97</v>
      </c>
      <c r="G278" s="197">
        <f t="shared" si="41"/>
        <v>400.36</v>
      </c>
      <c r="H278" s="197" t="str">
        <f t="shared" si="41"/>
        <v>-</v>
      </c>
      <c r="I278" s="197">
        <f t="shared" si="41"/>
        <v>10064.18</v>
      </c>
    </row>
    <row r="279" spans="1:9" ht="11.25" customHeight="1" x14ac:dyDescent="0.2">
      <c r="A279" s="494" t="s">
        <v>395</v>
      </c>
      <c r="B279" s="197" t="str">
        <f t="shared" si="41"/>
        <v>-</v>
      </c>
      <c r="C279" s="197" t="str">
        <f t="shared" si="41"/>
        <v>-</v>
      </c>
      <c r="D279" s="197">
        <f t="shared" si="41"/>
        <v>1322.47</v>
      </c>
      <c r="E279" s="197">
        <f t="shared" si="41"/>
        <v>4700.04</v>
      </c>
      <c r="F279" s="197">
        <f t="shared" si="41"/>
        <v>767.93</v>
      </c>
      <c r="G279" s="197" t="str">
        <f t="shared" si="41"/>
        <v>-</v>
      </c>
      <c r="H279" s="197" t="str">
        <f t="shared" si="41"/>
        <v>-</v>
      </c>
      <c r="I279" s="197">
        <f t="shared" si="41"/>
        <v>6790.4400000000005</v>
      </c>
    </row>
    <row r="280" spans="1:9" ht="6.6" customHeight="1" x14ac:dyDescent="0.2">
      <c r="A280" s="348"/>
      <c r="B280" s="197"/>
      <c r="C280" s="197"/>
      <c r="D280" s="197"/>
      <c r="E280" s="197"/>
      <c r="F280" s="197"/>
      <c r="G280" s="197"/>
      <c r="H280" s="197"/>
      <c r="I280" s="197"/>
    </row>
    <row r="281" spans="1:9" x14ac:dyDescent="0.2">
      <c r="A281" s="159" t="s">
        <v>66</v>
      </c>
      <c r="B281" s="197"/>
      <c r="C281" s="197"/>
      <c r="D281" s="197"/>
      <c r="E281" s="197"/>
      <c r="F281" s="197"/>
      <c r="G281" s="197"/>
      <c r="H281" s="197"/>
      <c r="I281" s="197"/>
    </row>
    <row r="282" spans="1:9" ht="11.25" customHeight="1" x14ac:dyDescent="0.2">
      <c r="A282" s="308" t="s">
        <v>30</v>
      </c>
      <c r="B282" s="197" t="s">
        <v>29</v>
      </c>
      <c r="C282" s="197">
        <f>AVERAGE(C56:C60)</f>
        <v>0</v>
      </c>
      <c r="D282" s="197">
        <f>AVERAGE(D56:D60)</f>
        <v>77</v>
      </c>
      <c r="E282" s="197">
        <f>AVERAGE(E56:E60)</f>
        <v>1119</v>
      </c>
      <c r="F282" s="197">
        <f>AVERAGE(F56:F60)</f>
        <v>2074.8000000000002</v>
      </c>
      <c r="G282" s="197">
        <f>AVERAGE(G56:G60)</f>
        <v>230.5</v>
      </c>
      <c r="H282" s="197">
        <f>+H76</f>
        <v>239</v>
      </c>
      <c r="I282" s="197">
        <f>AVERAGE(I56:I60)</f>
        <v>3332.2</v>
      </c>
    </row>
    <row r="283" spans="1:9" ht="11.25" customHeight="1" x14ac:dyDescent="0.2">
      <c r="A283" s="308" t="s">
        <v>87</v>
      </c>
      <c r="B283" s="197" t="s">
        <v>29</v>
      </c>
      <c r="C283" s="197">
        <f>AVERAGE(C61:C65)</f>
        <v>66</v>
      </c>
      <c r="D283" s="197">
        <f>AVERAGE(D61:D65)</f>
        <v>60.333333333333336</v>
      </c>
      <c r="E283" s="197">
        <f>AVERAGE(E61:E65)</f>
        <v>1767.6</v>
      </c>
      <c r="F283" s="197">
        <f>AVERAGE(F61:F65)</f>
        <v>749</v>
      </c>
      <c r="G283" s="197">
        <f>AVERAGE(G61:G65)</f>
        <v>153.5</v>
      </c>
      <c r="H283" s="197">
        <f>+H77</f>
        <v>113</v>
      </c>
      <c r="I283" s="197">
        <f>AVERAGE(I61:I65)</f>
        <v>2477.6</v>
      </c>
    </row>
    <row r="284" spans="1:9" s="359" customFormat="1" ht="11.25" customHeight="1" x14ac:dyDescent="0.2">
      <c r="A284" s="308" t="s">
        <v>14</v>
      </c>
      <c r="B284" s="197" t="s">
        <v>29</v>
      </c>
      <c r="C284" s="197" t="s">
        <v>29</v>
      </c>
      <c r="D284" s="197" t="s">
        <v>29</v>
      </c>
      <c r="E284" s="197">
        <f>AVERAGE(E66:E70)</f>
        <v>2236</v>
      </c>
      <c r="F284" s="197">
        <f>AVERAGE(F66:F70)</f>
        <v>548</v>
      </c>
      <c r="G284" s="197">
        <f>AVERAGE(G66:G70)</f>
        <v>479.66666666666669</v>
      </c>
      <c r="H284" s="197">
        <f>AVERAGE(H66:H70)</f>
        <v>8</v>
      </c>
      <c r="I284" s="197">
        <f>AVERAGE(I66:I70)</f>
        <v>2586.75</v>
      </c>
    </row>
    <row r="285" spans="1:9" s="359" customFormat="1" ht="11.25" customHeight="1" x14ac:dyDescent="0.2">
      <c r="A285" s="308" t="s">
        <v>207</v>
      </c>
      <c r="B285" s="197" t="s">
        <v>29</v>
      </c>
      <c r="C285" s="197" t="s">
        <v>29</v>
      </c>
      <c r="D285" s="197" t="s">
        <v>29</v>
      </c>
      <c r="E285" s="197">
        <f>AVERAGE(E71:E75)</f>
        <v>1060</v>
      </c>
      <c r="F285" s="197">
        <f>AVERAGE(F71:F75)</f>
        <v>666.2</v>
      </c>
      <c r="G285" s="197">
        <f>AVERAGE(G71:G75)</f>
        <v>587.5</v>
      </c>
      <c r="H285" s="197" t="s">
        <v>29</v>
      </c>
      <c r="I285" s="197">
        <f>AVERAGE(I71:I75)</f>
        <v>1537.2</v>
      </c>
    </row>
    <row r="286" spans="1:9" ht="11.25" customHeight="1" x14ac:dyDescent="0.2">
      <c r="A286" s="308" t="s">
        <v>238</v>
      </c>
      <c r="B286" s="197" t="str">
        <f>+B76</f>
        <v>-</v>
      </c>
      <c r="C286" s="197">
        <f t="shared" ref="C286:I286" si="42">AVERAGE(C76:C80)</f>
        <v>59</v>
      </c>
      <c r="D286" s="197">
        <f t="shared" si="42"/>
        <v>199.33333333333334</v>
      </c>
      <c r="E286" s="197">
        <f t="shared" si="42"/>
        <v>1710.8</v>
      </c>
      <c r="F286" s="197">
        <f t="shared" si="42"/>
        <v>1485.6</v>
      </c>
      <c r="G286" s="197">
        <f t="shared" si="42"/>
        <v>678.2</v>
      </c>
      <c r="H286" s="197">
        <f t="shared" si="42"/>
        <v>132</v>
      </c>
      <c r="I286" s="197">
        <f t="shared" si="42"/>
        <v>4138</v>
      </c>
    </row>
    <row r="287" spans="1:9" ht="11.25" customHeight="1" x14ac:dyDescent="0.2">
      <c r="A287" s="308">
        <v>2006</v>
      </c>
      <c r="B287" s="197" t="str">
        <f t="shared" ref="B287:I287" si="43">+B81</f>
        <v>-</v>
      </c>
      <c r="C287" s="197" t="str">
        <f t="shared" si="43"/>
        <v>-</v>
      </c>
      <c r="D287" s="197">
        <f t="shared" si="43"/>
        <v>172.55</v>
      </c>
      <c r="E287" s="197">
        <f t="shared" si="43"/>
        <v>1029.3</v>
      </c>
      <c r="F287" s="197">
        <f t="shared" si="43"/>
        <v>1942.5</v>
      </c>
      <c r="G287" s="197">
        <f t="shared" si="43"/>
        <v>740.28</v>
      </c>
      <c r="H287" s="197">
        <f t="shared" si="43"/>
        <v>258.35000000000002</v>
      </c>
      <c r="I287" s="197">
        <f t="shared" si="43"/>
        <v>4142.9800000000005</v>
      </c>
    </row>
    <row r="288" spans="1:9" s="359" customFormat="1" ht="11.25" customHeight="1" x14ac:dyDescent="0.2">
      <c r="A288" s="308">
        <v>2007</v>
      </c>
      <c r="B288" s="197" t="str">
        <f t="shared" ref="B288:I288" si="44">+B82</f>
        <v>-</v>
      </c>
      <c r="C288" s="197" t="str">
        <f t="shared" si="44"/>
        <v>-</v>
      </c>
      <c r="D288" s="197" t="str">
        <f t="shared" si="44"/>
        <v>-</v>
      </c>
      <c r="E288" s="197">
        <f t="shared" si="44"/>
        <v>989.28</v>
      </c>
      <c r="F288" s="197">
        <f t="shared" si="44"/>
        <v>1639.83</v>
      </c>
      <c r="G288" s="197">
        <f t="shared" si="44"/>
        <v>639.07000000000005</v>
      </c>
      <c r="H288" s="197">
        <f t="shared" si="44"/>
        <v>0</v>
      </c>
      <c r="I288" s="197">
        <f t="shared" si="44"/>
        <v>3268.18</v>
      </c>
    </row>
    <row r="289" spans="1:9" s="359" customFormat="1" ht="11.25" customHeight="1" x14ac:dyDescent="0.2">
      <c r="A289" s="308">
        <v>2008</v>
      </c>
      <c r="B289" s="197" t="str">
        <f t="shared" ref="B289:I289" si="45">+B83</f>
        <v>-</v>
      </c>
      <c r="C289" s="197" t="str">
        <f t="shared" si="45"/>
        <v>-</v>
      </c>
      <c r="D289" s="197">
        <f t="shared" si="45"/>
        <v>281.12</v>
      </c>
      <c r="E289" s="197">
        <f t="shared" si="45"/>
        <v>535.26</v>
      </c>
      <c r="F289" s="197">
        <f t="shared" si="45"/>
        <v>708.58</v>
      </c>
      <c r="G289" s="197">
        <f t="shared" si="45"/>
        <v>508.07</v>
      </c>
      <c r="H289" s="197">
        <f t="shared" si="45"/>
        <v>37.5</v>
      </c>
      <c r="I289" s="197">
        <f t="shared" si="45"/>
        <v>2070.5299999999997</v>
      </c>
    </row>
    <row r="290" spans="1:9" s="359" customFormat="1" ht="11.25" customHeight="1" x14ac:dyDescent="0.2">
      <c r="A290" s="308">
        <v>2009</v>
      </c>
      <c r="B290" s="197" t="str">
        <f t="shared" ref="B290:I290" si="46">+B84</f>
        <v>-</v>
      </c>
      <c r="C290" s="197" t="str">
        <f t="shared" si="46"/>
        <v>-</v>
      </c>
      <c r="D290" s="197">
        <f t="shared" si="46"/>
        <v>101.94</v>
      </c>
      <c r="E290" s="197">
        <f t="shared" si="46"/>
        <v>1462.33</v>
      </c>
      <c r="F290" s="197">
        <f t="shared" si="46"/>
        <v>2699.54</v>
      </c>
      <c r="G290" s="197">
        <f t="shared" si="46"/>
        <v>600.89</v>
      </c>
      <c r="H290" s="197">
        <f t="shared" si="46"/>
        <v>212.42</v>
      </c>
      <c r="I290" s="197">
        <f t="shared" si="46"/>
        <v>5077.12</v>
      </c>
    </row>
    <row r="291" spans="1:9" s="359" customFormat="1" ht="11.25" customHeight="1" x14ac:dyDescent="0.2">
      <c r="A291" s="308">
        <v>2010</v>
      </c>
      <c r="B291" s="197" t="str">
        <f t="shared" ref="B291:I291" si="47">+B85</f>
        <v>-</v>
      </c>
      <c r="C291" s="197" t="str">
        <f t="shared" si="47"/>
        <v>-</v>
      </c>
      <c r="D291" s="197">
        <f t="shared" si="47"/>
        <v>390.17</v>
      </c>
      <c r="E291" s="197">
        <f t="shared" si="47"/>
        <v>838.42</v>
      </c>
      <c r="F291" s="197">
        <f t="shared" si="47"/>
        <v>1939.67</v>
      </c>
      <c r="G291" s="197">
        <f t="shared" si="47"/>
        <v>513.42999999999995</v>
      </c>
      <c r="H291" s="197">
        <f t="shared" si="47"/>
        <v>153.97</v>
      </c>
      <c r="I291" s="197">
        <f t="shared" si="47"/>
        <v>3835.66</v>
      </c>
    </row>
    <row r="292" spans="1:9" s="359" customFormat="1" ht="11.25" customHeight="1" x14ac:dyDescent="0.2">
      <c r="A292" s="308">
        <v>2011</v>
      </c>
      <c r="B292" s="197" t="str">
        <f t="shared" ref="B292:H292" si="48">+B86</f>
        <v>-</v>
      </c>
      <c r="C292" s="197" t="str">
        <f t="shared" si="48"/>
        <v>-</v>
      </c>
      <c r="D292" s="197">
        <f t="shared" si="48"/>
        <v>193.5</v>
      </c>
      <c r="E292" s="197">
        <f t="shared" si="48"/>
        <v>1406.3</v>
      </c>
      <c r="F292" s="197">
        <f t="shared" si="48"/>
        <v>1945.76</v>
      </c>
      <c r="G292" s="197">
        <f t="shared" si="48"/>
        <v>675.82</v>
      </c>
      <c r="H292" s="197">
        <f t="shared" si="48"/>
        <v>16.05</v>
      </c>
      <c r="I292" s="197">
        <f>+I86</f>
        <v>4237.43</v>
      </c>
    </row>
    <row r="293" spans="1:9" s="359" customFormat="1" ht="11.25" customHeight="1" x14ac:dyDescent="0.2">
      <c r="A293" s="308">
        <v>2012</v>
      </c>
      <c r="B293" s="197" t="str">
        <f t="shared" ref="B293:I293" si="49">+B87</f>
        <v>-</v>
      </c>
      <c r="C293" s="197" t="str">
        <f t="shared" si="49"/>
        <v>-</v>
      </c>
      <c r="D293" s="197">
        <f t="shared" si="49"/>
        <v>235.73</v>
      </c>
      <c r="E293" s="197">
        <f t="shared" si="49"/>
        <v>1189.72</v>
      </c>
      <c r="F293" s="197">
        <f t="shared" si="49"/>
        <v>1379.4</v>
      </c>
      <c r="G293" s="197">
        <f t="shared" si="49"/>
        <v>767.68</v>
      </c>
      <c r="H293" s="197">
        <f t="shared" si="49"/>
        <v>353.11</v>
      </c>
      <c r="I293" s="197">
        <f t="shared" si="49"/>
        <v>3925.6400000000003</v>
      </c>
    </row>
    <row r="294" spans="1:9" s="359" customFormat="1" ht="11.25" customHeight="1" x14ac:dyDescent="0.2">
      <c r="A294" s="308">
        <v>2013</v>
      </c>
      <c r="B294" s="197" t="str">
        <f t="shared" ref="B294:I294" si="50">+B88</f>
        <v>-</v>
      </c>
      <c r="C294" s="197">
        <f t="shared" si="50"/>
        <v>135.88</v>
      </c>
      <c r="D294" s="197">
        <f t="shared" si="50"/>
        <v>239.16</v>
      </c>
      <c r="E294" s="197">
        <f t="shared" si="50"/>
        <v>970.73</v>
      </c>
      <c r="F294" s="197">
        <f t="shared" si="50"/>
        <v>2263.3000000000002</v>
      </c>
      <c r="G294" s="197">
        <f t="shared" si="50"/>
        <v>419.6</v>
      </c>
      <c r="H294" s="197">
        <f t="shared" si="50"/>
        <v>237.41</v>
      </c>
      <c r="I294" s="197">
        <f t="shared" si="50"/>
        <v>4266.08</v>
      </c>
    </row>
    <row r="295" spans="1:9" s="359" customFormat="1" ht="11.25" customHeight="1" x14ac:dyDescent="0.2">
      <c r="A295" s="308">
        <v>2014</v>
      </c>
      <c r="B295" s="197" t="str">
        <f t="shared" ref="B295:I295" si="51">+B89</f>
        <v>-</v>
      </c>
      <c r="C295" s="197">
        <f t="shared" si="51"/>
        <v>35.909999999999997</v>
      </c>
      <c r="D295" s="197">
        <f t="shared" si="51"/>
        <v>351.96</v>
      </c>
      <c r="E295" s="197">
        <f t="shared" si="51"/>
        <v>1421.59</v>
      </c>
      <c r="F295" s="197">
        <f t="shared" si="51"/>
        <v>2006.75</v>
      </c>
      <c r="G295" s="197">
        <f t="shared" si="51"/>
        <v>882.89</v>
      </c>
      <c r="H295" s="197">
        <f t="shared" si="51"/>
        <v>364.82</v>
      </c>
      <c r="I295" s="197">
        <f t="shared" si="51"/>
        <v>5063.92</v>
      </c>
    </row>
    <row r="296" spans="1:9" s="359" customFormat="1" ht="11.25" customHeight="1" x14ac:dyDescent="0.2">
      <c r="A296" s="308">
        <v>2015</v>
      </c>
      <c r="B296" s="197" t="str">
        <f t="shared" ref="B296:I296" si="52">+B90</f>
        <v>-</v>
      </c>
      <c r="C296" s="197">
        <f t="shared" si="52"/>
        <v>89.81</v>
      </c>
      <c r="D296" s="197">
        <f t="shared" si="52"/>
        <v>247.25</v>
      </c>
      <c r="E296" s="197">
        <f t="shared" si="52"/>
        <v>1389.02</v>
      </c>
      <c r="F296" s="197">
        <f t="shared" si="52"/>
        <v>1058.25</v>
      </c>
      <c r="G296" s="197">
        <f t="shared" si="52"/>
        <v>419.76</v>
      </c>
      <c r="H296" s="197">
        <f t="shared" si="52"/>
        <v>300.16000000000003</v>
      </c>
      <c r="I296" s="197">
        <f t="shared" si="52"/>
        <v>3504.25</v>
      </c>
    </row>
    <row r="297" spans="1:9" s="359" customFormat="1" ht="11.25" customHeight="1" x14ac:dyDescent="0.2">
      <c r="A297" s="308">
        <v>2016</v>
      </c>
      <c r="B297" s="197" t="str">
        <f t="shared" ref="B297:I297" si="53">+B91</f>
        <v>-</v>
      </c>
      <c r="C297" s="197" t="str">
        <f t="shared" si="53"/>
        <v>-</v>
      </c>
      <c r="D297" s="197" t="str">
        <f t="shared" si="53"/>
        <v>-</v>
      </c>
      <c r="E297" s="197">
        <f t="shared" si="53"/>
        <v>701.78</v>
      </c>
      <c r="F297" s="197">
        <f t="shared" si="53"/>
        <v>387.06</v>
      </c>
      <c r="G297" s="197" t="str">
        <f t="shared" si="53"/>
        <v>-</v>
      </c>
      <c r="H297" s="197" t="str">
        <f t="shared" si="53"/>
        <v>-</v>
      </c>
      <c r="I297" s="197">
        <f t="shared" si="53"/>
        <v>1088.8399999999999</v>
      </c>
    </row>
    <row r="298" spans="1:9" s="359" customFormat="1" ht="11.25" customHeight="1" x14ac:dyDescent="0.2">
      <c r="A298" s="348">
        <v>2017</v>
      </c>
      <c r="B298" s="197" t="str">
        <f t="shared" ref="B298:I298" si="54">+B92</f>
        <v>-</v>
      </c>
      <c r="C298" s="197" t="str">
        <f t="shared" si="54"/>
        <v>-</v>
      </c>
      <c r="D298" s="197">
        <f t="shared" si="54"/>
        <v>82.3</v>
      </c>
      <c r="E298" s="197">
        <f t="shared" si="54"/>
        <v>465.42</v>
      </c>
      <c r="F298" s="197">
        <f t="shared" si="54"/>
        <v>1004.77</v>
      </c>
      <c r="G298" s="197">
        <f t="shared" si="54"/>
        <v>348.11</v>
      </c>
      <c r="H298" s="197" t="str">
        <f t="shared" si="54"/>
        <v>-</v>
      </c>
      <c r="I298" s="197">
        <f t="shared" si="54"/>
        <v>1900.6</v>
      </c>
    </row>
    <row r="299" spans="1:9" s="359" customFormat="1" ht="11.25" customHeight="1" x14ac:dyDescent="0.2">
      <c r="A299" s="348">
        <v>2018</v>
      </c>
      <c r="B299" s="197" t="str">
        <f t="shared" ref="B299:I299" si="55">+B93</f>
        <v>-</v>
      </c>
      <c r="C299" s="197" t="str">
        <f t="shared" si="55"/>
        <v>-</v>
      </c>
      <c r="D299" s="197">
        <f t="shared" si="55"/>
        <v>79.83</v>
      </c>
      <c r="E299" s="197">
        <f t="shared" si="55"/>
        <v>399.74</v>
      </c>
      <c r="F299" s="197">
        <f t="shared" si="55"/>
        <v>1407.96</v>
      </c>
      <c r="G299" s="197">
        <f t="shared" si="55"/>
        <v>20</v>
      </c>
      <c r="H299" s="197" t="str">
        <f t="shared" si="55"/>
        <v>-</v>
      </c>
      <c r="I299" s="197">
        <f t="shared" si="55"/>
        <v>1907.53</v>
      </c>
    </row>
    <row r="300" spans="1:9" s="487" customFormat="1" ht="11.25" customHeight="1" x14ac:dyDescent="0.2">
      <c r="A300" s="491">
        <v>2019</v>
      </c>
      <c r="B300" s="197" t="str">
        <f t="shared" ref="B300:I301" si="56">+B94</f>
        <v>-</v>
      </c>
      <c r="C300" s="197" t="str">
        <f t="shared" si="56"/>
        <v>-</v>
      </c>
      <c r="D300" s="197">
        <f t="shared" si="56"/>
        <v>123.52</v>
      </c>
      <c r="E300" s="197">
        <f t="shared" si="56"/>
        <v>529.84</v>
      </c>
      <c r="F300" s="197">
        <f t="shared" si="56"/>
        <v>1114.17</v>
      </c>
      <c r="G300" s="197">
        <f t="shared" si="56"/>
        <v>293.72000000000003</v>
      </c>
      <c r="H300" s="197">
        <f t="shared" si="56"/>
        <v>239.57</v>
      </c>
      <c r="I300" s="197">
        <f t="shared" si="56"/>
        <v>2300.8200000000002</v>
      </c>
    </row>
    <row r="301" spans="1:9" ht="11.25" customHeight="1" x14ac:dyDescent="0.2">
      <c r="A301" s="494" t="s">
        <v>395</v>
      </c>
      <c r="B301" s="197" t="str">
        <f t="shared" si="56"/>
        <v>-</v>
      </c>
      <c r="C301" s="197" t="str">
        <f t="shared" si="56"/>
        <v>-</v>
      </c>
      <c r="D301" s="197">
        <f t="shared" si="56"/>
        <v>0</v>
      </c>
      <c r="E301" s="197">
        <f t="shared" si="56"/>
        <v>16.649999999999999</v>
      </c>
      <c r="F301" s="197">
        <f t="shared" si="56"/>
        <v>145.68</v>
      </c>
      <c r="G301" s="197">
        <f t="shared" si="56"/>
        <v>62.94</v>
      </c>
      <c r="H301" s="197" t="str">
        <f t="shared" si="56"/>
        <v>-</v>
      </c>
      <c r="I301" s="197">
        <f t="shared" si="56"/>
        <v>225.27</v>
      </c>
    </row>
    <row r="302" spans="1:9" ht="6.6" customHeight="1" x14ac:dyDescent="0.2"/>
    <row r="303" spans="1:9" x14ac:dyDescent="0.2">
      <c r="A303" s="116" t="s">
        <v>64</v>
      </c>
    </row>
    <row r="304" spans="1:9" ht="11.25" customHeight="1" x14ac:dyDescent="0.2">
      <c r="A304" s="361" t="s">
        <v>30</v>
      </c>
      <c r="B304" s="193" t="s">
        <v>29</v>
      </c>
      <c r="C304" s="193">
        <f t="shared" ref="C304:H304" si="57">AVERAGE(C103:C107)</f>
        <v>3606.75</v>
      </c>
      <c r="D304" s="193">
        <f t="shared" si="57"/>
        <v>20142.25</v>
      </c>
      <c r="E304" s="193">
        <f t="shared" si="57"/>
        <v>34171.599999999999</v>
      </c>
      <c r="F304" s="193">
        <f t="shared" si="57"/>
        <v>23472.2</v>
      </c>
      <c r="G304" s="193">
        <f t="shared" si="57"/>
        <v>2601.5</v>
      </c>
      <c r="H304" s="193">
        <f t="shared" si="57"/>
        <v>208</v>
      </c>
      <c r="I304" s="193">
        <f>AVERAGE(I103:I107)</f>
        <v>78765.8</v>
      </c>
    </row>
    <row r="305" spans="1:9" ht="11.25" customHeight="1" x14ac:dyDescent="0.2">
      <c r="A305" s="361" t="s">
        <v>87</v>
      </c>
      <c r="B305" s="193" t="s">
        <v>29</v>
      </c>
      <c r="C305" s="193">
        <f t="shared" ref="C305:H305" si="58">AVERAGE(C108:C112)</f>
        <v>1451</v>
      </c>
      <c r="D305" s="193">
        <f t="shared" si="58"/>
        <v>3663</v>
      </c>
      <c r="E305" s="193">
        <f t="shared" si="58"/>
        <v>30255.599999999999</v>
      </c>
      <c r="F305" s="193">
        <f t="shared" si="58"/>
        <v>15991.4</v>
      </c>
      <c r="G305" s="193">
        <f t="shared" si="58"/>
        <v>5000</v>
      </c>
      <c r="H305" s="193">
        <f t="shared" si="58"/>
        <v>40</v>
      </c>
      <c r="I305" s="193">
        <f>AVERAGE(I108:I112)</f>
        <v>52491.6</v>
      </c>
    </row>
    <row r="306" spans="1:9" s="359" customFormat="1" ht="11.25" customHeight="1" x14ac:dyDescent="0.2">
      <c r="A306" s="361" t="s">
        <v>14</v>
      </c>
      <c r="B306" s="193" t="s">
        <v>29</v>
      </c>
      <c r="C306" s="193" t="s">
        <v>29</v>
      </c>
      <c r="D306" s="193">
        <f t="shared" ref="D306:I306" si="59">AVERAGE(D113:D117)</f>
        <v>4955</v>
      </c>
      <c r="E306" s="193">
        <f t="shared" si="59"/>
        <v>20127</v>
      </c>
      <c r="F306" s="193">
        <f t="shared" si="59"/>
        <v>15146</v>
      </c>
      <c r="G306" s="193">
        <f t="shared" si="59"/>
        <v>8071.5</v>
      </c>
      <c r="H306" s="193">
        <f t="shared" si="59"/>
        <v>706</v>
      </c>
      <c r="I306" s="193">
        <f t="shared" si="59"/>
        <v>44759.75</v>
      </c>
    </row>
    <row r="307" spans="1:9" s="359" customFormat="1" ht="11.25" customHeight="1" x14ac:dyDescent="0.2">
      <c r="A307" s="361" t="s">
        <v>207</v>
      </c>
      <c r="B307" s="193" t="s">
        <v>29</v>
      </c>
      <c r="C307" s="193" t="s">
        <v>29</v>
      </c>
      <c r="D307" s="193" t="s">
        <v>29</v>
      </c>
      <c r="E307" s="193">
        <f>AVERAGE(E118:E122)</f>
        <v>7529</v>
      </c>
      <c r="F307" s="193">
        <f>AVERAGE(F118:F122)</f>
        <v>8354.2000000000007</v>
      </c>
      <c r="G307" s="193">
        <f>AVERAGE(G118:G122)</f>
        <v>1951</v>
      </c>
      <c r="H307" s="193" t="s">
        <v>29</v>
      </c>
      <c r="I307" s="193">
        <f>AVERAGE(I118:I122)</f>
        <v>15938.2</v>
      </c>
    </row>
    <row r="308" spans="1:9" ht="11.25" customHeight="1" x14ac:dyDescent="0.2">
      <c r="A308" s="361" t="s">
        <v>238</v>
      </c>
      <c r="B308" s="193" t="str">
        <f>+B123</f>
        <v>-</v>
      </c>
      <c r="C308" s="193">
        <f>AVERAGE(C123:C127)</f>
        <v>1861</v>
      </c>
      <c r="D308" s="193">
        <f>AVERAGE(D123:D127)</f>
        <v>4425.25</v>
      </c>
      <c r="E308" s="193">
        <f>AVERAGE(E123:E127)</f>
        <v>18150</v>
      </c>
      <c r="F308" s="193">
        <f>AVERAGE(F123:F127)</f>
        <v>15486.8</v>
      </c>
      <c r="G308" s="193">
        <f>AVERAGE(G123:G127)</f>
        <v>6188.75</v>
      </c>
      <c r="H308" s="193" t="str">
        <f>+H123</f>
        <v>-</v>
      </c>
      <c r="I308" s="193">
        <f>AVERAGE(I123:I127)</f>
        <v>42500.2</v>
      </c>
    </row>
    <row r="309" spans="1:9" ht="11.25" customHeight="1" x14ac:dyDescent="0.2">
      <c r="A309" s="308">
        <v>2006</v>
      </c>
      <c r="B309" s="193" t="str">
        <f t="shared" ref="B309:I309" si="60">+B128</f>
        <v>-</v>
      </c>
      <c r="C309" s="193" t="str">
        <f t="shared" si="60"/>
        <v>-</v>
      </c>
      <c r="D309" s="193" t="str">
        <f t="shared" si="60"/>
        <v>-</v>
      </c>
      <c r="E309" s="193">
        <f t="shared" si="60"/>
        <v>8856.86</v>
      </c>
      <c r="F309" s="193">
        <f t="shared" si="60"/>
        <v>13801.51</v>
      </c>
      <c r="G309" s="193">
        <f t="shared" si="60"/>
        <v>1882.64</v>
      </c>
      <c r="H309" s="193" t="str">
        <f t="shared" si="60"/>
        <v>-</v>
      </c>
      <c r="I309" s="193">
        <f t="shared" si="60"/>
        <v>24541.010000000002</v>
      </c>
    </row>
    <row r="310" spans="1:9" s="359" customFormat="1" ht="11.25" customHeight="1" x14ac:dyDescent="0.2">
      <c r="A310" s="308">
        <v>2007</v>
      </c>
      <c r="B310" s="197" t="str">
        <f t="shared" ref="B310:I310" si="61">+B129</f>
        <v>-</v>
      </c>
      <c r="C310" s="197" t="str">
        <f t="shared" si="61"/>
        <v>-</v>
      </c>
      <c r="D310" s="197" t="str">
        <f t="shared" si="61"/>
        <v>-</v>
      </c>
      <c r="E310" s="197">
        <f t="shared" si="61"/>
        <v>9547.9599999999991</v>
      </c>
      <c r="F310" s="197">
        <f t="shared" si="61"/>
        <v>14143.2</v>
      </c>
      <c r="G310" s="197">
        <f t="shared" si="61"/>
        <v>2225.15</v>
      </c>
      <c r="H310" s="197" t="str">
        <f t="shared" si="61"/>
        <v>-</v>
      </c>
      <c r="I310" s="197">
        <f t="shared" si="61"/>
        <v>25916.31</v>
      </c>
    </row>
    <row r="311" spans="1:9" s="359" customFormat="1" ht="11.25" customHeight="1" x14ac:dyDescent="0.2">
      <c r="A311" s="308">
        <v>2008</v>
      </c>
      <c r="B311" s="197" t="str">
        <f t="shared" ref="B311:I311" si="62">+B130</f>
        <v>-</v>
      </c>
      <c r="C311" s="197" t="str">
        <f t="shared" si="62"/>
        <v>-</v>
      </c>
      <c r="D311" s="197">
        <f t="shared" si="62"/>
        <v>2659.91</v>
      </c>
      <c r="E311" s="197">
        <f t="shared" si="62"/>
        <v>8381.2000000000007</v>
      </c>
      <c r="F311" s="197">
        <f t="shared" si="62"/>
        <v>5880.24</v>
      </c>
      <c r="G311" s="197">
        <f t="shared" si="62"/>
        <v>1809.16</v>
      </c>
      <c r="H311" s="197" t="str">
        <f t="shared" si="62"/>
        <v>-</v>
      </c>
      <c r="I311" s="197">
        <f t="shared" si="62"/>
        <v>18730.509999999998</v>
      </c>
    </row>
    <row r="312" spans="1:9" s="359" customFormat="1" ht="11.25" customHeight="1" x14ac:dyDescent="0.2">
      <c r="A312" s="308">
        <v>2009</v>
      </c>
      <c r="B312" s="197" t="str">
        <f t="shared" ref="B312:I312" si="63">+B131</f>
        <v>-</v>
      </c>
      <c r="C312" s="197" t="str">
        <f t="shared" si="63"/>
        <v>-</v>
      </c>
      <c r="D312" s="197">
        <f t="shared" si="63"/>
        <v>777.47</v>
      </c>
      <c r="E312" s="197">
        <f t="shared" si="63"/>
        <v>10216.51</v>
      </c>
      <c r="F312" s="197">
        <f t="shared" si="63"/>
        <v>21238.2</v>
      </c>
      <c r="G312" s="197">
        <f t="shared" si="63"/>
        <v>5599.22</v>
      </c>
      <c r="H312" s="197" t="str">
        <f t="shared" si="63"/>
        <v>-</v>
      </c>
      <c r="I312" s="197">
        <f t="shared" si="63"/>
        <v>37831.4</v>
      </c>
    </row>
    <row r="313" spans="1:9" s="359" customFormat="1" ht="11.25" customHeight="1" x14ac:dyDescent="0.2">
      <c r="A313" s="308">
        <v>2010</v>
      </c>
      <c r="B313" s="197" t="str">
        <f t="shared" ref="B313:I313" si="64">+B132</f>
        <v>-</v>
      </c>
      <c r="C313" s="197" t="str">
        <f t="shared" si="64"/>
        <v>-</v>
      </c>
      <c r="D313" s="197">
        <f t="shared" si="64"/>
        <v>7821.73</v>
      </c>
      <c r="E313" s="197">
        <f t="shared" si="64"/>
        <v>11840.99</v>
      </c>
      <c r="F313" s="197">
        <f t="shared" si="64"/>
        <v>13804.28</v>
      </c>
      <c r="G313" s="197">
        <f t="shared" si="64"/>
        <v>4961.33</v>
      </c>
      <c r="H313" s="197" t="str">
        <f t="shared" si="64"/>
        <v>-</v>
      </c>
      <c r="I313" s="197">
        <f t="shared" si="64"/>
        <v>38428.33</v>
      </c>
    </row>
    <row r="314" spans="1:9" s="359" customFormat="1" ht="11.25" customHeight="1" x14ac:dyDescent="0.2">
      <c r="A314" s="308">
        <v>2011</v>
      </c>
      <c r="B314" s="197" t="str">
        <f t="shared" ref="B314:H314" si="65">+B133</f>
        <v>-</v>
      </c>
      <c r="C314" s="197" t="str">
        <f t="shared" si="65"/>
        <v>-</v>
      </c>
      <c r="D314" s="197">
        <f t="shared" si="65"/>
        <v>4704.8999999999996</v>
      </c>
      <c r="E314" s="197">
        <f t="shared" si="65"/>
        <v>10427.73</v>
      </c>
      <c r="F314" s="197">
        <f t="shared" si="65"/>
        <v>14973.04</v>
      </c>
      <c r="G314" s="197">
        <f t="shared" si="65"/>
        <v>3439.54</v>
      </c>
      <c r="H314" s="197" t="str">
        <f t="shared" si="65"/>
        <v>-</v>
      </c>
      <c r="I314" s="197">
        <f>+I133</f>
        <v>33545.21</v>
      </c>
    </row>
    <row r="315" spans="1:9" s="359" customFormat="1" ht="11.25" customHeight="1" x14ac:dyDescent="0.2">
      <c r="A315" s="308">
        <v>2012</v>
      </c>
      <c r="B315" s="197" t="str">
        <f t="shared" ref="B315:I315" si="66">+B134</f>
        <v>-</v>
      </c>
      <c r="C315" s="197" t="str">
        <f t="shared" si="66"/>
        <v>-</v>
      </c>
      <c r="D315" s="197">
        <f t="shared" si="66"/>
        <v>8187.05</v>
      </c>
      <c r="E315" s="197">
        <f t="shared" si="66"/>
        <v>8898.33</v>
      </c>
      <c r="F315" s="197">
        <f t="shared" si="66"/>
        <v>14147.32</v>
      </c>
      <c r="G315" s="197">
        <f t="shared" si="66"/>
        <v>6092.07</v>
      </c>
      <c r="H315" s="197" t="str">
        <f t="shared" si="66"/>
        <v>-</v>
      </c>
      <c r="I315" s="197">
        <f t="shared" si="66"/>
        <v>37324.770000000004</v>
      </c>
    </row>
    <row r="316" spans="1:9" s="359" customFormat="1" ht="11.25" customHeight="1" x14ac:dyDescent="0.2">
      <c r="A316" s="308">
        <v>2013</v>
      </c>
      <c r="B316" s="197" t="str">
        <f t="shared" ref="B316:I316" si="67">+B135</f>
        <v>-</v>
      </c>
      <c r="C316" s="197" t="str">
        <f t="shared" si="67"/>
        <v>-</v>
      </c>
      <c r="D316" s="197">
        <f t="shared" si="67"/>
        <v>7019.98</v>
      </c>
      <c r="E316" s="197">
        <f t="shared" si="67"/>
        <v>7640.77</v>
      </c>
      <c r="F316" s="197">
        <f t="shared" si="67"/>
        <v>16639.23</v>
      </c>
      <c r="G316" s="197">
        <f t="shared" si="67"/>
        <v>4589.41</v>
      </c>
      <c r="H316" s="197" t="str">
        <f t="shared" si="67"/>
        <v>-</v>
      </c>
      <c r="I316" s="197">
        <f t="shared" si="67"/>
        <v>35889.39</v>
      </c>
    </row>
    <row r="317" spans="1:9" s="359" customFormat="1" ht="11.25" customHeight="1" x14ac:dyDescent="0.2">
      <c r="A317" s="308">
        <v>2014</v>
      </c>
      <c r="B317" s="197" t="str">
        <f t="shared" ref="B317:I317" si="68">+B136</f>
        <v>-</v>
      </c>
      <c r="C317" s="197">
        <f t="shared" si="68"/>
        <v>779.56</v>
      </c>
      <c r="D317" s="197">
        <f t="shared" si="68"/>
        <v>7644.65</v>
      </c>
      <c r="E317" s="197">
        <f t="shared" si="68"/>
        <v>19005.55</v>
      </c>
      <c r="F317" s="197">
        <f t="shared" si="68"/>
        <v>18838.48</v>
      </c>
      <c r="G317" s="197">
        <f t="shared" si="68"/>
        <v>7500.28</v>
      </c>
      <c r="H317" s="197" t="str">
        <f t="shared" si="68"/>
        <v>-</v>
      </c>
      <c r="I317" s="197">
        <f t="shared" si="68"/>
        <v>53768.52</v>
      </c>
    </row>
    <row r="318" spans="1:9" s="359" customFormat="1" ht="11.25" customHeight="1" x14ac:dyDescent="0.2">
      <c r="A318" s="308">
        <v>2015</v>
      </c>
      <c r="B318" s="197" t="str">
        <f t="shared" ref="B318:I318" si="69">+B137</f>
        <v>-</v>
      </c>
      <c r="C318" s="197">
        <f t="shared" si="69"/>
        <v>980.88</v>
      </c>
      <c r="D318" s="197">
        <f t="shared" si="69"/>
        <v>6355.74</v>
      </c>
      <c r="E318" s="197">
        <f t="shared" si="69"/>
        <v>18629.23</v>
      </c>
      <c r="F318" s="197">
        <f t="shared" si="69"/>
        <v>12162.23</v>
      </c>
      <c r="G318" s="197">
        <f t="shared" si="69"/>
        <v>7327.39</v>
      </c>
      <c r="H318" s="197" t="str">
        <f t="shared" si="69"/>
        <v>-</v>
      </c>
      <c r="I318" s="197">
        <f t="shared" si="69"/>
        <v>45455.47</v>
      </c>
    </row>
    <row r="319" spans="1:9" s="359" customFormat="1" ht="11.25" customHeight="1" x14ac:dyDescent="0.2">
      <c r="A319" s="308">
        <v>2016</v>
      </c>
      <c r="B319" s="197" t="str">
        <f t="shared" ref="B319:I319" si="70">+B138</f>
        <v>-</v>
      </c>
      <c r="C319" s="197" t="str">
        <f t="shared" si="70"/>
        <v>-</v>
      </c>
      <c r="D319" s="197" t="str">
        <f t="shared" si="70"/>
        <v>-</v>
      </c>
      <c r="E319" s="197">
        <f t="shared" si="70"/>
        <v>9586.74</v>
      </c>
      <c r="F319" s="197">
        <f t="shared" si="70"/>
        <v>8252.7900000000009</v>
      </c>
      <c r="G319" s="197" t="str">
        <f t="shared" si="70"/>
        <v>-</v>
      </c>
      <c r="H319" s="197" t="str">
        <f t="shared" si="70"/>
        <v>-</v>
      </c>
      <c r="I319" s="197">
        <f t="shared" si="70"/>
        <v>17839.53</v>
      </c>
    </row>
    <row r="320" spans="1:9" s="359" customFormat="1" ht="11.25" customHeight="1" x14ac:dyDescent="0.2">
      <c r="A320" s="348">
        <v>2017</v>
      </c>
      <c r="B320" s="197" t="str">
        <f t="shared" ref="B320:I320" si="71">+B139</f>
        <v>-</v>
      </c>
      <c r="C320" s="197" t="str">
        <f t="shared" si="71"/>
        <v>-</v>
      </c>
      <c r="D320" s="197" t="str">
        <f t="shared" si="71"/>
        <v>-</v>
      </c>
      <c r="E320" s="197">
        <f t="shared" si="71"/>
        <v>13216.220000000001</v>
      </c>
      <c r="F320" s="197">
        <f t="shared" si="71"/>
        <v>12780.4</v>
      </c>
      <c r="G320" s="197" t="str">
        <f t="shared" si="71"/>
        <v>-</v>
      </c>
      <c r="H320" s="197" t="str">
        <f t="shared" si="71"/>
        <v>-</v>
      </c>
      <c r="I320" s="197">
        <f t="shared" si="71"/>
        <v>25996.620000000003</v>
      </c>
    </row>
    <row r="321" spans="1:9" s="359" customFormat="1" ht="11.25" customHeight="1" x14ac:dyDescent="0.2">
      <c r="A321" s="348">
        <v>2018</v>
      </c>
      <c r="B321" s="197" t="str">
        <f t="shared" ref="B321:I321" si="72">+B140</f>
        <v>-</v>
      </c>
      <c r="C321" s="197" t="str">
        <f t="shared" si="72"/>
        <v>-</v>
      </c>
      <c r="D321" s="197" t="str">
        <f t="shared" si="72"/>
        <v>-</v>
      </c>
      <c r="E321" s="197">
        <f t="shared" si="72"/>
        <v>8019.12</v>
      </c>
      <c r="F321" s="197">
        <f t="shared" si="72"/>
        <v>14109.73</v>
      </c>
      <c r="G321" s="197">
        <f t="shared" si="72"/>
        <v>390.35</v>
      </c>
      <c r="H321" s="197" t="str">
        <f t="shared" si="72"/>
        <v>-</v>
      </c>
      <c r="I321" s="197">
        <f t="shared" si="72"/>
        <v>22519.199999999997</v>
      </c>
    </row>
    <row r="322" spans="1:9" s="487" customFormat="1" ht="11.25" customHeight="1" x14ac:dyDescent="0.2">
      <c r="A322" s="491">
        <v>2019</v>
      </c>
      <c r="B322" s="197" t="str">
        <f t="shared" ref="B322:I323" si="73">+B141</f>
        <v>-</v>
      </c>
      <c r="C322" s="197" t="str">
        <f t="shared" si="73"/>
        <v>-</v>
      </c>
      <c r="D322" s="197">
        <f t="shared" si="73"/>
        <v>1604.25</v>
      </c>
      <c r="E322" s="197">
        <f t="shared" si="73"/>
        <v>9823.31</v>
      </c>
      <c r="F322" s="197">
        <f t="shared" si="73"/>
        <v>10177.58</v>
      </c>
      <c r="G322" s="197">
        <f t="shared" si="73"/>
        <v>1787.53</v>
      </c>
      <c r="H322" s="197" t="str">
        <f t="shared" si="73"/>
        <v>-</v>
      </c>
      <c r="I322" s="197">
        <f t="shared" si="73"/>
        <v>23392.67</v>
      </c>
    </row>
    <row r="323" spans="1:9" ht="11.25" customHeight="1" x14ac:dyDescent="0.2">
      <c r="A323" s="490" t="s">
        <v>393</v>
      </c>
      <c r="B323" s="197" t="str">
        <f t="shared" si="73"/>
        <v>-</v>
      </c>
      <c r="C323" s="197" t="str">
        <f t="shared" si="73"/>
        <v>-</v>
      </c>
      <c r="D323" s="197">
        <f t="shared" si="73"/>
        <v>676.47</v>
      </c>
      <c r="E323" s="197">
        <f t="shared" si="73"/>
        <v>7936.97</v>
      </c>
      <c r="F323" s="197">
        <f t="shared" si="73"/>
        <v>6205.16</v>
      </c>
      <c r="G323" s="197">
        <f t="shared" si="73"/>
        <v>3277.97</v>
      </c>
      <c r="H323" s="197" t="str">
        <f t="shared" si="73"/>
        <v>-</v>
      </c>
      <c r="I323" s="197">
        <f t="shared" si="73"/>
        <v>18096.57</v>
      </c>
    </row>
    <row r="324" spans="1:9" ht="12" customHeight="1" x14ac:dyDescent="0.2"/>
    <row r="325" spans="1:9" x14ac:dyDescent="0.2">
      <c r="A325" s="522" t="s">
        <v>209</v>
      </c>
      <c r="B325" s="522"/>
      <c r="C325" s="522"/>
      <c r="D325" s="522"/>
      <c r="E325" s="522"/>
      <c r="F325" s="522"/>
      <c r="G325" s="522"/>
      <c r="H325" s="522"/>
      <c r="I325" s="522"/>
    </row>
    <row r="326" spans="1:9" x14ac:dyDescent="0.2">
      <c r="A326" s="393" t="s">
        <v>33</v>
      </c>
      <c r="B326" s="394" t="s">
        <v>34</v>
      </c>
      <c r="C326" s="394" t="s">
        <v>35</v>
      </c>
      <c r="D326" s="394" t="s">
        <v>36</v>
      </c>
      <c r="E326" s="394" t="s">
        <v>37</v>
      </c>
      <c r="F326" s="394" t="s">
        <v>38</v>
      </c>
      <c r="G326" s="394" t="s">
        <v>39</v>
      </c>
      <c r="H326" s="394" t="s">
        <v>40</v>
      </c>
      <c r="I326" s="369" t="s">
        <v>28</v>
      </c>
    </row>
    <row r="327" spans="1:9" ht="12.75" customHeight="1" x14ac:dyDescent="0.2">
      <c r="A327" s="228" t="s">
        <v>339</v>
      </c>
    </row>
    <row r="328" spans="1:9" ht="11.25" customHeight="1" x14ac:dyDescent="0.2">
      <c r="A328" s="361" t="s">
        <v>30</v>
      </c>
      <c r="B328" s="193" t="s">
        <v>29</v>
      </c>
      <c r="C328" s="193">
        <f t="shared" ref="C328:H328" si="74">AVERAGE(C150:C154)</f>
        <v>921</v>
      </c>
      <c r="D328" s="193">
        <f t="shared" si="74"/>
        <v>7559.5</v>
      </c>
      <c r="E328" s="193">
        <f t="shared" si="74"/>
        <v>23248.6</v>
      </c>
      <c r="F328" s="193">
        <f t="shared" si="74"/>
        <v>21383.200000000001</v>
      </c>
      <c r="G328" s="193">
        <f t="shared" si="74"/>
        <v>3651.6666666666665</v>
      </c>
      <c r="H328" s="193">
        <f t="shared" si="74"/>
        <v>721</v>
      </c>
      <c r="I328" s="193">
        <f>AVERAGE(I150:I154)</f>
        <v>53751.4</v>
      </c>
    </row>
    <row r="329" spans="1:9" ht="11.25" customHeight="1" x14ac:dyDescent="0.2">
      <c r="A329" s="361" t="s">
        <v>87</v>
      </c>
      <c r="B329" s="193" t="s">
        <v>29</v>
      </c>
      <c r="C329" s="193">
        <f>AVERAGE(C155:C159)</f>
        <v>298</v>
      </c>
      <c r="D329" s="193">
        <f>AVERAGE(D155:D159)</f>
        <v>1640.75</v>
      </c>
      <c r="E329" s="193">
        <f>AVERAGE(E155:E159)</f>
        <v>19733.400000000001</v>
      </c>
      <c r="F329" s="193">
        <f>AVERAGE(F155:F159)</f>
        <v>19450.2</v>
      </c>
      <c r="G329" s="193">
        <f>AVERAGE(G155:G159)</f>
        <v>1781.5</v>
      </c>
      <c r="H329" s="193" t="s">
        <v>29</v>
      </c>
      <c r="I329" s="193">
        <f>AVERAGE(I155:I159)</f>
        <v>41268.400000000001</v>
      </c>
    </row>
    <row r="330" spans="1:9" s="359" customFormat="1" ht="11.25" customHeight="1" x14ac:dyDescent="0.2">
      <c r="A330" s="361" t="s">
        <v>14</v>
      </c>
      <c r="B330" s="193" t="s">
        <v>29</v>
      </c>
      <c r="C330" s="193" t="s">
        <v>29</v>
      </c>
      <c r="D330" s="193">
        <f>AVERAGE(D160:D164)</f>
        <v>1660</v>
      </c>
      <c r="E330" s="193">
        <f>AVERAGE(E160:E164)</f>
        <v>17100.25</v>
      </c>
      <c r="F330" s="193">
        <f>AVERAGE(F160:F164)</f>
        <v>11765.75</v>
      </c>
      <c r="G330" s="193">
        <f>AVERAGE(G160:G164)</f>
        <v>7411.75</v>
      </c>
      <c r="H330" s="193" t="s">
        <v>29</v>
      </c>
      <c r="I330" s="193">
        <f>AVERAGE(I160:I164)</f>
        <v>37107.75</v>
      </c>
    </row>
    <row r="331" spans="1:9" s="359" customFormat="1" ht="11.25" customHeight="1" x14ac:dyDescent="0.2">
      <c r="A331" s="361" t="s">
        <v>207</v>
      </c>
      <c r="B331" s="193" t="s">
        <v>29</v>
      </c>
      <c r="C331" s="193" t="s">
        <v>29</v>
      </c>
      <c r="D331" s="193" t="s">
        <v>29</v>
      </c>
      <c r="E331" s="193">
        <f>AVERAGE(E165:E169)</f>
        <v>4774.5</v>
      </c>
      <c r="F331" s="193">
        <f>AVERAGE(F165:F169)</f>
        <v>7040.8</v>
      </c>
      <c r="G331" s="193">
        <f>AVERAGE(G165:G169)</f>
        <v>3037</v>
      </c>
      <c r="H331" s="193" t="s">
        <v>29</v>
      </c>
      <c r="I331" s="193">
        <f>AVERAGE(I165:I169)</f>
        <v>12682.6</v>
      </c>
    </row>
    <row r="332" spans="1:9" ht="11.25" customHeight="1" x14ac:dyDescent="0.2">
      <c r="A332" s="361" t="s">
        <v>238</v>
      </c>
      <c r="B332" s="193" t="s">
        <v>29</v>
      </c>
      <c r="C332" s="193">
        <f>AVERAGE(C170:C174)</f>
        <v>215</v>
      </c>
      <c r="D332" s="193">
        <f>AVERAGE(D170:D174)</f>
        <v>780.66666666666663</v>
      </c>
      <c r="E332" s="193">
        <f>AVERAGE(E170:E174)</f>
        <v>12573.2</v>
      </c>
      <c r="F332" s="193">
        <f>AVERAGE(F170:F174)</f>
        <v>23124.799999999999</v>
      </c>
      <c r="G332" s="193">
        <f>AVERAGE(G170:G174)</f>
        <v>7773.2</v>
      </c>
      <c r="H332" s="193" t="s">
        <v>29</v>
      </c>
      <c r="I332" s="193">
        <f>AVERAGE(I170:I174)</f>
        <v>43982.6</v>
      </c>
    </row>
    <row r="333" spans="1:9" ht="11.25" customHeight="1" x14ac:dyDescent="0.2">
      <c r="A333" s="308">
        <v>2006</v>
      </c>
      <c r="B333" s="193" t="str">
        <f t="shared" ref="B333:H333" si="75">+B175</f>
        <v>-</v>
      </c>
      <c r="C333" s="193" t="str">
        <f t="shared" si="75"/>
        <v>-</v>
      </c>
      <c r="D333" s="193">
        <f>AVERAGE(D171:D175)</f>
        <v>780.66666666666663</v>
      </c>
      <c r="E333" s="193">
        <f>AVERAGE(E171:E175)</f>
        <v>9501.7939999999999</v>
      </c>
      <c r="F333" s="193">
        <f>AVERAGE(F171:F175)</f>
        <v>21174.968000000001</v>
      </c>
      <c r="G333" s="193">
        <f>AVERAGE(G171:G175)</f>
        <v>6351.15</v>
      </c>
      <c r="H333" s="193" t="str">
        <f t="shared" si="75"/>
        <v>-</v>
      </c>
      <c r="I333" s="193">
        <f>AVERAGE(I171:I175)</f>
        <v>37539.311999999998</v>
      </c>
    </row>
    <row r="334" spans="1:9" s="359" customFormat="1" ht="11.25" customHeight="1" x14ac:dyDescent="0.2">
      <c r="A334" s="308">
        <v>2007</v>
      </c>
      <c r="B334" s="197" t="str">
        <f t="shared" ref="B334:I334" si="76">+B176</f>
        <v>-</v>
      </c>
      <c r="C334" s="197" t="str">
        <f t="shared" si="76"/>
        <v>-</v>
      </c>
      <c r="D334" s="197" t="str">
        <f t="shared" si="76"/>
        <v>-</v>
      </c>
      <c r="E334" s="197">
        <f t="shared" si="76"/>
        <v>7485.66</v>
      </c>
      <c r="F334" s="197">
        <f t="shared" si="76"/>
        <v>20350.48</v>
      </c>
      <c r="G334" s="197">
        <f t="shared" si="76"/>
        <v>2295.4899999999998</v>
      </c>
      <c r="H334" s="197" t="str">
        <f t="shared" si="76"/>
        <v>-</v>
      </c>
      <c r="I334" s="197">
        <f t="shared" si="76"/>
        <v>30131.629999999997</v>
      </c>
    </row>
    <row r="335" spans="1:9" s="359" customFormat="1" ht="11.25" customHeight="1" x14ac:dyDescent="0.2">
      <c r="A335" s="308">
        <v>2008</v>
      </c>
      <c r="B335" s="197" t="str">
        <f t="shared" ref="B335:I335" si="77">+B177</f>
        <v>-</v>
      </c>
      <c r="C335" s="197" t="str">
        <f t="shared" si="77"/>
        <v>-</v>
      </c>
      <c r="D335" s="197">
        <f t="shared" si="77"/>
        <v>777.02</v>
      </c>
      <c r="E335" s="197">
        <f t="shared" si="77"/>
        <v>4506.17</v>
      </c>
      <c r="F335" s="197">
        <f t="shared" si="77"/>
        <v>5156.0600000000004</v>
      </c>
      <c r="G335" s="197" t="str">
        <f t="shared" si="77"/>
        <v>-</v>
      </c>
      <c r="H335" s="197" t="str">
        <f t="shared" si="77"/>
        <v>-</v>
      </c>
      <c r="I335" s="197">
        <f t="shared" si="77"/>
        <v>10439.25</v>
      </c>
    </row>
    <row r="336" spans="1:9" s="359" customFormat="1" ht="11.25" customHeight="1" x14ac:dyDescent="0.2">
      <c r="A336" s="308">
        <v>2009</v>
      </c>
      <c r="B336" s="197" t="str">
        <f t="shared" ref="B336:I336" si="78">+B178</f>
        <v>-</v>
      </c>
      <c r="C336" s="197" t="str">
        <f t="shared" si="78"/>
        <v>-</v>
      </c>
      <c r="D336" s="197">
        <f t="shared" si="78"/>
        <v>192.9</v>
      </c>
      <c r="E336" s="197">
        <f t="shared" si="78"/>
        <v>10270.84</v>
      </c>
      <c r="F336" s="197">
        <f t="shared" si="78"/>
        <v>30246.92</v>
      </c>
      <c r="G336" s="197">
        <f t="shared" si="78"/>
        <v>1469.92</v>
      </c>
      <c r="H336" s="197" t="str">
        <f t="shared" si="78"/>
        <v>-</v>
      </c>
      <c r="I336" s="197">
        <f t="shared" si="78"/>
        <v>42180.579999999994</v>
      </c>
    </row>
    <row r="337" spans="1:9" s="359" customFormat="1" ht="11.25" customHeight="1" x14ac:dyDescent="0.2">
      <c r="A337" s="308">
        <v>2010</v>
      </c>
      <c r="B337" s="197" t="str">
        <f t="shared" ref="B337:I337" si="79">+B179</f>
        <v>-</v>
      </c>
      <c r="C337" s="197" t="str">
        <f t="shared" si="79"/>
        <v>-</v>
      </c>
      <c r="D337" s="197">
        <f t="shared" si="79"/>
        <v>556.7299999999999</v>
      </c>
      <c r="E337" s="197">
        <f t="shared" si="79"/>
        <v>7165.41</v>
      </c>
      <c r="F337" s="197">
        <f t="shared" si="79"/>
        <v>17349.330000000002</v>
      </c>
      <c r="G337" s="197">
        <f t="shared" si="79"/>
        <v>2069.6799999999998</v>
      </c>
      <c r="H337" s="197" t="str">
        <f t="shared" si="79"/>
        <v>-</v>
      </c>
      <c r="I337" s="197">
        <f t="shared" si="79"/>
        <v>27141.15</v>
      </c>
    </row>
    <row r="338" spans="1:9" s="359" customFormat="1" ht="11.25" customHeight="1" x14ac:dyDescent="0.2">
      <c r="A338" s="308">
        <v>2011</v>
      </c>
      <c r="B338" s="197" t="str">
        <f t="shared" ref="B338:H338" si="80">+B180</f>
        <v>-</v>
      </c>
      <c r="C338" s="197" t="str">
        <f t="shared" si="80"/>
        <v>-</v>
      </c>
      <c r="D338" s="197">
        <f t="shared" si="80"/>
        <v>673.74</v>
      </c>
      <c r="E338" s="197">
        <f t="shared" si="80"/>
        <v>5358.06</v>
      </c>
      <c r="F338" s="197">
        <f t="shared" si="80"/>
        <v>15126.68</v>
      </c>
      <c r="G338" s="197">
        <f t="shared" si="80"/>
        <v>3585.7</v>
      </c>
      <c r="H338" s="197" t="str">
        <f t="shared" si="80"/>
        <v>-</v>
      </c>
      <c r="I338" s="197">
        <f>+I180</f>
        <v>24744.18</v>
      </c>
    </row>
    <row r="339" spans="1:9" s="359" customFormat="1" ht="11.25" customHeight="1" x14ac:dyDescent="0.2">
      <c r="A339" s="308">
        <v>2012</v>
      </c>
      <c r="B339" s="197" t="str">
        <f t="shared" ref="B339:I339" si="81">+B181</f>
        <v>-</v>
      </c>
      <c r="C339" s="197" t="str">
        <f t="shared" si="81"/>
        <v>-</v>
      </c>
      <c r="D339" s="197">
        <f t="shared" si="81"/>
        <v>1964.24</v>
      </c>
      <c r="E339" s="197">
        <f t="shared" si="81"/>
        <v>5627.21</v>
      </c>
      <c r="F339" s="197">
        <f t="shared" si="81"/>
        <v>10154.34</v>
      </c>
      <c r="G339" s="197">
        <f t="shared" si="81"/>
        <v>5223.7700000000004</v>
      </c>
      <c r="H339" s="197" t="str">
        <f t="shared" si="81"/>
        <v>-</v>
      </c>
      <c r="I339" s="197">
        <f t="shared" si="81"/>
        <v>22969.56</v>
      </c>
    </row>
    <row r="340" spans="1:9" s="359" customFormat="1" ht="11.25" customHeight="1" x14ac:dyDescent="0.2">
      <c r="A340" s="308">
        <v>2013</v>
      </c>
      <c r="B340" s="197" t="str">
        <f t="shared" ref="B340:I340" si="82">+B182</f>
        <v>-</v>
      </c>
      <c r="C340" s="197" t="str">
        <f t="shared" si="82"/>
        <v>-</v>
      </c>
      <c r="D340" s="197">
        <f t="shared" si="82"/>
        <v>2842.8199999999997</v>
      </c>
      <c r="E340" s="197">
        <f t="shared" si="82"/>
        <v>4833.45</v>
      </c>
      <c r="F340" s="197">
        <f t="shared" si="82"/>
        <v>13381.33</v>
      </c>
      <c r="G340" s="197">
        <f t="shared" si="82"/>
        <v>3438.4</v>
      </c>
      <c r="H340" s="197" t="str">
        <f t="shared" si="82"/>
        <v>-</v>
      </c>
      <c r="I340" s="197">
        <f t="shared" si="82"/>
        <v>24496</v>
      </c>
    </row>
    <row r="341" spans="1:9" s="359" customFormat="1" ht="11.25" customHeight="1" x14ac:dyDescent="0.2">
      <c r="A341" s="308">
        <v>2014</v>
      </c>
      <c r="B341" s="197" t="str">
        <f t="shared" ref="B341:I341" si="83">+B183</f>
        <v>-</v>
      </c>
      <c r="C341" s="197">
        <f t="shared" si="83"/>
        <v>35.86</v>
      </c>
      <c r="D341" s="197">
        <f t="shared" si="83"/>
        <v>2574.9900000000002</v>
      </c>
      <c r="E341" s="197">
        <f t="shared" si="83"/>
        <v>11305.62</v>
      </c>
      <c r="F341" s="197">
        <f t="shared" si="83"/>
        <v>22617.119999999999</v>
      </c>
      <c r="G341" s="197">
        <f t="shared" si="83"/>
        <v>7734.6</v>
      </c>
      <c r="H341" s="197" t="str">
        <f t="shared" si="83"/>
        <v>-</v>
      </c>
      <c r="I341" s="197">
        <f t="shared" si="83"/>
        <v>44268.189999999995</v>
      </c>
    </row>
    <row r="342" spans="1:9" s="359" customFormat="1" ht="11.25" customHeight="1" x14ac:dyDescent="0.2">
      <c r="A342" s="308">
        <v>2015</v>
      </c>
      <c r="B342" s="197" t="str">
        <f t="shared" ref="B342:I342" si="84">+B184</f>
        <v>-</v>
      </c>
      <c r="C342" s="197">
        <f t="shared" si="84"/>
        <v>207.04</v>
      </c>
      <c r="D342" s="197">
        <f t="shared" si="84"/>
        <v>2346.5299999999997</v>
      </c>
      <c r="E342" s="197">
        <f t="shared" si="84"/>
        <v>8520.15</v>
      </c>
      <c r="F342" s="197">
        <f t="shared" si="84"/>
        <v>15496.98</v>
      </c>
      <c r="G342" s="197">
        <f t="shared" si="84"/>
        <v>6818.5599999999995</v>
      </c>
      <c r="H342" s="197" t="str">
        <f t="shared" si="84"/>
        <v>-</v>
      </c>
      <c r="I342" s="197">
        <f t="shared" si="84"/>
        <v>33389.259999999995</v>
      </c>
    </row>
    <row r="343" spans="1:9" s="359" customFormat="1" ht="11.25" customHeight="1" x14ac:dyDescent="0.2">
      <c r="A343" s="308">
        <v>2016</v>
      </c>
      <c r="B343" s="197" t="str">
        <f t="shared" ref="B343:I343" si="85">+B185</f>
        <v>-</v>
      </c>
      <c r="C343" s="197" t="str">
        <f t="shared" si="85"/>
        <v>-</v>
      </c>
      <c r="D343" s="197" t="str">
        <f t="shared" si="85"/>
        <v>-</v>
      </c>
      <c r="E343" s="197">
        <f t="shared" si="85"/>
        <v>7666.17</v>
      </c>
      <c r="F343" s="197">
        <f t="shared" si="85"/>
        <v>16587.330000000002</v>
      </c>
      <c r="G343" s="197" t="str">
        <f t="shared" si="85"/>
        <v>-</v>
      </c>
      <c r="H343" s="197" t="str">
        <f t="shared" si="85"/>
        <v>-</v>
      </c>
      <c r="I343" s="197">
        <f t="shared" si="85"/>
        <v>24253.5</v>
      </c>
    </row>
    <row r="344" spans="1:9" s="359" customFormat="1" ht="11.25" customHeight="1" x14ac:dyDescent="0.2">
      <c r="A344" s="348">
        <v>2017</v>
      </c>
      <c r="B344" s="197" t="str">
        <f t="shared" ref="B344:I344" si="86">+B186</f>
        <v>-</v>
      </c>
      <c r="C344" s="197" t="str">
        <f t="shared" si="86"/>
        <v>-</v>
      </c>
      <c r="D344" s="197">
        <f t="shared" si="86"/>
        <v>388.48</v>
      </c>
      <c r="E344" s="197">
        <f t="shared" si="86"/>
        <v>8532.23</v>
      </c>
      <c r="F344" s="197">
        <f t="shared" si="86"/>
        <v>13844.1</v>
      </c>
      <c r="G344" s="197" t="str">
        <f t="shared" si="86"/>
        <v>-</v>
      </c>
      <c r="H344" s="197" t="str">
        <f t="shared" si="86"/>
        <v>-</v>
      </c>
      <c r="I344" s="197">
        <f t="shared" si="86"/>
        <v>22764.809999999998</v>
      </c>
    </row>
    <row r="345" spans="1:9" s="359" customFormat="1" ht="11.25" customHeight="1" x14ac:dyDescent="0.2">
      <c r="A345" s="348">
        <v>2018</v>
      </c>
      <c r="B345" s="197" t="str">
        <f t="shared" ref="B345:I345" si="87">+B187</f>
        <v>-</v>
      </c>
      <c r="C345" s="197" t="str">
        <f t="shared" si="87"/>
        <v>-</v>
      </c>
      <c r="D345" s="197">
        <f t="shared" si="87"/>
        <v>1194.55</v>
      </c>
      <c r="E345" s="197">
        <f t="shared" si="87"/>
        <v>5098.37</v>
      </c>
      <c r="F345" s="197">
        <f t="shared" si="87"/>
        <v>7978.5</v>
      </c>
      <c r="G345" s="197">
        <f t="shared" si="87"/>
        <v>612.73</v>
      </c>
      <c r="H345" s="197" t="str">
        <f t="shared" si="87"/>
        <v>-</v>
      </c>
      <c r="I345" s="197">
        <f t="shared" si="87"/>
        <v>14884.15</v>
      </c>
    </row>
    <row r="346" spans="1:9" s="487" customFormat="1" ht="11.25" customHeight="1" x14ac:dyDescent="0.2">
      <c r="A346" s="491">
        <v>2019</v>
      </c>
      <c r="B346" s="197" t="str">
        <f t="shared" ref="B346:I347" si="88">+B188</f>
        <v>-</v>
      </c>
      <c r="C346" s="197" t="str">
        <f t="shared" si="88"/>
        <v>-</v>
      </c>
      <c r="D346" s="197">
        <f t="shared" si="88"/>
        <v>2396.15</v>
      </c>
      <c r="E346" s="197">
        <f t="shared" si="88"/>
        <v>10576.04</v>
      </c>
      <c r="F346" s="197">
        <f t="shared" si="88"/>
        <v>15601.87</v>
      </c>
      <c r="G346" s="197">
        <f t="shared" si="88"/>
        <v>1334.82</v>
      </c>
      <c r="H346" s="197" t="str">
        <f t="shared" si="88"/>
        <v>-</v>
      </c>
      <c r="I346" s="197">
        <f t="shared" si="88"/>
        <v>29908.880000000001</v>
      </c>
    </row>
    <row r="347" spans="1:9" ht="11.25" customHeight="1" x14ac:dyDescent="0.2">
      <c r="A347" s="490" t="s">
        <v>393</v>
      </c>
      <c r="B347" s="197" t="str">
        <f t="shared" si="88"/>
        <v>-</v>
      </c>
      <c r="C347" s="197" t="str">
        <f t="shared" si="88"/>
        <v>-</v>
      </c>
      <c r="D347" s="197">
        <f t="shared" si="88"/>
        <v>609.98</v>
      </c>
      <c r="E347" s="197">
        <f t="shared" si="88"/>
        <v>8162.54</v>
      </c>
      <c r="F347" s="197" t="str">
        <f t="shared" si="88"/>
        <v>-</v>
      </c>
      <c r="G347" s="197" t="str">
        <f t="shared" si="88"/>
        <v>-</v>
      </c>
      <c r="H347" s="197" t="str">
        <f t="shared" si="88"/>
        <v>-</v>
      </c>
      <c r="I347" s="197">
        <f t="shared" si="88"/>
        <v>8772.52</v>
      </c>
    </row>
    <row r="349" spans="1:9" x14ac:dyDescent="0.2">
      <c r="A349" s="392" t="s">
        <v>345</v>
      </c>
    </row>
    <row r="350" spans="1:9" ht="11.25" customHeight="1" x14ac:dyDescent="0.2">
      <c r="A350" s="361" t="s">
        <v>30</v>
      </c>
      <c r="B350" s="193">
        <f t="shared" ref="B350:H350" si="89">AVERAGE(B197:B201)</f>
        <v>80.2</v>
      </c>
      <c r="C350" s="193">
        <f t="shared" si="89"/>
        <v>4067.4</v>
      </c>
      <c r="D350" s="193">
        <f t="shared" si="89"/>
        <v>22990.6</v>
      </c>
      <c r="E350" s="193">
        <f t="shared" si="89"/>
        <v>67877.2</v>
      </c>
      <c r="F350" s="193">
        <f t="shared" si="89"/>
        <v>60320.800000000003</v>
      </c>
      <c r="G350" s="193">
        <f t="shared" si="89"/>
        <v>7746.4</v>
      </c>
      <c r="H350" s="193">
        <f t="shared" si="89"/>
        <v>436</v>
      </c>
      <c r="I350" s="193">
        <f>AVERAGE(I197:I201)</f>
        <v>163344.20000000001</v>
      </c>
    </row>
    <row r="351" spans="1:9" ht="11.25" customHeight="1" x14ac:dyDescent="0.2">
      <c r="A351" s="361" t="s">
        <v>87</v>
      </c>
      <c r="B351" s="193" t="s">
        <v>29</v>
      </c>
      <c r="C351" s="193">
        <f t="shared" ref="C351:H351" si="90">AVERAGE(C202:C206)</f>
        <v>1338.5</v>
      </c>
      <c r="D351" s="193">
        <f t="shared" si="90"/>
        <v>5839.5</v>
      </c>
      <c r="E351" s="193">
        <f t="shared" si="90"/>
        <v>65710</v>
      </c>
      <c r="F351" s="193">
        <f t="shared" si="90"/>
        <v>43381.599999999999</v>
      </c>
      <c r="G351" s="193">
        <f t="shared" si="90"/>
        <v>5089.8</v>
      </c>
      <c r="H351" s="193">
        <f t="shared" si="90"/>
        <v>40</v>
      </c>
      <c r="I351" s="193">
        <f>AVERAGE(I202:I206)</f>
        <v>119412.4</v>
      </c>
    </row>
    <row r="352" spans="1:9" s="359" customFormat="1" ht="11.25" customHeight="1" x14ac:dyDescent="0.2">
      <c r="A352" s="361" t="s">
        <v>14</v>
      </c>
      <c r="B352" s="193" t="s">
        <v>29</v>
      </c>
      <c r="C352" s="193">
        <f>AVERAGE(C207:C211)</f>
        <v>1258</v>
      </c>
      <c r="D352" s="193">
        <f t="shared" ref="D352:I352" si="91">AVERAGE(D207:D211)</f>
        <v>4139.5</v>
      </c>
      <c r="E352" s="193">
        <f t="shared" si="91"/>
        <v>48319.25</v>
      </c>
      <c r="F352" s="193">
        <f t="shared" si="91"/>
        <v>36915</v>
      </c>
      <c r="G352" s="193">
        <f t="shared" si="91"/>
        <v>16837</v>
      </c>
      <c r="H352" s="193">
        <f t="shared" si="91"/>
        <v>714</v>
      </c>
      <c r="I352" s="193">
        <f t="shared" si="91"/>
        <v>104948.5</v>
      </c>
    </row>
    <row r="353" spans="1:9" s="359" customFormat="1" ht="11.25" customHeight="1" x14ac:dyDescent="0.2">
      <c r="A353" s="361" t="s">
        <v>207</v>
      </c>
      <c r="B353" s="193" t="s">
        <v>29</v>
      </c>
      <c r="C353" s="193" t="s">
        <v>29</v>
      </c>
      <c r="D353" s="193" t="s">
        <v>29</v>
      </c>
      <c r="E353" s="193">
        <f>AVERAGE(E212:E216)</f>
        <v>15695.25</v>
      </c>
      <c r="F353" s="193">
        <f>AVERAGE(F212:F216)</f>
        <v>21406.6</v>
      </c>
      <c r="G353" s="193">
        <f>AVERAGE(G212:G216)</f>
        <v>4496.2</v>
      </c>
      <c r="H353" s="193" t="s">
        <v>29</v>
      </c>
      <c r="I353" s="193">
        <f>AVERAGE(I212:I216)</f>
        <v>38459</v>
      </c>
    </row>
    <row r="354" spans="1:9" ht="11.25" customHeight="1" x14ac:dyDescent="0.2">
      <c r="A354" s="361" t="s">
        <v>238</v>
      </c>
      <c r="B354" s="193" t="str">
        <f>+B217</f>
        <v>-</v>
      </c>
      <c r="C354" s="193">
        <f t="shared" ref="C354:I354" si="92">AVERAGE(C217:C221)</f>
        <v>2711</v>
      </c>
      <c r="D354" s="193">
        <f t="shared" si="92"/>
        <v>6245.25</v>
      </c>
      <c r="E354" s="193">
        <f t="shared" si="92"/>
        <v>42496.948983101349</v>
      </c>
      <c r="F354" s="193">
        <f t="shared" si="92"/>
        <v>47178.507362875403</v>
      </c>
      <c r="G354" s="193">
        <f t="shared" si="92"/>
        <v>14601.239019987857</v>
      </c>
      <c r="H354" s="193">
        <f t="shared" si="92"/>
        <v>132</v>
      </c>
      <c r="I354" s="193">
        <f t="shared" si="92"/>
        <v>109947.09536596462</v>
      </c>
    </row>
    <row r="355" spans="1:9" ht="11.25" customHeight="1" x14ac:dyDescent="0.2">
      <c r="A355" s="308">
        <v>2006</v>
      </c>
      <c r="B355" s="197" t="str">
        <f t="shared" ref="B355:I355" si="93">+B222</f>
        <v>-</v>
      </c>
      <c r="C355" s="197" t="str">
        <f t="shared" si="93"/>
        <v>-</v>
      </c>
      <c r="D355" s="197">
        <f t="shared" si="93"/>
        <v>1118.93</v>
      </c>
      <c r="E355" s="197">
        <f t="shared" si="93"/>
        <v>22226.21</v>
      </c>
      <c r="F355" s="197">
        <f t="shared" si="93"/>
        <v>36158.549999999996</v>
      </c>
      <c r="G355" s="197">
        <f t="shared" si="93"/>
        <v>5500.95</v>
      </c>
      <c r="H355" s="197">
        <f t="shared" si="93"/>
        <v>258.35000000000002</v>
      </c>
      <c r="I355" s="197">
        <f t="shared" si="93"/>
        <v>65262.990000000013</v>
      </c>
    </row>
    <row r="356" spans="1:9" s="359" customFormat="1" ht="11.25" customHeight="1" x14ac:dyDescent="0.2">
      <c r="A356" s="308">
        <v>2007</v>
      </c>
      <c r="B356" s="197" t="str">
        <f t="shared" ref="B356:I356" si="94">+B223</f>
        <v>-</v>
      </c>
      <c r="C356" s="197" t="str">
        <f t="shared" si="94"/>
        <v>-</v>
      </c>
      <c r="D356" s="197" t="str">
        <f t="shared" si="94"/>
        <v>-</v>
      </c>
      <c r="E356" s="197">
        <f t="shared" si="94"/>
        <v>24967.5</v>
      </c>
      <c r="F356" s="197">
        <f t="shared" si="94"/>
        <v>41864.65</v>
      </c>
      <c r="G356" s="197">
        <f t="shared" si="94"/>
        <v>5850.7599999999993</v>
      </c>
      <c r="H356" s="197">
        <f t="shared" si="94"/>
        <v>0</v>
      </c>
      <c r="I356" s="197">
        <f t="shared" si="94"/>
        <v>72682.91</v>
      </c>
    </row>
    <row r="357" spans="1:9" s="359" customFormat="1" ht="11.25" customHeight="1" x14ac:dyDescent="0.2">
      <c r="A357" s="308">
        <v>2008</v>
      </c>
      <c r="B357" s="197" t="str">
        <f t="shared" ref="B357:I357" si="95">+B224</f>
        <v>-</v>
      </c>
      <c r="C357" s="197" t="str">
        <f t="shared" si="95"/>
        <v>-</v>
      </c>
      <c r="D357" s="197">
        <f t="shared" si="95"/>
        <v>4784.3599999999997</v>
      </c>
      <c r="E357" s="197">
        <f t="shared" si="95"/>
        <v>15897.94</v>
      </c>
      <c r="F357" s="197">
        <f t="shared" si="95"/>
        <v>14326.65</v>
      </c>
      <c r="G357" s="197">
        <f t="shared" si="95"/>
        <v>2563.7800000000002</v>
      </c>
      <c r="H357" s="197">
        <f t="shared" si="95"/>
        <v>37.5</v>
      </c>
      <c r="I357" s="197">
        <f t="shared" si="95"/>
        <v>37610.229999999996</v>
      </c>
    </row>
    <row r="358" spans="1:9" s="359" customFormat="1" ht="11.25" customHeight="1" x14ac:dyDescent="0.2">
      <c r="A358" s="308">
        <v>2009</v>
      </c>
      <c r="B358" s="197" t="str">
        <f t="shared" ref="B358:I358" si="96">+B225</f>
        <v>-</v>
      </c>
      <c r="C358" s="197" t="str">
        <f t="shared" si="96"/>
        <v>-</v>
      </c>
      <c r="D358" s="197">
        <f t="shared" si="96"/>
        <v>1297.19</v>
      </c>
      <c r="E358" s="197">
        <f t="shared" si="96"/>
        <v>28386</v>
      </c>
      <c r="F358" s="197">
        <f t="shared" si="96"/>
        <v>62792.49</v>
      </c>
      <c r="G358" s="197">
        <f t="shared" si="96"/>
        <v>8871.9500000000007</v>
      </c>
      <c r="H358" s="197">
        <f t="shared" si="96"/>
        <v>212.42</v>
      </c>
      <c r="I358" s="197">
        <f t="shared" si="96"/>
        <v>101560.04999999999</v>
      </c>
    </row>
    <row r="359" spans="1:9" s="359" customFormat="1" ht="11.25" customHeight="1" x14ac:dyDescent="0.2">
      <c r="A359" s="308">
        <v>2010</v>
      </c>
      <c r="B359" s="197" t="str">
        <f t="shared" ref="B359:I359" si="97">+B226</f>
        <v>-</v>
      </c>
      <c r="C359" s="197" t="str">
        <f t="shared" si="97"/>
        <v>-</v>
      </c>
      <c r="D359" s="197">
        <f t="shared" si="97"/>
        <v>10007.859999999999</v>
      </c>
      <c r="E359" s="197">
        <f t="shared" si="97"/>
        <v>25545.61</v>
      </c>
      <c r="F359" s="197">
        <f t="shared" si="97"/>
        <v>36895.78</v>
      </c>
      <c r="G359" s="197">
        <f t="shared" si="97"/>
        <v>8351.2800000000007</v>
      </c>
      <c r="H359" s="197">
        <f t="shared" si="97"/>
        <v>153.97</v>
      </c>
      <c r="I359" s="197">
        <f t="shared" si="97"/>
        <v>80954.500000000015</v>
      </c>
    </row>
    <row r="360" spans="1:9" s="359" customFormat="1" ht="11.25" customHeight="1" x14ac:dyDescent="0.2">
      <c r="A360" s="308">
        <v>2011</v>
      </c>
      <c r="B360" s="197" t="str">
        <f t="shared" ref="B360:H360" si="98">+B227</f>
        <v>-</v>
      </c>
      <c r="C360" s="197" t="str">
        <f t="shared" si="98"/>
        <v>-</v>
      </c>
      <c r="D360" s="197">
        <f t="shared" si="98"/>
        <v>6210.57</v>
      </c>
      <c r="E360" s="197">
        <f t="shared" si="98"/>
        <v>22692.41</v>
      </c>
      <c r="F360" s="197">
        <f t="shared" si="98"/>
        <v>36304.93</v>
      </c>
      <c r="G360" s="197">
        <f t="shared" si="98"/>
        <v>8372.2799999999988</v>
      </c>
      <c r="H360" s="197">
        <f t="shared" si="98"/>
        <v>16.05</v>
      </c>
      <c r="I360" s="197">
        <f>+I227</f>
        <v>73596.240000000005</v>
      </c>
    </row>
    <row r="361" spans="1:9" s="359" customFormat="1" ht="11.25" customHeight="1" x14ac:dyDescent="0.2">
      <c r="A361" s="308">
        <v>2012</v>
      </c>
      <c r="B361" s="197" t="str">
        <f t="shared" ref="B361:I361" si="99">+B228</f>
        <v>-</v>
      </c>
      <c r="C361" s="197" t="str">
        <f t="shared" si="99"/>
        <v>-</v>
      </c>
      <c r="D361" s="197">
        <f t="shared" si="99"/>
        <v>11591.460000000001</v>
      </c>
      <c r="E361" s="197">
        <f t="shared" si="99"/>
        <v>23039.739999999998</v>
      </c>
      <c r="F361" s="197">
        <f t="shared" si="99"/>
        <v>29322.38</v>
      </c>
      <c r="G361" s="197">
        <f t="shared" si="99"/>
        <v>13351.880000000001</v>
      </c>
      <c r="H361" s="197">
        <f t="shared" si="99"/>
        <v>353.11</v>
      </c>
      <c r="I361" s="197">
        <f t="shared" si="99"/>
        <v>77658.570000000007</v>
      </c>
    </row>
    <row r="362" spans="1:9" s="359" customFormat="1" ht="11.25" customHeight="1" x14ac:dyDescent="0.2">
      <c r="A362" s="308">
        <v>2013</v>
      </c>
      <c r="B362" s="197" t="str">
        <f t="shared" ref="B362:I362" si="100">+B229</f>
        <v>-</v>
      </c>
      <c r="C362" s="197">
        <f t="shared" si="100"/>
        <v>950.86</v>
      </c>
      <c r="D362" s="197">
        <f t="shared" si="100"/>
        <v>11815.9</v>
      </c>
      <c r="E362" s="197">
        <f t="shared" si="100"/>
        <v>20843.870000000003</v>
      </c>
      <c r="F362" s="197">
        <f t="shared" si="100"/>
        <v>37327.81</v>
      </c>
      <c r="G362" s="197">
        <f t="shared" si="100"/>
        <v>8837.94</v>
      </c>
      <c r="H362" s="197">
        <f t="shared" si="100"/>
        <v>237.41</v>
      </c>
      <c r="I362" s="197">
        <f t="shared" si="100"/>
        <v>80013.790000000008</v>
      </c>
    </row>
    <row r="363" spans="1:9" s="359" customFormat="1" ht="11.25" customHeight="1" x14ac:dyDescent="0.2">
      <c r="A363" s="308">
        <v>2014</v>
      </c>
      <c r="B363" s="197" t="str">
        <f t="shared" ref="B363:I363" si="101">+B230</f>
        <v>-</v>
      </c>
      <c r="C363" s="197">
        <f t="shared" si="101"/>
        <v>1678.42</v>
      </c>
      <c r="D363" s="197">
        <f t="shared" si="101"/>
        <v>12905.909999999998</v>
      </c>
      <c r="E363" s="197">
        <f t="shared" si="101"/>
        <v>39834.29</v>
      </c>
      <c r="F363" s="197">
        <f t="shared" si="101"/>
        <v>47009.83</v>
      </c>
      <c r="G363" s="197">
        <f t="shared" si="101"/>
        <v>17824.05</v>
      </c>
      <c r="H363" s="197">
        <f t="shared" si="101"/>
        <v>364.82</v>
      </c>
      <c r="I363" s="197">
        <f t="shared" si="101"/>
        <v>119617.31999999999</v>
      </c>
    </row>
    <row r="364" spans="1:9" s="359" customFormat="1" ht="11.25" customHeight="1" x14ac:dyDescent="0.2">
      <c r="A364" s="308">
        <v>2015</v>
      </c>
      <c r="B364" s="197" t="str">
        <f t="shared" ref="B364:I364" si="102">+B231</f>
        <v>-</v>
      </c>
      <c r="C364" s="197">
        <f t="shared" si="102"/>
        <v>1647.96</v>
      </c>
      <c r="D364" s="197">
        <f t="shared" si="102"/>
        <v>11320.32</v>
      </c>
      <c r="E364" s="197">
        <f t="shared" si="102"/>
        <v>37298.92</v>
      </c>
      <c r="F364" s="197">
        <f t="shared" si="102"/>
        <v>31062.82</v>
      </c>
      <c r="G364" s="197">
        <f t="shared" si="102"/>
        <v>15484.28</v>
      </c>
      <c r="H364" s="197">
        <f t="shared" si="102"/>
        <v>300.16000000000003</v>
      </c>
      <c r="I364" s="197">
        <f t="shared" si="102"/>
        <v>97114.459999999992</v>
      </c>
    </row>
    <row r="365" spans="1:9" s="359" customFormat="1" ht="11.25" customHeight="1" x14ac:dyDescent="0.2">
      <c r="A365" s="308">
        <v>2016</v>
      </c>
      <c r="B365" s="197" t="str">
        <f t="shared" ref="B365:I365" si="103">+B232</f>
        <v>-</v>
      </c>
      <c r="C365" s="197" t="str">
        <f t="shared" si="103"/>
        <v>-</v>
      </c>
      <c r="D365" s="197" t="str">
        <f t="shared" si="103"/>
        <v>-</v>
      </c>
      <c r="E365" s="197">
        <f t="shared" si="103"/>
        <v>25458.379999999997</v>
      </c>
      <c r="F365" s="197">
        <f t="shared" si="103"/>
        <v>25978.250000000004</v>
      </c>
      <c r="G365" s="197" t="str">
        <f t="shared" si="103"/>
        <v>-</v>
      </c>
      <c r="H365" s="197" t="str">
        <f t="shared" si="103"/>
        <v>-</v>
      </c>
      <c r="I365" s="197">
        <f t="shared" si="103"/>
        <v>51436.63</v>
      </c>
    </row>
    <row r="366" spans="1:9" s="359" customFormat="1" ht="11.25" customHeight="1" x14ac:dyDescent="0.2">
      <c r="A366" s="348">
        <v>2017</v>
      </c>
      <c r="B366" s="197" t="str">
        <f t="shared" ref="B366:I366" si="104">+B233</f>
        <v>-</v>
      </c>
      <c r="C366" s="197" t="str">
        <f t="shared" si="104"/>
        <v>-</v>
      </c>
      <c r="D366" s="197">
        <f t="shared" si="104"/>
        <v>856.6400000000001</v>
      </c>
      <c r="E366" s="197">
        <f t="shared" si="104"/>
        <v>30088.04</v>
      </c>
      <c r="F366" s="197">
        <f t="shared" si="104"/>
        <v>29666.27</v>
      </c>
      <c r="G366" s="197">
        <f t="shared" si="104"/>
        <v>841.76</v>
      </c>
      <c r="H366" s="197" t="str">
        <f t="shared" si="104"/>
        <v>-</v>
      </c>
      <c r="I366" s="197">
        <f t="shared" si="104"/>
        <v>61452.71</v>
      </c>
    </row>
    <row r="367" spans="1:9" s="359" customFormat="1" ht="11.25" customHeight="1" x14ac:dyDescent="0.2">
      <c r="A367" s="348">
        <v>2018</v>
      </c>
      <c r="B367" s="197" t="str">
        <f t="shared" ref="B367:I367" si="105">+B234</f>
        <v>-</v>
      </c>
      <c r="C367" s="197" t="str">
        <f t="shared" si="105"/>
        <v>-</v>
      </c>
      <c r="D367" s="197">
        <f t="shared" si="105"/>
        <v>2443.5500000000002</v>
      </c>
      <c r="E367" s="197">
        <f t="shared" si="105"/>
        <v>19506.309999999998</v>
      </c>
      <c r="F367" s="197">
        <f t="shared" si="105"/>
        <v>24995.199999999997</v>
      </c>
      <c r="G367" s="197">
        <f t="shared" si="105"/>
        <v>1023.08</v>
      </c>
      <c r="H367" s="197" t="str">
        <f t="shared" si="105"/>
        <v>-</v>
      </c>
      <c r="I367" s="197">
        <f t="shared" si="105"/>
        <v>47968.14</v>
      </c>
    </row>
    <row r="368" spans="1:9" s="487" customFormat="1" ht="11.25" customHeight="1" x14ac:dyDescent="0.2">
      <c r="A368" s="491">
        <v>2019</v>
      </c>
      <c r="B368" s="197" t="str">
        <f t="shared" ref="B368:I369" si="106">+B235</f>
        <v>-</v>
      </c>
      <c r="C368" s="197" t="str">
        <f t="shared" si="106"/>
        <v>-</v>
      </c>
      <c r="D368" s="197">
        <f t="shared" si="106"/>
        <v>6650.63</v>
      </c>
      <c r="E368" s="197">
        <f t="shared" si="106"/>
        <v>26079.329999999998</v>
      </c>
      <c r="F368" s="197">
        <f t="shared" si="106"/>
        <v>28880.590000000004</v>
      </c>
      <c r="G368" s="197">
        <f t="shared" si="106"/>
        <v>3816.43</v>
      </c>
      <c r="H368" s="197">
        <f t="shared" si="106"/>
        <v>239.57</v>
      </c>
      <c r="I368" s="197">
        <f t="shared" si="106"/>
        <v>65666.55</v>
      </c>
    </row>
    <row r="369" spans="1:9" ht="11.25" customHeight="1" x14ac:dyDescent="0.2">
      <c r="A369" s="494" t="s">
        <v>395</v>
      </c>
      <c r="B369" s="32" t="str">
        <f t="shared" si="106"/>
        <v>-</v>
      </c>
      <c r="C369" s="32" t="str">
        <f t="shared" si="106"/>
        <v>-</v>
      </c>
      <c r="D369" s="32">
        <f t="shared" si="106"/>
        <v>2608.92</v>
      </c>
      <c r="E369" s="32">
        <f t="shared" si="106"/>
        <v>20816.2</v>
      </c>
      <c r="F369" s="32">
        <f t="shared" si="106"/>
        <v>7118.77</v>
      </c>
      <c r="G369" s="32">
        <f t="shared" si="106"/>
        <v>3340.91</v>
      </c>
      <c r="H369" s="32" t="str">
        <f t="shared" si="106"/>
        <v>-</v>
      </c>
      <c r="I369" s="32">
        <f t="shared" si="106"/>
        <v>33884.800000000003</v>
      </c>
    </row>
    <row r="370" spans="1:9" x14ac:dyDescent="0.2">
      <c r="A370" s="597" t="str">
        <f>+A237</f>
        <v>a/  Includes effort from the Washington State waters Area 4B fishery (none in 1994 or 1999).</v>
      </c>
      <c r="B370" s="597"/>
      <c r="C370" s="597"/>
      <c r="D370" s="597"/>
      <c r="E370" s="597"/>
      <c r="F370" s="597"/>
      <c r="G370" s="597"/>
      <c r="H370" s="597"/>
      <c r="I370" s="597"/>
    </row>
    <row r="371" spans="1:9" x14ac:dyDescent="0.2">
      <c r="A371" s="598" t="str">
        <f>+A238</f>
        <v>b/  Preliminary.</v>
      </c>
      <c r="B371" s="598"/>
      <c r="C371" s="598"/>
      <c r="D371" s="598"/>
      <c r="E371" s="598"/>
      <c r="F371" s="598"/>
      <c r="G371" s="598"/>
      <c r="H371" s="598"/>
      <c r="I371" s="598"/>
    </row>
    <row r="372" spans="1:9" x14ac:dyDescent="0.2">
      <c r="A372" s="594" t="str">
        <f>+A239</f>
        <v>c/  Includes effort from the North Jetty when the ocean fishery was open; does not include effort reported as occurring inside the Columbia River mouth (North Jetty effort when the ocean fishery was closed and Buoy 10 was open).</v>
      </c>
      <c r="B372" s="594"/>
      <c r="C372" s="594"/>
      <c r="D372" s="594"/>
      <c r="E372" s="594"/>
      <c r="F372" s="594"/>
      <c r="G372" s="594"/>
      <c r="H372" s="594"/>
      <c r="I372" s="594"/>
    </row>
    <row r="373" spans="1:9" x14ac:dyDescent="0.2">
      <c r="A373" s="594"/>
      <c r="B373" s="594"/>
      <c r="C373" s="594"/>
      <c r="D373" s="594"/>
      <c r="E373" s="594"/>
      <c r="F373" s="594"/>
      <c r="G373" s="594"/>
      <c r="H373" s="594"/>
      <c r="I373" s="594"/>
    </row>
    <row r="374" spans="1:9" ht="22.5" customHeight="1" x14ac:dyDescent="0.2">
      <c r="A374" s="595" t="str">
        <f>A241</f>
        <v xml:space="preserve">d/  The ports of Neah Bay and La Push were closed to public access in 2020 due to the COVID-19 pandemic. Effort shown in this table occurred in the adjacent catch areas and originated from Sekiu. </v>
      </c>
      <c r="B374" s="595"/>
      <c r="C374" s="595"/>
      <c r="D374" s="595"/>
      <c r="E374" s="595"/>
      <c r="F374" s="595"/>
      <c r="G374" s="595"/>
      <c r="H374" s="595"/>
      <c r="I374" s="595"/>
    </row>
  </sheetData>
  <mergeCells count="9">
    <mergeCell ref="A372:I373"/>
    <mergeCell ref="A374:I374"/>
    <mergeCell ref="A1:I1"/>
    <mergeCell ref="A239:I240"/>
    <mergeCell ref="A257:I257"/>
    <mergeCell ref="A325:I325"/>
    <mergeCell ref="A370:I370"/>
    <mergeCell ref="A371:I371"/>
    <mergeCell ref="A241:I241"/>
  </mergeCells>
  <pageMargins left="0.7" right="0.7" top="0.75" bottom="0.75" header="0.3" footer="0.3"/>
  <pageSetup scale="98" orientation="portrait" r:id="rId1"/>
  <rowBreaks count="1" manualBreakCount="1">
    <brk id="324" max="8" man="1"/>
  </rowBreaks>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1"/>
  <dimension ref="A1:U380"/>
  <sheetViews>
    <sheetView showGridLines="0" topLeftCell="A342" zoomScaleNormal="100" workbookViewId="0">
      <selection sqref="A1:J2"/>
    </sheetView>
  </sheetViews>
  <sheetFormatPr defaultColWidth="9" defaultRowHeight="11.25" x14ac:dyDescent="0.2"/>
  <cols>
    <col min="1" max="1" width="8.125" style="371" customWidth="1"/>
    <col min="2" max="9" width="6.125" style="200" customWidth="1"/>
    <col min="10" max="10" width="1.625" style="193" customWidth="1"/>
    <col min="11" max="18" width="6.125" style="200" customWidth="1"/>
    <col min="19" max="25" width="9" style="1"/>
    <col min="26" max="26" width="2" style="1" customWidth="1"/>
    <col min="27" max="27" width="2.25" style="1" customWidth="1"/>
    <col min="28" max="16384" width="9" style="1"/>
  </cols>
  <sheetData>
    <row r="1" spans="1:18" x14ac:dyDescent="0.2">
      <c r="A1" s="523" t="s">
        <v>7</v>
      </c>
      <c r="B1" s="523"/>
      <c r="C1" s="523"/>
      <c r="D1" s="523"/>
      <c r="E1" s="523"/>
      <c r="F1" s="523"/>
      <c r="G1" s="523"/>
      <c r="H1" s="523"/>
      <c r="I1" s="523"/>
      <c r="J1" s="523"/>
      <c r="K1" s="523"/>
      <c r="L1" s="523"/>
      <c r="M1" s="523"/>
      <c r="N1" s="523"/>
      <c r="O1" s="523"/>
      <c r="P1" s="523"/>
      <c r="Q1" s="523"/>
      <c r="R1" s="523"/>
    </row>
    <row r="2" spans="1:18" s="368" customFormat="1" x14ac:dyDescent="0.2">
      <c r="A2" s="2" t="s">
        <v>33</v>
      </c>
      <c r="B2" s="58" t="s">
        <v>34</v>
      </c>
      <c r="C2" s="58" t="s">
        <v>35</v>
      </c>
      <c r="D2" s="58" t="s">
        <v>36</v>
      </c>
      <c r="E2" s="58" t="s">
        <v>37</v>
      </c>
      <c r="F2" s="58" t="s">
        <v>38</v>
      </c>
      <c r="G2" s="58" t="s">
        <v>39</v>
      </c>
      <c r="H2" s="58" t="s">
        <v>40</v>
      </c>
      <c r="I2" s="58" t="s">
        <v>28</v>
      </c>
      <c r="J2" s="369"/>
      <c r="K2" s="58" t="s">
        <v>34</v>
      </c>
      <c r="L2" s="58" t="s">
        <v>35</v>
      </c>
      <c r="M2" s="58" t="s">
        <v>36</v>
      </c>
      <c r="N2" s="58" t="s">
        <v>37</v>
      </c>
      <c r="O2" s="58" t="s">
        <v>38</v>
      </c>
      <c r="P2" s="58" t="s">
        <v>39</v>
      </c>
      <c r="Q2" s="58" t="s">
        <v>40</v>
      </c>
      <c r="R2" s="58" t="s">
        <v>28</v>
      </c>
    </row>
    <row r="3" spans="1:18" x14ac:dyDescent="0.2">
      <c r="B3" s="600" t="s">
        <v>67</v>
      </c>
      <c r="C3" s="600"/>
      <c r="D3" s="600"/>
      <c r="E3" s="600"/>
      <c r="F3" s="600"/>
      <c r="G3" s="600"/>
      <c r="H3" s="600"/>
      <c r="I3" s="600"/>
      <c r="J3" s="19"/>
      <c r="K3" s="600" t="s">
        <v>68</v>
      </c>
      <c r="L3" s="600"/>
      <c r="M3" s="600"/>
      <c r="N3" s="600"/>
      <c r="O3" s="600"/>
      <c r="P3" s="600"/>
      <c r="Q3" s="600"/>
      <c r="R3" s="600"/>
    </row>
    <row r="4" spans="1:18" x14ac:dyDescent="0.2">
      <c r="A4" s="116" t="s">
        <v>65</v>
      </c>
    </row>
    <row r="5" spans="1:18" x14ac:dyDescent="0.2">
      <c r="A5" s="371">
        <v>1976</v>
      </c>
      <c r="B5" s="198" t="s">
        <v>29</v>
      </c>
      <c r="C5" s="198">
        <f>399+268+262+616</f>
        <v>1545</v>
      </c>
      <c r="D5" s="198">
        <v>1630</v>
      </c>
      <c r="E5" s="198">
        <v>4877</v>
      </c>
      <c r="F5" s="198">
        <v>1872</v>
      </c>
      <c r="G5" s="198">
        <v>1378</v>
      </c>
      <c r="H5" s="198">
        <v>18</v>
      </c>
      <c r="I5" s="198">
        <f t="shared" ref="I5:I22" si="0">SUM(B5:H5)</f>
        <v>11320</v>
      </c>
      <c r="J5" s="31"/>
      <c r="K5" s="198">
        <f>19+46</f>
        <v>65</v>
      </c>
      <c r="L5" s="198">
        <v>795</v>
      </c>
      <c r="M5" s="198">
        <v>3228</v>
      </c>
      <c r="N5" s="198">
        <v>14225</v>
      </c>
      <c r="O5" s="198">
        <v>27843</v>
      </c>
      <c r="P5" s="198">
        <v>10277</v>
      </c>
      <c r="Q5" s="198">
        <v>139</v>
      </c>
      <c r="R5" s="198">
        <f t="shared" ref="R5:R22" si="1">SUM(K5:Q5)</f>
        <v>56572</v>
      </c>
    </row>
    <row r="6" spans="1:18" x14ac:dyDescent="0.2">
      <c r="A6" s="371">
        <v>1977</v>
      </c>
      <c r="B6" s="198">
        <v>186</v>
      </c>
      <c r="C6" s="198">
        <v>359</v>
      </c>
      <c r="D6" s="198">
        <v>1310</v>
      </c>
      <c r="E6" s="198">
        <v>1662</v>
      </c>
      <c r="F6" s="198">
        <v>2971</v>
      </c>
      <c r="G6" s="198">
        <v>764</v>
      </c>
      <c r="H6" s="198">
        <v>25</v>
      </c>
      <c r="I6" s="198">
        <f t="shared" si="0"/>
        <v>7277</v>
      </c>
      <c r="J6" s="31"/>
      <c r="K6" s="198">
        <v>254</v>
      </c>
      <c r="L6" s="198">
        <v>1006</v>
      </c>
      <c r="M6" s="198">
        <v>2672</v>
      </c>
      <c r="N6" s="198">
        <v>13290</v>
      </c>
      <c r="O6" s="198">
        <v>38078</v>
      </c>
      <c r="P6" s="198">
        <v>12213</v>
      </c>
      <c r="Q6" s="198">
        <v>591</v>
      </c>
      <c r="R6" s="198">
        <f t="shared" si="1"/>
        <v>68104</v>
      </c>
    </row>
    <row r="7" spans="1:18" x14ac:dyDescent="0.2">
      <c r="A7" s="371">
        <v>1978</v>
      </c>
      <c r="B7" s="198">
        <f>242+22</f>
        <v>264</v>
      </c>
      <c r="C7" s="198">
        <v>455</v>
      </c>
      <c r="D7" s="198">
        <v>2248</v>
      </c>
      <c r="E7" s="198">
        <v>2640</v>
      </c>
      <c r="F7" s="198">
        <v>1002</v>
      </c>
      <c r="G7" s="198">
        <v>324</v>
      </c>
      <c r="H7" s="198">
        <f>146+100</f>
        <v>246</v>
      </c>
      <c r="I7" s="198">
        <f t="shared" si="0"/>
        <v>7179</v>
      </c>
      <c r="J7" s="31"/>
      <c r="K7" s="198">
        <f>22+103</f>
        <v>125</v>
      </c>
      <c r="L7" s="198">
        <v>190</v>
      </c>
      <c r="M7" s="198">
        <v>2701</v>
      </c>
      <c r="N7" s="198">
        <v>11272</v>
      </c>
      <c r="O7" s="198">
        <v>17717</v>
      </c>
      <c r="P7" s="198">
        <v>12553</v>
      </c>
      <c r="Q7" s="198">
        <f>370+29</f>
        <v>399</v>
      </c>
      <c r="R7" s="198">
        <f t="shared" si="1"/>
        <v>44957</v>
      </c>
    </row>
    <row r="8" spans="1:18" x14ac:dyDescent="0.2">
      <c r="A8" s="371">
        <v>1979</v>
      </c>
      <c r="B8" s="198">
        <v>504</v>
      </c>
      <c r="C8" s="198">
        <v>155</v>
      </c>
      <c r="D8" s="198">
        <v>424</v>
      </c>
      <c r="E8" s="198">
        <v>1173</v>
      </c>
      <c r="F8" s="198">
        <v>801</v>
      </c>
      <c r="G8" s="198">
        <v>1</v>
      </c>
      <c r="H8" s="198" t="s">
        <v>29</v>
      </c>
      <c r="I8" s="198">
        <f t="shared" si="0"/>
        <v>3058</v>
      </c>
      <c r="J8" s="31"/>
      <c r="K8" s="198">
        <v>408</v>
      </c>
      <c r="L8" s="198">
        <v>119</v>
      </c>
      <c r="M8" s="198">
        <v>2469</v>
      </c>
      <c r="N8" s="198">
        <v>9781</v>
      </c>
      <c r="O8" s="198">
        <v>11547</v>
      </c>
      <c r="P8" s="198">
        <v>1475</v>
      </c>
      <c r="Q8" s="198">
        <v>85</v>
      </c>
      <c r="R8" s="198">
        <f t="shared" si="1"/>
        <v>25884</v>
      </c>
    </row>
    <row r="9" spans="1:18" x14ac:dyDescent="0.2">
      <c r="A9" s="371">
        <v>1980</v>
      </c>
      <c r="B9" s="198" t="s">
        <v>29</v>
      </c>
      <c r="C9" s="198">
        <v>155</v>
      </c>
      <c r="D9" s="198">
        <v>372</v>
      </c>
      <c r="E9" s="198">
        <v>1836</v>
      </c>
      <c r="F9" s="198">
        <f>415+58</f>
        <v>473</v>
      </c>
      <c r="G9" s="198" t="s">
        <v>29</v>
      </c>
      <c r="H9" s="198" t="s">
        <v>29</v>
      </c>
      <c r="I9" s="198">
        <f t="shared" si="0"/>
        <v>2836</v>
      </c>
      <c r="J9" s="31"/>
      <c r="K9" s="198" t="s">
        <v>29</v>
      </c>
      <c r="L9" s="198">
        <v>573</v>
      </c>
      <c r="M9" s="198">
        <v>5743</v>
      </c>
      <c r="N9" s="198">
        <v>8552</v>
      </c>
      <c r="O9" s="198">
        <v>8077</v>
      </c>
      <c r="P9" s="198">
        <v>2285</v>
      </c>
      <c r="Q9" s="198">
        <v>44</v>
      </c>
      <c r="R9" s="198">
        <f t="shared" si="1"/>
        <v>25274</v>
      </c>
    </row>
    <row r="10" spans="1:18" x14ac:dyDescent="0.2">
      <c r="A10" s="371">
        <v>1981</v>
      </c>
      <c r="B10" s="198">
        <f>33+66+39</f>
        <v>138</v>
      </c>
      <c r="C10" s="198">
        <v>384</v>
      </c>
      <c r="D10" s="198">
        <v>502</v>
      </c>
      <c r="E10" s="198">
        <v>1608</v>
      </c>
      <c r="F10" s="198">
        <f>508+67</f>
        <v>575</v>
      </c>
      <c r="G10" s="198" t="s">
        <v>29</v>
      </c>
      <c r="H10" s="198" t="s">
        <v>29</v>
      </c>
      <c r="I10" s="198">
        <f t="shared" si="0"/>
        <v>3207</v>
      </c>
      <c r="J10" s="31"/>
      <c r="K10" s="198">
        <f>18+36+26</f>
        <v>80</v>
      </c>
      <c r="L10" s="198">
        <v>480</v>
      </c>
      <c r="M10" s="198">
        <v>1086</v>
      </c>
      <c r="N10" s="198">
        <v>6816</v>
      </c>
      <c r="O10" s="198">
        <v>12925</v>
      </c>
      <c r="P10" s="198">
        <v>4143</v>
      </c>
      <c r="Q10" s="198">
        <v>338</v>
      </c>
      <c r="R10" s="198">
        <f t="shared" si="1"/>
        <v>25868</v>
      </c>
    </row>
    <row r="11" spans="1:18" x14ac:dyDescent="0.2">
      <c r="A11" s="371">
        <v>1982</v>
      </c>
      <c r="B11" s="198">
        <v>3</v>
      </c>
      <c r="C11" s="198">
        <v>116</v>
      </c>
      <c r="D11" s="198">
        <v>422</v>
      </c>
      <c r="E11" s="198">
        <v>1571</v>
      </c>
      <c r="F11" s="198">
        <v>818</v>
      </c>
      <c r="G11" s="198">
        <v>215</v>
      </c>
      <c r="H11" s="198">
        <v>35</v>
      </c>
      <c r="I11" s="198">
        <f t="shared" si="0"/>
        <v>3180</v>
      </c>
      <c r="J11" s="31"/>
      <c r="K11" s="198" t="s">
        <v>29</v>
      </c>
      <c r="L11" s="198">
        <v>113</v>
      </c>
      <c r="M11" s="198">
        <v>768</v>
      </c>
      <c r="N11" s="198">
        <v>10393</v>
      </c>
      <c r="O11" s="198">
        <v>22388</v>
      </c>
      <c r="P11" s="198">
        <v>5781</v>
      </c>
      <c r="Q11" s="198">
        <v>78</v>
      </c>
      <c r="R11" s="198">
        <f t="shared" si="1"/>
        <v>39521</v>
      </c>
    </row>
    <row r="12" spans="1:18" x14ac:dyDescent="0.2">
      <c r="A12" s="371">
        <v>1983</v>
      </c>
      <c r="B12" s="198">
        <v>117</v>
      </c>
      <c r="C12" s="198">
        <v>96</v>
      </c>
      <c r="D12" s="198" t="s">
        <v>29</v>
      </c>
      <c r="E12" s="198">
        <v>1483</v>
      </c>
      <c r="F12" s="198">
        <v>584</v>
      </c>
      <c r="G12" s="198">
        <v>172</v>
      </c>
      <c r="H12" s="198" t="s">
        <v>29</v>
      </c>
      <c r="I12" s="198">
        <f t="shared" si="0"/>
        <v>2452</v>
      </c>
      <c r="J12" s="31"/>
      <c r="K12" s="198" t="s">
        <v>29</v>
      </c>
      <c r="L12" s="198">
        <v>422</v>
      </c>
      <c r="M12" s="198" t="s">
        <v>29</v>
      </c>
      <c r="N12" s="198">
        <v>17694</v>
      </c>
      <c r="O12" s="198">
        <v>26932</v>
      </c>
      <c r="P12" s="198">
        <v>6743</v>
      </c>
      <c r="Q12" s="198">
        <v>33</v>
      </c>
      <c r="R12" s="198">
        <f t="shared" si="1"/>
        <v>51824</v>
      </c>
    </row>
    <row r="13" spans="1:18" x14ac:dyDescent="0.2">
      <c r="A13" s="371">
        <v>1984</v>
      </c>
      <c r="B13" s="198">
        <f>16+8</f>
        <v>24</v>
      </c>
      <c r="C13" s="198" t="s">
        <v>29</v>
      </c>
      <c r="D13" s="198">
        <v>0</v>
      </c>
      <c r="E13" s="198">
        <v>109</v>
      </c>
      <c r="F13" s="198">
        <v>96</v>
      </c>
      <c r="G13" s="198" t="s">
        <v>29</v>
      </c>
      <c r="H13" s="198" t="s">
        <v>29</v>
      </c>
      <c r="I13" s="198">
        <f t="shared" si="0"/>
        <v>229</v>
      </c>
      <c r="J13" s="31"/>
      <c r="K13" s="198" t="s">
        <v>29</v>
      </c>
      <c r="L13" s="198" t="s">
        <v>29</v>
      </c>
      <c r="M13" s="198" t="s">
        <v>29</v>
      </c>
      <c r="N13" s="198">
        <v>928</v>
      </c>
      <c r="O13" s="198">
        <v>5179</v>
      </c>
      <c r="P13" s="198">
        <v>264</v>
      </c>
      <c r="Q13" s="198" t="s">
        <v>29</v>
      </c>
      <c r="R13" s="198">
        <f t="shared" si="1"/>
        <v>6371</v>
      </c>
    </row>
    <row r="14" spans="1:18" x14ac:dyDescent="0.2">
      <c r="A14" s="371">
        <v>1985</v>
      </c>
      <c r="B14" s="198">
        <v>5</v>
      </c>
      <c r="C14" s="198">
        <v>1</v>
      </c>
      <c r="D14" s="198">
        <v>12</v>
      </c>
      <c r="E14" s="198">
        <v>1692</v>
      </c>
      <c r="F14" s="198">
        <f>333+9</f>
        <v>342</v>
      </c>
      <c r="G14" s="198" t="s">
        <v>29</v>
      </c>
      <c r="H14" s="198" t="s">
        <v>29</v>
      </c>
      <c r="I14" s="198">
        <f t="shared" si="0"/>
        <v>2052</v>
      </c>
      <c r="J14" s="31"/>
      <c r="K14" s="198" t="s">
        <v>29</v>
      </c>
      <c r="L14" s="198" t="s">
        <v>29</v>
      </c>
      <c r="M14" s="198">
        <v>64</v>
      </c>
      <c r="N14" s="198">
        <v>8557</v>
      </c>
      <c r="O14" s="198">
        <v>14834</v>
      </c>
      <c r="P14" s="198">
        <v>139</v>
      </c>
      <c r="Q14" s="198" t="s">
        <v>29</v>
      </c>
      <c r="R14" s="198">
        <f t="shared" si="1"/>
        <v>23594</v>
      </c>
    </row>
    <row r="15" spans="1:18" x14ac:dyDescent="0.2">
      <c r="A15" s="371">
        <v>1986</v>
      </c>
      <c r="B15" s="200" t="s">
        <v>29</v>
      </c>
      <c r="C15" s="200" t="s">
        <v>29</v>
      </c>
      <c r="D15" s="200">
        <v>116</v>
      </c>
      <c r="E15" s="200">
        <v>2595</v>
      </c>
      <c r="F15" s="200">
        <v>537</v>
      </c>
      <c r="G15" s="200" t="s">
        <v>29</v>
      </c>
      <c r="H15" s="200" t="s">
        <v>29</v>
      </c>
      <c r="I15" s="200">
        <f t="shared" si="0"/>
        <v>3248</v>
      </c>
      <c r="K15" s="200" t="s">
        <v>29</v>
      </c>
      <c r="L15" s="200" t="s">
        <v>29</v>
      </c>
      <c r="M15" s="200">
        <v>550</v>
      </c>
      <c r="N15" s="200">
        <v>10522</v>
      </c>
      <c r="O15" s="200">
        <v>10687</v>
      </c>
      <c r="P15" s="200" t="s">
        <v>29</v>
      </c>
      <c r="Q15" s="200" t="s">
        <v>29</v>
      </c>
      <c r="R15" s="200">
        <f t="shared" si="1"/>
        <v>21759</v>
      </c>
    </row>
    <row r="16" spans="1:18" x14ac:dyDescent="0.2">
      <c r="A16" s="371">
        <v>1987</v>
      </c>
      <c r="B16" s="200" t="s">
        <v>29</v>
      </c>
      <c r="C16" s="200" t="s">
        <v>29</v>
      </c>
      <c r="D16" s="200">
        <v>110</v>
      </c>
      <c r="E16" s="200" t="s">
        <v>45</v>
      </c>
      <c r="F16" s="198">
        <v>66</v>
      </c>
      <c r="G16" s="200" t="s">
        <v>29</v>
      </c>
      <c r="H16" s="200" t="s">
        <v>29</v>
      </c>
      <c r="I16" s="200">
        <f t="shared" si="0"/>
        <v>176</v>
      </c>
      <c r="K16" s="200" t="s">
        <v>29</v>
      </c>
      <c r="L16" s="200" t="s">
        <v>29</v>
      </c>
      <c r="M16" s="200">
        <v>218</v>
      </c>
      <c r="N16" s="200">
        <v>15042</v>
      </c>
      <c r="O16" s="200">
        <v>10146</v>
      </c>
      <c r="P16" s="200" t="s">
        <v>29</v>
      </c>
      <c r="Q16" s="200" t="s">
        <v>29</v>
      </c>
      <c r="R16" s="200">
        <f t="shared" si="1"/>
        <v>25406</v>
      </c>
    </row>
    <row r="17" spans="1:18" x14ac:dyDescent="0.2">
      <c r="A17" s="371">
        <v>1988</v>
      </c>
      <c r="B17" s="200" t="s">
        <v>29</v>
      </c>
      <c r="C17" s="200" t="s">
        <v>29</v>
      </c>
      <c r="D17" s="200" t="s">
        <v>29</v>
      </c>
      <c r="E17" s="200">
        <v>3537</v>
      </c>
      <c r="F17" s="200">
        <v>208</v>
      </c>
      <c r="G17" s="200">
        <v>20</v>
      </c>
      <c r="H17" s="200" t="s">
        <v>29</v>
      </c>
      <c r="I17" s="200">
        <f t="shared" si="0"/>
        <v>3765</v>
      </c>
      <c r="K17" s="200" t="s">
        <v>29</v>
      </c>
      <c r="L17" s="200" t="s">
        <v>29</v>
      </c>
      <c r="M17" s="200" t="s">
        <v>29</v>
      </c>
      <c r="N17" s="200">
        <v>12790</v>
      </c>
      <c r="O17" s="200">
        <v>2593</v>
      </c>
      <c r="P17" s="200">
        <v>426</v>
      </c>
      <c r="Q17" s="200" t="s">
        <v>29</v>
      </c>
      <c r="R17" s="200">
        <f t="shared" si="1"/>
        <v>15809</v>
      </c>
    </row>
    <row r="18" spans="1:18" x14ac:dyDescent="0.2">
      <c r="A18" s="371">
        <v>1989</v>
      </c>
      <c r="B18" s="200" t="s">
        <v>29</v>
      </c>
      <c r="C18" s="200">
        <v>114</v>
      </c>
      <c r="D18" s="200">
        <v>202</v>
      </c>
      <c r="E18" s="200">
        <f>1761+304+148</f>
        <v>2213</v>
      </c>
      <c r="F18" s="200" t="s">
        <v>29</v>
      </c>
      <c r="G18" s="200" t="s">
        <v>29</v>
      </c>
      <c r="H18" s="200" t="s">
        <v>29</v>
      </c>
      <c r="I18" s="200">
        <f t="shared" si="0"/>
        <v>2529</v>
      </c>
      <c r="K18" s="200" t="s">
        <v>29</v>
      </c>
      <c r="L18" s="200" t="s">
        <v>29</v>
      </c>
      <c r="M18" s="200" t="s">
        <v>29</v>
      </c>
      <c r="N18" s="200">
        <v>20227</v>
      </c>
      <c r="O18" s="198">
        <v>11036</v>
      </c>
      <c r="P18" s="198">
        <v>8855</v>
      </c>
      <c r="Q18" s="200" t="s">
        <v>29</v>
      </c>
      <c r="R18" s="200">
        <f t="shared" si="1"/>
        <v>40118</v>
      </c>
    </row>
    <row r="19" spans="1:18" x14ac:dyDescent="0.2">
      <c r="A19" s="371">
        <v>1990</v>
      </c>
      <c r="B19" s="200" t="s">
        <v>29</v>
      </c>
      <c r="C19" s="200" t="s">
        <v>29</v>
      </c>
      <c r="D19" s="200" t="s">
        <v>29</v>
      </c>
      <c r="E19" s="200">
        <v>2003</v>
      </c>
      <c r="F19" s="200">
        <v>621</v>
      </c>
      <c r="G19" s="200">
        <v>50</v>
      </c>
      <c r="H19" s="200" t="s">
        <v>29</v>
      </c>
      <c r="I19" s="200">
        <f t="shared" si="0"/>
        <v>2674</v>
      </c>
      <c r="K19" s="200" t="s">
        <v>29</v>
      </c>
      <c r="L19" s="200" t="s">
        <v>29</v>
      </c>
      <c r="M19" s="200" t="s">
        <v>29</v>
      </c>
      <c r="N19" s="200">
        <f>20884+16</f>
        <v>20900</v>
      </c>
      <c r="O19" s="200">
        <v>23685</v>
      </c>
      <c r="P19" s="200">
        <v>1057</v>
      </c>
      <c r="Q19" s="200" t="s">
        <v>29</v>
      </c>
      <c r="R19" s="200">
        <f t="shared" si="1"/>
        <v>45642</v>
      </c>
    </row>
    <row r="20" spans="1:18" x14ac:dyDescent="0.2">
      <c r="A20" s="371" t="s">
        <v>278</v>
      </c>
      <c r="B20" s="200" t="s">
        <v>29</v>
      </c>
      <c r="C20" s="200" t="s">
        <v>29</v>
      </c>
      <c r="D20" s="200" t="s">
        <v>29</v>
      </c>
      <c r="E20" s="200">
        <v>2363</v>
      </c>
      <c r="F20" s="200">
        <v>380</v>
      </c>
      <c r="G20" s="200">
        <v>0</v>
      </c>
      <c r="H20" s="200" t="s">
        <v>29</v>
      </c>
      <c r="I20" s="200">
        <f t="shared" si="0"/>
        <v>2743</v>
      </c>
      <c r="K20" s="200" t="s">
        <v>29</v>
      </c>
      <c r="L20" s="200" t="s">
        <v>29</v>
      </c>
      <c r="M20" s="200" t="s">
        <v>29</v>
      </c>
      <c r="N20" s="200">
        <v>23339</v>
      </c>
      <c r="O20" s="200">
        <v>15131</v>
      </c>
      <c r="P20" s="200">
        <v>5</v>
      </c>
      <c r="Q20" s="200" t="s">
        <v>29</v>
      </c>
      <c r="R20" s="200">
        <f t="shared" si="1"/>
        <v>38475</v>
      </c>
    </row>
    <row r="21" spans="1:18" x14ac:dyDescent="0.2">
      <c r="A21" s="371" t="s">
        <v>279</v>
      </c>
      <c r="B21" s="200" t="s">
        <v>29</v>
      </c>
      <c r="C21" s="200">
        <v>118</v>
      </c>
      <c r="D21" s="200" t="s">
        <v>29</v>
      </c>
      <c r="E21" s="200">
        <v>964</v>
      </c>
      <c r="F21" s="200">
        <v>33</v>
      </c>
      <c r="G21" s="200" t="s">
        <v>29</v>
      </c>
      <c r="H21" s="200" t="s">
        <v>29</v>
      </c>
      <c r="I21" s="200">
        <f t="shared" si="0"/>
        <v>1115</v>
      </c>
      <c r="K21" s="200" t="s">
        <v>29</v>
      </c>
      <c r="L21" s="198">
        <v>32</v>
      </c>
      <c r="M21" s="200" t="s">
        <v>29</v>
      </c>
      <c r="N21" s="200">
        <v>12949</v>
      </c>
      <c r="O21" s="200">
        <v>11637</v>
      </c>
      <c r="P21" s="200">
        <v>83</v>
      </c>
      <c r="Q21" s="200" t="s">
        <v>29</v>
      </c>
      <c r="R21" s="200">
        <f t="shared" si="1"/>
        <v>24701</v>
      </c>
    </row>
    <row r="22" spans="1:18" x14ac:dyDescent="0.2">
      <c r="A22" s="371" t="s">
        <v>280</v>
      </c>
      <c r="B22" s="200" t="s">
        <v>29</v>
      </c>
      <c r="C22" s="200">
        <v>178</v>
      </c>
      <c r="D22" s="200" t="s">
        <v>29</v>
      </c>
      <c r="E22" s="200">
        <v>1002</v>
      </c>
      <c r="F22" s="200">
        <v>380</v>
      </c>
      <c r="G22" s="200">
        <v>124</v>
      </c>
      <c r="H22" s="200" t="s">
        <v>29</v>
      </c>
      <c r="I22" s="200">
        <f t="shared" si="0"/>
        <v>1684</v>
      </c>
      <c r="K22" s="200" t="s">
        <v>29</v>
      </c>
      <c r="L22" s="198">
        <v>48</v>
      </c>
      <c r="M22" s="200" t="s">
        <v>29</v>
      </c>
      <c r="N22" s="200">
        <v>10673</v>
      </c>
      <c r="O22" s="200">
        <v>12614</v>
      </c>
      <c r="P22" s="200">
        <v>3860</v>
      </c>
      <c r="Q22" s="200" t="s">
        <v>29</v>
      </c>
      <c r="R22" s="200">
        <f t="shared" si="1"/>
        <v>27195</v>
      </c>
    </row>
    <row r="23" spans="1:18" x14ac:dyDescent="0.2">
      <c r="A23" s="371">
        <v>1994</v>
      </c>
      <c r="B23" s="200" t="s">
        <v>29</v>
      </c>
      <c r="C23" s="200" t="s">
        <v>29</v>
      </c>
      <c r="D23" s="200" t="s">
        <v>29</v>
      </c>
      <c r="E23" s="200" t="s">
        <v>29</v>
      </c>
      <c r="F23" s="200" t="s">
        <v>29</v>
      </c>
      <c r="G23" s="200" t="s">
        <v>29</v>
      </c>
      <c r="H23" s="200" t="s">
        <v>29</v>
      </c>
      <c r="I23" s="200" t="s">
        <v>29</v>
      </c>
      <c r="K23" s="200" t="s">
        <v>29</v>
      </c>
      <c r="L23" s="200" t="s">
        <v>29</v>
      </c>
      <c r="M23" s="200" t="s">
        <v>29</v>
      </c>
      <c r="N23" s="200" t="s">
        <v>29</v>
      </c>
      <c r="O23" s="200" t="s">
        <v>29</v>
      </c>
      <c r="P23" s="200" t="s">
        <v>29</v>
      </c>
      <c r="Q23" s="200" t="s">
        <v>29</v>
      </c>
      <c r="R23" s="200" t="s">
        <v>29</v>
      </c>
    </row>
    <row r="24" spans="1:18" x14ac:dyDescent="0.2">
      <c r="A24" s="371">
        <v>1995</v>
      </c>
      <c r="B24" s="200" t="s">
        <v>29</v>
      </c>
      <c r="C24" s="200" t="s">
        <v>29</v>
      </c>
      <c r="D24" s="200" t="s">
        <v>29</v>
      </c>
      <c r="E24" s="200" t="s">
        <v>29</v>
      </c>
      <c r="F24" s="198">
        <v>136</v>
      </c>
      <c r="G24" s="198" t="s">
        <v>29</v>
      </c>
      <c r="H24" s="200" t="s">
        <v>29</v>
      </c>
      <c r="I24" s="200">
        <f>SUM(B24:H24)</f>
        <v>136</v>
      </c>
      <c r="K24" s="200" t="s">
        <v>29</v>
      </c>
      <c r="L24" s="200" t="s">
        <v>29</v>
      </c>
      <c r="M24" s="200" t="s">
        <v>29</v>
      </c>
      <c r="N24" s="200" t="s">
        <v>29</v>
      </c>
      <c r="O24" s="200">
        <v>12826</v>
      </c>
      <c r="P24" s="200">
        <v>17</v>
      </c>
      <c r="Q24" s="200" t="s">
        <v>29</v>
      </c>
      <c r="R24" s="200">
        <f t="shared" ref="R24:R35" si="2">SUM(K24:Q24)</f>
        <v>12843</v>
      </c>
    </row>
    <row r="25" spans="1:18" x14ac:dyDescent="0.2">
      <c r="A25" s="371" t="s">
        <v>281</v>
      </c>
      <c r="B25" s="200" t="s">
        <v>29</v>
      </c>
      <c r="C25" s="200" t="s">
        <v>29</v>
      </c>
      <c r="D25" s="200" t="s">
        <v>29</v>
      </c>
      <c r="E25" s="200" t="s">
        <v>29</v>
      </c>
      <c r="F25" s="198">
        <v>55</v>
      </c>
      <c r="G25" s="198">
        <v>5</v>
      </c>
      <c r="H25" s="200" t="s">
        <v>29</v>
      </c>
      <c r="I25" s="200">
        <f>SUM(B25:H25)</f>
        <v>60</v>
      </c>
      <c r="K25" s="200" t="s">
        <v>29</v>
      </c>
      <c r="L25" s="200" t="s">
        <v>29</v>
      </c>
      <c r="M25" s="200" t="s">
        <v>29</v>
      </c>
      <c r="N25" s="200" t="s">
        <v>29</v>
      </c>
      <c r="O25" s="200">
        <v>6634</v>
      </c>
      <c r="P25" s="200">
        <v>2327</v>
      </c>
      <c r="Q25" s="200" t="s">
        <v>29</v>
      </c>
      <c r="R25" s="200">
        <f t="shared" si="2"/>
        <v>8961</v>
      </c>
    </row>
    <row r="26" spans="1:18" x14ac:dyDescent="0.2">
      <c r="A26" s="371" t="s">
        <v>282</v>
      </c>
      <c r="B26" s="200" t="s">
        <v>29</v>
      </c>
      <c r="C26" s="200" t="s">
        <v>29</v>
      </c>
      <c r="D26" s="200" t="s">
        <v>29</v>
      </c>
      <c r="E26" s="200">
        <v>478</v>
      </c>
      <c r="F26" s="198">
        <v>8</v>
      </c>
      <c r="G26" s="200" t="s">
        <v>29</v>
      </c>
      <c r="H26" s="200" t="s">
        <v>29</v>
      </c>
      <c r="I26" s="200">
        <f>SUM(B26:H26)</f>
        <v>486</v>
      </c>
      <c r="K26" s="200" t="s">
        <v>29</v>
      </c>
      <c r="L26" s="200" t="s">
        <v>29</v>
      </c>
      <c r="M26" s="200" t="s">
        <v>29</v>
      </c>
      <c r="N26" s="200">
        <v>0</v>
      </c>
      <c r="O26" s="198">
        <v>1494</v>
      </c>
      <c r="P26" s="200" t="s">
        <v>29</v>
      </c>
      <c r="Q26" s="200" t="s">
        <v>29</v>
      </c>
      <c r="R26" s="200">
        <f t="shared" si="2"/>
        <v>1494</v>
      </c>
    </row>
    <row r="27" spans="1:18" x14ac:dyDescent="0.2">
      <c r="A27" s="371" t="s">
        <v>283</v>
      </c>
      <c r="B27" s="200" t="s">
        <v>29</v>
      </c>
      <c r="C27" s="200" t="s">
        <v>29</v>
      </c>
      <c r="D27" s="200" t="s">
        <v>29</v>
      </c>
      <c r="E27" s="200" t="s">
        <v>29</v>
      </c>
      <c r="F27" s="198">
        <v>103</v>
      </c>
      <c r="G27" s="200" t="s">
        <v>29</v>
      </c>
      <c r="H27" s="200" t="s">
        <v>29</v>
      </c>
      <c r="I27" s="200">
        <f>SUM(B27:H27)</f>
        <v>103</v>
      </c>
      <c r="K27" s="200" t="s">
        <v>29</v>
      </c>
      <c r="L27" s="200" t="s">
        <v>29</v>
      </c>
      <c r="M27" s="200" t="s">
        <v>29</v>
      </c>
      <c r="N27" s="200" t="s">
        <v>29</v>
      </c>
      <c r="O27" s="200">
        <v>8062</v>
      </c>
      <c r="P27" s="200" t="s">
        <v>29</v>
      </c>
      <c r="Q27" s="200" t="s">
        <v>29</v>
      </c>
      <c r="R27" s="200">
        <f t="shared" si="2"/>
        <v>8062</v>
      </c>
    </row>
    <row r="28" spans="1:18" x14ac:dyDescent="0.2">
      <c r="A28" s="371">
        <v>1999</v>
      </c>
      <c r="B28" s="200" t="s">
        <v>29</v>
      </c>
      <c r="C28" s="200" t="s">
        <v>29</v>
      </c>
      <c r="D28" s="200" t="s">
        <v>29</v>
      </c>
      <c r="E28" s="200" t="s">
        <v>29</v>
      </c>
      <c r="F28" s="200" t="s">
        <v>29</v>
      </c>
      <c r="G28" s="200" t="s">
        <v>29</v>
      </c>
      <c r="H28" s="200" t="s">
        <v>29</v>
      </c>
      <c r="I28" s="200" t="s">
        <v>29</v>
      </c>
      <c r="K28" s="200" t="s">
        <v>29</v>
      </c>
      <c r="L28" s="200" t="s">
        <v>29</v>
      </c>
      <c r="M28" s="200" t="s">
        <v>29</v>
      </c>
      <c r="N28" s="200">
        <v>1456</v>
      </c>
      <c r="O28" s="200">
        <v>2963</v>
      </c>
      <c r="P28" s="200">
        <v>951</v>
      </c>
      <c r="Q28" s="200" t="s">
        <v>29</v>
      </c>
      <c r="R28" s="200">
        <f t="shared" si="2"/>
        <v>5370</v>
      </c>
    </row>
    <row r="29" spans="1:18" x14ac:dyDescent="0.2">
      <c r="A29" s="371" t="s">
        <v>284</v>
      </c>
      <c r="B29" s="200" t="s">
        <v>29</v>
      </c>
      <c r="C29" s="200" t="s">
        <v>29</v>
      </c>
      <c r="D29" s="200" t="s">
        <v>29</v>
      </c>
      <c r="E29" s="200">
        <v>313</v>
      </c>
      <c r="F29" s="200">
        <v>105</v>
      </c>
      <c r="G29" s="200" t="s">
        <v>29</v>
      </c>
      <c r="H29" s="200" t="s">
        <v>29</v>
      </c>
      <c r="I29" s="200">
        <f t="shared" ref="I29:I49" si="3">SUM(B29:H29)</f>
        <v>418</v>
      </c>
      <c r="K29" s="200" t="s">
        <v>29</v>
      </c>
      <c r="L29" s="200" t="s">
        <v>29</v>
      </c>
      <c r="M29" s="200" t="s">
        <v>29</v>
      </c>
      <c r="N29" s="200">
        <v>3603</v>
      </c>
      <c r="O29" s="200">
        <v>5960</v>
      </c>
      <c r="P29" s="200">
        <v>2067</v>
      </c>
      <c r="Q29" s="200" t="s">
        <v>29</v>
      </c>
      <c r="R29" s="200">
        <f t="shared" si="2"/>
        <v>11630</v>
      </c>
    </row>
    <row r="30" spans="1:18" x14ac:dyDescent="0.2">
      <c r="A30" s="371">
        <v>2001</v>
      </c>
      <c r="B30" s="200" t="s">
        <v>29</v>
      </c>
      <c r="C30" s="200" t="s">
        <v>29</v>
      </c>
      <c r="D30" s="200" t="s">
        <v>29</v>
      </c>
      <c r="E30" s="200">
        <v>1103</v>
      </c>
      <c r="F30" s="200">
        <v>366</v>
      </c>
      <c r="G30" s="200">
        <v>54</v>
      </c>
      <c r="H30" s="200" t="s">
        <v>29</v>
      </c>
      <c r="I30" s="200">
        <f t="shared" si="3"/>
        <v>1523</v>
      </c>
      <c r="K30" s="200" t="s">
        <v>29</v>
      </c>
      <c r="M30" s="200" t="s">
        <v>29</v>
      </c>
      <c r="N30" s="200">
        <v>9840</v>
      </c>
      <c r="O30" s="200">
        <v>6936</v>
      </c>
      <c r="P30" s="200">
        <v>1101</v>
      </c>
      <c r="Q30" s="200" t="s">
        <v>29</v>
      </c>
      <c r="R30" s="200">
        <f t="shared" si="2"/>
        <v>17877</v>
      </c>
    </row>
    <row r="31" spans="1:18" x14ac:dyDescent="0.2">
      <c r="A31" s="371">
        <v>2002</v>
      </c>
      <c r="B31" s="200" t="s">
        <v>29</v>
      </c>
      <c r="C31" s="200">
        <v>234</v>
      </c>
      <c r="D31" s="200">
        <v>1225</v>
      </c>
      <c r="E31" s="200">
        <v>3004</v>
      </c>
      <c r="F31" s="200">
        <v>757</v>
      </c>
      <c r="G31" s="200">
        <v>7</v>
      </c>
      <c r="H31" s="200" t="s">
        <v>29</v>
      </c>
      <c r="I31" s="200">
        <f t="shared" si="3"/>
        <v>5227</v>
      </c>
      <c r="K31" s="200" t="s">
        <v>29</v>
      </c>
      <c r="L31" s="200" t="s">
        <v>29</v>
      </c>
      <c r="M31" s="200" t="s">
        <v>29</v>
      </c>
      <c r="N31" s="200">
        <v>1792</v>
      </c>
      <c r="O31" s="200">
        <v>5419</v>
      </c>
      <c r="P31" s="200">
        <v>1185</v>
      </c>
      <c r="Q31" s="200" t="s">
        <v>29</v>
      </c>
      <c r="R31" s="200">
        <f t="shared" si="2"/>
        <v>8396</v>
      </c>
    </row>
    <row r="32" spans="1:18" x14ac:dyDescent="0.2">
      <c r="A32" s="348">
        <v>2003</v>
      </c>
      <c r="B32" s="200" t="s">
        <v>29</v>
      </c>
      <c r="C32" s="200" t="s">
        <v>29</v>
      </c>
      <c r="D32" s="200">
        <v>589</v>
      </c>
      <c r="E32" s="200">
        <v>3071</v>
      </c>
      <c r="F32" s="200">
        <v>997</v>
      </c>
      <c r="G32" s="200">
        <v>40</v>
      </c>
      <c r="H32" s="200" t="s">
        <v>29</v>
      </c>
      <c r="I32" s="200">
        <f t="shared" si="3"/>
        <v>4697</v>
      </c>
      <c r="K32" s="200" t="s">
        <v>29</v>
      </c>
      <c r="L32" s="200" t="s">
        <v>29</v>
      </c>
      <c r="M32" s="200">
        <v>785</v>
      </c>
      <c r="N32" s="200">
        <v>9104</v>
      </c>
      <c r="O32" s="200">
        <v>8721</v>
      </c>
      <c r="P32" s="200">
        <v>1139</v>
      </c>
      <c r="Q32" s="200" t="s">
        <v>29</v>
      </c>
      <c r="R32" s="200">
        <f t="shared" si="2"/>
        <v>19749</v>
      </c>
    </row>
    <row r="33" spans="1:18" x14ac:dyDescent="0.2">
      <c r="A33" s="348">
        <v>2004</v>
      </c>
      <c r="B33" s="200" t="s">
        <v>29</v>
      </c>
      <c r="C33" s="200" t="s">
        <v>29</v>
      </c>
      <c r="D33" s="200">
        <v>235</v>
      </c>
      <c r="E33" s="200">
        <v>4117</v>
      </c>
      <c r="F33" s="200">
        <v>1090</v>
      </c>
      <c r="G33" s="200">
        <v>73</v>
      </c>
      <c r="H33" s="200" t="s">
        <v>29</v>
      </c>
      <c r="I33" s="200">
        <f t="shared" si="3"/>
        <v>5515</v>
      </c>
      <c r="K33" s="200" t="s">
        <v>29</v>
      </c>
      <c r="L33" s="200" t="s">
        <v>29</v>
      </c>
      <c r="M33" s="200">
        <v>361</v>
      </c>
      <c r="N33" s="200">
        <v>14188</v>
      </c>
      <c r="O33" s="200">
        <v>13846</v>
      </c>
      <c r="P33" s="200">
        <v>1005</v>
      </c>
      <c r="Q33" s="200" t="s">
        <v>29</v>
      </c>
      <c r="R33" s="200">
        <f t="shared" si="2"/>
        <v>29400</v>
      </c>
    </row>
    <row r="34" spans="1:18" s="359" customFormat="1" x14ac:dyDescent="0.2">
      <c r="A34" s="348">
        <v>2005</v>
      </c>
      <c r="B34" s="203" t="s">
        <v>29</v>
      </c>
      <c r="C34" s="203" t="s">
        <v>29</v>
      </c>
      <c r="D34" s="203" t="s">
        <v>29</v>
      </c>
      <c r="E34" s="203">
        <v>2254.4236039019879</v>
      </c>
      <c r="F34" s="203">
        <v>316.39951407676233</v>
      </c>
      <c r="G34" s="203">
        <v>212.95023116709282</v>
      </c>
      <c r="H34" s="203" t="s">
        <v>29</v>
      </c>
      <c r="I34" s="203">
        <f t="shared" si="3"/>
        <v>2783.773349145843</v>
      </c>
      <c r="J34" s="197"/>
      <c r="K34" s="203" t="s">
        <v>29</v>
      </c>
      <c r="L34" s="203" t="s">
        <v>29</v>
      </c>
      <c r="M34" s="203" t="s">
        <v>29</v>
      </c>
      <c r="N34" s="203">
        <v>7032.7660887389111</v>
      </c>
      <c r="O34" s="203">
        <v>2420.1517073611403</v>
      </c>
      <c r="P34" s="203">
        <v>764.63443151327692</v>
      </c>
      <c r="Q34" s="203" t="s">
        <v>29</v>
      </c>
      <c r="R34" s="203">
        <f t="shared" si="2"/>
        <v>10217.552227613329</v>
      </c>
    </row>
    <row r="35" spans="1:18" x14ac:dyDescent="0.2">
      <c r="A35" s="348">
        <v>2006</v>
      </c>
      <c r="B35" s="200" t="s">
        <v>29</v>
      </c>
      <c r="C35" s="200" t="s">
        <v>29</v>
      </c>
      <c r="D35" s="200">
        <v>166.48</v>
      </c>
      <c r="E35" s="200">
        <v>734.4</v>
      </c>
      <c r="F35" s="200">
        <v>442.92</v>
      </c>
      <c r="G35" s="200">
        <v>73.27</v>
      </c>
      <c r="H35" s="200" t="s">
        <v>29</v>
      </c>
      <c r="I35" s="200">
        <f t="shared" si="3"/>
        <v>1417.07</v>
      </c>
      <c r="K35" s="200" t="s">
        <v>29</v>
      </c>
      <c r="L35" s="200" t="s">
        <v>29</v>
      </c>
      <c r="M35" s="200">
        <v>380.49</v>
      </c>
      <c r="N35" s="200">
        <v>3762.92</v>
      </c>
      <c r="O35" s="200">
        <v>1570.31</v>
      </c>
      <c r="P35" s="200">
        <v>309.2</v>
      </c>
      <c r="Q35" s="200" t="s">
        <v>29</v>
      </c>
      <c r="R35" s="200">
        <f t="shared" si="2"/>
        <v>6022.9199999999992</v>
      </c>
    </row>
    <row r="36" spans="1:18" s="359" customFormat="1" x14ac:dyDescent="0.2">
      <c r="A36" s="348">
        <v>2007</v>
      </c>
      <c r="B36" s="203" t="s">
        <v>29</v>
      </c>
      <c r="C36" s="203" t="s">
        <v>29</v>
      </c>
      <c r="D36" s="203" t="s">
        <v>29</v>
      </c>
      <c r="E36" s="203">
        <v>1178.51</v>
      </c>
      <c r="F36" s="203">
        <v>245.24</v>
      </c>
      <c r="G36" s="203">
        <v>46.79</v>
      </c>
      <c r="H36" s="203" t="s">
        <v>29</v>
      </c>
      <c r="I36" s="203">
        <f t="shared" si="3"/>
        <v>1470.54</v>
      </c>
      <c r="J36" s="197"/>
      <c r="K36" s="203" t="s">
        <v>29</v>
      </c>
      <c r="L36" s="203" t="s">
        <v>29</v>
      </c>
      <c r="M36" s="203" t="s">
        <v>29</v>
      </c>
      <c r="N36" s="203">
        <v>4981.05</v>
      </c>
      <c r="O36" s="203">
        <v>4996.53</v>
      </c>
      <c r="P36" s="203">
        <v>630.54999999999995</v>
      </c>
      <c r="Q36" s="203" t="s">
        <v>29</v>
      </c>
      <c r="R36" s="203">
        <f>SUM(K36:Q36)</f>
        <v>10608.13</v>
      </c>
    </row>
    <row r="37" spans="1:18" s="359" customFormat="1" x14ac:dyDescent="0.2">
      <c r="A37" s="348" t="s">
        <v>285</v>
      </c>
      <c r="B37" s="203" t="s">
        <v>29</v>
      </c>
      <c r="C37" s="203" t="s">
        <v>29</v>
      </c>
      <c r="D37" s="203">
        <v>311.37</v>
      </c>
      <c r="E37" s="203">
        <v>725.42</v>
      </c>
      <c r="F37" s="203">
        <v>317.22000000000003</v>
      </c>
      <c r="G37" s="203">
        <v>2.54</v>
      </c>
      <c r="H37" s="203" t="s">
        <v>29</v>
      </c>
      <c r="I37" s="203">
        <f t="shared" si="3"/>
        <v>1356.55</v>
      </c>
      <c r="J37" s="197"/>
      <c r="K37" s="203" t="s">
        <v>29</v>
      </c>
      <c r="L37" s="203" t="s">
        <v>29</v>
      </c>
      <c r="M37" s="203" t="s">
        <v>29</v>
      </c>
      <c r="N37" s="203">
        <v>679.3</v>
      </c>
      <c r="O37" s="203">
        <v>1458.92</v>
      </c>
      <c r="P37" s="203">
        <v>22.54</v>
      </c>
      <c r="Q37" s="203" t="s">
        <v>29</v>
      </c>
      <c r="R37" s="203">
        <f t="shared" ref="R37:R49" si="4">SUM(K37:Q37)</f>
        <v>2160.7600000000002</v>
      </c>
    </row>
    <row r="38" spans="1:18" s="359" customFormat="1" x14ac:dyDescent="0.2">
      <c r="A38" s="348">
        <v>2009</v>
      </c>
      <c r="B38" s="203" t="s">
        <v>29</v>
      </c>
      <c r="C38" s="203" t="s">
        <v>29</v>
      </c>
      <c r="D38" s="203">
        <v>51.18</v>
      </c>
      <c r="E38" s="203">
        <v>1277.05</v>
      </c>
      <c r="F38" s="203">
        <v>1071.07</v>
      </c>
      <c r="G38" s="203">
        <v>47.25</v>
      </c>
      <c r="H38" s="203" t="s">
        <v>29</v>
      </c>
      <c r="I38" s="203">
        <f t="shared" si="3"/>
        <v>2446.5500000000002</v>
      </c>
      <c r="J38" s="197"/>
      <c r="K38" s="203" t="s">
        <v>29</v>
      </c>
      <c r="L38" s="203" t="s">
        <v>29</v>
      </c>
      <c r="M38" s="203">
        <v>118.04</v>
      </c>
      <c r="N38" s="203">
        <v>4806.9799999999996</v>
      </c>
      <c r="O38" s="203">
        <v>7499.52</v>
      </c>
      <c r="P38" s="203">
        <v>911.92</v>
      </c>
      <c r="Q38" s="203" t="s">
        <v>29</v>
      </c>
      <c r="R38" s="203">
        <f t="shared" si="4"/>
        <v>13336.460000000001</v>
      </c>
    </row>
    <row r="39" spans="1:18" s="359" customFormat="1" x14ac:dyDescent="0.2">
      <c r="A39" s="348">
        <v>2010</v>
      </c>
      <c r="B39" s="203" t="s">
        <v>29</v>
      </c>
      <c r="C39" s="203" t="s">
        <v>29</v>
      </c>
      <c r="D39" s="203">
        <v>144.34</v>
      </c>
      <c r="E39" s="203">
        <v>1572.79</v>
      </c>
      <c r="F39" s="203">
        <v>1452.5</v>
      </c>
      <c r="G39" s="203">
        <v>128.87</v>
      </c>
      <c r="H39" s="203" t="s">
        <v>29</v>
      </c>
      <c r="I39" s="203">
        <f t="shared" si="3"/>
        <v>3298.5</v>
      </c>
      <c r="J39" s="197"/>
      <c r="K39" s="203" t="s">
        <v>29</v>
      </c>
      <c r="L39" s="203" t="s">
        <v>29</v>
      </c>
      <c r="M39" s="203">
        <v>1.32</v>
      </c>
      <c r="N39" s="203">
        <v>1925.87</v>
      </c>
      <c r="O39" s="203">
        <v>1609.24</v>
      </c>
      <c r="P39" s="203">
        <v>150.19999999999999</v>
      </c>
      <c r="Q39" s="203" t="s">
        <v>29</v>
      </c>
      <c r="R39" s="203">
        <f t="shared" si="4"/>
        <v>3686.6299999999997</v>
      </c>
    </row>
    <row r="40" spans="1:18" s="359" customFormat="1" x14ac:dyDescent="0.2">
      <c r="A40" s="348">
        <v>2011</v>
      </c>
      <c r="B40" s="203" t="s">
        <v>29</v>
      </c>
      <c r="C40" s="203" t="s">
        <v>29</v>
      </c>
      <c r="D40" s="203">
        <v>257.42</v>
      </c>
      <c r="E40" s="203">
        <v>1382.23</v>
      </c>
      <c r="F40" s="203">
        <v>1329.69</v>
      </c>
      <c r="G40" s="203">
        <v>13.7</v>
      </c>
      <c r="H40" s="203" t="s">
        <v>29</v>
      </c>
      <c r="I40" s="203">
        <f t="shared" si="3"/>
        <v>2983.04</v>
      </c>
      <c r="J40" s="197"/>
      <c r="K40" s="203" t="s">
        <v>29</v>
      </c>
      <c r="L40" s="203" t="s">
        <v>29</v>
      </c>
      <c r="M40" s="203">
        <v>53.5</v>
      </c>
      <c r="N40" s="203">
        <v>1918.3</v>
      </c>
      <c r="O40" s="203">
        <v>942.62</v>
      </c>
      <c r="P40" s="203">
        <v>139.79</v>
      </c>
      <c r="Q40" s="203" t="s">
        <v>29</v>
      </c>
      <c r="R40" s="203">
        <f t="shared" si="4"/>
        <v>3054.21</v>
      </c>
    </row>
    <row r="41" spans="1:18" s="359" customFormat="1" x14ac:dyDescent="0.2">
      <c r="A41" s="348">
        <v>2012</v>
      </c>
      <c r="B41" s="203" t="s">
        <v>29</v>
      </c>
      <c r="C41" s="203" t="s">
        <v>29</v>
      </c>
      <c r="D41" s="203">
        <v>811.99</v>
      </c>
      <c r="E41" s="203">
        <v>3524.39</v>
      </c>
      <c r="F41" s="203">
        <v>1173.33</v>
      </c>
      <c r="G41" s="203">
        <v>41.96</v>
      </c>
      <c r="H41" s="203" t="s">
        <v>29</v>
      </c>
      <c r="I41" s="203">
        <f t="shared" si="3"/>
        <v>5551.67</v>
      </c>
      <c r="J41" s="197"/>
      <c r="K41" s="203" t="s">
        <v>29</v>
      </c>
      <c r="L41" s="203" t="s">
        <v>29</v>
      </c>
      <c r="M41" s="203">
        <v>27.25</v>
      </c>
      <c r="N41" s="203">
        <v>3642.76</v>
      </c>
      <c r="O41" s="203">
        <v>3094.33</v>
      </c>
      <c r="P41" s="203">
        <v>783.7</v>
      </c>
      <c r="Q41" s="203" t="s">
        <v>29</v>
      </c>
      <c r="R41" s="203">
        <f t="shared" si="4"/>
        <v>7548.04</v>
      </c>
    </row>
    <row r="42" spans="1:18" s="359" customFormat="1" x14ac:dyDescent="0.2">
      <c r="A42" s="348">
        <v>2013</v>
      </c>
      <c r="B42" s="203" t="s">
        <v>29</v>
      </c>
      <c r="C42" s="203">
        <v>126.69</v>
      </c>
      <c r="D42" s="203">
        <v>635.41999999999996</v>
      </c>
      <c r="E42" s="203">
        <v>3266.69</v>
      </c>
      <c r="F42" s="203">
        <v>2141.6999999999998</v>
      </c>
      <c r="G42" s="203">
        <v>74.34</v>
      </c>
      <c r="H42" s="203" t="s">
        <v>29</v>
      </c>
      <c r="I42" s="203">
        <f t="shared" si="3"/>
        <v>6244.84</v>
      </c>
      <c r="J42" s="197"/>
      <c r="K42" s="203" t="s">
        <v>29</v>
      </c>
      <c r="L42" s="203" t="s">
        <v>29</v>
      </c>
      <c r="M42" s="203">
        <v>257.07</v>
      </c>
      <c r="N42" s="203">
        <v>3081.81</v>
      </c>
      <c r="O42" s="203">
        <v>2934.37</v>
      </c>
      <c r="P42" s="203">
        <v>232.91</v>
      </c>
      <c r="Q42" s="203" t="s">
        <v>29</v>
      </c>
      <c r="R42" s="203">
        <f t="shared" si="4"/>
        <v>6506.16</v>
      </c>
    </row>
    <row r="43" spans="1:18" s="359" customFormat="1" x14ac:dyDescent="0.2">
      <c r="A43" s="348">
        <v>2014</v>
      </c>
      <c r="B43" s="203" t="s">
        <v>29</v>
      </c>
      <c r="C43" s="203">
        <v>158.1</v>
      </c>
      <c r="D43" s="203">
        <v>947.74</v>
      </c>
      <c r="E43" s="203">
        <v>3975.11</v>
      </c>
      <c r="F43" s="203">
        <v>805.97</v>
      </c>
      <c r="G43" s="203">
        <v>47.73</v>
      </c>
      <c r="H43" s="203" t="s">
        <v>29</v>
      </c>
      <c r="I43" s="203">
        <f t="shared" si="3"/>
        <v>5934.65</v>
      </c>
      <c r="J43" s="197"/>
      <c r="K43" s="203" t="s">
        <v>29</v>
      </c>
      <c r="L43" s="203" t="s">
        <v>29</v>
      </c>
      <c r="M43" s="203">
        <v>187.93</v>
      </c>
      <c r="N43" s="203">
        <v>1733.81</v>
      </c>
      <c r="O43" s="203">
        <v>2243.52</v>
      </c>
      <c r="P43" s="203">
        <v>1477.86</v>
      </c>
      <c r="Q43" s="203" t="s">
        <v>29</v>
      </c>
      <c r="R43" s="203">
        <f t="shared" si="4"/>
        <v>5643.12</v>
      </c>
    </row>
    <row r="44" spans="1:18" s="359" customFormat="1" x14ac:dyDescent="0.2">
      <c r="A44" s="348">
        <v>2015</v>
      </c>
      <c r="B44" s="203" t="s">
        <v>29</v>
      </c>
      <c r="C44" s="203">
        <v>95.83</v>
      </c>
      <c r="D44" s="203">
        <v>1577.15</v>
      </c>
      <c r="E44" s="203">
        <v>6195.94</v>
      </c>
      <c r="F44" s="203">
        <v>522.34</v>
      </c>
      <c r="G44" s="203">
        <v>106.54</v>
      </c>
      <c r="H44" s="203" t="s">
        <v>29</v>
      </c>
      <c r="I44" s="203">
        <f>SUM(B44:H44)</f>
        <v>8497.8000000000011</v>
      </c>
      <c r="J44" s="197"/>
      <c r="K44" s="203" t="s">
        <v>29</v>
      </c>
      <c r="L44" s="203" t="s">
        <v>29</v>
      </c>
      <c r="M44" s="203">
        <v>213.55</v>
      </c>
      <c r="N44" s="203">
        <v>2136.71</v>
      </c>
      <c r="O44" s="203">
        <v>1273.51</v>
      </c>
      <c r="P44" s="199">
        <v>4140</v>
      </c>
      <c r="Q44" s="203" t="s">
        <v>29</v>
      </c>
      <c r="R44" s="203">
        <f>SUM(K44:Q44)</f>
        <v>7763.77</v>
      </c>
    </row>
    <row r="45" spans="1:18" s="359" customFormat="1" x14ac:dyDescent="0.2">
      <c r="A45" s="348">
        <v>2016</v>
      </c>
      <c r="B45" s="203" t="s">
        <v>29</v>
      </c>
      <c r="C45" s="203" t="s">
        <v>29</v>
      </c>
      <c r="D45" s="203" t="s">
        <v>29</v>
      </c>
      <c r="E45" s="203">
        <v>3010.95</v>
      </c>
      <c r="F45" s="203">
        <v>254.88</v>
      </c>
      <c r="G45" s="203" t="s">
        <v>29</v>
      </c>
      <c r="H45" s="203" t="s">
        <v>29</v>
      </c>
      <c r="I45" s="203">
        <f>SUM(B45:H45)</f>
        <v>3265.83</v>
      </c>
      <c r="J45" s="197"/>
      <c r="K45" s="203" t="s">
        <v>29</v>
      </c>
      <c r="L45" s="203" t="s">
        <v>29</v>
      </c>
      <c r="M45" s="203" t="s">
        <v>29</v>
      </c>
      <c r="N45" s="203">
        <v>30.12</v>
      </c>
      <c r="O45" s="203">
        <v>23.34</v>
      </c>
      <c r="P45" s="199" t="s">
        <v>29</v>
      </c>
      <c r="Q45" s="203" t="s">
        <v>29</v>
      </c>
      <c r="R45" s="203">
        <f>SUM(K45:Q45)</f>
        <v>53.46</v>
      </c>
    </row>
    <row r="46" spans="1:18" s="359" customFormat="1" x14ac:dyDescent="0.2">
      <c r="A46" s="348">
        <v>2017</v>
      </c>
      <c r="B46" s="203" t="s">
        <v>29</v>
      </c>
      <c r="C46" s="203" t="s">
        <v>29</v>
      </c>
      <c r="D46" s="203">
        <v>243.76</v>
      </c>
      <c r="E46" s="203">
        <v>6133.98</v>
      </c>
      <c r="F46" s="203">
        <v>855.52</v>
      </c>
      <c r="G46" s="203">
        <v>53.91</v>
      </c>
      <c r="H46" s="203" t="s">
        <v>29</v>
      </c>
      <c r="I46" s="203">
        <f>SUM(B46:H46)</f>
        <v>7287.17</v>
      </c>
      <c r="J46" s="197"/>
      <c r="K46" s="203" t="s">
        <v>29</v>
      </c>
      <c r="L46" s="203" t="s">
        <v>29</v>
      </c>
      <c r="M46" s="203">
        <v>44.77</v>
      </c>
      <c r="N46" s="203">
        <v>1767.2</v>
      </c>
      <c r="O46" s="203">
        <v>1213.7</v>
      </c>
      <c r="P46" s="199">
        <v>507.01</v>
      </c>
      <c r="Q46" s="203" t="s">
        <v>29</v>
      </c>
      <c r="R46" s="203">
        <f>SUM(K46:Q46)</f>
        <v>3532.6800000000003</v>
      </c>
    </row>
    <row r="47" spans="1:18" s="359" customFormat="1" x14ac:dyDescent="0.2">
      <c r="A47" s="348">
        <v>2018</v>
      </c>
      <c r="B47" s="203" t="s">
        <v>29</v>
      </c>
      <c r="C47" s="203" t="s">
        <v>29</v>
      </c>
      <c r="D47" s="203">
        <v>351.74</v>
      </c>
      <c r="E47" s="203">
        <v>2268.5700000000002</v>
      </c>
      <c r="F47" s="203">
        <v>420.47</v>
      </c>
      <c r="G47" s="203" t="s">
        <v>29</v>
      </c>
      <c r="H47" s="203" t="s">
        <v>29</v>
      </c>
      <c r="I47" s="203">
        <f>SUM(B47:H47)</f>
        <v>3040.7800000000007</v>
      </c>
      <c r="J47" s="197"/>
      <c r="K47" s="203" t="s">
        <v>29</v>
      </c>
      <c r="L47" s="203" t="s">
        <v>29</v>
      </c>
      <c r="M47" s="203">
        <v>548.48</v>
      </c>
      <c r="N47" s="203">
        <v>3169.66</v>
      </c>
      <c r="O47" s="203">
        <v>1220.56</v>
      </c>
      <c r="P47" s="203" t="s">
        <v>29</v>
      </c>
      <c r="Q47" s="203" t="s">
        <v>29</v>
      </c>
      <c r="R47" s="203">
        <f>SUM(K47:Q47)</f>
        <v>4938.7</v>
      </c>
    </row>
    <row r="48" spans="1:18" s="487" customFormat="1" x14ac:dyDescent="0.2">
      <c r="A48" s="491">
        <v>2019</v>
      </c>
      <c r="B48" s="203" t="s">
        <v>29</v>
      </c>
      <c r="C48" s="203" t="s">
        <v>29</v>
      </c>
      <c r="D48" s="203">
        <v>1474.38</v>
      </c>
      <c r="E48" s="203">
        <v>2384.63</v>
      </c>
      <c r="F48" s="203" t="s">
        <v>29</v>
      </c>
      <c r="G48" s="203" t="s">
        <v>29</v>
      </c>
      <c r="H48" s="203" t="s">
        <v>29</v>
      </c>
      <c r="I48" s="203">
        <f t="shared" ref="I48" si="5">SUM(B48:H48)</f>
        <v>3859.01</v>
      </c>
      <c r="J48" s="197"/>
      <c r="K48" s="203" t="s">
        <v>29</v>
      </c>
      <c r="L48" s="203" t="s">
        <v>29</v>
      </c>
      <c r="M48" s="203">
        <v>753.88</v>
      </c>
      <c r="N48" s="203">
        <v>3343.59</v>
      </c>
      <c r="O48" s="203">
        <v>1763.54</v>
      </c>
      <c r="P48" s="203">
        <v>318.23</v>
      </c>
      <c r="Q48" s="203" t="s">
        <v>29</v>
      </c>
      <c r="R48" s="203">
        <f t="shared" ref="R48" si="6">SUM(K48:Q48)</f>
        <v>6179.24</v>
      </c>
    </row>
    <row r="49" spans="1:18" x14ac:dyDescent="0.2">
      <c r="A49" s="496" t="s">
        <v>396</v>
      </c>
      <c r="B49" s="200" t="s">
        <v>29</v>
      </c>
      <c r="C49" s="200" t="s">
        <v>29</v>
      </c>
      <c r="D49" s="200">
        <v>550.71</v>
      </c>
      <c r="E49" s="200">
        <v>1400.36</v>
      </c>
      <c r="F49" s="200">
        <v>49.42</v>
      </c>
      <c r="G49" s="203" t="s">
        <v>29</v>
      </c>
      <c r="H49" s="203" t="s">
        <v>29</v>
      </c>
      <c r="I49" s="200">
        <f t="shared" si="3"/>
        <v>2000.49</v>
      </c>
      <c r="K49" s="200" t="s">
        <v>29</v>
      </c>
      <c r="L49" s="203" t="s">
        <v>29</v>
      </c>
      <c r="M49" s="200">
        <v>49.98</v>
      </c>
      <c r="N49" s="200">
        <v>2381.15</v>
      </c>
      <c r="O49" s="200">
        <v>623.66</v>
      </c>
      <c r="P49" s="203" t="s">
        <v>29</v>
      </c>
      <c r="Q49" s="200" t="s">
        <v>29</v>
      </c>
      <c r="R49" s="200">
        <f t="shared" si="4"/>
        <v>3054.79</v>
      </c>
    </row>
    <row r="51" spans="1:18" x14ac:dyDescent="0.2">
      <c r="A51" s="116" t="s">
        <v>66</v>
      </c>
    </row>
    <row r="52" spans="1:18" x14ac:dyDescent="0.2">
      <c r="A52" s="371">
        <v>1976</v>
      </c>
      <c r="B52" s="200" t="s">
        <v>29</v>
      </c>
      <c r="C52" s="200">
        <v>37</v>
      </c>
      <c r="D52" s="200">
        <v>647</v>
      </c>
      <c r="E52" s="200">
        <v>2266</v>
      </c>
      <c r="F52" s="200">
        <v>2660</v>
      </c>
      <c r="G52" s="200">
        <v>1322</v>
      </c>
      <c r="H52" s="200">
        <v>14</v>
      </c>
      <c r="I52" s="200">
        <f t="shared" ref="I52:I69" si="7">SUM(B52:H52)</f>
        <v>6946</v>
      </c>
      <c r="K52" s="200" t="s">
        <v>29</v>
      </c>
      <c r="L52" s="200">
        <v>486</v>
      </c>
      <c r="M52" s="200">
        <v>2741</v>
      </c>
      <c r="N52" s="200">
        <v>17040</v>
      </c>
      <c r="O52" s="200">
        <v>32632</v>
      </c>
      <c r="P52" s="200">
        <v>10059</v>
      </c>
      <c r="Q52" s="200">
        <v>90</v>
      </c>
      <c r="R52" s="200">
        <f t="shared" ref="R52:R69" si="8">SUM(K52:Q52)</f>
        <v>63048</v>
      </c>
    </row>
    <row r="53" spans="1:18" x14ac:dyDescent="0.2">
      <c r="A53" s="371">
        <v>1977</v>
      </c>
      <c r="B53" s="198">
        <v>0</v>
      </c>
      <c r="C53" s="198">
        <v>0</v>
      </c>
      <c r="D53" s="200">
        <v>61</v>
      </c>
      <c r="E53" s="200">
        <v>765</v>
      </c>
      <c r="F53" s="200">
        <v>1674</v>
      </c>
      <c r="G53" s="200">
        <v>230</v>
      </c>
      <c r="H53" s="200">
        <v>4</v>
      </c>
      <c r="I53" s="200">
        <f t="shared" si="7"/>
        <v>2734</v>
      </c>
      <c r="K53" s="198">
        <v>0</v>
      </c>
      <c r="L53" s="200">
        <v>528</v>
      </c>
      <c r="M53" s="200">
        <v>1308</v>
      </c>
      <c r="N53" s="200">
        <v>9445</v>
      </c>
      <c r="O53" s="200">
        <v>18571</v>
      </c>
      <c r="P53" s="200">
        <v>2712</v>
      </c>
      <c r="Q53" s="200">
        <v>40</v>
      </c>
      <c r="R53" s="200">
        <f t="shared" si="8"/>
        <v>32604</v>
      </c>
    </row>
    <row r="54" spans="1:18" x14ac:dyDescent="0.2">
      <c r="A54" s="371">
        <v>1978</v>
      </c>
      <c r="B54" s="198">
        <v>0</v>
      </c>
      <c r="C54" s="198">
        <v>0</v>
      </c>
      <c r="D54" s="200">
        <v>14</v>
      </c>
      <c r="E54" s="200">
        <v>790</v>
      </c>
      <c r="F54" s="200">
        <v>1394</v>
      </c>
      <c r="G54" s="200">
        <v>89</v>
      </c>
      <c r="H54" s="200">
        <v>387</v>
      </c>
      <c r="I54" s="200">
        <f t="shared" si="7"/>
        <v>2674</v>
      </c>
      <c r="K54" s="200">
        <v>43</v>
      </c>
      <c r="L54" s="200">
        <v>129</v>
      </c>
      <c r="M54" s="200">
        <v>2090</v>
      </c>
      <c r="N54" s="200">
        <v>7710</v>
      </c>
      <c r="O54" s="200">
        <v>9015</v>
      </c>
      <c r="P54" s="200">
        <v>2746</v>
      </c>
      <c r="Q54" s="198">
        <v>0</v>
      </c>
      <c r="R54" s="200">
        <f t="shared" si="8"/>
        <v>21733</v>
      </c>
    </row>
    <row r="55" spans="1:18" x14ac:dyDescent="0.2">
      <c r="A55" s="371">
        <v>1979</v>
      </c>
      <c r="B55" s="200" t="s">
        <v>29</v>
      </c>
      <c r="C55" s="200">
        <v>1</v>
      </c>
      <c r="D55" s="200">
        <v>25</v>
      </c>
      <c r="E55" s="200">
        <v>433</v>
      </c>
      <c r="F55" s="200">
        <v>516</v>
      </c>
      <c r="G55" s="198">
        <v>0</v>
      </c>
      <c r="H55" s="198" t="s">
        <v>29</v>
      </c>
      <c r="I55" s="198">
        <f t="shared" si="7"/>
        <v>975</v>
      </c>
      <c r="J55" s="31"/>
      <c r="K55" s="198" t="s">
        <v>29</v>
      </c>
      <c r="L55" s="198">
        <v>57</v>
      </c>
      <c r="M55" s="198">
        <v>196</v>
      </c>
      <c r="N55" s="198">
        <v>2880</v>
      </c>
      <c r="O55" s="198">
        <v>8435</v>
      </c>
      <c r="P55" s="198">
        <v>0</v>
      </c>
      <c r="Q55" s="200" t="s">
        <v>29</v>
      </c>
      <c r="R55" s="200">
        <f t="shared" si="8"/>
        <v>11568</v>
      </c>
    </row>
    <row r="56" spans="1:18" x14ac:dyDescent="0.2">
      <c r="A56" s="371">
        <v>1980</v>
      </c>
      <c r="B56" s="200" t="s">
        <v>29</v>
      </c>
      <c r="C56" s="198">
        <v>0</v>
      </c>
      <c r="D56" s="200">
        <v>56</v>
      </c>
      <c r="E56" s="200">
        <v>487</v>
      </c>
      <c r="F56" s="200">
        <v>346</v>
      </c>
      <c r="G56" s="200" t="s">
        <v>29</v>
      </c>
      <c r="H56" s="200" t="s">
        <v>29</v>
      </c>
      <c r="I56" s="200">
        <f t="shared" si="7"/>
        <v>889</v>
      </c>
      <c r="K56" s="200" t="s">
        <v>29</v>
      </c>
      <c r="L56" s="200">
        <v>156</v>
      </c>
      <c r="M56" s="200">
        <v>2018</v>
      </c>
      <c r="N56" s="200">
        <v>5854</v>
      </c>
      <c r="O56" s="200">
        <v>7337</v>
      </c>
      <c r="P56" s="200" t="s">
        <v>29</v>
      </c>
      <c r="Q56" s="200" t="s">
        <v>29</v>
      </c>
      <c r="R56" s="200">
        <f t="shared" si="8"/>
        <v>15365</v>
      </c>
    </row>
    <row r="57" spans="1:18" x14ac:dyDescent="0.2">
      <c r="A57" s="371">
        <v>1981</v>
      </c>
      <c r="B57" s="200" t="s">
        <v>29</v>
      </c>
      <c r="C57" s="198">
        <v>0</v>
      </c>
      <c r="D57" s="198">
        <v>0</v>
      </c>
      <c r="E57" s="198">
        <v>0</v>
      </c>
      <c r="F57" s="200">
        <v>75</v>
      </c>
      <c r="G57" s="200" t="s">
        <v>29</v>
      </c>
      <c r="H57" s="200" t="s">
        <v>29</v>
      </c>
      <c r="I57" s="200">
        <f t="shared" si="7"/>
        <v>75</v>
      </c>
      <c r="K57" s="200" t="s">
        <v>29</v>
      </c>
      <c r="L57" s="198">
        <v>0</v>
      </c>
      <c r="M57" s="198">
        <v>0</v>
      </c>
      <c r="N57" s="198">
        <v>0</v>
      </c>
      <c r="O57" s="200">
        <v>1323</v>
      </c>
      <c r="P57" s="200" t="s">
        <v>29</v>
      </c>
      <c r="Q57" s="200" t="s">
        <v>29</v>
      </c>
      <c r="R57" s="200">
        <f t="shared" si="8"/>
        <v>1323</v>
      </c>
    </row>
    <row r="58" spans="1:18" x14ac:dyDescent="0.2">
      <c r="A58" s="371">
        <v>1982</v>
      </c>
      <c r="B58" s="200" t="s">
        <v>29</v>
      </c>
      <c r="C58" s="198">
        <v>0</v>
      </c>
      <c r="D58" s="198">
        <v>16</v>
      </c>
      <c r="E58" s="198">
        <v>448</v>
      </c>
      <c r="F58" s="200">
        <v>534</v>
      </c>
      <c r="G58" s="200" t="s">
        <v>29</v>
      </c>
      <c r="H58" s="200" t="s">
        <v>29</v>
      </c>
      <c r="I58" s="200">
        <f t="shared" si="7"/>
        <v>998</v>
      </c>
      <c r="K58" s="200" t="s">
        <v>29</v>
      </c>
      <c r="L58" s="200" t="s">
        <v>29</v>
      </c>
      <c r="M58" s="200">
        <v>207</v>
      </c>
      <c r="N58" s="200">
        <v>3132</v>
      </c>
      <c r="O58" s="200">
        <v>5498</v>
      </c>
      <c r="P58" s="200" t="s">
        <v>29</v>
      </c>
      <c r="Q58" s="200" t="s">
        <v>29</v>
      </c>
      <c r="R58" s="200">
        <f t="shared" si="8"/>
        <v>8837</v>
      </c>
    </row>
    <row r="59" spans="1:18" x14ac:dyDescent="0.2">
      <c r="A59" s="371">
        <v>1983</v>
      </c>
      <c r="B59" s="200" t="s">
        <v>29</v>
      </c>
      <c r="C59" s="200" t="s">
        <v>29</v>
      </c>
      <c r="D59" s="200" t="s">
        <v>29</v>
      </c>
      <c r="E59" s="200">
        <v>44</v>
      </c>
      <c r="F59" s="200">
        <v>87</v>
      </c>
      <c r="G59" s="198">
        <v>8</v>
      </c>
      <c r="H59" s="200" t="s">
        <v>29</v>
      </c>
      <c r="I59" s="200">
        <f t="shared" si="7"/>
        <v>139</v>
      </c>
      <c r="K59" s="200" t="s">
        <v>29</v>
      </c>
      <c r="L59" s="200" t="s">
        <v>29</v>
      </c>
      <c r="M59" s="200" t="s">
        <v>29</v>
      </c>
      <c r="N59" s="200">
        <v>571</v>
      </c>
      <c r="O59" s="200">
        <v>5845</v>
      </c>
      <c r="P59" s="200">
        <v>502</v>
      </c>
      <c r="Q59" s="200" t="s">
        <v>29</v>
      </c>
      <c r="R59" s="200">
        <f t="shared" si="8"/>
        <v>6918</v>
      </c>
    </row>
    <row r="60" spans="1:18" x14ac:dyDescent="0.2">
      <c r="A60" s="371">
        <v>1984</v>
      </c>
      <c r="B60" s="200" t="s">
        <v>29</v>
      </c>
      <c r="C60" s="200" t="s">
        <v>29</v>
      </c>
      <c r="D60" s="200" t="s">
        <v>29</v>
      </c>
      <c r="E60" s="200">
        <v>3</v>
      </c>
      <c r="F60" s="200">
        <v>7</v>
      </c>
      <c r="G60" s="200" t="s">
        <v>29</v>
      </c>
      <c r="H60" s="200" t="s">
        <v>29</v>
      </c>
      <c r="I60" s="200">
        <f t="shared" si="7"/>
        <v>10</v>
      </c>
      <c r="K60" s="200" t="s">
        <v>29</v>
      </c>
      <c r="L60" s="200" t="s">
        <v>29</v>
      </c>
      <c r="M60" s="200" t="s">
        <v>29</v>
      </c>
      <c r="N60" s="200">
        <v>44</v>
      </c>
      <c r="O60" s="200">
        <v>113</v>
      </c>
      <c r="P60" s="200" t="s">
        <v>29</v>
      </c>
      <c r="Q60" s="200" t="s">
        <v>29</v>
      </c>
      <c r="R60" s="200">
        <f t="shared" si="8"/>
        <v>157</v>
      </c>
    </row>
    <row r="61" spans="1:18" x14ac:dyDescent="0.2">
      <c r="A61" s="371">
        <v>1985</v>
      </c>
      <c r="B61" s="200" t="s">
        <v>29</v>
      </c>
      <c r="C61" s="200" t="s">
        <v>29</v>
      </c>
      <c r="D61" s="200">
        <v>5</v>
      </c>
      <c r="E61" s="200">
        <v>166</v>
      </c>
      <c r="F61" s="200">
        <v>129</v>
      </c>
      <c r="G61" s="200" t="s">
        <v>29</v>
      </c>
      <c r="H61" s="200" t="s">
        <v>29</v>
      </c>
      <c r="I61" s="200">
        <f t="shared" si="7"/>
        <v>300</v>
      </c>
      <c r="K61" s="200" t="s">
        <v>29</v>
      </c>
      <c r="L61" s="200" t="s">
        <v>29</v>
      </c>
      <c r="M61" s="200">
        <v>10</v>
      </c>
      <c r="N61" s="200">
        <v>557</v>
      </c>
      <c r="O61" s="200">
        <v>1153</v>
      </c>
      <c r="P61" s="200">
        <v>0</v>
      </c>
      <c r="Q61" s="200" t="s">
        <v>29</v>
      </c>
      <c r="R61" s="200">
        <f t="shared" si="8"/>
        <v>1720</v>
      </c>
    </row>
    <row r="62" spans="1:18" x14ac:dyDescent="0.2">
      <c r="A62" s="371">
        <v>1986</v>
      </c>
      <c r="B62" s="200" t="s">
        <v>29</v>
      </c>
      <c r="C62" s="200" t="s">
        <v>29</v>
      </c>
      <c r="D62" s="200">
        <v>2</v>
      </c>
      <c r="E62" s="200">
        <v>138</v>
      </c>
      <c r="F62" s="200">
        <v>199</v>
      </c>
      <c r="G62" s="200" t="s">
        <v>29</v>
      </c>
      <c r="H62" s="200" t="s">
        <v>29</v>
      </c>
      <c r="I62" s="200">
        <f t="shared" si="7"/>
        <v>339</v>
      </c>
      <c r="K62" s="200" t="s">
        <v>29</v>
      </c>
      <c r="L62" s="200" t="s">
        <v>29</v>
      </c>
      <c r="M62" s="200">
        <v>78</v>
      </c>
      <c r="N62" s="200">
        <v>1141</v>
      </c>
      <c r="O62" s="200">
        <v>995</v>
      </c>
      <c r="P62" s="200" t="s">
        <v>29</v>
      </c>
      <c r="Q62" s="200" t="s">
        <v>29</v>
      </c>
      <c r="R62" s="200">
        <f t="shared" si="8"/>
        <v>2214</v>
      </c>
    </row>
    <row r="63" spans="1:18" x14ac:dyDescent="0.2">
      <c r="A63" s="371">
        <v>1987</v>
      </c>
      <c r="B63" s="200" t="s">
        <v>29</v>
      </c>
      <c r="C63" s="200" t="s">
        <v>29</v>
      </c>
      <c r="D63" s="200">
        <v>17</v>
      </c>
      <c r="E63" s="200">
        <v>193</v>
      </c>
      <c r="F63" s="198">
        <v>4</v>
      </c>
      <c r="G63" s="200" t="s">
        <v>29</v>
      </c>
      <c r="H63" s="200" t="s">
        <v>29</v>
      </c>
      <c r="I63" s="200">
        <f t="shared" si="7"/>
        <v>214</v>
      </c>
      <c r="K63" s="200" t="s">
        <v>29</v>
      </c>
      <c r="L63" s="200" t="s">
        <v>29</v>
      </c>
      <c r="M63" s="200">
        <v>30</v>
      </c>
      <c r="N63" s="200">
        <v>1478</v>
      </c>
      <c r="O63" s="200">
        <v>1233</v>
      </c>
      <c r="P63" s="200" t="s">
        <v>29</v>
      </c>
      <c r="Q63" s="200" t="s">
        <v>29</v>
      </c>
      <c r="R63" s="200">
        <f t="shared" si="8"/>
        <v>2741</v>
      </c>
    </row>
    <row r="64" spans="1:18" x14ac:dyDescent="0.2">
      <c r="A64" s="371">
        <v>1988</v>
      </c>
      <c r="B64" s="200" t="s">
        <v>29</v>
      </c>
      <c r="C64" s="200" t="s">
        <v>29</v>
      </c>
      <c r="D64" s="200" t="s">
        <v>29</v>
      </c>
      <c r="E64" s="200">
        <v>527</v>
      </c>
      <c r="F64" s="200">
        <v>34</v>
      </c>
      <c r="G64" s="200">
        <v>13</v>
      </c>
      <c r="H64" s="200" t="s">
        <v>29</v>
      </c>
      <c r="I64" s="200">
        <f t="shared" si="7"/>
        <v>574</v>
      </c>
      <c r="K64" s="200" t="s">
        <v>29</v>
      </c>
      <c r="L64" s="200" t="s">
        <v>29</v>
      </c>
      <c r="M64" s="200" t="s">
        <v>29</v>
      </c>
      <c r="N64" s="200">
        <v>2243</v>
      </c>
      <c r="O64" s="200">
        <v>453</v>
      </c>
      <c r="P64" s="200">
        <v>71</v>
      </c>
      <c r="Q64" s="200" t="s">
        <v>29</v>
      </c>
      <c r="R64" s="200">
        <f t="shared" si="8"/>
        <v>2767</v>
      </c>
    </row>
    <row r="65" spans="1:18" x14ac:dyDescent="0.2">
      <c r="A65" s="371">
        <v>1989</v>
      </c>
      <c r="B65" s="200" t="s">
        <v>29</v>
      </c>
      <c r="C65" s="200">
        <v>9</v>
      </c>
      <c r="D65" s="200">
        <v>12</v>
      </c>
      <c r="E65" s="200">
        <v>205</v>
      </c>
      <c r="F65" s="200" t="s">
        <v>29</v>
      </c>
      <c r="G65" s="200" t="s">
        <v>29</v>
      </c>
      <c r="H65" s="200" t="s">
        <v>29</v>
      </c>
      <c r="I65" s="200">
        <f t="shared" si="7"/>
        <v>226</v>
      </c>
      <c r="K65" s="200" t="s">
        <v>29</v>
      </c>
      <c r="L65" s="200" t="s">
        <v>29</v>
      </c>
      <c r="M65" s="198">
        <v>2</v>
      </c>
      <c r="N65" s="200">
        <v>2177</v>
      </c>
      <c r="O65" s="200" t="s">
        <v>29</v>
      </c>
      <c r="P65" s="200" t="s">
        <v>29</v>
      </c>
      <c r="Q65" s="200" t="s">
        <v>29</v>
      </c>
      <c r="R65" s="200">
        <f t="shared" si="8"/>
        <v>2179</v>
      </c>
    </row>
    <row r="66" spans="1:18" x14ac:dyDescent="0.2">
      <c r="A66" s="371">
        <v>1990</v>
      </c>
      <c r="B66" s="200" t="s">
        <v>29</v>
      </c>
      <c r="C66" s="200" t="s">
        <v>29</v>
      </c>
      <c r="D66" s="200" t="s">
        <v>29</v>
      </c>
      <c r="E66" s="200">
        <v>450</v>
      </c>
      <c r="F66" s="200">
        <v>133</v>
      </c>
      <c r="G66" s="200">
        <v>17</v>
      </c>
      <c r="H66" s="200" t="s">
        <v>29</v>
      </c>
      <c r="I66" s="200">
        <f t="shared" si="7"/>
        <v>600</v>
      </c>
      <c r="K66" s="200" t="s">
        <v>29</v>
      </c>
      <c r="L66" s="200" t="s">
        <v>29</v>
      </c>
      <c r="M66" s="200" t="s">
        <v>29</v>
      </c>
      <c r="N66" s="200">
        <v>3608</v>
      </c>
      <c r="O66" s="200">
        <v>1421</v>
      </c>
      <c r="P66" s="200">
        <v>178</v>
      </c>
      <c r="Q66" s="200" t="s">
        <v>29</v>
      </c>
      <c r="R66" s="200">
        <f t="shared" si="8"/>
        <v>5207</v>
      </c>
    </row>
    <row r="67" spans="1:18" x14ac:dyDescent="0.2">
      <c r="A67" s="371">
        <v>1991</v>
      </c>
      <c r="B67" s="200" t="s">
        <v>29</v>
      </c>
      <c r="C67" s="200" t="s">
        <v>29</v>
      </c>
      <c r="D67" s="200" t="s">
        <v>29</v>
      </c>
      <c r="E67" s="200">
        <v>411</v>
      </c>
      <c r="F67" s="200" t="s">
        <v>29</v>
      </c>
      <c r="G67" s="200" t="s">
        <v>29</v>
      </c>
      <c r="H67" s="200" t="s">
        <v>29</v>
      </c>
      <c r="I67" s="200">
        <f t="shared" si="7"/>
        <v>411</v>
      </c>
      <c r="K67" s="200" t="s">
        <v>29</v>
      </c>
      <c r="L67" s="200" t="s">
        <v>29</v>
      </c>
      <c r="M67" s="200" t="s">
        <v>29</v>
      </c>
      <c r="N67" s="200">
        <v>5145</v>
      </c>
      <c r="O67" s="198">
        <v>13</v>
      </c>
      <c r="P67" s="200" t="s">
        <v>29</v>
      </c>
      <c r="Q67" s="200" t="s">
        <v>29</v>
      </c>
      <c r="R67" s="200">
        <f t="shared" si="8"/>
        <v>5158</v>
      </c>
    </row>
    <row r="68" spans="1:18" x14ac:dyDescent="0.2">
      <c r="A68" s="371">
        <v>1992</v>
      </c>
      <c r="B68" s="200" t="s">
        <v>29</v>
      </c>
      <c r="C68" s="200" t="s">
        <v>29</v>
      </c>
      <c r="D68" s="200" t="s">
        <v>29</v>
      </c>
      <c r="E68" s="200">
        <v>126</v>
      </c>
      <c r="F68" s="200">
        <v>43</v>
      </c>
      <c r="G68" s="200">
        <v>31</v>
      </c>
      <c r="H68" s="200">
        <v>2</v>
      </c>
      <c r="I68" s="200">
        <f t="shared" si="7"/>
        <v>202</v>
      </c>
      <c r="K68" s="200" t="s">
        <v>29</v>
      </c>
      <c r="L68" s="200" t="s">
        <v>29</v>
      </c>
      <c r="M68" s="200" t="s">
        <v>29</v>
      </c>
      <c r="N68" s="200">
        <v>1152</v>
      </c>
      <c r="O68" s="200">
        <v>447</v>
      </c>
      <c r="P68" s="200">
        <v>225</v>
      </c>
      <c r="Q68" s="200">
        <v>2</v>
      </c>
      <c r="R68" s="200">
        <f t="shared" si="8"/>
        <v>1826</v>
      </c>
    </row>
    <row r="69" spans="1:18" x14ac:dyDescent="0.2">
      <c r="A69" s="371">
        <v>1993</v>
      </c>
      <c r="B69" s="200" t="s">
        <v>29</v>
      </c>
      <c r="C69" s="200" t="s">
        <v>29</v>
      </c>
      <c r="D69" s="200" t="s">
        <v>29</v>
      </c>
      <c r="E69" s="200">
        <v>108</v>
      </c>
      <c r="F69" s="200">
        <v>44</v>
      </c>
      <c r="G69" s="200">
        <v>54</v>
      </c>
      <c r="H69" s="200" t="s">
        <v>29</v>
      </c>
      <c r="I69" s="200">
        <f t="shared" si="7"/>
        <v>206</v>
      </c>
      <c r="K69" s="200" t="s">
        <v>29</v>
      </c>
      <c r="L69" s="200" t="s">
        <v>29</v>
      </c>
      <c r="M69" s="200" t="s">
        <v>29</v>
      </c>
      <c r="N69" s="200">
        <v>2000</v>
      </c>
      <c r="O69" s="200">
        <v>733</v>
      </c>
      <c r="P69" s="200">
        <v>446</v>
      </c>
      <c r="Q69" s="200" t="s">
        <v>29</v>
      </c>
      <c r="R69" s="200">
        <f t="shared" si="8"/>
        <v>3179</v>
      </c>
    </row>
    <row r="70" spans="1:18" x14ac:dyDescent="0.2">
      <c r="A70" s="371">
        <v>1994</v>
      </c>
      <c r="B70" s="200" t="s">
        <v>29</v>
      </c>
      <c r="C70" s="200" t="s">
        <v>29</v>
      </c>
      <c r="D70" s="200" t="s">
        <v>29</v>
      </c>
      <c r="E70" s="200" t="s">
        <v>29</v>
      </c>
      <c r="F70" s="200" t="s">
        <v>29</v>
      </c>
      <c r="G70" s="200" t="s">
        <v>29</v>
      </c>
      <c r="H70" s="200" t="s">
        <v>29</v>
      </c>
      <c r="I70" s="200" t="s">
        <v>29</v>
      </c>
      <c r="K70" s="200" t="s">
        <v>29</v>
      </c>
      <c r="L70" s="200" t="s">
        <v>29</v>
      </c>
      <c r="M70" s="200" t="s">
        <v>29</v>
      </c>
      <c r="N70" s="200" t="s">
        <v>29</v>
      </c>
      <c r="O70" s="200" t="s">
        <v>29</v>
      </c>
      <c r="P70" s="200" t="s">
        <v>29</v>
      </c>
      <c r="Q70" s="200" t="s">
        <v>29</v>
      </c>
      <c r="R70" s="200" t="s">
        <v>29</v>
      </c>
    </row>
    <row r="71" spans="1:18" x14ac:dyDescent="0.2">
      <c r="A71" s="371">
        <v>1995</v>
      </c>
      <c r="B71" s="200" t="s">
        <v>29</v>
      </c>
      <c r="C71" s="200" t="s">
        <v>29</v>
      </c>
      <c r="D71" s="200" t="s">
        <v>29</v>
      </c>
      <c r="E71" s="200" t="s">
        <v>29</v>
      </c>
      <c r="F71" s="198">
        <v>7</v>
      </c>
      <c r="G71" s="198">
        <v>3</v>
      </c>
      <c r="H71" s="200" t="s">
        <v>29</v>
      </c>
      <c r="I71" s="200">
        <f t="shared" ref="I71:I96" si="9">SUM(B71:H71)</f>
        <v>10</v>
      </c>
      <c r="K71" s="200" t="s">
        <v>29</v>
      </c>
      <c r="L71" s="200" t="s">
        <v>29</v>
      </c>
      <c r="M71" s="200" t="s">
        <v>29</v>
      </c>
      <c r="N71" s="200" t="s">
        <v>29</v>
      </c>
      <c r="O71" s="200">
        <v>1231</v>
      </c>
      <c r="P71" s="200">
        <v>660</v>
      </c>
      <c r="Q71" s="200" t="s">
        <v>29</v>
      </c>
      <c r="R71" s="200">
        <f t="shared" ref="R71:R82" si="10">SUM(K71:Q71)</f>
        <v>1891</v>
      </c>
    </row>
    <row r="72" spans="1:18" x14ac:dyDescent="0.2">
      <c r="A72" s="371">
        <v>1996</v>
      </c>
      <c r="B72" s="200" t="s">
        <v>29</v>
      </c>
      <c r="C72" s="200" t="s">
        <v>29</v>
      </c>
      <c r="D72" s="200" t="s">
        <v>29</v>
      </c>
      <c r="E72" s="200" t="s">
        <v>29</v>
      </c>
      <c r="F72" s="198">
        <v>2</v>
      </c>
      <c r="G72" s="198">
        <v>7</v>
      </c>
      <c r="H72" s="200" t="s">
        <v>29</v>
      </c>
      <c r="I72" s="200">
        <f t="shared" si="9"/>
        <v>9</v>
      </c>
      <c r="K72" s="200" t="s">
        <v>29</v>
      </c>
      <c r="L72" s="200" t="s">
        <v>29</v>
      </c>
      <c r="M72" s="200" t="s">
        <v>29</v>
      </c>
      <c r="N72" s="200" t="s">
        <v>29</v>
      </c>
      <c r="O72" s="200">
        <v>802</v>
      </c>
      <c r="P72" s="200">
        <v>809</v>
      </c>
      <c r="Q72" s="200" t="s">
        <v>29</v>
      </c>
      <c r="R72" s="200">
        <f t="shared" si="10"/>
        <v>1611</v>
      </c>
    </row>
    <row r="73" spans="1:18" x14ac:dyDescent="0.2">
      <c r="A73" s="371">
        <v>1997</v>
      </c>
      <c r="B73" s="200" t="s">
        <v>29</v>
      </c>
      <c r="C73" s="200" t="s">
        <v>29</v>
      </c>
      <c r="D73" s="200" t="s">
        <v>29</v>
      </c>
      <c r="E73" s="200">
        <v>61</v>
      </c>
      <c r="F73" s="200">
        <v>0</v>
      </c>
      <c r="G73" s="200" t="s">
        <v>29</v>
      </c>
      <c r="H73" s="200" t="s">
        <v>29</v>
      </c>
      <c r="I73" s="200">
        <f t="shared" si="9"/>
        <v>61</v>
      </c>
      <c r="K73" s="200" t="s">
        <v>29</v>
      </c>
      <c r="L73" s="200" t="s">
        <v>29</v>
      </c>
      <c r="M73" s="200" t="s">
        <v>29</v>
      </c>
      <c r="N73" s="200">
        <v>1057</v>
      </c>
      <c r="O73" s="200">
        <v>0</v>
      </c>
      <c r="P73" s="200" t="s">
        <v>29</v>
      </c>
      <c r="Q73" s="200" t="s">
        <v>29</v>
      </c>
      <c r="R73" s="200">
        <f t="shared" si="10"/>
        <v>1057</v>
      </c>
    </row>
    <row r="74" spans="1:18" x14ac:dyDescent="0.2">
      <c r="A74" s="371">
        <v>1998</v>
      </c>
      <c r="B74" s="200" t="s">
        <v>29</v>
      </c>
      <c r="C74" s="200" t="s">
        <v>29</v>
      </c>
      <c r="D74" s="200" t="s">
        <v>29</v>
      </c>
      <c r="E74" s="200" t="s">
        <v>29</v>
      </c>
      <c r="F74" s="200">
        <v>65</v>
      </c>
      <c r="G74" s="200" t="s">
        <v>29</v>
      </c>
      <c r="H74" s="200" t="s">
        <v>29</v>
      </c>
      <c r="I74" s="200">
        <f t="shared" si="9"/>
        <v>65</v>
      </c>
      <c r="K74" s="200" t="s">
        <v>29</v>
      </c>
      <c r="L74" s="200" t="s">
        <v>29</v>
      </c>
      <c r="M74" s="200" t="s">
        <v>29</v>
      </c>
      <c r="N74" s="200" t="s">
        <v>29</v>
      </c>
      <c r="O74" s="200">
        <v>577</v>
      </c>
      <c r="P74" s="200" t="s">
        <v>29</v>
      </c>
      <c r="Q74" s="200" t="s">
        <v>29</v>
      </c>
      <c r="R74" s="200">
        <f t="shared" si="10"/>
        <v>577</v>
      </c>
    </row>
    <row r="75" spans="1:18" x14ac:dyDescent="0.2">
      <c r="A75" s="371">
        <v>1999</v>
      </c>
      <c r="B75" s="200" t="s">
        <v>29</v>
      </c>
      <c r="C75" s="200" t="s">
        <v>29</v>
      </c>
      <c r="D75" s="200" t="s">
        <v>29</v>
      </c>
      <c r="E75" s="200">
        <v>396</v>
      </c>
      <c r="F75" s="200">
        <v>488</v>
      </c>
      <c r="G75" s="200">
        <v>100</v>
      </c>
      <c r="H75" s="200" t="s">
        <v>29</v>
      </c>
      <c r="I75" s="200">
        <f t="shared" si="9"/>
        <v>984</v>
      </c>
      <c r="K75" s="200" t="s">
        <v>29</v>
      </c>
      <c r="L75" s="200" t="s">
        <v>29</v>
      </c>
      <c r="M75" s="200" t="s">
        <v>29</v>
      </c>
      <c r="N75" s="200">
        <v>661</v>
      </c>
      <c r="O75" s="200">
        <v>1318</v>
      </c>
      <c r="P75" s="200">
        <v>598</v>
      </c>
      <c r="Q75" s="200" t="s">
        <v>29</v>
      </c>
      <c r="R75" s="200">
        <f t="shared" si="10"/>
        <v>2577</v>
      </c>
    </row>
    <row r="76" spans="1:18" x14ac:dyDescent="0.2">
      <c r="A76" s="371">
        <v>2000</v>
      </c>
      <c r="B76" s="200" t="s">
        <v>29</v>
      </c>
      <c r="C76" s="200" t="s">
        <v>29</v>
      </c>
      <c r="D76" s="200" t="s">
        <v>29</v>
      </c>
      <c r="E76" s="200">
        <v>106</v>
      </c>
      <c r="F76" s="200">
        <v>70</v>
      </c>
      <c r="G76" s="200" t="s">
        <v>29</v>
      </c>
      <c r="H76" s="200" t="s">
        <v>29</v>
      </c>
      <c r="I76" s="200">
        <f t="shared" si="9"/>
        <v>176</v>
      </c>
      <c r="K76" s="200" t="s">
        <v>29</v>
      </c>
      <c r="L76" s="200" t="s">
        <v>29</v>
      </c>
      <c r="M76" s="200" t="s">
        <v>29</v>
      </c>
      <c r="N76" s="200">
        <v>965</v>
      </c>
      <c r="O76" s="200">
        <v>961</v>
      </c>
      <c r="P76" s="200" t="s">
        <v>29</v>
      </c>
      <c r="Q76" s="200" t="s">
        <v>29</v>
      </c>
      <c r="R76" s="200">
        <f t="shared" si="10"/>
        <v>1926</v>
      </c>
    </row>
    <row r="77" spans="1:18" x14ac:dyDescent="0.2">
      <c r="A77" s="371">
        <v>2001</v>
      </c>
      <c r="B77" s="200" t="s">
        <v>29</v>
      </c>
      <c r="C77" s="200" t="s">
        <v>29</v>
      </c>
      <c r="D77" s="200" t="s">
        <v>29</v>
      </c>
      <c r="E77" s="200">
        <v>324</v>
      </c>
      <c r="F77" s="200">
        <v>100</v>
      </c>
      <c r="G77" s="200">
        <v>60</v>
      </c>
      <c r="H77" s="200">
        <v>100</v>
      </c>
      <c r="I77" s="200">
        <f t="shared" si="9"/>
        <v>584</v>
      </c>
      <c r="K77" s="200" t="s">
        <v>29</v>
      </c>
      <c r="L77" s="200" t="s">
        <v>29</v>
      </c>
      <c r="M77" s="200" t="s">
        <v>29</v>
      </c>
      <c r="N77" s="200">
        <v>1785</v>
      </c>
      <c r="O77" s="200">
        <v>1357</v>
      </c>
      <c r="P77" s="200">
        <v>153</v>
      </c>
      <c r="Q77" s="200">
        <v>15</v>
      </c>
      <c r="R77" s="200">
        <f t="shared" si="10"/>
        <v>3310</v>
      </c>
    </row>
    <row r="78" spans="1:18" x14ac:dyDescent="0.2">
      <c r="A78" s="371">
        <v>2002</v>
      </c>
      <c r="B78" s="200" t="s">
        <v>29</v>
      </c>
      <c r="C78" s="200">
        <v>7</v>
      </c>
      <c r="D78" s="200">
        <v>123</v>
      </c>
      <c r="E78" s="200">
        <v>1132</v>
      </c>
      <c r="F78" s="200">
        <v>579</v>
      </c>
      <c r="G78" s="200">
        <v>92</v>
      </c>
      <c r="H78" s="200">
        <v>43</v>
      </c>
      <c r="I78" s="200">
        <f t="shared" si="9"/>
        <v>1976</v>
      </c>
      <c r="K78" s="200" t="s">
        <v>29</v>
      </c>
      <c r="L78" s="200" t="s">
        <v>29</v>
      </c>
      <c r="M78" s="200" t="s">
        <v>29</v>
      </c>
      <c r="N78" s="200">
        <v>492</v>
      </c>
      <c r="O78" s="200">
        <v>1010</v>
      </c>
      <c r="P78" s="200">
        <v>146</v>
      </c>
      <c r="Q78" s="200">
        <v>4</v>
      </c>
      <c r="R78" s="200">
        <f t="shared" si="10"/>
        <v>1652</v>
      </c>
    </row>
    <row r="79" spans="1:18" x14ac:dyDescent="0.2">
      <c r="A79" s="371">
        <v>2003</v>
      </c>
      <c r="B79" s="200" t="s">
        <v>29</v>
      </c>
      <c r="C79" s="200" t="s">
        <v>29</v>
      </c>
      <c r="D79" s="200">
        <v>128</v>
      </c>
      <c r="E79" s="200">
        <v>785</v>
      </c>
      <c r="F79" s="200">
        <v>802</v>
      </c>
      <c r="G79" s="200">
        <v>111</v>
      </c>
      <c r="H79" s="200">
        <v>62</v>
      </c>
      <c r="I79" s="200">
        <f t="shared" si="9"/>
        <v>1888</v>
      </c>
      <c r="K79" s="200" t="s">
        <v>29</v>
      </c>
      <c r="L79" s="200" t="s">
        <v>29</v>
      </c>
      <c r="M79" s="200">
        <v>136</v>
      </c>
      <c r="N79" s="200">
        <v>1564</v>
      </c>
      <c r="O79" s="200">
        <v>1502</v>
      </c>
      <c r="P79" s="200">
        <v>193</v>
      </c>
      <c r="Q79" s="200">
        <v>12</v>
      </c>
      <c r="R79" s="200">
        <f t="shared" si="10"/>
        <v>3407</v>
      </c>
    </row>
    <row r="80" spans="1:18" x14ac:dyDescent="0.2">
      <c r="A80" s="348">
        <v>2004</v>
      </c>
      <c r="B80" s="200" t="s">
        <v>29</v>
      </c>
      <c r="C80" s="200" t="s">
        <v>29</v>
      </c>
      <c r="D80" s="200">
        <v>38</v>
      </c>
      <c r="E80" s="200">
        <v>853</v>
      </c>
      <c r="F80" s="200">
        <v>529</v>
      </c>
      <c r="G80" s="200">
        <v>404</v>
      </c>
      <c r="H80" s="200">
        <v>6</v>
      </c>
      <c r="I80" s="200">
        <f t="shared" si="9"/>
        <v>1830</v>
      </c>
      <c r="K80" s="200" t="s">
        <v>29</v>
      </c>
      <c r="L80" s="200" t="s">
        <v>29</v>
      </c>
      <c r="M80" s="200">
        <v>37</v>
      </c>
      <c r="N80" s="200">
        <v>1437</v>
      </c>
      <c r="O80" s="200">
        <v>1266</v>
      </c>
      <c r="P80" s="200">
        <v>420</v>
      </c>
      <c r="Q80" s="200">
        <v>3</v>
      </c>
      <c r="R80" s="200">
        <f t="shared" si="10"/>
        <v>3163</v>
      </c>
    </row>
    <row r="81" spans="1:21" s="359" customFormat="1" x14ac:dyDescent="0.2">
      <c r="A81" s="348">
        <v>2005</v>
      </c>
      <c r="B81" s="203" t="s">
        <v>29</v>
      </c>
      <c r="C81" s="203" t="s">
        <v>29</v>
      </c>
      <c r="D81" s="203" t="s">
        <v>29</v>
      </c>
      <c r="E81" s="203">
        <v>605</v>
      </c>
      <c r="F81" s="203">
        <v>694</v>
      </c>
      <c r="G81" s="203">
        <v>309</v>
      </c>
      <c r="H81" s="203">
        <v>43</v>
      </c>
      <c r="I81" s="203">
        <f t="shared" si="9"/>
        <v>1651</v>
      </c>
      <c r="J81" s="197"/>
      <c r="K81" s="203" t="s">
        <v>29</v>
      </c>
      <c r="L81" s="203" t="s">
        <v>29</v>
      </c>
      <c r="M81" s="203" t="s">
        <v>29</v>
      </c>
      <c r="N81" s="203">
        <v>274</v>
      </c>
      <c r="O81" s="203">
        <v>1395</v>
      </c>
      <c r="P81" s="203">
        <v>633</v>
      </c>
      <c r="Q81" s="203">
        <v>18</v>
      </c>
      <c r="R81" s="203">
        <f t="shared" si="10"/>
        <v>2320</v>
      </c>
    </row>
    <row r="82" spans="1:21" x14ac:dyDescent="0.2">
      <c r="A82" s="348">
        <v>2006</v>
      </c>
      <c r="B82" s="200" t="s">
        <v>29</v>
      </c>
      <c r="C82" s="200" t="s">
        <v>29</v>
      </c>
      <c r="D82" s="200">
        <v>35.79</v>
      </c>
      <c r="E82" s="200">
        <v>246.59</v>
      </c>
      <c r="F82" s="200">
        <v>955.02</v>
      </c>
      <c r="G82" s="200">
        <v>342.19</v>
      </c>
      <c r="H82" s="200">
        <v>90.54</v>
      </c>
      <c r="I82" s="200">
        <f t="shared" si="9"/>
        <v>1670.13</v>
      </c>
      <c r="K82" s="200" t="s">
        <v>29</v>
      </c>
      <c r="L82" s="200" t="s">
        <v>29</v>
      </c>
      <c r="M82" s="200">
        <v>35.56</v>
      </c>
      <c r="N82" s="200">
        <v>743.81</v>
      </c>
      <c r="O82" s="200">
        <v>1040.78</v>
      </c>
      <c r="P82" s="200">
        <v>61.05</v>
      </c>
      <c r="Q82" s="200">
        <v>2.4</v>
      </c>
      <c r="R82" s="200">
        <f t="shared" si="10"/>
        <v>1883.6</v>
      </c>
    </row>
    <row r="83" spans="1:21" s="359" customFormat="1" x14ac:dyDescent="0.2">
      <c r="A83" s="348">
        <v>2007</v>
      </c>
      <c r="B83" s="203" t="s">
        <v>29</v>
      </c>
      <c r="C83" s="203" t="s">
        <v>29</v>
      </c>
      <c r="D83" s="203" t="s">
        <v>29</v>
      </c>
      <c r="E83" s="203">
        <v>132.22999999999999</v>
      </c>
      <c r="F83" s="203">
        <v>347.54</v>
      </c>
      <c r="G83" s="203">
        <v>115.61</v>
      </c>
      <c r="H83" s="203">
        <v>0</v>
      </c>
      <c r="I83" s="203">
        <f t="shared" si="9"/>
        <v>595.38</v>
      </c>
      <c r="J83" s="197"/>
      <c r="K83" s="203" t="s">
        <v>29</v>
      </c>
      <c r="L83" s="203" t="s">
        <v>29</v>
      </c>
      <c r="M83" s="203" t="s">
        <v>29</v>
      </c>
      <c r="N83" s="203">
        <v>757.88</v>
      </c>
      <c r="O83" s="203">
        <v>1869.23</v>
      </c>
      <c r="P83" s="203">
        <v>142.08000000000001</v>
      </c>
      <c r="Q83" s="203">
        <v>0</v>
      </c>
      <c r="R83" s="203">
        <f>SUM(K83:Q83)</f>
        <v>2769.19</v>
      </c>
    </row>
    <row r="84" spans="1:21" s="359" customFormat="1" x14ac:dyDescent="0.2">
      <c r="A84" s="348">
        <v>2008</v>
      </c>
      <c r="B84" s="203" t="s">
        <v>29</v>
      </c>
      <c r="C84" s="203" t="s">
        <v>29</v>
      </c>
      <c r="D84" s="203">
        <v>80.12</v>
      </c>
      <c r="E84" s="203">
        <v>243.52</v>
      </c>
      <c r="F84" s="203">
        <v>299.93</v>
      </c>
      <c r="G84" s="203">
        <v>106.38</v>
      </c>
      <c r="H84" s="203">
        <v>6.25</v>
      </c>
      <c r="I84" s="203">
        <f t="shared" si="9"/>
        <v>736.19999999999993</v>
      </c>
      <c r="J84" s="197"/>
      <c r="K84" s="203" t="s">
        <v>29</v>
      </c>
      <c r="L84" s="203" t="s">
        <v>29</v>
      </c>
      <c r="M84" s="203" t="s">
        <v>29</v>
      </c>
      <c r="N84" s="203">
        <v>102.04</v>
      </c>
      <c r="O84" s="203">
        <v>272.95</v>
      </c>
      <c r="P84" s="203">
        <v>165.2</v>
      </c>
      <c r="Q84" s="203">
        <v>1.25</v>
      </c>
      <c r="R84" s="203">
        <f t="shared" ref="R84:R96" si="11">SUM(K84:Q84)</f>
        <v>541.44000000000005</v>
      </c>
    </row>
    <row r="85" spans="1:21" s="359" customFormat="1" x14ac:dyDescent="0.2">
      <c r="A85" s="348">
        <v>2009</v>
      </c>
      <c r="B85" s="203" t="s">
        <v>29</v>
      </c>
      <c r="C85" s="203" t="s">
        <v>29</v>
      </c>
      <c r="D85" s="203">
        <v>7.25</v>
      </c>
      <c r="E85" s="203">
        <v>193.83</v>
      </c>
      <c r="F85" s="203">
        <v>328.75</v>
      </c>
      <c r="G85" s="203">
        <v>52.93</v>
      </c>
      <c r="H85" s="203">
        <v>96.78</v>
      </c>
      <c r="I85" s="203">
        <f t="shared" si="9"/>
        <v>679.54</v>
      </c>
      <c r="J85" s="197"/>
      <c r="K85" s="203" t="s">
        <v>29</v>
      </c>
      <c r="L85" s="203" t="s">
        <v>29</v>
      </c>
      <c r="M85" s="203">
        <v>165.13</v>
      </c>
      <c r="N85" s="203">
        <v>1944.03</v>
      </c>
      <c r="O85" s="203">
        <v>4316.8900000000003</v>
      </c>
      <c r="P85" s="203">
        <v>377.4</v>
      </c>
      <c r="Q85" s="203">
        <v>92.41</v>
      </c>
      <c r="R85" s="203">
        <f t="shared" si="11"/>
        <v>6895.86</v>
      </c>
    </row>
    <row r="86" spans="1:21" s="359" customFormat="1" x14ac:dyDescent="0.2">
      <c r="A86" s="348">
        <v>2010</v>
      </c>
      <c r="B86" s="203" t="s">
        <v>29</v>
      </c>
      <c r="C86" s="203" t="s">
        <v>29</v>
      </c>
      <c r="D86" s="203">
        <v>37.869999999999997</v>
      </c>
      <c r="E86" s="203">
        <v>293.52999999999997</v>
      </c>
      <c r="F86" s="203">
        <v>714.62</v>
      </c>
      <c r="G86" s="203">
        <v>86.41</v>
      </c>
      <c r="H86" s="203">
        <v>44.95</v>
      </c>
      <c r="I86" s="203">
        <f t="shared" si="9"/>
        <v>1177.3800000000001</v>
      </c>
      <c r="J86" s="197"/>
      <c r="K86" s="203" t="s">
        <v>29</v>
      </c>
      <c r="L86" s="203" t="s">
        <v>29</v>
      </c>
      <c r="M86" s="203" t="s">
        <v>29</v>
      </c>
      <c r="N86" s="203">
        <v>211.21</v>
      </c>
      <c r="O86" s="203">
        <v>708.91</v>
      </c>
      <c r="P86" s="203">
        <v>222.65</v>
      </c>
      <c r="Q86" s="203">
        <v>36.76</v>
      </c>
      <c r="R86" s="203">
        <f t="shared" si="11"/>
        <v>1179.53</v>
      </c>
    </row>
    <row r="87" spans="1:21" s="359" customFormat="1" x14ac:dyDescent="0.2">
      <c r="A87" s="348">
        <v>2011</v>
      </c>
      <c r="B87" s="203" t="s">
        <v>29</v>
      </c>
      <c r="C87" s="203" t="s">
        <v>29</v>
      </c>
      <c r="D87" s="203">
        <v>31.89</v>
      </c>
      <c r="E87" s="203">
        <v>500.82</v>
      </c>
      <c r="F87" s="203">
        <v>906.83</v>
      </c>
      <c r="G87" s="203">
        <v>90.29</v>
      </c>
      <c r="H87" s="203">
        <v>5</v>
      </c>
      <c r="I87" s="203">
        <f t="shared" si="9"/>
        <v>1534.83</v>
      </c>
      <c r="J87" s="197"/>
      <c r="K87" s="203" t="s">
        <v>29</v>
      </c>
      <c r="L87" s="203" t="s">
        <v>29</v>
      </c>
      <c r="M87" s="203">
        <v>48.12</v>
      </c>
      <c r="N87" s="203">
        <v>572.46</v>
      </c>
      <c r="O87" s="203">
        <v>1028.72</v>
      </c>
      <c r="P87" s="203">
        <v>398.47</v>
      </c>
      <c r="Q87" s="203">
        <v>2.4500000000000002</v>
      </c>
      <c r="R87" s="203">
        <f t="shared" si="11"/>
        <v>2050.2200000000003</v>
      </c>
    </row>
    <row r="88" spans="1:21" s="359" customFormat="1" x14ac:dyDescent="0.2">
      <c r="A88" s="348">
        <v>2012</v>
      </c>
      <c r="B88" s="203" t="s">
        <v>29</v>
      </c>
      <c r="C88" s="203" t="s">
        <v>29</v>
      </c>
      <c r="D88" s="203">
        <v>85.64</v>
      </c>
      <c r="E88" s="203">
        <v>462.75</v>
      </c>
      <c r="F88" s="203">
        <v>443.12</v>
      </c>
      <c r="G88" s="203">
        <v>153.46</v>
      </c>
      <c r="H88" s="203">
        <v>132.59</v>
      </c>
      <c r="I88" s="203">
        <f t="shared" si="9"/>
        <v>1277.56</v>
      </c>
      <c r="J88" s="197"/>
      <c r="K88" s="203" t="s">
        <v>29</v>
      </c>
      <c r="L88" s="203" t="s">
        <v>29</v>
      </c>
      <c r="M88" s="203" t="s">
        <v>29</v>
      </c>
      <c r="N88" s="203">
        <v>472.9</v>
      </c>
      <c r="O88" s="203">
        <v>1052.05</v>
      </c>
      <c r="P88" s="203">
        <v>697.64</v>
      </c>
      <c r="Q88" s="203">
        <v>20.81</v>
      </c>
      <c r="R88" s="203">
        <f t="shared" si="11"/>
        <v>2243.3999999999996</v>
      </c>
      <c r="U88" s="148"/>
    </row>
    <row r="89" spans="1:21" s="359" customFormat="1" x14ac:dyDescent="0.2">
      <c r="A89" s="348">
        <v>2013</v>
      </c>
      <c r="B89" s="203" t="s">
        <v>29</v>
      </c>
      <c r="C89" s="203">
        <v>3.89</v>
      </c>
      <c r="D89" s="203">
        <v>99.33</v>
      </c>
      <c r="E89" s="203">
        <v>693.36</v>
      </c>
      <c r="F89" s="203">
        <v>1287.54</v>
      </c>
      <c r="G89" s="203">
        <v>152.44999999999999</v>
      </c>
      <c r="H89" s="203">
        <v>118.68</v>
      </c>
      <c r="I89" s="203">
        <f t="shared" si="9"/>
        <v>2355.2499999999995</v>
      </c>
      <c r="J89" s="197"/>
      <c r="K89" s="203" t="s">
        <v>29</v>
      </c>
      <c r="L89" s="203" t="s">
        <v>29</v>
      </c>
      <c r="M89" s="203">
        <v>57.04</v>
      </c>
      <c r="N89" s="203">
        <v>439.4</v>
      </c>
      <c r="O89" s="203">
        <v>2014.91</v>
      </c>
      <c r="P89" s="203">
        <v>268.56</v>
      </c>
      <c r="Q89" s="203">
        <v>17.72</v>
      </c>
      <c r="R89" s="203">
        <f t="shared" si="11"/>
        <v>2797.6299999999997</v>
      </c>
      <c r="U89" s="148"/>
    </row>
    <row r="90" spans="1:21" s="359" customFormat="1" x14ac:dyDescent="0.2">
      <c r="A90" s="348">
        <v>2014</v>
      </c>
      <c r="B90" s="203" t="s">
        <v>29</v>
      </c>
      <c r="C90" s="203">
        <v>0</v>
      </c>
      <c r="D90" s="203">
        <v>227.06</v>
      </c>
      <c r="E90" s="203">
        <v>725.35</v>
      </c>
      <c r="F90" s="203">
        <v>405.53</v>
      </c>
      <c r="G90" s="203">
        <v>115.42999999999999</v>
      </c>
      <c r="H90" s="203">
        <v>110.29</v>
      </c>
      <c r="I90" s="203">
        <f t="shared" si="9"/>
        <v>1583.66</v>
      </c>
      <c r="J90" s="197"/>
      <c r="K90" s="203" t="s">
        <v>29</v>
      </c>
      <c r="L90" s="203" t="s">
        <v>29</v>
      </c>
      <c r="M90" s="203">
        <v>102.07</v>
      </c>
      <c r="N90" s="203">
        <v>921.53</v>
      </c>
      <c r="O90" s="203">
        <v>2264.52</v>
      </c>
      <c r="P90" s="203">
        <v>1121.1599999999999</v>
      </c>
      <c r="Q90" s="203">
        <v>199.14</v>
      </c>
      <c r="R90" s="203">
        <f t="shared" si="11"/>
        <v>4608.42</v>
      </c>
      <c r="U90" s="148"/>
    </row>
    <row r="91" spans="1:21" s="359" customFormat="1" x14ac:dyDescent="0.2">
      <c r="A91" s="348">
        <v>2015</v>
      </c>
      <c r="B91" s="203" t="s">
        <v>29</v>
      </c>
      <c r="C91" s="203">
        <v>7.31</v>
      </c>
      <c r="D91" s="203">
        <v>158.65</v>
      </c>
      <c r="E91" s="203">
        <v>1417.26</v>
      </c>
      <c r="F91" s="203">
        <v>536.91</v>
      </c>
      <c r="G91" s="203">
        <v>114.91</v>
      </c>
      <c r="H91" s="203">
        <v>164.41</v>
      </c>
      <c r="I91" s="203">
        <f>SUM(B91:H91)</f>
        <v>2399.4499999999998</v>
      </c>
      <c r="J91" s="197"/>
      <c r="K91" s="203" t="s">
        <v>29</v>
      </c>
      <c r="L91" s="203" t="s">
        <v>29</v>
      </c>
      <c r="M91" s="203">
        <v>36.700000000000003</v>
      </c>
      <c r="N91" s="203">
        <v>195.38</v>
      </c>
      <c r="O91" s="203">
        <v>156.36000000000001</v>
      </c>
      <c r="P91" s="203">
        <v>177.59</v>
      </c>
      <c r="Q91" s="203">
        <v>12.74</v>
      </c>
      <c r="R91" s="203">
        <f>SUM(K91:Q91)</f>
        <v>578.77</v>
      </c>
      <c r="U91" s="148"/>
    </row>
    <row r="92" spans="1:21" s="359" customFormat="1" x14ac:dyDescent="0.2">
      <c r="A92" s="348">
        <v>2016</v>
      </c>
      <c r="B92" s="203" t="s">
        <v>29</v>
      </c>
      <c r="C92" s="203" t="s">
        <v>29</v>
      </c>
      <c r="D92" s="203" t="s">
        <v>29</v>
      </c>
      <c r="E92" s="203">
        <v>221.44</v>
      </c>
      <c r="F92" s="203">
        <v>33.81</v>
      </c>
      <c r="G92" s="203" t="s">
        <v>29</v>
      </c>
      <c r="H92" s="203" t="s">
        <v>29</v>
      </c>
      <c r="I92" s="203">
        <f>SUM(B92:H92)</f>
        <v>255.25</v>
      </c>
      <c r="J92" s="197"/>
      <c r="K92" s="203" t="s">
        <v>29</v>
      </c>
      <c r="L92" s="203" t="s">
        <v>29</v>
      </c>
      <c r="M92" s="203" t="s">
        <v>29</v>
      </c>
      <c r="N92" s="203">
        <v>3.09</v>
      </c>
      <c r="O92" s="203">
        <v>1.75</v>
      </c>
      <c r="P92" s="203" t="s">
        <v>29</v>
      </c>
      <c r="Q92" s="203" t="s">
        <v>29</v>
      </c>
      <c r="R92" s="203">
        <f>SUM(K92:Q92)</f>
        <v>4.84</v>
      </c>
      <c r="U92" s="148"/>
    </row>
    <row r="93" spans="1:21" s="359" customFormat="1" x14ac:dyDescent="0.2">
      <c r="A93" s="348">
        <v>2017</v>
      </c>
      <c r="B93" s="203" t="s">
        <v>29</v>
      </c>
      <c r="C93" s="203" t="s">
        <v>29</v>
      </c>
      <c r="D93" s="203">
        <v>6.65</v>
      </c>
      <c r="E93" s="203">
        <v>209.27</v>
      </c>
      <c r="F93" s="203">
        <v>229.34</v>
      </c>
      <c r="G93" s="203">
        <v>36.83</v>
      </c>
      <c r="H93" s="203" t="s">
        <v>29</v>
      </c>
      <c r="I93" s="203">
        <f>SUM(B93:H93)</f>
        <v>482.09</v>
      </c>
      <c r="J93" s="197"/>
      <c r="K93" s="203" t="s">
        <v>29</v>
      </c>
      <c r="L93" s="203" t="s">
        <v>29</v>
      </c>
      <c r="M93" s="203">
        <v>13.3</v>
      </c>
      <c r="N93" s="203">
        <v>158.81</v>
      </c>
      <c r="O93" s="203">
        <v>1154.92</v>
      </c>
      <c r="P93" s="203">
        <v>422.59</v>
      </c>
      <c r="Q93" s="203" t="s">
        <v>29</v>
      </c>
      <c r="R93" s="203">
        <f>SUM(K93:Q93)</f>
        <v>1749.6200000000001</v>
      </c>
      <c r="U93" s="148"/>
    </row>
    <row r="94" spans="1:21" s="359" customFormat="1" x14ac:dyDescent="0.2">
      <c r="A94" s="348">
        <v>2018</v>
      </c>
      <c r="B94" s="203" t="s">
        <v>29</v>
      </c>
      <c r="C94" s="203" t="s">
        <v>29</v>
      </c>
      <c r="D94" s="203">
        <v>26.09</v>
      </c>
      <c r="E94" s="203">
        <v>101.79</v>
      </c>
      <c r="F94" s="203">
        <v>296.99</v>
      </c>
      <c r="G94" s="203">
        <v>2</v>
      </c>
      <c r="H94" s="203" t="s">
        <v>29</v>
      </c>
      <c r="I94" s="203">
        <f>SUM(B94:H94)</f>
        <v>426.87</v>
      </c>
      <c r="J94" s="197"/>
      <c r="K94" s="203" t="s">
        <v>29</v>
      </c>
      <c r="L94" s="203" t="s">
        <v>29</v>
      </c>
      <c r="M94" s="203">
        <v>25.16</v>
      </c>
      <c r="N94" s="203">
        <v>94.29</v>
      </c>
      <c r="O94" s="203">
        <v>813.61</v>
      </c>
      <c r="P94" s="203">
        <v>21</v>
      </c>
      <c r="Q94" s="203" t="s">
        <v>29</v>
      </c>
      <c r="R94" s="203">
        <f>SUM(K94:Q94)</f>
        <v>954.06000000000006</v>
      </c>
      <c r="U94" s="148"/>
    </row>
    <row r="95" spans="1:21" s="487" customFormat="1" x14ac:dyDescent="0.2">
      <c r="A95" s="491">
        <v>2019</v>
      </c>
      <c r="B95" s="203" t="s">
        <v>29</v>
      </c>
      <c r="C95" s="203" t="s">
        <v>29</v>
      </c>
      <c r="D95" s="203">
        <v>9.74</v>
      </c>
      <c r="E95" s="203">
        <v>216.21</v>
      </c>
      <c r="F95" s="203">
        <v>189.67</v>
      </c>
      <c r="G95" s="203">
        <v>33.46</v>
      </c>
      <c r="H95" s="203">
        <v>164.35</v>
      </c>
      <c r="I95" s="203">
        <f t="shared" ref="I95" si="12">SUM(B95:H95)</f>
        <v>613.42999999999995</v>
      </c>
      <c r="J95" s="197"/>
      <c r="K95" s="203" t="s">
        <v>29</v>
      </c>
      <c r="L95" s="203" t="s">
        <v>29</v>
      </c>
      <c r="M95" s="203">
        <v>2</v>
      </c>
      <c r="N95" s="203">
        <v>336.11</v>
      </c>
      <c r="O95" s="203">
        <v>1095.42</v>
      </c>
      <c r="P95" s="203">
        <v>318.07</v>
      </c>
      <c r="Q95" s="203">
        <v>15.86</v>
      </c>
      <c r="R95" s="203">
        <f t="shared" ref="R95" si="13">SUM(K95:Q95)</f>
        <v>1767.46</v>
      </c>
      <c r="U95" s="148"/>
    </row>
    <row r="96" spans="1:21" x14ac:dyDescent="0.2">
      <c r="A96" s="496" t="s">
        <v>396</v>
      </c>
      <c r="B96" s="200" t="s">
        <v>29</v>
      </c>
      <c r="C96" s="200" t="s">
        <v>29</v>
      </c>
      <c r="D96" s="200">
        <v>0</v>
      </c>
      <c r="E96" s="200">
        <v>12.71</v>
      </c>
      <c r="F96" s="200">
        <v>4.3</v>
      </c>
      <c r="G96" s="200">
        <v>0</v>
      </c>
      <c r="H96" s="200" t="s">
        <v>29</v>
      </c>
      <c r="I96" s="203">
        <f t="shared" si="9"/>
        <v>17.010000000000002</v>
      </c>
      <c r="K96" s="200" t="s">
        <v>29</v>
      </c>
      <c r="L96" s="200" t="s">
        <v>29</v>
      </c>
      <c r="M96" s="200">
        <v>0</v>
      </c>
      <c r="N96" s="200">
        <v>4.8</v>
      </c>
      <c r="O96" s="200">
        <v>166.37</v>
      </c>
      <c r="P96" s="200">
        <v>22.85</v>
      </c>
      <c r="Q96" s="200" t="s">
        <v>29</v>
      </c>
      <c r="R96" s="200">
        <f t="shared" si="11"/>
        <v>194.02</v>
      </c>
      <c r="U96" s="22"/>
    </row>
    <row r="98" spans="1:18" x14ac:dyDescent="0.2">
      <c r="A98" s="116" t="s">
        <v>64</v>
      </c>
    </row>
    <row r="99" spans="1:18" x14ac:dyDescent="0.2">
      <c r="A99" s="371">
        <v>1976</v>
      </c>
      <c r="B99" s="200" t="s">
        <v>29</v>
      </c>
      <c r="C99" s="200">
        <v>8156</v>
      </c>
      <c r="D99" s="200">
        <v>26201</v>
      </c>
      <c r="E99" s="200">
        <v>33094</v>
      </c>
      <c r="F99" s="200">
        <v>13568</v>
      </c>
      <c r="G99" s="200">
        <v>8865</v>
      </c>
      <c r="H99" s="200">
        <v>1595</v>
      </c>
      <c r="I99" s="200">
        <f t="shared" ref="I99:I116" si="14">SUM(B99:H99)</f>
        <v>91479</v>
      </c>
      <c r="K99" s="200" t="s">
        <v>29</v>
      </c>
      <c r="L99" s="200">
        <v>18637</v>
      </c>
      <c r="M99" s="200">
        <v>70424</v>
      </c>
      <c r="N99" s="200">
        <v>155417</v>
      </c>
      <c r="O99" s="200">
        <v>133359</v>
      </c>
      <c r="P99" s="200">
        <v>68219</v>
      </c>
      <c r="Q99" s="200">
        <v>5287</v>
      </c>
      <c r="R99" s="200">
        <f t="shared" ref="R99:R116" si="15">SUM(K99:Q99)</f>
        <v>451343</v>
      </c>
    </row>
    <row r="100" spans="1:18" x14ac:dyDescent="0.2">
      <c r="A100" s="371">
        <v>1977</v>
      </c>
      <c r="B100" s="200">
        <v>3510</v>
      </c>
      <c r="C100" s="200">
        <v>3733</v>
      </c>
      <c r="D100" s="200">
        <v>24325</v>
      </c>
      <c r="E100" s="200">
        <v>19334</v>
      </c>
      <c r="F100" s="200">
        <v>31272</v>
      </c>
      <c r="G100" s="200">
        <v>17205</v>
      </c>
      <c r="H100" s="200">
        <v>1574</v>
      </c>
      <c r="I100" s="200">
        <f t="shared" si="14"/>
        <v>100953</v>
      </c>
      <c r="K100" s="200">
        <v>100</v>
      </c>
      <c r="L100" s="200">
        <v>14941</v>
      </c>
      <c r="M100" s="200">
        <v>33645</v>
      </c>
      <c r="N100" s="200">
        <v>92805</v>
      </c>
      <c r="O100" s="200">
        <v>45589</v>
      </c>
      <c r="P100" s="200">
        <v>17224</v>
      </c>
      <c r="Q100" s="200">
        <v>2259</v>
      </c>
      <c r="R100" s="200">
        <f t="shared" si="15"/>
        <v>206563</v>
      </c>
    </row>
    <row r="101" spans="1:18" x14ac:dyDescent="0.2">
      <c r="A101" s="371">
        <v>1978</v>
      </c>
      <c r="B101" s="200">
        <v>2141</v>
      </c>
      <c r="C101" s="200">
        <v>8386</v>
      </c>
      <c r="D101" s="200">
        <v>26839</v>
      </c>
      <c r="E101" s="200">
        <v>12492</v>
      </c>
      <c r="F101" s="200">
        <v>12134</v>
      </c>
      <c r="G101" s="200">
        <v>2260</v>
      </c>
      <c r="H101" s="200">
        <v>533</v>
      </c>
      <c r="I101" s="200">
        <f t="shared" si="14"/>
        <v>64785</v>
      </c>
      <c r="K101" s="200">
        <v>222</v>
      </c>
      <c r="L101" s="200">
        <v>7159</v>
      </c>
      <c r="M101" s="200">
        <v>48730</v>
      </c>
      <c r="N101" s="200">
        <v>72606</v>
      </c>
      <c r="O101" s="200">
        <v>51801</v>
      </c>
      <c r="P101" s="200">
        <v>22431</v>
      </c>
      <c r="Q101" s="200">
        <v>1401</v>
      </c>
      <c r="R101" s="200">
        <f t="shared" si="15"/>
        <v>204350</v>
      </c>
    </row>
    <row r="102" spans="1:18" x14ac:dyDescent="0.2">
      <c r="A102" s="371">
        <v>1979</v>
      </c>
      <c r="B102" s="200" t="s">
        <v>29</v>
      </c>
      <c r="C102" s="200">
        <v>7007</v>
      </c>
      <c r="D102" s="200">
        <v>15976</v>
      </c>
      <c r="E102" s="200">
        <v>9795</v>
      </c>
      <c r="F102" s="200">
        <v>16090</v>
      </c>
      <c r="G102" s="200">
        <v>101</v>
      </c>
      <c r="H102" s="83">
        <v>14</v>
      </c>
      <c r="I102" s="200">
        <f t="shared" si="14"/>
        <v>48983</v>
      </c>
      <c r="K102" s="200" t="s">
        <v>29</v>
      </c>
      <c r="L102" s="200">
        <v>4854</v>
      </c>
      <c r="M102" s="200">
        <v>25666</v>
      </c>
      <c r="N102" s="200">
        <v>57659</v>
      </c>
      <c r="O102" s="200">
        <v>42970</v>
      </c>
      <c r="P102" s="200">
        <v>1280</v>
      </c>
      <c r="Q102" s="83">
        <v>150</v>
      </c>
      <c r="R102" s="200">
        <f t="shared" si="15"/>
        <v>132579</v>
      </c>
    </row>
    <row r="103" spans="1:18" x14ac:dyDescent="0.2">
      <c r="A103" s="371">
        <v>1980</v>
      </c>
      <c r="B103" s="200" t="s">
        <v>29</v>
      </c>
      <c r="C103" s="200">
        <v>1437</v>
      </c>
      <c r="D103" s="200">
        <v>10453</v>
      </c>
      <c r="E103" s="200">
        <v>15379</v>
      </c>
      <c r="F103" s="200">
        <v>6155</v>
      </c>
      <c r="G103" s="198">
        <v>103</v>
      </c>
      <c r="H103" s="200" t="s">
        <v>29</v>
      </c>
      <c r="I103" s="200">
        <f t="shared" si="14"/>
        <v>33527</v>
      </c>
      <c r="K103" s="200" t="s">
        <v>29</v>
      </c>
      <c r="L103" s="200">
        <v>16279</v>
      </c>
      <c r="M103" s="200">
        <v>40573</v>
      </c>
      <c r="N103" s="200">
        <v>68592</v>
      </c>
      <c r="O103" s="200">
        <v>41915</v>
      </c>
      <c r="P103" s="198">
        <v>398</v>
      </c>
      <c r="Q103" s="200" t="s">
        <v>29</v>
      </c>
      <c r="R103" s="200">
        <f t="shared" si="15"/>
        <v>167757</v>
      </c>
    </row>
    <row r="104" spans="1:18" x14ac:dyDescent="0.2">
      <c r="A104" s="371">
        <v>1981</v>
      </c>
      <c r="B104" s="200" t="s">
        <v>29</v>
      </c>
      <c r="C104" s="200">
        <v>2100</v>
      </c>
      <c r="D104" s="200">
        <v>10735</v>
      </c>
      <c r="E104" s="200">
        <v>29255</v>
      </c>
      <c r="F104" s="200">
        <v>15314</v>
      </c>
      <c r="G104" s="83">
        <v>51</v>
      </c>
      <c r="H104" s="83">
        <v>17</v>
      </c>
      <c r="I104" s="200">
        <f t="shared" si="14"/>
        <v>57472</v>
      </c>
      <c r="K104" s="200" t="s">
        <v>29</v>
      </c>
      <c r="L104" s="200">
        <v>2457</v>
      </c>
      <c r="M104" s="200">
        <v>23937</v>
      </c>
      <c r="N104" s="200">
        <v>36399</v>
      </c>
      <c r="O104" s="200">
        <v>29204</v>
      </c>
      <c r="P104" s="83">
        <v>101</v>
      </c>
      <c r="Q104" s="83">
        <v>34</v>
      </c>
      <c r="R104" s="200">
        <f t="shared" si="15"/>
        <v>92132</v>
      </c>
    </row>
    <row r="105" spans="1:18" x14ac:dyDescent="0.2">
      <c r="A105" s="371">
        <v>1982</v>
      </c>
      <c r="B105" s="200" t="s">
        <v>29</v>
      </c>
      <c r="C105" s="200">
        <v>538</v>
      </c>
      <c r="D105" s="200">
        <v>33147</v>
      </c>
      <c r="E105" s="200">
        <v>38538</v>
      </c>
      <c r="F105" s="200">
        <v>10864</v>
      </c>
      <c r="G105" s="83">
        <v>4</v>
      </c>
      <c r="H105" s="200" t="s">
        <v>29</v>
      </c>
      <c r="I105" s="200">
        <f t="shared" si="14"/>
        <v>83091</v>
      </c>
      <c r="K105" s="200" t="s">
        <v>29</v>
      </c>
      <c r="L105" s="200" t="s">
        <v>29</v>
      </c>
      <c r="M105" s="200">
        <v>9643</v>
      </c>
      <c r="N105" s="200">
        <v>40431</v>
      </c>
      <c r="O105" s="200">
        <v>24756</v>
      </c>
      <c r="P105" s="83">
        <v>67</v>
      </c>
      <c r="Q105" s="200" t="s">
        <v>29</v>
      </c>
      <c r="R105" s="200">
        <f t="shared" si="15"/>
        <v>74897</v>
      </c>
    </row>
    <row r="106" spans="1:18" x14ac:dyDescent="0.2">
      <c r="A106" s="371">
        <v>1983</v>
      </c>
      <c r="B106" s="200" t="s">
        <v>29</v>
      </c>
      <c r="C106" s="200">
        <v>657</v>
      </c>
      <c r="D106" s="200">
        <v>20314</v>
      </c>
      <c r="E106" s="200">
        <v>8934</v>
      </c>
      <c r="F106" s="198">
        <v>4553</v>
      </c>
      <c r="G106" s="198">
        <v>1315</v>
      </c>
      <c r="H106" s="200" t="s">
        <v>29</v>
      </c>
      <c r="I106" s="200">
        <f t="shared" si="14"/>
        <v>35773</v>
      </c>
      <c r="K106" s="200" t="s">
        <v>29</v>
      </c>
      <c r="L106" s="200" t="s">
        <v>29</v>
      </c>
      <c r="M106" s="200">
        <v>12165</v>
      </c>
      <c r="N106" s="200">
        <v>25028</v>
      </c>
      <c r="O106" s="200">
        <v>20345</v>
      </c>
      <c r="P106" s="200">
        <v>7440</v>
      </c>
      <c r="Q106" s="200" t="s">
        <v>29</v>
      </c>
      <c r="R106" s="200">
        <f t="shared" si="15"/>
        <v>64978</v>
      </c>
    </row>
    <row r="107" spans="1:18" x14ac:dyDescent="0.2">
      <c r="A107" s="371">
        <v>1984</v>
      </c>
      <c r="B107" s="200" t="s">
        <v>29</v>
      </c>
      <c r="C107" s="198">
        <v>6017</v>
      </c>
      <c r="D107" s="200" t="s">
        <v>29</v>
      </c>
      <c r="E107" s="198">
        <v>5</v>
      </c>
      <c r="F107" s="198">
        <v>6</v>
      </c>
      <c r="G107" s="200" t="s">
        <v>29</v>
      </c>
      <c r="H107" s="200" t="s">
        <v>29</v>
      </c>
      <c r="I107" s="200">
        <f t="shared" si="14"/>
        <v>6028</v>
      </c>
      <c r="K107" s="200" t="s">
        <v>29</v>
      </c>
      <c r="L107" s="200" t="s">
        <v>29</v>
      </c>
      <c r="M107" s="200" t="s">
        <v>29</v>
      </c>
      <c r="N107" s="198">
        <v>1704</v>
      </c>
      <c r="O107" s="198">
        <v>8897</v>
      </c>
      <c r="P107" s="200" t="s">
        <v>29</v>
      </c>
      <c r="Q107" s="200" t="s">
        <v>29</v>
      </c>
      <c r="R107" s="200">
        <f t="shared" si="15"/>
        <v>10601</v>
      </c>
    </row>
    <row r="108" spans="1:18" x14ac:dyDescent="0.2">
      <c r="A108" s="371">
        <v>1985</v>
      </c>
      <c r="B108" s="200" t="s">
        <v>29</v>
      </c>
      <c r="C108" s="200" t="s">
        <v>29</v>
      </c>
      <c r="D108" s="200">
        <v>814</v>
      </c>
      <c r="E108" s="200">
        <v>10252</v>
      </c>
      <c r="F108" s="200">
        <v>6826</v>
      </c>
      <c r="G108" s="200">
        <v>256</v>
      </c>
      <c r="H108" s="200" t="s">
        <v>29</v>
      </c>
      <c r="I108" s="200">
        <f t="shared" si="14"/>
        <v>18148</v>
      </c>
      <c r="K108" s="200" t="s">
        <v>29</v>
      </c>
      <c r="L108" s="200" t="s">
        <v>29</v>
      </c>
      <c r="M108" s="200">
        <v>1416</v>
      </c>
      <c r="N108" s="200">
        <v>34764</v>
      </c>
      <c r="O108" s="200">
        <v>31784</v>
      </c>
      <c r="P108" s="200">
        <v>5874</v>
      </c>
      <c r="Q108" s="200" t="s">
        <v>29</v>
      </c>
      <c r="R108" s="200">
        <f t="shared" si="15"/>
        <v>73838</v>
      </c>
    </row>
    <row r="109" spans="1:18" x14ac:dyDescent="0.2">
      <c r="A109" s="371">
        <v>1986</v>
      </c>
      <c r="B109" s="200" t="s">
        <v>29</v>
      </c>
      <c r="C109" s="200" t="s">
        <v>29</v>
      </c>
      <c r="D109" s="200">
        <v>503</v>
      </c>
      <c r="E109" s="200">
        <v>7899</v>
      </c>
      <c r="F109" s="200">
        <v>6887</v>
      </c>
      <c r="G109" s="200" t="s">
        <v>29</v>
      </c>
      <c r="H109" s="200" t="s">
        <v>29</v>
      </c>
      <c r="I109" s="200">
        <f t="shared" si="14"/>
        <v>15289</v>
      </c>
      <c r="K109" s="200" t="s">
        <v>29</v>
      </c>
      <c r="L109" s="200" t="s">
        <v>29</v>
      </c>
      <c r="M109" s="200">
        <v>3096</v>
      </c>
      <c r="N109" s="200">
        <v>49662</v>
      </c>
      <c r="O109" s="200">
        <v>29310</v>
      </c>
      <c r="P109" s="83">
        <v>943</v>
      </c>
      <c r="Q109" s="83">
        <v>86</v>
      </c>
      <c r="R109" s="200">
        <f t="shared" si="15"/>
        <v>83097</v>
      </c>
    </row>
    <row r="110" spans="1:18" x14ac:dyDescent="0.2">
      <c r="A110" s="371">
        <v>1987</v>
      </c>
      <c r="B110" s="200" t="s">
        <v>29</v>
      </c>
      <c r="C110" s="200" t="s">
        <v>29</v>
      </c>
      <c r="D110" s="200">
        <v>2985</v>
      </c>
      <c r="E110" s="200">
        <v>20492</v>
      </c>
      <c r="F110" s="200">
        <v>6239</v>
      </c>
      <c r="G110" s="198">
        <v>17</v>
      </c>
      <c r="H110" s="200" t="s">
        <v>29</v>
      </c>
      <c r="I110" s="200">
        <f t="shared" si="14"/>
        <v>29733</v>
      </c>
      <c r="K110" s="200" t="s">
        <v>29</v>
      </c>
      <c r="L110" s="200" t="s">
        <v>29</v>
      </c>
      <c r="M110" s="200">
        <v>369</v>
      </c>
      <c r="N110" s="200">
        <v>27590</v>
      </c>
      <c r="O110" s="200">
        <v>13473</v>
      </c>
      <c r="P110" s="198">
        <v>44</v>
      </c>
      <c r="Q110" s="198">
        <v>3</v>
      </c>
      <c r="R110" s="200">
        <f t="shared" si="15"/>
        <v>41479</v>
      </c>
    </row>
    <row r="111" spans="1:18" x14ac:dyDescent="0.2">
      <c r="A111" s="371">
        <v>1988</v>
      </c>
      <c r="B111" s="200" t="s">
        <v>29</v>
      </c>
      <c r="C111" s="200" t="s">
        <v>29</v>
      </c>
      <c r="D111" s="200" t="s">
        <v>29</v>
      </c>
      <c r="E111" s="200">
        <v>12528</v>
      </c>
      <c r="F111" s="200">
        <v>914</v>
      </c>
      <c r="G111" s="200" t="s">
        <v>29</v>
      </c>
      <c r="H111" s="200" t="s">
        <v>29</v>
      </c>
      <c r="I111" s="200">
        <f t="shared" si="14"/>
        <v>13442</v>
      </c>
      <c r="K111" s="200" t="s">
        <v>29</v>
      </c>
      <c r="L111" s="200" t="s">
        <v>29</v>
      </c>
      <c r="M111" s="200" t="s">
        <v>29</v>
      </c>
      <c r="N111" s="200">
        <v>45936</v>
      </c>
      <c r="O111" s="200">
        <v>2608</v>
      </c>
      <c r="P111" s="200" t="s">
        <v>29</v>
      </c>
      <c r="Q111" s="200" t="s">
        <v>29</v>
      </c>
      <c r="R111" s="200">
        <f t="shared" si="15"/>
        <v>48544</v>
      </c>
    </row>
    <row r="112" spans="1:18" x14ac:dyDescent="0.2">
      <c r="A112" s="371">
        <v>1989</v>
      </c>
      <c r="B112" s="200" t="s">
        <v>29</v>
      </c>
      <c r="C112" s="200">
        <v>667</v>
      </c>
      <c r="D112" s="200">
        <v>1383</v>
      </c>
      <c r="E112" s="200">
        <v>3971</v>
      </c>
      <c r="F112" s="200">
        <v>5622</v>
      </c>
      <c r="G112" s="200" t="s">
        <v>29</v>
      </c>
      <c r="H112" s="200" t="s">
        <v>29</v>
      </c>
      <c r="I112" s="200">
        <f t="shared" si="14"/>
        <v>11643</v>
      </c>
      <c r="K112" s="200" t="s">
        <v>29</v>
      </c>
      <c r="L112" s="198">
        <v>19</v>
      </c>
      <c r="M112" s="200">
        <v>12</v>
      </c>
      <c r="N112" s="200">
        <v>46172</v>
      </c>
      <c r="O112" s="200">
        <v>41682</v>
      </c>
      <c r="P112" s="200" t="s">
        <v>29</v>
      </c>
      <c r="Q112" s="200" t="s">
        <v>29</v>
      </c>
      <c r="R112" s="200">
        <f t="shared" si="15"/>
        <v>87885</v>
      </c>
    </row>
    <row r="113" spans="1:18" x14ac:dyDescent="0.2">
      <c r="A113" s="371">
        <v>1990</v>
      </c>
      <c r="B113" s="200" t="s">
        <v>29</v>
      </c>
      <c r="C113" s="200" t="s">
        <v>29</v>
      </c>
      <c r="D113" s="200">
        <v>1283</v>
      </c>
      <c r="E113" s="200">
        <v>6780</v>
      </c>
      <c r="F113" s="200">
        <v>5399</v>
      </c>
      <c r="G113" s="200">
        <v>3367</v>
      </c>
      <c r="H113" s="200" t="s">
        <v>29</v>
      </c>
      <c r="I113" s="200">
        <f t="shared" si="14"/>
        <v>16829</v>
      </c>
      <c r="K113" s="200" t="s">
        <v>29</v>
      </c>
      <c r="L113" s="200" t="s">
        <v>29</v>
      </c>
      <c r="M113" s="200">
        <v>5402</v>
      </c>
      <c r="N113" s="200">
        <v>31267</v>
      </c>
      <c r="O113" s="200">
        <v>29407</v>
      </c>
      <c r="P113" s="200">
        <v>20026</v>
      </c>
      <c r="Q113" s="200" t="s">
        <v>29</v>
      </c>
      <c r="R113" s="200">
        <f t="shared" si="15"/>
        <v>86102</v>
      </c>
    </row>
    <row r="114" spans="1:18" x14ac:dyDescent="0.2">
      <c r="A114" s="371">
        <v>1991</v>
      </c>
      <c r="B114" s="200" t="s">
        <v>29</v>
      </c>
      <c r="C114" s="200" t="s">
        <v>29</v>
      </c>
      <c r="D114" s="200">
        <v>1911</v>
      </c>
      <c r="E114" s="200">
        <v>3786</v>
      </c>
      <c r="F114" s="200">
        <v>1265</v>
      </c>
      <c r="G114" s="200">
        <v>209</v>
      </c>
      <c r="H114" s="200" t="s">
        <v>29</v>
      </c>
      <c r="I114" s="200">
        <f t="shared" si="14"/>
        <v>7171</v>
      </c>
      <c r="K114" s="200" t="s">
        <v>29</v>
      </c>
      <c r="L114" s="200" t="s">
        <v>29</v>
      </c>
      <c r="M114" s="200">
        <v>6781</v>
      </c>
      <c r="N114" s="200">
        <v>60610</v>
      </c>
      <c r="O114" s="200">
        <v>14508</v>
      </c>
      <c r="P114" s="200">
        <v>6963</v>
      </c>
      <c r="Q114" s="200" t="s">
        <v>29</v>
      </c>
      <c r="R114" s="200">
        <f t="shared" si="15"/>
        <v>88862</v>
      </c>
    </row>
    <row r="115" spans="1:18" x14ac:dyDescent="0.2">
      <c r="A115" s="371">
        <v>1992</v>
      </c>
      <c r="B115" s="200" t="s">
        <v>29</v>
      </c>
      <c r="C115" s="200" t="s">
        <v>29</v>
      </c>
      <c r="D115" s="200" t="s">
        <v>29</v>
      </c>
      <c r="E115" s="200">
        <v>7091</v>
      </c>
      <c r="F115" s="200">
        <v>5979</v>
      </c>
      <c r="G115" s="200">
        <v>2370</v>
      </c>
      <c r="H115" s="200">
        <v>213</v>
      </c>
      <c r="I115" s="200">
        <f t="shared" si="14"/>
        <v>15653</v>
      </c>
      <c r="K115" s="200" t="s">
        <v>29</v>
      </c>
      <c r="L115" s="200" t="s">
        <v>29</v>
      </c>
      <c r="M115" s="200" t="s">
        <v>29</v>
      </c>
      <c r="N115" s="200">
        <v>16774</v>
      </c>
      <c r="O115" s="200">
        <v>25807</v>
      </c>
      <c r="P115" s="200">
        <v>7234</v>
      </c>
      <c r="Q115" s="200">
        <v>322</v>
      </c>
      <c r="R115" s="200">
        <f t="shared" si="15"/>
        <v>50137</v>
      </c>
    </row>
    <row r="116" spans="1:18" x14ac:dyDescent="0.2">
      <c r="A116" s="371">
        <v>1993</v>
      </c>
      <c r="B116" s="200" t="s">
        <v>29</v>
      </c>
      <c r="C116" s="200" t="s">
        <v>29</v>
      </c>
      <c r="D116" s="200" t="s">
        <v>29</v>
      </c>
      <c r="E116" s="200">
        <v>1357</v>
      </c>
      <c r="F116" s="200">
        <v>3780</v>
      </c>
      <c r="G116" s="200">
        <v>3358</v>
      </c>
      <c r="H116" s="200" t="s">
        <v>29</v>
      </c>
      <c r="I116" s="200">
        <f t="shared" si="14"/>
        <v>8495</v>
      </c>
      <c r="K116" s="200" t="s">
        <v>29</v>
      </c>
      <c r="L116" s="200" t="s">
        <v>29</v>
      </c>
      <c r="M116" s="200" t="s">
        <v>29</v>
      </c>
      <c r="N116" s="200">
        <v>16081</v>
      </c>
      <c r="O116" s="200">
        <v>21274</v>
      </c>
      <c r="P116" s="200">
        <v>12067</v>
      </c>
      <c r="Q116" s="200" t="s">
        <v>29</v>
      </c>
      <c r="R116" s="200">
        <f t="shared" si="15"/>
        <v>49422</v>
      </c>
    </row>
    <row r="117" spans="1:18" x14ac:dyDescent="0.2">
      <c r="A117" s="371">
        <v>1994</v>
      </c>
      <c r="B117" s="200" t="s">
        <v>29</v>
      </c>
      <c r="C117" s="200" t="s">
        <v>29</v>
      </c>
      <c r="D117" s="200" t="s">
        <v>29</v>
      </c>
      <c r="E117" s="200" t="s">
        <v>29</v>
      </c>
      <c r="F117" s="200" t="s">
        <v>29</v>
      </c>
      <c r="G117" s="200" t="s">
        <v>29</v>
      </c>
      <c r="H117" s="200" t="s">
        <v>29</v>
      </c>
      <c r="I117" s="200" t="s">
        <v>29</v>
      </c>
      <c r="K117" s="200" t="s">
        <v>29</v>
      </c>
      <c r="L117" s="200" t="s">
        <v>29</v>
      </c>
      <c r="M117" s="200" t="s">
        <v>29</v>
      </c>
      <c r="N117" s="200" t="s">
        <v>29</v>
      </c>
      <c r="O117" s="200" t="s">
        <v>29</v>
      </c>
      <c r="P117" s="200" t="s">
        <v>29</v>
      </c>
      <c r="Q117" s="200" t="s">
        <v>29</v>
      </c>
      <c r="R117" s="200" t="s">
        <v>29</v>
      </c>
    </row>
    <row r="118" spans="1:18" x14ac:dyDescent="0.2">
      <c r="A118" s="371">
        <v>1995</v>
      </c>
      <c r="B118" s="200" t="s">
        <v>29</v>
      </c>
      <c r="C118" s="200" t="s">
        <v>29</v>
      </c>
      <c r="D118" s="200" t="s">
        <v>29</v>
      </c>
      <c r="E118" s="198">
        <v>12</v>
      </c>
      <c r="F118" s="198">
        <v>33</v>
      </c>
      <c r="G118" s="198">
        <v>46</v>
      </c>
      <c r="H118" s="200" t="s">
        <v>29</v>
      </c>
      <c r="I118" s="200">
        <f t="shared" ref="I118:I126" si="16">SUM(B118:H118)</f>
        <v>91</v>
      </c>
      <c r="K118" s="200" t="s">
        <v>29</v>
      </c>
      <c r="L118" s="200" t="s">
        <v>29</v>
      </c>
      <c r="M118" s="200" t="s">
        <v>29</v>
      </c>
      <c r="N118" s="200">
        <v>3216</v>
      </c>
      <c r="O118" s="200">
        <v>17623</v>
      </c>
      <c r="P118" s="200">
        <v>8046</v>
      </c>
      <c r="Q118" s="200" t="s">
        <v>29</v>
      </c>
      <c r="R118" s="200">
        <f t="shared" ref="R118:R129" si="17">SUM(K118:Q118)</f>
        <v>28885</v>
      </c>
    </row>
    <row r="119" spans="1:18" x14ac:dyDescent="0.2">
      <c r="A119" s="371">
        <v>1996</v>
      </c>
      <c r="B119" s="200" t="s">
        <v>29</v>
      </c>
      <c r="C119" s="200" t="s">
        <v>29</v>
      </c>
      <c r="D119" s="200" t="s">
        <v>29</v>
      </c>
      <c r="E119" s="198">
        <v>8</v>
      </c>
      <c r="F119" s="198">
        <v>8</v>
      </c>
      <c r="G119" s="198" t="s">
        <v>29</v>
      </c>
      <c r="H119" s="200" t="s">
        <v>29</v>
      </c>
      <c r="I119" s="200">
        <f t="shared" si="16"/>
        <v>16</v>
      </c>
      <c r="K119" s="200" t="s">
        <v>29</v>
      </c>
      <c r="L119" s="200" t="s">
        <v>29</v>
      </c>
      <c r="M119" s="200" t="s">
        <v>29</v>
      </c>
      <c r="N119" s="200">
        <v>5975</v>
      </c>
      <c r="O119" s="200">
        <v>14896</v>
      </c>
      <c r="P119" s="200">
        <v>2202</v>
      </c>
      <c r="Q119" s="200" t="s">
        <v>29</v>
      </c>
      <c r="R119" s="200">
        <f t="shared" si="17"/>
        <v>23073</v>
      </c>
    </row>
    <row r="120" spans="1:18" x14ac:dyDescent="0.2">
      <c r="A120" s="371">
        <v>1997</v>
      </c>
      <c r="B120" s="200" t="s">
        <v>29</v>
      </c>
      <c r="C120" s="200" t="s">
        <v>29</v>
      </c>
      <c r="D120" s="200" t="s">
        <v>29</v>
      </c>
      <c r="E120" s="200">
        <v>1199</v>
      </c>
      <c r="F120" s="200">
        <v>1563</v>
      </c>
      <c r="G120" s="200">
        <v>315</v>
      </c>
      <c r="H120" s="200" t="s">
        <v>29</v>
      </c>
      <c r="I120" s="200">
        <f t="shared" si="16"/>
        <v>3077</v>
      </c>
      <c r="K120" s="200" t="s">
        <v>29</v>
      </c>
      <c r="L120" s="200" t="s">
        <v>29</v>
      </c>
      <c r="M120" s="200" t="s">
        <v>29</v>
      </c>
      <c r="N120" s="200">
        <v>5986</v>
      </c>
      <c r="O120" s="200">
        <v>6745</v>
      </c>
      <c r="P120" s="200">
        <v>424</v>
      </c>
      <c r="Q120" s="200" t="s">
        <v>29</v>
      </c>
      <c r="R120" s="200">
        <f t="shared" si="17"/>
        <v>13155</v>
      </c>
    </row>
    <row r="121" spans="1:18" x14ac:dyDescent="0.2">
      <c r="A121" s="371">
        <v>1998</v>
      </c>
      <c r="B121" s="200" t="s">
        <v>29</v>
      </c>
      <c r="C121" s="200" t="s">
        <v>29</v>
      </c>
      <c r="D121" s="200" t="s">
        <v>29</v>
      </c>
      <c r="E121" s="200" t="s">
        <v>29</v>
      </c>
      <c r="F121" s="200">
        <v>1477</v>
      </c>
      <c r="G121" s="200">
        <v>228</v>
      </c>
      <c r="H121" s="200" t="s">
        <v>29</v>
      </c>
      <c r="I121" s="200">
        <f t="shared" si="16"/>
        <v>1705</v>
      </c>
      <c r="K121" s="200" t="s">
        <v>29</v>
      </c>
      <c r="L121" s="200" t="s">
        <v>29</v>
      </c>
      <c r="M121" s="200" t="s">
        <v>29</v>
      </c>
      <c r="N121" s="200" t="s">
        <v>29</v>
      </c>
      <c r="O121" s="200">
        <v>6628</v>
      </c>
      <c r="P121" s="200">
        <v>1066</v>
      </c>
      <c r="Q121" s="200" t="s">
        <v>29</v>
      </c>
      <c r="R121" s="200">
        <f t="shared" si="17"/>
        <v>7694</v>
      </c>
    </row>
    <row r="122" spans="1:18" x14ac:dyDescent="0.2">
      <c r="A122" s="371">
        <v>1999</v>
      </c>
      <c r="B122" s="200" t="s">
        <v>29</v>
      </c>
      <c r="C122" s="200" t="s">
        <v>29</v>
      </c>
      <c r="D122" s="200" t="s">
        <v>29</v>
      </c>
      <c r="E122" s="200">
        <v>2271</v>
      </c>
      <c r="F122" s="200">
        <v>3103</v>
      </c>
      <c r="G122" s="200">
        <v>1211</v>
      </c>
      <c r="H122" s="200" t="s">
        <v>29</v>
      </c>
      <c r="I122" s="200">
        <f t="shared" si="16"/>
        <v>6585</v>
      </c>
      <c r="K122" s="200" t="s">
        <v>29</v>
      </c>
      <c r="L122" s="200" t="s">
        <v>29</v>
      </c>
      <c r="M122" s="200" t="s">
        <v>29</v>
      </c>
      <c r="N122" s="200">
        <v>4060</v>
      </c>
      <c r="O122" s="200">
        <v>7264</v>
      </c>
      <c r="P122" s="200">
        <v>1271</v>
      </c>
      <c r="Q122" s="200" t="s">
        <v>29</v>
      </c>
      <c r="R122" s="200">
        <f t="shared" si="17"/>
        <v>12595</v>
      </c>
    </row>
    <row r="123" spans="1:18" x14ac:dyDescent="0.2">
      <c r="A123" s="371">
        <v>2000</v>
      </c>
      <c r="B123" s="200" t="s">
        <v>29</v>
      </c>
      <c r="C123" s="200" t="s">
        <v>29</v>
      </c>
      <c r="D123" s="200" t="s">
        <v>29</v>
      </c>
      <c r="E123" s="200">
        <v>4153</v>
      </c>
      <c r="F123" s="200">
        <v>2183</v>
      </c>
      <c r="G123" s="200" t="s">
        <v>29</v>
      </c>
      <c r="H123" s="200" t="s">
        <v>29</v>
      </c>
      <c r="I123" s="200">
        <f t="shared" si="16"/>
        <v>6336</v>
      </c>
      <c r="K123" s="200" t="s">
        <v>29</v>
      </c>
      <c r="L123" s="200" t="s">
        <v>29</v>
      </c>
      <c r="M123" s="200" t="s">
        <v>29</v>
      </c>
      <c r="N123" s="200">
        <v>18554</v>
      </c>
      <c r="O123" s="200">
        <v>10240</v>
      </c>
      <c r="P123" s="200" t="s">
        <v>29</v>
      </c>
      <c r="Q123" s="200" t="s">
        <v>29</v>
      </c>
      <c r="R123" s="200">
        <f t="shared" si="17"/>
        <v>28794</v>
      </c>
    </row>
    <row r="124" spans="1:18" x14ac:dyDescent="0.2">
      <c r="A124" s="371">
        <v>2001</v>
      </c>
      <c r="B124" s="200" t="s">
        <v>29</v>
      </c>
      <c r="C124" s="200" t="s">
        <v>29</v>
      </c>
      <c r="D124" s="200" t="s">
        <v>29</v>
      </c>
      <c r="E124" s="200">
        <v>12205</v>
      </c>
      <c r="F124" s="200">
        <v>2758</v>
      </c>
      <c r="G124" s="200">
        <v>782</v>
      </c>
      <c r="H124" s="200" t="s">
        <v>29</v>
      </c>
      <c r="I124" s="200">
        <f t="shared" si="16"/>
        <v>15745</v>
      </c>
      <c r="K124" s="200" t="s">
        <v>29</v>
      </c>
      <c r="L124" s="200" t="s">
        <v>29</v>
      </c>
      <c r="M124" s="200" t="s">
        <v>29</v>
      </c>
      <c r="N124" s="200">
        <v>31372</v>
      </c>
      <c r="O124" s="200">
        <v>25115</v>
      </c>
      <c r="P124" s="200">
        <v>12909</v>
      </c>
      <c r="Q124" s="200" t="s">
        <v>29</v>
      </c>
      <c r="R124" s="200">
        <f t="shared" si="17"/>
        <v>69396</v>
      </c>
    </row>
    <row r="125" spans="1:18" x14ac:dyDescent="0.2">
      <c r="A125" s="371">
        <v>2002</v>
      </c>
      <c r="B125" s="200" t="s">
        <v>29</v>
      </c>
      <c r="C125" s="200">
        <v>2313</v>
      </c>
      <c r="D125" s="200">
        <v>13877</v>
      </c>
      <c r="E125" s="200">
        <v>17848</v>
      </c>
      <c r="F125" s="200">
        <v>8548</v>
      </c>
      <c r="G125" s="200" t="s">
        <v>29</v>
      </c>
      <c r="H125" s="200" t="s">
        <v>29</v>
      </c>
      <c r="I125" s="200">
        <f t="shared" si="16"/>
        <v>42586</v>
      </c>
      <c r="K125" s="200" t="s">
        <v>29</v>
      </c>
      <c r="L125" s="198">
        <v>5</v>
      </c>
      <c r="M125" s="200">
        <v>271</v>
      </c>
      <c r="N125" s="200">
        <v>8043</v>
      </c>
      <c r="O125" s="200">
        <v>10762</v>
      </c>
      <c r="P125" s="200" t="s">
        <v>29</v>
      </c>
      <c r="Q125" s="200" t="s">
        <v>29</v>
      </c>
      <c r="R125" s="200">
        <f t="shared" si="17"/>
        <v>19081</v>
      </c>
    </row>
    <row r="126" spans="1:18" x14ac:dyDescent="0.2">
      <c r="A126" s="371">
        <v>2003</v>
      </c>
      <c r="B126" s="200" t="s">
        <v>29</v>
      </c>
      <c r="C126" s="200" t="s">
        <v>29</v>
      </c>
      <c r="D126" s="200">
        <v>1972</v>
      </c>
      <c r="E126" s="200">
        <v>9103</v>
      </c>
      <c r="F126" s="200">
        <v>8953</v>
      </c>
      <c r="G126" s="200">
        <v>1786</v>
      </c>
      <c r="H126" s="200" t="s">
        <v>29</v>
      </c>
      <c r="I126" s="200">
        <f t="shared" si="16"/>
        <v>21814</v>
      </c>
      <c r="K126" s="200" t="s">
        <v>29</v>
      </c>
      <c r="L126" s="200" t="s">
        <v>29</v>
      </c>
      <c r="M126" s="200">
        <v>2714</v>
      </c>
      <c r="N126" s="200">
        <v>14882</v>
      </c>
      <c r="O126" s="200">
        <v>17343</v>
      </c>
      <c r="P126" s="200">
        <v>4328</v>
      </c>
      <c r="Q126" s="200" t="s">
        <v>29</v>
      </c>
      <c r="R126" s="200">
        <f t="shared" si="17"/>
        <v>39267</v>
      </c>
    </row>
    <row r="127" spans="1:18" x14ac:dyDescent="0.2">
      <c r="A127" s="348">
        <v>2004</v>
      </c>
      <c r="B127" s="200" t="s">
        <v>29</v>
      </c>
      <c r="C127" s="200" t="s">
        <v>29</v>
      </c>
      <c r="D127" s="200">
        <v>254</v>
      </c>
      <c r="E127" s="200">
        <v>4087</v>
      </c>
      <c r="F127" s="200">
        <v>5358</v>
      </c>
      <c r="G127" s="200">
        <v>1647</v>
      </c>
      <c r="H127" s="200" t="s">
        <v>29</v>
      </c>
      <c r="I127" s="200">
        <v>11340</v>
      </c>
      <c r="K127" s="200" t="s">
        <v>29</v>
      </c>
      <c r="L127" s="200" t="s">
        <v>29</v>
      </c>
      <c r="M127" s="200">
        <v>1183</v>
      </c>
      <c r="N127" s="200">
        <v>7060</v>
      </c>
      <c r="O127" s="200">
        <v>12476</v>
      </c>
      <c r="P127" s="200">
        <v>8617</v>
      </c>
      <c r="Q127" s="200" t="s">
        <v>29</v>
      </c>
      <c r="R127" s="200">
        <f t="shared" si="17"/>
        <v>29336</v>
      </c>
    </row>
    <row r="128" spans="1:18" s="359" customFormat="1" x14ac:dyDescent="0.2">
      <c r="A128" s="348">
        <v>2005</v>
      </c>
      <c r="B128" s="203" t="s">
        <v>29</v>
      </c>
      <c r="C128" s="203" t="s">
        <v>29</v>
      </c>
      <c r="D128" s="203">
        <v>364</v>
      </c>
      <c r="E128" s="203">
        <v>5245</v>
      </c>
      <c r="F128" s="203">
        <v>12179</v>
      </c>
      <c r="G128" s="203">
        <v>4585</v>
      </c>
      <c r="H128" s="203" t="s">
        <v>29</v>
      </c>
      <c r="I128" s="203">
        <f t="shared" ref="I128:I143" si="18">SUM(B128:H128)</f>
        <v>22373</v>
      </c>
      <c r="J128" s="197"/>
      <c r="K128" s="203" t="s">
        <v>29</v>
      </c>
      <c r="L128" s="203" t="s">
        <v>29</v>
      </c>
      <c r="M128" s="203">
        <v>126</v>
      </c>
      <c r="N128" s="203">
        <v>3139</v>
      </c>
      <c r="O128" s="203">
        <v>4869</v>
      </c>
      <c r="P128" s="203">
        <v>2374</v>
      </c>
      <c r="Q128" s="203" t="s">
        <v>29</v>
      </c>
      <c r="R128" s="203">
        <f t="shared" si="17"/>
        <v>10508</v>
      </c>
    </row>
    <row r="129" spans="1:20" x14ac:dyDescent="0.2">
      <c r="A129" s="348">
        <v>2006</v>
      </c>
      <c r="B129" s="200" t="s">
        <v>29</v>
      </c>
      <c r="C129" s="200" t="s">
        <v>29</v>
      </c>
      <c r="D129" s="200" t="s">
        <v>29</v>
      </c>
      <c r="E129" s="200">
        <v>2292.56</v>
      </c>
      <c r="F129" s="200">
        <v>3124.55</v>
      </c>
      <c r="G129" s="200">
        <v>397.96</v>
      </c>
      <c r="H129" s="200" t="s">
        <v>29</v>
      </c>
      <c r="I129" s="200">
        <f t="shared" si="18"/>
        <v>5815.0700000000006</v>
      </c>
      <c r="K129" s="200" t="s">
        <v>29</v>
      </c>
      <c r="L129" s="200" t="s">
        <v>29</v>
      </c>
      <c r="M129" s="200" t="s">
        <v>29</v>
      </c>
      <c r="N129" s="200">
        <v>2007.73</v>
      </c>
      <c r="O129" s="200">
        <v>5675.45</v>
      </c>
      <c r="P129" s="200">
        <v>1095.8499999999999</v>
      </c>
      <c r="Q129" s="200" t="s">
        <v>29</v>
      </c>
      <c r="R129" s="200">
        <f t="shared" si="17"/>
        <v>8779.0300000000007</v>
      </c>
    </row>
    <row r="130" spans="1:20" s="359" customFormat="1" x14ac:dyDescent="0.2">
      <c r="A130" s="348">
        <v>2007</v>
      </c>
      <c r="B130" s="203" t="s">
        <v>29</v>
      </c>
      <c r="C130" s="203" t="s">
        <v>29</v>
      </c>
      <c r="D130" s="203" t="s">
        <v>29</v>
      </c>
      <c r="E130" s="203">
        <v>2493.66</v>
      </c>
      <c r="F130" s="203">
        <v>2544.8000000000002</v>
      </c>
      <c r="G130" s="203">
        <v>208.26</v>
      </c>
      <c r="H130" s="203" t="s">
        <v>29</v>
      </c>
      <c r="I130" s="203">
        <f t="shared" si="18"/>
        <v>5246.72</v>
      </c>
      <c r="J130" s="197"/>
      <c r="K130" s="203" t="s">
        <v>29</v>
      </c>
      <c r="L130" s="203" t="s">
        <v>29</v>
      </c>
      <c r="M130" s="203" t="s">
        <v>29</v>
      </c>
      <c r="N130" s="203">
        <v>7288.86</v>
      </c>
      <c r="O130" s="203">
        <v>14054.53</v>
      </c>
      <c r="P130" s="203">
        <v>1648.27</v>
      </c>
      <c r="Q130" s="203" t="s">
        <v>29</v>
      </c>
      <c r="R130" s="203">
        <f>SUM(K130:Q130)</f>
        <v>22991.66</v>
      </c>
    </row>
    <row r="131" spans="1:20" s="359" customFormat="1" x14ac:dyDescent="0.2">
      <c r="A131" s="348">
        <v>2008</v>
      </c>
      <c r="B131" s="203" t="s">
        <v>29</v>
      </c>
      <c r="C131" s="203" t="s">
        <v>29</v>
      </c>
      <c r="D131" s="203">
        <v>2145.04</v>
      </c>
      <c r="E131" s="203">
        <v>4459</v>
      </c>
      <c r="F131" s="203">
        <v>2735.14</v>
      </c>
      <c r="G131" s="203">
        <v>304.99</v>
      </c>
      <c r="H131" s="203" t="s">
        <v>29</v>
      </c>
      <c r="I131" s="203">
        <f t="shared" si="18"/>
        <v>9644.17</v>
      </c>
      <c r="J131" s="197"/>
      <c r="K131" s="203" t="s">
        <v>29</v>
      </c>
      <c r="L131" s="203" t="s">
        <v>29</v>
      </c>
      <c r="M131" s="203">
        <v>30.03</v>
      </c>
      <c r="N131" s="203">
        <v>2550.4</v>
      </c>
      <c r="O131" s="203">
        <v>3383.09</v>
      </c>
      <c r="P131" s="203">
        <v>1564.09</v>
      </c>
      <c r="Q131" s="200" t="s">
        <v>29</v>
      </c>
      <c r="R131" s="203">
        <f t="shared" ref="R131:R143" si="19">SUM(K131:Q131)</f>
        <v>7527.6100000000006</v>
      </c>
    </row>
    <row r="132" spans="1:20" s="359" customFormat="1" x14ac:dyDescent="0.2">
      <c r="A132" s="348">
        <v>2009</v>
      </c>
      <c r="B132" s="203" t="s">
        <v>29</v>
      </c>
      <c r="C132" s="203" t="s">
        <v>29</v>
      </c>
      <c r="D132" s="203">
        <v>123.86</v>
      </c>
      <c r="E132" s="203">
        <v>2080.0700000000002</v>
      </c>
      <c r="F132" s="203">
        <v>2594.14</v>
      </c>
      <c r="G132" s="203">
        <v>224.79</v>
      </c>
      <c r="H132" s="203" t="s">
        <v>29</v>
      </c>
      <c r="I132" s="203">
        <f t="shared" si="18"/>
        <v>5022.8599999999997</v>
      </c>
      <c r="J132" s="197"/>
      <c r="K132" s="203" t="s">
        <v>29</v>
      </c>
      <c r="L132" s="203" t="s">
        <v>29</v>
      </c>
      <c r="M132" s="203">
        <v>539.4</v>
      </c>
      <c r="N132" s="203">
        <v>10744.81</v>
      </c>
      <c r="O132" s="203">
        <v>33181.379999999997</v>
      </c>
      <c r="P132" s="203">
        <v>9402.7199999999993</v>
      </c>
      <c r="Q132" s="203" t="s">
        <v>29</v>
      </c>
      <c r="R132" s="203">
        <f t="shared" si="19"/>
        <v>53868.31</v>
      </c>
    </row>
    <row r="133" spans="1:20" s="359" customFormat="1" x14ac:dyDescent="0.2">
      <c r="A133" s="348">
        <v>2010</v>
      </c>
      <c r="B133" s="203" t="s">
        <v>29</v>
      </c>
      <c r="C133" s="203" t="s">
        <v>29</v>
      </c>
      <c r="D133" s="203">
        <v>4711.22</v>
      </c>
      <c r="E133" s="203">
        <v>9947.59</v>
      </c>
      <c r="F133" s="203">
        <v>10586.34</v>
      </c>
      <c r="G133" s="203">
        <v>1744.27</v>
      </c>
      <c r="H133" s="203" t="s">
        <v>29</v>
      </c>
      <c r="I133" s="203">
        <f t="shared" si="18"/>
        <v>26989.420000000002</v>
      </c>
      <c r="J133" s="197"/>
      <c r="K133" s="203" t="s">
        <v>29</v>
      </c>
      <c r="L133" s="203" t="s">
        <v>29</v>
      </c>
      <c r="M133" s="203">
        <v>45</v>
      </c>
      <c r="N133" s="203">
        <v>3680.31</v>
      </c>
      <c r="O133" s="203">
        <v>3956.76</v>
      </c>
      <c r="P133" s="203">
        <v>4924.6099999999997</v>
      </c>
      <c r="Q133" s="203" t="s">
        <v>29</v>
      </c>
      <c r="R133" s="203">
        <f t="shared" si="19"/>
        <v>12606.68</v>
      </c>
    </row>
    <row r="134" spans="1:20" s="359" customFormat="1" x14ac:dyDescent="0.2">
      <c r="A134" s="348">
        <v>2011</v>
      </c>
      <c r="B134" s="203" t="s">
        <v>29</v>
      </c>
      <c r="C134" s="203" t="s">
        <v>29</v>
      </c>
      <c r="D134" s="203">
        <v>2219.71</v>
      </c>
      <c r="E134" s="203">
        <v>5579.44</v>
      </c>
      <c r="F134" s="203">
        <v>10834.53</v>
      </c>
      <c r="G134" s="203">
        <v>455.48</v>
      </c>
      <c r="H134" s="203" t="s">
        <v>29</v>
      </c>
      <c r="I134" s="203">
        <f t="shared" si="18"/>
        <v>19089.16</v>
      </c>
      <c r="J134" s="197"/>
      <c r="K134" s="203" t="s">
        <v>29</v>
      </c>
      <c r="L134" s="203" t="s">
        <v>29</v>
      </c>
      <c r="M134" s="203">
        <v>229.23</v>
      </c>
      <c r="N134" s="203">
        <v>4498.6400000000003</v>
      </c>
      <c r="O134" s="203">
        <v>6722.7</v>
      </c>
      <c r="P134" s="203">
        <v>2392.35</v>
      </c>
      <c r="Q134" s="203" t="s">
        <v>29</v>
      </c>
      <c r="R134" s="203">
        <f t="shared" si="19"/>
        <v>13842.92</v>
      </c>
    </row>
    <row r="135" spans="1:20" s="359" customFormat="1" x14ac:dyDescent="0.2">
      <c r="A135" s="348">
        <v>2012</v>
      </c>
      <c r="B135" s="203" t="s">
        <v>29</v>
      </c>
      <c r="C135" s="203" t="s">
        <v>29</v>
      </c>
      <c r="D135" s="203">
        <v>7574.4500000000007</v>
      </c>
      <c r="E135" s="203">
        <v>4032.59</v>
      </c>
      <c r="F135" s="203">
        <v>6708.65</v>
      </c>
      <c r="G135" s="203">
        <v>1170.43</v>
      </c>
      <c r="H135" s="203" t="s">
        <v>29</v>
      </c>
      <c r="I135" s="203">
        <f t="shared" si="18"/>
        <v>19486.120000000003</v>
      </c>
      <c r="J135" s="197"/>
      <c r="K135" s="203" t="s">
        <v>29</v>
      </c>
      <c r="L135" s="203" t="s">
        <v>29</v>
      </c>
      <c r="M135" s="203">
        <v>183.9</v>
      </c>
      <c r="N135" s="203">
        <v>3124.09</v>
      </c>
      <c r="O135" s="203">
        <v>3374.55</v>
      </c>
      <c r="P135" s="203">
        <v>5241.05</v>
      </c>
      <c r="Q135" s="203" t="s">
        <v>29</v>
      </c>
      <c r="R135" s="203">
        <f t="shared" si="19"/>
        <v>11923.59</v>
      </c>
      <c r="T135" s="148">
        <f t="shared" ref="T135:T143" si="20">SUM(E135:G135)</f>
        <v>11911.67</v>
      </c>
    </row>
    <row r="136" spans="1:20" s="359" customFormat="1" x14ac:dyDescent="0.2">
      <c r="A136" s="348">
        <v>2013</v>
      </c>
      <c r="B136" s="203" t="s">
        <v>29</v>
      </c>
      <c r="C136" s="203" t="s">
        <v>29</v>
      </c>
      <c r="D136" s="203">
        <v>2191.87</v>
      </c>
      <c r="E136" s="203">
        <v>3402.53</v>
      </c>
      <c r="F136" s="203">
        <v>7021.17</v>
      </c>
      <c r="G136" s="203">
        <v>1073.68</v>
      </c>
      <c r="H136" s="203" t="s">
        <v>29</v>
      </c>
      <c r="I136" s="203">
        <f t="shared" si="18"/>
        <v>13689.25</v>
      </c>
      <c r="J136" s="197"/>
      <c r="K136" s="203" t="s">
        <v>29</v>
      </c>
      <c r="L136" s="203" t="s">
        <v>29</v>
      </c>
      <c r="M136" s="203">
        <v>378.96</v>
      </c>
      <c r="N136" s="203">
        <v>3097.35</v>
      </c>
      <c r="O136" s="203">
        <v>12233.16</v>
      </c>
      <c r="P136" s="203">
        <v>4667.62</v>
      </c>
      <c r="Q136" s="203" t="s">
        <v>29</v>
      </c>
      <c r="R136" s="203">
        <f t="shared" si="19"/>
        <v>20377.09</v>
      </c>
      <c r="T136" s="148">
        <f t="shared" si="20"/>
        <v>11497.380000000001</v>
      </c>
    </row>
    <row r="137" spans="1:20" s="359" customFormat="1" x14ac:dyDescent="0.2">
      <c r="A137" s="348">
        <v>2014</v>
      </c>
      <c r="B137" s="203" t="s">
        <v>29</v>
      </c>
      <c r="C137" s="203">
        <v>426.92</v>
      </c>
      <c r="D137" s="203">
        <v>3934.96</v>
      </c>
      <c r="E137" s="203">
        <v>8189.61</v>
      </c>
      <c r="F137" s="203">
        <v>9943.92</v>
      </c>
      <c r="G137" s="203">
        <v>970.23</v>
      </c>
      <c r="H137" s="203" t="s">
        <v>29</v>
      </c>
      <c r="I137" s="203">
        <f t="shared" si="18"/>
        <v>23465.64</v>
      </c>
      <c r="J137" s="197"/>
      <c r="K137" s="203" t="s">
        <v>29</v>
      </c>
      <c r="L137" s="203" t="s">
        <v>29</v>
      </c>
      <c r="M137" s="203">
        <v>5934.61</v>
      </c>
      <c r="N137" s="203">
        <v>17686.759999999998</v>
      </c>
      <c r="O137" s="203">
        <v>17873.830000000002</v>
      </c>
      <c r="P137" s="203">
        <v>12978.5</v>
      </c>
      <c r="Q137" s="203" t="s">
        <v>29</v>
      </c>
      <c r="R137" s="203">
        <f t="shared" si="19"/>
        <v>54473.7</v>
      </c>
      <c r="T137" s="148">
        <f t="shared" si="20"/>
        <v>19103.759999999998</v>
      </c>
    </row>
    <row r="138" spans="1:20" s="359" customFormat="1" x14ac:dyDescent="0.2">
      <c r="A138" s="348">
        <v>2015</v>
      </c>
      <c r="B138" s="203" t="s">
        <v>29</v>
      </c>
      <c r="C138" s="203">
        <v>430.87</v>
      </c>
      <c r="D138" s="203">
        <v>3345.3399999999997</v>
      </c>
      <c r="E138" s="203">
        <v>8048.46</v>
      </c>
      <c r="F138" s="203">
        <v>4613.24</v>
      </c>
      <c r="G138" s="203">
        <v>2682.03</v>
      </c>
      <c r="H138" s="203" t="s">
        <v>29</v>
      </c>
      <c r="I138" s="203">
        <f>SUM(B138:H138)</f>
        <v>19119.939999999999</v>
      </c>
      <c r="J138" s="197"/>
      <c r="K138" s="203" t="s">
        <v>29</v>
      </c>
      <c r="L138" s="203" t="s">
        <v>29</v>
      </c>
      <c r="M138" s="203">
        <v>2357.4299999999998</v>
      </c>
      <c r="N138" s="203">
        <v>12753.31</v>
      </c>
      <c r="O138" s="203">
        <v>7357.5</v>
      </c>
      <c r="P138" s="203">
        <v>8215.7199999999993</v>
      </c>
      <c r="Q138" s="203" t="s">
        <v>29</v>
      </c>
      <c r="R138" s="203">
        <f>SUM(K138:Q138)</f>
        <v>30683.96</v>
      </c>
      <c r="T138" s="148">
        <f t="shared" si="20"/>
        <v>15343.730000000001</v>
      </c>
    </row>
    <row r="139" spans="1:20" s="359" customFormat="1" x14ac:dyDescent="0.2">
      <c r="A139" s="348">
        <v>2016</v>
      </c>
      <c r="B139" s="203" t="s">
        <v>29</v>
      </c>
      <c r="C139" s="203" t="s">
        <v>29</v>
      </c>
      <c r="D139" s="203" t="s">
        <v>29</v>
      </c>
      <c r="E139" s="203">
        <v>4198.25</v>
      </c>
      <c r="F139" s="203">
        <v>4231.6099999999997</v>
      </c>
      <c r="G139" s="203" t="s">
        <v>29</v>
      </c>
      <c r="H139" s="203" t="s">
        <v>29</v>
      </c>
      <c r="I139" s="203">
        <f>SUM(B139:H139)</f>
        <v>8429.86</v>
      </c>
      <c r="J139" s="197"/>
      <c r="K139" s="203" t="s">
        <v>29</v>
      </c>
      <c r="L139" s="203" t="s">
        <v>29</v>
      </c>
      <c r="M139" s="203" t="s">
        <v>29</v>
      </c>
      <c r="N139" s="203">
        <v>30.02</v>
      </c>
      <c r="O139" s="203">
        <v>12.77</v>
      </c>
      <c r="P139" s="203" t="s">
        <v>29</v>
      </c>
      <c r="Q139" s="203" t="s">
        <v>29</v>
      </c>
      <c r="R139" s="203">
        <f>SUM(K139:Q139)</f>
        <v>42.79</v>
      </c>
      <c r="T139" s="148">
        <f t="shared" si="20"/>
        <v>8429.86</v>
      </c>
    </row>
    <row r="140" spans="1:20" s="359" customFormat="1" x14ac:dyDescent="0.2">
      <c r="A140" s="348">
        <v>2017</v>
      </c>
      <c r="B140" s="203" t="s">
        <v>29</v>
      </c>
      <c r="C140" s="203" t="s">
        <v>29</v>
      </c>
      <c r="D140" s="203" t="s">
        <v>29</v>
      </c>
      <c r="E140" s="203">
        <v>4247.09</v>
      </c>
      <c r="F140" s="203">
        <v>2357.5</v>
      </c>
      <c r="G140" s="203" t="s">
        <v>29</v>
      </c>
      <c r="H140" s="203" t="s">
        <v>29</v>
      </c>
      <c r="I140" s="203">
        <f>SUM(B140:H140)</f>
        <v>6604.59</v>
      </c>
      <c r="J140" s="197"/>
      <c r="K140" s="203" t="s">
        <v>29</v>
      </c>
      <c r="L140" s="203" t="s">
        <v>29</v>
      </c>
      <c r="M140" s="203" t="s">
        <v>29</v>
      </c>
      <c r="N140" s="203">
        <v>6664.33</v>
      </c>
      <c r="O140" s="203">
        <v>9085.5400000000009</v>
      </c>
      <c r="P140" s="203" t="s">
        <v>29</v>
      </c>
      <c r="Q140" s="203" t="s">
        <v>29</v>
      </c>
      <c r="R140" s="203">
        <f>SUM(K140:Q140)</f>
        <v>15749.87</v>
      </c>
      <c r="T140" s="148">
        <f>SUM(E140:G140)</f>
        <v>6604.59</v>
      </c>
    </row>
    <row r="141" spans="1:20" s="359" customFormat="1" x14ac:dyDescent="0.2">
      <c r="A141" s="348">
        <v>2018</v>
      </c>
      <c r="B141" s="203" t="s">
        <v>29</v>
      </c>
      <c r="C141" s="203" t="s">
        <v>29</v>
      </c>
      <c r="D141" s="203" t="s">
        <v>29</v>
      </c>
      <c r="E141" s="203">
        <v>2537.14</v>
      </c>
      <c r="F141" s="203">
        <v>2307.21</v>
      </c>
      <c r="G141" s="203">
        <v>32.450000000000003</v>
      </c>
      <c r="H141" s="203" t="s">
        <v>29</v>
      </c>
      <c r="I141" s="203">
        <f>SUM(B141:H141)</f>
        <v>4876.8</v>
      </c>
      <c r="J141" s="197"/>
      <c r="K141" s="203" t="s">
        <v>29</v>
      </c>
      <c r="L141" s="203" t="s">
        <v>29</v>
      </c>
      <c r="M141" s="203" t="s">
        <v>29</v>
      </c>
      <c r="N141" s="203">
        <v>1638.1399999999999</v>
      </c>
      <c r="O141" s="203">
        <v>13495.68</v>
      </c>
      <c r="P141" s="203">
        <v>235.91</v>
      </c>
      <c r="Q141" s="203" t="s">
        <v>29</v>
      </c>
      <c r="R141" s="203">
        <f>SUM(K141:Q141)</f>
        <v>15369.73</v>
      </c>
      <c r="T141" s="148">
        <f>SUM(E141:G141)</f>
        <v>4876.8</v>
      </c>
    </row>
    <row r="142" spans="1:20" s="487" customFormat="1" x14ac:dyDescent="0.2">
      <c r="A142" s="491">
        <v>2019</v>
      </c>
      <c r="B142" s="203" t="s">
        <v>29</v>
      </c>
      <c r="C142" s="203" t="s">
        <v>29</v>
      </c>
      <c r="D142" s="203">
        <v>125.65</v>
      </c>
      <c r="E142" s="203">
        <v>1163.45</v>
      </c>
      <c r="F142" s="203">
        <v>958.62</v>
      </c>
      <c r="G142" s="203">
        <v>120.58</v>
      </c>
      <c r="H142" s="203" t="s">
        <v>29</v>
      </c>
      <c r="I142" s="203">
        <f t="shared" ref="I142" si="21">SUM(B142:H142)</f>
        <v>2368.3000000000002</v>
      </c>
      <c r="J142" s="197"/>
      <c r="K142" s="203" t="s">
        <v>29</v>
      </c>
      <c r="L142" s="203" t="s">
        <v>29</v>
      </c>
      <c r="M142" s="203">
        <v>340.96</v>
      </c>
      <c r="N142" s="203">
        <v>7878.28</v>
      </c>
      <c r="O142" s="203">
        <v>10930.16</v>
      </c>
      <c r="P142" s="203">
        <v>1077.44</v>
      </c>
      <c r="Q142" s="203" t="s">
        <v>29</v>
      </c>
      <c r="R142" s="203">
        <f t="shared" ref="R142" si="22">SUM(K142:Q142)</f>
        <v>20226.84</v>
      </c>
      <c r="T142" s="148">
        <f t="shared" ref="T142" si="23">SUM(E142:G142)</f>
        <v>2242.65</v>
      </c>
    </row>
    <row r="143" spans="1:20" x14ac:dyDescent="0.2">
      <c r="A143" s="491" t="s">
        <v>391</v>
      </c>
      <c r="B143" s="200" t="s">
        <v>29</v>
      </c>
      <c r="C143" s="200" t="s">
        <v>29</v>
      </c>
      <c r="D143" s="200">
        <v>51.49</v>
      </c>
      <c r="E143" s="200">
        <v>2749.51</v>
      </c>
      <c r="F143" s="200">
        <v>1538.12</v>
      </c>
      <c r="G143" s="200">
        <v>478.51</v>
      </c>
      <c r="H143" s="200" t="s">
        <v>29</v>
      </c>
      <c r="I143" s="200">
        <f t="shared" si="18"/>
        <v>4817.63</v>
      </c>
      <c r="K143" s="200" t="s">
        <v>29</v>
      </c>
      <c r="L143" s="200" t="s">
        <v>29</v>
      </c>
      <c r="M143" s="200" t="s">
        <v>29</v>
      </c>
      <c r="N143" s="200">
        <v>2483.8200000000002</v>
      </c>
      <c r="O143" s="200">
        <v>3104.51</v>
      </c>
      <c r="P143" s="200">
        <v>2304.38</v>
      </c>
      <c r="Q143" s="203" t="s">
        <v>29</v>
      </c>
      <c r="R143" s="200">
        <f t="shared" si="19"/>
        <v>7892.71</v>
      </c>
      <c r="T143" s="22">
        <f t="shared" si="20"/>
        <v>4766.1400000000003</v>
      </c>
    </row>
    <row r="145" spans="1:18" x14ac:dyDescent="0.2">
      <c r="A145" s="116" t="s">
        <v>286</v>
      </c>
    </row>
    <row r="146" spans="1:18" x14ac:dyDescent="0.2">
      <c r="A146" s="371">
        <v>1976</v>
      </c>
      <c r="B146" s="200" t="s">
        <v>29</v>
      </c>
      <c r="C146" s="200">
        <v>4673</v>
      </c>
      <c r="D146" s="200">
        <v>20793</v>
      </c>
      <c r="E146" s="200">
        <v>10751</v>
      </c>
      <c r="F146" s="200">
        <v>18429</v>
      </c>
      <c r="G146" s="200">
        <v>5938</v>
      </c>
      <c r="H146" s="200">
        <v>390</v>
      </c>
      <c r="I146" s="200">
        <f t="shared" ref="I146:I163" si="24">SUM(B146:H146)</f>
        <v>60974</v>
      </c>
      <c r="K146" s="200" t="s">
        <v>29</v>
      </c>
      <c r="L146" s="200">
        <v>6660</v>
      </c>
      <c r="M146" s="200">
        <v>47349</v>
      </c>
      <c r="N146" s="200">
        <v>120861</v>
      </c>
      <c r="O146" s="200">
        <v>127061</v>
      </c>
      <c r="P146" s="200">
        <v>66155</v>
      </c>
      <c r="Q146" s="200">
        <v>3791</v>
      </c>
      <c r="R146" s="200">
        <f t="shared" ref="R146:R163" si="25">SUM(K146:Q146)</f>
        <v>371877</v>
      </c>
    </row>
    <row r="147" spans="1:18" x14ac:dyDescent="0.2">
      <c r="A147" s="371">
        <v>1977</v>
      </c>
      <c r="B147" s="200">
        <v>435</v>
      </c>
      <c r="C147" s="200">
        <v>4053</v>
      </c>
      <c r="D147" s="200">
        <v>9462</v>
      </c>
      <c r="E147" s="200">
        <v>13725</v>
      </c>
      <c r="F147" s="198">
        <v>32847</v>
      </c>
      <c r="G147" s="198">
        <v>3340</v>
      </c>
      <c r="H147" s="198">
        <v>137</v>
      </c>
      <c r="I147" s="198">
        <f t="shared" si="24"/>
        <v>63999</v>
      </c>
      <c r="J147" s="31"/>
      <c r="K147" s="198">
        <v>5</v>
      </c>
      <c r="L147" s="198">
        <v>4629</v>
      </c>
      <c r="M147" s="198">
        <v>35223</v>
      </c>
      <c r="N147" s="198">
        <v>61275</v>
      </c>
      <c r="O147" s="198">
        <v>58329</v>
      </c>
      <c r="P147" s="198">
        <v>20789</v>
      </c>
      <c r="Q147" s="198">
        <v>2725</v>
      </c>
      <c r="R147" s="198">
        <f t="shared" si="25"/>
        <v>182975</v>
      </c>
    </row>
    <row r="148" spans="1:18" x14ac:dyDescent="0.2">
      <c r="A148" s="371">
        <v>1978</v>
      </c>
      <c r="B148" s="200">
        <v>137</v>
      </c>
      <c r="C148" s="200">
        <v>405</v>
      </c>
      <c r="D148" s="200">
        <v>4775</v>
      </c>
      <c r="E148" s="200">
        <v>5056</v>
      </c>
      <c r="F148" s="198">
        <v>9417</v>
      </c>
      <c r="G148" s="198">
        <v>1792</v>
      </c>
      <c r="H148" s="198">
        <v>186</v>
      </c>
      <c r="I148" s="198">
        <f t="shared" si="24"/>
        <v>21768</v>
      </c>
      <c r="J148" s="31"/>
      <c r="K148" s="198">
        <v>980</v>
      </c>
      <c r="L148" s="198">
        <v>6166</v>
      </c>
      <c r="M148" s="198">
        <v>51920</v>
      </c>
      <c r="N148" s="198">
        <v>57952</v>
      </c>
      <c r="O148" s="198">
        <v>49331</v>
      </c>
      <c r="P148" s="198">
        <v>30591</v>
      </c>
      <c r="Q148" s="198">
        <v>1834</v>
      </c>
      <c r="R148" s="198">
        <f t="shared" si="25"/>
        <v>198774</v>
      </c>
    </row>
    <row r="149" spans="1:18" x14ac:dyDescent="0.2">
      <c r="A149" s="371">
        <v>1979</v>
      </c>
      <c r="B149" s="200" t="s">
        <v>29</v>
      </c>
      <c r="C149" s="200">
        <v>2</v>
      </c>
      <c r="D149" s="200">
        <v>8087</v>
      </c>
      <c r="E149" s="200">
        <v>3845</v>
      </c>
      <c r="F149" s="198">
        <v>9757</v>
      </c>
      <c r="G149" s="198">
        <v>52</v>
      </c>
      <c r="H149" s="198">
        <v>15</v>
      </c>
      <c r="I149" s="198">
        <f t="shared" si="24"/>
        <v>21758</v>
      </c>
      <c r="J149" s="31"/>
      <c r="K149" s="198" t="s">
        <v>29</v>
      </c>
      <c r="L149" s="198">
        <v>2847</v>
      </c>
      <c r="M149" s="198">
        <v>19508</v>
      </c>
      <c r="N149" s="198">
        <v>45370</v>
      </c>
      <c r="O149" s="198">
        <v>53826</v>
      </c>
      <c r="P149" s="198">
        <v>1246</v>
      </c>
      <c r="Q149" s="198">
        <v>532</v>
      </c>
      <c r="R149" s="198">
        <f t="shared" si="25"/>
        <v>123329</v>
      </c>
    </row>
    <row r="150" spans="1:18" x14ac:dyDescent="0.2">
      <c r="A150" s="371">
        <v>1980</v>
      </c>
      <c r="B150" s="200" t="s">
        <v>29</v>
      </c>
      <c r="C150" s="200">
        <v>963</v>
      </c>
      <c r="D150" s="200">
        <v>2596</v>
      </c>
      <c r="E150" s="200">
        <v>4106</v>
      </c>
      <c r="F150" s="198">
        <v>8497</v>
      </c>
      <c r="G150" s="198">
        <v>185</v>
      </c>
      <c r="H150" s="198" t="s">
        <v>29</v>
      </c>
      <c r="I150" s="198">
        <f t="shared" si="24"/>
        <v>16347</v>
      </c>
      <c r="J150" s="31"/>
      <c r="K150" s="198" t="s">
        <v>29</v>
      </c>
      <c r="L150" s="198">
        <v>7832</v>
      </c>
      <c r="M150" s="198">
        <v>47992</v>
      </c>
      <c r="N150" s="198">
        <v>60371</v>
      </c>
      <c r="O150" s="198">
        <v>37654</v>
      </c>
      <c r="P150" s="198">
        <v>628</v>
      </c>
      <c r="Q150" s="198" t="s">
        <v>29</v>
      </c>
      <c r="R150" s="198">
        <f t="shared" si="25"/>
        <v>154477</v>
      </c>
    </row>
    <row r="151" spans="1:18" x14ac:dyDescent="0.2">
      <c r="A151" s="371">
        <v>1981</v>
      </c>
      <c r="B151" s="200" t="s">
        <v>29</v>
      </c>
      <c r="C151" s="200">
        <v>146</v>
      </c>
      <c r="D151" s="200">
        <v>709</v>
      </c>
      <c r="E151" s="200">
        <v>5843</v>
      </c>
      <c r="F151" s="198">
        <f>15992+1207</f>
        <v>17199</v>
      </c>
      <c r="G151" s="198" t="s">
        <v>29</v>
      </c>
      <c r="H151" s="198" t="s">
        <v>29</v>
      </c>
      <c r="I151" s="198">
        <f t="shared" si="24"/>
        <v>23897</v>
      </c>
      <c r="J151" s="31"/>
      <c r="K151" s="198" t="s">
        <v>29</v>
      </c>
      <c r="L151" s="198">
        <v>5410</v>
      </c>
      <c r="M151" s="198">
        <v>22435</v>
      </c>
      <c r="N151" s="198">
        <v>41574</v>
      </c>
      <c r="O151" s="198">
        <f>43369+5825</f>
        <v>49194</v>
      </c>
      <c r="P151" s="198" t="s">
        <v>29</v>
      </c>
      <c r="Q151" s="198" t="s">
        <v>29</v>
      </c>
      <c r="R151" s="198">
        <f t="shared" si="25"/>
        <v>118613</v>
      </c>
    </row>
    <row r="152" spans="1:18" x14ac:dyDescent="0.2">
      <c r="A152" s="371">
        <v>1982</v>
      </c>
      <c r="B152" s="200" t="s">
        <v>29</v>
      </c>
      <c r="C152" s="200">
        <v>0</v>
      </c>
      <c r="D152" s="200">
        <v>8357</v>
      </c>
      <c r="E152" s="200">
        <v>10169</v>
      </c>
      <c r="F152" s="198">
        <v>917</v>
      </c>
      <c r="G152" s="198" t="s">
        <v>29</v>
      </c>
      <c r="H152" s="198">
        <f>36+4</f>
        <v>40</v>
      </c>
      <c r="I152" s="198">
        <f t="shared" si="24"/>
        <v>19483</v>
      </c>
      <c r="J152" s="31"/>
      <c r="K152" s="198" t="s">
        <v>29</v>
      </c>
      <c r="L152" s="198" t="s">
        <v>29</v>
      </c>
      <c r="M152" s="198">
        <v>9978</v>
      </c>
      <c r="N152" s="198">
        <v>58762</v>
      </c>
      <c r="O152" s="198">
        <v>6040</v>
      </c>
      <c r="P152" s="198">
        <v>7661</v>
      </c>
      <c r="Q152" s="198">
        <f>782+43</f>
        <v>825</v>
      </c>
      <c r="R152" s="198">
        <f t="shared" si="25"/>
        <v>83266</v>
      </c>
    </row>
    <row r="153" spans="1:18" x14ac:dyDescent="0.2">
      <c r="A153" s="371">
        <v>1983</v>
      </c>
      <c r="B153" s="200" t="s">
        <v>29</v>
      </c>
      <c r="C153" s="200">
        <v>114</v>
      </c>
      <c r="D153" s="200">
        <v>4317</v>
      </c>
      <c r="E153" s="200">
        <v>3945</v>
      </c>
      <c r="F153" s="198">
        <v>1112</v>
      </c>
      <c r="G153" s="198">
        <v>537</v>
      </c>
      <c r="H153" s="198" t="s">
        <v>29</v>
      </c>
      <c r="I153" s="198">
        <f t="shared" si="24"/>
        <v>10025</v>
      </c>
      <c r="J153" s="31"/>
      <c r="K153" s="198" t="s">
        <v>29</v>
      </c>
      <c r="L153" s="198" t="s">
        <v>29</v>
      </c>
      <c r="M153" s="198">
        <v>7403</v>
      </c>
      <c r="N153" s="198">
        <v>41286</v>
      </c>
      <c r="O153" s="198">
        <v>26836</v>
      </c>
      <c r="P153" s="198">
        <v>10041</v>
      </c>
      <c r="Q153" s="198" t="s">
        <v>29</v>
      </c>
      <c r="R153" s="198">
        <f t="shared" si="25"/>
        <v>85566</v>
      </c>
    </row>
    <row r="154" spans="1:18" x14ac:dyDescent="0.2">
      <c r="A154" s="371">
        <v>1984</v>
      </c>
      <c r="B154" s="200" t="s">
        <v>29</v>
      </c>
      <c r="C154" s="200">
        <v>596</v>
      </c>
      <c r="D154" s="200" t="s">
        <v>29</v>
      </c>
      <c r="E154" s="198">
        <v>16</v>
      </c>
      <c r="F154" s="198">
        <v>51</v>
      </c>
      <c r="G154" s="198" t="s">
        <v>29</v>
      </c>
      <c r="H154" s="198" t="s">
        <v>29</v>
      </c>
      <c r="I154" s="198">
        <f t="shared" si="24"/>
        <v>663</v>
      </c>
      <c r="J154" s="31"/>
      <c r="K154" s="198" t="s">
        <v>29</v>
      </c>
      <c r="L154" s="198" t="s">
        <v>29</v>
      </c>
      <c r="M154" s="198" t="s">
        <v>29</v>
      </c>
      <c r="N154" s="198">
        <v>7206</v>
      </c>
      <c r="O154" s="198">
        <v>16058</v>
      </c>
      <c r="P154" s="198" t="s">
        <v>29</v>
      </c>
      <c r="Q154" s="198" t="s">
        <v>29</v>
      </c>
      <c r="R154" s="198">
        <f t="shared" si="25"/>
        <v>23264</v>
      </c>
    </row>
    <row r="155" spans="1:18" x14ac:dyDescent="0.2">
      <c r="A155" s="371">
        <v>1985</v>
      </c>
      <c r="B155" s="200" t="s">
        <v>29</v>
      </c>
      <c r="C155" s="200" t="s">
        <v>29</v>
      </c>
      <c r="D155" s="200">
        <v>71</v>
      </c>
      <c r="E155" s="200">
        <v>2754</v>
      </c>
      <c r="F155" s="200">
        <v>3244</v>
      </c>
      <c r="G155" s="198">
        <v>20</v>
      </c>
      <c r="H155" s="200" t="s">
        <v>29</v>
      </c>
      <c r="I155" s="200">
        <f t="shared" si="24"/>
        <v>6089</v>
      </c>
      <c r="K155" s="200" t="s">
        <v>29</v>
      </c>
      <c r="L155" s="200" t="s">
        <v>29</v>
      </c>
      <c r="M155" s="200">
        <v>1368</v>
      </c>
      <c r="N155" s="200">
        <v>33039</v>
      </c>
      <c r="O155" s="200">
        <v>34055</v>
      </c>
      <c r="P155" s="198">
        <v>244</v>
      </c>
      <c r="Q155" s="200" t="s">
        <v>29</v>
      </c>
      <c r="R155" s="200">
        <f t="shared" si="25"/>
        <v>68706</v>
      </c>
    </row>
    <row r="156" spans="1:18" x14ac:dyDescent="0.2">
      <c r="A156" s="371">
        <v>1986</v>
      </c>
      <c r="B156" s="200" t="s">
        <v>29</v>
      </c>
      <c r="C156" s="200" t="s">
        <v>29</v>
      </c>
      <c r="D156" s="200">
        <v>51</v>
      </c>
      <c r="E156" s="200">
        <v>982</v>
      </c>
      <c r="F156" s="200">
        <v>1192</v>
      </c>
      <c r="G156" s="200" t="s">
        <v>29</v>
      </c>
      <c r="H156" s="200" t="s">
        <v>29</v>
      </c>
      <c r="I156" s="200">
        <f t="shared" si="24"/>
        <v>2225</v>
      </c>
      <c r="K156" s="200" t="s">
        <v>29</v>
      </c>
      <c r="L156" s="200" t="s">
        <v>29</v>
      </c>
      <c r="M156" s="200">
        <v>2156</v>
      </c>
      <c r="N156" s="200">
        <v>36721</v>
      </c>
      <c r="O156" s="200">
        <v>28811</v>
      </c>
      <c r="P156" s="200" t="s">
        <v>29</v>
      </c>
      <c r="Q156" s="200" t="s">
        <v>29</v>
      </c>
      <c r="R156" s="200">
        <f t="shared" si="25"/>
        <v>67688</v>
      </c>
    </row>
    <row r="157" spans="1:18" x14ac:dyDescent="0.2">
      <c r="A157" s="371">
        <v>1987</v>
      </c>
      <c r="B157" s="200" t="s">
        <v>29</v>
      </c>
      <c r="C157" s="200" t="s">
        <v>29</v>
      </c>
      <c r="D157" s="200">
        <v>187</v>
      </c>
      <c r="E157" s="200">
        <v>2845</v>
      </c>
      <c r="F157" s="200">
        <v>4934</v>
      </c>
      <c r="G157" s="200" t="s">
        <v>29</v>
      </c>
      <c r="H157" s="200" t="s">
        <v>29</v>
      </c>
      <c r="I157" s="200">
        <f t="shared" si="24"/>
        <v>7966</v>
      </c>
      <c r="K157" s="200" t="s">
        <v>29</v>
      </c>
      <c r="L157" s="200" t="s">
        <v>29</v>
      </c>
      <c r="M157" s="200">
        <v>1632</v>
      </c>
      <c r="N157" s="200">
        <v>26336</v>
      </c>
      <c r="O157" s="200">
        <v>26336</v>
      </c>
      <c r="P157" s="200" t="s">
        <v>29</v>
      </c>
      <c r="Q157" s="200" t="s">
        <v>29</v>
      </c>
      <c r="R157" s="200">
        <f t="shared" si="25"/>
        <v>54304</v>
      </c>
    </row>
    <row r="158" spans="1:18" x14ac:dyDescent="0.2">
      <c r="A158" s="371">
        <v>1988</v>
      </c>
      <c r="B158" s="200" t="s">
        <v>29</v>
      </c>
      <c r="C158" s="200" t="s">
        <v>29</v>
      </c>
      <c r="D158" s="200" t="s">
        <v>29</v>
      </c>
      <c r="E158" s="200">
        <v>1088</v>
      </c>
      <c r="F158" s="198">
        <v>64</v>
      </c>
      <c r="G158" s="198">
        <v>4</v>
      </c>
      <c r="H158" s="200" t="s">
        <v>29</v>
      </c>
      <c r="I158" s="200">
        <f t="shared" si="24"/>
        <v>1156</v>
      </c>
      <c r="K158" s="200" t="s">
        <v>29</v>
      </c>
      <c r="L158" s="200" t="s">
        <v>29</v>
      </c>
      <c r="M158" s="200" t="s">
        <v>29</v>
      </c>
      <c r="N158" s="200">
        <v>20834</v>
      </c>
      <c r="O158" s="198">
        <v>904</v>
      </c>
      <c r="P158" s="198">
        <v>66</v>
      </c>
      <c r="Q158" s="200" t="s">
        <v>29</v>
      </c>
      <c r="R158" s="200">
        <f t="shared" si="25"/>
        <v>21804</v>
      </c>
    </row>
    <row r="159" spans="1:18" x14ac:dyDescent="0.2">
      <c r="A159" s="371">
        <v>1989</v>
      </c>
      <c r="B159" s="200" t="s">
        <v>29</v>
      </c>
      <c r="C159" s="200">
        <v>111</v>
      </c>
      <c r="D159" s="200">
        <v>476</v>
      </c>
      <c r="E159" s="200">
        <v>731</v>
      </c>
      <c r="F159" s="200">
        <v>4142</v>
      </c>
      <c r="G159" s="200" t="s">
        <v>29</v>
      </c>
      <c r="H159" s="200" t="s">
        <v>29</v>
      </c>
      <c r="I159" s="200">
        <f t="shared" si="24"/>
        <v>5460</v>
      </c>
      <c r="K159" s="200" t="s">
        <v>29</v>
      </c>
      <c r="L159" s="200" t="s">
        <v>29</v>
      </c>
      <c r="M159" s="200">
        <v>24</v>
      </c>
      <c r="N159" s="200">
        <v>39904</v>
      </c>
      <c r="O159" s="200">
        <v>42743</v>
      </c>
      <c r="P159" s="200" t="s">
        <v>29</v>
      </c>
      <c r="Q159" s="200" t="s">
        <v>29</v>
      </c>
      <c r="R159" s="200">
        <f t="shared" si="25"/>
        <v>82671</v>
      </c>
    </row>
    <row r="160" spans="1:18" x14ac:dyDescent="0.2">
      <c r="A160" s="371">
        <v>1990</v>
      </c>
      <c r="B160" s="200" t="s">
        <v>29</v>
      </c>
      <c r="C160" s="200" t="s">
        <v>29</v>
      </c>
      <c r="D160" s="200">
        <v>218</v>
      </c>
      <c r="E160" s="200">
        <v>3321</v>
      </c>
      <c r="F160" s="200">
        <v>6176</v>
      </c>
      <c r="G160" s="200">
        <v>148</v>
      </c>
      <c r="H160" s="200" t="s">
        <v>29</v>
      </c>
      <c r="I160" s="200">
        <f t="shared" si="24"/>
        <v>9863</v>
      </c>
      <c r="K160" s="200" t="s">
        <v>29</v>
      </c>
      <c r="L160" s="200" t="s">
        <v>29</v>
      </c>
      <c r="M160" s="200">
        <v>6739</v>
      </c>
      <c r="N160" s="200">
        <v>40527</v>
      </c>
      <c r="O160" s="200">
        <v>36445</v>
      </c>
      <c r="P160" s="200">
        <v>4161</v>
      </c>
      <c r="Q160" s="200" t="s">
        <v>29</v>
      </c>
      <c r="R160" s="200">
        <f t="shared" si="25"/>
        <v>87872</v>
      </c>
    </row>
    <row r="161" spans="1:18" x14ac:dyDescent="0.2">
      <c r="A161" s="371">
        <v>1991</v>
      </c>
      <c r="B161" s="200" t="s">
        <v>29</v>
      </c>
      <c r="C161" s="200" t="s">
        <v>29</v>
      </c>
      <c r="D161" s="200">
        <v>171</v>
      </c>
      <c r="E161" s="200">
        <v>1180</v>
      </c>
      <c r="F161" s="200">
        <v>941</v>
      </c>
      <c r="G161" s="200">
        <v>52</v>
      </c>
      <c r="H161" s="200" t="s">
        <v>29</v>
      </c>
      <c r="I161" s="200">
        <f t="shared" si="24"/>
        <v>2344</v>
      </c>
      <c r="K161" s="200" t="s">
        <v>29</v>
      </c>
      <c r="L161" s="200" t="s">
        <v>29</v>
      </c>
      <c r="M161" s="200">
        <v>5466</v>
      </c>
      <c r="N161" s="200">
        <v>45792</v>
      </c>
      <c r="O161" s="200">
        <v>16405</v>
      </c>
      <c r="P161" s="200">
        <v>7535</v>
      </c>
      <c r="Q161" s="200" t="s">
        <v>29</v>
      </c>
      <c r="R161" s="200">
        <f t="shared" si="25"/>
        <v>75198</v>
      </c>
    </row>
    <row r="162" spans="1:18" x14ac:dyDescent="0.2">
      <c r="A162" s="371">
        <v>1992</v>
      </c>
      <c r="B162" s="200" t="s">
        <v>29</v>
      </c>
      <c r="C162" s="200" t="s">
        <v>29</v>
      </c>
      <c r="D162" s="198">
        <v>0</v>
      </c>
      <c r="E162" s="200">
        <v>857</v>
      </c>
      <c r="F162" s="200">
        <v>466</v>
      </c>
      <c r="G162" s="200">
        <v>134</v>
      </c>
      <c r="H162" s="200" t="s">
        <v>29</v>
      </c>
      <c r="I162" s="200">
        <f t="shared" si="24"/>
        <v>1457</v>
      </c>
      <c r="K162" s="200" t="s">
        <v>29</v>
      </c>
      <c r="L162" s="200" t="s">
        <v>29</v>
      </c>
      <c r="M162" s="198">
        <v>0</v>
      </c>
      <c r="N162" s="200">
        <v>37410</v>
      </c>
      <c r="O162" s="200">
        <v>6502</v>
      </c>
      <c r="P162" s="200">
        <v>2979</v>
      </c>
      <c r="Q162" s="200" t="s">
        <v>29</v>
      </c>
      <c r="R162" s="200">
        <f t="shared" si="25"/>
        <v>46891</v>
      </c>
    </row>
    <row r="163" spans="1:18" x14ac:dyDescent="0.2">
      <c r="A163" s="371">
        <v>1993</v>
      </c>
      <c r="B163" s="200" t="s">
        <v>29</v>
      </c>
      <c r="C163" s="200" t="s">
        <v>29</v>
      </c>
      <c r="D163" s="200" t="s">
        <v>29</v>
      </c>
      <c r="E163" s="200">
        <v>738</v>
      </c>
      <c r="F163" s="200">
        <v>1350</v>
      </c>
      <c r="G163" s="200">
        <v>545</v>
      </c>
      <c r="H163" s="200" t="s">
        <v>29</v>
      </c>
      <c r="I163" s="200">
        <f t="shared" si="24"/>
        <v>2633</v>
      </c>
      <c r="K163" s="200" t="s">
        <v>29</v>
      </c>
      <c r="L163" s="200" t="s">
        <v>29</v>
      </c>
      <c r="M163" s="200" t="s">
        <v>29</v>
      </c>
      <c r="N163" s="200">
        <v>15213</v>
      </c>
      <c r="O163" s="200">
        <v>21062</v>
      </c>
      <c r="P163" s="200">
        <v>9884</v>
      </c>
      <c r="Q163" s="200" t="s">
        <v>29</v>
      </c>
      <c r="R163" s="200">
        <f t="shared" si="25"/>
        <v>46159</v>
      </c>
    </row>
    <row r="164" spans="1:18" x14ac:dyDescent="0.2">
      <c r="A164" s="371">
        <v>1994</v>
      </c>
      <c r="B164" s="200" t="s">
        <v>29</v>
      </c>
      <c r="C164" s="200" t="s">
        <v>29</v>
      </c>
      <c r="D164" s="200" t="s">
        <v>29</v>
      </c>
      <c r="E164" s="200" t="s">
        <v>29</v>
      </c>
      <c r="F164" s="200" t="s">
        <v>29</v>
      </c>
      <c r="G164" s="200" t="s">
        <v>29</v>
      </c>
      <c r="H164" s="200" t="s">
        <v>29</v>
      </c>
      <c r="I164" s="200" t="s">
        <v>29</v>
      </c>
      <c r="K164" s="200" t="s">
        <v>29</v>
      </c>
      <c r="L164" s="200" t="s">
        <v>29</v>
      </c>
      <c r="M164" s="200" t="s">
        <v>29</v>
      </c>
      <c r="N164" s="200" t="s">
        <v>29</v>
      </c>
      <c r="O164" s="200" t="s">
        <v>29</v>
      </c>
      <c r="P164" s="200" t="s">
        <v>29</v>
      </c>
      <c r="Q164" s="200" t="s">
        <v>29</v>
      </c>
      <c r="R164" s="200" t="s">
        <v>29</v>
      </c>
    </row>
    <row r="165" spans="1:18" x14ac:dyDescent="0.2">
      <c r="A165" s="371">
        <v>1995</v>
      </c>
      <c r="B165" s="200" t="s">
        <v>29</v>
      </c>
      <c r="C165" s="200" t="s">
        <v>29</v>
      </c>
      <c r="D165" s="200" t="s">
        <v>29</v>
      </c>
      <c r="E165" s="198">
        <v>40</v>
      </c>
      <c r="F165" s="198">
        <v>187</v>
      </c>
      <c r="G165" s="198">
        <v>45</v>
      </c>
      <c r="H165" s="200" t="s">
        <v>29</v>
      </c>
      <c r="I165" s="200">
        <f t="shared" ref="I165:I177" si="26">SUM(B165:H165)</f>
        <v>272</v>
      </c>
      <c r="K165" s="200" t="s">
        <v>29</v>
      </c>
      <c r="L165" s="200" t="s">
        <v>29</v>
      </c>
      <c r="M165" s="200" t="s">
        <v>29</v>
      </c>
      <c r="N165" s="200">
        <v>3984</v>
      </c>
      <c r="O165" s="200">
        <v>13865</v>
      </c>
      <c r="P165" s="200">
        <v>6784</v>
      </c>
      <c r="Q165" s="200" t="s">
        <v>29</v>
      </c>
      <c r="R165" s="200">
        <f t="shared" ref="R165:R176" si="27">SUM(K165:Q165)</f>
        <v>24633</v>
      </c>
    </row>
    <row r="166" spans="1:18" x14ac:dyDescent="0.2">
      <c r="A166" s="371">
        <v>1996</v>
      </c>
      <c r="B166" s="200" t="s">
        <v>29</v>
      </c>
      <c r="C166" s="200" t="s">
        <v>29</v>
      </c>
      <c r="D166" s="200" t="s">
        <v>29</v>
      </c>
      <c r="E166" s="198">
        <v>22</v>
      </c>
      <c r="F166" s="198">
        <v>40</v>
      </c>
      <c r="G166" s="198">
        <v>30</v>
      </c>
      <c r="H166" s="200" t="s">
        <v>29</v>
      </c>
      <c r="I166" s="200">
        <f t="shared" si="26"/>
        <v>92</v>
      </c>
      <c r="K166" s="200" t="s">
        <v>29</v>
      </c>
      <c r="L166" s="200" t="s">
        <v>29</v>
      </c>
      <c r="M166" s="200" t="s">
        <v>29</v>
      </c>
      <c r="N166" s="200">
        <v>4665</v>
      </c>
      <c r="O166" s="200">
        <v>10275</v>
      </c>
      <c r="P166" s="200">
        <v>2848</v>
      </c>
      <c r="Q166" s="200" t="s">
        <v>29</v>
      </c>
      <c r="R166" s="200">
        <f t="shared" si="27"/>
        <v>17788</v>
      </c>
    </row>
    <row r="167" spans="1:18" x14ac:dyDescent="0.2">
      <c r="A167" s="371">
        <v>1997</v>
      </c>
      <c r="B167" s="200" t="s">
        <v>29</v>
      </c>
      <c r="C167" s="200" t="s">
        <v>29</v>
      </c>
      <c r="D167" s="200" t="s">
        <v>29</v>
      </c>
      <c r="E167" s="200">
        <v>160</v>
      </c>
      <c r="F167" s="200">
        <v>185</v>
      </c>
      <c r="G167" s="200" t="s">
        <v>29</v>
      </c>
      <c r="H167" s="200" t="s">
        <v>29</v>
      </c>
      <c r="I167" s="200">
        <f t="shared" si="26"/>
        <v>345</v>
      </c>
      <c r="K167" s="200" t="s">
        <v>29</v>
      </c>
      <c r="L167" s="200" t="s">
        <v>29</v>
      </c>
      <c r="M167" s="200" t="s">
        <v>29</v>
      </c>
      <c r="N167" s="200">
        <v>7337</v>
      </c>
      <c r="O167" s="200">
        <v>3719</v>
      </c>
      <c r="P167" s="200" t="s">
        <v>29</v>
      </c>
      <c r="Q167" s="200" t="s">
        <v>29</v>
      </c>
      <c r="R167" s="200">
        <f t="shared" si="27"/>
        <v>11056</v>
      </c>
    </row>
    <row r="168" spans="1:18" x14ac:dyDescent="0.2">
      <c r="A168" s="371">
        <v>1998</v>
      </c>
      <c r="B168" s="200" t="s">
        <v>29</v>
      </c>
      <c r="C168" s="200" t="s">
        <v>29</v>
      </c>
      <c r="D168" s="200" t="s">
        <v>29</v>
      </c>
      <c r="E168" s="200" t="s">
        <v>29</v>
      </c>
      <c r="F168" s="200">
        <v>272</v>
      </c>
      <c r="G168" s="200">
        <v>42</v>
      </c>
      <c r="H168" s="200" t="s">
        <v>29</v>
      </c>
      <c r="I168" s="200">
        <f t="shared" si="26"/>
        <v>314</v>
      </c>
      <c r="K168" s="200" t="s">
        <v>29</v>
      </c>
      <c r="L168" s="200" t="s">
        <v>29</v>
      </c>
      <c r="M168" s="200" t="s">
        <v>29</v>
      </c>
      <c r="N168" s="200" t="s">
        <v>29</v>
      </c>
      <c r="O168" s="200">
        <v>4025</v>
      </c>
      <c r="P168" s="200">
        <v>348</v>
      </c>
      <c r="Q168" s="200" t="s">
        <v>29</v>
      </c>
      <c r="R168" s="200">
        <f t="shared" si="27"/>
        <v>4373</v>
      </c>
    </row>
    <row r="169" spans="1:18" x14ac:dyDescent="0.2">
      <c r="A169" s="371">
        <v>1999</v>
      </c>
      <c r="B169" s="200" t="s">
        <v>29</v>
      </c>
      <c r="C169" s="200" t="s">
        <v>29</v>
      </c>
      <c r="D169" s="200" t="s">
        <v>29</v>
      </c>
      <c r="E169" s="200">
        <v>495</v>
      </c>
      <c r="F169" s="200">
        <v>1507</v>
      </c>
      <c r="G169" s="200">
        <v>316</v>
      </c>
      <c r="H169" s="200" t="s">
        <v>29</v>
      </c>
      <c r="I169" s="200">
        <f t="shared" si="26"/>
        <v>2318</v>
      </c>
      <c r="K169" s="200" t="s">
        <v>29</v>
      </c>
      <c r="L169" s="200" t="s">
        <v>29</v>
      </c>
      <c r="M169" s="200" t="s">
        <v>29</v>
      </c>
      <c r="N169" s="200">
        <v>5171</v>
      </c>
      <c r="O169" s="200">
        <v>9486</v>
      </c>
      <c r="P169" s="200">
        <v>4926</v>
      </c>
      <c r="Q169" s="200" t="s">
        <v>29</v>
      </c>
      <c r="R169" s="200">
        <f t="shared" si="27"/>
        <v>19583</v>
      </c>
    </row>
    <row r="170" spans="1:18" x14ac:dyDescent="0.2">
      <c r="A170" s="371">
        <v>2000</v>
      </c>
      <c r="B170" s="200" t="s">
        <v>29</v>
      </c>
      <c r="C170" s="200" t="s">
        <v>29</v>
      </c>
      <c r="D170" s="200" t="s">
        <v>29</v>
      </c>
      <c r="E170" s="200">
        <v>748</v>
      </c>
      <c r="F170" s="200">
        <v>800</v>
      </c>
      <c r="G170" s="200" t="s">
        <v>29</v>
      </c>
      <c r="H170" s="200" t="s">
        <v>29</v>
      </c>
      <c r="I170" s="200">
        <f t="shared" si="26"/>
        <v>1548</v>
      </c>
      <c r="K170" s="200" t="s">
        <v>29</v>
      </c>
      <c r="L170" s="200" t="s">
        <v>29</v>
      </c>
      <c r="M170" s="200" t="s">
        <v>29</v>
      </c>
      <c r="N170" s="200">
        <v>11455</v>
      </c>
      <c r="O170" s="200">
        <v>14394</v>
      </c>
      <c r="P170" s="200" t="s">
        <v>29</v>
      </c>
      <c r="Q170" s="200" t="s">
        <v>29</v>
      </c>
      <c r="R170" s="200">
        <f t="shared" si="27"/>
        <v>25849</v>
      </c>
    </row>
    <row r="171" spans="1:18" x14ac:dyDescent="0.2">
      <c r="A171" s="371">
        <v>2001</v>
      </c>
      <c r="B171" s="200" t="s">
        <v>29</v>
      </c>
      <c r="C171" s="200" t="s">
        <v>29</v>
      </c>
      <c r="D171" s="200" t="s">
        <v>29</v>
      </c>
      <c r="E171" s="200">
        <v>2253</v>
      </c>
      <c r="F171" s="200">
        <v>2300</v>
      </c>
      <c r="G171" s="200">
        <v>569</v>
      </c>
      <c r="H171" s="200" t="s">
        <v>29</v>
      </c>
      <c r="I171" s="200">
        <f t="shared" si="26"/>
        <v>5122</v>
      </c>
      <c r="K171" s="200" t="s">
        <v>29</v>
      </c>
      <c r="L171" s="200" t="s">
        <v>29</v>
      </c>
      <c r="M171" s="200" t="s">
        <v>29</v>
      </c>
      <c r="N171" s="200">
        <v>32325</v>
      </c>
      <c r="O171" s="200">
        <v>34359</v>
      </c>
      <c r="P171" s="200">
        <v>10795</v>
      </c>
      <c r="Q171" s="200" t="s">
        <v>29</v>
      </c>
      <c r="R171" s="200">
        <f t="shared" si="27"/>
        <v>77479</v>
      </c>
    </row>
    <row r="172" spans="1:18" x14ac:dyDescent="0.2">
      <c r="A172" s="371">
        <v>2002</v>
      </c>
      <c r="B172" s="200" t="s">
        <v>29</v>
      </c>
      <c r="C172" s="200">
        <v>53</v>
      </c>
      <c r="D172" s="200">
        <v>1927</v>
      </c>
      <c r="E172" s="200">
        <v>3380</v>
      </c>
      <c r="F172" s="200">
        <v>2571</v>
      </c>
      <c r="G172" s="200">
        <v>101</v>
      </c>
      <c r="H172" s="200" t="s">
        <v>29</v>
      </c>
      <c r="I172" s="200">
        <f t="shared" si="26"/>
        <v>8032</v>
      </c>
      <c r="K172" s="200" t="s">
        <v>29</v>
      </c>
      <c r="L172" s="200" t="s">
        <v>29</v>
      </c>
      <c r="M172" s="198">
        <v>30</v>
      </c>
      <c r="N172" s="200">
        <v>10136</v>
      </c>
      <c r="O172" s="200">
        <v>23997</v>
      </c>
      <c r="P172" s="200">
        <v>10842</v>
      </c>
      <c r="Q172" s="200" t="s">
        <v>29</v>
      </c>
      <c r="R172" s="200">
        <f t="shared" si="27"/>
        <v>45005</v>
      </c>
    </row>
    <row r="173" spans="1:18" x14ac:dyDescent="0.2">
      <c r="A173" s="371">
        <v>2003</v>
      </c>
      <c r="B173" s="200" t="s">
        <v>29</v>
      </c>
      <c r="C173" s="200" t="s">
        <v>29</v>
      </c>
      <c r="D173" s="200">
        <v>44</v>
      </c>
      <c r="E173" s="200">
        <v>1498</v>
      </c>
      <c r="F173" s="200">
        <v>3561</v>
      </c>
      <c r="G173" s="200">
        <v>681</v>
      </c>
      <c r="H173" s="200" t="s">
        <v>29</v>
      </c>
      <c r="I173" s="200">
        <f t="shared" si="26"/>
        <v>5784</v>
      </c>
      <c r="K173" s="200" t="s">
        <v>29</v>
      </c>
      <c r="L173" s="200" t="s">
        <v>29</v>
      </c>
      <c r="M173" s="200">
        <v>600</v>
      </c>
      <c r="N173" s="200">
        <v>24359</v>
      </c>
      <c r="O173" s="200">
        <v>43757</v>
      </c>
      <c r="P173" s="200">
        <v>7957</v>
      </c>
      <c r="Q173" s="200" t="s">
        <v>29</v>
      </c>
      <c r="R173" s="200">
        <f t="shared" si="27"/>
        <v>76673</v>
      </c>
    </row>
    <row r="174" spans="1:18" x14ac:dyDescent="0.2">
      <c r="A174" s="348">
        <v>2004</v>
      </c>
      <c r="B174" s="200" t="s">
        <v>29</v>
      </c>
      <c r="C174" s="200" t="s">
        <v>29</v>
      </c>
      <c r="D174" s="200">
        <v>22</v>
      </c>
      <c r="E174" s="200">
        <v>765</v>
      </c>
      <c r="F174" s="200">
        <v>4039</v>
      </c>
      <c r="G174" s="200">
        <v>1396</v>
      </c>
      <c r="H174" s="200" t="s">
        <v>29</v>
      </c>
      <c r="I174" s="200">
        <f t="shared" si="26"/>
        <v>6222</v>
      </c>
      <c r="K174" s="200" t="s">
        <v>29</v>
      </c>
      <c r="L174" s="200" t="s">
        <v>29</v>
      </c>
      <c r="M174" s="200">
        <v>935</v>
      </c>
      <c r="N174" s="200">
        <v>17203</v>
      </c>
      <c r="O174" s="200">
        <v>27040</v>
      </c>
      <c r="P174" s="200">
        <v>5859</v>
      </c>
      <c r="Q174" s="200" t="s">
        <v>29</v>
      </c>
      <c r="R174" s="200">
        <f t="shared" si="27"/>
        <v>51037</v>
      </c>
    </row>
    <row r="175" spans="1:18" s="359" customFormat="1" x14ac:dyDescent="0.2">
      <c r="A175" s="348">
        <v>2005</v>
      </c>
      <c r="B175" s="203" t="s">
        <v>29</v>
      </c>
      <c r="C175" s="203" t="s">
        <v>29</v>
      </c>
      <c r="D175" s="203" t="s">
        <v>29</v>
      </c>
      <c r="E175" s="203">
        <v>1174</v>
      </c>
      <c r="F175" s="203">
        <v>7002</v>
      </c>
      <c r="G175" s="203">
        <v>1385</v>
      </c>
      <c r="H175" s="203" t="s">
        <v>29</v>
      </c>
      <c r="I175" s="203">
        <f t="shared" si="26"/>
        <v>9561</v>
      </c>
      <c r="J175" s="197"/>
      <c r="K175" s="203" t="s">
        <v>29</v>
      </c>
      <c r="L175" s="203" t="s">
        <v>29</v>
      </c>
      <c r="M175" s="203" t="s">
        <v>29</v>
      </c>
      <c r="N175" s="203">
        <v>7000</v>
      </c>
      <c r="O175" s="203">
        <v>17066</v>
      </c>
      <c r="P175" s="203">
        <v>4658</v>
      </c>
      <c r="Q175" s="203" t="s">
        <v>29</v>
      </c>
      <c r="R175" s="203">
        <f t="shared" si="27"/>
        <v>28724</v>
      </c>
    </row>
    <row r="176" spans="1:18" x14ac:dyDescent="0.2">
      <c r="A176" s="348">
        <v>2006</v>
      </c>
      <c r="B176" s="200" t="s">
        <v>29</v>
      </c>
      <c r="C176" s="200" t="s">
        <v>29</v>
      </c>
      <c r="D176" s="200" t="s">
        <v>29</v>
      </c>
      <c r="E176" s="200">
        <v>477.88</v>
      </c>
      <c r="F176" s="200">
        <v>1147.6099999999999</v>
      </c>
      <c r="G176" s="200">
        <v>139.6</v>
      </c>
      <c r="H176" s="200" t="s">
        <v>29</v>
      </c>
      <c r="I176" s="200">
        <f t="shared" si="26"/>
        <v>1765.0899999999997</v>
      </c>
      <c r="K176" s="200" t="s">
        <v>29</v>
      </c>
      <c r="L176" s="200" t="s">
        <v>29</v>
      </c>
      <c r="M176" s="200" t="s">
        <v>29</v>
      </c>
      <c r="N176" s="200">
        <v>6532.81</v>
      </c>
      <c r="O176" s="200">
        <v>12222.37</v>
      </c>
      <c r="P176" s="200">
        <v>646.1</v>
      </c>
      <c r="Q176" s="200" t="s">
        <v>29</v>
      </c>
      <c r="R176" s="200">
        <f t="shared" si="27"/>
        <v>19401.28</v>
      </c>
    </row>
    <row r="177" spans="1:20" s="359" customFormat="1" x14ac:dyDescent="0.2">
      <c r="A177" s="348">
        <v>2007</v>
      </c>
      <c r="B177" s="203" t="s">
        <v>29</v>
      </c>
      <c r="C177" s="203" t="s">
        <v>29</v>
      </c>
      <c r="D177" s="203" t="s">
        <v>29</v>
      </c>
      <c r="E177" s="203">
        <v>292.33</v>
      </c>
      <c r="F177" s="203">
        <v>1224.83</v>
      </c>
      <c r="G177" s="203">
        <v>113.99</v>
      </c>
      <c r="H177" s="203" t="s">
        <v>29</v>
      </c>
      <c r="I177" s="203">
        <f t="shared" si="26"/>
        <v>1631.1499999999999</v>
      </c>
      <c r="J177" s="197"/>
      <c r="K177" s="203" t="s">
        <v>29</v>
      </c>
      <c r="L177" s="203" t="s">
        <v>29</v>
      </c>
      <c r="M177" s="203" t="s">
        <v>29</v>
      </c>
      <c r="N177" s="203">
        <v>12170.39</v>
      </c>
      <c r="O177" s="203">
        <v>32559.19</v>
      </c>
      <c r="P177" s="203">
        <v>2689.04</v>
      </c>
      <c r="Q177" s="203" t="s">
        <v>29</v>
      </c>
      <c r="R177" s="203">
        <f>SUM(K177:Q177)</f>
        <v>47418.62</v>
      </c>
    </row>
    <row r="178" spans="1:20" s="359" customFormat="1" x14ac:dyDescent="0.2">
      <c r="A178" s="348">
        <v>2008</v>
      </c>
      <c r="B178" s="203" t="s">
        <v>29</v>
      </c>
      <c r="C178" s="203" t="s">
        <v>29</v>
      </c>
      <c r="D178" s="203">
        <v>474.02</v>
      </c>
      <c r="E178" s="203">
        <v>1165.76</v>
      </c>
      <c r="F178" s="203">
        <v>1258.29</v>
      </c>
      <c r="G178" s="203" t="s">
        <v>29</v>
      </c>
      <c r="H178" s="203" t="s">
        <v>29</v>
      </c>
      <c r="I178" s="203">
        <f t="shared" ref="I178:I190" si="28">SUM(B178:G178)</f>
        <v>2898.0699999999997</v>
      </c>
      <c r="J178" s="197"/>
      <c r="K178" s="203" t="s">
        <v>29</v>
      </c>
      <c r="L178" s="203" t="s">
        <v>29</v>
      </c>
      <c r="M178" s="203">
        <v>330.24</v>
      </c>
      <c r="N178" s="203">
        <v>3337.07</v>
      </c>
      <c r="O178" s="203">
        <v>4972.6499999999996</v>
      </c>
      <c r="P178" s="203" t="s">
        <v>29</v>
      </c>
      <c r="Q178" s="203" t="s">
        <v>29</v>
      </c>
      <c r="R178" s="203">
        <f t="shared" ref="R178:R190" si="29">SUM(K178:Q178)</f>
        <v>8639.9599999999991</v>
      </c>
    </row>
    <row r="179" spans="1:20" s="359" customFormat="1" x14ac:dyDescent="0.2">
      <c r="A179" s="348">
        <v>2009</v>
      </c>
      <c r="B179" s="203" t="s">
        <v>29</v>
      </c>
      <c r="C179" s="203" t="s">
        <v>29</v>
      </c>
      <c r="D179" s="203">
        <v>9.7799999999999994</v>
      </c>
      <c r="E179" s="203">
        <v>925.26</v>
      </c>
      <c r="F179" s="203">
        <v>3238.55</v>
      </c>
      <c r="G179" s="203">
        <v>28.37</v>
      </c>
      <c r="H179" s="203" t="s">
        <v>29</v>
      </c>
      <c r="I179" s="203">
        <f t="shared" si="28"/>
        <v>4201.96</v>
      </c>
      <c r="J179" s="197"/>
      <c r="K179" s="203" t="s">
        <v>29</v>
      </c>
      <c r="L179" s="203" t="s">
        <v>29</v>
      </c>
      <c r="M179" s="203">
        <v>334.42</v>
      </c>
      <c r="N179" s="203">
        <v>17246.310000000001</v>
      </c>
      <c r="O179" s="203">
        <v>45206.55</v>
      </c>
      <c r="P179" s="203">
        <v>1604.82</v>
      </c>
      <c r="Q179" s="203" t="s">
        <v>29</v>
      </c>
      <c r="R179" s="203">
        <f t="shared" si="29"/>
        <v>64392.1</v>
      </c>
    </row>
    <row r="180" spans="1:20" s="359" customFormat="1" x14ac:dyDescent="0.2">
      <c r="A180" s="348">
        <v>2010</v>
      </c>
      <c r="B180" s="203" t="s">
        <v>29</v>
      </c>
      <c r="C180" s="203" t="s">
        <v>29</v>
      </c>
      <c r="D180" s="203">
        <v>106.38</v>
      </c>
      <c r="E180" s="203">
        <v>1485.13</v>
      </c>
      <c r="F180" s="203">
        <v>3587.91</v>
      </c>
      <c r="G180" s="203">
        <v>229.41</v>
      </c>
      <c r="H180" s="203" t="s">
        <v>29</v>
      </c>
      <c r="I180" s="203">
        <f t="shared" si="28"/>
        <v>5408.83</v>
      </c>
      <c r="J180" s="197"/>
      <c r="K180" s="203" t="s">
        <v>29</v>
      </c>
      <c r="L180" s="203" t="s">
        <v>29</v>
      </c>
      <c r="M180" s="203">
        <v>1.06</v>
      </c>
      <c r="N180" s="203">
        <v>6430</v>
      </c>
      <c r="O180" s="203">
        <v>11724.5</v>
      </c>
      <c r="P180" s="203">
        <v>649.79</v>
      </c>
      <c r="Q180" s="203" t="s">
        <v>29</v>
      </c>
      <c r="R180" s="203">
        <f t="shared" si="29"/>
        <v>18805.350000000002</v>
      </c>
    </row>
    <row r="181" spans="1:20" s="359" customFormat="1" x14ac:dyDescent="0.2">
      <c r="A181" s="348">
        <v>2011</v>
      </c>
      <c r="B181" s="203" t="s">
        <v>29</v>
      </c>
      <c r="C181" s="203" t="s">
        <v>29</v>
      </c>
      <c r="D181" s="203">
        <v>351.79999999999995</v>
      </c>
      <c r="E181" s="203">
        <v>808.27</v>
      </c>
      <c r="F181" s="203">
        <v>4106.7700000000004</v>
      </c>
      <c r="G181" s="203">
        <v>329.4</v>
      </c>
      <c r="H181" s="203" t="s">
        <v>29</v>
      </c>
      <c r="I181" s="203">
        <f t="shared" si="28"/>
        <v>5596.24</v>
      </c>
      <c r="J181" s="197"/>
      <c r="K181" s="203" t="s">
        <v>29</v>
      </c>
      <c r="L181" s="203" t="s">
        <v>29</v>
      </c>
      <c r="M181" s="203">
        <v>288.87</v>
      </c>
      <c r="N181" s="203">
        <v>5103.8100000000004</v>
      </c>
      <c r="O181" s="203">
        <v>12678.13</v>
      </c>
      <c r="P181" s="203">
        <v>2563.64</v>
      </c>
      <c r="Q181" s="203" t="s">
        <v>29</v>
      </c>
      <c r="R181" s="203">
        <f t="shared" si="29"/>
        <v>20634.449999999997</v>
      </c>
    </row>
    <row r="182" spans="1:20" s="359" customFormat="1" x14ac:dyDescent="0.2">
      <c r="A182" s="348">
        <v>2012</v>
      </c>
      <c r="B182" s="203" t="s">
        <v>29</v>
      </c>
      <c r="C182" s="203" t="s">
        <v>29</v>
      </c>
      <c r="D182" s="203">
        <v>1792.88</v>
      </c>
      <c r="E182" s="203">
        <v>2199.8200000000002</v>
      </c>
      <c r="F182" s="203">
        <v>2691.02</v>
      </c>
      <c r="G182" s="203">
        <v>729.78</v>
      </c>
      <c r="H182" s="203" t="s">
        <v>29</v>
      </c>
      <c r="I182" s="203">
        <f t="shared" si="28"/>
        <v>7413.5</v>
      </c>
      <c r="J182" s="197"/>
      <c r="K182" s="203" t="s">
        <v>29</v>
      </c>
      <c r="L182" s="203" t="s">
        <v>29</v>
      </c>
      <c r="M182" s="203">
        <v>196.33</v>
      </c>
      <c r="N182" s="203">
        <v>3056.76</v>
      </c>
      <c r="O182" s="203">
        <v>4421.29</v>
      </c>
      <c r="P182" s="203">
        <v>2044.8200000000002</v>
      </c>
      <c r="Q182" s="203" t="s">
        <v>29</v>
      </c>
      <c r="R182" s="203">
        <f t="shared" si="29"/>
        <v>9719.2000000000007</v>
      </c>
      <c r="T182" s="148">
        <f t="shared" ref="T182:T190" si="30">SUM(E182:G182)</f>
        <v>5620.62</v>
      </c>
    </row>
    <row r="183" spans="1:20" s="359" customFormat="1" x14ac:dyDescent="0.2">
      <c r="A183" s="348">
        <v>2013</v>
      </c>
      <c r="B183" s="203" t="s">
        <v>29</v>
      </c>
      <c r="C183" s="203" t="s">
        <v>29</v>
      </c>
      <c r="D183" s="203">
        <v>1299.81</v>
      </c>
      <c r="E183" s="203">
        <v>1356.35</v>
      </c>
      <c r="F183" s="203">
        <v>3283.89</v>
      </c>
      <c r="G183" s="203">
        <v>688.46</v>
      </c>
      <c r="H183" s="203" t="s">
        <v>29</v>
      </c>
      <c r="I183" s="203">
        <f t="shared" si="28"/>
        <v>6628.5099999999993</v>
      </c>
      <c r="J183" s="197"/>
      <c r="K183" s="203" t="s">
        <v>29</v>
      </c>
      <c r="L183" s="203" t="s">
        <v>29</v>
      </c>
      <c r="M183" s="203">
        <v>2286.5300000000002</v>
      </c>
      <c r="N183" s="203">
        <v>4007.03</v>
      </c>
      <c r="O183" s="203">
        <v>8599.43</v>
      </c>
      <c r="P183" s="203">
        <v>1566.13</v>
      </c>
      <c r="Q183" s="203" t="s">
        <v>29</v>
      </c>
      <c r="R183" s="203">
        <f t="shared" si="29"/>
        <v>16459.120000000003</v>
      </c>
      <c r="T183" s="148">
        <f t="shared" si="30"/>
        <v>5328.7</v>
      </c>
    </row>
    <row r="184" spans="1:20" s="359" customFormat="1" x14ac:dyDescent="0.2">
      <c r="A184" s="348">
        <v>2014</v>
      </c>
      <c r="B184" s="203" t="s">
        <v>29</v>
      </c>
      <c r="C184" s="203">
        <v>44.29</v>
      </c>
      <c r="D184" s="203">
        <v>916.74</v>
      </c>
      <c r="E184" s="203">
        <v>2570.42</v>
      </c>
      <c r="F184" s="203">
        <v>5018.59</v>
      </c>
      <c r="G184" s="203">
        <v>491.04999999999995</v>
      </c>
      <c r="H184" s="203" t="s">
        <v>29</v>
      </c>
      <c r="I184" s="203">
        <f t="shared" si="28"/>
        <v>9041.09</v>
      </c>
      <c r="J184" s="197"/>
      <c r="K184" s="203" t="s">
        <v>29</v>
      </c>
      <c r="L184" s="203" t="s">
        <v>29</v>
      </c>
      <c r="M184" s="203">
        <v>2223.4</v>
      </c>
      <c r="N184" s="203">
        <v>14832.5</v>
      </c>
      <c r="O184" s="203">
        <v>30029.279999999999</v>
      </c>
      <c r="P184" s="203">
        <v>11246.560000000001</v>
      </c>
      <c r="Q184" s="203" t="s">
        <v>29</v>
      </c>
      <c r="R184" s="203">
        <f t="shared" si="29"/>
        <v>58331.740000000005</v>
      </c>
      <c r="T184" s="148">
        <f t="shared" si="30"/>
        <v>8080.06</v>
      </c>
    </row>
    <row r="185" spans="1:20" s="359" customFormat="1" x14ac:dyDescent="0.2">
      <c r="A185" s="348">
        <v>2015</v>
      </c>
      <c r="B185" s="203" t="s">
        <v>29</v>
      </c>
      <c r="C185" s="203">
        <v>61.15</v>
      </c>
      <c r="D185" s="203">
        <v>957.43999999999994</v>
      </c>
      <c r="E185" s="203">
        <v>1419.2</v>
      </c>
      <c r="F185" s="203">
        <v>4836.08</v>
      </c>
      <c r="G185" s="203">
        <v>2139.83</v>
      </c>
      <c r="H185" s="203" t="s">
        <v>29</v>
      </c>
      <c r="I185" s="203">
        <f>SUM(B185:G185)</f>
        <v>9413.7000000000007</v>
      </c>
      <c r="J185" s="197"/>
      <c r="K185" s="203" t="s">
        <v>29</v>
      </c>
      <c r="L185" s="203" t="s">
        <v>29</v>
      </c>
      <c r="M185" s="203">
        <v>2607.2600000000002</v>
      </c>
      <c r="N185" s="203">
        <v>12325.02</v>
      </c>
      <c r="O185" s="203">
        <v>15756.28</v>
      </c>
      <c r="P185" s="203">
        <v>5022.17</v>
      </c>
      <c r="Q185" s="203" t="s">
        <v>29</v>
      </c>
      <c r="R185" s="203">
        <f t="shared" si="29"/>
        <v>35710.730000000003</v>
      </c>
      <c r="T185" s="148">
        <f t="shared" si="30"/>
        <v>8395.11</v>
      </c>
    </row>
    <row r="186" spans="1:20" s="359" customFormat="1" x14ac:dyDescent="0.2">
      <c r="A186" s="348">
        <v>2016</v>
      </c>
      <c r="B186" s="203" t="s">
        <v>29</v>
      </c>
      <c r="C186" s="203" t="s">
        <v>29</v>
      </c>
      <c r="D186" s="203" t="s">
        <v>29</v>
      </c>
      <c r="E186" s="203">
        <v>2088.35</v>
      </c>
      <c r="F186" s="203">
        <v>2868.18</v>
      </c>
      <c r="G186" s="203" t="s">
        <v>29</v>
      </c>
      <c r="H186" s="203" t="s">
        <v>29</v>
      </c>
      <c r="I186" s="203">
        <f>SUM(B186:G186)</f>
        <v>4956.53</v>
      </c>
      <c r="J186" s="197"/>
      <c r="K186" s="203" t="s">
        <v>29</v>
      </c>
      <c r="L186" s="203" t="s">
        <v>29</v>
      </c>
      <c r="M186" s="203" t="s">
        <v>29</v>
      </c>
      <c r="N186" s="203">
        <v>4691.76</v>
      </c>
      <c r="O186" s="203">
        <v>11265.77</v>
      </c>
      <c r="P186" s="203" t="s">
        <v>29</v>
      </c>
      <c r="Q186" s="203" t="s">
        <v>29</v>
      </c>
      <c r="R186" s="203">
        <f t="shared" si="29"/>
        <v>15957.53</v>
      </c>
      <c r="T186" s="148">
        <f t="shared" si="30"/>
        <v>4956.53</v>
      </c>
    </row>
    <row r="187" spans="1:20" s="359" customFormat="1" x14ac:dyDescent="0.2">
      <c r="A187" s="348">
        <v>2017</v>
      </c>
      <c r="B187" s="203" t="s">
        <v>29</v>
      </c>
      <c r="C187" s="203" t="s">
        <v>29</v>
      </c>
      <c r="D187" s="203">
        <v>318.87</v>
      </c>
      <c r="E187" s="203">
        <v>2191</v>
      </c>
      <c r="F187" s="203">
        <v>3153.47</v>
      </c>
      <c r="G187" s="203" t="s">
        <v>29</v>
      </c>
      <c r="H187" s="203" t="s">
        <v>29</v>
      </c>
      <c r="I187" s="203">
        <f>SUM(B187:G187)</f>
        <v>5663.34</v>
      </c>
      <c r="J187" s="197"/>
      <c r="K187" s="203" t="s">
        <v>29</v>
      </c>
      <c r="L187" s="203" t="s">
        <v>29</v>
      </c>
      <c r="M187" s="203">
        <v>29.64</v>
      </c>
      <c r="N187" s="203">
        <v>5723.99</v>
      </c>
      <c r="O187" s="203">
        <v>9300.99</v>
      </c>
      <c r="P187" s="203" t="s">
        <v>29</v>
      </c>
      <c r="Q187" s="203" t="s">
        <v>29</v>
      </c>
      <c r="R187" s="203">
        <f>SUM(K187:Q187)</f>
        <v>15054.619999999999</v>
      </c>
      <c r="T187" s="148">
        <f>SUM(E187:G187)</f>
        <v>5344.4699999999993</v>
      </c>
    </row>
    <row r="188" spans="1:20" s="359" customFormat="1" x14ac:dyDescent="0.2">
      <c r="A188" s="348">
        <v>2018</v>
      </c>
      <c r="B188" s="203" t="s">
        <v>29</v>
      </c>
      <c r="C188" s="203" t="s">
        <v>29</v>
      </c>
      <c r="D188" s="203">
        <v>455.13</v>
      </c>
      <c r="E188" s="203">
        <v>506.53</v>
      </c>
      <c r="F188" s="203">
        <v>586</v>
      </c>
      <c r="G188" s="203">
        <v>21.18</v>
      </c>
      <c r="H188" s="203" t="s">
        <v>29</v>
      </c>
      <c r="I188" s="203">
        <f>SUM(B188:G188)</f>
        <v>1568.84</v>
      </c>
      <c r="J188" s="197"/>
      <c r="K188" s="203" t="s">
        <v>29</v>
      </c>
      <c r="L188" s="203" t="s">
        <v>29</v>
      </c>
      <c r="M188" s="203">
        <v>258.3</v>
      </c>
      <c r="N188" s="203">
        <v>4678.59</v>
      </c>
      <c r="O188" s="203">
        <v>8422.14</v>
      </c>
      <c r="P188" s="203">
        <v>88.38</v>
      </c>
      <c r="Q188" s="203" t="s">
        <v>29</v>
      </c>
      <c r="R188" s="203">
        <f>SUM(K188:Q188)</f>
        <v>13447.409999999998</v>
      </c>
      <c r="T188" s="148">
        <f>SUM(E188:G188)</f>
        <v>1113.71</v>
      </c>
    </row>
    <row r="189" spans="1:20" s="487" customFormat="1" x14ac:dyDescent="0.2">
      <c r="A189" s="491">
        <v>2019</v>
      </c>
      <c r="B189" s="203" t="s">
        <v>29</v>
      </c>
      <c r="C189" s="203" t="s">
        <v>29</v>
      </c>
      <c r="D189" s="203">
        <v>237.22</v>
      </c>
      <c r="E189" s="203">
        <v>1532.9</v>
      </c>
      <c r="F189" s="203">
        <v>888.26</v>
      </c>
      <c r="G189" s="203">
        <v>84.14</v>
      </c>
      <c r="H189" s="203" t="s">
        <v>29</v>
      </c>
      <c r="I189" s="203">
        <f t="shared" ref="I189" si="31">SUM(B189:G189)</f>
        <v>2742.52</v>
      </c>
      <c r="J189" s="197"/>
      <c r="K189" s="203" t="s">
        <v>29</v>
      </c>
      <c r="L189" s="203" t="s">
        <v>29</v>
      </c>
      <c r="M189" s="203">
        <v>3506.51</v>
      </c>
      <c r="N189" s="203">
        <v>14386.42</v>
      </c>
      <c r="O189" s="203">
        <v>16996.97</v>
      </c>
      <c r="P189" s="203">
        <v>1361.11</v>
      </c>
      <c r="Q189" s="203" t="s">
        <v>29</v>
      </c>
      <c r="R189" s="203">
        <f t="shared" ref="R189" si="32">SUM(K189:Q189)</f>
        <v>36251.01</v>
      </c>
      <c r="T189" s="148">
        <f t="shared" ref="T189" si="33">SUM(E189:G189)</f>
        <v>2505.2999999999997</v>
      </c>
    </row>
    <row r="190" spans="1:20" x14ac:dyDescent="0.2">
      <c r="A190" s="491" t="s">
        <v>391</v>
      </c>
      <c r="B190" s="200" t="s">
        <v>29</v>
      </c>
      <c r="C190" s="200" t="s">
        <v>29</v>
      </c>
      <c r="D190" s="200">
        <v>208.1</v>
      </c>
      <c r="E190" s="200">
        <v>464.78</v>
      </c>
      <c r="F190" s="200" t="s">
        <v>29</v>
      </c>
      <c r="G190" s="200" t="s">
        <v>29</v>
      </c>
      <c r="H190" s="200" t="s">
        <v>29</v>
      </c>
      <c r="I190" s="200">
        <f t="shared" si="28"/>
        <v>672.88</v>
      </c>
      <c r="K190" s="200" t="s">
        <v>29</v>
      </c>
      <c r="L190" s="200" t="s">
        <v>29</v>
      </c>
      <c r="M190" s="200" t="s">
        <v>29</v>
      </c>
      <c r="N190" s="200">
        <v>9108.27</v>
      </c>
      <c r="O190" s="200" t="s">
        <v>29</v>
      </c>
      <c r="P190" s="200" t="s">
        <v>29</v>
      </c>
      <c r="Q190" s="200" t="s">
        <v>29</v>
      </c>
      <c r="R190" s="203">
        <f t="shared" si="29"/>
        <v>9108.27</v>
      </c>
      <c r="T190" s="22">
        <f t="shared" si="30"/>
        <v>464.78</v>
      </c>
    </row>
    <row r="192" spans="1:20" x14ac:dyDescent="0.2">
      <c r="A192" s="120" t="s">
        <v>287</v>
      </c>
    </row>
    <row r="193" spans="1:18" x14ac:dyDescent="0.2">
      <c r="A193" s="371">
        <v>1976</v>
      </c>
      <c r="B193" s="203" t="str">
        <f t="shared" ref="B193:I202" si="34">IF(AND(B146="-",B99="-",B52="-",B5="-"),"-",SUM(B146,B99,B52,B5))</f>
        <v>-</v>
      </c>
      <c r="C193" s="203">
        <f t="shared" si="34"/>
        <v>14411</v>
      </c>
      <c r="D193" s="203">
        <f t="shared" si="34"/>
        <v>49271</v>
      </c>
      <c r="E193" s="203">
        <f t="shared" si="34"/>
        <v>50988</v>
      </c>
      <c r="F193" s="203">
        <f t="shared" si="34"/>
        <v>36529</v>
      </c>
      <c r="G193" s="203">
        <f t="shared" si="34"/>
        <v>17503</v>
      </c>
      <c r="H193" s="203">
        <f t="shared" si="34"/>
        <v>2017</v>
      </c>
      <c r="I193" s="203">
        <f t="shared" si="34"/>
        <v>170719</v>
      </c>
      <c r="K193" s="203">
        <f t="shared" ref="K193:R202" si="35">IF(AND(K146="-",K99="-",K52="-",K5="-"),"-",SUM(K146,K99,K52,K5))</f>
        <v>65</v>
      </c>
      <c r="L193" s="203">
        <f t="shared" si="35"/>
        <v>26578</v>
      </c>
      <c r="M193" s="203">
        <f t="shared" si="35"/>
        <v>123742</v>
      </c>
      <c r="N193" s="203">
        <f t="shared" si="35"/>
        <v>307543</v>
      </c>
      <c r="O193" s="203">
        <f t="shared" si="35"/>
        <v>320895</v>
      </c>
      <c r="P193" s="203">
        <f t="shared" si="35"/>
        <v>154710</v>
      </c>
      <c r="Q193" s="203">
        <f t="shared" si="35"/>
        <v>9307</v>
      </c>
      <c r="R193" s="203">
        <f t="shared" si="35"/>
        <v>942840</v>
      </c>
    </row>
    <row r="194" spans="1:18" x14ac:dyDescent="0.2">
      <c r="A194" s="371">
        <v>1977</v>
      </c>
      <c r="B194" s="203">
        <f t="shared" si="34"/>
        <v>4131</v>
      </c>
      <c r="C194" s="203">
        <f t="shared" si="34"/>
        <v>8145</v>
      </c>
      <c r="D194" s="203">
        <f t="shared" si="34"/>
        <v>35158</v>
      </c>
      <c r="E194" s="203">
        <f t="shared" si="34"/>
        <v>35486</v>
      </c>
      <c r="F194" s="203">
        <f t="shared" si="34"/>
        <v>68764</v>
      </c>
      <c r="G194" s="203">
        <f t="shared" si="34"/>
        <v>21539</v>
      </c>
      <c r="H194" s="203">
        <f t="shared" si="34"/>
        <v>1740</v>
      </c>
      <c r="I194" s="203">
        <f t="shared" si="34"/>
        <v>174963</v>
      </c>
      <c r="K194" s="203">
        <f t="shared" si="35"/>
        <v>359</v>
      </c>
      <c r="L194" s="203">
        <f t="shared" si="35"/>
        <v>21104</v>
      </c>
      <c r="M194" s="203">
        <f t="shared" si="35"/>
        <v>72848</v>
      </c>
      <c r="N194" s="203">
        <f t="shared" si="35"/>
        <v>176815</v>
      </c>
      <c r="O194" s="203">
        <f t="shared" si="35"/>
        <v>160567</v>
      </c>
      <c r="P194" s="203">
        <f t="shared" si="35"/>
        <v>52938</v>
      </c>
      <c r="Q194" s="203">
        <f t="shared" si="35"/>
        <v>5615</v>
      </c>
      <c r="R194" s="203">
        <f t="shared" si="35"/>
        <v>490246</v>
      </c>
    </row>
    <row r="195" spans="1:18" x14ac:dyDescent="0.2">
      <c r="A195" s="371">
        <v>1978</v>
      </c>
      <c r="B195" s="203">
        <f t="shared" si="34"/>
        <v>2542</v>
      </c>
      <c r="C195" s="203">
        <f t="shared" si="34"/>
        <v>9246</v>
      </c>
      <c r="D195" s="203">
        <f t="shared" si="34"/>
        <v>33876</v>
      </c>
      <c r="E195" s="203">
        <f t="shared" si="34"/>
        <v>20978</v>
      </c>
      <c r="F195" s="203">
        <f t="shared" si="34"/>
        <v>23947</v>
      </c>
      <c r="G195" s="203">
        <f t="shared" si="34"/>
        <v>4465</v>
      </c>
      <c r="H195" s="203">
        <f t="shared" si="34"/>
        <v>1352</v>
      </c>
      <c r="I195" s="203">
        <f t="shared" si="34"/>
        <v>96406</v>
      </c>
      <c r="K195" s="203">
        <f t="shared" si="35"/>
        <v>1370</v>
      </c>
      <c r="L195" s="203">
        <f t="shared" si="35"/>
        <v>13644</v>
      </c>
      <c r="M195" s="203">
        <f t="shared" si="35"/>
        <v>105441</v>
      </c>
      <c r="N195" s="203">
        <f t="shared" si="35"/>
        <v>149540</v>
      </c>
      <c r="O195" s="203">
        <f t="shared" si="35"/>
        <v>127864</v>
      </c>
      <c r="P195" s="203">
        <f t="shared" si="35"/>
        <v>68321</v>
      </c>
      <c r="Q195" s="203">
        <f t="shared" si="35"/>
        <v>3634</v>
      </c>
      <c r="R195" s="203">
        <f t="shared" si="35"/>
        <v>469814</v>
      </c>
    </row>
    <row r="196" spans="1:18" x14ac:dyDescent="0.2">
      <c r="A196" s="371">
        <v>1979</v>
      </c>
      <c r="B196" s="203">
        <f t="shared" si="34"/>
        <v>504</v>
      </c>
      <c r="C196" s="203">
        <f t="shared" si="34"/>
        <v>7165</v>
      </c>
      <c r="D196" s="203">
        <f t="shared" si="34"/>
        <v>24512</v>
      </c>
      <c r="E196" s="203">
        <f t="shared" si="34"/>
        <v>15246</v>
      </c>
      <c r="F196" s="203">
        <f t="shared" si="34"/>
        <v>27164</v>
      </c>
      <c r="G196" s="203">
        <f t="shared" si="34"/>
        <v>154</v>
      </c>
      <c r="H196" s="203">
        <f t="shared" si="34"/>
        <v>29</v>
      </c>
      <c r="I196" s="203">
        <f t="shared" si="34"/>
        <v>74774</v>
      </c>
      <c r="K196" s="203">
        <f t="shared" si="35"/>
        <v>408</v>
      </c>
      <c r="L196" s="203">
        <f t="shared" si="35"/>
        <v>7877</v>
      </c>
      <c r="M196" s="203">
        <f t="shared" si="35"/>
        <v>47839</v>
      </c>
      <c r="N196" s="203">
        <f t="shared" si="35"/>
        <v>115690</v>
      </c>
      <c r="O196" s="203">
        <f t="shared" si="35"/>
        <v>116778</v>
      </c>
      <c r="P196" s="203">
        <f t="shared" si="35"/>
        <v>4001</v>
      </c>
      <c r="Q196" s="203">
        <f t="shared" si="35"/>
        <v>767</v>
      </c>
      <c r="R196" s="203">
        <f t="shared" si="35"/>
        <v>293360</v>
      </c>
    </row>
    <row r="197" spans="1:18" x14ac:dyDescent="0.2">
      <c r="A197" s="371">
        <v>1980</v>
      </c>
      <c r="B197" s="203" t="str">
        <f t="shared" si="34"/>
        <v>-</v>
      </c>
      <c r="C197" s="203">
        <f t="shared" si="34"/>
        <v>2555</v>
      </c>
      <c r="D197" s="203">
        <f t="shared" si="34"/>
        <v>13477</v>
      </c>
      <c r="E197" s="203">
        <f t="shared" si="34"/>
        <v>21808</v>
      </c>
      <c r="F197" s="203">
        <f t="shared" si="34"/>
        <v>15471</v>
      </c>
      <c r="G197" s="203">
        <f t="shared" si="34"/>
        <v>288</v>
      </c>
      <c r="H197" s="203" t="str">
        <f t="shared" si="34"/>
        <v>-</v>
      </c>
      <c r="I197" s="203">
        <f t="shared" si="34"/>
        <v>53599</v>
      </c>
      <c r="K197" s="203" t="str">
        <f t="shared" si="35"/>
        <v>-</v>
      </c>
      <c r="L197" s="203">
        <f t="shared" si="35"/>
        <v>24840</v>
      </c>
      <c r="M197" s="203">
        <f t="shared" si="35"/>
        <v>96326</v>
      </c>
      <c r="N197" s="203">
        <f t="shared" si="35"/>
        <v>143369</v>
      </c>
      <c r="O197" s="203">
        <f t="shared" si="35"/>
        <v>94983</v>
      </c>
      <c r="P197" s="203">
        <f t="shared" si="35"/>
        <v>3311</v>
      </c>
      <c r="Q197" s="203">
        <f t="shared" si="35"/>
        <v>44</v>
      </c>
      <c r="R197" s="203">
        <f t="shared" si="35"/>
        <v>362873</v>
      </c>
    </row>
    <row r="198" spans="1:18" x14ac:dyDescent="0.2">
      <c r="A198" s="371">
        <v>1981</v>
      </c>
      <c r="B198" s="203">
        <f t="shared" si="34"/>
        <v>138</v>
      </c>
      <c r="C198" s="203">
        <f t="shared" si="34"/>
        <v>2630</v>
      </c>
      <c r="D198" s="203">
        <f t="shared" si="34"/>
        <v>11946</v>
      </c>
      <c r="E198" s="203">
        <f t="shared" si="34"/>
        <v>36706</v>
      </c>
      <c r="F198" s="203">
        <f t="shared" si="34"/>
        <v>33163</v>
      </c>
      <c r="G198" s="203">
        <f t="shared" si="34"/>
        <v>51</v>
      </c>
      <c r="H198" s="203">
        <f t="shared" si="34"/>
        <v>17</v>
      </c>
      <c r="I198" s="203">
        <f t="shared" si="34"/>
        <v>84651</v>
      </c>
      <c r="K198" s="203">
        <f t="shared" si="35"/>
        <v>80</v>
      </c>
      <c r="L198" s="203">
        <f t="shared" si="35"/>
        <v>8347</v>
      </c>
      <c r="M198" s="203">
        <f t="shared" si="35"/>
        <v>47458</v>
      </c>
      <c r="N198" s="203">
        <f t="shared" si="35"/>
        <v>84789</v>
      </c>
      <c r="O198" s="203">
        <f t="shared" si="35"/>
        <v>92646</v>
      </c>
      <c r="P198" s="203">
        <f t="shared" si="35"/>
        <v>4244</v>
      </c>
      <c r="Q198" s="203">
        <f t="shared" si="35"/>
        <v>372</v>
      </c>
      <c r="R198" s="203">
        <f t="shared" si="35"/>
        <v>237936</v>
      </c>
    </row>
    <row r="199" spans="1:18" x14ac:dyDescent="0.2">
      <c r="A199" s="371">
        <v>1982</v>
      </c>
      <c r="B199" s="203">
        <f t="shared" si="34"/>
        <v>3</v>
      </c>
      <c r="C199" s="203">
        <f t="shared" si="34"/>
        <v>654</v>
      </c>
      <c r="D199" s="203">
        <f t="shared" si="34"/>
        <v>41942</v>
      </c>
      <c r="E199" s="203">
        <f t="shared" si="34"/>
        <v>50726</v>
      </c>
      <c r="F199" s="203">
        <f t="shared" si="34"/>
        <v>13133</v>
      </c>
      <c r="G199" s="203">
        <f t="shared" si="34"/>
        <v>219</v>
      </c>
      <c r="H199" s="203">
        <f t="shared" si="34"/>
        <v>75</v>
      </c>
      <c r="I199" s="203">
        <f t="shared" si="34"/>
        <v>106752</v>
      </c>
      <c r="K199" s="203" t="str">
        <f t="shared" si="35"/>
        <v>-</v>
      </c>
      <c r="L199" s="203">
        <f t="shared" si="35"/>
        <v>113</v>
      </c>
      <c r="M199" s="203">
        <f t="shared" si="35"/>
        <v>20596</v>
      </c>
      <c r="N199" s="203">
        <f t="shared" si="35"/>
        <v>112718</v>
      </c>
      <c r="O199" s="203">
        <f t="shared" si="35"/>
        <v>58682</v>
      </c>
      <c r="P199" s="203">
        <f t="shared" si="35"/>
        <v>13509</v>
      </c>
      <c r="Q199" s="203">
        <f t="shared" si="35"/>
        <v>903</v>
      </c>
      <c r="R199" s="203">
        <f t="shared" si="35"/>
        <v>206521</v>
      </c>
    </row>
    <row r="200" spans="1:18" x14ac:dyDescent="0.2">
      <c r="A200" s="371">
        <v>1983</v>
      </c>
      <c r="B200" s="203">
        <f t="shared" si="34"/>
        <v>117</v>
      </c>
      <c r="C200" s="203">
        <f t="shared" si="34"/>
        <v>867</v>
      </c>
      <c r="D200" s="203">
        <f t="shared" si="34"/>
        <v>24631</v>
      </c>
      <c r="E200" s="203">
        <f t="shared" si="34"/>
        <v>14406</v>
      </c>
      <c r="F200" s="203">
        <f t="shared" si="34"/>
        <v>6336</v>
      </c>
      <c r="G200" s="203">
        <f t="shared" si="34"/>
        <v>2032</v>
      </c>
      <c r="H200" s="203" t="str">
        <f t="shared" si="34"/>
        <v>-</v>
      </c>
      <c r="I200" s="203">
        <f t="shared" si="34"/>
        <v>48389</v>
      </c>
      <c r="K200" s="203" t="str">
        <f t="shared" si="35"/>
        <v>-</v>
      </c>
      <c r="L200" s="203">
        <f t="shared" si="35"/>
        <v>422</v>
      </c>
      <c r="M200" s="203">
        <f t="shared" si="35"/>
        <v>19568</v>
      </c>
      <c r="N200" s="203">
        <f t="shared" si="35"/>
        <v>84579</v>
      </c>
      <c r="O200" s="203">
        <f t="shared" si="35"/>
        <v>79958</v>
      </c>
      <c r="P200" s="203">
        <f t="shared" si="35"/>
        <v>24726</v>
      </c>
      <c r="Q200" s="203">
        <f t="shared" si="35"/>
        <v>33</v>
      </c>
      <c r="R200" s="203">
        <f t="shared" si="35"/>
        <v>209286</v>
      </c>
    </row>
    <row r="201" spans="1:18" x14ac:dyDescent="0.2">
      <c r="A201" s="371">
        <v>1984</v>
      </c>
      <c r="B201" s="203">
        <f t="shared" si="34"/>
        <v>24</v>
      </c>
      <c r="C201" s="203">
        <f t="shared" si="34"/>
        <v>6613</v>
      </c>
      <c r="D201" s="203">
        <f t="shared" si="34"/>
        <v>0</v>
      </c>
      <c r="E201" s="203">
        <f t="shared" si="34"/>
        <v>133</v>
      </c>
      <c r="F201" s="203">
        <f t="shared" si="34"/>
        <v>160</v>
      </c>
      <c r="G201" s="203" t="str">
        <f t="shared" si="34"/>
        <v>-</v>
      </c>
      <c r="H201" s="203" t="str">
        <f t="shared" si="34"/>
        <v>-</v>
      </c>
      <c r="I201" s="203">
        <f t="shared" si="34"/>
        <v>6930</v>
      </c>
      <c r="K201" s="203" t="str">
        <f t="shared" si="35"/>
        <v>-</v>
      </c>
      <c r="L201" s="203" t="str">
        <f t="shared" si="35"/>
        <v>-</v>
      </c>
      <c r="M201" s="203" t="str">
        <f t="shared" si="35"/>
        <v>-</v>
      </c>
      <c r="N201" s="203">
        <f t="shared" si="35"/>
        <v>9882</v>
      </c>
      <c r="O201" s="203">
        <f t="shared" si="35"/>
        <v>30247</v>
      </c>
      <c r="P201" s="203">
        <f t="shared" si="35"/>
        <v>264</v>
      </c>
      <c r="Q201" s="203" t="str">
        <f t="shared" si="35"/>
        <v>-</v>
      </c>
      <c r="R201" s="203">
        <f t="shared" si="35"/>
        <v>40393</v>
      </c>
    </row>
    <row r="202" spans="1:18" x14ac:dyDescent="0.2">
      <c r="A202" s="371">
        <v>1985</v>
      </c>
      <c r="B202" s="203">
        <f t="shared" si="34"/>
        <v>5</v>
      </c>
      <c r="C202" s="203">
        <f t="shared" si="34"/>
        <v>1</v>
      </c>
      <c r="D202" s="203">
        <f t="shared" si="34"/>
        <v>902</v>
      </c>
      <c r="E202" s="203">
        <f t="shared" si="34"/>
        <v>14864</v>
      </c>
      <c r="F202" s="203">
        <f t="shared" si="34"/>
        <v>10541</v>
      </c>
      <c r="G202" s="203">
        <f t="shared" si="34"/>
        <v>276</v>
      </c>
      <c r="H202" s="203" t="str">
        <f t="shared" si="34"/>
        <v>-</v>
      </c>
      <c r="I202" s="203">
        <f t="shared" si="34"/>
        <v>26589</v>
      </c>
      <c r="K202" s="203" t="str">
        <f t="shared" si="35"/>
        <v>-</v>
      </c>
      <c r="L202" s="203" t="str">
        <f t="shared" si="35"/>
        <v>-</v>
      </c>
      <c r="M202" s="203">
        <f t="shared" si="35"/>
        <v>2858</v>
      </c>
      <c r="N202" s="203">
        <f t="shared" si="35"/>
        <v>76917</v>
      </c>
      <c r="O202" s="203">
        <f t="shared" si="35"/>
        <v>81826</v>
      </c>
      <c r="P202" s="203">
        <f t="shared" si="35"/>
        <v>6257</v>
      </c>
      <c r="Q202" s="203" t="str">
        <f t="shared" si="35"/>
        <v>-</v>
      </c>
      <c r="R202" s="203">
        <f t="shared" si="35"/>
        <v>167858</v>
      </c>
    </row>
    <row r="203" spans="1:18" x14ac:dyDescent="0.2">
      <c r="A203" s="371">
        <v>1986</v>
      </c>
      <c r="B203" s="203" t="str">
        <f t="shared" ref="B203:I212" si="36">IF(AND(B156="-",B109="-",B62="-",B15="-"),"-",SUM(B156,B109,B62,B15))</f>
        <v>-</v>
      </c>
      <c r="C203" s="203" t="str">
        <f t="shared" si="36"/>
        <v>-</v>
      </c>
      <c r="D203" s="203">
        <f t="shared" si="36"/>
        <v>672</v>
      </c>
      <c r="E203" s="203">
        <f t="shared" si="36"/>
        <v>11614</v>
      </c>
      <c r="F203" s="203">
        <f t="shared" si="36"/>
        <v>8815</v>
      </c>
      <c r="G203" s="203" t="str">
        <f t="shared" si="36"/>
        <v>-</v>
      </c>
      <c r="H203" s="203" t="str">
        <f t="shared" si="36"/>
        <v>-</v>
      </c>
      <c r="I203" s="203">
        <f t="shared" si="36"/>
        <v>21101</v>
      </c>
      <c r="K203" s="203" t="str">
        <f t="shared" ref="K203:R212" si="37">IF(AND(K156="-",K109="-",K62="-",K15="-"),"-",SUM(K156,K109,K62,K15))</f>
        <v>-</v>
      </c>
      <c r="L203" s="203" t="str">
        <f t="shared" si="37"/>
        <v>-</v>
      </c>
      <c r="M203" s="203">
        <f t="shared" si="37"/>
        <v>5880</v>
      </c>
      <c r="N203" s="203">
        <f t="shared" si="37"/>
        <v>98046</v>
      </c>
      <c r="O203" s="203">
        <f t="shared" si="37"/>
        <v>69803</v>
      </c>
      <c r="P203" s="203">
        <f t="shared" si="37"/>
        <v>943</v>
      </c>
      <c r="Q203" s="203">
        <f t="shared" si="37"/>
        <v>86</v>
      </c>
      <c r="R203" s="203">
        <f t="shared" si="37"/>
        <v>174758</v>
      </c>
    </row>
    <row r="204" spans="1:18" x14ac:dyDescent="0.2">
      <c r="A204" s="371">
        <v>1987</v>
      </c>
      <c r="B204" s="203" t="str">
        <f t="shared" si="36"/>
        <v>-</v>
      </c>
      <c r="C204" s="203" t="str">
        <f t="shared" si="36"/>
        <v>-</v>
      </c>
      <c r="D204" s="203">
        <f t="shared" si="36"/>
        <v>3299</v>
      </c>
      <c r="E204" s="203">
        <f t="shared" si="36"/>
        <v>23530</v>
      </c>
      <c r="F204" s="203">
        <f t="shared" si="36"/>
        <v>11243</v>
      </c>
      <c r="G204" s="203">
        <f t="shared" si="36"/>
        <v>17</v>
      </c>
      <c r="H204" s="203" t="str">
        <f t="shared" si="36"/>
        <v>-</v>
      </c>
      <c r="I204" s="203">
        <f t="shared" si="36"/>
        <v>38089</v>
      </c>
      <c r="K204" s="203" t="str">
        <f t="shared" si="37"/>
        <v>-</v>
      </c>
      <c r="L204" s="203" t="str">
        <f t="shared" si="37"/>
        <v>-</v>
      </c>
      <c r="M204" s="203">
        <f t="shared" si="37"/>
        <v>2249</v>
      </c>
      <c r="N204" s="203">
        <f t="shared" si="37"/>
        <v>70446</v>
      </c>
      <c r="O204" s="203">
        <f t="shared" si="37"/>
        <v>51188</v>
      </c>
      <c r="P204" s="203">
        <f t="shared" si="37"/>
        <v>44</v>
      </c>
      <c r="Q204" s="203">
        <f t="shared" si="37"/>
        <v>3</v>
      </c>
      <c r="R204" s="203">
        <f t="shared" si="37"/>
        <v>123930</v>
      </c>
    </row>
    <row r="205" spans="1:18" x14ac:dyDescent="0.2">
      <c r="A205" s="371">
        <v>1988</v>
      </c>
      <c r="B205" s="203" t="str">
        <f t="shared" si="36"/>
        <v>-</v>
      </c>
      <c r="C205" s="203" t="str">
        <f t="shared" si="36"/>
        <v>-</v>
      </c>
      <c r="D205" s="203" t="str">
        <f t="shared" si="36"/>
        <v>-</v>
      </c>
      <c r="E205" s="203">
        <f t="shared" si="36"/>
        <v>17680</v>
      </c>
      <c r="F205" s="203">
        <f t="shared" si="36"/>
        <v>1220</v>
      </c>
      <c r="G205" s="203">
        <f t="shared" si="36"/>
        <v>37</v>
      </c>
      <c r="H205" s="203" t="str">
        <f t="shared" si="36"/>
        <v>-</v>
      </c>
      <c r="I205" s="203">
        <f t="shared" si="36"/>
        <v>18937</v>
      </c>
      <c r="K205" s="203" t="str">
        <f t="shared" si="37"/>
        <v>-</v>
      </c>
      <c r="L205" s="203" t="str">
        <f t="shared" si="37"/>
        <v>-</v>
      </c>
      <c r="M205" s="203" t="str">
        <f t="shared" si="37"/>
        <v>-</v>
      </c>
      <c r="N205" s="203">
        <f t="shared" si="37"/>
        <v>81803</v>
      </c>
      <c r="O205" s="203">
        <f t="shared" si="37"/>
        <v>6558</v>
      </c>
      <c r="P205" s="203">
        <f t="shared" si="37"/>
        <v>563</v>
      </c>
      <c r="Q205" s="203" t="str">
        <f t="shared" si="37"/>
        <v>-</v>
      </c>
      <c r="R205" s="203">
        <f t="shared" si="37"/>
        <v>88924</v>
      </c>
    </row>
    <row r="206" spans="1:18" x14ac:dyDescent="0.2">
      <c r="A206" s="371">
        <v>1989</v>
      </c>
      <c r="B206" s="203" t="str">
        <f t="shared" si="36"/>
        <v>-</v>
      </c>
      <c r="C206" s="203">
        <f t="shared" si="36"/>
        <v>901</v>
      </c>
      <c r="D206" s="203">
        <f t="shared" si="36"/>
        <v>2073</v>
      </c>
      <c r="E206" s="203">
        <f t="shared" si="36"/>
        <v>7120</v>
      </c>
      <c r="F206" s="203">
        <f t="shared" si="36"/>
        <v>9764</v>
      </c>
      <c r="G206" s="203" t="str">
        <f t="shared" si="36"/>
        <v>-</v>
      </c>
      <c r="H206" s="203" t="str">
        <f t="shared" si="36"/>
        <v>-</v>
      </c>
      <c r="I206" s="203">
        <f t="shared" si="36"/>
        <v>19858</v>
      </c>
      <c r="K206" s="203" t="str">
        <f t="shared" si="37"/>
        <v>-</v>
      </c>
      <c r="L206" s="203">
        <f t="shared" si="37"/>
        <v>19</v>
      </c>
      <c r="M206" s="203">
        <f t="shared" si="37"/>
        <v>38</v>
      </c>
      <c r="N206" s="203">
        <f t="shared" si="37"/>
        <v>108480</v>
      </c>
      <c r="O206" s="203">
        <f t="shared" si="37"/>
        <v>95461</v>
      </c>
      <c r="P206" s="203">
        <f t="shared" si="37"/>
        <v>8855</v>
      </c>
      <c r="Q206" s="203" t="str">
        <f t="shared" si="37"/>
        <v>-</v>
      </c>
      <c r="R206" s="203">
        <f t="shared" si="37"/>
        <v>212853</v>
      </c>
    </row>
    <row r="207" spans="1:18" x14ac:dyDescent="0.2">
      <c r="A207" s="371">
        <v>1990</v>
      </c>
      <c r="B207" s="203" t="str">
        <f t="shared" si="36"/>
        <v>-</v>
      </c>
      <c r="C207" s="203" t="str">
        <f t="shared" si="36"/>
        <v>-</v>
      </c>
      <c r="D207" s="203">
        <f t="shared" si="36"/>
        <v>1501</v>
      </c>
      <c r="E207" s="203">
        <f t="shared" si="36"/>
        <v>12554</v>
      </c>
      <c r="F207" s="203">
        <f t="shared" si="36"/>
        <v>12329</v>
      </c>
      <c r="G207" s="203">
        <f t="shared" si="36"/>
        <v>3582</v>
      </c>
      <c r="H207" s="203" t="str">
        <f t="shared" si="36"/>
        <v>-</v>
      </c>
      <c r="I207" s="203">
        <f t="shared" si="36"/>
        <v>29966</v>
      </c>
      <c r="K207" s="203" t="str">
        <f t="shared" si="37"/>
        <v>-</v>
      </c>
      <c r="L207" s="203" t="str">
        <f t="shared" si="37"/>
        <v>-</v>
      </c>
      <c r="M207" s="203">
        <f t="shared" si="37"/>
        <v>12141</v>
      </c>
      <c r="N207" s="203">
        <f t="shared" si="37"/>
        <v>96302</v>
      </c>
      <c r="O207" s="203">
        <f t="shared" si="37"/>
        <v>90958</v>
      </c>
      <c r="P207" s="203">
        <f t="shared" si="37"/>
        <v>25422</v>
      </c>
      <c r="Q207" s="203" t="str">
        <f t="shared" si="37"/>
        <v>-</v>
      </c>
      <c r="R207" s="203">
        <f t="shared" si="37"/>
        <v>224823</v>
      </c>
    </row>
    <row r="208" spans="1:18" x14ac:dyDescent="0.2">
      <c r="A208" s="371" t="s">
        <v>278</v>
      </c>
      <c r="B208" s="203" t="str">
        <f t="shared" si="36"/>
        <v>-</v>
      </c>
      <c r="C208" s="203" t="str">
        <f t="shared" si="36"/>
        <v>-</v>
      </c>
      <c r="D208" s="203">
        <f t="shared" si="36"/>
        <v>2082</v>
      </c>
      <c r="E208" s="203">
        <f t="shared" si="36"/>
        <v>7740</v>
      </c>
      <c r="F208" s="203">
        <f t="shared" si="36"/>
        <v>2586</v>
      </c>
      <c r="G208" s="203">
        <f t="shared" si="36"/>
        <v>261</v>
      </c>
      <c r="H208" s="203" t="str">
        <f t="shared" si="36"/>
        <v>-</v>
      </c>
      <c r="I208" s="203">
        <f t="shared" si="36"/>
        <v>12669</v>
      </c>
      <c r="K208" s="203" t="str">
        <f t="shared" si="37"/>
        <v>-</v>
      </c>
      <c r="L208" s="203" t="str">
        <f t="shared" si="37"/>
        <v>-</v>
      </c>
      <c r="M208" s="203">
        <f t="shared" si="37"/>
        <v>12247</v>
      </c>
      <c r="N208" s="203">
        <f t="shared" si="37"/>
        <v>134886</v>
      </c>
      <c r="O208" s="203">
        <f t="shared" si="37"/>
        <v>46057</v>
      </c>
      <c r="P208" s="203">
        <f t="shared" si="37"/>
        <v>14503</v>
      </c>
      <c r="Q208" s="203" t="str">
        <f t="shared" si="37"/>
        <v>-</v>
      </c>
      <c r="R208" s="203">
        <f t="shared" si="37"/>
        <v>207693</v>
      </c>
    </row>
    <row r="209" spans="1:18" x14ac:dyDescent="0.2">
      <c r="A209" s="371" t="s">
        <v>279</v>
      </c>
      <c r="B209" s="203" t="str">
        <f t="shared" si="36"/>
        <v>-</v>
      </c>
      <c r="C209" s="203">
        <f t="shared" si="36"/>
        <v>118</v>
      </c>
      <c r="D209" s="203">
        <f t="shared" si="36"/>
        <v>0</v>
      </c>
      <c r="E209" s="203">
        <f t="shared" si="36"/>
        <v>9038</v>
      </c>
      <c r="F209" s="203">
        <f t="shared" si="36"/>
        <v>6521</v>
      </c>
      <c r="G209" s="203">
        <f t="shared" si="36"/>
        <v>2535</v>
      </c>
      <c r="H209" s="203">
        <f t="shared" si="36"/>
        <v>215</v>
      </c>
      <c r="I209" s="203">
        <f t="shared" si="36"/>
        <v>18427</v>
      </c>
      <c r="K209" s="203" t="str">
        <f t="shared" si="37"/>
        <v>-</v>
      </c>
      <c r="L209" s="203">
        <f t="shared" si="37"/>
        <v>32</v>
      </c>
      <c r="M209" s="203">
        <f t="shared" si="37"/>
        <v>0</v>
      </c>
      <c r="N209" s="203">
        <f t="shared" si="37"/>
        <v>68285</v>
      </c>
      <c r="O209" s="203">
        <f t="shared" si="37"/>
        <v>44393</v>
      </c>
      <c r="P209" s="203">
        <f t="shared" si="37"/>
        <v>10521</v>
      </c>
      <c r="Q209" s="203">
        <f t="shared" si="37"/>
        <v>324</v>
      </c>
      <c r="R209" s="203">
        <f t="shared" si="37"/>
        <v>123555</v>
      </c>
    </row>
    <row r="210" spans="1:18" x14ac:dyDescent="0.2">
      <c r="A210" s="371" t="s">
        <v>280</v>
      </c>
      <c r="B210" s="203" t="str">
        <f t="shared" si="36"/>
        <v>-</v>
      </c>
      <c r="C210" s="203">
        <f t="shared" si="36"/>
        <v>178</v>
      </c>
      <c r="D210" s="203" t="str">
        <f t="shared" si="36"/>
        <v>-</v>
      </c>
      <c r="E210" s="203">
        <f t="shared" si="36"/>
        <v>3205</v>
      </c>
      <c r="F210" s="203">
        <f t="shared" si="36"/>
        <v>5554</v>
      </c>
      <c r="G210" s="203">
        <f t="shared" si="36"/>
        <v>4081</v>
      </c>
      <c r="H210" s="203" t="str">
        <f t="shared" si="36"/>
        <v>-</v>
      </c>
      <c r="I210" s="203">
        <f t="shared" si="36"/>
        <v>13018</v>
      </c>
      <c r="K210" s="203" t="str">
        <f t="shared" si="37"/>
        <v>-</v>
      </c>
      <c r="L210" s="203">
        <f t="shared" si="37"/>
        <v>48</v>
      </c>
      <c r="M210" s="203" t="str">
        <f t="shared" si="37"/>
        <v>-</v>
      </c>
      <c r="N210" s="203">
        <f t="shared" si="37"/>
        <v>43967</v>
      </c>
      <c r="O210" s="203">
        <f t="shared" si="37"/>
        <v>55683</v>
      </c>
      <c r="P210" s="203">
        <f t="shared" si="37"/>
        <v>26257</v>
      </c>
      <c r="Q210" s="203" t="str">
        <f t="shared" si="37"/>
        <v>-</v>
      </c>
      <c r="R210" s="203">
        <f t="shared" si="37"/>
        <v>125955</v>
      </c>
    </row>
    <row r="211" spans="1:18" x14ac:dyDescent="0.2">
      <c r="A211" s="371">
        <v>1994</v>
      </c>
      <c r="B211" s="203" t="str">
        <f t="shared" si="36"/>
        <v>-</v>
      </c>
      <c r="C211" s="203" t="str">
        <f t="shared" si="36"/>
        <v>-</v>
      </c>
      <c r="D211" s="203" t="str">
        <f t="shared" si="36"/>
        <v>-</v>
      </c>
      <c r="E211" s="203" t="str">
        <f t="shared" si="36"/>
        <v>-</v>
      </c>
      <c r="F211" s="203" t="str">
        <f t="shared" si="36"/>
        <v>-</v>
      </c>
      <c r="G211" s="203" t="str">
        <f t="shared" si="36"/>
        <v>-</v>
      </c>
      <c r="H211" s="203" t="str">
        <f t="shared" si="36"/>
        <v>-</v>
      </c>
      <c r="I211" s="203" t="str">
        <f t="shared" si="36"/>
        <v>-</v>
      </c>
      <c r="K211" s="203" t="str">
        <f t="shared" si="37"/>
        <v>-</v>
      </c>
      <c r="L211" s="203" t="str">
        <f t="shared" si="37"/>
        <v>-</v>
      </c>
      <c r="M211" s="203" t="str">
        <f t="shared" si="37"/>
        <v>-</v>
      </c>
      <c r="N211" s="203" t="str">
        <f t="shared" si="37"/>
        <v>-</v>
      </c>
      <c r="O211" s="203" t="str">
        <f t="shared" si="37"/>
        <v>-</v>
      </c>
      <c r="P211" s="203" t="str">
        <f t="shared" si="37"/>
        <v>-</v>
      </c>
      <c r="Q211" s="203" t="str">
        <f t="shared" si="37"/>
        <v>-</v>
      </c>
      <c r="R211" s="203" t="str">
        <f t="shared" si="37"/>
        <v>-</v>
      </c>
    </row>
    <row r="212" spans="1:18" x14ac:dyDescent="0.2">
      <c r="A212" s="371">
        <v>1995</v>
      </c>
      <c r="B212" s="203" t="str">
        <f t="shared" si="36"/>
        <v>-</v>
      </c>
      <c r="C212" s="203" t="str">
        <f t="shared" si="36"/>
        <v>-</v>
      </c>
      <c r="D212" s="203" t="str">
        <f t="shared" si="36"/>
        <v>-</v>
      </c>
      <c r="E212" s="203">
        <f t="shared" si="36"/>
        <v>52</v>
      </c>
      <c r="F212" s="203">
        <f t="shared" si="36"/>
        <v>363</v>
      </c>
      <c r="G212" s="203">
        <f t="shared" si="36"/>
        <v>94</v>
      </c>
      <c r="H212" s="203" t="str">
        <f t="shared" si="36"/>
        <v>-</v>
      </c>
      <c r="I212" s="203">
        <f t="shared" si="36"/>
        <v>509</v>
      </c>
      <c r="K212" s="203" t="str">
        <f t="shared" si="37"/>
        <v>-</v>
      </c>
      <c r="L212" s="203" t="str">
        <f t="shared" si="37"/>
        <v>-</v>
      </c>
      <c r="M212" s="203" t="str">
        <f t="shared" si="37"/>
        <v>-</v>
      </c>
      <c r="N212" s="203">
        <f t="shared" si="37"/>
        <v>7200</v>
      </c>
      <c r="O212" s="203">
        <f t="shared" si="37"/>
        <v>45545</v>
      </c>
      <c r="P212" s="203">
        <f t="shared" si="37"/>
        <v>15507</v>
      </c>
      <c r="Q212" s="203" t="str">
        <f t="shared" si="37"/>
        <v>-</v>
      </c>
      <c r="R212" s="203">
        <f t="shared" si="37"/>
        <v>68252</v>
      </c>
    </row>
    <row r="213" spans="1:18" x14ac:dyDescent="0.2">
      <c r="A213" s="371" t="s">
        <v>281</v>
      </c>
      <c r="B213" s="203" t="str">
        <f t="shared" ref="B213:I222" si="38">IF(AND(B166="-",B119="-",B72="-",B25="-"),"-",SUM(B166,B119,B72,B25))</f>
        <v>-</v>
      </c>
      <c r="C213" s="203" t="str">
        <f t="shared" si="38"/>
        <v>-</v>
      </c>
      <c r="D213" s="203" t="str">
        <f t="shared" si="38"/>
        <v>-</v>
      </c>
      <c r="E213" s="203">
        <f t="shared" si="38"/>
        <v>30</v>
      </c>
      <c r="F213" s="203">
        <f t="shared" si="38"/>
        <v>105</v>
      </c>
      <c r="G213" s="203">
        <f t="shared" si="38"/>
        <v>42</v>
      </c>
      <c r="H213" s="203" t="str">
        <f t="shared" si="38"/>
        <v>-</v>
      </c>
      <c r="I213" s="203">
        <f t="shared" si="38"/>
        <v>177</v>
      </c>
      <c r="K213" s="203" t="str">
        <f t="shared" ref="K213:R222" si="39">IF(AND(K166="-",K119="-",K72="-",K25="-"),"-",SUM(K166,K119,K72,K25))</f>
        <v>-</v>
      </c>
      <c r="L213" s="203" t="str">
        <f t="shared" si="39"/>
        <v>-</v>
      </c>
      <c r="M213" s="203" t="str">
        <f t="shared" si="39"/>
        <v>-</v>
      </c>
      <c r="N213" s="203">
        <f t="shared" si="39"/>
        <v>10640</v>
      </c>
      <c r="O213" s="203">
        <f t="shared" si="39"/>
        <v>32607</v>
      </c>
      <c r="P213" s="203">
        <f t="shared" si="39"/>
        <v>8186</v>
      </c>
      <c r="Q213" s="203" t="str">
        <f t="shared" si="39"/>
        <v>-</v>
      </c>
      <c r="R213" s="203">
        <f t="shared" si="39"/>
        <v>51433</v>
      </c>
    </row>
    <row r="214" spans="1:18" x14ac:dyDescent="0.2">
      <c r="A214" s="371" t="s">
        <v>282</v>
      </c>
      <c r="B214" s="203" t="str">
        <f t="shared" si="38"/>
        <v>-</v>
      </c>
      <c r="C214" s="203" t="str">
        <f t="shared" si="38"/>
        <v>-</v>
      </c>
      <c r="D214" s="203" t="str">
        <f t="shared" si="38"/>
        <v>-</v>
      </c>
      <c r="E214" s="203">
        <f t="shared" si="38"/>
        <v>1898</v>
      </c>
      <c r="F214" s="203">
        <f t="shared" si="38"/>
        <v>1756</v>
      </c>
      <c r="G214" s="203">
        <f t="shared" si="38"/>
        <v>315</v>
      </c>
      <c r="H214" s="203" t="str">
        <f t="shared" si="38"/>
        <v>-</v>
      </c>
      <c r="I214" s="203">
        <f t="shared" si="38"/>
        <v>3969</v>
      </c>
      <c r="K214" s="203" t="str">
        <f t="shared" si="39"/>
        <v>-</v>
      </c>
      <c r="L214" s="203" t="str">
        <f t="shared" si="39"/>
        <v>-</v>
      </c>
      <c r="M214" s="203" t="str">
        <f t="shared" si="39"/>
        <v>-</v>
      </c>
      <c r="N214" s="203">
        <f t="shared" si="39"/>
        <v>14380</v>
      </c>
      <c r="O214" s="203">
        <f t="shared" si="39"/>
        <v>11958</v>
      </c>
      <c r="P214" s="203">
        <f t="shared" si="39"/>
        <v>424</v>
      </c>
      <c r="Q214" s="203" t="str">
        <f t="shared" si="39"/>
        <v>-</v>
      </c>
      <c r="R214" s="203">
        <f t="shared" si="39"/>
        <v>26762</v>
      </c>
    </row>
    <row r="215" spans="1:18" x14ac:dyDescent="0.2">
      <c r="A215" s="371" t="s">
        <v>283</v>
      </c>
      <c r="B215" s="203" t="str">
        <f t="shared" si="38"/>
        <v>-</v>
      </c>
      <c r="C215" s="203" t="str">
        <f t="shared" si="38"/>
        <v>-</v>
      </c>
      <c r="D215" s="203" t="str">
        <f t="shared" si="38"/>
        <v>-</v>
      </c>
      <c r="E215" s="203" t="str">
        <f t="shared" si="38"/>
        <v>-</v>
      </c>
      <c r="F215" s="203">
        <f t="shared" si="38"/>
        <v>1917</v>
      </c>
      <c r="G215" s="203">
        <f t="shared" si="38"/>
        <v>270</v>
      </c>
      <c r="H215" s="203" t="str">
        <f t="shared" si="38"/>
        <v>-</v>
      </c>
      <c r="I215" s="203">
        <f t="shared" si="38"/>
        <v>2187</v>
      </c>
      <c r="K215" s="203" t="str">
        <f t="shared" si="39"/>
        <v>-</v>
      </c>
      <c r="L215" s="203" t="str">
        <f t="shared" si="39"/>
        <v>-</v>
      </c>
      <c r="M215" s="203" t="str">
        <f t="shared" si="39"/>
        <v>-</v>
      </c>
      <c r="N215" s="203" t="str">
        <f t="shared" si="39"/>
        <v>-</v>
      </c>
      <c r="O215" s="203">
        <f t="shared" si="39"/>
        <v>19292</v>
      </c>
      <c r="P215" s="203">
        <f t="shared" si="39"/>
        <v>1414</v>
      </c>
      <c r="Q215" s="203" t="str">
        <f t="shared" si="39"/>
        <v>-</v>
      </c>
      <c r="R215" s="203">
        <f t="shared" si="39"/>
        <v>20706</v>
      </c>
    </row>
    <row r="216" spans="1:18" x14ac:dyDescent="0.2">
      <c r="A216" s="371">
        <v>1999</v>
      </c>
      <c r="B216" s="203" t="str">
        <f t="shared" si="38"/>
        <v>-</v>
      </c>
      <c r="C216" s="203" t="str">
        <f t="shared" si="38"/>
        <v>-</v>
      </c>
      <c r="D216" s="203" t="str">
        <f t="shared" si="38"/>
        <v>-</v>
      </c>
      <c r="E216" s="203">
        <f t="shared" si="38"/>
        <v>3162</v>
      </c>
      <c r="F216" s="203">
        <f t="shared" si="38"/>
        <v>5098</v>
      </c>
      <c r="G216" s="203">
        <f t="shared" si="38"/>
        <v>1627</v>
      </c>
      <c r="H216" s="203" t="str">
        <f t="shared" si="38"/>
        <v>-</v>
      </c>
      <c r="I216" s="203">
        <f t="shared" si="38"/>
        <v>9887</v>
      </c>
      <c r="K216" s="203" t="str">
        <f t="shared" si="39"/>
        <v>-</v>
      </c>
      <c r="L216" s="203" t="str">
        <f t="shared" si="39"/>
        <v>-</v>
      </c>
      <c r="M216" s="203" t="str">
        <f t="shared" si="39"/>
        <v>-</v>
      </c>
      <c r="N216" s="203">
        <f t="shared" si="39"/>
        <v>11348</v>
      </c>
      <c r="O216" s="203">
        <f t="shared" si="39"/>
        <v>21031</v>
      </c>
      <c r="P216" s="203">
        <f t="shared" si="39"/>
        <v>7746</v>
      </c>
      <c r="Q216" s="203" t="str">
        <f t="shared" si="39"/>
        <v>-</v>
      </c>
      <c r="R216" s="203">
        <f t="shared" si="39"/>
        <v>40125</v>
      </c>
    </row>
    <row r="217" spans="1:18" x14ac:dyDescent="0.2">
      <c r="A217" s="371" t="s">
        <v>284</v>
      </c>
      <c r="B217" s="203" t="str">
        <f t="shared" si="38"/>
        <v>-</v>
      </c>
      <c r="C217" s="203" t="str">
        <f t="shared" si="38"/>
        <v>-</v>
      </c>
      <c r="D217" s="203" t="str">
        <f t="shared" si="38"/>
        <v>-</v>
      </c>
      <c r="E217" s="203">
        <f t="shared" si="38"/>
        <v>5320</v>
      </c>
      <c r="F217" s="203">
        <f t="shared" si="38"/>
        <v>3158</v>
      </c>
      <c r="G217" s="203" t="str">
        <f t="shared" si="38"/>
        <v>-</v>
      </c>
      <c r="H217" s="203" t="str">
        <f t="shared" si="38"/>
        <v>-</v>
      </c>
      <c r="I217" s="203">
        <f t="shared" si="38"/>
        <v>8478</v>
      </c>
      <c r="K217" s="203" t="str">
        <f t="shared" si="39"/>
        <v>-</v>
      </c>
      <c r="L217" s="203" t="str">
        <f t="shared" si="39"/>
        <v>-</v>
      </c>
      <c r="M217" s="203" t="str">
        <f t="shared" si="39"/>
        <v>-</v>
      </c>
      <c r="N217" s="203">
        <f t="shared" si="39"/>
        <v>34577</v>
      </c>
      <c r="O217" s="203">
        <f t="shared" si="39"/>
        <v>31555</v>
      </c>
      <c r="P217" s="203">
        <f t="shared" si="39"/>
        <v>2067</v>
      </c>
      <c r="Q217" s="203" t="str">
        <f t="shared" si="39"/>
        <v>-</v>
      </c>
      <c r="R217" s="203">
        <f t="shared" si="39"/>
        <v>68199</v>
      </c>
    </row>
    <row r="218" spans="1:18" x14ac:dyDescent="0.2">
      <c r="A218" s="371">
        <v>2001</v>
      </c>
      <c r="B218" s="203" t="str">
        <f t="shared" si="38"/>
        <v>-</v>
      </c>
      <c r="C218" s="203" t="str">
        <f t="shared" si="38"/>
        <v>-</v>
      </c>
      <c r="D218" s="203" t="str">
        <f t="shared" si="38"/>
        <v>-</v>
      </c>
      <c r="E218" s="203">
        <f t="shared" si="38"/>
        <v>15885</v>
      </c>
      <c r="F218" s="203">
        <f t="shared" si="38"/>
        <v>5524</v>
      </c>
      <c r="G218" s="203">
        <f t="shared" si="38"/>
        <v>1465</v>
      </c>
      <c r="H218" s="203">
        <f t="shared" si="38"/>
        <v>100</v>
      </c>
      <c r="I218" s="203">
        <f t="shared" si="38"/>
        <v>22974</v>
      </c>
      <c r="K218" s="203" t="str">
        <f t="shared" si="39"/>
        <v>-</v>
      </c>
      <c r="L218" s="203">
        <f t="shared" si="39"/>
        <v>0</v>
      </c>
      <c r="M218" s="203" t="str">
        <f t="shared" si="39"/>
        <v>-</v>
      </c>
      <c r="N218" s="203">
        <f t="shared" si="39"/>
        <v>75322</v>
      </c>
      <c r="O218" s="203">
        <f t="shared" si="39"/>
        <v>67767</v>
      </c>
      <c r="P218" s="203">
        <f t="shared" si="39"/>
        <v>24958</v>
      </c>
      <c r="Q218" s="203">
        <f t="shared" si="39"/>
        <v>15</v>
      </c>
      <c r="R218" s="203">
        <f t="shared" si="39"/>
        <v>168062</v>
      </c>
    </row>
    <row r="219" spans="1:18" x14ac:dyDescent="0.2">
      <c r="A219" s="371">
        <v>2002</v>
      </c>
      <c r="B219" s="203" t="str">
        <f t="shared" si="38"/>
        <v>-</v>
      </c>
      <c r="C219" s="203">
        <f t="shared" si="38"/>
        <v>2607</v>
      </c>
      <c r="D219" s="203">
        <f t="shared" si="38"/>
        <v>17152</v>
      </c>
      <c r="E219" s="203">
        <f t="shared" si="38"/>
        <v>25364</v>
      </c>
      <c r="F219" s="203">
        <f t="shared" si="38"/>
        <v>12455</v>
      </c>
      <c r="G219" s="203">
        <f t="shared" si="38"/>
        <v>200</v>
      </c>
      <c r="H219" s="203">
        <f t="shared" si="38"/>
        <v>43</v>
      </c>
      <c r="I219" s="203">
        <f t="shared" si="38"/>
        <v>57821</v>
      </c>
      <c r="K219" s="203" t="str">
        <f t="shared" si="39"/>
        <v>-</v>
      </c>
      <c r="L219" s="203">
        <f t="shared" si="39"/>
        <v>5</v>
      </c>
      <c r="M219" s="203">
        <f t="shared" si="39"/>
        <v>301</v>
      </c>
      <c r="N219" s="203">
        <f t="shared" si="39"/>
        <v>20463</v>
      </c>
      <c r="O219" s="203">
        <f t="shared" si="39"/>
        <v>41188</v>
      </c>
      <c r="P219" s="203">
        <f t="shared" si="39"/>
        <v>12173</v>
      </c>
      <c r="Q219" s="203">
        <f t="shared" si="39"/>
        <v>4</v>
      </c>
      <c r="R219" s="203">
        <f t="shared" si="39"/>
        <v>74134</v>
      </c>
    </row>
    <row r="220" spans="1:18" x14ac:dyDescent="0.2">
      <c r="A220" s="348">
        <v>2003</v>
      </c>
      <c r="B220" s="203" t="str">
        <f t="shared" si="38"/>
        <v>-</v>
      </c>
      <c r="C220" s="203" t="str">
        <f t="shared" si="38"/>
        <v>-</v>
      </c>
      <c r="D220" s="203">
        <f t="shared" si="38"/>
        <v>2733</v>
      </c>
      <c r="E220" s="203">
        <f t="shared" si="38"/>
        <v>14457</v>
      </c>
      <c r="F220" s="203">
        <f t="shared" si="38"/>
        <v>14313</v>
      </c>
      <c r="G220" s="203">
        <f t="shared" si="38"/>
        <v>2618</v>
      </c>
      <c r="H220" s="203">
        <f t="shared" si="38"/>
        <v>62</v>
      </c>
      <c r="I220" s="203">
        <f t="shared" si="38"/>
        <v>34183</v>
      </c>
      <c r="K220" s="203" t="str">
        <f t="shared" si="39"/>
        <v>-</v>
      </c>
      <c r="L220" s="203" t="str">
        <f t="shared" si="39"/>
        <v>-</v>
      </c>
      <c r="M220" s="203">
        <f t="shared" si="39"/>
        <v>4235</v>
      </c>
      <c r="N220" s="203">
        <f t="shared" si="39"/>
        <v>49909</v>
      </c>
      <c r="O220" s="203">
        <f t="shared" si="39"/>
        <v>71323</v>
      </c>
      <c r="P220" s="203">
        <f t="shared" si="39"/>
        <v>13617</v>
      </c>
      <c r="Q220" s="203">
        <f t="shared" si="39"/>
        <v>12</v>
      </c>
      <c r="R220" s="203">
        <f t="shared" si="39"/>
        <v>139096</v>
      </c>
    </row>
    <row r="221" spans="1:18" x14ac:dyDescent="0.2">
      <c r="A221" s="348">
        <v>2004</v>
      </c>
      <c r="B221" s="203" t="str">
        <f t="shared" si="38"/>
        <v>-</v>
      </c>
      <c r="C221" s="203" t="str">
        <f t="shared" si="38"/>
        <v>-</v>
      </c>
      <c r="D221" s="203">
        <f t="shared" si="38"/>
        <v>549</v>
      </c>
      <c r="E221" s="203">
        <f t="shared" si="38"/>
        <v>9822</v>
      </c>
      <c r="F221" s="203">
        <f t="shared" si="38"/>
        <v>11016</v>
      </c>
      <c r="G221" s="203">
        <f t="shared" si="38"/>
        <v>3520</v>
      </c>
      <c r="H221" s="203">
        <f t="shared" si="38"/>
        <v>6</v>
      </c>
      <c r="I221" s="203">
        <f t="shared" si="38"/>
        <v>24907</v>
      </c>
      <c r="J221" s="197"/>
      <c r="K221" s="203" t="str">
        <f t="shared" si="39"/>
        <v>-</v>
      </c>
      <c r="L221" s="203" t="str">
        <f t="shared" si="39"/>
        <v>-</v>
      </c>
      <c r="M221" s="203">
        <f t="shared" si="39"/>
        <v>2516</v>
      </c>
      <c r="N221" s="203">
        <f t="shared" si="39"/>
        <v>39888</v>
      </c>
      <c r="O221" s="203">
        <f t="shared" si="39"/>
        <v>54628</v>
      </c>
      <c r="P221" s="203">
        <f t="shared" si="39"/>
        <v>15901</v>
      </c>
      <c r="Q221" s="203">
        <f t="shared" si="39"/>
        <v>3</v>
      </c>
      <c r="R221" s="203">
        <f t="shared" si="39"/>
        <v>112936</v>
      </c>
    </row>
    <row r="222" spans="1:18" s="359" customFormat="1" x14ac:dyDescent="0.2">
      <c r="A222" s="348">
        <v>2005</v>
      </c>
      <c r="B222" s="203" t="str">
        <f t="shared" si="38"/>
        <v>-</v>
      </c>
      <c r="C222" s="203" t="str">
        <f t="shared" si="38"/>
        <v>-</v>
      </c>
      <c r="D222" s="203">
        <f t="shared" si="38"/>
        <v>364</v>
      </c>
      <c r="E222" s="203">
        <f t="shared" si="38"/>
        <v>9278.4236039019888</v>
      </c>
      <c r="F222" s="203">
        <f t="shared" si="38"/>
        <v>20191.399514076762</v>
      </c>
      <c r="G222" s="203">
        <f t="shared" si="38"/>
        <v>6491.9502311670931</v>
      </c>
      <c r="H222" s="203">
        <f t="shared" si="38"/>
        <v>43</v>
      </c>
      <c r="I222" s="203">
        <f t="shared" si="38"/>
        <v>36368.773349145842</v>
      </c>
      <c r="J222" s="197"/>
      <c r="K222" s="203" t="str">
        <f t="shared" si="39"/>
        <v>-</v>
      </c>
      <c r="L222" s="203" t="str">
        <f t="shared" si="39"/>
        <v>-</v>
      </c>
      <c r="M222" s="203">
        <f t="shared" si="39"/>
        <v>126</v>
      </c>
      <c r="N222" s="203">
        <f t="shared" si="39"/>
        <v>17445.76608873891</v>
      </c>
      <c r="O222" s="203">
        <f t="shared" si="39"/>
        <v>25750.151707361139</v>
      </c>
      <c r="P222" s="203">
        <f t="shared" si="39"/>
        <v>8429.6344315132774</v>
      </c>
      <c r="Q222" s="203">
        <f t="shared" si="39"/>
        <v>18</v>
      </c>
      <c r="R222" s="203">
        <f t="shared" si="39"/>
        <v>51769.552227613327</v>
      </c>
    </row>
    <row r="223" spans="1:18" s="359" customFormat="1" x14ac:dyDescent="0.2">
      <c r="A223" s="348">
        <v>2006</v>
      </c>
      <c r="B223" s="203" t="str">
        <f t="shared" ref="B223:I232" si="40">IF(AND(B176="-",B129="-",B82="-",B35="-"),"-",SUM(B176,B129,B82,B35))</f>
        <v>-</v>
      </c>
      <c r="C223" s="203" t="str">
        <f t="shared" si="40"/>
        <v>-</v>
      </c>
      <c r="D223" s="203">
        <f t="shared" si="40"/>
        <v>202.26999999999998</v>
      </c>
      <c r="E223" s="203">
        <f t="shared" si="40"/>
        <v>3751.4300000000003</v>
      </c>
      <c r="F223" s="203">
        <f t="shared" si="40"/>
        <v>5670.1</v>
      </c>
      <c r="G223" s="203">
        <f t="shared" si="40"/>
        <v>953.02</v>
      </c>
      <c r="H223" s="203">
        <f t="shared" si="40"/>
        <v>90.54</v>
      </c>
      <c r="I223" s="203">
        <f t="shared" si="40"/>
        <v>10667.36</v>
      </c>
      <c r="J223" s="197"/>
      <c r="K223" s="203" t="str">
        <f t="shared" ref="K223:R232" si="41">IF(AND(K176="-",K129="-",K82="-",K35="-"),"-",SUM(K176,K129,K82,K35))</f>
        <v>-</v>
      </c>
      <c r="L223" s="203" t="str">
        <f t="shared" si="41"/>
        <v>-</v>
      </c>
      <c r="M223" s="203">
        <f t="shared" si="41"/>
        <v>416.05</v>
      </c>
      <c r="N223" s="203">
        <f t="shared" si="41"/>
        <v>13047.27</v>
      </c>
      <c r="O223" s="203">
        <f t="shared" si="41"/>
        <v>20508.91</v>
      </c>
      <c r="P223" s="203">
        <f t="shared" si="41"/>
        <v>2112.1999999999998</v>
      </c>
      <c r="Q223" s="203">
        <f t="shared" si="41"/>
        <v>2.4</v>
      </c>
      <c r="R223" s="203">
        <f t="shared" si="41"/>
        <v>36086.829999999994</v>
      </c>
    </row>
    <row r="224" spans="1:18" s="359" customFormat="1" x14ac:dyDescent="0.2">
      <c r="A224" s="348">
        <v>2007</v>
      </c>
      <c r="B224" s="203" t="str">
        <f t="shared" si="40"/>
        <v>-</v>
      </c>
      <c r="C224" s="203" t="str">
        <f t="shared" si="40"/>
        <v>-</v>
      </c>
      <c r="D224" s="203" t="str">
        <f t="shared" si="40"/>
        <v>-</v>
      </c>
      <c r="E224" s="203">
        <f t="shared" si="40"/>
        <v>4096.7299999999996</v>
      </c>
      <c r="F224" s="203">
        <f t="shared" si="40"/>
        <v>4362.41</v>
      </c>
      <c r="G224" s="203">
        <f t="shared" si="40"/>
        <v>484.65000000000003</v>
      </c>
      <c r="H224" s="203">
        <f t="shared" si="40"/>
        <v>0</v>
      </c>
      <c r="I224" s="203">
        <f t="shared" si="40"/>
        <v>8943.7900000000009</v>
      </c>
      <c r="J224" s="197"/>
      <c r="K224" s="203" t="str">
        <f t="shared" si="41"/>
        <v>-</v>
      </c>
      <c r="L224" s="203" t="str">
        <f t="shared" si="41"/>
        <v>-</v>
      </c>
      <c r="M224" s="203" t="str">
        <f t="shared" si="41"/>
        <v>-</v>
      </c>
      <c r="N224" s="203">
        <f t="shared" si="41"/>
        <v>25198.18</v>
      </c>
      <c r="O224" s="203">
        <f t="shared" si="41"/>
        <v>53479.48</v>
      </c>
      <c r="P224" s="203">
        <f t="shared" si="41"/>
        <v>5109.9399999999996</v>
      </c>
      <c r="Q224" s="203">
        <f t="shared" si="41"/>
        <v>0</v>
      </c>
      <c r="R224" s="203">
        <f t="shared" si="41"/>
        <v>83787.600000000006</v>
      </c>
    </row>
    <row r="225" spans="1:18" s="359" customFormat="1" x14ac:dyDescent="0.2">
      <c r="A225" s="348">
        <v>2008</v>
      </c>
      <c r="B225" s="203" t="str">
        <f t="shared" si="40"/>
        <v>-</v>
      </c>
      <c r="C225" s="203" t="str">
        <f t="shared" si="40"/>
        <v>-</v>
      </c>
      <c r="D225" s="203">
        <f t="shared" si="40"/>
        <v>3010.5499999999997</v>
      </c>
      <c r="E225" s="203">
        <f t="shared" si="40"/>
        <v>6593.7000000000007</v>
      </c>
      <c r="F225" s="203">
        <f t="shared" si="40"/>
        <v>4610.58</v>
      </c>
      <c r="G225" s="203">
        <f t="shared" si="40"/>
        <v>413.91</v>
      </c>
      <c r="H225" s="203">
        <f t="shared" si="40"/>
        <v>6.25</v>
      </c>
      <c r="I225" s="203">
        <f t="shared" si="40"/>
        <v>14634.99</v>
      </c>
      <c r="J225" s="197"/>
      <c r="K225" s="203" t="str">
        <f t="shared" si="41"/>
        <v>-</v>
      </c>
      <c r="L225" s="203" t="str">
        <f t="shared" si="41"/>
        <v>-</v>
      </c>
      <c r="M225" s="203">
        <f t="shared" si="41"/>
        <v>360.27</v>
      </c>
      <c r="N225" s="203">
        <f t="shared" si="41"/>
        <v>6668.81</v>
      </c>
      <c r="O225" s="203">
        <f t="shared" si="41"/>
        <v>10087.61</v>
      </c>
      <c r="P225" s="203">
        <f t="shared" si="41"/>
        <v>1751.83</v>
      </c>
      <c r="Q225" s="203">
        <f t="shared" si="41"/>
        <v>1.25</v>
      </c>
      <c r="R225" s="203">
        <f t="shared" si="41"/>
        <v>18869.769999999997</v>
      </c>
    </row>
    <row r="226" spans="1:18" s="359" customFormat="1" x14ac:dyDescent="0.2">
      <c r="A226" s="348">
        <v>2009</v>
      </c>
      <c r="B226" s="203" t="str">
        <f t="shared" si="40"/>
        <v>-</v>
      </c>
      <c r="C226" s="203" t="str">
        <f t="shared" si="40"/>
        <v>-</v>
      </c>
      <c r="D226" s="203">
        <f t="shared" si="40"/>
        <v>192.07</v>
      </c>
      <c r="E226" s="203">
        <f t="shared" si="40"/>
        <v>4476.21</v>
      </c>
      <c r="F226" s="203">
        <f t="shared" si="40"/>
        <v>7232.51</v>
      </c>
      <c r="G226" s="203">
        <f t="shared" si="40"/>
        <v>353.34</v>
      </c>
      <c r="H226" s="203">
        <f t="shared" si="40"/>
        <v>96.78</v>
      </c>
      <c r="I226" s="203">
        <f t="shared" si="40"/>
        <v>12350.91</v>
      </c>
      <c r="J226" s="197"/>
      <c r="K226" s="203" t="str">
        <f t="shared" si="41"/>
        <v>-</v>
      </c>
      <c r="L226" s="203" t="str">
        <f t="shared" si="41"/>
        <v>-</v>
      </c>
      <c r="M226" s="203">
        <f t="shared" si="41"/>
        <v>1156.9899999999998</v>
      </c>
      <c r="N226" s="203">
        <f t="shared" si="41"/>
        <v>34742.130000000005</v>
      </c>
      <c r="O226" s="203">
        <f t="shared" si="41"/>
        <v>90204.34</v>
      </c>
      <c r="P226" s="203">
        <f t="shared" si="41"/>
        <v>12296.859999999999</v>
      </c>
      <c r="Q226" s="203">
        <f t="shared" si="41"/>
        <v>92.41</v>
      </c>
      <c r="R226" s="203">
        <f t="shared" si="41"/>
        <v>138492.73000000001</v>
      </c>
    </row>
    <row r="227" spans="1:18" s="359" customFormat="1" x14ac:dyDescent="0.2">
      <c r="A227" s="348">
        <v>2010</v>
      </c>
      <c r="B227" s="203" t="str">
        <f t="shared" si="40"/>
        <v>-</v>
      </c>
      <c r="C227" s="203" t="str">
        <f t="shared" si="40"/>
        <v>-</v>
      </c>
      <c r="D227" s="203">
        <f t="shared" si="40"/>
        <v>4999.8100000000004</v>
      </c>
      <c r="E227" s="203">
        <f t="shared" si="40"/>
        <v>13299.04</v>
      </c>
      <c r="F227" s="203">
        <f t="shared" si="40"/>
        <v>16341.37</v>
      </c>
      <c r="G227" s="203">
        <f t="shared" si="40"/>
        <v>2188.96</v>
      </c>
      <c r="H227" s="203">
        <f t="shared" si="40"/>
        <v>44.95</v>
      </c>
      <c r="I227" s="203">
        <f t="shared" si="40"/>
        <v>36874.129999999997</v>
      </c>
      <c r="J227" s="197"/>
      <c r="K227" s="203" t="str">
        <f t="shared" si="41"/>
        <v>-</v>
      </c>
      <c r="L227" s="203" t="str">
        <f t="shared" si="41"/>
        <v>-</v>
      </c>
      <c r="M227" s="203">
        <f t="shared" si="41"/>
        <v>47.38</v>
      </c>
      <c r="N227" s="203">
        <f t="shared" si="41"/>
        <v>12247.39</v>
      </c>
      <c r="O227" s="203">
        <f t="shared" si="41"/>
        <v>17999.410000000003</v>
      </c>
      <c r="P227" s="203">
        <f t="shared" si="41"/>
        <v>5947.2499999999991</v>
      </c>
      <c r="Q227" s="203">
        <f t="shared" si="41"/>
        <v>36.76</v>
      </c>
      <c r="R227" s="203">
        <f t="shared" si="41"/>
        <v>36278.19</v>
      </c>
    </row>
    <row r="228" spans="1:18" s="359" customFormat="1" x14ac:dyDescent="0.2">
      <c r="A228" s="348">
        <v>2011</v>
      </c>
      <c r="B228" s="203" t="str">
        <f t="shared" si="40"/>
        <v>-</v>
      </c>
      <c r="C228" s="203" t="str">
        <f t="shared" si="40"/>
        <v>-</v>
      </c>
      <c r="D228" s="203">
        <f t="shared" si="40"/>
        <v>2860.82</v>
      </c>
      <c r="E228" s="203">
        <f t="shared" si="40"/>
        <v>8270.7599999999984</v>
      </c>
      <c r="F228" s="203">
        <f t="shared" si="40"/>
        <v>17177.82</v>
      </c>
      <c r="G228" s="203">
        <f t="shared" si="40"/>
        <v>888.87</v>
      </c>
      <c r="H228" s="203">
        <f t="shared" si="40"/>
        <v>5</v>
      </c>
      <c r="I228" s="203">
        <f t="shared" si="40"/>
        <v>29203.270000000004</v>
      </c>
      <c r="J228" s="197"/>
      <c r="K228" s="203" t="str">
        <f t="shared" si="41"/>
        <v>-</v>
      </c>
      <c r="L228" s="203" t="str">
        <f t="shared" si="41"/>
        <v>-</v>
      </c>
      <c r="M228" s="203">
        <f t="shared" si="41"/>
        <v>619.72</v>
      </c>
      <c r="N228" s="203">
        <f t="shared" si="41"/>
        <v>12093.21</v>
      </c>
      <c r="O228" s="203">
        <f t="shared" si="41"/>
        <v>21372.17</v>
      </c>
      <c r="P228" s="203">
        <f t="shared" si="41"/>
        <v>5494.25</v>
      </c>
      <c r="Q228" s="203">
        <f t="shared" si="41"/>
        <v>2.4500000000000002</v>
      </c>
      <c r="R228" s="203">
        <f t="shared" si="41"/>
        <v>39581.799999999996</v>
      </c>
    </row>
    <row r="229" spans="1:18" s="359" customFormat="1" x14ac:dyDescent="0.2">
      <c r="A229" s="348">
        <v>2012</v>
      </c>
      <c r="B229" s="203" t="str">
        <f t="shared" si="40"/>
        <v>-</v>
      </c>
      <c r="C229" s="203" t="str">
        <f t="shared" si="40"/>
        <v>-</v>
      </c>
      <c r="D229" s="203">
        <f t="shared" si="40"/>
        <v>10264.960000000001</v>
      </c>
      <c r="E229" s="203">
        <f t="shared" si="40"/>
        <v>10219.549999999999</v>
      </c>
      <c r="F229" s="203">
        <f t="shared" si="40"/>
        <v>11016.12</v>
      </c>
      <c r="G229" s="203">
        <f t="shared" si="40"/>
        <v>2095.63</v>
      </c>
      <c r="H229" s="203">
        <f t="shared" si="40"/>
        <v>132.59</v>
      </c>
      <c r="I229" s="203">
        <f t="shared" si="40"/>
        <v>33728.850000000006</v>
      </c>
      <c r="J229" s="197"/>
      <c r="K229" s="203" t="str">
        <f t="shared" si="41"/>
        <v>-</v>
      </c>
      <c r="L229" s="203" t="str">
        <f t="shared" si="41"/>
        <v>-</v>
      </c>
      <c r="M229" s="203">
        <f t="shared" si="41"/>
        <v>407.48</v>
      </c>
      <c r="N229" s="203">
        <f t="shared" si="41"/>
        <v>10296.51</v>
      </c>
      <c r="O229" s="203">
        <f t="shared" si="41"/>
        <v>11942.22</v>
      </c>
      <c r="P229" s="203">
        <f t="shared" si="41"/>
        <v>8767.2100000000009</v>
      </c>
      <c r="Q229" s="203">
        <f t="shared" si="41"/>
        <v>20.81</v>
      </c>
      <c r="R229" s="203">
        <f t="shared" si="41"/>
        <v>31434.230000000003</v>
      </c>
    </row>
    <row r="230" spans="1:18" s="359" customFormat="1" x14ac:dyDescent="0.2">
      <c r="A230" s="348">
        <v>2013</v>
      </c>
      <c r="B230" s="203" t="str">
        <f t="shared" si="40"/>
        <v>-</v>
      </c>
      <c r="C230" s="203">
        <f t="shared" si="40"/>
        <v>130.57999999999998</v>
      </c>
      <c r="D230" s="203">
        <f t="shared" si="40"/>
        <v>4226.4299999999994</v>
      </c>
      <c r="E230" s="203">
        <f t="shared" si="40"/>
        <v>8718.93</v>
      </c>
      <c r="F230" s="203">
        <f t="shared" si="40"/>
        <v>13734.3</v>
      </c>
      <c r="G230" s="203">
        <f t="shared" si="40"/>
        <v>1988.93</v>
      </c>
      <c r="H230" s="203">
        <f t="shared" si="40"/>
        <v>118.68</v>
      </c>
      <c r="I230" s="203">
        <f t="shared" si="40"/>
        <v>28917.85</v>
      </c>
      <c r="J230" s="197"/>
      <c r="K230" s="203" t="str">
        <f t="shared" si="41"/>
        <v>-</v>
      </c>
      <c r="L230" s="203" t="str">
        <f t="shared" si="41"/>
        <v>-</v>
      </c>
      <c r="M230" s="203">
        <f t="shared" si="41"/>
        <v>2979.6000000000004</v>
      </c>
      <c r="N230" s="203">
        <f t="shared" si="41"/>
        <v>10625.59</v>
      </c>
      <c r="O230" s="203">
        <f t="shared" si="41"/>
        <v>25781.87</v>
      </c>
      <c r="P230" s="203">
        <f t="shared" si="41"/>
        <v>6735.22</v>
      </c>
      <c r="Q230" s="203">
        <f t="shared" si="41"/>
        <v>17.72</v>
      </c>
      <c r="R230" s="203">
        <f t="shared" si="41"/>
        <v>46140</v>
      </c>
    </row>
    <row r="231" spans="1:18" s="359" customFormat="1" x14ac:dyDescent="0.2">
      <c r="A231" s="348">
        <v>2014</v>
      </c>
      <c r="B231" s="203" t="str">
        <f t="shared" si="40"/>
        <v>-</v>
      </c>
      <c r="C231" s="203">
        <f t="shared" si="40"/>
        <v>629.31000000000006</v>
      </c>
      <c r="D231" s="203">
        <f t="shared" si="40"/>
        <v>6026.5</v>
      </c>
      <c r="E231" s="203">
        <f t="shared" si="40"/>
        <v>15460.49</v>
      </c>
      <c r="F231" s="203">
        <f t="shared" si="40"/>
        <v>16174.01</v>
      </c>
      <c r="G231" s="203">
        <f t="shared" si="40"/>
        <v>1624.44</v>
      </c>
      <c r="H231" s="203">
        <f t="shared" si="40"/>
        <v>110.29</v>
      </c>
      <c r="I231" s="203">
        <f t="shared" si="40"/>
        <v>40025.040000000001</v>
      </c>
      <c r="J231" s="197"/>
      <c r="K231" s="203" t="str">
        <f t="shared" si="41"/>
        <v>-</v>
      </c>
      <c r="L231" s="203" t="str">
        <f t="shared" si="41"/>
        <v>-</v>
      </c>
      <c r="M231" s="203">
        <f t="shared" si="41"/>
        <v>8448.01</v>
      </c>
      <c r="N231" s="203">
        <f t="shared" si="41"/>
        <v>35174.6</v>
      </c>
      <c r="O231" s="203">
        <f t="shared" si="41"/>
        <v>52411.149999999994</v>
      </c>
      <c r="P231" s="203">
        <f t="shared" si="41"/>
        <v>26824.080000000002</v>
      </c>
      <c r="Q231" s="203">
        <f t="shared" si="41"/>
        <v>199.14</v>
      </c>
      <c r="R231" s="203">
        <f t="shared" si="41"/>
        <v>123056.98</v>
      </c>
    </row>
    <row r="232" spans="1:18" s="359" customFormat="1" x14ac:dyDescent="0.2">
      <c r="A232" s="348">
        <v>2015</v>
      </c>
      <c r="B232" s="203" t="str">
        <f t="shared" si="40"/>
        <v>-</v>
      </c>
      <c r="C232" s="203">
        <f t="shared" si="40"/>
        <v>595.16</v>
      </c>
      <c r="D232" s="203">
        <f t="shared" si="40"/>
        <v>6038.58</v>
      </c>
      <c r="E232" s="203">
        <f t="shared" si="40"/>
        <v>17080.86</v>
      </c>
      <c r="F232" s="203">
        <f t="shared" si="40"/>
        <v>10508.57</v>
      </c>
      <c r="G232" s="203">
        <f t="shared" si="40"/>
        <v>5043.3100000000004</v>
      </c>
      <c r="H232" s="203">
        <f t="shared" si="40"/>
        <v>164.41</v>
      </c>
      <c r="I232" s="203">
        <f t="shared" si="40"/>
        <v>39430.89</v>
      </c>
      <c r="J232" s="197"/>
      <c r="K232" s="203" t="str">
        <f t="shared" si="41"/>
        <v>-</v>
      </c>
      <c r="L232" s="203" t="str">
        <f t="shared" si="41"/>
        <v>-</v>
      </c>
      <c r="M232" s="203">
        <f t="shared" si="41"/>
        <v>5214.9400000000005</v>
      </c>
      <c r="N232" s="203">
        <f t="shared" si="41"/>
        <v>27410.420000000002</v>
      </c>
      <c r="O232" s="203">
        <f t="shared" si="41"/>
        <v>24543.649999999998</v>
      </c>
      <c r="P232" s="203">
        <f t="shared" si="41"/>
        <v>17555.48</v>
      </c>
      <c r="Q232" s="203">
        <f t="shared" si="41"/>
        <v>12.74</v>
      </c>
      <c r="R232" s="203">
        <f t="shared" si="41"/>
        <v>74737.23000000001</v>
      </c>
    </row>
    <row r="233" spans="1:18" s="359" customFormat="1" x14ac:dyDescent="0.2">
      <c r="A233" s="348">
        <v>2016</v>
      </c>
      <c r="B233" s="203" t="str">
        <f t="shared" ref="B233:I233" si="42">IF(AND(B186="-",B139="-",B92="-",B45="-"),"-",SUM(B186,B139,B92,B45))</f>
        <v>-</v>
      </c>
      <c r="C233" s="203" t="str">
        <f t="shared" si="42"/>
        <v>-</v>
      </c>
      <c r="D233" s="203" t="str">
        <f t="shared" si="42"/>
        <v>-</v>
      </c>
      <c r="E233" s="203">
        <f t="shared" si="42"/>
        <v>9518.99</v>
      </c>
      <c r="F233" s="203">
        <f t="shared" si="42"/>
        <v>7388.48</v>
      </c>
      <c r="G233" s="203" t="str">
        <f t="shared" si="42"/>
        <v>-</v>
      </c>
      <c r="H233" s="203" t="str">
        <f t="shared" si="42"/>
        <v>-</v>
      </c>
      <c r="I233" s="203">
        <f t="shared" si="42"/>
        <v>16907.47</v>
      </c>
      <c r="J233" s="197"/>
      <c r="K233" s="203" t="str">
        <f t="shared" ref="K233:R233" si="43">IF(AND(K186="-",K139="-",K92="-",K45="-"),"-",SUM(K186,K139,K92,K45))</f>
        <v>-</v>
      </c>
      <c r="L233" s="203" t="str">
        <f t="shared" si="43"/>
        <v>-</v>
      </c>
      <c r="M233" s="203" t="str">
        <f t="shared" si="43"/>
        <v>-</v>
      </c>
      <c r="N233" s="203">
        <f t="shared" si="43"/>
        <v>4754.9900000000007</v>
      </c>
      <c r="O233" s="203">
        <f t="shared" si="43"/>
        <v>11303.630000000001</v>
      </c>
      <c r="P233" s="203" t="str">
        <f t="shared" si="43"/>
        <v>-</v>
      </c>
      <c r="Q233" s="203" t="str">
        <f t="shared" si="43"/>
        <v>-</v>
      </c>
      <c r="R233" s="203">
        <f t="shared" si="43"/>
        <v>16058.62</v>
      </c>
    </row>
    <row r="234" spans="1:18" s="359" customFormat="1" x14ac:dyDescent="0.2">
      <c r="A234" s="348">
        <v>2017</v>
      </c>
      <c r="B234" s="203" t="str">
        <f t="shared" ref="B234:I234" si="44">IF(AND(B187="-",B140="-",B93="-",B46="-"),"-",SUM(B187,B140,B93,B46))</f>
        <v>-</v>
      </c>
      <c r="C234" s="203" t="str">
        <f t="shared" si="44"/>
        <v>-</v>
      </c>
      <c r="D234" s="203">
        <f t="shared" si="44"/>
        <v>569.28</v>
      </c>
      <c r="E234" s="203">
        <f t="shared" si="44"/>
        <v>12781.34</v>
      </c>
      <c r="F234" s="203">
        <f t="shared" si="44"/>
        <v>6595.83</v>
      </c>
      <c r="G234" s="203">
        <f t="shared" si="44"/>
        <v>90.74</v>
      </c>
      <c r="H234" s="203" t="str">
        <f t="shared" si="44"/>
        <v>-</v>
      </c>
      <c r="I234" s="203">
        <f t="shared" si="44"/>
        <v>20037.190000000002</v>
      </c>
      <c r="J234" s="197"/>
      <c r="K234" s="203" t="str">
        <f t="shared" ref="K234:R234" si="45">IF(AND(K187="-",K140="-",K93="-",K46="-"),"-",SUM(K187,K140,K93,K46))</f>
        <v>-</v>
      </c>
      <c r="L234" s="203" t="str">
        <f t="shared" si="45"/>
        <v>-</v>
      </c>
      <c r="M234" s="203">
        <f t="shared" si="45"/>
        <v>87.710000000000008</v>
      </c>
      <c r="N234" s="203">
        <f t="shared" si="45"/>
        <v>14314.33</v>
      </c>
      <c r="O234" s="203">
        <f t="shared" si="45"/>
        <v>20755.149999999998</v>
      </c>
      <c r="P234" s="203">
        <f t="shared" si="45"/>
        <v>929.59999999999991</v>
      </c>
      <c r="Q234" s="203" t="str">
        <f t="shared" si="45"/>
        <v>-</v>
      </c>
      <c r="R234" s="203">
        <f t="shared" si="45"/>
        <v>36086.789999999994</v>
      </c>
    </row>
    <row r="235" spans="1:18" s="359" customFormat="1" x14ac:dyDescent="0.2">
      <c r="A235" s="348">
        <v>2018</v>
      </c>
      <c r="B235" s="203" t="str">
        <f t="shared" ref="B235:I235" si="46">IF(AND(B188="-",B141="-",B94="-",B47="-"),"-",SUM(B188,B141,B94,B47))</f>
        <v>-</v>
      </c>
      <c r="C235" s="203" t="str">
        <f t="shared" si="46"/>
        <v>-</v>
      </c>
      <c r="D235" s="203">
        <f t="shared" si="46"/>
        <v>832.96</v>
      </c>
      <c r="E235" s="203">
        <f t="shared" si="46"/>
        <v>5414.0300000000007</v>
      </c>
      <c r="F235" s="203">
        <f t="shared" si="46"/>
        <v>3610.67</v>
      </c>
      <c r="G235" s="203">
        <f t="shared" si="46"/>
        <v>55.63</v>
      </c>
      <c r="H235" s="203" t="str">
        <f t="shared" si="46"/>
        <v>-</v>
      </c>
      <c r="I235" s="203">
        <f t="shared" si="46"/>
        <v>9913.2900000000009</v>
      </c>
      <c r="J235" s="197"/>
      <c r="K235" s="203" t="str">
        <f t="shared" ref="K235:R235" si="47">IF(AND(K188="-",K141="-",K94="-",K47="-"),"-",SUM(K188,K141,K94,K47))</f>
        <v>-</v>
      </c>
      <c r="L235" s="203" t="str">
        <f t="shared" si="47"/>
        <v>-</v>
      </c>
      <c r="M235" s="203">
        <f t="shared" si="47"/>
        <v>831.94</v>
      </c>
      <c r="N235" s="203">
        <f t="shared" si="47"/>
        <v>9580.68</v>
      </c>
      <c r="O235" s="203">
        <f t="shared" si="47"/>
        <v>23951.99</v>
      </c>
      <c r="P235" s="203">
        <f t="shared" si="47"/>
        <v>345.28999999999996</v>
      </c>
      <c r="Q235" s="203" t="str">
        <f t="shared" si="47"/>
        <v>-</v>
      </c>
      <c r="R235" s="203">
        <f t="shared" si="47"/>
        <v>34709.9</v>
      </c>
    </row>
    <row r="236" spans="1:18" s="487" customFormat="1" x14ac:dyDescent="0.2">
      <c r="A236" s="491">
        <v>2019</v>
      </c>
      <c r="B236" s="203" t="str">
        <f t="shared" ref="B236:I237" si="48">IF(AND(B189="-",B142="-",B95="-",B48="-"),"-",SUM(B189,B142,B95,B48))</f>
        <v>-</v>
      </c>
      <c r="C236" s="203" t="str">
        <f t="shared" si="48"/>
        <v>-</v>
      </c>
      <c r="D236" s="203">
        <f t="shared" si="48"/>
        <v>1846.9900000000002</v>
      </c>
      <c r="E236" s="203">
        <f t="shared" si="48"/>
        <v>5297.1900000000005</v>
      </c>
      <c r="F236" s="203">
        <f t="shared" si="48"/>
        <v>2036.5500000000002</v>
      </c>
      <c r="G236" s="203">
        <f t="shared" si="48"/>
        <v>238.18</v>
      </c>
      <c r="H236" s="203">
        <f t="shared" si="48"/>
        <v>164.35</v>
      </c>
      <c r="I236" s="203">
        <f t="shared" si="48"/>
        <v>9583.26</v>
      </c>
      <c r="J236" s="197"/>
      <c r="K236" s="203" t="str">
        <f t="shared" ref="K236:R237" si="49">IF(AND(K189="-",K142="-",K95="-",K48="-"),"-",SUM(K189,K142,K95,K48))</f>
        <v>-</v>
      </c>
      <c r="L236" s="203" t="str">
        <f t="shared" si="49"/>
        <v>-</v>
      </c>
      <c r="M236" s="203">
        <f t="shared" si="49"/>
        <v>4603.3500000000004</v>
      </c>
      <c r="N236" s="203">
        <f t="shared" si="49"/>
        <v>25944.400000000001</v>
      </c>
      <c r="O236" s="203">
        <f t="shared" si="49"/>
        <v>30786.090000000004</v>
      </c>
      <c r="P236" s="203">
        <f t="shared" si="49"/>
        <v>3074.8500000000004</v>
      </c>
      <c r="Q236" s="203">
        <f t="shared" si="49"/>
        <v>15.86</v>
      </c>
      <c r="R236" s="203">
        <f t="shared" si="49"/>
        <v>64424.55</v>
      </c>
    </row>
    <row r="237" spans="1:18" x14ac:dyDescent="0.2">
      <c r="A237" s="496" t="s">
        <v>396</v>
      </c>
      <c r="B237" s="20" t="str">
        <f t="shared" si="48"/>
        <v>-</v>
      </c>
      <c r="C237" s="20" t="str">
        <f t="shared" si="48"/>
        <v>-</v>
      </c>
      <c r="D237" s="20">
        <f t="shared" si="48"/>
        <v>810.3</v>
      </c>
      <c r="E237" s="20">
        <f t="shared" si="48"/>
        <v>4627.3599999999997</v>
      </c>
      <c r="F237" s="20">
        <f t="shared" si="48"/>
        <v>1591.84</v>
      </c>
      <c r="G237" s="20">
        <f t="shared" si="48"/>
        <v>478.51</v>
      </c>
      <c r="H237" s="20" t="str">
        <f t="shared" si="48"/>
        <v>-</v>
      </c>
      <c r="I237" s="20">
        <f t="shared" si="48"/>
        <v>7508.01</v>
      </c>
      <c r="J237" s="32"/>
      <c r="K237" s="20" t="str">
        <f t="shared" si="49"/>
        <v>-</v>
      </c>
      <c r="L237" s="20" t="str">
        <f t="shared" si="49"/>
        <v>-</v>
      </c>
      <c r="M237" s="20">
        <f t="shared" si="49"/>
        <v>49.98</v>
      </c>
      <c r="N237" s="20">
        <f t="shared" si="49"/>
        <v>13978.039999999999</v>
      </c>
      <c r="O237" s="20">
        <f t="shared" si="49"/>
        <v>3894.54</v>
      </c>
      <c r="P237" s="20">
        <f t="shared" si="49"/>
        <v>2327.23</v>
      </c>
      <c r="Q237" s="20" t="str">
        <f t="shared" si="49"/>
        <v>-</v>
      </c>
      <c r="R237" s="20">
        <f t="shared" si="49"/>
        <v>20249.79</v>
      </c>
    </row>
    <row r="238" spans="1:18" x14ac:dyDescent="0.2">
      <c r="A238" s="123" t="s">
        <v>137</v>
      </c>
    </row>
    <row r="239" spans="1:18" x14ac:dyDescent="0.2">
      <c r="A239" s="371" t="s">
        <v>193</v>
      </c>
    </row>
    <row r="240" spans="1:18" x14ac:dyDescent="0.2">
      <c r="A240" s="371" t="s">
        <v>47</v>
      </c>
    </row>
    <row r="241" spans="1:18" x14ac:dyDescent="0.2">
      <c r="A241" s="596" t="s">
        <v>79</v>
      </c>
      <c r="B241" s="596"/>
      <c r="C241" s="596"/>
      <c r="D241" s="596"/>
      <c r="E241" s="596"/>
      <c r="F241" s="596"/>
      <c r="G241" s="596"/>
      <c r="H241" s="596"/>
      <c r="I241" s="596"/>
      <c r="J241" s="596"/>
      <c r="K241" s="596"/>
      <c r="L241" s="596"/>
      <c r="M241" s="596"/>
      <c r="N241" s="596"/>
      <c r="O241" s="596"/>
      <c r="P241" s="596"/>
      <c r="Q241" s="596"/>
      <c r="R241" s="596"/>
    </row>
    <row r="242" spans="1:18" x14ac:dyDescent="0.2">
      <c r="A242" s="596"/>
      <c r="B242" s="596"/>
      <c r="C242" s="596"/>
      <c r="D242" s="596"/>
      <c r="E242" s="596"/>
      <c r="F242" s="596"/>
      <c r="G242" s="596"/>
      <c r="H242" s="596"/>
      <c r="I242" s="596"/>
      <c r="J242" s="596"/>
      <c r="K242" s="596"/>
      <c r="L242" s="596"/>
      <c r="M242" s="596"/>
      <c r="N242" s="596"/>
      <c r="O242" s="596"/>
      <c r="P242" s="596"/>
      <c r="Q242" s="596"/>
      <c r="R242" s="596"/>
    </row>
    <row r="243" spans="1:18" ht="27.75" customHeight="1" x14ac:dyDescent="0.2">
      <c r="A243" s="599" t="s">
        <v>402</v>
      </c>
      <c r="B243" s="599"/>
      <c r="C243" s="599"/>
      <c r="D243" s="599"/>
      <c r="E243" s="599"/>
      <c r="F243" s="599"/>
      <c r="G243" s="599"/>
      <c r="H243" s="599"/>
      <c r="I243" s="599"/>
      <c r="J243" s="599"/>
      <c r="K243" s="599"/>
      <c r="L243" s="599"/>
      <c r="M243" s="599"/>
      <c r="N243" s="599"/>
      <c r="O243" s="599"/>
      <c r="P243" s="599"/>
      <c r="Q243" s="599"/>
      <c r="R243" s="599"/>
    </row>
    <row r="244" spans="1:18" s="310" customFormat="1" x14ac:dyDescent="0.2">
      <c r="A244" s="240"/>
      <c r="B244" s="241"/>
      <c r="C244" s="241"/>
      <c r="D244" s="241"/>
      <c r="E244" s="241"/>
      <c r="F244" s="241"/>
      <c r="G244" s="241"/>
      <c r="H244" s="241"/>
      <c r="I244" s="241"/>
      <c r="J244" s="242"/>
      <c r="K244" s="241"/>
      <c r="L244" s="241"/>
      <c r="M244" s="241"/>
      <c r="N244" s="241"/>
      <c r="O244" s="241"/>
      <c r="P244" s="241"/>
      <c r="Q244" s="241"/>
      <c r="R244" s="241"/>
    </row>
    <row r="257" spans="1:18" x14ac:dyDescent="0.2">
      <c r="A257" s="523" t="s">
        <v>6</v>
      </c>
      <c r="B257" s="523"/>
      <c r="C257" s="523"/>
      <c r="D257" s="523"/>
      <c r="E257" s="523"/>
      <c r="F257" s="523"/>
      <c r="G257" s="523"/>
      <c r="H257" s="523"/>
      <c r="I257" s="523"/>
      <c r="J257" s="523"/>
      <c r="K257" s="523"/>
      <c r="L257" s="523"/>
      <c r="M257" s="523"/>
      <c r="N257" s="523"/>
      <c r="O257" s="523"/>
      <c r="P257" s="523"/>
      <c r="Q257" s="523"/>
      <c r="R257" s="523"/>
    </row>
    <row r="258" spans="1:18" x14ac:dyDescent="0.2">
      <c r="A258" s="2" t="s">
        <v>33</v>
      </c>
      <c r="B258" s="58" t="s">
        <v>34</v>
      </c>
      <c r="C258" s="58" t="s">
        <v>35</v>
      </c>
      <c r="D258" s="58" t="s">
        <v>36</v>
      </c>
      <c r="E258" s="58" t="s">
        <v>37</v>
      </c>
      <c r="F258" s="58" t="s">
        <v>38</v>
      </c>
      <c r="G258" s="58" t="s">
        <v>39</v>
      </c>
      <c r="H258" s="58" t="s">
        <v>40</v>
      </c>
      <c r="I258" s="58" t="s">
        <v>28</v>
      </c>
      <c r="J258" s="369"/>
      <c r="K258" s="58" t="s">
        <v>34</v>
      </c>
      <c r="L258" s="58" t="s">
        <v>35</v>
      </c>
      <c r="M258" s="58" t="s">
        <v>36</v>
      </c>
      <c r="N258" s="58" t="s">
        <v>37</v>
      </c>
      <c r="O258" s="58" t="s">
        <v>38</v>
      </c>
      <c r="P258" s="58" t="s">
        <v>39</v>
      </c>
      <c r="Q258" s="58" t="s">
        <v>40</v>
      </c>
      <c r="R258" s="58" t="s">
        <v>28</v>
      </c>
    </row>
    <row r="259" spans="1:18" ht="14.25" customHeight="1" x14ac:dyDescent="0.2">
      <c r="A259" s="348"/>
      <c r="B259" s="576" t="s">
        <v>67</v>
      </c>
      <c r="C259" s="576"/>
      <c r="D259" s="576"/>
      <c r="E259" s="576"/>
      <c r="F259" s="576"/>
      <c r="G259" s="576"/>
      <c r="H259" s="576"/>
      <c r="I259" s="576"/>
      <c r="J259" s="23"/>
      <c r="K259" s="576" t="s">
        <v>68</v>
      </c>
      <c r="L259" s="576"/>
      <c r="M259" s="576"/>
      <c r="N259" s="576"/>
      <c r="O259" s="576"/>
      <c r="P259" s="576"/>
      <c r="Q259" s="576"/>
      <c r="R259" s="576"/>
    </row>
    <row r="260" spans="1:18" x14ac:dyDescent="0.2">
      <c r="A260" s="159" t="s">
        <v>65</v>
      </c>
      <c r="B260" s="203"/>
      <c r="C260" s="203"/>
      <c r="D260" s="203"/>
      <c r="E260" s="203"/>
      <c r="F260" s="203"/>
      <c r="G260" s="203"/>
      <c r="H260" s="203"/>
      <c r="I260" s="203"/>
      <c r="J260" s="197"/>
      <c r="K260" s="203"/>
      <c r="L260" s="203"/>
      <c r="M260" s="203"/>
      <c r="N260" s="203"/>
      <c r="O260" s="203"/>
      <c r="P260" s="203"/>
      <c r="Q260" s="203"/>
      <c r="R260" s="203"/>
    </row>
    <row r="261" spans="1:18" ht="11.25" customHeight="1" x14ac:dyDescent="0.2">
      <c r="A261" s="308" t="s">
        <v>30</v>
      </c>
      <c r="B261" s="203">
        <f t="shared" ref="B261:I261" si="50">AVERAGE(B10:B14)</f>
        <v>57.4</v>
      </c>
      <c r="C261" s="203">
        <f t="shared" si="50"/>
        <v>149.25</v>
      </c>
      <c r="D261" s="203">
        <f t="shared" si="50"/>
        <v>234</v>
      </c>
      <c r="E261" s="203">
        <f t="shared" si="50"/>
        <v>1292.5999999999999</v>
      </c>
      <c r="F261" s="203">
        <f t="shared" si="50"/>
        <v>483</v>
      </c>
      <c r="G261" s="203">
        <f t="shared" si="50"/>
        <v>193.5</v>
      </c>
      <c r="H261" s="203">
        <f t="shared" si="50"/>
        <v>35</v>
      </c>
      <c r="I261" s="203">
        <f t="shared" si="50"/>
        <v>2224</v>
      </c>
      <c r="J261" s="197"/>
      <c r="K261" s="203">
        <f t="shared" ref="K261:R261" si="51">AVERAGE(K10:K14)</f>
        <v>80</v>
      </c>
      <c r="L261" s="203">
        <f t="shared" si="51"/>
        <v>338.33333333333331</v>
      </c>
      <c r="M261" s="203">
        <f t="shared" si="51"/>
        <v>639.33333333333337</v>
      </c>
      <c r="N261" s="203">
        <f t="shared" si="51"/>
        <v>8877.6</v>
      </c>
      <c r="O261" s="203">
        <f t="shared" si="51"/>
        <v>16451.599999999999</v>
      </c>
      <c r="P261" s="203">
        <f t="shared" si="51"/>
        <v>3414</v>
      </c>
      <c r="Q261" s="203">
        <f t="shared" si="51"/>
        <v>149.66666666666666</v>
      </c>
      <c r="R261" s="203">
        <f t="shared" si="51"/>
        <v>29435.599999999999</v>
      </c>
    </row>
    <row r="262" spans="1:18" ht="11.25" customHeight="1" x14ac:dyDescent="0.2">
      <c r="A262" s="308" t="s">
        <v>347</v>
      </c>
      <c r="B262" s="203" t="s">
        <v>29</v>
      </c>
      <c r="C262" s="203">
        <f t="shared" ref="C262:I262" si="52">AVERAGE(C15:C19)</f>
        <v>114</v>
      </c>
      <c r="D262" s="203">
        <f t="shared" si="52"/>
        <v>142.66666666666666</v>
      </c>
      <c r="E262" s="203">
        <f t="shared" si="52"/>
        <v>2587</v>
      </c>
      <c r="F262" s="203">
        <f t="shared" si="52"/>
        <v>358</v>
      </c>
      <c r="G262" s="203">
        <f t="shared" si="52"/>
        <v>35</v>
      </c>
      <c r="H262" s="203" t="s">
        <v>29</v>
      </c>
      <c r="I262" s="203">
        <f t="shared" si="52"/>
        <v>2478.4</v>
      </c>
      <c r="J262" s="197"/>
      <c r="K262" s="203" t="s">
        <v>29</v>
      </c>
      <c r="L262" s="203" t="s">
        <v>29</v>
      </c>
      <c r="M262" s="203">
        <f t="shared" ref="M262:R262" si="53">AVERAGE(M15:M19)</f>
        <v>384</v>
      </c>
      <c r="N262" s="203">
        <f t="shared" si="53"/>
        <v>15896.2</v>
      </c>
      <c r="O262" s="203">
        <f t="shared" si="53"/>
        <v>11629.4</v>
      </c>
      <c r="P262" s="203">
        <f t="shared" si="53"/>
        <v>3446</v>
      </c>
      <c r="Q262" s="203" t="s">
        <v>29</v>
      </c>
      <c r="R262" s="203">
        <f t="shared" si="53"/>
        <v>29746.799999999999</v>
      </c>
    </row>
    <row r="263" spans="1:18" ht="11.25" customHeight="1" x14ac:dyDescent="0.2">
      <c r="A263" s="308" t="s">
        <v>348</v>
      </c>
      <c r="B263" s="203" t="s">
        <v>29</v>
      </c>
      <c r="C263" s="203">
        <f>AVERAGE(C20:C24)</f>
        <v>148</v>
      </c>
      <c r="D263" s="203" t="s">
        <v>29</v>
      </c>
      <c r="E263" s="203">
        <f t="shared" ref="E263:R263" si="54">AVERAGE(E20:E24)</f>
        <v>1443</v>
      </c>
      <c r="F263" s="203">
        <f t="shared" si="54"/>
        <v>232.25</v>
      </c>
      <c r="G263" s="203">
        <f t="shared" si="54"/>
        <v>62</v>
      </c>
      <c r="H263" s="203" t="s">
        <v>29</v>
      </c>
      <c r="I263" s="203">
        <f t="shared" si="54"/>
        <v>1419.5</v>
      </c>
      <c r="J263" s="203"/>
      <c r="K263" s="203" t="s">
        <v>29</v>
      </c>
      <c r="L263" s="203">
        <f t="shared" si="54"/>
        <v>40</v>
      </c>
      <c r="M263" s="203" t="s">
        <v>29</v>
      </c>
      <c r="N263" s="203">
        <f t="shared" si="54"/>
        <v>15653.666666666666</v>
      </c>
      <c r="O263" s="203">
        <f t="shared" si="54"/>
        <v>13052</v>
      </c>
      <c r="P263" s="203">
        <f t="shared" si="54"/>
        <v>991.25</v>
      </c>
      <c r="Q263" s="203" t="s">
        <v>29</v>
      </c>
      <c r="R263" s="203">
        <f t="shared" si="54"/>
        <v>25803.5</v>
      </c>
    </row>
    <row r="264" spans="1:18" ht="11.25" customHeight="1" x14ac:dyDescent="0.2">
      <c r="A264" s="308" t="s">
        <v>349</v>
      </c>
      <c r="B264" s="203" t="s">
        <v>29</v>
      </c>
      <c r="C264" s="203" t="s">
        <v>29</v>
      </c>
      <c r="D264" s="203" t="s">
        <v>29</v>
      </c>
      <c r="E264" s="203">
        <f t="shared" ref="E264:R264" si="55">AVERAGE(E25:E29)</f>
        <v>395.5</v>
      </c>
      <c r="F264" s="203">
        <f t="shared" si="55"/>
        <v>67.75</v>
      </c>
      <c r="G264" s="203">
        <f t="shared" si="55"/>
        <v>5</v>
      </c>
      <c r="H264" s="203" t="s">
        <v>29</v>
      </c>
      <c r="I264" s="203">
        <f t="shared" si="55"/>
        <v>266.75</v>
      </c>
      <c r="J264" s="203"/>
      <c r="K264" s="203" t="s">
        <v>29</v>
      </c>
      <c r="L264" s="203" t="s">
        <v>29</v>
      </c>
      <c r="M264" s="203" t="s">
        <v>29</v>
      </c>
      <c r="N264" s="203">
        <f t="shared" si="55"/>
        <v>1686.3333333333333</v>
      </c>
      <c r="O264" s="203">
        <f t="shared" si="55"/>
        <v>5022.6000000000004</v>
      </c>
      <c r="P264" s="203">
        <f t="shared" si="55"/>
        <v>1781.6666666666667</v>
      </c>
      <c r="Q264" s="203" t="s">
        <v>29</v>
      </c>
      <c r="R264" s="203">
        <f t="shared" si="55"/>
        <v>7103.4</v>
      </c>
    </row>
    <row r="265" spans="1:18" ht="11.25" customHeight="1" x14ac:dyDescent="0.2">
      <c r="A265" s="308" t="s">
        <v>238</v>
      </c>
      <c r="B265" s="203" t="str">
        <f>B30</f>
        <v>-</v>
      </c>
      <c r="C265" s="203">
        <f>AVERAGE(C30:C34)</f>
        <v>234</v>
      </c>
      <c r="D265" s="203">
        <f>AVERAGE(D30:D34)</f>
        <v>683</v>
      </c>
      <c r="E265" s="203">
        <f>AVERAGE(E30:E34)</f>
        <v>2709.8847207803979</v>
      </c>
      <c r="F265" s="203">
        <f>AVERAGE(F30:F34)</f>
        <v>705.27990281535244</v>
      </c>
      <c r="G265" s="203">
        <f>AVERAGE(G30:G34)</f>
        <v>77.390046233418573</v>
      </c>
      <c r="H265" s="203" t="str">
        <f>H30</f>
        <v>-</v>
      </c>
      <c r="I265" s="203">
        <f>AVERAGE(I30:I34)</f>
        <v>3949.1546698291686</v>
      </c>
      <c r="J265" s="197"/>
      <c r="K265" s="203" t="str">
        <f t="shared" ref="K265:Q265" si="56">K30</f>
        <v>-</v>
      </c>
      <c r="L265" s="203">
        <f t="shared" si="56"/>
        <v>0</v>
      </c>
      <c r="M265" s="203">
        <f>AVERAGE(M30:M34)</f>
        <v>573</v>
      </c>
      <c r="N265" s="203">
        <f>AVERAGE(N30:N34)</f>
        <v>8391.3532177477828</v>
      </c>
      <c r="O265" s="203">
        <f>AVERAGE(O30:O34)</f>
        <v>7468.4303414722281</v>
      </c>
      <c r="P265" s="203">
        <f>AVERAGE(P30:P34)</f>
        <v>1038.9268863026555</v>
      </c>
      <c r="Q265" s="203" t="str">
        <f t="shared" si="56"/>
        <v>-</v>
      </c>
      <c r="R265" s="203">
        <f>AVERAGE(R30:R34)</f>
        <v>17127.910445522666</v>
      </c>
    </row>
    <row r="266" spans="1:18" ht="11.25" customHeight="1" x14ac:dyDescent="0.2">
      <c r="A266" s="308">
        <v>2006</v>
      </c>
      <c r="B266" s="203" t="str">
        <f t="shared" ref="B266:I266" si="57">B35</f>
        <v>-</v>
      </c>
      <c r="C266" s="203" t="str">
        <f t="shared" si="57"/>
        <v>-</v>
      </c>
      <c r="D266" s="203">
        <f t="shared" si="57"/>
        <v>166.48</v>
      </c>
      <c r="E266" s="203">
        <f t="shared" si="57"/>
        <v>734.4</v>
      </c>
      <c r="F266" s="203">
        <f t="shared" si="57"/>
        <v>442.92</v>
      </c>
      <c r="G266" s="203">
        <f t="shared" si="57"/>
        <v>73.27</v>
      </c>
      <c r="H266" s="203" t="str">
        <f t="shared" si="57"/>
        <v>-</v>
      </c>
      <c r="I266" s="203">
        <f t="shared" si="57"/>
        <v>1417.07</v>
      </c>
      <c r="J266" s="197"/>
      <c r="K266" s="203" t="str">
        <f t="shared" ref="K266:R266" si="58">K35</f>
        <v>-</v>
      </c>
      <c r="L266" s="203" t="str">
        <f t="shared" si="58"/>
        <v>-</v>
      </c>
      <c r="M266" s="203">
        <f t="shared" si="58"/>
        <v>380.49</v>
      </c>
      <c r="N266" s="203">
        <f t="shared" si="58"/>
        <v>3762.92</v>
      </c>
      <c r="O266" s="203">
        <f t="shared" si="58"/>
        <v>1570.31</v>
      </c>
      <c r="P266" s="203">
        <f t="shared" si="58"/>
        <v>309.2</v>
      </c>
      <c r="Q266" s="203" t="str">
        <f t="shared" si="58"/>
        <v>-</v>
      </c>
      <c r="R266" s="203">
        <f t="shared" si="58"/>
        <v>6022.9199999999992</v>
      </c>
    </row>
    <row r="267" spans="1:18" s="359" customFormat="1" ht="11.25" customHeight="1" x14ac:dyDescent="0.2">
      <c r="A267" s="308">
        <v>2007</v>
      </c>
      <c r="B267" s="203" t="str">
        <f t="shared" ref="B267:I267" si="59">B36</f>
        <v>-</v>
      </c>
      <c r="C267" s="203" t="str">
        <f t="shared" si="59"/>
        <v>-</v>
      </c>
      <c r="D267" s="203" t="str">
        <f t="shared" si="59"/>
        <v>-</v>
      </c>
      <c r="E267" s="203">
        <f t="shared" si="59"/>
        <v>1178.51</v>
      </c>
      <c r="F267" s="203">
        <f t="shared" si="59"/>
        <v>245.24</v>
      </c>
      <c r="G267" s="203">
        <f t="shared" si="59"/>
        <v>46.79</v>
      </c>
      <c r="H267" s="203" t="str">
        <f t="shared" si="59"/>
        <v>-</v>
      </c>
      <c r="I267" s="203">
        <f t="shared" si="59"/>
        <v>1470.54</v>
      </c>
      <c r="J267" s="197"/>
      <c r="K267" s="203" t="str">
        <f t="shared" ref="K267:R267" si="60">K36</f>
        <v>-</v>
      </c>
      <c r="L267" s="203" t="str">
        <f t="shared" si="60"/>
        <v>-</v>
      </c>
      <c r="M267" s="203" t="str">
        <f t="shared" si="60"/>
        <v>-</v>
      </c>
      <c r="N267" s="203">
        <f t="shared" si="60"/>
        <v>4981.05</v>
      </c>
      <c r="O267" s="203">
        <f t="shared" si="60"/>
        <v>4996.53</v>
      </c>
      <c r="P267" s="203">
        <f t="shared" si="60"/>
        <v>630.54999999999995</v>
      </c>
      <c r="Q267" s="203" t="str">
        <f t="shared" si="60"/>
        <v>-</v>
      </c>
      <c r="R267" s="203">
        <f t="shared" si="60"/>
        <v>10608.13</v>
      </c>
    </row>
    <row r="268" spans="1:18" s="359" customFormat="1" ht="11.25" customHeight="1" x14ac:dyDescent="0.2">
      <c r="A268" s="308" t="s">
        <v>285</v>
      </c>
      <c r="B268" s="203" t="str">
        <f t="shared" ref="B268:I268" si="61">B37</f>
        <v>-</v>
      </c>
      <c r="C268" s="203" t="str">
        <f t="shared" si="61"/>
        <v>-</v>
      </c>
      <c r="D268" s="203">
        <f t="shared" si="61"/>
        <v>311.37</v>
      </c>
      <c r="E268" s="203">
        <f t="shared" si="61"/>
        <v>725.42</v>
      </c>
      <c r="F268" s="203">
        <f t="shared" si="61"/>
        <v>317.22000000000003</v>
      </c>
      <c r="G268" s="203">
        <f t="shared" si="61"/>
        <v>2.54</v>
      </c>
      <c r="H268" s="203" t="str">
        <f t="shared" si="61"/>
        <v>-</v>
      </c>
      <c r="I268" s="203">
        <f t="shared" si="61"/>
        <v>1356.55</v>
      </c>
      <c r="J268" s="197"/>
      <c r="K268" s="203" t="str">
        <f t="shared" ref="K268:R268" si="62">K37</f>
        <v>-</v>
      </c>
      <c r="L268" s="203" t="str">
        <f t="shared" si="62"/>
        <v>-</v>
      </c>
      <c r="M268" s="203" t="str">
        <f t="shared" si="62"/>
        <v>-</v>
      </c>
      <c r="N268" s="203">
        <f t="shared" si="62"/>
        <v>679.3</v>
      </c>
      <c r="O268" s="203">
        <f t="shared" si="62"/>
        <v>1458.92</v>
      </c>
      <c r="P268" s="203">
        <f t="shared" si="62"/>
        <v>22.54</v>
      </c>
      <c r="Q268" s="203" t="str">
        <f t="shared" si="62"/>
        <v>-</v>
      </c>
      <c r="R268" s="203">
        <f t="shared" si="62"/>
        <v>2160.7600000000002</v>
      </c>
    </row>
    <row r="269" spans="1:18" s="359" customFormat="1" ht="11.25" customHeight="1" x14ac:dyDescent="0.2">
      <c r="A269" s="308">
        <v>2009</v>
      </c>
      <c r="B269" s="203" t="str">
        <f t="shared" ref="B269:I269" si="63">B38</f>
        <v>-</v>
      </c>
      <c r="C269" s="203" t="str">
        <f t="shared" si="63"/>
        <v>-</v>
      </c>
      <c r="D269" s="203">
        <f t="shared" si="63"/>
        <v>51.18</v>
      </c>
      <c r="E269" s="203">
        <f t="shared" si="63"/>
        <v>1277.05</v>
      </c>
      <c r="F269" s="203">
        <f t="shared" si="63"/>
        <v>1071.07</v>
      </c>
      <c r="G269" s="203">
        <f t="shared" si="63"/>
        <v>47.25</v>
      </c>
      <c r="H269" s="203" t="str">
        <f t="shared" si="63"/>
        <v>-</v>
      </c>
      <c r="I269" s="203">
        <f t="shared" si="63"/>
        <v>2446.5500000000002</v>
      </c>
      <c r="J269" s="197"/>
      <c r="K269" s="203" t="str">
        <f t="shared" ref="K269:R269" si="64">K38</f>
        <v>-</v>
      </c>
      <c r="L269" s="203" t="str">
        <f t="shared" si="64"/>
        <v>-</v>
      </c>
      <c r="M269" s="203">
        <f t="shared" si="64"/>
        <v>118.04</v>
      </c>
      <c r="N269" s="203">
        <f t="shared" si="64"/>
        <v>4806.9799999999996</v>
      </c>
      <c r="O269" s="203">
        <f t="shared" si="64"/>
        <v>7499.52</v>
      </c>
      <c r="P269" s="203">
        <f t="shared" si="64"/>
        <v>911.92</v>
      </c>
      <c r="Q269" s="203" t="str">
        <f t="shared" si="64"/>
        <v>-</v>
      </c>
      <c r="R269" s="203">
        <f t="shared" si="64"/>
        <v>13336.460000000001</v>
      </c>
    </row>
    <row r="270" spans="1:18" s="359" customFormat="1" ht="11.25" customHeight="1" x14ac:dyDescent="0.2">
      <c r="A270" s="308">
        <v>2010</v>
      </c>
      <c r="B270" s="203" t="str">
        <f t="shared" ref="B270:I270" si="65">B39</f>
        <v>-</v>
      </c>
      <c r="C270" s="203" t="str">
        <f t="shared" si="65"/>
        <v>-</v>
      </c>
      <c r="D270" s="203">
        <f t="shared" si="65"/>
        <v>144.34</v>
      </c>
      <c r="E270" s="203">
        <f t="shared" si="65"/>
        <v>1572.79</v>
      </c>
      <c r="F270" s="203">
        <f t="shared" si="65"/>
        <v>1452.5</v>
      </c>
      <c r="G270" s="203">
        <f t="shared" si="65"/>
        <v>128.87</v>
      </c>
      <c r="H270" s="203" t="str">
        <f t="shared" si="65"/>
        <v>-</v>
      </c>
      <c r="I270" s="203">
        <f t="shared" si="65"/>
        <v>3298.5</v>
      </c>
      <c r="J270" s="197"/>
      <c r="K270" s="203" t="str">
        <f t="shared" ref="K270:R270" si="66">K39</f>
        <v>-</v>
      </c>
      <c r="L270" s="203" t="str">
        <f t="shared" si="66"/>
        <v>-</v>
      </c>
      <c r="M270" s="203">
        <f t="shared" si="66"/>
        <v>1.32</v>
      </c>
      <c r="N270" s="203">
        <f t="shared" si="66"/>
        <v>1925.87</v>
      </c>
      <c r="O270" s="203">
        <f t="shared" si="66"/>
        <v>1609.24</v>
      </c>
      <c r="P270" s="203">
        <f t="shared" si="66"/>
        <v>150.19999999999999</v>
      </c>
      <c r="Q270" s="203" t="str">
        <f t="shared" si="66"/>
        <v>-</v>
      </c>
      <c r="R270" s="203">
        <f t="shared" si="66"/>
        <v>3686.6299999999997</v>
      </c>
    </row>
    <row r="271" spans="1:18" s="359" customFormat="1" ht="11.25" customHeight="1" x14ac:dyDescent="0.2">
      <c r="A271" s="308">
        <v>2011</v>
      </c>
      <c r="B271" s="203" t="str">
        <f t="shared" ref="B271:I271" si="67">B40</f>
        <v>-</v>
      </c>
      <c r="C271" s="203" t="str">
        <f t="shared" si="67"/>
        <v>-</v>
      </c>
      <c r="D271" s="203">
        <f t="shared" si="67"/>
        <v>257.42</v>
      </c>
      <c r="E271" s="203">
        <f t="shared" si="67"/>
        <v>1382.23</v>
      </c>
      <c r="F271" s="203">
        <f t="shared" si="67"/>
        <v>1329.69</v>
      </c>
      <c r="G271" s="203">
        <f t="shared" si="67"/>
        <v>13.7</v>
      </c>
      <c r="H271" s="203" t="str">
        <f t="shared" si="67"/>
        <v>-</v>
      </c>
      <c r="I271" s="203">
        <f t="shared" si="67"/>
        <v>2983.04</v>
      </c>
      <c r="J271" s="197"/>
      <c r="K271" s="203" t="str">
        <f t="shared" ref="K271:R271" si="68">K40</f>
        <v>-</v>
      </c>
      <c r="L271" s="203" t="str">
        <f t="shared" si="68"/>
        <v>-</v>
      </c>
      <c r="M271" s="203">
        <f t="shared" si="68"/>
        <v>53.5</v>
      </c>
      <c r="N271" s="203">
        <f t="shared" si="68"/>
        <v>1918.3</v>
      </c>
      <c r="O271" s="203">
        <f t="shared" si="68"/>
        <v>942.62</v>
      </c>
      <c r="P271" s="203">
        <f t="shared" si="68"/>
        <v>139.79</v>
      </c>
      <c r="Q271" s="203" t="str">
        <f t="shared" si="68"/>
        <v>-</v>
      </c>
      <c r="R271" s="203">
        <f t="shared" si="68"/>
        <v>3054.21</v>
      </c>
    </row>
    <row r="272" spans="1:18" s="359" customFormat="1" ht="11.25" customHeight="1" x14ac:dyDescent="0.2">
      <c r="A272" s="308">
        <v>2012</v>
      </c>
      <c r="B272" s="203" t="str">
        <f t="shared" ref="B272:I272" si="69">B41</f>
        <v>-</v>
      </c>
      <c r="C272" s="203" t="str">
        <f t="shared" si="69"/>
        <v>-</v>
      </c>
      <c r="D272" s="203">
        <f t="shared" si="69"/>
        <v>811.99</v>
      </c>
      <c r="E272" s="203">
        <f t="shared" si="69"/>
        <v>3524.39</v>
      </c>
      <c r="F272" s="203">
        <f t="shared" si="69"/>
        <v>1173.33</v>
      </c>
      <c r="G272" s="203">
        <f t="shared" si="69"/>
        <v>41.96</v>
      </c>
      <c r="H272" s="203" t="str">
        <f t="shared" si="69"/>
        <v>-</v>
      </c>
      <c r="I272" s="203">
        <f t="shared" si="69"/>
        <v>5551.67</v>
      </c>
      <c r="J272" s="197"/>
      <c r="K272" s="203" t="str">
        <f t="shared" ref="K272:R272" si="70">K41</f>
        <v>-</v>
      </c>
      <c r="L272" s="203" t="str">
        <f t="shared" si="70"/>
        <v>-</v>
      </c>
      <c r="M272" s="203">
        <f t="shared" si="70"/>
        <v>27.25</v>
      </c>
      <c r="N272" s="203">
        <f t="shared" si="70"/>
        <v>3642.76</v>
      </c>
      <c r="O272" s="203">
        <f t="shared" si="70"/>
        <v>3094.33</v>
      </c>
      <c r="P272" s="203">
        <f t="shared" si="70"/>
        <v>783.7</v>
      </c>
      <c r="Q272" s="203" t="str">
        <f t="shared" si="70"/>
        <v>-</v>
      </c>
      <c r="R272" s="203">
        <f t="shared" si="70"/>
        <v>7548.04</v>
      </c>
    </row>
    <row r="273" spans="1:18" s="359" customFormat="1" ht="11.25" customHeight="1" x14ac:dyDescent="0.2">
      <c r="A273" s="308">
        <v>2013</v>
      </c>
      <c r="B273" s="203" t="str">
        <f t="shared" ref="B273:I273" si="71">B42</f>
        <v>-</v>
      </c>
      <c r="C273" s="203">
        <f t="shared" si="71"/>
        <v>126.69</v>
      </c>
      <c r="D273" s="203">
        <f t="shared" si="71"/>
        <v>635.41999999999996</v>
      </c>
      <c r="E273" s="203">
        <f t="shared" si="71"/>
        <v>3266.69</v>
      </c>
      <c r="F273" s="203">
        <f t="shared" si="71"/>
        <v>2141.6999999999998</v>
      </c>
      <c r="G273" s="203">
        <f t="shared" si="71"/>
        <v>74.34</v>
      </c>
      <c r="H273" s="203" t="str">
        <f t="shared" si="71"/>
        <v>-</v>
      </c>
      <c r="I273" s="203">
        <f t="shared" si="71"/>
        <v>6244.84</v>
      </c>
      <c r="J273" s="197"/>
      <c r="K273" s="203" t="str">
        <f t="shared" ref="K273:R273" si="72">K42</f>
        <v>-</v>
      </c>
      <c r="L273" s="203" t="str">
        <f t="shared" si="72"/>
        <v>-</v>
      </c>
      <c r="M273" s="203">
        <f t="shared" si="72"/>
        <v>257.07</v>
      </c>
      <c r="N273" s="203">
        <f t="shared" si="72"/>
        <v>3081.81</v>
      </c>
      <c r="O273" s="203">
        <f t="shared" si="72"/>
        <v>2934.37</v>
      </c>
      <c r="P273" s="203">
        <f t="shared" si="72"/>
        <v>232.91</v>
      </c>
      <c r="Q273" s="203" t="str">
        <f t="shared" si="72"/>
        <v>-</v>
      </c>
      <c r="R273" s="203">
        <f t="shared" si="72"/>
        <v>6506.16</v>
      </c>
    </row>
    <row r="274" spans="1:18" s="359" customFormat="1" ht="11.25" customHeight="1" x14ac:dyDescent="0.2">
      <c r="A274" s="308">
        <v>2014</v>
      </c>
      <c r="B274" s="203" t="str">
        <f t="shared" ref="B274:I274" si="73">B43</f>
        <v>-</v>
      </c>
      <c r="C274" s="203">
        <f t="shared" si="73"/>
        <v>158.1</v>
      </c>
      <c r="D274" s="203">
        <f t="shared" si="73"/>
        <v>947.74</v>
      </c>
      <c r="E274" s="203">
        <f t="shared" si="73"/>
        <v>3975.11</v>
      </c>
      <c r="F274" s="203">
        <f t="shared" si="73"/>
        <v>805.97</v>
      </c>
      <c r="G274" s="203">
        <f t="shared" si="73"/>
        <v>47.73</v>
      </c>
      <c r="H274" s="203" t="str">
        <f t="shared" si="73"/>
        <v>-</v>
      </c>
      <c r="I274" s="203">
        <f t="shared" si="73"/>
        <v>5934.65</v>
      </c>
      <c r="J274" s="197"/>
      <c r="K274" s="203" t="str">
        <f t="shared" ref="K274:R274" si="74">K43</f>
        <v>-</v>
      </c>
      <c r="L274" s="203" t="str">
        <f t="shared" si="74"/>
        <v>-</v>
      </c>
      <c r="M274" s="203">
        <f t="shared" si="74"/>
        <v>187.93</v>
      </c>
      <c r="N274" s="203">
        <f t="shared" si="74"/>
        <v>1733.81</v>
      </c>
      <c r="O274" s="203">
        <f t="shared" si="74"/>
        <v>2243.52</v>
      </c>
      <c r="P274" s="203">
        <f t="shared" si="74"/>
        <v>1477.86</v>
      </c>
      <c r="Q274" s="203" t="str">
        <f t="shared" si="74"/>
        <v>-</v>
      </c>
      <c r="R274" s="203">
        <f t="shared" si="74"/>
        <v>5643.12</v>
      </c>
    </row>
    <row r="275" spans="1:18" s="359" customFormat="1" ht="11.25" customHeight="1" x14ac:dyDescent="0.2">
      <c r="A275" s="308">
        <v>2015</v>
      </c>
      <c r="B275" s="203" t="str">
        <f t="shared" ref="B275:I275" si="75">B44</f>
        <v>-</v>
      </c>
      <c r="C275" s="203">
        <f t="shared" si="75"/>
        <v>95.83</v>
      </c>
      <c r="D275" s="203">
        <f t="shared" si="75"/>
        <v>1577.15</v>
      </c>
      <c r="E275" s="203">
        <f t="shared" si="75"/>
        <v>6195.94</v>
      </c>
      <c r="F275" s="203">
        <f t="shared" si="75"/>
        <v>522.34</v>
      </c>
      <c r="G275" s="203">
        <f t="shared" si="75"/>
        <v>106.54</v>
      </c>
      <c r="H275" s="203" t="str">
        <f t="shared" si="75"/>
        <v>-</v>
      </c>
      <c r="I275" s="203">
        <f t="shared" si="75"/>
        <v>8497.8000000000011</v>
      </c>
      <c r="J275" s="197"/>
      <c r="K275" s="203" t="str">
        <f t="shared" ref="K275:R275" si="76">K44</f>
        <v>-</v>
      </c>
      <c r="L275" s="203" t="str">
        <f t="shared" si="76"/>
        <v>-</v>
      </c>
      <c r="M275" s="203">
        <f t="shared" si="76"/>
        <v>213.55</v>
      </c>
      <c r="N275" s="203">
        <f t="shared" si="76"/>
        <v>2136.71</v>
      </c>
      <c r="O275" s="203">
        <f t="shared" si="76"/>
        <v>1273.51</v>
      </c>
      <c r="P275" s="203">
        <f t="shared" si="76"/>
        <v>4140</v>
      </c>
      <c r="Q275" s="203" t="str">
        <f t="shared" si="76"/>
        <v>-</v>
      </c>
      <c r="R275" s="203">
        <f t="shared" si="76"/>
        <v>7763.77</v>
      </c>
    </row>
    <row r="276" spans="1:18" s="359" customFormat="1" ht="11.25" customHeight="1" x14ac:dyDescent="0.2">
      <c r="A276" s="308">
        <v>2016</v>
      </c>
      <c r="B276" s="203" t="str">
        <f t="shared" ref="B276:I276" si="77">B45</f>
        <v>-</v>
      </c>
      <c r="C276" s="203" t="str">
        <f t="shared" si="77"/>
        <v>-</v>
      </c>
      <c r="D276" s="203" t="str">
        <f t="shared" si="77"/>
        <v>-</v>
      </c>
      <c r="E276" s="203">
        <f t="shared" si="77"/>
        <v>3010.95</v>
      </c>
      <c r="F276" s="203">
        <f t="shared" si="77"/>
        <v>254.88</v>
      </c>
      <c r="G276" s="203" t="str">
        <f t="shared" si="77"/>
        <v>-</v>
      </c>
      <c r="H276" s="203" t="str">
        <f t="shared" si="77"/>
        <v>-</v>
      </c>
      <c r="I276" s="203">
        <f t="shared" si="77"/>
        <v>3265.83</v>
      </c>
      <c r="J276" s="197"/>
      <c r="K276" s="203" t="str">
        <f t="shared" ref="K276:R276" si="78">K45</f>
        <v>-</v>
      </c>
      <c r="L276" s="203" t="str">
        <f t="shared" si="78"/>
        <v>-</v>
      </c>
      <c r="M276" s="203" t="str">
        <f t="shared" si="78"/>
        <v>-</v>
      </c>
      <c r="N276" s="203">
        <f t="shared" si="78"/>
        <v>30.12</v>
      </c>
      <c r="O276" s="203">
        <f t="shared" si="78"/>
        <v>23.34</v>
      </c>
      <c r="P276" s="203" t="str">
        <f t="shared" si="78"/>
        <v>-</v>
      </c>
      <c r="Q276" s="203" t="str">
        <f t="shared" si="78"/>
        <v>-</v>
      </c>
      <c r="R276" s="203">
        <f t="shared" si="78"/>
        <v>53.46</v>
      </c>
    </row>
    <row r="277" spans="1:18" s="359" customFormat="1" ht="11.25" customHeight="1" x14ac:dyDescent="0.2">
      <c r="A277" s="348">
        <v>2017</v>
      </c>
      <c r="B277" s="203" t="str">
        <f t="shared" ref="B277:I277" si="79">B46</f>
        <v>-</v>
      </c>
      <c r="C277" s="203" t="str">
        <f t="shared" si="79"/>
        <v>-</v>
      </c>
      <c r="D277" s="203">
        <f t="shared" si="79"/>
        <v>243.76</v>
      </c>
      <c r="E277" s="203">
        <f t="shared" si="79"/>
        <v>6133.98</v>
      </c>
      <c r="F277" s="203">
        <f t="shared" si="79"/>
        <v>855.52</v>
      </c>
      <c r="G277" s="203">
        <f t="shared" si="79"/>
        <v>53.91</v>
      </c>
      <c r="H277" s="203" t="str">
        <f t="shared" si="79"/>
        <v>-</v>
      </c>
      <c r="I277" s="203">
        <f t="shared" si="79"/>
        <v>7287.17</v>
      </c>
      <c r="J277" s="197"/>
      <c r="K277" s="203" t="str">
        <f t="shared" ref="K277:R277" si="80">K46</f>
        <v>-</v>
      </c>
      <c r="L277" s="203" t="str">
        <f t="shared" si="80"/>
        <v>-</v>
      </c>
      <c r="M277" s="203">
        <f t="shared" si="80"/>
        <v>44.77</v>
      </c>
      <c r="N277" s="203">
        <f t="shared" si="80"/>
        <v>1767.2</v>
      </c>
      <c r="O277" s="203">
        <f t="shared" si="80"/>
        <v>1213.7</v>
      </c>
      <c r="P277" s="203">
        <f t="shared" si="80"/>
        <v>507.01</v>
      </c>
      <c r="Q277" s="203" t="str">
        <f t="shared" si="80"/>
        <v>-</v>
      </c>
      <c r="R277" s="203">
        <f t="shared" si="80"/>
        <v>3532.6800000000003</v>
      </c>
    </row>
    <row r="278" spans="1:18" s="359" customFormat="1" ht="11.25" customHeight="1" x14ac:dyDescent="0.2">
      <c r="A278" s="348">
        <v>2018</v>
      </c>
      <c r="B278" s="203" t="str">
        <f t="shared" ref="B278:I278" si="81">B47</f>
        <v>-</v>
      </c>
      <c r="C278" s="203" t="str">
        <f t="shared" si="81"/>
        <v>-</v>
      </c>
      <c r="D278" s="203">
        <f t="shared" si="81"/>
        <v>351.74</v>
      </c>
      <c r="E278" s="203">
        <f t="shared" si="81"/>
        <v>2268.5700000000002</v>
      </c>
      <c r="F278" s="203">
        <f t="shared" si="81"/>
        <v>420.47</v>
      </c>
      <c r="G278" s="203" t="str">
        <f t="shared" si="81"/>
        <v>-</v>
      </c>
      <c r="H278" s="203" t="str">
        <f t="shared" si="81"/>
        <v>-</v>
      </c>
      <c r="I278" s="203">
        <f t="shared" si="81"/>
        <v>3040.7800000000007</v>
      </c>
      <c r="J278" s="197"/>
      <c r="K278" s="203" t="str">
        <f t="shared" ref="K278:R278" si="82">K47</f>
        <v>-</v>
      </c>
      <c r="L278" s="203" t="str">
        <f t="shared" si="82"/>
        <v>-</v>
      </c>
      <c r="M278" s="203">
        <f t="shared" si="82"/>
        <v>548.48</v>
      </c>
      <c r="N278" s="203">
        <f t="shared" si="82"/>
        <v>3169.66</v>
      </c>
      <c r="O278" s="203">
        <f t="shared" si="82"/>
        <v>1220.56</v>
      </c>
      <c r="P278" s="203" t="str">
        <f t="shared" si="82"/>
        <v>-</v>
      </c>
      <c r="Q278" s="203" t="str">
        <f t="shared" si="82"/>
        <v>-</v>
      </c>
      <c r="R278" s="203">
        <f t="shared" si="82"/>
        <v>4938.7</v>
      </c>
    </row>
    <row r="279" spans="1:18" s="487" customFormat="1" ht="11.25" customHeight="1" x14ac:dyDescent="0.2">
      <c r="A279" s="491">
        <v>2019</v>
      </c>
      <c r="B279" s="203" t="str">
        <f t="shared" ref="B279:I280" si="83">B48</f>
        <v>-</v>
      </c>
      <c r="C279" s="203" t="str">
        <f t="shared" si="83"/>
        <v>-</v>
      </c>
      <c r="D279" s="203">
        <f t="shared" si="83"/>
        <v>1474.38</v>
      </c>
      <c r="E279" s="203">
        <f t="shared" si="83"/>
        <v>2384.63</v>
      </c>
      <c r="F279" s="203" t="str">
        <f t="shared" si="83"/>
        <v>-</v>
      </c>
      <c r="G279" s="203" t="str">
        <f t="shared" si="83"/>
        <v>-</v>
      </c>
      <c r="H279" s="203" t="str">
        <f t="shared" si="83"/>
        <v>-</v>
      </c>
      <c r="I279" s="203">
        <f t="shared" si="83"/>
        <v>3859.01</v>
      </c>
      <c r="J279" s="197"/>
      <c r="K279" s="203" t="str">
        <f t="shared" ref="K279:R280" si="84">K48</f>
        <v>-</v>
      </c>
      <c r="L279" s="203" t="str">
        <f t="shared" si="84"/>
        <v>-</v>
      </c>
      <c r="M279" s="203">
        <f t="shared" si="84"/>
        <v>753.88</v>
      </c>
      <c r="N279" s="203">
        <f t="shared" si="84"/>
        <v>3343.59</v>
      </c>
      <c r="O279" s="203">
        <f t="shared" si="84"/>
        <v>1763.54</v>
      </c>
      <c r="P279" s="203">
        <f t="shared" si="84"/>
        <v>318.23</v>
      </c>
      <c r="Q279" s="203" t="str">
        <f t="shared" si="84"/>
        <v>-</v>
      </c>
      <c r="R279" s="203">
        <f t="shared" si="84"/>
        <v>6179.24</v>
      </c>
    </row>
    <row r="280" spans="1:18" ht="11.25" customHeight="1" x14ac:dyDescent="0.2">
      <c r="A280" s="496" t="s">
        <v>396</v>
      </c>
      <c r="B280" s="203" t="str">
        <f t="shared" si="83"/>
        <v>-</v>
      </c>
      <c r="C280" s="203" t="str">
        <f t="shared" si="83"/>
        <v>-</v>
      </c>
      <c r="D280" s="203">
        <f t="shared" si="83"/>
        <v>550.71</v>
      </c>
      <c r="E280" s="203">
        <f t="shared" si="83"/>
        <v>1400.36</v>
      </c>
      <c r="F280" s="203">
        <f t="shared" si="83"/>
        <v>49.42</v>
      </c>
      <c r="G280" s="203" t="str">
        <f t="shared" si="83"/>
        <v>-</v>
      </c>
      <c r="H280" s="203" t="str">
        <f t="shared" si="83"/>
        <v>-</v>
      </c>
      <c r="I280" s="203">
        <f t="shared" si="83"/>
        <v>2000.49</v>
      </c>
      <c r="J280" s="197"/>
      <c r="K280" s="203" t="str">
        <f t="shared" si="84"/>
        <v>-</v>
      </c>
      <c r="L280" s="203" t="str">
        <f t="shared" si="84"/>
        <v>-</v>
      </c>
      <c r="M280" s="203">
        <f t="shared" si="84"/>
        <v>49.98</v>
      </c>
      <c r="N280" s="203">
        <f t="shared" si="84"/>
        <v>2381.15</v>
      </c>
      <c r="O280" s="203">
        <f t="shared" si="84"/>
        <v>623.66</v>
      </c>
      <c r="P280" s="203" t="str">
        <f t="shared" si="84"/>
        <v>-</v>
      </c>
      <c r="Q280" s="203" t="str">
        <f t="shared" si="84"/>
        <v>-</v>
      </c>
      <c r="R280" s="203">
        <f t="shared" si="84"/>
        <v>3054.79</v>
      </c>
    </row>
    <row r="281" spans="1:18" ht="10.15" customHeight="1" x14ac:dyDescent="0.2">
      <c r="A281" s="348"/>
      <c r="B281" s="203"/>
      <c r="C281" s="203"/>
      <c r="D281" s="203"/>
      <c r="E281" s="203"/>
      <c r="F281" s="203"/>
      <c r="G281" s="203"/>
      <c r="H281" s="203"/>
      <c r="I281" s="203"/>
      <c r="J281" s="197"/>
      <c r="K281" s="203"/>
      <c r="L281" s="203"/>
      <c r="M281" s="203"/>
      <c r="N281" s="203"/>
      <c r="O281" s="203"/>
      <c r="P281" s="203"/>
      <c r="Q281" s="203"/>
      <c r="R281" s="203"/>
    </row>
    <row r="282" spans="1:18" x14ac:dyDescent="0.2">
      <c r="A282" s="159" t="s">
        <v>66</v>
      </c>
      <c r="B282" s="203"/>
      <c r="C282" s="203"/>
      <c r="D282" s="203"/>
      <c r="E282" s="203"/>
      <c r="F282" s="203"/>
      <c r="G282" s="203"/>
      <c r="H282" s="203"/>
      <c r="I282" s="203"/>
      <c r="J282" s="197"/>
      <c r="K282" s="203"/>
      <c r="L282" s="203"/>
      <c r="M282" s="203"/>
      <c r="N282" s="203"/>
      <c r="O282" s="203"/>
      <c r="P282" s="203"/>
      <c r="Q282" s="203"/>
      <c r="R282" s="203"/>
    </row>
    <row r="283" spans="1:18" ht="11.25" customHeight="1" x14ac:dyDescent="0.2">
      <c r="A283" s="308" t="s">
        <v>30</v>
      </c>
      <c r="B283" s="203" t="s">
        <v>29</v>
      </c>
      <c r="C283" s="203">
        <f t="shared" ref="C283:I283" si="85">AVERAGE(C57:C61)</f>
        <v>0</v>
      </c>
      <c r="D283" s="203">
        <f t="shared" si="85"/>
        <v>7</v>
      </c>
      <c r="E283" s="203">
        <f t="shared" si="85"/>
        <v>132.19999999999999</v>
      </c>
      <c r="F283" s="203">
        <f t="shared" si="85"/>
        <v>166.4</v>
      </c>
      <c r="G283" s="203">
        <f t="shared" si="85"/>
        <v>8</v>
      </c>
      <c r="H283" s="203" t="s">
        <v>29</v>
      </c>
      <c r="I283" s="203">
        <f t="shared" si="85"/>
        <v>304.39999999999998</v>
      </c>
      <c r="J283" s="197"/>
      <c r="K283" s="203" t="s">
        <v>29</v>
      </c>
      <c r="L283" s="203">
        <f t="shared" ref="L283:R283" si="86">AVERAGE(L57:L61)</f>
        <v>0</v>
      </c>
      <c r="M283" s="203">
        <f t="shared" si="86"/>
        <v>72.333333333333329</v>
      </c>
      <c r="N283" s="203">
        <f t="shared" si="86"/>
        <v>860.8</v>
      </c>
      <c r="O283" s="203">
        <f t="shared" si="86"/>
        <v>2786.4</v>
      </c>
      <c r="P283" s="203">
        <f t="shared" si="86"/>
        <v>251</v>
      </c>
      <c r="Q283" s="203" t="s">
        <v>29</v>
      </c>
      <c r="R283" s="203">
        <f t="shared" si="86"/>
        <v>3791</v>
      </c>
    </row>
    <row r="284" spans="1:18" ht="11.25" customHeight="1" x14ac:dyDescent="0.2">
      <c r="A284" s="308" t="s">
        <v>347</v>
      </c>
      <c r="B284" s="203" t="s">
        <v>29</v>
      </c>
      <c r="C284" s="203">
        <f t="shared" ref="C284:I284" si="87">AVERAGE(C62:C66)</f>
        <v>9</v>
      </c>
      <c r="D284" s="203">
        <f t="shared" si="87"/>
        <v>10.333333333333334</v>
      </c>
      <c r="E284" s="203">
        <f t="shared" si="87"/>
        <v>302.60000000000002</v>
      </c>
      <c r="F284" s="203">
        <f t="shared" si="87"/>
        <v>92.5</v>
      </c>
      <c r="G284" s="203">
        <f t="shared" si="87"/>
        <v>15</v>
      </c>
      <c r="H284" s="203" t="s">
        <v>29</v>
      </c>
      <c r="I284" s="203">
        <f t="shared" si="87"/>
        <v>390.6</v>
      </c>
      <c r="J284" s="197"/>
      <c r="K284" s="203" t="s">
        <v>29</v>
      </c>
      <c r="L284" s="203" t="s">
        <v>29</v>
      </c>
      <c r="M284" s="203">
        <f t="shared" ref="M284:R284" si="88">AVERAGE(M62:M66)</f>
        <v>36.666666666666664</v>
      </c>
      <c r="N284" s="203">
        <f t="shared" si="88"/>
        <v>2129.4</v>
      </c>
      <c r="O284" s="203">
        <f t="shared" si="88"/>
        <v>1025.5</v>
      </c>
      <c r="P284" s="203">
        <f t="shared" si="88"/>
        <v>124.5</v>
      </c>
      <c r="Q284" s="203" t="s">
        <v>29</v>
      </c>
      <c r="R284" s="203">
        <f t="shared" si="88"/>
        <v>3021.6</v>
      </c>
    </row>
    <row r="285" spans="1:18" ht="11.25" customHeight="1" x14ac:dyDescent="0.2">
      <c r="A285" s="308" t="s">
        <v>14</v>
      </c>
      <c r="B285" s="203" t="s">
        <v>29</v>
      </c>
      <c r="C285" s="203" t="s">
        <v>29</v>
      </c>
      <c r="D285" s="203" t="s">
        <v>29</v>
      </c>
      <c r="E285" s="203">
        <f>AVERAGE(E67:E71)</f>
        <v>215</v>
      </c>
      <c r="F285" s="203">
        <f t="shared" ref="F285:R285" si="89">AVERAGE(F67:F71)</f>
        <v>31.333333333333332</v>
      </c>
      <c r="G285" s="203">
        <f t="shared" si="89"/>
        <v>29.333333333333332</v>
      </c>
      <c r="H285" s="203">
        <f t="shared" si="89"/>
        <v>2</v>
      </c>
      <c r="I285" s="203">
        <f t="shared" si="89"/>
        <v>207.25</v>
      </c>
      <c r="J285" s="203"/>
      <c r="K285" s="203" t="s">
        <v>29</v>
      </c>
      <c r="L285" s="203" t="s">
        <v>29</v>
      </c>
      <c r="M285" s="203" t="s">
        <v>29</v>
      </c>
      <c r="N285" s="203">
        <f t="shared" si="89"/>
        <v>2765.6666666666665</v>
      </c>
      <c r="O285" s="203">
        <f t="shared" si="89"/>
        <v>606</v>
      </c>
      <c r="P285" s="203">
        <f t="shared" si="89"/>
        <v>443.66666666666669</v>
      </c>
      <c r="Q285" s="203">
        <f t="shared" si="89"/>
        <v>2</v>
      </c>
      <c r="R285" s="203">
        <f t="shared" si="89"/>
        <v>3013.5</v>
      </c>
    </row>
    <row r="286" spans="1:18" ht="11.25" customHeight="1" x14ac:dyDescent="0.2">
      <c r="A286" s="308" t="s">
        <v>207</v>
      </c>
      <c r="B286" s="203" t="s">
        <v>29</v>
      </c>
      <c r="C286" s="203" t="s">
        <v>29</v>
      </c>
      <c r="D286" s="203" t="s">
        <v>29</v>
      </c>
      <c r="E286" s="203">
        <f>AVERAGE(E72:E76)</f>
        <v>187.66666666666666</v>
      </c>
      <c r="F286" s="203">
        <f t="shared" ref="F286:R286" si="90">AVERAGE(F72:F76)</f>
        <v>125</v>
      </c>
      <c r="G286" s="203">
        <f t="shared" si="90"/>
        <v>53.5</v>
      </c>
      <c r="H286" s="203" t="s">
        <v>29</v>
      </c>
      <c r="I286" s="203">
        <f t="shared" si="90"/>
        <v>259</v>
      </c>
      <c r="J286" s="203"/>
      <c r="K286" s="203" t="s">
        <v>29</v>
      </c>
      <c r="L286" s="203" t="s">
        <v>29</v>
      </c>
      <c r="M286" s="203" t="s">
        <v>29</v>
      </c>
      <c r="N286" s="203">
        <f t="shared" si="90"/>
        <v>894.33333333333337</v>
      </c>
      <c r="O286" s="203">
        <f t="shared" si="90"/>
        <v>731.6</v>
      </c>
      <c r="P286" s="203">
        <f t="shared" si="90"/>
        <v>703.5</v>
      </c>
      <c r="Q286" s="203" t="s">
        <v>29</v>
      </c>
      <c r="R286" s="203">
        <f t="shared" si="90"/>
        <v>1549.6</v>
      </c>
    </row>
    <row r="287" spans="1:18" ht="11.25" customHeight="1" x14ac:dyDescent="0.2">
      <c r="A287" s="308" t="s">
        <v>238</v>
      </c>
      <c r="B287" s="203" t="str">
        <f>+B77</f>
        <v>-</v>
      </c>
      <c r="C287" s="203">
        <f t="shared" ref="C287:I287" si="91">AVERAGE(C77:C81)</f>
        <v>7</v>
      </c>
      <c r="D287" s="203">
        <f t="shared" si="91"/>
        <v>96.333333333333329</v>
      </c>
      <c r="E287" s="203">
        <f t="shared" si="91"/>
        <v>739.8</v>
      </c>
      <c r="F287" s="203">
        <f t="shared" si="91"/>
        <v>540.79999999999995</v>
      </c>
      <c r="G287" s="203">
        <f t="shared" si="91"/>
        <v>195.2</v>
      </c>
      <c r="H287" s="203">
        <f t="shared" si="91"/>
        <v>50.8</v>
      </c>
      <c r="I287" s="203">
        <f t="shared" si="91"/>
        <v>1585.8</v>
      </c>
      <c r="J287" s="197"/>
      <c r="K287" s="203" t="str">
        <f>+K77</f>
        <v>-</v>
      </c>
      <c r="L287" s="203" t="str">
        <f>+L77</f>
        <v>-</v>
      </c>
      <c r="M287" s="203" t="str">
        <f>+M77</f>
        <v>-</v>
      </c>
      <c r="N287" s="203">
        <f>AVERAGE(N77:N81)</f>
        <v>1110.4000000000001</v>
      </c>
      <c r="O287" s="203">
        <f>AVERAGE(O77:O81)</f>
        <v>1306</v>
      </c>
      <c r="P287" s="203">
        <f>AVERAGE(P77:P81)</f>
        <v>309</v>
      </c>
      <c r="Q287" s="203">
        <f>AVERAGE(Q77:Q81)</f>
        <v>10.4</v>
      </c>
      <c r="R287" s="203">
        <f>AVERAGE(R77:R81)</f>
        <v>2770.4</v>
      </c>
    </row>
    <row r="288" spans="1:18" ht="11.25" customHeight="1" x14ac:dyDescent="0.2">
      <c r="A288" s="308">
        <v>2006</v>
      </c>
      <c r="B288" s="203" t="str">
        <f t="shared" ref="B288:I288" si="92">+B82</f>
        <v>-</v>
      </c>
      <c r="C288" s="203" t="str">
        <f t="shared" si="92"/>
        <v>-</v>
      </c>
      <c r="D288" s="203">
        <f t="shared" si="92"/>
        <v>35.79</v>
      </c>
      <c r="E288" s="203">
        <f t="shared" si="92"/>
        <v>246.59</v>
      </c>
      <c r="F288" s="203">
        <f t="shared" si="92"/>
        <v>955.02</v>
      </c>
      <c r="G288" s="203">
        <f t="shared" si="92"/>
        <v>342.19</v>
      </c>
      <c r="H288" s="203">
        <f t="shared" si="92"/>
        <v>90.54</v>
      </c>
      <c r="I288" s="203">
        <f t="shared" si="92"/>
        <v>1670.13</v>
      </c>
      <c r="J288" s="197"/>
      <c r="K288" s="203" t="str">
        <f t="shared" ref="K288:R288" si="93">+K82</f>
        <v>-</v>
      </c>
      <c r="L288" s="203" t="str">
        <f t="shared" si="93"/>
        <v>-</v>
      </c>
      <c r="M288" s="203">
        <f t="shared" si="93"/>
        <v>35.56</v>
      </c>
      <c r="N288" s="203">
        <f t="shared" si="93"/>
        <v>743.81</v>
      </c>
      <c r="O288" s="203">
        <f t="shared" si="93"/>
        <v>1040.78</v>
      </c>
      <c r="P288" s="203">
        <f t="shared" si="93"/>
        <v>61.05</v>
      </c>
      <c r="Q288" s="203">
        <f t="shared" si="93"/>
        <v>2.4</v>
      </c>
      <c r="R288" s="203">
        <f t="shared" si="93"/>
        <v>1883.6</v>
      </c>
    </row>
    <row r="289" spans="1:18" s="359" customFormat="1" ht="11.25" customHeight="1" x14ac:dyDescent="0.2">
      <c r="A289" s="308">
        <v>2007</v>
      </c>
      <c r="B289" s="203" t="str">
        <f t="shared" ref="B289:I289" si="94">+B83</f>
        <v>-</v>
      </c>
      <c r="C289" s="203" t="str">
        <f t="shared" si="94"/>
        <v>-</v>
      </c>
      <c r="D289" s="203" t="str">
        <f t="shared" si="94"/>
        <v>-</v>
      </c>
      <c r="E289" s="203">
        <f t="shared" si="94"/>
        <v>132.22999999999999</v>
      </c>
      <c r="F289" s="203">
        <f t="shared" si="94"/>
        <v>347.54</v>
      </c>
      <c r="G289" s="203">
        <f t="shared" si="94"/>
        <v>115.61</v>
      </c>
      <c r="H289" s="203">
        <f t="shared" si="94"/>
        <v>0</v>
      </c>
      <c r="I289" s="203">
        <f t="shared" si="94"/>
        <v>595.38</v>
      </c>
      <c r="J289" s="197"/>
      <c r="K289" s="203" t="str">
        <f t="shared" ref="K289:R289" si="95">+K83</f>
        <v>-</v>
      </c>
      <c r="L289" s="203" t="str">
        <f t="shared" si="95"/>
        <v>-</v>
      </c>
      <c r="M289" s="203" t="str">
        <f t="shared" si="95"/>
        <v>-</v>
      </c>
      <c r="N289" s="203">
        <f t="shared" si="95"/>
        <v>757.88</v>
      </c>
      <c r="O289" s="203">
        <f t="shared" si="95"/>
        <v>1869.23</v>
      </c>
      <c r="P289" s="203">
        <f t="shared" si="95"/>
        <v>142.08000000000001</v>
      </c>
      <c r="Q289" s="203">
        <f t="shared" si="95"/>
        <v>0</v>
      </c>
      <c r="R289" s="203">
        <f t="shared" si="95"/>
        <v>2769.19</v>
      </c>
    </row>
    <row r="290" spans="1:18" s="359" customFormat="1" ht="11.25" customHeight="1" x14ac:dyDescent="0.2">
      <c r="A290" s="308">
        <v>2008</v>
      </c>
      <c r="B290" s="203" t="str">
        <f t="shared" ref="B290:I290" si="96">+B84</f>
        <v>-</v>
      </c>
      <c r="C290" s="203" t="str">
        <f t="shared" si="96"/>
        <v>-</v>
      </c>
      <c r="D290" s="203">
        <f t="shared" si="96"/>
        <v>80.12</v>
      </c>
      <c r="E290" s="203">
        <f t="shared" si="96"/>
        <v>243.52</v>
      </c>
      <c r="F290" s="203">
        <f t="shared" si="96"/>
        <v>299.93</v>
      </c>
      <c r="G290" s="203">
        <f t="shared" si="96"/>
        <v>106.38</v>
      </c>
      <c r="H290" s="203">
        <f t="shared" si="96"/>
        <v>6.25</v>
      </c>
      <c r="I290" s="203">
        <f t="shared" si="96"/>
        <v>736.19999999999993</v>
      </c>
      <c r="J290" s="197"/>
      <c r="K290" s="203" t="str">
        <f t="shared" ref="K290:R290" si="97">+K84</f>
        <v>-</v>
      </c>
      <c r="L290" s="203" t="str">
        <f t="shared" si="97"/>
        <v>-</v>
      </c>
      <c r="M290" s="203" t="str">
        <f t="shared" si="97"/>
        <v>-</v>
      </c>
      <c r="N290" s="203">
        <f t="shared" si="97"/>
        <v>102.04</v>
      </c>
      <c r="O290" s="203">
        <f t="shared" si="97"/>
        <v>272.95</v>
      </c>
      <c r="P290" s="203">
        <f t="shared" si="97"/>
        <v>165.2</v>
      </c>
      <c r="Q290" s="203">
        <f t="shared" si="97"/>
        <v>1.25</v>
      </c>
      <c r="R290" s="203">
        <f t="shared" si="97"/>
        <v>541.44000000000005</v>
      </c>
    </row>
    <row r="291" spans="1:18" s="359" customFormat="1" ht="11.25" customHeight="1" x14ac:dyDescent="0.2">
      <c r="A291" s="308">
        <v>2009</v>
      </c>
      <c r="B291" s="203" t="str">
        <f t="shared" ref="B291:I291" si="98">+B85</f>
        <v>-</v>
      </c>
      <c r="C291" s="203" t="str">
        <f t="shared" si="98"/>
        <v>-</v>
      </c>
      <c r="D291" s="203">
        <f t="shared" si="98"/>
        <v>7.25</v>
      </c>
      <c r="E291" s="203">
        <f t="shared" si="98"/>
        <v>193.83</v>
      </c>
      <c r="F291" s="203">
        <f t="shared" si="98"/>
        <v>328.75</v>
      </c>
      <c r="G291" s="203">
        <f t="shared" si="98"/>
        <v>52.93</v>
      </c>
      <c r="H291" s="203">
        <f t="shared" si="98"/>
        <v>96.78</v>
      </c>
      <c r="I291" s="203">
        <f t="shared" si="98"/>
        <v>679.54</v>
      </c>
      <c r="J291" s="197"/>
      <c r="K291" s="203" t="str">
        <f t="shared" ref="K291:R291" si="99">+K85</f>
        <v>-</v>
      </c>
      <c r="L291" s="203" t="str">
        <f t="shared" si="99"/>
        <v>-</v>
      </c>
      <c r="M291" s="203">
        <f t="shared" si="99"/>
        <v>165.13</v>
      </c>
      <c r="N291" s="203">
        <f t="shared" si="99"/>
        <v>1944.03</v>
      </c>
      <c r="O291" s="203">
        <f t="shared" si="99"/>
        <v>4316.8900000000003</v>
      </c>
      <c r="P291" s="203">
        <f t="shared" si="99"/>
        <v>377.4</v>
      </c>
      <c r="Q291" s="203">
        <f t="shared" si="99"/>
        <v>92.41</v>
      </c>
      <c r="R291" s="203">
        <f t="shared" si="99"/>
        <v>6895.86</v>
      </c>
    </row>
    <row r="292" spans="1:18" s="359" customFormat="1" ht="11.25" customHeight="1" x14ac:dyDescent="0.2">
      <c r="A292" s="308">
        <v>2010</v>
      </c>
      <c r="B292" s="203" t="str">
        <f t="shared" ref="B292:I292" si="100">+B86</f>
        <v>-</v>
      </c>
      <c r="C292" s="203" t="str">
        <f t="shared" si="100"/>
        <v>-</v>
      </c>
      <c r="D292" s="203">
        <f t="shared" si="100"/>
        <v>37.869999999999997</v>
      </c>
      <c r="E292" s="203">
        <f t="shared" si="100"/>
        <v>293.52999999999997</v>
      </c>
      <c r="F292" s="203">
        <f t="shared" si="100"/>
        <v>714.62</v>
      </c>
      <c r="G292" s="203">
        <f t="shared" si="100"/>
        <v>86.41</v>
      </c>
      <c r="H292" s="203">
        <f t="shared" si="100"/>
        <v>44.95</v>
      </c>
      <c r="I292" s="203">
        <f t="shared" si="100"/>
        <v>1177.3800000000001</v>
      </c>
      <c r="J292" s="197"/>
      <c r="K292" s="203" t="str">
        <f t="shared" ref="K292:R292" si="101">+K86</f>
        <v>-</v>
      </c>
      <c r="L292" s="203" t="str">
        <f t="shared" si="101"/>
        <v>-</v>
      </c>
      <c r="M292" s="203" t="str">
        <f t="shared" si="101"/>
        <v>-</v>
      </c>
      <c r="N292" s="203">
        <f t="shared" si="101"/>
        <v>211.21</v>
      </c>
      <c r="O292" s="203">
        <f t="shared" si="101"/>
        <v>708.91</v>
      </c>
      <c r="P292" s="203">
        <f t="shared" si="101"/>
        <v>222.65</v>
      </c>
      <c r="Q292" s="203">
        <f t="shared" si="101"/>
        <v>36.76</v>
      </c>
      <c r="R292" s="203">
        <f t="shared" si="101"/>
        <v>1179.53</v>
      </c>
    </row>
    <row r="293" spans="1:18" s="359" customFormat="1" ht="11.25" customHeight="1" x14ac:dyDescent="0.2">
      <c r="A293" s="308">
        <v>2011</v>
      </c>
      <c r="B293" s="203" t="str">
        <f t="shared" ref="B293:I293" si="102">+B87</f>
        <v>-</v>
      </c>
      <c r="C293" s="203" t="str">
        <f t="shared" si="102"/>
        <v>-</v>
      </c>
      <c r="D293" s="203">
        <f t="shared" si="102"/>
        <v>31.89</v>
      </c>
      <c r="E293" s="203">
        <f t="shared" si="102"/>
        <v>500.82</v>
      </c>
      <c r="F293" s="203">
        <f t="shared" si="102"/>
        <v>906.83</v>
      </c>
      <c r="G293" s="203">
        <f t="shared" si="102"/>
        <v>90.29</v>
      </c>
      <c r="H293" s="203">
        <f t="shared" si="102"/>
        <v>5</v>
      </c>
      <c r="I293" s="203">
        <f t="shared" si="102"/>
        <v>1534.83</v>
      </c>
      <c r="J293" s="197"/>
      <c r="K293" s="203" t="str">
        <f t="shared" ref="K293:R293" si="103">+K87</f>
        <v>-</v>
      </c>
      <c r="L293" s="203" t="str">
        <f t="shared" si="103"/>
        <v>-</v>
      </c>
      <c r="M293" s="203">
        <f t="shared" si="103"/>
        <v>48.12</v>
      </c>
      <c r="N293" s="203">
        <f t="shared" si="103"/>
        <v>572.46</v>
      </c>
      <c r="O293" s="203">
        <f t="shared" si="103"/>
        <v>1028.72</v>
      </c>
      <c r="P293" s="203">
        <f t="shared" si="103"/>
        <v>398.47</v>
      </c>
      <c r="Q293" s="203">
        <f t="shared" si="103"/>
        <v>2.4500000000000002</v>
      </c>
      <c r="R293" s="203">
        <f t="shared" si="103"/>
        <v>2050.2200000000003</v>
      </c>
    </row>
    <row r="294" spans="1:18" s="359" customFormat="1" ht="11.25" customHeight="1" x14ac:dyDescent="0.2">
      <c r="A294" s="308">
        <v>2012</v>
      </c>
      <c r="B294" s="203" t="str">
        <f t="shared" ref="B294:I294" si="104">+B88</f>
        <v>-</v>
      </c>
      <c r="C294" s="203" t="str">
        <f t="shared" si="104"/>
        <v>-</v>
      </c>
      <c r="D294" s="203">
        <f t="shared" si="104"/>
        <v>85.64</v>
      </c>
      <c r="E294" s="203">
        <f t="shared" si="104"/>
        <v>462.75</v>
      </c>
      <c r="F294" s="203">
        <f t="shared" si="104"/>
        <v>443.12</v>
      </c>
      <c r="G294" s="203">
        <f t="shared" si="104"/>
        <v>153.46</v>
      </c>
      <c r="H294" s="203">
        <f t="shared" si="104"/>
        <v>132.59</v>
      </c>
      <c r="I294" s="203">
        <f t="shared" si="104"/>
        <v>1277.56</v>
      </c>
      <c r="J294" s="197"/>
      <c r="K294" s="203" t="str">
        <f t="shared" ref="K294:R294" si="105">+K88</f>
        <v>-</v>
      </c>
      <c r="L294" s="203" t="str">
        <f t="shared" si="105"/>
        <v>-</v>
      </c>
      <c r="M294" s="203" t="str">
        <f t="shared" si="105"/>
        <v>-</v>
      </c>
      <c r="N294" s="203">
        <f t="shared" si="105"/>
        <v>472.9</v>
      </c>
      <c r="O294" s="203">
        <f t="shared" si="105"/>
        <v>1052.05</v>
      </c>
      <c r="P294" s="203">
        <f t="shared" si="105"/>
        <v>697.64</v>
      </c>
      <c r="Q294" s="203">
        <f t="shared" si="105"/>
        <v>20.81</v>
      </c>
      <c r="R294" s="203">
        <f t="shared" si="105"/>
        <v>2243.3999999999996</v>
      </c>
    </row>
    <row r="295" spans="1:18" s="359" customFormat="1" ht="11.25" customHeight="1" x14ac:dyDescent="0.2">
      <c r="A295" s="308">
        <v>2013</v>
      </c>
      <c r="B295" s="203" t="str">
        <f t="shared" ref="B295:I295" si="106">+B89</f>
        <v>-</v>
      </c>
      <c r="C295" s="203">
        <f t="shared" si="106"/>
        <v>3.89</v>
      </c>
      <c r="D295" s="203">
        <f t="shared" si="106"/>
        <v>99.33</v>
      </c>
      <c r="E295" s="203">
        <f t="shared" si="106"/>
        <v>693.36</v>
      </c>
      <c r="F295" s="203">
        <f t="shared" si="106"/>
        <v>1287.54</v>
      </c>
      <c r="G295" s="203">
        <f t="shared" si="106"/>
        <v>152.44999999999999</v>
      </c>
      <c r="H295" s="203">
        <f t="shared" si="106"/>
        <v>118.68</v>
      </c>
      <c r="I295" s="203">
        <f t="shared" si="106"/>
        <v>2355.2499999999995</v>
      </c>
      <c r="J295" s="197"/>
      <c r="K295" s="203" t="str">
        <f t="shared" ref="K295:R295" si="107">+K89</f>
        <v>-</v>
      </c>
      <c r="L295" s="203" t="str">
        <f t="shared" si="107"/>
        <v>-</v>
      </c>
      <c r="M295" s="203">
        <f t="shared" si="107"/>
        <v>57.04</v>
      </c>
      <c r="N295" s="203">
        <f t="shared" si="107"/>
        <v>439.4</v>
      </c>
      <c r="O295" s="203">
        <f t="shared" si="107"/>
        <v>2014.91</v>
      </c>
      <c r="P295" s="203">
        <f t="shared" si="107"/>
        <v>268.56</v>
      </c>
      <c r="Q295" s="203">
        <f t="shared" si="107"/>
        <v>17.72</v>
      </c>
      <c r="R295" s="203">
        <f t="shared" si="107"/>
        <v>2797.6299999999997</v>
      </c>
    </row>
    <row r="296" spans="1:18" s="359" customFormat="1" ht="11.25" customHeight="1" x14ac:dyDescent="0.2">
      <c r="A296" s="308">
        <v>2014</v>
      </c>
      <c r="B296" s="203" t="str">
        <f t="shared" ref="B296:I296" si="108">+B90</f>
        <v>-</v>
      </c>
      <c r="C296" s="203">
        <f t="shared" si="108"/>
        <v>0</v>
      </c>
      <c r="D296" s="203">
        <f t="shared" si="108"/>
        <v>227.06</v>
      </c>
      <c r="E296" s="203">
        <f t="shared" si="108"/>
        <v>725.35</v>
      </c>
      <c r="F296" s="203">
        <f t="shared" si="108"/>
        <v>405.53</v>
      </c>
      <c r="G296" s="203">
        <f t="shared" si="108"/>
        <v>115.42999999999999</v>
      </c>
      <c r="H296" s="203">
        <f t="shared" si="108"/>
        <v>110.29</v>
      </c>
      <c r="I296" s="203">
        <f t="shared" si="108"/>
        <v>1583.66</v>
      </c>
      <c r="J296" s="197"/>
      <c r="K296" s="203" t="str">
        <f t="shared" ref="K296:R296" si="109">+K90</f>
        <v>-</v>
      </c>
      <c r="L296" s="203" t="str">
        <f t="shared" si="109"/>
        <v>-</v>
      </c>
      <c r="M296" s="203">
        <f t="shared" si="109"/>
        <v>102.07</v>
      </c>
      <c r="N296" s="203">
        <f t="shared" si="109"/>
        <v>921.53</v>
      </c>
      <c r="O296" s="203">
        <f t="shared" si="109"/>
        <v>2264.52</v>
      </c>
      <c r="P296" s="203">
        <f t="shared" si="109"/>
        <v>1121.1599999999999</v>
      </c>
      <c r="Q296" s="203">
        <f t="shared" si="109"/>
        <v>199.14</v>
      </c>
      <c r="R296" s="203">
        <f t="shared" si="109"/>
        <v>4608.42</v>
      </c>
    </row>
    <row r="297" spans="1:18" s="359" customFormat="1" ht="11.25" customHeight="1" x14ac:dyDescent="0.2">
      <c r="A297" s="308">
        <v>2015</v>
      </c>
      <c r="B297" s="203" t="str">
        <f t="shared" ref="B297:I297" si="110">+B91</f>
        <v>-</v>
      </c>
      <c r="C297" s="203">
        <f t="shared" si="110"/>
        <v>7.31</v>
      </c>
      <c r="D297" s="203">
        <f t="shared" si="110"/>
        <v>158.65</v>
      </c>
      <c r="E297" s="203">
        <f t="shared" si="110"/>
        <v>1417.26</v>
      </c>
      <c r="F297" s="203">
        <f t="shared" si="110"/>
        <v>536.91</v>
      </c>
      <c r="G297" s="203">
        <f t="shared" si="110"/>
        <v>114.91</v>
      </c>
      <c r="H297" s="203">
        <f t="shared" si="110"/>
        <v>164.41</v>
      </c>
      <c r="I297" s="203">
        <f t="shared" si="110"/>
        <v>2399.4499999999998</v>
      </c>
      <c r="J297" s="197"/>
      <c r="K297" s="203" t="str">
        <f t="shared" ref="K297:R297" si="111">+K91</f>
        <v>-</v>
      </c>
      <c r="L297" s="203" t="str">
        <f t="shared" si="111"/>
        <v>-</v>
      </c>
      <c r="M297" s="203">
        <f t="shared" si="111"/>
        <v>36.700000000000003</v>
      </c>
      <c r="N297" s="203">
        <f t="shared" si="111"/>
        <v>195.38</v>
      </c>
      <c r="O297" s="203">
        <f t="shared" si="111"/>
        <v>156.36000000000001</v>
      </c>
      <c r="P297" s="203">
        <f t="shared" si="111"/>
        <v>177.59</v>
      </c>
      <c r="Q297" s="203">
        <f t="shared" si="111"/>
        <v>12.74</v>
      </c>
      <c r="R297" s="203">
        <f t="shared" si="111"/>
        <v>578.77</v>
      </c>
    </row>
    <row r="298" spans="1:18" s="359" customFormat="1" ht="11.25" customHeight="1" x14ac:dyDescent="0.2">
      <c r="A298" s="308">
        <v>2016</v>
      </c>
      <c r="B298" s="203" t="str">
        <f t="shared" ref="B298:I298" si="112">+B92</f>
        <v>-</v>
      </c>
      <c r="C298" s="203" t="str">
        <f t="shared" si="112"/>
        <v>-</v>
      </c>
      <c r="D298" s="203" t="str">
        <f t="shared" si="112"/>
        <v>-</v>
      </c>
      <c r="E298" s="203">
        <f t="shared" si="112"/>
        <v>221.44</v>
      </c>
      <c r="F298" s="203">
        <f t="shared" si="112"/>
        <v>33.81</v>
      </c>
      <c r="G298" s="203" t="str">
        <f t="shared" si="112"/>
        <v>-</v>
      </c>
      <c r="H298" s="203" t="str">
        <f t="shared" si="112"/>
        <v>-</v>
      </c>
      <c r="I298" s="203">
        <f t="shared" si="112"/>
        <v>255.25</v>
      </c>
      <c r="J298" s="197"/>
      <c r="K298" s="203" t="str">
        <f t="shared" ref="K298:R298" si="113">+K92</f>
        <v>-</v>
      </c>
      <c r="L298" s="203" t="str">
        <f t="shared" si="113"/>
        <v>-</v>
      </c>
      <c r="M298" s="203" t="str">
        <f t="shared" si="113"/>
        <v>-</v>
      </c>
      <c r="N298" s="203">
        <f t="shared" si="113"/>
        <v>3.09</v>
      </c>
      <c r="O298" s="203">
        <f t="shared" si="113"/>
        <v>1.75</v>
      </c>
      <c r="P298" s="203" t="str">
        <f t="shared" si="113"/>
        <v>-</v>
      </c>
      <c r="Q298" s="203" t="str">
        <f t="shared" si="113"/>
        <v>-</v>
      </c>
      <c r="R298" s="203">
        <f t="shared" si="113"/>
        <v>4.84</v>
      </c>
    </row>
    <row r="299" spans="1:18" s="359" customFormat="1" ht="11.25" customHeight="1" x14ac:dyDescent="0.2">
      <c r="A299" s="348">
        <v>2017</v>
      </c>
      <c r="B299" s="203" t="str">
        <f t="shared" ref="B299:I299" si="114">+B93</f>
        <v>-</v>
      </c>
      <c r="C299" s="203" t="str">
        <f t="shared" si="114"/>
        <v>-</v>
      </c>
      <c r="D299" s="203">
        <f t="shared" si="114"/>
        <v>6.65</v>
      </c>
      <c r="E299" s="203">
        <f t="shared" si="114"/>
        <v>209.27</v>
      </c>
      <c r="F299" s="203">
        <f t="shared" si="114"/>
        <v>229.34</v>
      </c>
      <c r="G299" s="203">
        <f t="shared" si="114"/>
        <v>36.83</v>
      </c>
      <c r="H299" s="203" t="str">
        <f t="shared" si="114"/>
        <v>-</v>
      </c>
      <c r="I299" s="203">
        <f t="shared" si="114"/>
        <v>482.09</v>
      </c>
      <c r="J299" s="197"/>
      <c r="K299" s="203" t="str">
        <f t="shared" ref="K299:R299" si="115">+K93</f>
        <v>-</v>
      </c>
      <c r="L299" s="203" t="str">
        <f t="shared" si="115"/>
        <v>-</v>
      </c>
      <c r="M299" s="203">
        <f t="shared" si="115"/>
        <v>13.3</v>
      </c>
      <c r="N299" s="203">
        <f t="shared" si="115"/>
        <v>158.81</v>
      </c>
      <c r="O299" s="203">
        <f t="shared" si="115"/>
        <v>1154.92</v>
      </c>
      <c r="P299" s="203">
        <f t="shared" si="115"/>
        <v>422.59</v>
      </c>
      <c r="Q299" s="203" t="str">
        <f t="shared" si="115"/>
        <v>-</v>
      </c>
      <c r="R299" s="203">
        <f t="shared" si="115"/>
        <v>1749.6200000000001</v>
      </c>
    </row>
    <row r="300" spans="1:18" s="359" customFormat="1" ht="11.25" customHeight="1" x14ac:dyDescent="0.2">
      <c r="A300" s="348">
        <v>2018</v>
      </c>
      <c r="B300" s="203" t="str">
        <f t="shared" ref="B300:I300" si="116">+B94</f>
        <v>-</v>
      </c>
      <c r="C300" s="203" t="str">
        <f t="shared" si="116"/>
        <v>-</v>
      </c>
      <c r="D300" s="203">
        <f t="shared" si="116"/>
        <v>26.09</v>
      </c>
      <c r="E300" s="203">
        <f t="shared" si="116"/>
        <v>101.79</v>
      </c>
      <c r="F300" s="203">
        <f t="shared" si="116"/>
        <v>296.99</v>
      </c>
      <c r="G300" s="203">
        <f t="shared" si="116"/>
        <v>2</v>
      </c>
      <c r="H300" s="203" t="str">
        <f t="shared" si="116"/>
        <v>-</v>
      </c>
      <c r="I300" s="203">
        <f t="shared" si="116"/>
        <v>426.87</v>
      </c>
      <c r="J300" s="197"/>
      <c r="K300" s="203" t="str">
        <f t="shared" ref="K300:R300" si="117">+K94</f>
        <v>-</v>
      </c>
      <c r="L300" s="203" t="str">
        <f t="shared" si="117"/>
        <v>-</v>
      </c>
      <c r="M300" s="203">
        <f t="shared" si="117"/>
        <v>25.16</v>
      </c>
      <c r="N300" s="203">
        <f t="shared" si="117"/>
        <v>94.29</v>
      </c>
      <c r="O300" s="203">
        <f t="shared" si="117"/>
        <v>813.61</v>
      </c>
      <c r="P300" s="203">
        <f t="shared" si="117"/>
        <v>21</v>
      </c>
      <c r="Q300" s="203" t="str">
        <f t="shared" si="117"/>
        <v>-</v>
      </c>
      <c r="R300" s="203">
        <f t="shared" si="117"/>
        <v>954.06000000000006</v>
      </c>
    </row>
    <row r="301" spans="1:18" s="487" customFormat="1" ht="11.25" customHeight="1" x14ac:dyDescent="0.2">
      <c r="A301" s="491">
        <v>2019</v>
      </c>
      <c r="B301" s="203" t="str">
        <f t="shared" ref="B301:I302" si="118">+B95</f>
        <v>-</v>
      </c>
      <c r="C301" s="203" t="str">
        <f t="shared" si="118"/>
        <v>-</v>
      </c>
      <c r="D301" s="203">
        <f t="shared" si="118"/>
        <v>9.74</v>
      </c>
      <c r="E301" s="203">
        <f t="shared" si="118"/>
        <v>216.21</v>
      </c>
      <c r="F301" s="203">
        <f t="shared" si="118"/>
        <v>189.67</v>
      </c>
      <c r="G301" s="203">
        <f t="shared" si="118"/>
        <v>33.46</v>
      </c>
      <c r="H301" s="203">
        <f t="shared" si="118"/>
        <v>164.35</v>
      </c>
      <c r="I301" s="203">
        <f t="shared" si="118"/>
        <v>613.42999999999995</v>
      </c>
      <c r="J301" s="197"/>
      <c r="K301" s="203" t="str">
        <f t="shared" ref="K301:R302" si="119">+K95</f>
        <v>-</v>
      </c>
      <c r="L301" s="203" t="str">
        <f t="shared" si="119"/>
        <v>-</v>
      </c>
      <c r="M301" s="203">
        <f t="shared" si="119"/>
        <v>2</v>
      </c>
      <c r="N301" s="203">
        <f t="shared" si="119"/>
        <v>336.11</v>
      </c>
      <c r="O301" s="203">
        <f t="shared" si="119"/>
        <v>1095.42</v>
      </c>
      <c r="P301" s="203">
        <f t="shared" si="119"/>
        <v>318.07</v>
      </c>
      <c r="Q301" s="203">
        <f t="shared" si="119"/>
        <v>15.86</v>
      </c>
      <c r="R301" s="203">
        <f t="shared" si="119"/>
        <v>1767.46</v>
      </c>
    </row>
    <row r="302" spans="1:18" ht="11.25" customHeight="1" x14ac:dyDescent="0.2">
      <c r="A302" s="496" t="s">
        <v>396</v>
      </c>
      <c r="B302" s="203" t="str">
        <f t="shared" si="118"/>
        <v>-</v>
      </c>
      <c r="C302" s="203" t="str">
        <f t="shared" si="118"/>
        <v>-</v>
      </c>
      <c r="D302" s="203">
        <f t="shared" si="118"/>
        <v>0</v>
      </c>
      <c r="E302" s="203">
        <f t="shared" si="118"/>
        <v>12.71</v>
      </c>
      <c r="F302" s="203">
        <f t="shared" si="118"/>
        <v>4.3</v>
      </c>
      <c r="G302" s="203">
        <f t="shared" si="118"/>
        <v>0</v>
      </c>
      <c r="H302" s="203" t="str">
        <f t="shared" si="118"/>
        <v>-</v>
      </c>
      <c r="I302" s="203">
        <f t="shared" si="118"/>
        <v>17.010000000000002</v>
      </c>
      <c r="J302" s="197"/>
      <c r="K302" s="203" t="str">
        <f t="shared" si="119"/>
        <v>-</v>
      </c>
      <c r="L302" s="203" t="str">
        <f t="shared" si="119"/>
        <v>-</v>
      </c>
      <c r="M302" s="203">
        <f t="shared" si="119"/>
        <v>0</v>
      </c>
      <c r="N302" s="203">
        <f t="shared" si="119"/>
        <v>4.8</v>
      </c>
      <c r="O302" s="203">
        <f t="shared" si="119"/>
        <v>166.37</v>
      </c>
      <c r="P302" s="203">
        <f t="shared" si="119"/>
        <v>22.85</v>
      </c>
      <c r="Q302" s="203" t="str">
        <f t="shared" si="119"/>
        <v>-</v>
      </c>
      <c r="R302" s="203">
        <f t="shared" si="119"/>
        <v>194.02</v>
      </c>
    </row>
    <row r="303" spans="1:18" ht="10.15" customHeight="1" x14ac:dyDescent="0.2"/>
    <row r="304" spans="1:18" ht="10.15" customHeight="1" x14ac:dyDescent="0.2">
      <c r="A304" s="522" t="s">
        <v>8</v>
      </c>
      <c r="B304" s="522"/>
      <c r="C304" s="522"/>
      <c r="D304" s="522"/>
      <c r="E304" s="522"/>
      <c r="F304" s="522"/>
      <c r="G304" s="522"/>
      <c r="H304" s="522"/>
      <c r="I304" s="522"/>
      <c r="J304" s="522"/>
      <c r="K304" s="522"/>
      <c r="L304" s="522"/>
      <c r="M304" s="522"/>
      <c r="N304" s="522"/>
      <c r="O304" s="522"/>
      <c r="P304" s="522"/>
      <c r="Q304" s="522"/>
      <c r="R304" s="522"/>
    </row>
    <row r="305" spans="1:18" ht="10.15" customHeight="1" x14ac:dyDescent="0.2">
      <c r="A305" s="5" t="s">
        <v>33</v>
      </c>
      <c r="B305" s="20" t="s">
        <v>34</v>
      </c>
      <c r="C305" s="20" t="s">
        <v>35</v>
      </c>
      <c r="D305" s="20" t="s">
        <v>36</v>
      </c>
      <c r="E305" s="20" t="s">
        <v>37</v>
      </c>
      <c r="F305" s="20" t="s">
        <v>38</v>
      </c>
      <c r="G305" s="20" t="s">
        <v>39</v>
      </c>
      <c r="H305" s="20" t="s">
        <v>40</v>
      </c>
      <c r="I305" s="20" t="s">
        <v>28</v>
      </c>
      <c r="J305" s="369"/>
      <c r="K305" s="20" t="s">
        <v>34</v>
      </c>
      <c r="L305" s="20" t="s">
        <v>35</v>
      </c>
      <c r="M305" s="20" t="s">
        <v>36</v>
      </c>
      <c r="N305" s="20" t="s">
        <v>37</v>
      </c>
      <c r="O305" s="20" t="s">
        <v>38</v>
      </c>
      <c r="P305" s="20" t="s">
        <v>39</v>
      </c>
      <c r="Q305" s="20" t="s">
        <v>40</v>
      </c>
      <c r="R305" s="20" t="s">
        <v>28</v>
      </c>
    </row>
    <row r="306" spans="1:18" ht="12.75" customHeight="1" x14ac:dyDescent="0.2">
      <c r="B306" s="583" t="s">
        <v>67</v>
      </c>
      <c r="C306" s="583"/>
      <c r="D306" s="583"/>
      <c r="E306" s="583"/>
      <c r="F306" s="583"/>
      <c r="G306" s="583"/>
      <c r="H306" s="583"/>
      <c r="I306" s="583"/>
      <c r="J306" s="19"/>
      <c r="K306" s="583" t="s">
        <v>68</v>
      </c>
      <c r="L306" s="583"/>
      <c r="M306" s="583"/>
      <c r="N306" s="583"/>
      <c r="O306" s="583"/>
      <c r="P306" s="583"/>
      <c r="Q306" s="583"/>
      <c r="R306" s="583"/>
    </row>
    <row r="307" spans="1:18" x14ac:dyDescent="0.2">
      <c r="A307" s="116" t="s">
        <v>64</v>
      </c>
    </row>
    <row r="308" spans="1:18" ht="11.25" customHeight="1" x14ac:dyDescent="0.2">
      <c r="A308" s="308" t="s">
        <v>30</v>
      </c>
      <c r="B308" s="200" t="s">
        <v>29</v>
      </c>
      <c r="C308" s="200">
        <f t="shared" ref="C308:I308" si="120">AVERAGE(C104:C108)</f>
        <v>2328</v>
      </c>
      <c r="D308" s="200">
        <f t="shared" si="120"/>
        <v>16252.5</v>
      </c>
      <c r="E308" s="200">
        <f t="shared" si="120"/>
        <v>17396.8</v>
      </c>
      <c r="F308" s="200">
        <f t="shared" si="120"/>
        <v>7512.6</v>
      </c>
      <c r="G308" s="200">
        <f t="shared" si="120"/>
        <v>406.5</v>
      </c>
      <c r="H308" s="200">
        <f t="shared" si="120"/>
        <v>17</v>
      </c>
      <c r="I308" s="200">
        <f t="shared" si="120"/>
        <v>40102.400000000001</v>
      </c>
      <c r="K308" s="200" t="s">
        <v>29</v>
      </c>
      <c r="L308" s="200">
        <f t="shared" ref="L308:R308" si="121">AVERAGE(L104:L108)</f>
        <v>2457</v>
      </c>
      <c r="M308" s="200">
        <f t="shared" si="121"/>
        <v>11790.25</v>
      </c>
      <c r="N308" s="200">
        <f t="shared" si="121"/>
        <v>27665.200000000001</v>
      </c>
      <c r="O308" s="200">
        <f t="shared" si="121"/>
        <v>22997.200000000001</v>
      </c>
      <c r="P308" s="200">
        <f t="shared" si="121"/>
        <v>3370.5</v>
      </c>
      <c r="Q308" s="200">
        <f t="shared" si="121"/>
        <v>34</v>
      </c>
      <c r="R308" s="200">
        <f t="shared" si="121"/>
        <v>63289.2</v>
      </c>
    </row>
    <row r="309" spans="1:18" ht="11.25" customHeight="1" x14ac:dyDescent="0.2">
      <c r="A309" s="308" t="s">
        <v>87</v>
      </c>
      <c r="B309" s="200" t="s">
        <v>29</v>
      </c>
      <c r="C309" s="200">
        <f t="shared" ref="C309:I309" si="122">AVERAGE(C109:C113)</f>
        <v>667</v>
      </c>
      <c r="D309" s="200">
        <f t="shared" si="122"/>
        <v>1538.5</v>
      </c>
      <c r="E309" s="200">
        <f t="shared" si="122"/>
        <v>10334</v>
      </c>
      <c r="F309" s="200">
        <f t="shared" si="122"/>
        <v>5012.2</v>
      </c>
      <c r="G309" s="200">
        <f t="shared" si="122"/>
        <v>1692</v>
      </c>
      <c r="H309" s="200" t="s">
        <v>29</v>
      </c>
      <c r="I309" s="200">
        <f t="shared" si="122"/>
        <v>17387.2</v>
      </c>
      <c r="K309" s="200" t="s">
        <v>29</v>
      </c>
      <c r="L309" s="200">
        <f t="shared" ref="L309:R309" si="123">AVERAGE(L109:L113)</f>
        <v>19</v>
      </c>
      <c r="M309" s="200">
        <f t="shared" si="123"/>
        <v>2219.75</v>
      </c>
      <c r="N309" s="200">
        <f t="shared" si="123"/>
        <v>40125.4</v>
      </c>
      <c r="O309" s="200">
        <f t="shared" si="123"/>
        <v>23296</v>
      </c>
      <c r="P309" s="200">
        <f t="shared" si="123"/>
        <v>7004.333333333333</v>
      </c>
      <c r="Q309" s="200">
        <f t="shared" si="123"/>
        <v>44.5</v>
      </c>
      <c r="R309" s="200">
        <f t="shared" si="123"/>
        <v>69421.399999999994</v>
      </c>
    </row>
    <row r="310" spans="1:18" ht="11.25" customHeight="1" x14ac:dyDescent="0.2">
      <c r="A310" s="308" t="s">
        <v>14</v>
      </c>
      <c r="B310" s="200" t="s">
        <v>29</v>
      </c>
      <c r="C310" s="200" t="s">
        <v>29</v>
      </c>
      <c r="D310" s="200">
        <f>AVERAGE(D114:D118)</f>
        <v>1911</v>
      </c>
      <c r="E310" s="200">
        <f t="shared" ref="E310:R310" si="124">AVERAGE(E114:E118)</f>
        <v>3061.5</v>
      </c>
      <c r="F310" s="200">
        <f t="shared" si="124"/>
        <v>2764.25</v>
      </c>
      <c r="G310" s="200">
        <f t="shared" si="124"/>
        <v>1495.75</v>
      </c>
      <c r="H310" s="200">
        <f t="shared" si="124"/>
        <v>213</v>
      </c>
      <c r="I310" s="200">
        <f t="shared" si="124"/>
        <v>7852.5</v>
      </c>
      <c r="J310" s="200"/>
      <c r="K310" s="200" t="s">
        <v>29</v>
      </c>
      <c r="L310" s="200" t="s">
        <v>29</v>
      </c>
      <c r="M310" s="200">
        <f t="shared" si="124"/>
        <v>6781</v>
      </c>
      <c r="N310" s="200">
        <f t="shared" si="124"/>
        <v>24170.25</v>
      </c>
      <c r="O310" s="200">
        <f t="shared" si="124"/>
        <v>19803</v>
      </c>
      <c r="P310" s="200">
        <f t="shared" si="124"/>
        <v>8577.5</v>
      </c>
      <c r="Q310" s="200">
        <f t="shared" si="124"/>
        <v>322</v>
      </c>
      <c r="R310" s="200">
        <f t="shared" si="124"/>
        <v>54326.5</v>
      </c>
    </row>
    <row r="311" spans="1:18" ht="11.25" customHeight="1" x14ac:dyDescent="0.2">
      <c r="A311" s="308" t="s">
        <v>207</v>
      </c>
      <c r="B311" s="200" t="s">
        <v>29</v>
      </c>
      <c r="C311" s="200" t="s">
        <v>29</v>
      </c>
      <c r="D311" s="200" t="s">
        <v>29</v>
      </c>
      <c r="E311" s="200">
        <f t="shared" ref="E311:R311" si="125">AVERAGE(E119:E123)</f>
        <v>1907.75</v>
      </c>
      <c r="F311" s="200">
        <f t="shared" si="125"/>
        <v>1666.8</v>
      </c>
      <c r="G311" s="200">
        <f t="shared" si="125"/>
        <v>584.66666666666663</v>
      </c>
      <c r="H311" s="200" t="s">
        <v>29</v>
      </c>
      <c r="I311" s="200">
        <f t="shared" si="125"/>
        <v>3543.8</v>
      </c>
      <c r="J311" s="200"/>
      <c r="K311" s="200" t="s">
        <v>29</v>
      </c>
      <c r="L311" s="200" t="s">
        <v>29</v>
      </c>
      <c r="M311" s="200" t="s">
        <v>29</v>
      </c>
      <c r="N311" s="200">
        <f t="shared" si="125"/>
        <v>8643.75</v>
      </c>
      <c r="O311" s="200">
        <f t="shared" si="125"/>
        <v>9154.6</v>
      </c>
      <c r="P311" s="200">
        <f t="shared" si="125"/>
        <v>1240.75</v>
      </c>
      <c r="Q311" s="200" t="s">
        <v>29</v>
      </c>
      <c r="R311" s="200">
        <f t="shared" si="125"/>
        <v>17062.2</v>
      </c>
    </row>
    <row r="312" spans="1:18" ht="11.25" customHeight="1" x14ac:dyDescent="0.2">
      <c r="A312" s="308" t="s">
        <v>238</v>
      </c>
      <c r="B312" s="200" t="str">
        <f>+B124</f>
        <v>-</v>
      </c>
      <c r="C312" s="200">
        <f>AVERAGE(C124:C180)</f>
        <v>1020.485</v>
      </c>
      <c r="D312" s="200">
        <f>AVERAGE(D124:D180)</f>
        <v>3021.2505714285717</v>
      </c>
      <c r="E312" s="200">
        <f>AVERAGE(E124:E180)</f>
        <v>3787.5907547169818</v>
      </c>
      <c r="F312" s="200">
        <f>AVERAGE(F124:F180)</f>
        <v>4880.5875925925911</v>
      </c>
      <c r="G312" s="200">
        <f>AVERAGE(G124:G180)</f>
        <v>868.73880952380966</v>
      </c>
      <c r="H312" s="200" t="str">
        <f>+H124</f>
        <v>-</v>
      </c>
      <c r="I312" s="200">
        <f>AVERAGE(I124:I180)</f>
        <v>11521.215370370368</v>
      </c>
      <c r="K312" s="200" t="str">
        <f>+K124</f>
        <v>-</v>
      </c>
      <c r="L312" s="200">
        <f>AVERAGE(L124:L180)</f>
        <v>4792.7142857142853</v>
      </c>
      <c r="M312" s="200">
        <f>AVERAGE(M124:M180)</f>
        <v>8110.5070588235294</v>
      </c>
      <c r="N312" s="200">
        <f>AVERAGE(N124:N180)</f>
        <v>20951.083584905664</v>
      </c>
      <c r="O312" s="200">
        <f>AVERAGE(O124:O180)</f>
        <v>21504.942037037035</v>
      </c>
      <c r="P312" s="200">
        <f>AVERAGE(P124:P180)</f>
        <v>7129.3781395348824</v>
      </c>
      <c r="Q312" s="200" t="str">
        <f>+Q124</f>
        <v>-</v>
      </c>
      <c r="R312" s="200">
        <f>AVERAGE(R124:R180)</f>
        <v>53671.03333333334</v>
      </c>
    </row>
    <row r="313" spans="1:18" ht="11.25" customHeight="1" x14ac:dyDescent="0.2">
      <c r="A313" s="308">
        <v>2006</v>
      </c>
      <c r="B313" s="200" t="str">
        <f t="shared" ref="B313:I313" si="126">+B129</f>
        <v>-</v>
      </c>
      <c r="C313" s="200" t="str">
        <f t="shared" si="126"/>
        <v>-</v>
      </c>
      <c r="D313" s="200" t="str">
        <f t="shared" si="126"/>
        <v>-</v>
      </c>
      <c r="E313" s="200">
        <f t="shared" si="126"/>
        <v>2292.56</v>
      </c>
      <c r="F313" s="200">
        <f t="shared" si="126"/>
        <v>3124.55</v>
      </c>
      <c r="G313" s="200">
        <f t="shared" si="126"/>
        <v>397.96</v>
      </c>
      <c r="H313" s="200" t="str">
        <f t="shared" si="126"/>
        <v>-</v>
      </c>
      <c r="I313" s="200">
        <f t="shared" si="126"/>
        <v>5815.0700000000006</v>
      </c>
      <c r="K313" s="200" t="str">
        <f t="shared" ref="K313:R313" si="127">+K129</f>
        <v>-</v>
      </c>
      <c r="L313" s="200" t="str">
        <f t="shared" si="127"/>
        <v>-</v>
      </c>
      <c r="M313" s="200" t="str">
        <f t="shared" si="127"/>
        <v>-</v>
      </c>
      <c r="N313" s="200">
        <f t="shared" si="127"/>
        <v>2007.73</v>
      </c>
      <c r="O313" s="200">
        <f t="shared" si="127"/>
        <v>5675.45</v>
      </c>
      <c r="P313" s="200">
        <f t="shared" si="127"/>
        <v>1095.8499999999999</v>
      </c>
      <c r="Q313" s="200" t="str">
        <f t="shared" si="127"/>
        <v>-</v>
      </c>
      <c r="R313" s="200">
        <f t="shared" si="127"/>
        <v>8779.0300000000007</v>
      </c>
    </row>
    <row r="314" spans="1:18" s="359" customFormat="1" ht="11.25" customHeight="1" x14ac:dyDescent="0.2">
      <c r="A314" s="308">
        <v>2007</v>
      </c>
      <c r="B314" s="203" t="str">
        <f t="shared" ref="B314:I314" si="128">+B130</f>
        <v>-</v>
      </c>
      <c r="C314" s="203" t="str">
        <f t="shared" si="128"/>
        <v>-</v>
      </c>
      <c r="D314" s="203" t="str">
        <f t="shared" si="128"/>
        <v>-</v>
      </c>
      <c r="E314" s="203">
        <f t="shared" si="128"/>
        <v>2493.66</v>
      </c>
      <c r="F314" s="203">
        <f t="shared" si="128"/>
        <v>2544.8000000000002</v>
      </c>
      <c r="G314" s="203">
        <f t="shared" si="128"/>
        <v>208.26</v>
      </c>
      <c r="H314" s="203" t="str">
        <f t="shared" si="128"/>
        <v>-</v>
      </c>
      <c r="I314" s="203">
        <f t="shared" si="128"/>
        <v>5246.72</v>
      </c>
      <c r="J314" s="197"/>
      <c r="K314" s="203" t="str">
        <f t="shared" ref="K314:R314" si="129">+K130</f>
        <v>-</v>
      </c>
      <c r="L314" s="203" t="str">
        <f t="shared" si="129"/>
        <v>-</v>
      </c>
      <c r="M314" s="203" t="str">
        <f t="shared" si="129"/>
        <v>-</v>
      </c>
      <c r="N314" s="203">
        <f t="shared" si="129"/>
        <v>7288.86</v>
      </c>
      <c r="O314" s="203">
        <f t="shared" si="129"/>
        <v>14054.53</v>
      </c>
      <c r="P314" s="203">
        <f t="shared" si="129"/>
        <v>1648.27</v>
      </c>
      <c r="Q314" s="203" t="str">
        <f t="shared" si="129"/>
        <v>-</v>
      </c>
      <c r="R314" s="203">
        <f t="shared" si="129"/>
        <v>22991.66</v>
      </c>
    </row>
    <row r="315" spans="1:18" s="359" customFormat="1" ht="11.25" customHeight="1" x14ac:dyDescent="0.2">
      <c r="A315" s="308">
        <v>2008</v>
      </c>
      <c r="B315" s="203" t="str">
        <f t="shared" ref="B315:I315" si="130">+B131</f>
        <v>-</v>
      </c>
      <c r="C315" s="203" t="str">
        <f t="shared" si="130"/>
        <v>-</v>
      </c>
      <c r="D315" s="203">
        <f t="shared" si="130"/>
        <v>2145.04</v>
      </c>
      <c r="E315" s="203">
        <f t="shared" si="130"/>
        <v>4459</v>
      </c>
      <c r="F315" s="203">
        <f t="shared" si="130"/>
        <v>2735.14</v>
      </c>
      <c r="G315" s="203">
        <f t="shared" si="130"/>
        <v>304.99</v>
      </c>
      <c r="H315" s="203" t="str">
        <f t="shared" si="130"/>
        <v>-</v>
      </c>
      <c r="I315" s="203">
        <f t="shared" si="130"/>
        <v>9644.17</v>
      </c>
      <c r="J315" s="197"/>
      <c r="K315" s="203" t="str">
        <f t="shared" ref="K315:R315" si="131">+K131</f>
        <v>-</v>
      </c>
      <c r="L315" s="203" t="str">
        <f t="shared" si="131"/>
        <v>-</v>
      </c>
      <c r="M315" s="203">
        <f t="shared" si="131"/>
        <v>30.03</v>
      </c>
      <c r="N315" s="203">
        <f t="shared" si="131"/>
        <v>2550.4</v>
      </c>
      <c r="O315" s="203">
        <f t="shared" si="131"/>
        <v>3383.09</v>
      </c>
      <c r="P315" s="203">
        <f t="shared" si="131"/>
        <v>1564.09</v>
      </c>
      <c r="Q315" s="203" t="str">
        <f t="shared" si="131"/>
        <v>-</v>
      </c>
      <c r="R315" s="203">
        <f t="shared" si="131"/>
        <v>7527.6100000000006</v>
      </c>
    </row>
    <row r="316" spans="1:18" s="359" customFormat="1" ht="11.25" customHeight="1" x14ac:dyDescent="0.2">
      <c r="A316" s="308">
        <v>2009</v>
      </c>
      <c r="B316" s="203" t="str">
        <f t="shared" ref="B316:I316" si="132">+B132</f>
        <v>-</v>
      </c>
      <c r="C316" s="203" t="str">
        <f t="shared" si="132"/>
        <v>-</v>
      </c>
      <c r="D316" s="203">
        <f t="shared" si="132"/>
        <v>123.86</v>
      </c>
      <c r="E316" s="203">
        <f t="shared" si="132"/>
        <v>2080.0700000000002</v>
      </c>
      <c r="F316" s="203">
        <f t="shared" si="132"/>
        <v>2594.14</v>
      </c>
      <c r="G316" s="203">
        <f t="shared" si="132"/>
        <v>224.79</v>
      </c>
      <c r="H316" s="203" t="str">
        <f t="shared" si="132"/>
        <v>-</v>
      </c>
      <c r="I316" s="203">
        <f t="shared" si="132"/>
        <v>5022.8599999999997</v>
      </c>
      <c r="J316" s="197"/>
      <c r="K316" s="203" t="str">
        <f t="shared" ref="K316:R316" si="133">+K132</f>
        <v>-</v>
      </c>
      <c r="L316" s="203" t="str">
        <f t="shared" si="133"/>
        <v>-</v>
      </c>
      <c r="M316" s="203">
        <f t="shared" si="133"/>
        <v>539.4</v>
      </c>
      <c r="N316" s="203">
        <f t="shared" si="133"/>
        <v>10744.81</v>
      </c>
      <c r="O316" s="203">
        <f t="shared" si="133"/>
        <v>33181.379999999997</v>
      </c>
      <c r="P316" s="203">
        <f t="shared" si="133"/>
        <v>9402.7199999999993</v>
      </c>
      <c r="Q316" s="203" t="str">
        <f t="shared" si="133"/>
        <v>-</v>
      </c>
      <c r="R316" s="203">
        <f t="shared" si="133"/>
        <v>53868.31</v>
      </c>
    </row>
    <row r="317" spans="1:18" s="359" customFormat="1" ht="11.25" customHeight="1" x14ac:dyDescent="0.2">
      <c r="A317" s="308">
        <v>2010</v>
      </c>
      <c r="B317" s="203" t="str">
        <f t="shared" ref="B317:I317" si="134">+B133</f>
        <v>-</v>
      </c>
      <c r="C317" s="203" t="str">
        <f t="shared" si="134"/>
        <v>-</v>
      </c>
      <c r="D317" s="203">
        <f t="shared" si="134"/>
        <v>4711.22</v>
      </c>
      <c r="E317" s="203">
        <f t="shared" si="134"/>
        <v>9947.59</v>
      </c>
      <c r="F317" s="203">
        <f t="shared" si="134"/>
        <v>10586.34</v>
      </c>
      <c r="G317" s="203">
        <f t="shared" si="134"/>
        <v>1744.27</v>
      </c>
      <c r="H317" s="203" t="str">
        <f t="shared" si="134"/>
        <v>-</v>
      </c>
      <c r="I317" s="203">
        <f t="shared" si="134"/>
        <v>26989.420000000002</v>
      </c>
      <c r="J317" s="197"/>
      <c r="K317" s="203" t="str">
        <f t="shared" ref="K317:R317" si="135">+K133</f>
        <v>-</v>
      </c>
      <c r="L317" s="203" t="str">
        <f t="shared" si="135"/>
        <v>-</v>
      </c>
      <c r="M317" s="203">
        <f t="shared" si="135"/>
        <v>45</v>
      </c>
      <c r="N317" s="203">
        <f t="shared" si="135"/>
        <v>3680.31</v>
      </c>
      <c r="O317" s="203">
        <f t="shared" si="135"/>
        <v>3956.76</v>
      </c>
      <c r="P317" s="203">
        <f t="shared" si="135"/>
        <v>4924.6099999999997</v>
      </c>
      <c r="Q317" s="203" t="str">
        <f t="shared" si="135"/>
        <v>-</v>
      </c>
      <c r="R317" s="203">
        <f t="shared" si="135"/>
        <v>12606.68</v>
      </c>
    </row>
    <row r="318" spans="1:18" s="359" customFormat="1" ht="11.25" customHeight="1" x14ac:dyDescent="0.2">
      <c r="A318" s="308">
        <v>2011</v>
      </c>
      <c r="B318" s="203" t="str">
        <f t="shared" ref="B318:I318" si="136">+B134</f>
        <v>-</v>
      </c>
      <c r="C318" s="203" t="str">
        <f t="shared" si="136"/>
        <v>-</v>
      </c>
      <c r="D318" s="203">
        <f t="shared" si="136"/>
        <v>2219.71</v>
      </c>
      <c r="E318" s="203">
        <f t="shared" si="136"/>
        <v>5579.44</v>
      </c>
      <c r="F318" s="203">
        <f t="shared" si="136"/>
        <v>10834.53</v>
      </c>
      <c r="G318" s="203">
        <f t="shared" si="136"/>
        <v>455.48</v>
      </c>
      <c r="H318" s="203" t="str">
        <f t="shared" si="136"/>
        <v>-</v>
      </c>
      <c r="I318" s="203">
        <f t="shared" si="136"/>
        <v>19089.16</v>
      </c>
      <c r="J318" s="197"/>
      <c r="K318" s="203" t="str">
        <f t="shared" ref="K318:R318" si="137">+K134</f>
        <v>-</v>
      </c>
      <c r="L318" s="203" t="str">
        <f t="shared" si="137"/>
        <v>-</v>
      </c>
      <c r="M318" s="203">
        <f t="shared" si="137"/>
        <v>229.23</v>
      </c>
      <c r="N318" s="203">
        <f t="shared" si="137"/>
        <v>4498.6400000000003</v>
      </c>
      <c r="O318" s="203">
        <f t="shared" si="137"/>
        <v>6722.7</v>
      </c>
      <c r="P318" s="203">
        <f t="shared" si="137"/>
        <v>2392.35</v>
      </c>
      <c r="Q318" s="203" t="str">
        <f t="shared" si="137"/>
        <v>-</v>
      </c>
      <c r="R318" s="203">
        <f t="shared" si="137"/>
        <v>13842.92</v>
      </c>
    </row>
    <row r="319" spans="1:18" s="359" customFormat="1" ht="11.25" customHeight="1" x14ac:dyDescent="0.2">
      <c r="A319" s="308">
        <v>2012</v>
      </c>
      <c r="B319" s="203" t="str">
        <f t="shared" ref="B319:I319" si="138">+B135</f>
        <v>-</v>
      </c>
      <c r="C319" s="203" t="str">
        <f t="shared" si="138"/>
        <v>-</v>
      </c>
      <c r="D319" s="203">
        <f t="shared" si="138"/>
        <v>7574.4500000000007</v>
      </c>
      <c r="E319" s="203">
        <f t="shared" si="138"/>
        <v>4032.59</v>
      </c>
      <c r="F319" s="203">
        <f t="shared" si="138"/>
        <v>6708.65</v>
      </c>
      <c r="G319" s="203">
        <f t="shared" si="138"/>
        <v>1170.43</v>
      </c>
      <c r="H319" s="203" t="str">
        <f t="shared" si="138"/>
        <v>-</v>
      </c>
      <c r="I319" s="203">
        <f t="shared" si="138"/>
        <v>19486.120000000003</v>
      </c>
      <c r="J319" s="197"/>
      <c r="K319" s="203" t="str">
        <f t="shared" ref="K319:R319" si="139">+K135</f>
        <v>-</v>
      </c>
      <c r="L319" s="203" t="str">
        <f t="shared" si="139"/>
        <v>-</v>
      </c>
      <c r="M319" s="203">
        <f t="shared" si="139"/>
        <v>183.9</v>
      </c>
      <c r="N319" s="203">
        <f t="shared" si="139"/>
        <v>3124.09</v>
      </c>
      <c r="O319" s="203">
        <f t="shared" si="139"/>
        <v>3374.55</v>
      </c>
      <c r="P319" s="203">
        <f t="shared" si="139"/>
        <v>5241.05</v>
      </c>
      <c r="Q319" s="203" t="str">
        <f t="shared" si="139"/>
        <v>-</v>
      </c>
      <c r="R319" s="203">
        <f t="shared" si="139"/>
        <v>11923.59</v>
      </c>
    </row>
    <row r="320" spans="1:18" s="359" customFormat="1" ht="11.25" customHeight="1" x14ac:dyDescent="0.2">
      <c r="A320" s="308">
        <v>2013</v>
      </c>
      <c r="B320" s="203" t="str">
        <f t="shared" ref="B320:I320" si="140">+B136</f>
        <v>-</v>
      </c>
      <c r="C320" s="203" t="str">
        <f t="shared" si="140"/>
        <v>-</v>
      </c>
      <c r="D320" s="203">
        <f t="shared" si="140"/>
        <v>2191.87</v>
      </c>
      <c r="E320" s="203">
        <f t="shared" si="140"/>
        <v>3402.53</v>
      </c>
      <c r="F320" s="203">
        <f t="shared" si="140"/>
        <v>7021.17</v>
      </c>
      <c r="G320" s="203">
        <f t="shared" si="140"/>
        <v>1073.68</v>
      </c>
      <c r="H320" s="203" t="str">
        <f t="shared" si="140"/>
        <v>-</v>
      </c>
      <c r="I320" s="203">
        <f t="shared" si="140"/>
        <v>13689.25</v>
      </c>
      <c r="J320" s="197"/>
      <c r="K320" s="203" t="str">
        <f t="shared" ref="K320:R320" si="141">+K136</f>
        <v>-</v>
      </c>
      <c r="L320" s="203" t="str">
        <f t="shared" si="141"/>
        <v>-</v>
      </c>
      <c r="M320" s="203">
        <f t="shared" si="141"/>
        <v>378.96</v>
      </c>
      <c r="N320" s="203">
        <f t="shared" si="141"/>
        <v>3097.35</v>
      </c>
      <c r="O320" s="203">
        <f t="shared" si="141"/>
        <v>12233.16</v>
      </c>
      <c r="P320" s="203">
        <f t="shared" si="141"/>
        <v>4667.62</v>
      </c>
      <c r="Q320" s="203" t="str">
        <f t="shared" si="141"/>
        <v>-</v>
      </c>
      <c r="R320" s="203">
        <f t="shared" si="141"/>
        <v>20377.09</v>
      </c>
    </row>
    <row r="321" spans="1:18" s="359" customFormat="1" ht="11.25" customHeight="1" x14ac:dyDescent="0.2">
      <c r="A321" s="308">
        <v>2014</v>
      </c>
      <c r="B321" s="203" t="str">
        <f t="shared" ref="B321:I321" si="142">+B137</f>
        <v>-</v>
      </c>
      <c r="C321" s="203">
        <f t="shared" si="142"/>
        <v>426.92</v>
      </c>
      <c r="D321" s="203">
        <f t="shared" si="142"/>
        <v>3934.96</v>
      </c>
      <c r="E321" s="203">
        <f t="shared" si="142"/>
        <v>8189.61</v>
      </c>
      <c r="F321" s="203">
        <f t="shared" si="142"/>
        <v>9943.92</v>
      </c>
      <c r="G321" s="203">
        <f t="shared" si="142"/>
        <v>970.23</v>
      </c>
      <c r="H321" s="203" t="str">
        <f t="shared" si="142"/>
        <v>-</v>
      </c>
      <c r="I321" s="203">
        <f t="shared" si="142"/>
        <v>23465.64</v>
      </c>
      <c r="J321" s="197"/>
      <c r="K321" s="203" t="str">
        <f t="shared" ref="K321:R321" si="143">+K137</f>
        <v>-</v>
      </c>
      <c r="L321" s="203" t="str">
        <f t="shared" si="143"/>
        <v>-</v>
      </c>
      <c r="M321" s="203">
        <f t="shared" si="143"/>
        <v>5934.61</v>
      </c>
      <c r="N321" s="203">
        <f t="shared" si="143"/>
        <v>17686.759999999998</v>
      </c>
      <c r="O321" s="203">
        <f t="shared" si="143"/>
        <v>17873.830000000002</v>
      </c>
      <c r="P321" s="203">
        <f t="shared" si="143"/>
        <v>12978.5</v>
      </c>
      <c r="Q321" s="203" t="str">
        <f t="shared" si="143"/>
        <v>-</v>
      </c>
      <c r="R321" s="203">
        <f t="shared" si="143"/>
        <v>54473.7</v>
      </c>
    </row>
    <row r="322" spans="1:18" s="359" customFormat="1" ht="11.25" customHeight="1" x14ac:dyDescent="0.2">
      <c r="A322" s="308">
        <v>2015</v>
      </c>
      <c r="B322" s="203" t="str">
        <f t="shared" ref="B322:I322" si="144">+B138</f>
        <v>-</v>
      </c>
      <c r="C322" s="203">
        <f t="shared" si="144"/>
        <v>430.87</v>
      </c>
      <c r="D322" s="203">
        <f t="shared" si="144"/>
        <v>3345.3399999999997</v>
      </c>
      <c r="E322" s="203">
        <f t="shared" si="144"/>
        <v>8048.46</v>
      </c>
      <c r="F322" s="203">
        <f t="shared" si="144"/>
        <v>4613.24</v>
      </c>
      <c r="G322" s="203">
        <f t="shared" si="144"/>
        <v>2682.03</v>
      </c>
      <c r="H322" s="203" t="str">
        <f t="shared" si="144"/>
        <v>-</v>
      </c>
      <c r="I322" s="203">
        <f t="shared" si="144"/>
        <v>19119.939999999999</v>
      </c>
      <c r="J322" s="197"/>
      <c r="K322" s="203" t="str">
        <f t="shared" ref="K322:R322" si="145">+K138</f>
        <v>-</v>
      </c>
      <c r="L322" s="203" t="str">
        <f t="shared" si="145"/>
        <v>-</v>
      </c>
      <c r="M322" s="203">
        <f t="shared" si="145"/>
        <v>2357.4299999999998</v>
      </c>
      <c r="N322" s="203">
        <f t="shared" si="145"/>
        <v>12753.31</v>
      </c>
      <c r="O322" s="203">
        <f t="shared" si="145"/>
        <v>7357.5</v>
      </c>
      <c r="P322" s="203">
        <f t="shared" si="145"/>
        <v>8215.7199999999993</v>
      </c>
      <c r="Q322" s="203" t="str">
        <f t="shared" si="145"/>
        <v>-</v>
      </c>
      <c r="R322" s="203">
        <f t="shared" si="145"/>
        <v>30683.96</v>
      </c>
    </row>
    <row r="323" spans="1:18" s="359" customFormat="1" ht="11.25" customHeight="1" x14ac:dyDescent="0.2">
      <c r="A323" s="308">
        <v>2016</v>
      </c>
      <c r="B323" s="203" t="str">
        <f t="shared" ref="B323:I323" si="146">+B139</f>
        <v>-</v>
      </c>
      <c r="C323" s="203" t="str">
        <f t="shared" si="146"/>
        <v>-</v>
      </c>
      <c r="D323" s="203" t="str">
        <f t="shared" si="146"/>
        <v>-</v>
      </c>
      <c r="E323" s="203">
        <f t="shared" si="146"/>
        <v>4198.25</v>
      </c>
      <c r="F323" s="203">
        <f t="shared" si="146"/>
        <v>4231.6099999999997</v>
      </c>
      <c r="G323" s="203" t="str">
        <f t="shared" si="146"/>
        <v>-</v>
      </c>
      <c r="H323" s="203" t="str">
        <f t="shared" si="146"/>
        <v>-</v>
      </c>
      <c r="I323" s="203">
        <f t="shared" si="146"/>
        <v>8429.86</v>
      </c>
      <c r="J323" s="197"/>
      <c r="K323" s="203" t="str">
        <f t="shared" ref="K323:R323" si="147">+K139</f>
        <v>-</v>
      </c>
      <c r="L323" s="203" t="str">
        <f t="shared" si="147"/>
        <v>-</v>
      </c>
      <c r="M323" s="203" t="str">
        <f t="shared" si="147"/>
        <v>-</v>
      </c>
      <c r="N323" s="203">
        <f t="shared" si="147"/>
        <v>30.02</v>
      </c>
      <c r="O323" s="203">
        <f t="shared" si="147"/>
        <v>12.77</v>
      </c>
      <c r="P323" s="203" t="str">
        <f t="shared" si="147"/>
        <v>-</v>
      </c>
      <c r="Q323" s="203" t="str">
        <f t="shared" si="147"/>
        <v>-</v>
      </c>
      <c r="R323" s="203">
        <f t="shared" si="147"/>
        <v>42.79</v>
      </c>
    </row>
    <row r="324" spans="1:18" s="359" customFormat="1" ht="11.25" customHeight="1" x14ac:dyDescent="0.2">
      <c r="A324" s="348">
        <v>2017</v>
      </c>
      <c r="B324" s="203" t="str">
        <f t="shared" ref="B324:I324" si="148">+B140</f>
        <v>-</v>
      </c>
      <c r="C324" s="203" t="str">
        <f t="shared" si="148"/>
        <v>-</v>
      </c>
      <c r="D324" s="203" t="str">
        <f t="shared" si="148"/>
        <v>-</v>
      </c>
      <c r="E324" s="203">
        <f t="shared" si="148"/>
        <v>4247.09</v>
      </c>
      <c r="F324" s="203">
        <f t="shared" si="148"/>
        <v>2357.5</v>
      </c>
      <c r="G324" s="203" t="str">
        <f t="shared" si="148"/>
        <v>-</v>
      </c>
      <c r="H324" s="203" t="str">
        <f t="shared" si="148"/>
        <v>-</v>
      </c>
      <c r="I324" s="203">
        <f t="shared" si="148"/>
        <v>6604.59</v>
      </c>
      <c r="J324" s="197"/>
      <c r="K324" s="203" t="str">
        <f t="shared" ref="K324:R324" si="149">+K140</f>
        <v>-</v>
      </c>
      <c r="L324" s="203" t="str">
        <f t="shared" si="149"/>
        <v>-</v>
      </c>
      <c r="M324" s="203" t="str">
        <f t="shared" si="149"/>
        <v>-</v>
      </c>
      <c r="N324" s="203">
        <f t="shared" si="149"/>
        <v>6664.33</v>
      </c>
      <c r="O324" s="203">
        <f t="shared" si="149"/>
        <v>9085.5400000000009</v>
      </c>
      <c r="P324" s="203" t="str">
        <f t="shared" si="149"/>
        <v>-</v>
      </c>
      <c r="Q324" s="203" t="str">
        <f t="shared" si="149"/>
        <v>-</v>
      </c>
      <c r="R324" s="203">
        <f t="shared" si="149"/>
        <v>15749.87</v>
      </c>
    </row>
    <row r="325" spans="1:18" s="359" customFormat="1" ht="11.25" customHeight="1" x14ac:dyDescent="0.2">
      <c r="A325" s="348">
        <v>2018</v>
      </c>
      <c r="B325" s="203" t="str">
        <f t="shared" ref="B325:I325" si="150">+B141</f>
        <v>-</v>
      </c>
      <c r="C325" s="203" t="str">
        <f t="shared" si="150"/>
        <v>-</v>
      </c>
      <c r="D325" s="203" t="str">
        <f t="shared" si="150"/>
        <v>-</v>
      </c>
      <c r="E325" s="203">
        <f t="shared" si="150"/>
        <v>2537.14</v>
      </c>
      <c r="F325" s="203">
        <f t="shared" si="150"/>
        <v>2307.21</v>
      </c>
      <c r="G325" s="203">
        <f t="shared" si="150"/>
        <v>32.450000000000003</v>
      </c>
      <c r="H325" s="203" t="str">
        <f t="shared" si="150"/>
        <v>-</v>
      </c>
      <c r="I325" s="203">
        <f t="shared" si="150"/>
        <v>4876.8</v>
      </c>
      <c r="J325" s="197"/>
      <c r="K325" s="203" t="str">
        <f t="shared" ref="K325:R325" si="151">+K141</f>
        <v>-</v>
      </c>
      <c r="L325" s="203" t="str">
        <f t="shared" si="151"/>
        <v>-</v>
      </c>
      <c r="M325" s="203" t="str">
        <f t="shared" si="151"/>
        <v>-</v>
      </c>
      <c r="N325" s="203">
        <f t="shared" si="151"/>
        <v>1638.1399999999999</v>
      </c>
      <c r="O325" s="203">
        <f t="shared" si="151"/>
        <v>13495.68</v>
      </c>
      <c r="P325" s="203">
        <f t="shared" si="151"/>
        <v>235.91</v>
      </c>
      <c r="Q325" s="203" t="str">
        <f t="shared" si="151"/>
        <v>-</v>
      </c>
      <c r="R325" s="203">
        <f t="shared" si="151"/>
        <v>15369.73</v>
      </c>
    </row>
    <row r="326" spans="1:18" s="487" customFormat="1" ht="11.25" customHeight="1" x14ac:dyDescent="0.2">
      <c r="A326" s="491">
        <v>2019</v>
      </c>
      <c r="B326" s="203" t="str">
        <f t="shared" ref="B326:I327" si="152">+B142</f>
        <v>-</v>
      </c>
      <c r="C326" s="203" t="str">
        <f t="shared" si="152"/>
        <v>-</v>
      </c>
      <c r="D326" s="203">
        <f t="shared" si="152"/>
        <v>125.65</v>
      </c>
      <c r="E326" s="203">
        <f t="shared" si="152"/>
        <v>1163.45</v>
      </c>
      <c r="F326" s="203">
        <f t="shared" si="152"/>
        <v>958.62</v>
      </c>
      <c r="G326" s="203">
        <f t="shared" si="152"/>
        <v>120.58</v>
      </c>
      <c r="H326" s="203" t="str">
        <f t="shared" si="152"/>
        <v>-</v>
      </c>
      <c r="I326" s="203">
        <f t="shared" si="152"/>
        <v>2368.3000000000002</v>
      </c>
      <c r="J326" s="197"/>
      <c r="K326" s="203" t="str">
        <f t="shared" ref="K326:R327" si="153">+K142</f>
        <v>-</v>
      </c>
      <c r="L326" s="203" t="str">
        <f t="shared" si="153"/>
        <v>-</v>
      </c>
      <c r="M326" s="203">
        <f t="shared" si="153"/>
        <v>340.96</v>
      </c>
      <c r="N326" s="203">
        <f t="shared" si="153"/>
        <v>7878.28</v>
      </c>
      <c r="O326" s="203">
        <f t="shared" si="153"/>
        <v>10930.16</v>
      </c>
      <c r="P326" s="203">
        <f t="shared" si="153"/>
        <v>1077.44</v>
      </c>
      <c r="Q326" s="203" t="str">
        <f t="shared" si="153"/>
        <v>-</v>
      </c>
      <c r="R326" s="203">
        <f t="shared" si="153"/>
        <v>20226.84</v>
      </c>
    </row>
    <row r="327" spans="1:18" ht="11.25" customHeight="1" x14ac:dyDescent="0.2">
      <c r="A327" s="491" t="s">
        <v>391</v>
      </c>
      <c r="B327" s="200" t="str">
        <f t="shared" si="152"/>
        <v>-</v>
      </c>
      <c r="C327" s="200" t="str">
        <f t="shared" si="152"/>
        <v>-</v>
      </c>
      <c r="D327" s="200">
        <f t="shared" si="152"/>
        <v>51.49</v>
      </c>
      <c r="E327" s="200">
        <f t="shared" si="152"/>
        <v>2749.51</v>
      </c>
      <c r="F327" s="200">
        <f t="shared" si="152"/>
        <v>1538.12</v>
      </c>
      <c r="G327" s="200">
        <f t="shared" si="152"/>
        <v>478.51</v>
      </c>
      <c r="H327" s="200" t="str">
        <f t="shared" si="152"/>
        <v>-</v>
      </c>
      <c r="I327" s="200">
        <f t="shared" si="152"/>
        <v>4817.63</v>
      </c>
      <c r="K327" s="200" t="str">
        <f t="shared" si="153"/>
        <v>-</v>
      </c>
      <c r="L327" s="200" t="str">
        <f t="shared" si="153"/>
        <v>-</v>
      </c>
      <c r="M327" s="200" t="str">
        <f t="shared" si="153"/>
        <v>-</v>
      </c>
      <c r="N327" s="200">
        <f t="shared" si="153"/>
        <v>2483.8200000000002</v>
      </c>
      <c r="O327" s="200">
        <f t="shared" si="153"/>
        <v>3104.51</v>
      </c>
      <c r="P327" s="200">
        <f t="shared" si="153"/>
        <v>2304.38</v>
      </c>
      <c r="Q327" s="200" t="str">
        <f t="shared" si="153"/>
        <v>-</v>
      </c>
      <c r="R327" s="200">
        <f t="shared" si="153"/>
        <v>7892.71</v>
      </c>
    </row>
    <row r="328" spans="1:18" ht="10.15" customHeight="1" x14ac:dyDescent="0.2"/>
    <row r="329" spans="1:18" x14ac:dyDescent="0.2">
      <c r="A329" s="116" t="s">
        <v>286</v>
      </c>
    </row>
    <row r="330" spans="1:18" x14ac:dyDescent="0.2">
      <c r="A330" s="308" t="s">
        <v>30</v>
      </c>
      <c r="B330" s="200" t="s">
        <v>29</v>
      </c>
      <c r="C330" s="200">
        <f t="shared" ref="C330:I330" si="154">AVERAGE(C151:C155)</f>
        <v>214</v>
      </c>
      <c r="D330" s="200">
        <f t="shared" si="154"/>
        <v>3363.5</v>
      </c>
      <c r="E330" s="200">
        <f t="shared" si="154"/>
        <v>4545.3999999999996</v>
      </c>
      <c r="F330" s="200">
        <f t="shared" si="154"/>
        <v>4504.6000000000004</v>
      </c>
      <c r="G330" s="200">
        <f t="shared" si="154"/>
        <v>278.5</v>
      </c>
      <c r="H330" s="200">
        <f t="shared" si="154"/>
        <v>40</v>
      </c>
      <c r="I330" s="200">
        <f t="shared" si="154"/>
        <v>12031.4</v>
      </c>
      <c r="K330" s="200" t="s">
        <v>29</v>
      </c>
      <c r="L330" s="200">
        <f t="shared" ref="L330:R330" si="155">AVERAGE(L151:L155)</f>
        <v>5410</v>
      </c>
      <c r="M330" s="200">
        <f t="shared" si="155"/>
        <v>10296</v>
      </c>
      <c r="N330" s="200">
        <f t="shared" si="155"/>
        <v>36373.4</v>
      </c>
      <c r="O330" s="200">
        <f t="shared" si="155"/>
        <v>26436.6</v>
      </c>
      <c r="P330" s="200">
        <f t="shared" si="155"/>
        <v>5982</v>
      </c>
      <c r="Q330" s="200">
        <f t="shared" si="155"/>
        <v>825</v>
      </c>
      <c r="R330" s="200">
        <f t="shared" si="155"/>
        <v>75883</v>
      </c>
    </row>
    <row r="331" spans="1:18" x14ac:dyDescent="0.2">
      <c r="A331" s="308" t="s">
        <v>87</v>
      </c>
      <c r="B331" s="200" t="s">
        <v>29</v>
      </c>
      <c r="C331" s="200">
        <f t="shared" ref="C331:I331" si="156">AVERAGE(C156:C160)</f>
        <v>111</v>
      </c>
      <c r="D331" s="200">
        <f t="shared" si="156"/>
        <v>233</v>
      </c>
      <c r="E331" s="200">
        <f t="shared" si="156"/>
        <v>1793.4</v>
      </c>
      <c r="F331" s="200">
        <f t="shared" si="156"/>
        <v>3301.6</v>
      </c>
      <c r="G331" s="200">
        <f t="shared" si="156"/>
        <v>76</v>
      </c>
      <c r="H331" s="200" t="s">
        <v>29</v>
      </c>
      <c r="I331" s="200">
        <f t="shared" si="156"/>
        <v>5334</v>
      </c>
      <c r="K331" s="200" t="s">
        <v>29</v>
      </c>
      <c r="L331" s="200" t="s">
        <v>29</v>
      </c>
      <c r="M331" s="200">
        <f t="shared" ref="M331:R331" si="157">AVERAGE(M156:M160)</f>
        <v>2637.75</v>
      </c>
      <c r="N331" s="200">
        <f t="shared" si="157"/>
        <v>32864.400000000001</v>
      </c>
      <c r="O331" s="200">
        <f t="shared" si="157"/>
        <v>27047.8</v>
      </c>
      <c r="P331" s="200">
        <f t="shared" si="157"/>
        <v>2113.5</v>
      </c>
      <c r="Q331" s="200" t="s">
        <v>29</v>
      </c>
      <c r="R331" s="200">
        <f t="shared" si="157"/>
        <v>62867.8</v>
      </c>
    </row>
    <row r="332" spans="1:18" x14ac:dyDescent="0.2">
      <c r="A332" s="308" t="s">
        <v>14</v>
      </c>
      <c r="B332" s="200" t="s">
        <v>29</v>
      </c>
      <c r="C332" s="200" t="s">
        <v>29</v>
      </c>
      <c r="D332" s="200">
        <f>AVERAGE(D161:D165)</f>
        <v>85.5</v>
      </c>
      <c r="E332" s="200">
        <f t="shared" ref="E332:R332" si="158">AVERAGE(E161:E165)</f>
        <v>703.75</v>
      </c>
      <c r="F332" s="200">
        <f t="shared" si="158"/>
        <v>736</v>
      </c>
      <c r="G332" s="200">
        <f t="shared" si="158"/>
        <v>194</v>
      </c>
      <c r="H332" s="200" t="s">
        <v>29</v>
      </c>
      <c r="I332" s="200">
        <f t="shared" si="158"/>
        <v>1676.5</v>
      </c>
      <c r="J332" s="200"/>
      <c r="K332" s="200" t="s">
        <v>29</v>
      </c>
      <c r="L332" s="200" t="s">
        <v>29</v>
      </c>
      <c r="M332" s="200">
        <f t="shared" si="158"/>
        <v>2733</v>
      </c>
      <c r="N332" s="200">
        <f t="shared" si="158"/>
        <v>25599.75</v>
      </c>
      <c r="O332" s="200">
        <f t="shared" si="158"/>
        <v>14458.5</v>
      </c>
      <c r="P332" s="200">
        <f t="shared" si="158"/>
        <v>6795.5</v>
      </c>
      <c r="Q332" s="200" t="s">
        <v>29</v>
      </c>
      <c r="R332" s="200">
        <f t="shared" si="158"/>
        <v>48220.25</v>
      </c>
    </row>
    <row r="333" spans="1:18" x14ac:dyDescent="0.2">
      <c r="A333" s="308" t="s">
        <v>207</v>
      </c>
      <c r="B333" s="200" t="s">
        <v>29</v>
      </c>
      <c r="C333" s="200" t="s">
        <v>29</v>
      </c>
      <c r="D333" s="200" t="s">
        <v>29</v>
      </c>
      <c r="E333" s="200">
        <f t="shared" ref="E333:R333" si="159">AVERAGE(E166:E170)</f>
        <v>356.25</v>
      </c>
      <c r="F333" s="200">
        <f t="shared" si="159"/>
        <v>560.79999999999995</v>
      </c>
      <c r="G333" s="200">
        <f t="shared" si="159"/>
        <v>129.33333333333334</v>
      </c>
      <c r="H333" s="200" t="s">
        <v>29</v>
      </c>
      <c r="I333" s="200">
        <f t="shared" si="159"/>
        <v>923.4</v>
      </c>
      <c r="J333" s="200"/>
      <c r="K333" s="200" t="s">
        <v>29</v>
      </c>
      <c r="L333" s="200" t="s">
        <v>29</v>
      </c>
      <c r="M333" s="200" t="s">
        <v>29</v>
      </c>
      <c r="N333" s="200">
        <f t="shared" si="159"/>
        <v>7157</v>
      </c>
      <c r="O333" s="200">
        <f t="shared" si="159"/>
        <v>8379.7999999999993</v>
      </c>
      <c r="P333" s="200">
        <f t="shared" si="159"/>
        <v>2707.3333333333335</v>
      </c>
      <c r="Q333" s="200" t="s">
        <v>29</v>
      </c>
      <c r="R333" s="200">
        <f t="shared" si="159"/>
        <v>15729.8</v>
      </c>
    </row>
    <row r="334" spans="1:18" x14ac:dyDescent="0.2">
      <c r="A334" s="308" t="s">
        <v>238</v>
      </c>
      <c r="B334" s="200" t="str">
        <f>+B171</f>
        <v>-</v>
      </c>
      <c r="C334" s="200">
        <f>AVERAGE(C171:C175)</f>
        <v>53</v>
      </c>
      <c r="D334" s="200">
        <f>AVERAGE(D171:D175)</f>
        <v>664.33333333333337</v>
      </c>
      <c r="E334" s="200">
        <f>AVERAGE(E171:E175)</f>
        <v>1814</v>
      </c>
      <c r="F334" s="200">
        <f>AVERAGE(F171:F175)</f>
        <v>3894.6</v>
      </c>
      <c r="G334" s="200">
        <f>AVERAGE(G171:G175)</f>
        <v>826.4</v>
      </c>
      <c r="H334" s="200" t="str">
        <f>+H171</f>
        <v>-</v>
      </c>
      <c r="I334" s="200">
        <f>AVERAGE(I171:I175)</f>
        <v>6944.2</v>
      </c>
      <c r="K334" s="200" t="str">
        <f t="shared" ref="K334:Q334" si="160">+K171</f>
        <v>-</v>
      </c>
      <c r="L334" s="200" t="str">
        <f t="shared" si="160"/>
        <v>-</v>
      </c>
      <c r="M334" s="200">
        <f>AVERAGE(M171:M175)</f>
        <v>521.66666666666663</v>
      </c>
      <c r="N334" s="200">
        <f>AVERAGE(N171:N175)</f>
        <v>18204.599999999999</v>
      </c>
      <c r="O334" s="200">
        <f>AVERAGE(O171:O175)</f>
        <v>29243.8</v>
      </c>
      <c r="P334" s="200">
        <f>AVERAGE(P171:P175)</f>
        <v>8022.2</v>
      </c>
      <c r="Q334" s="200" t="str">
        <f t="shared" si="160"/>
        <v>-</v>
      </c>
      <c r="R334" s="200">
        <f>AVERAGE(R171:R175)</f>
        <v>55783.6</v>
      </c>
    </row>
    <row r="335" spans="1:18" x14ac:dyDescent="0.2">
      <c r="A335" s="308">
        <v>2006</v>
      </c>
      <c r="B335" s="200" t="str">
        <f t="shared" ref="B335:I335" si="161">+B176</f>
        <v>-</v>
      </c>
      <c r="C335" s="200" t="str">
        <f t="shared" si="161"/>
        <v>-</v>
      </c>
      <c r="D335" s="200" t="str">
        <f t="shared" si="161"/>
        <v>-</v>
      </c>
      <c r="E335" s="200">
        <f t="shared" si="161"/>
        <v>477.88</v>
      </c>
      <c r="F335" s="200">
        <f t="shared" si="161"/>
        <v>1147.6099999999999</v>
      </c>
      <c r="G335" s="200">
        <f t="shared" si="161"/>
        <v>139.6</v>
      </c>
      <c r="H335" s="200" t="str">
        <f t="shared" si="161"/>
        <v>-</v>
      </c>
      <c r="I335" s="200">
        <f t="shared" si="161"/>
        <v>1765.0899999999997</v>
      </c>
      <c r="K335" s="200" t="str">
        <f t="shared" ref="K335:R335" si="162">+K176</f>
        <v>-</v>
      </c>
      <c r="L335" s="200" t="str">
        <f t="shared" si="162"/>
        <v>-</v>
      </c>
      <c r="M335" s="200" t="str">
        <f t="shared" si="162"/>
        <v>-</v>
      </c>
      <c r="N335" s="200">
        <f t="shared" si="162"/>
        <v>6532.81</v>
      </c>
      <c r="O335" s="200">
        <f t="shared" si="162"/>
        <v>12222.37</v>
      </c>
      <c r="P335" s="200">
        <f t="shared" si="162"/>
        <v>646.1</v>
      </c>
      <c r="Q335" s="200" t="str">
        <f t="shared" si="162"/>
        <v>-</v>
      </c>
      <c r="R335" s="200">
        <f t="shared" si="162"/>
        <v>19401.28</v>
      </c>
    </row>
    <row r="336" spans="1:18" s="359" customFormat="1" x14ac:dyDescent="0.2">
      <c r="A336" s="308">
        <v>2007</v>
      </c>
      <c r="B336" s="203" t="str">
        <f t="shared" ref="B336:I336" si="163">+B177</f>
        <v>-</v>
      </c>
      <c r="C336" s="203" t="str">
        <f t="shared" si="163"/>
        <v>-</v>
      </c>
      <c r="D336" s="203" t="str">
        <f t="shared" si="163"/>
        <v>-</v>
      </c>
      <c r="E336" s="203">
        <f t="shared" si="163"/>
        <v>292.33</v>
      </c>
      <c r="F336" s="203">
        <f t="shared" si="163"/>
        <v>1224.83</v>
      </c>
      <c r="G336" s="203">
        <f t="shared" si="163"/>
        <v>113.99</v>
      </c>
      <c r="H336" s="203" t="str">
        <f t="shared" si="163"/>
        <v>-</v>
      </c>
      <c r="I336" s="203">
        <f t="shared" si="163"/>
        <v>1631.1499999999999</v>
      </c>
      <c r="J336" s="197"/>
      <c r="K336" s="203" t="str">
        <f t="shared" ref="K336:R336" si="164">+K177</f>
        <v>-</v>
      </c>
      <c r="L336" s="203" t="str">
        <f t="shared" si="164"/>
        <v>-</v>
      </c>
      <c r="M336" s="203" t="str">
        <f t="shared" si="164"/>
        <v>-</v>
      </c>
      <c r="N336" s="203">
        <f t="shared" si="164"/>
        <v>12170.39</v>
      </c>
      <c r="O336" s="203">
        <f t="shared" si="164"/>
        <v>32559.19</v>
      </c>
      <c r="P336" s="203">
        <f t="shared" si="164"/>
        <v>2689.04</v>
      </c>
      <c r="Q336" s="203" t="str">
        <f t="shared" si="164"/>
        <v>-</v>
      </c>
      <c r="R336" s="203">
        <f t="shared" si="164"/>
        <v>47418.62</v>
      </c>
    </row>
    <row r="337" spans="1:18" s="359" customFormat="1" x14ac:dyDescent="0.2">
      <c r="A337" s="308">
        <v>2008</v>
      </c>
      <c r="B337" s="203" t="str">
        <f t="shared" ref="B337:I337" si="165">+B178</f>
        <v>-</v>
      </c>
      <c r="C337" s="203" t="str">
        <f t="shared" si="165"/>
        <v>-</v>
      </c>
      <c r="D337" s="203">
        <f t="shared" si="165"/>
        <v>474.02</v>
      </c>
      <c r="E337" s="203">
        <f t="shared" si="165"/>
        <v>1165.76</v>
      </c>
      <c r="F337" s="203">
        <f t="shared" si="165"/>
        <v>1258.29</v>
      </c>
      <c r="G337" s="203" t="str">
        <f t="shared" si="165"/>
        <v>-</v>
      </c>
      <c r="H337" s="203" t="str">
        <f t="shared" si="165"/>
        <v>-</v>
      </c>
      <c r="I337" s="203">
        <f t="shared" si="165"/>
        <v>2898.0699999999997</v>
      </c>
      <c r="J337" s="197"/>
      <c r="K337" s="203" t="str">
        <f t="shared" ref="K337:R337" si="166">+K178</f>
        <v>-</v>
      </c>
      <c r="L337" s="203" t="str">
        <f t="shared" si="166"/>
        <v>-</v>
      </c>
      <c r="M337" s="203">
        <f t="shared" si="166"/>
        <v>330.24</v>
      </c>
      <c r="N337" s="203">
        <f t="shared" si="166"/>
        <v>3337.07</v>
      </c>
      <c r="O337" s="203">
        <f t="shared" si="166"/>
        <v>4972.6499999999996</v>
      </c>
      <c r="P337" s="203" t="str">
        <f t="shared" si="166"/>
        <v>-</v>
      </c>
      <c r="Q337" s="203" t="str">
        <f t="shared" si="166"/>
        <v>-</v>
      </c>
      <c r="R337" s="203">
        <f t="shared" si="166"/>
        <v>8639.9599999999991</v>
      </c>
    </row>
    <row r="338" spans="1:18" s="359" customFormat="1" x14ac:dyDescent="0.2">
      <c r="A338" s="308">
        <v>2009</v>
      </c>
      <c r="B338" s="203" t="str">
        <f t="shared" ref="B338:I338" si="167">+B179</f>
        <v>-</v>
      </c>
      <c r="C338" s="203" t="str">
        <f t="shared" si="167"/>
        <v>-</v>
      </c>
      <c r="D338" s="203">
        <f t="shared" si="167"/>
        <v>9.7799999999999994</v>
      </c>
      <c r="E338" s="203">
        <f t="shared" si="167"/>
        <v>925.26</v>
      </c>
      <c r="F338" s="203">
        <f t="shared" si="167"/>
        <v>3238.55</v>
      </c>
      <c r="G338" s="203">
        <f t="shared" si="167"/>
        <v>28.37</v>
      </c>
      <c r="H338" s="203" t="str">
        <f t="shared" si="167"/>
        <v>-</v>
      </c>
      <c r="I338" s="203">
        <f t="shared" si="167"/>
        <v>4201.96</v>
      </c>
      <c r="J338" s="197"/>
      <c r="K338" s="203" t="str">
        <f t="shared" ref="K338:R338" si="168">+K179</f>
        <v>-</v>
      </c>
      <c r="L338" s="203" t="str">
        <f t="shared" si="168"/>
        <v>-</v>
      </c>
      <c r="M338" s="203">
        <f t="shared" si="168"/>
        <v>334.42</v>
      </c>
      <c r="N338" s="203">
        <f t="shared" si="168"/>
        <v>17246.310000000001</v>
      </c>
      <c r="O338" s="203">
        <f t="shared" si="168"/>
        <v>45206.55</v>
      </c>
      <c r="P338" s="203">
        <f t="shared" si="168"/>
        <v>1604.82</v>
      </c>
      <c r="Q338" s="203" t="str">
        <f t="shared" si="168"/>
        <v>-</v>
      </c>
      <c r="R338" s="203">
        <f t="shared" si="168"/>
        <v>64392.1</v>
      </c>
    </row>
    <row r="339" spans="1:18" s="359" customFormat="1" x14ac:dyDescent="0.2">
      <c r="A339" s="308">
        <v>2010</v>
      </c>
      <c r="B339" s="203" t="str">
        <f t="shared" ref="B339:I339" si="169">+B180</f>
        <v>-</v>
      </c>
      <c r="C339" s="203" t="str">
        <f t="shared" si="169"/>
        <v>-</v>
      </c>
      <c r="D339" s="203">
        <f t="shared" si="169"/>
        <v>106.38</v>
      </c>
      <c r="E339" s="203">
        <f t="shared" si="169"/>
        <v>1485.13</v>
      </c>
      <c r="F339" s="203">
        <f t="shared" si="169"/>
        <v>3587.91</v>
      </c>
      <c r="G339" s="203">
        <f t="shared" si="169"/>
        <v>229.41</v>
      </c>
      <c r="H339" s="203" t="str">
        <f t="shared" si="169"/>
        <v>-</v>
      </c>
      <c r="I339" s="203">
        <f t="shared" si="169"/>
        <v>5408.83</v>
      </c>
      <c r="J339" s="197"/>
      <c r="K339" s="203" t="str">
        <f t="shared" ref="K339:R339" si="170">+K180</f>
        <v>-</v>
      </c>
      <c r="L339" s="203" t="str">
        <f t="shared" si="170"/>
        <v>-</v>
      </c>
      <c r="M339" s="203">
        <f t="shared" si="170"/>
        <v>1.06</v>
      </c>
      <c r="N339" s="203">
        <f t="shared" si="170"/>
        <v>6430</v>
      </c>
      <c r="O339" s="203">
        <f t="shared" si="170"/>
        <v>11724.5</v>
      </c>
      <c r="P339" s="203">
        <f t="shared" si="170"/>
        <v>649.79</v>
      </c>
      <c r="Q339" s="203" t="str">
        <f t="shared" si="170"/>
        <v>-</v>
      </c>
      <c r="R339" s="203">
        <f t="shared" si="170"/>
        <v>18805.350000000002</v>
      </c>
    </row>
    <row r="340" spans="1:18" s="359" customFormat="1" x14ac:dyDescent="0.2">
      <c r="A340" s="308">
        <v>2011</v>
      </c>
      <c r="B340" s="203" t="str">
        <f t="shared" ref="B340:I340" si="171">+B181</f>
        <v>-</v>
      </c>
      <c r="C340" s="203" t="str">
        <f t="shared" si="171"/>
        <v>-</v>
      </c>
      <c r="D340" s="203">
        <f t="shared" si="171"/>
        <v>351.79999999999995</v>
      </c>
      <c r="E340" s="203">
        <f t="shared" si="171"/>
        <v>808.27</v>
      </c>
      <c r="F340" s="203">
        <f t="shared" si="171"/>
        <v>4106.7700000000004</v>
      </c>
      <c r="G340" s="203">
        <f t="shared" si="171"/>
        <v>329.4</v>
      </c>
      <c r="H340" s="203" t="str">
        <f t="shared" si="171"/>
        <v>-</v>
      </c>
      <c r="I340" s="203">
        <f t="shared" si="171"/>
        <v>5596.24</v>
      </c>
      <c r="J340" s="197"/>
      <c r="K340" s="203" t="str">
        <f t="shared" ref="K340:R340" si="172">+K181</f>
        <v>-</v>
      </c>
      <c r="L340" s="203" t="str">
        <f t="shared" si="172"/>
        <v>-</v>
      </c>
      <c r="M340" s="203">
        <f t="shared" si="172"/>
        <v>288.87</v>
      </c>
      <c r="N340" s="203">
        <f t="shared" si="172"/>
        <v>5103.8100000000004</v>
      </c>
      <c r="O340" s="203">
        <f t="shared" si="172"/>
        <v>12678.13</v>
      </c>
      <c r="P340" s="203">
        <f t="shared" si="172"/>
        <v>2563.64</v>
      </c>
      <c r="Q340" s="203" t="str">
        <f t="shared" si="172"/>
        <v>-</v>
      </c>
      <c r="R340" s="203">
        <f t="shared" si="172"/>
        <v>20634.449999999997</v>
      </c>
    </row>
    <row r="341" spans="1:18" s="359" customFormat="1" x14ac:dyDescent="0.2">
      <c r="A341" s="308">
        <v>2012</v>
      </c>
      <c r="B341" s="203" t="str">
        <f t="shared" ref="B341:I341" si="173">+B182</f>
        <v>-</v>
      </c>
      <c r="C341" s="203" t="str">
        <f t="shared" si="173"/>
        <v>-</v>
      </c>
      <c r="D341" s="203">
        <f t="shared" si="173"/>
        <v>1792.88</v>
      </c>
      <c r="E341" s="203">
        <f t="shared" si="173"/>
        <v>2199.8200000000002</v>
      </c>
      <c r="F341" s="203">
        <f t="shared" si="173"/>
        <v>2691.02</v>
      </c>
      <c r="G341" s="203">
        <f t="shared" si="173"/>
        <v>729.78</v>
      </c>
      <c r="H341" s="203" t="str">
        <f t="shared" si="173"/>
        <v>-</v>
      </c>
      <c r="I341" s="203">
        <f t="shared" si="173"/>
        <v>7413.5</v>
      </c>
      <c r="J341" s="197"/>
      <c r="K341" s="203" t="str">
        <f t="shared" ref="K341:R341" si="174">+K182</f>
        <v>-</v>
      </c>
      <c r="L341" s="203" t="str">
        <f t="shared" si="174"/>
        <v>-</v>
      </c>
      <c r="M341" s="203">
        <f t="shared" si="174"/>
        <v>196.33</v>
      </c>
      <c r="N341" s="203">
        <f t="shared" si="174"/>
        <v>3056.76</v>
      </c>
      <c r="O341" s="203">
        <f t="shared" si="174"/>
        <v>4421.29</v>
      </c>
      <c r="P341" s="203">
        <f t="shared" si="174"/>
        <v>2044.8200000000002</v>
      </c>
      <c r="Q341" s="203" t="str">
        <f t="shared" si="174"/>
        <v>-</v>
      </c>
      <c r="R341" s="203">
        <f t="shared" si="174"/>
        <v>9719.2000000000007</v>
      </c>
    </row>
    <row r="342" spans="1:18" s="359" customFormat="1" x14ac:dyDescent="0.2">
      <c r="A342" s="308">
        <v>2013</v>
      </c>
      <c r="B342" s="203" t="str">
        <f t="shared" ref="B342:I342" si="175">+B183</f>
        <v>-</v>
      </c>
      <c r="C342" s="203" t="str">
        <f t="shared" si="175"/>
        <v>-</v>
      </c>
      <c r="D342" s="203">
        <f t="shared" si="175"/>
        <v>1299.81</v>
      </c>
      <c r="E342" s="203">
        <f t="shared" si="175"/>
        <v>1356.35</v>
      </c>
      <c r="F342" s="203">
        <f t="shared" si="175"/>
        <v>3283.89</v>
      </c>
      <c r="G342" s="203">
        <f t="shared" si="175"/>
        <v>688.46</v>
      </c>
      <c r="H342" s="203" t="str">
        <f t="shared" si="175"/>
        <v>-</v>
      </c>
      <c r="I342" s="203">
        <f t="shared" si="175"/>
        <v>6628.5099999999993</v>
      </c>
      <c r="J342" s="197"/>
      <c r="K342" s="203" t="str">
        <f t="shared" ref="K342:R342" si="176">+K183</f>
        <v>-</v>
      </c>
      <c r="L342" s="203" t="str">
        <f t="shared" si="176"/>
        <v>-</v>
      </c>
      <c r="M342" s="203">
        <f t="shared" si="176"/>
        <v>2286.5300000000002</v>
      </c>
      <c r="N342" s="203">
        <f t="shared" si="176"/>
        <v>4007.03</v>
      </c>
      <c r="O342" s="203">
        <f t="shared" si="176"/>
        <v>8599.43</v>
      </c>
      <c r="P342" s="203">
        <f t="shared" si="176"/>
        <v>1566.13</v>
      </c>
      <c r="Q342" s="203" t="str">
        <f t="shared" si="176"/>
        <v>-</v>
      </c>
      <c r="R342" s="203">
        <f t="shared" si="176"/>
        <v>16459.120000000003</v>
      </c>
    </row>
    <row r="343" spans="1:18" s="359" customFormat="1" x14ac:dyDescent="0.2">
      <c r="A343" s="308">
        <v>2014</v>
      </c>
      <c r="B343" s="203" t="str">
        <f t="shared" ref="B343:I343" si="177">+B184</f>
        <v>-</v>
      </c>
      <c r="C343" s="203">
        <f t="shared" si="177"/>
        <v>44.29</v>
      </c>
      <c r="D343" s="203">
        <f t="shared" si="177"/>
        <v>916.74</v>
      </c>
      <c r="E343" s="203">
        <f t="shared" si="177"/>
        <v>2570.42</v>
      </c>
      <c r="F343" s="203">
        <f t="shared" si="177"/>
        <v>5018.59</v>
      </c>
      <c r="G343" s="203">
        <f t="shared" si="177"/>
        <v>491.04999999999995</v>
      </c>
      <c r="H343" s="203" t="str">
        <f t="shared" si="177"/>
        <v>-</v>
      </c>
      <c r="I343" s="203">
        <f t="shared" si="177"/>
        <v>9041.09</v>
      </c>
      <c r="J343" s="197"/>
      <c r="K343" s="203" t="str">
        <f t="shared" ref="K343:R343" si="178">+K184</f>
        <v>-</v>
      </c>
      <c r="L343" s="203" t="str">
        <f t="shared" si="178"/>
        <v>-</v>
      </c>
      <c r="M343" s="203">
        <f t="shared" si="178"/>
        <v>2223.4</v>
      </c>
      <c r="N343" s="203">
        <f t="shared" si="178"/>
        <v>14832.5</v>
      </c>
      <c r="O343" s="203">
        <f t="shared" si="178"/>
        <v>30029.279999999999</v>
      </c>
      <c r="P343" s="203">
        <f t="shared" si="178"/>
        <v>11246.560000000001</v>
      </c>
      <c r="Q343" s="203" t="str">
        <f t="shared" si="178"/>
        <v>-</v>
      </c>
      <c r="R343" s="203">
        <f t="shared" si="178"/>
        <v>58331.740000000005</v>
      </c>
    </row>
    <row r="344" spans="1:18" s="359" customFormat="1" x14ac:dyDescent="0.2">
      <c r="A344" s="308">
        <v>2015</v>
      </c>
      <c r="B344" s="203" t="str">
        <f t="shared" ref="B344:I344" si="179">+B185</f>
        <v>-</v>
      </c>
      <c r="C344" s="203">
        <f t="shared" si="179"/>
        <v>61.15</v>
      </c>
      <c r="D344" s="203">
        <f t="shared" si="179"/>
        <v>957.43999999999994</v>
      </c>
      <c r="E344" s="203">
        <f t="shared" si="179"/>
        <v>1419.2</v>
      </c>
      <c r="F344" s="203">
        <f t="shared" si="179"/>
        <v>4836.08</v>
      </c>
      <c r="G344" s="203">
        <f t="shared" si="179"/>
        <v>2139.83</v>
      </c>
      <c r="H344" s="203" t="str">
        <f t="shared" si="179"/>
        <v>-</v>
      </c>
      <c r="I344" s="203">
        <f t="shared" si="179"/>
        <v>9413.7000000000007</v>
      </c>
      <c r="J344" s="197"/>
      <c r="K344" s="203" t="str">
        <f t="shared" ref="K344:R344" si="180">+K185</f>
        <v>-</v>
      </c>
      <c r="L344" s="203" t="str">
        <f t="shared" si="180"/>
        <v>-</v>
      </c>
      <c r="M344" s="203">
        <f t="shared" si="180"/>
        <v>2607.2600000000002</v>
      </c>
      <c r="N344" s="203">
        <f t="shared" si="180"/>
        <v>12325.02</v>
      </c>
      <c r="O344" s="203">
        <f t="shared" si="180"/>
        <v>15756.28</v>
      </c>
      <c r="P344" s="203">
        <f t="shared" si="180"/>
        <v>5022.17</v>
      </c>
      <c r="Q344" s="203" t="str">
        <f t="shared" si="180"/>
        <v>-</v>
      </c>
      <c r="R344" s="203">
        <f t="shared" si="180"/>
        <v>35710.730000000003</v>
      </c>
    </row>
    <row r="345" spans="1:18" s="359" customFormat="1" x14ac:dyDescent="0.2">
      <c r="A345" s="308">
        <v>2016</v>
      </c>
      <c r="B345" s="203" t="str">
        <f t="shared" ref="B345:I345" si="181">+B186</f>
        <v>-</v>
      </c>
      <c r="C345" s="203" t="str">
        <f t="shared" si="181"/>
        <v>-</v>
      </c>
      <c r="D345" s="203" t="str">
        <f t="shared" si="181"/>
        <v>-</v>
      </c>
      <c r="E345" s="203">
        <f t="shared" si="181"/>
        <v>2088.35</v>
      </c>
      <c r="F345" s="203">
        <f t="shared" si="181"/>
        <v>2868.18</v>
      </c>
      <c r="G345" s="203" t="str">
        <f t="shared" si="181"/>
        <v>-</v>
      </c>
      <c r="H345" s="203" t="str">
        <f t="shared" si="181"/>
        <v>-</v>
      </c>
      <c r="I345" s="203">
        <f t="shared" si="181"/>
        <v>4956.53</v>
      </c>
      <c r="J345" s="197"/>
      <c r="K345" s="203" t="str">
        <f t="shared" ref="K345:R345" si="182">+K186</f>
        <v>-</v>
      </c>
      <c r="L345" s="203" t="str">
        <f t="shared" si="182"/>
        <v>-</v>
      </c>
      <c r="M345" s="203" t="str">
        <f t="shared" si="182"/>
        <v>-</v>
      </c>
      <c r="N345" s="203">
        <f t="shared" si="182"/>
        <v>4691.76</v>
      </c>
      <c r="O345" s="203">
        <f t="shared" si="182"/>
        <v>11265.77</v>
      </c>
      <c r="P345" s="203" t="str">
        <f t="shared" si="182"/>
        <v>-</v>
      </c>
      <c r="Q345" s="203" t="str">
        <f t="shared" si="182"/>
        <v>-</v>
      </c>
      <c r="R345" s="203">
        <f t="shared" si="182"/>
        <v>15957.53</v>
      </c>
    </row>
    <row r="346" spans="1:18" s="359" customFormat="1" x14ac:dyDescent="0.2">
      <c r="A346" s="348">
        <v>2017</v>
      </c>
      <c r="B346" s="203" t="str">
        <f t="shared" ref="B346:I346" si="183">+B187</f>
        <v>-</v>
      </c>
      <c r="C346" s="203" t="str">
        <f t="shared" si="183"/>
        <v>-</v>
      </c>
      <c r="D346" s="203">
        <f t="shared" si="183"/>
        <v>318.87</v>
      </c>
      <c r="E346" s="203">
        <f t="shared" si="183"/>
        <v>2191</v>
      </c>
      <c r="F346" s="203">
        <f t="shared" si="183"/>
        <v>3153.47</v>
      </c>
      <c r="G346" s="203" t="str">
        <f t="shared" si="183"/>
        <v>-</v>
      </c>
      <c r="H346" s="203" t="str">
        <f t="shared" si="183"/>
        <v>-</v>
      </c>
      <c r="I346" s="203">
        <f t="shared" si="183"/>
        <v>5663.34</v>
      </c>
      <c r="J346" s="197"/>
      <c r="K346" s="203" t="str">
        <f t="shared" ref="K346:R346" si="184">+K187</f>
        <v>-</v>
      </c>
      <c r="L346" s="203" t="str">
        <f t="shared" si="184"/>
        <v>-</v>
      </c>
      <c r="M346" s="203">
        <f t="shared" si="184"/>
        <v>29.64</v>
      </c>
      <c r="N346" s="203">
        <f t="shared" si="184"/>
        <v>5723.99</v>
      </c>
      <c r="O346" s="203">
        <f t="shared" si="184"/>
        <v>9300.99</v>
      </c>
      <c r="P346" s="203" t="str">
        <f t="shared" si="184"/>
        <v>-</v>
      </c>
      <c r="Q346" s="203" t="str">
        <f t="shared" si="184"/>
        <v>-</v>
      </c>
      <c r="R346" s="203">
        <f t="shared" si="184"/>
        <v>15054.619999999999</v>
      </c>
    </row>
    <row r="347" spans="1:18" s="359" customFormat="1" x14ac:dyDescent="0.2">
      <c r="A347" s="348">
        <v>2018</v>
      </c>
      <c r="B347" s="203" t="str">
        <f t="shared" ref="B347:I347" si="185">+B188</f>
        <v>-</v>
      </c>
      <c r="C347" s="203" t="str">
        <f t="shared" si="185"/>
        <v>-</v>
      </c>
      <c r="D347" s="203">
        <f t="shared" si="185"/>
        <v>455.13</v>
      </c>
      <c r="E347" s="203">
        <f t="shared" si="185"/>
        <v>506.53</v>
      </c>
      <c r="F347" s="203">
        <f t="shared" si="185"/>
        <v>586</v>
      </c>
      <c r="G347" s="203">
        <f t="shared" si="185"/>
        <v>21.18</v>
      </c>
      <c r="H347" s="203" t="str">
        <f t="shared" si="185"/>
        <v>-</v>
      </c>
      <c r="I347" s="203">
        <f t="shared" si="185"/>
        <v>1568.84</v>
      </c>
      <c r="J347" s="197"/>
      <c r="K347" s="203" t="str">
        <f t="shared" ref="K347:R347" si="186">+K188</f>
        <v>-</v>
      </c>
      <c r="L347" s="203" t="str">
        <f t="shared" si="186"/>
        <v>-</v>
      </c>
      <c r="M347" s="203">
        <f t="shared" si="186"/>
        <v>258.3</v>
      </c>
      <c r="N347" s="203">
        <f t="shared" si="186"/>
        <v>4678.59</v>
      </c>
      <c r="O347" s="203">
        <f t="shared" si="186"/>
        <v>8422.14</v>
      </c>
      <c r="P347" s="203">
        <f t="shared" si="186"/>
        <v>88.38</v>
      </c>
      <c r="Q347" s="203" t="str">
        <f t="shared" si="186"/>
        <v>-</v>
      </c>
      <c r="R347" s="203">
        <f t="shared" si="186"/>
        <v>13447.409999999998</v>
      </c>
    </row>
    <row r="348" spans="1:18" s="487" customFormat="1" x14ac:dyDescent="0.2">
      <c r="A348" s="491">
        <v>2019</v>
      </c>
      <c r="B348" s="203" t="str">
        <f t="shared" ref="B348:I349" si="187">+B189</f>
        <v>-</v>
      </c>
      <c r="C348" s="203" t="str">
        <f t="shared" si="187"/>
        <v>-</v>
      </c>
      <c r="D348" s="203">
        <f t="shared" si="187"/>
        <v>237.22</v>
      </c>
      <c r="E348" s="203">
        <f t="shared" si="187"/>
        <v>1532.9</v>
      </c>
      <c r="F348" s="203">
        <f t="shared" si="187"/>
        <v>888.26</v>
      </c>
      <c r="G348" s="203">
        <f t="shared" si="187"/>
        <v>84.14</v>
      </c>
      <c r="H348" s="203" t="str">
        <f t="shared" si="187"/>
        <v>-</v>
      </c>
      <c r="I348" s="203">
        <f t="shared" si="187"/>
        <v>2742.52</v>
      </c>
      <c r="J348" s="197"/>
      <c r="K348" s="203" t="str">
        <f t="shared" ref="K348:R349" si="188">+K189</f>
        <v>-</v>
      </c>
      <c r="L348" s="203" t="str">
        <f t="shared" si="188"/>
        <v>-</v>
      </c>
      <c r="M348" s="203">
        <f t="shared" si="188"/>
        <v>3506.51</v>
      </c>
      <c r="N348" s="203">
        <f t="shared" si="188"/>
        <v>14386.42</v>
      </c>
      <c r="O348" s="203">
        <f t="shared" si="188"/>
        <v>16996.97</v>
      </c>
      <c r="P348" s="203">
        <f t="shared" si="188"/>
        <v>1361.11</v>
      </c>
      <c r="Q348" s="203" t="str">
        <f t="shared" si="188"/>
        <v>-</v>
      </c>
      <c r="R348" s="203">
        <f t="shared" si="188"/>
        <v>36251.01</v>
      </c>
    </row>
    <row r="349" spans="1:18" x14ac:dyDescent="0.2">
      <c r="A349" s="491" t="s">
        <v>391</v>
      </c>
      <c r="B349" s="200" t="str">
        <f t="shared" si="187"/>
        <v>-</v>
      </c>
      <c r="C349" s="200" t="str">
        <f t="shared" si="187"/>
        <v>-</v>
      </c>
      <c r="D349" s="200">
        <f t="shared" si="187"/>
        <v>208.1</v>
      </c>
      <c r="E349" s="200">
        <f t="shared" si="187"/>
        <v>464.78</v>
      </c>
      <c r="F349" s="200" t="str">
        <f t="shared" si="187"/>
        <v>-</v>
      </c>
      <c r="G349" s="200" t="str">
        <f t="shared" si="187"/>
        <v>-</v>
      </c>
      <c r="H349" s="200" t="str">
        <f t="shared" si="187"/>
        <v>-</v>
      </c>
      <c r="I349" s="200">
        <f t="shared" si="187"/>
        <v>672.88</v>
      </c>
      <c r="K349" s="200" t="str">
        <f t="shared" si="188"/>
        <v>-</v>
      </c>
      <c r="L349" s="200" t="str">
        <f t="shared" si="188"/>
        <v>-</v>
      </c>
      <c r="M349" s="200" t="str">
        <f t="shared" si="188"/>
        <v>-</v>
      </c>
      <c r="N349" s="200">
        <f t="shared" si="188"/>
        <v>9108.27</v>
      </c>
      <c r="O349" s="200" t="str">
        <f t="shared" si="188"/>
        <v>-</v>
      </c>
      <c r="P349" s="200" t="str">
        <f t="shared" si="188"/>
        <v>-</v>
      </c>
      <c r="Q349" s="200" t="str">
        <f t="shared" si="188"/>
        <v>-</v>
      </c>
      <c r="R349" s="200">
        <f t="shared" si="188"/>
        <v>9108.27</v>
      </c>
    </row>
    <row r="350" spans="1:18" ht="10.15" customHeight="1" x14ac:dyDescent="0.2"/>
    <row r="351" spans="1:18" ht="10.15" customHeight="1" x14ac:dyDescent="0.2">
      <c r="A351" s="522" t="s">
        <v>9</v>
      </c>
      <c r="B351" s="522"/>
      <c r="C351" s="522"/>
      <c r="D351" s="522"/>
      <c r="E351" s="522"/>
      <c r="F351" s="522"/>
      <c r="G351" s="522"/>
      <c r="H351" s="522"/>
      <c r="I351" s="522"/>
      <c r="J351" s="522"/>
      <c r="K351" s="522"/>
      <c r="L351" s="522"/>
      <c r="M351" s="522"/>
      <c r="N351" s="522"/>
      <c r="O351" s="522"/>
      <c r="P351" s="522"/>
      <c r="Q351" s="522"/>
      <c r="R351" s="522"/>
    </row>
    <row r="352" spans="1:18" ht="10.15" customHeight="1" x14ac:dyDescent="0.2">
      <c r="A352" s="5" t="s">
        <v>33</v>
      </c>
      <c r="B352" s="20" t="s">
        <v>34</v>
      </c>
      <c r="C352" s="20" t="s">
        <v>35</v>
      </c>
      <c r="D352" s="20" t="s">
        <v>36</v>
      </c>
      <c r="E352" s="20" t="s">
        <v>37</v>
      </c>
      <c r="F352" s="20" t="s">
        <v>38</v>
      </c>
      <c r="G352" s="20" t="s">
        <v>39</v>
      </c>
      <c r="H352" s="20" t="s">
        <v>40</v>
      </c>
      <c r="I352" s="20" t="s">
        <v>28</v>
      </c>
      <c r="J352" s="369"/>
      <c r="K352" s="20" t="s">
        <v>34</v>
      </c>
      <c r="L352" s="20" t="s">
        <v>35</v>
      </c>
      <c r="M352" s="20" t="s">
        <v>36</v>
      </c>
      <c r="N352" s="20" t="s">
        <v>37</v>
      </c>
      <c r="O352" s="20" t="s">
        <v>38</v>
      </c>
      <c r="P352" s="20" t="s">
        <v>39</v>
      </c>
      <c r="Q352" s="20" t="s">
        <v>40</v>
      </c>
      <c r="R352" s="20" t="s">
        <v>28</v>
      </c>
    </row>
    <row r="353" spans="1:18" ht="14.25" customHeight="1" x14ac:dyDescent="0.2">
      <c r="B353" s="600" t="s">
        <v>67</v>
      </c>
      <c r="C353" s="600"/>
      <c r="D353" s="600"/>
      <c r="E353" s="600"/>
      <c r="F353" s="600"/>
      <c r="G353" s="600"/>
      <c r="H353" s="600"/>
      <c r="I353" s="600"/>
      <c r="J353" s="19"/>
      <c r="K353" s="600" t="s">
        <v>68</v>
      </c>
      <c r="L353" s="600"/>
      <c r="M353" s="600"/>
      <c r="N353" s="600"/>
      <c r="O353" s="600"/>
      <c r="P353" s="600"/>
      <c r="Q353" s="600"/>
      <c r="R353" s="600"/>
    </row>
    <row r="354" spans="1:18" ht="11.25" customHeight="1" x14ac:dyDescent="0.2">
      <c r="A354" s="120" t="s">
        <v>287</v>
      </c>
    </row>
    <row r="355" spans="1:18" ht="11.25" customHeight="1" x14ac:dyDescent="0.2">
      <c r="A355" s="308" t="s">
        <v>30</v>
      </c>
      <c r="B355" s="200">
        <f t="shared" ref="B355:I355" si="189">AVERAGE(B198:B202)</f>
        <v>57.4</v>
      </c>
      <c r="C355" s="200">
        <f t="shared" si="189"/>
        <v>2153</v>
      </c>
      <c r="D355" s="200">
        <f t="shared" si="189"/>
        <v>15884.2</v>
      </c>
      <c r="E355" s="200">
        <f t="shared" si="189"/>
        <v>23367</v>
      </c>
      <c r="F355" s="200">
        <f t="shared" si="189"/>
        <v>12666.6</v>
      </c>
      <c r="G355" s="200">
        <f t="shared" si="189"/>
        <v>644.5</v>
      </c>
      <c r="H355" s="200">
        <f t="shared" si="189"/>
        <v>46</v>
      </c>
      <c r="I355" s="200">
        <f t="shared" si="189"/>
        <v>54662.2</v>
      </c>
      <c r="K355" s="200">
        <f t="shared" ref="K355:R355" si="190">AVERAGE(K198:K202)</f>
        <v>80</v>
      </c>
      <c r="L355" s="200">
        <f t="shared" si="190"/>
        <v>2960.6666666666665</v>
      </c>
      <c r="M355" s="200">
        <f t="shared" si="190"/>
        <v>22620</v>
      </c>
      <c r="N355" s="200">
        <f t="shared" si="190"/>
        <v>73777</v>
      </c>
      <c r="O355" s="200">
        <f t="shared" si="190"/>
        <v>68671.8</v>
      </c>
      <c r="P355" s="200">
        <f t="shared" si="190"/>
        <v>9800</v>
      </c>
      <c r="Q355" s="200">
        <f t="shared" si="190"/>
        <v>436</v>
      </c>
      <c r="R355" s="200">
        <f t="shared" si="190"/>
        <v>172398.8</v>
      </c>
    </row>
    <row r="356" spans="1:18" ht="11.25" customHeight="1" x14ac:dyDescent="0.2">
      <c r="A356" s="308" t="s">
        <v>347</v>
      </c>
      <c r="B356" s="200" t="s">
        <v>29</v>
      </c>
      <c r="C356" s="200">
        <f>AVERAGE(C203:C207)</f>
        <v>901</v>
      </c>
      <c r="D356" s="200">
        <f>AVERAGE(D203:D207)</f>
        <v>1886.25</v>
      </c>
      <c r="E356" s="200">
        <f>AVERAGE(E203:E207)</f>
        <v>14499.6</v>
      </c>
      <c r="F356" s="200">
        <f>AVERAGE(F203:F207)</f>
        <v>8674.2000000000007</v>
      </c>
      <c r="G356" s="200">
        <f>AVERAGE(G203:G207)</f>
        <v>1212</v>
      </c>
      <c r="H356" s="200" t="s">
        <v>29</v>
      </c>
      <c r="I356" s="200">
        <f>AVERAGE(I203:I207)</f>
        <v>25590.2</v>
      </c>
      <c r="K356" s="200" t="s">
        <v>29</v>
      </c>
      <c r="L356" s="200">
        <f t="shared" ref="L356:R356" si="191">AVERAGE(L203:L207)</f>
        <v>19</v>
      </c>
      <c r="M356" s="200">
        <f t="shared" si="191"/>
        <v>5077</v>
      </c>
      <c r="N356" s="200">
        <f t="shared" si="191"/>
        <v>91015.4</v>
      </c>
      <c r="O356" s="200">
        <f t="shared" si="191"/>
        <v>62793.599999999999</v>
      </c>
      <c r="P356" s="200">
        <f t="shared" si="191"/>
        <v>7165.4</v>
      </c>
      <c r="Q356" s="200">
        <f t="shared" si="191"/>
        <v>44.5</v>
      </c>
      <c r="R356" s="200">
        <f t="shared" si="191"/>
        <v>165057.60000000001</v>
      </c>
    </row>
    <row r="357" spans="1:18" ht="11.25" customHeight="1" x14ac:dyDescent="0.2">
      <c r="A357" s="308" t="s">
        <v>348</v>
      </c>
      <c r="B357" s="200" t="s">
        <v>29</v>
      </c>
      <c r="C357" s="200">
        <f>AVERAGE(C208:C212)</f>
        <v>148</v>
      </c>
      <c r="D357" s="200">
        <f>AVERAGE(D208:D212)</f>
        <v>1041</v>
      </c>
      <c r="E357" s="200">
        <f t="shared" ref="E357:R357" si="192">AVERAGE(E208:E212)</f>
        <v>5008.75</v>
      </c>
      <c r="F357" s="200">
        <f t="shared" si="192"/>
        <v>3756</v>
      </c>
      <c r="G357" s="200">
        <f t="shared" si="192"/>
        <v>1742.75</v>
      </c>
      <c r="H357" s="200">
        <f t="shared" si="192"/>
        <v>215</v>
      </c>
      <c r="I357" s="200">
        <f t="shared" si="192"/>
        <v>11155.75</v>
      </c>
      <c r="J357" s="200"/>
      <c r="K357" s="200" t="s">
        <v>29</v>
      </c>
      <c r="L357" s="200">
        <f t="shared" si="192"/>
        <v>40</v>
      </c>
      <c r="M357" s="200">
        <f t="shared" si="192"/>
        <v>6123.5</v>
      </c>
      <c r="N357" s="200">
        <f t="shared" si="192"/>
        <v>63584.5</v>
      </c>
      <c r="O357" s="200">
        <f t="shared" si="192"/>
        <v>47919.5</v>
      </c>
      <c r="P357" s="200">
        <f t="shared" si="192"/>
        <v>16697</v>
      </c>
      <c r="Q357" s="200">
        <f t="shared" si="192"/>
        <v>324</v>
      </c>
      <c r="R357" s="200">
        <f t="shared" si="192"/>
        <v>131363.75</v>
      </c>
    </row>
    <row r="358" spans="1:18" ht="11.25" customHeight="1" x14ac:dyDescent="0.2">
      <c r="A358" s="308" t="s">
        <v>349</v>
      </c>
      <c r="B358" s="200" t="s">
        <v>29</v>
      </c>
      <c r="C358" s="200" t="s">
        <v>29</v>
      </c>
      <c r="D358" s="200" t="s">
        <v>29</v>
      </c>
      <c r="E358" s="200">
        <f t="shared" ref="E358:R358" si="193">AVERAGE(E213:E217)</f>
        <v>2602.5</v>
      </c>
      <c r="F358" s="200">
        <f t="shared" si="193"/>
        <v>2406.8000000000002</v>
      </c>
      <c r="G358" s="200">
        <f t="shared" si="193"/>
        <v>563.5</v>
      </c>
      <c r="H358" s="200" t="s">
        <v>29</v>
      </c>
      <c r="I358" s="200">
        <f t="shared" si="193"/>
        <v>4939.6000000000004</v>
      </c>
      <c r="J358" s="200"/>
      <c r="K358" s="200" t="s">
        <v>29</v>
      </c>
      <c r="L358" s="200" t="s">
        <v>29</v>
      </c>
      <c r="M358" s="200" t="s">
        <v>29</v>
      </c>
      <c r="N358" s="200">
        <f t="shared" si="193"/>
        <v>17736.25</v>
      </c>
      <c r="O358" s="200">
        <f t="shared" si="193"/>
        <v>23288.6</v>
      </c>
      <c r="P358" s="200">
        <f t="shared" si="193"/>
        <v>3967.4</v>
      </c>
      <c r="Q358" s="200" t="s">
        <v>29</v>
      </c>
      <c r="R358" s="200">
        <f t="shared" si="193"/>
        <v>41445</v>
      </c>
    </row>
    <row r="359" spans="1:18" ht="11.25" customHeight="1" x14ac:dyDescent="0.2">
      <c r="A359" s="308" t="s">
        <v>238</v>
      </c>
      <c r="B359" s="200" t="str">
        <f>+B218</f>
        <v>-</v>
      </c>
      <c r="C359" s="200">
        <f t="shared" ref="C359:I359" si="194">AVERAGE(C218:C222)</f>
        <v>2607</v>
      </c>
      <c r="D359" s="200">
        <f t="shared" si="194"/>
        <v>5199.5</v>
      </c>
      <c r="E359" s="200">
        <f t="shared" si="194"/>
        <v>14961.284720780397</v>
      </c>
      <c r="F359" s="200">
        <f t="shared" si="194"/>
        <v>12699.879902815353</v>
      </c>
      <c r="G359" s="200">
        <f t="shared" si="194"/>
        <v>2858.9900462334185</v>
      </c>
      <c r="H359" s="200">
        <f t="shared" si="194"/>
        <v>50.8</v>
      </c>
      <c r="I359" s="200">
        <f t="shared" si="194"/>
        <v>35250.75466982917</v>
      </c>
      <c r="K359" s="200" t="str">
        <f>+K218</f>
        <v>-</v>
      </c>
      <c r="L359" s="200">
        <f t="shared" ref="L359:R359" si="195">AVERAGE(L218:L222)</f>
        <v>2.5</v>
      </c>
      <c r="M359" s="200">
        <f t="shared" si="195"/>
        <v>1794.5</v>
      </c>
      <c r="N359" s="200">
        <f t="shared" si="195"/>
        <v>40605.553217747787</v>
      </c>
      <c r="O359" s="200">
        <f t="shared" si="195"/>
        <v>52131.230341472226</v>
      </c>
      <c r="P359" s="200">
        <f t="shared" si="195"/>
        <v>15015.726886302655</v>
      </c>
      <c r="Q359" s="200">
        <f t="shared" si="195"/>
        <v>10.4</v>
      </c>
      <c r="R359" s="200">
        <f t="shared" si="195"/>
        <v>109199.51044552265</v>
      </c>
    </row>
    <row r="360" spans="1:18" s="359" customFormat="1" ht="11.25" customHeight="1" x14ac:dyDescent="0.2">
      <c r="A360" s="308">
        <v>2006</v>
      </c>
      <c r="B360" s="203" t="str">
        <f t="shared" ref="B360:I360" si="196">+B223</f>
        <v>-</v>
      </c>
      <c r="C360" s="203" t="str">
        <f t="shared" si="196"/>
        <v>-</v>
      </c>
      <c r="D360" s="203">
        <f t="shared" si="196"/>
        <v>202.26999999999998</v>
      </c>
      <c r="E360" s="203">
        <f t="shared" si="196"/>
        <v>3751.4300000000003</v>
      </c>
      <c r="F360" s="203">
        <f t="shared" si="196"/>
        <v>5670.1</v>
      </c>
      <c r="G360" s="203">
        <f t="shared" si="196"/>
        <v>953.02</v>
      </c>
      <c r="H360" s="203">
        <f t="shared" si="196"/>
        <v>90.54</v>
      </c>
      <c r="I360" s="203">
        <f t="shared" si="196"/>
        <v>10667.36</v>
      </c>
      <c r="J360" s="197"/>
      <c r="K360" s="203" t="str">
        <f t="shared" ref="K360:R360" si="197">+K223</f>
        <v>-</v>
      </c>
      <c r="L360" s="203" t="str">
        <f t="shared" si="197"/>
        <v>-</v>
      </c>
      <c r="M360" s="203">
        <f t="shared" si="197"/>
        <v>416.05</v>
      </c>
      <c r="N360" s="203">
        <f t="shared" si="197"/>
        <v>13047.27</v>
      </c>
      <c r="O360" s="203">
        <f t="shared" si="197"/>
        <v>20508.91</v>
      </c>
      <c r="P360" s="203">
        <f t="shared" si="197"/>
        <v>2112.1999999999998</v>
      </c>
      <c r="Q360" s="203">
        <f t="shared" si="197"/>
        <v>2.4</v>
      </c>
      <c r="R360" s="203">
        <f t="shared" si="197"/>
        <v>36086.829999999994</v>
      </c>
    </row>
    <row r="361" spans="1:18" s="359" customFormat="1" ht="11.25" customHeight="1" x14ac:dyDescent="0.2">
      <c r="A361" s="308">
        <v>2007</v>
      </c>
      <c r="B361" s="203" t="str">
        <f t="shared" ref="B361:I361" si="198">+B224</f>
        <v>-</v>
      </c>
      <c r="C361" s="203" t="str">
        <f t="shared" si="198"/>
        <v>-</v>
      </c>
      <c r="D361" s="203" t="str">
        <f t="shared" si="198"/>
        <v>-</v>
      </c>
      <c r="E361" s="203">
        <f t="shared" si="198"/>
        <v>4096.7299999999996</v>
      </c>
      <c r="F361" s="203">
        <f t="shared" si="198"/>
        <v>4362.41</v>
      </c>
      <c r="G361" s="203">
        <f t="shared" si="198"/>
        <v>484.65000000000003</v>
      </c>
      <c r="H361" s="203">
        <f t="shared" si="198"/>
        <v>0</v>
      </c>
      <c r="I361" s="203">
        <f t="shared" si="198"/>
        <v>8943.7900000000009</v>
      </c>
      <c r="J361" s="197"/>
      <c r="K361" s="203" t="str">
        <f t="shared" ref="K361:R361" si="199">+K224</f>
        <v>-</v>
      </c>
      <c r="L361" s="203" t="str">
        <f t="shared" si="199"/>
        <v>-</v>
      </c>
      <c r="M361" s="203" t="str">
        <f t="shared" si="199"/>
        <v>-</v>
      </c>
      <c r="N361" s="203">
        <f t="shared" si="199"/>
        <v>25198.18</v>
      </c>
      <c r="O361" s="203">
        <f t="shared" si="199"/>
        <v>53479.48</v>
      </c>
      <c r="P361" s="203">
        <f t="shared" si="199"/>
        <v>5109.9399999999996</v>
      </c>
      <c r="Q361" s="203">
        <f t="shared" si="199"/>
        <v>0</v>
      </c>
      <c r="R361" s="203">
        <f t="shared" si="199"/>
        <v>83787.600000000006</v>
      </c>
    </row>
    <row r="362" spans="1:18" s="359" customFormat="1" ht="11.25" customHeight="1" x14ac:dyDescent="0.2">
      <c r="A362" s="308" t="s">
        <v>285</v>
      </c>
      <c r="B362" s="203" t="str">
        <f t="shared" ref="B362:I362" si="200">+B225</f>
        <v>-</v>
      </c>
      <c r="C362" s="203" t="str">
        <f t="shared" si="200"/>
        <v>-</v>
      </c>
      <c r="D362" s="203">
        <f t="shared" si="200"/>
        <v>3010.5499999999997</v>
      </c>
      <c r="E362" s="203">
        <f t="shared" si="200"/>
        <v>6593.7000000000007</v>
      </c>
      <c r="F362" s="203">
        <f t="shared" si="200"/>
        <v>4610.58</v>
      </c>
      <c r="G362" s="203">
        <f t="shared" si="200"/>
        <v>413.91</v>
      </c>
      <c r="H362" s="203">
        <f t="shared" si="200"/>
        <v>6.25</v>
      </c>
      <c r="I362" s="203">
        <f t="shared" si="200"/>
        <v>14634.99</v>
      </c>
      <c r="J362" s="197"/>
      <c r="K362" s="203" t="str">
        <f t="shared" ref="K362:R362" si="201">+K225</f>
        <v>-</v>
      </c>
      <c r="L362" s="203" t="str">
        <f t="shared" si="201"/>
        <v>-</v>
      </c>
      <c r="M362" s="203">
        <f t="shared" si="201"/>
        <v>360.27</v>
      </c>
      <c r="N362" s="203">
        <f t="shared" si="201"/>
        <v>6668.81</v>
      </c>
      <c r="O362" s="203">
        <f t="shared" si="201"/>
        <v>10087.61</v>
      </c>
      <c r="P362" s="203">
        <f t="shared" si="201"/>
        <v>1751.83</v>
      </c>
      <c r="Q362" s="203">
        <f t="shared" si="201"/>
        <v>1.25</v>
      </c>
      <c r="R362" s="203">
        <f t="shared" si="201"/>
        <v>18869.769999999997</v>
      </c>
    </row>
    <row r="363" spans="1:18" s="359" customFormat="1" ht="11.25" customHeight="1" x14ac:dyDescent="0.2">
      <c r="A363" s="308">
        <v>2009</v>
      </c>
      <c r="B363" s="203" t="str">
        <f t="shared" ref="B363:I363" si="202">+B226</f>
        <v>-</v>
      </c>
      <c r="C363" s="203" t="str">
        <f t="shared" si="202"/>
        <v>-</v>
      </c>
      <c r="D363" s="203">
        <f t="shared" si="202"/>
        <v>192.07</v>
      </c>
      <c r="E363" s="203">
        <f t="shared" si="202"/>
        <v>4476.21</v>
      </c>
      <c r="F363" s="203">
        <f t="shared" si="202"/>
        <v>7232.51</v>
      </c>
      <c r="G363" s="203">
        <f t="shared" si="202"/>
        <v>353.34</v>
      </c>
      <c r="H363" s="203">
        <f t="shared" si="202"/>
        <v>96.78</v>
      </c>
      <c r="I363" s="203">
        <f t="shared" si="202"/>
        <v>12350.91</v>
      </c>
      <c r="J363" s="197"/>
      <c r="K363" s="203" t="str">
        <f t="shared" ref="K363:R363" si="203">+K226</f>
        <v>-</v>
      </c>
      <c r="L363" s="203" t="str">
        <f t="shared" si="203"/>
        <v>-</v>
      </c>
      <c r="M363" s="203">
        <f t="shared" si="203"/>
        <v>1156.9899999999998</v>
      </c>
      <c r="N363" s="203">
        <f t="shared" si="203"/>
        <v>34742.130000000005</v>
      </c>
      <c r="O363" s="203">
        <f t="shared" si="203"/>
        <v>90204.34</v>
      </c>
      <c r="P363" s="203">
        <f t="shared" si="203"/>
        <v>12296.859999999999</v>
      </c>
      <c r="Q363" s="203">
        <f t="shared" si="203"/>
        <v>92.41</v>
      </c>
      <c r="R363" s="203">
        <f t="shared" si="203"/>
        <v>138492.73000000001</v>
      </c>
    </row>
    <row r="364" spans="1:18" s="359" customFormat="1" ht="11.25" customHeight="1" x14ac:dyDescent="0.2">
      <c r="A364" s="308">
        <v>2010</v>
      </c>
      <c r="B364" s="203" t="str">
        <f t="shared" ref="B364:I364" si="204">+B227</f>
        <v>-</v>
      </c>
      <c r="C364" s="203" t="str">
        <f t="shared" si="204"/>
        <v>-</v>
      </c>
      <c r="D364" s="203">
        <f t="shared" si="204"/>
        <v>4999.8100000000004</v>
      </c>
      <c r="E364" s="203">
        <f t="shared" si="204"/>
        <v>13299.04</v>
      </c>
      <c r="F364" s="203">
        <f t="shared" si="204"/>
        <v>16341.37</v>
      </c>
      <c r="G364" s="203">
        <f t="shared" si="204"/>
        <v>2188.96</v>
      </c>
      <c r="H364" s="203">
        <f t="shared" si="204"/>
        <v>44.95</v>
      </c>
      <c r="I364" s="203">
        <f t="shared" si="204"/>
        <v>36874.129999999997</v>
      </c>
      <c r="J364" s="197"/>
      <c r="K364" s="203" t="str">
        <f t="shared" ref="K364:R364" si="205">+K227</f>
        <v>-</v>
      </c>
      <c r="L364" s="203" t="str">
        <f t="shared" si="205"/>
        <v>-</v>
      </c>
      <c r="M364" s="203">
        <f t="shared" si="205"/>
        <v>47.38</v>
      </c>
      <c r="N364" s="203">
        <f t="shared" si="205"/>
        <v>12247.39</v>
      </c>
      <c r="O364" s="203">
        <f t="shared" si="205"/>
        <v>17999.410000000003</v>
      </c>
      <c r="P364" s="203">
        <f t="shared" si="205"/>
        <v>5947.2499999999991</v>
      </c>
      <c r="Q364" s="203">
        <f t="shared" si="205"/>
        <v>36.76</v>
      </c>
      <c r="R364" s="203">
        <f t="shared" si="205"/>
        <v>36278.19</v>
      </c>
    </row>
    <row r="365" spans="1:18" s="359" customFormat="1" ht="11.25" customHeight="1" x14ac:dyDescent="0.2">
      <c r="A365" s="308">
        <v>2011</v>
      </c>
      <c r="B365" s="203" t="str">
        <f t="shared" ref="B365:I365" si="206">+B228</f>
        <v>-</v>
      </c>
      <c r="C365" s="203" t="str">
        <f t="shared" si="206"/>
        <v>-</v>
      </c>
      <c r="D365" s="203">
        <f t="shared" si="206"/>
        <v>2860.82</v>
      </c>
      <c r="E365" s="203">
        <f t="shared" si="206"/>
        <v>8270.7599999999984</v>
      </c>
      <c r="F365" s="203">
        <f t="shared" si="206"/>
        <v>17177.82</v>
      </c>
      <c r="G365" s="203">
        <f t="shared" si="206"/>
        <v>888.87</v>
      </c>
      <c r="H365" s="203">
        <f t="shared" si="206"/>
        <v>5</v>
      </c>
      <c r="I365" s="203">
        <f t="shared" si="206"/>
        <v>29203.270000000004</v>
      </c>
      <c r="J365" s="197"/>
      <c r="K365" s="203" t="str">
        <f t="shared" ref="K365:R365" si="207">+K228</f>
        <v>-</v>
      </c>
      <c r="L365" s="203" t="str">
        <f t="shared" si="207"/>
        <v>-</v>
      </c>
      <c r="M365" s="203">
        <f t="shared" si="207"/>
        <v>619.72</v>
      </c>
      <c r="N365" s="203">
        <f t="shared" si="207"/>
        <v>12093.21</v>
      </c>
      <c r="O365" s="203">
        <f t="shared" si="207"/>
        <v>21372.17</v>
      </c>
      <c r="P365" s="203">
        <f t="shared" si="207"/>
        <v>5494.25</v>
      </c>
      <c r="Q365" s="203">
        <f t="shared" si="207"/>
        <v>2.4500000000000002</v>
      </c>
      <c r="R365" s="203">
        <f t="shared" si="207"/>
        <v>39581.799999999996</v>
      </c>
    </row>
    <row r="366" spans="1:18" s="359" customFormat="1" ht="11.25" customHeight="1" x14ac:dyDescent="0.2">
      <c r="A366" s="308">
        <v>2012</v>
      </c>
      <c r="B366" s="203" t="str">
        <f t="shared" ref="B366:I366" si="208">+B229</f>
        <v>-</v>
      </c>
      <c r="C366" s="203" t="str">
        <f t="shared" si="208"/>
        <v>-</v>
      </c>
      <c r="D366" s="203">
        <f t="shared" si="208"/>
        <v>10264.960000000001</v>
      </c>
      <c r="E366" s="203">
        <f t="shared" si="208"/>
        <v>10219.549999999999</v>
      </c>
      <c r="F366" s="203">
        <f t="shared" si="208"/>
        <v>11016.12</v>
      </c>
      <c r="G366" s="203">
        <f t="shared" si="208"/>
        <v>2095.63</v>
      </c>
      <c r="H366" s="203">
        <f t="shared" si="208"/>
        <v>132.59</v>
      </c>
      <c r="I366" s="203">
        <f t="shared" si="208"/>
        <v>33728.850000000006</v>
      </c>
      <c r="J366" s="197"/>
      <c r="K366" s="203" t="str">
        <f t="shared" ref="K366:R366" si="209">+K229</f>
        <v>-</v>
      </c>
      <c r="L366" s="203" t="str">
        <f t="shared" si="209"/>
        <v>-</v>
      </c>
      <c r="M366" s="203">
        <f t="shared" si="209"/>
        <v>407.48</v>
      </c>
      <c r="N366" s="203">
        <f t="shared" si="209"/>
        <v>10296.51</v>
      </c>
      <c r="O366" s="203">
        <f t="shared" si="209"/>
        <v>11942.22</v>
      </c>
      <c r="P366" s="203">
        <f t="shared" si="209"/>
        <v>8767.2100000000009</v>
      </c>
      <c r="Q366" s="203">
        <f t="shared" si="209"/>
        <v>20.81</v>
      </c>
      <c r="R366" s="203">
        <f t="shared" si="209"/>
        <v>31434.230000000003</v>
      </c>
    </row>
    <row r="367" spans="1:18" s="359" customFormat="1" ht="11.25" customHeight="1" x14ac:dyDescent="0.2">
      <c r="A367" s="308">
        <v>2013</v>
      </c>
      <c r="B367" s="203" t="str">
        <f t="shared" ref="B367:I367" si="210">+B230</f>
        <v>-</v>
      </c>
      <c r="C367" s="203">
        <f t="shared" si="210"/>
        <v>130.57999999999998</v>
      </c>
      <c r="D367" s="203">
        <f t="shared" si="210"/>
        <v>4226.4299999999994</v>
      </c>
      <c r="E367" s="203">
        <f t="shared" si="210"/>
        <v>8718.93</v>
      </c>
      <c r="F367" s="203">
        <f t="shared" si="210"/>
        <v>13734.3</v>
      </c>
      <c r="G367" s="203">
        <f t="shared" si="210"/>
        <v>1988.93</v>
      </c>
      <c r="H367" s="203">
        <f t="shared" si="210"/>
        <v>118.68</v>
      </c>
      <c r="I367" s="203">
        <f t="shared" si="210"/>
        <v>28917.85</v>
      </c>
      <c r="J367" s="197"/>
      <c r="K367" s="203" t="str">
        <f t="shared" ref="K367:R367" si="211">+K230</f>
        <v>-</v>
      </c>
      <c r="L367" s="203" t="str">
        <f t="shared" si="211"/>
        <v>-</v>
      </c>
      <c r="M367" s="203">
        <f t="shared" si="211"/>
        <v>2979.6000000000004</v>
      </c>
      <c r="N367" s="203">
        <f t="shared" si="211"/>
        <v>10625.59</v>
      </c>
      <c r="O367" s="203">
        <f t="shared" si="211"/>
        <v>25781.87</v>
      </c>
      <c r="P367" s="203">
        <f t="shared" si="211"/>
        <v>6735.22</v>
      </c>
      <c r="Q367" s="203">
        <f t="shared" si="211"/>
        <v>17.72</v>
      </c>
      <c r="R367" s="203">
        <f t="shared" si="211"/>
        <v>46140</v>
      </c>
    </row>
    <row r="368" spans="1:18" s="359" customFormat="1" ht="11.25" customHeight="1" x14ac:dyDescent="0.2">
      <c r="A368" s="308">
        <v>2014</v>
      </c>
      <c r="B368" s="203" t="str">
        <f t="shared" ref="B368:I368" si="212">+B231</f>
        <v>-</v>
      </c>
      <c r="C368" s="203">
        <f t="shared" si="212"/>
        <v>629.31000000000006</v>
      </c>
      <c r="D368" s="203">
        <f t="shared" si="212"/>
        <v>6026.5</v>
      </c>
      <c r="E368" s="203">
        <f t="shared" si="212"/>
        <v>15460.49</v>
      </c>
      <c r="F368" s="203">
        <f t="shared" si="212"/>
        <v>16174.01</v>
      </c>
      <c r="G368" s="203">
        <f t="shared" si="212"/>
        <v>1624.44</v>
      </c>
      <c r="H368" s="203">
        <f t="shared" si="212"/>
        <v>110.29</v>
      </c>
      <c r="I368" s="203">
        <f t="shared" si="212"/>
        <v>40025.040000000001</v>
      </c>
      <c r="J368" s="197"/>
      <c r="K368" s="203" t="str">
        <f t="shared" ref="K368:R368" si="213">+K231</f>
        <v>-</v>
      </c>
      <c r="L368" s="203" t="str">
        <f t="shared" si="213"/>
        <v>-</v>
      </c>
      <c r="M368" s="203">
        <f t="shared" si="213"/>
        <v>8448.01</v>
      </c>
      <c r="N368" s="203">
        <f t="shared" si="213"/>
        <v>35174.6</v>
      </c>
      <c r="O368" s="203">
        <f t="shared" si="213"/>
        <v>52411.149999999994</v>
      </c>
      <c r="P368" s="203">
        <f t="shared" si="213"/>
        <v>26824.080000000002</v>
      </c>
      <c r="Q368" s="203">
        <f t="shared" si="213"/>
        <v>199.14</v>
      </c>
      <c r="R368" s="203">
        <f t="shared" si="213"/>
        <v>123056.98</v>
      </c>
    </row>
    <row r="369" spans="1:18" s="359" customFormat="1" ht="11.25" customHeight="1" x14ac:dyDescent="0.2">
      <c r="A369" s="308">
        <v>2015</v>
      </c>
      <c r="B369" s="203" t="str">
        <f t="shared" ref="B369:I369" si="214">+B232</f>
        <v>-</v>
      </c>
      <c r="C369" s="203">
        <f t="shared" si="214"/>
        <v>595.16</v>
      </c>
      <c r="D369" s="203">
        <f t="shared" si="214"/>
        <v>6038.58</v>
      </c>
      <c r="E369" s="203">
        <f t="shared" si="214"/>
        <v>17080.86</v>
      </c>
      <c r="F369" s="203">
        <f t="shared" si="214"/>
        <v>10508.57</v>
      </c>
      <c r="G369" s="203">
        <f t="shared" si="214"/>
        <v>5043.3100000000004</v>
      </c>
      <c r="H369" s="203">
        <f t="shared" si="214"/>
        <v>164.41</v>
      </c>
      <c r="I369" s="203">
        <f t="shared" si="214"/>
        <v>39430.89</v>
      </c>
      <c r="J369" s="197"/>
      <c r="K369" s="203" t="str">
        <f t="shared" ref="K369:R369" si="215">+K232</f>
        <v>-</v>
      </c>
      <c r="L369" s="203" t="str">
        <f t="shared" si="215"/>
        <v>-</v>
      </c>
      <c r="M369" s="203">
        <f t="shared" si="215"/>
        <v>5214.9400000000005</v>
      </c>
      <c r="N369" s="203">
        <f t="shared" si="215"/>
        <v>27410.420000000002</v>
      </c>
      <c r="O369" s="203">
        <f t="shared" si="215"/>
        <v>24543.649999999998</v>
      </c>
      <c r="P369" s="203">
        <f t="shared" si="215"/>
        <v>17555.48</v>
      </c>
      <c r="Q369" s="203">
        <f t="shared" si="215"/>
        <v>12.74</v>
      </c>
      <c r="R369" s="203">
        <f t="shared" si="215"/>
        <v>74737.23000000001</v>
      </c>
    </row>
    <row r="370" spans="1:18" s="359" customFormat="1" ht="11.25" customHeight="1" x14ac:dyDescent="0.2">
      <c r="A370" s="308">
        <v>2016</v>
      </c>
      <c r="B370" s="203" t="str">
        <f t="shared" ref="B370:I370" si="216">+B233</f>
        <v>-</v>
      </c>
      <c r="C370" s="203" t="str">
        <f t="shared" si="216"/>
        <v>-</v>
      </c>
      <c r="D370" s="203" t="str">
        <f t="shared" si="216"/>
        <v>-</v>
      </c>
      <c r="E370" s="203">
        <f t="shared" si="216"/>
        <v>9518.99</v>
      </c>
      <c r="F370" s="203">
        <f t="shared" si="216"/>
        <v>7388.48</v>
      </c>
      <c r="G370" s="203" t="str">
        <f t="shared" si="216"/>
        <v>-</v>
      </c>
      <c r="H370" s="203" t="str">
        <f t="shared" si="216"/>
        <v>-</v>
      </c>
      <c r="I370" s="203">
        <f t="shared" si="216"/>
        <v>16907.47</v>
      </c>
      <c r="J370" s="197"/>
      <c r="K370" s="203" t="str">
        <f t="shared" ref="K370:R370" si="217">+K233</f>
        <v>-</v>
      </c>
      <c r="L370" s="203" t="str">
        <f t="shared" si="217"/>
        <v>-</v>
      </c>
      <c r="M370" s="203" t="str">
        <f t="shared" si="217"/>
        <v>-</v>
      </c>
      <c r="N370" s="203">
        <f t="shared" si="217"/>
        <v>4754.9900000000007</v>
      </c>
      <c r="O370" s="203">
        <f t="shared" si="217"/>
        <v>11303.630000000001</v>
      </c>
      <c r="P370" s="203" t="str">
        <f t="shared" si="217"/>
        <v>-</v>
      </c>
      <c r="Q370" s="203" t="str">
        <f t="shared" si="217"/>
        <v>-</v>
      </c>
      <c r="R370" s="203">
        <f t="shared" si="217"/>
        <v>16058.62</v>
      </c>
    </row>
    <row r="371" spans="1:18" s="359" customFormat="1" ht="11.25" customHeight="1" x14ac:dyDescent="0.2">
      <c r="A371" s="348">
        <v>2017</v>
      </c>
      <c r="B371" s="203" t="str">
        <f t="shared" ref="B371:I371" si="218">+B234</f>
        <v>-</v>
      </c>
      <c r="C371" s="203" t="str">
        <f t="shared" si="218"/>
        <v>-</v>
      </c>
      <c r="D371" s="203">
        <f t="shared" si="218"/>
        <v>569.28</v>
      </c>
      <c r="E371" s="203">
        <f t="shared" si="218"/>
        <v>12781.34</v>
      </c>
      <c r="F371" s="203">
        <f t="shared" si="218"/>
        <v>6595.83</v>
      </c>
      <c r="G371" s="203">
        <f t="shared" si="218"/>
        <v>90.74</v>
      </c>
      <c r="H371" s="203" t="str">
        <f t="shared" si="218"/>
        <v>-</v>
      </c>
      <c r="I371" s="203">
        <f t="shared" si="218"/>
        <v>20037.190000000002</v>
      </c>
      <c r="J371" s="197"/>
      <c r="K371" s="203" t="str">
        <f t="shared" ref="K371:R371" si="219">+K234</f>
        <v>-</v>
      </c>
      <c r="L371" s="203" t="str">
        <f t="shared" si="219"/>
        <v>-</v>
      </c>
      <c r="M371" s="203">
        <f t="shared" si="219"/>
        <v>87.710000000000008</v>
      </c>
      <c r="N371" s="203">
        <f t="shared" si="219"/>
        <v>14314.33</v>
      </c>
      <c r="O371" s="203">
        <f t="shared" si="219"/>
        <v>20755.149999999998</v>
      </c>
      <c r="P371" s="203">
        <f t="shared" si="219"/>
        <v>929.59999999999991</v>
      </c>
      <c r="Q371" s="203" t="str">
        <f t="shared" si="219"/>
        <v>-</v>
      </c>
      <c r="R371" s="203">
        <f t="shared" si="219"/>
        <v>36086.789999999994</v>
      </c>
    </row>
    <row r="372" spans="1:18" s="359" customFormat="1" ht="11.25" customHeight="1" x14ac:dyDescent="0.2">
      <c r="A372" s="348">
        <v>2018</v>
      </c>
      <c r="B372" s="203" t="str">
        <f t="shared" ref="B372:I372" si="220">+B235</f>
        <v>-</v>
      </c>
      <c r="C372" s="203" t="str">
        <f t="shared" si="220"/>
        <v>-</v>
      </c>
      <c r="D372" s="203">
        <f t="shared" si="220"/>
        <v>832.96</v>
      </c>
      <c r="E372" s="203">
        <f t="shared" si="220"/>
        <v>5414.0300000000007</v>
      </c>
      <c r="F372" s="203">
        <f t="shared" si="220"/>
        <v>3610.67</v>
      </c>
      <c r="G372" s="203">
        <f t="shared" si="220"/>
        <v>55.63</v>
      </c>
      <c r="H372" s="203" t="str">
        <f t="shared" si="220"/>
        <v>-</v>
      </c>
      <c r="I372" s="203">
        <f t="shared" si="220"/>
        <v>9913.2900000000009</v>
      </c>
      <c r="J372" s="197"/>
      <c r="K372" s="203" t="str">
        <f t="shared" ref="K372:R372" si="221">+K235</f>
        <v>-</v>
      </c>
      <c r="L372" s="203" t="str">
        <f t="shared" si="221"/>
        <v>-</v>
      </c>
      <c r="M372" s="203">
        <f t="shared" si="221"/>
        <v>831.94</v>
      </c>
      <c r="N372" s="203">
        <f t="shared" si="221"/>
        <v>9580.68</v>
      </c>
      <c r="O372" s="203">
        <f t="shared" si="221"/>
        <v>23951.99</v>
      </c>
      <c r="P372" s="203">
        <f t="shared" si="221"/>
        <v>345.28999999999996</v>
      </c>
      <c r="Q372" s="203" t="str">
        <f t="shared" si="221"/>
        <v>-</v>
      </c>
      <c r="R372" s="203">
        <f t="shared" si="221"/>
        <v>34709.9</v>
      </c>
    </row>
    <row r="373" spans="1:18" s="487" customFormat="1" ht="11.25" customHeight="1" x14ac:dyDescent="0.2">
      <c r="A373" s="491">
        <v>2019</v>
      </c>
      <c r="B373" s="203" t="str">
        <f t="shared" ref="B373:I374" si="222">+B236</f>
        <v>-</v>
      </c>
      <c r="C373" s="203" t="str">
        <f t="shared" si="222"/>
        <v>-</v>
      </c>
      <c r="D373" s="203">
        <f t="shared" si="222"/>
        <v>1846.9900000000002</v>
      </c>
      <c r="E373" s="203">
        <f t="shared" si="222"/>
        <v>5297.1900000000005</v>
      </c>
      <c r="F373" s="203">
        <f t="shared" si="222"/>
        <v>2036.5500000000002</v>
      </c>
      <c r="G373" s="203">
        <f t="shared" si="222"/>
        <v>238.18</v>
      </c>
      <c r="H373" s="203">
        <f t="shared" si="222"/>
        <v>164.35</v>
      </c>
      <c r="I373" s="203">
        <f t="shared" si="222"/>
        <v>9583.26</v>
      </c>
      <c r="J373" s="197"/>
      <c r="K373" s="203" t="str">
        <f t="shared" ref="K373:R374" si="223">+K236</f>
        <v>-</v>
      </c>
      <c r="L373" s="203" t="str">
        <f t="shared" si="223"/>
        <v>-</v>
      </c>
      <c r="M373" s="203">
        <f t="shared" si="223"/>
        <v>4603.3500000000004</v>
      </c>
      <c r="N373" s="203">
        <f t="shared" si="223"/>
        <v>25944.400000000001</v>
      </c>
      <c r="O373" s="203">
        <f t="shared" si="223"/>
        <v>30786.090000000004</v>
      </c>
      <c r="P373" s="203">
        <f t="shared" si="223"/>
        <v>3074.8500000000004</v>
      </c>
      <c r="Q373" s="203">
        <f t="shared" si="223"/>
        <v>15.86</v>
      </c>
      <c r="R373" s="203">
        <f t="shared" si="223"/>
        <v>64424.55</v>
      </c>
    </row>
    <row r="374" spans="1:18" ht="11.25" customHeight="1" x14ac:dyDescent="0.2">
      <c r="A374" s="496" t="s">
        <v>396</v>
      </c>
      <c r="B374" s="20" t="str">
        <f t="shared" si="222"/>
        <v>-</v>
      </c>
      <c r="C374" s="20" t="str">
        <f t="shared" si="222"/>
        <v>-</v>
      </c>
      <c r="D374" s="20">
        <f t="shared" si="222"/>
        <v>810.3</v>
      </c>
      <c r="E374" s="20">
        <f t="shared" si="222"/>
        <v>4627.3599999999997</v>
      </c>
      <c r="F374" s="20">
        <f t="shared" si="222"/>
        <v>1591.84</v>
      </c>
      <c r="G374" s="20">
        <f t="shared" si="222"/>
        <v>478.51</v>
      </c>
      <c r="H374" s="20" t="str">
        <f t="shared" si="222"/>
        <v>-</v>
      </c>
      <c r="I374" s="20">
        <f t="shared" si="222"/>
        <v>7508.01</v>
      </c>
      <c r="J374" s="32"/>
      <c r="K374" s="20" t="str">
        <f t="shared" si="223"/>
        <v>-</v>
      </c>
      <c r="L374" s="20" t="str">
        <f t="shared" si="223"/>
        <v>-</v>
      </c>
      <c r="M374" s="20">
        <f t="shared" si="223"/>
        <v>49.98</v>
      </c>
      <c r="N374" s="20">
        <f t="shared" si="223"/>
        <v>13978.039999999999</v>
      </c>
      <c r="O374" s="20">
        <f t="shared" si="223"/>
        <v>3894.54</v>
      </c>
      <c r="P374" s="20">
        <f t="shared" si="223"/>
        <v>2327.23</v>
      </c>
      <c r="Q374" s="203" t="str">
        <f t="shared" si="223"/>
        <v>-</v>
      </c>
      <c r="R374" s="20">
        <f t="shared" si="223"/>
        <v>20249.79</v>
      </c>
    </row>
    <row r="375" spans="1:18" x14ac:dyDescent="0.2">
      <c r="A375" s="597" t="str">
        <f>+A238</f>
        <v>a/  Neah Bay and La Push statistics do not include estimates of 707 Chinook killed during Chinook nonretention fishery (July 19-August 20, 1987).</v>
      </c>
      <c r="B375" s="597"/>
      <c r="C375" s="597"/>
      <c r="D375" s="597"/>
      <c r="E375" s="597"/>
      <c r="F375" s="597"/>
      <c r="G375" s="597"/>
      <c r="H375" s="597"/>
      <c r="I375" s="597"/>
      <c r="J375" s="597"/>
      <c r="K375" s="597"/>
      <c r="L375" s="597"/>
      <c r="M375" s="597"/>
      <c r="N375" s="597"/>
      <c r="O375" s="597"/>
      <c r="P375" s="597"/>
      <c r="Q375" s="597"/>
      <c r="R375" s="597"/>
    </row>
    <row r="376" spans="1:18" x14ac:dyDescent="0.2">
      <c r="A376" s="584" t="str">
        <f>+A239</f>
        <v>b/  Includes catch from the Washington State waters Area 4B fishery in 1991, 1992, 1993, 1996, 1997, 1998, 2000, and 2008.</v>
      </c>
      <c r="B376" s="584"/>
      <c r="C376" s="584"/>
      <c r="D376" s="584"/>
      <c r="E376" s="584"/>
      <c r="F376" s="584"/>
      <c r="G376" s="584"/>
      <c r="H376" s="584"/>
      <c r="I376" s="584"/>
      <c r="J376" s="584"/>
      <c r="K376" s="584"/>
      <c r="L376" s="584"/>
      <c r="M376" s="584"/>
      <c r="N376" s="584"/>
      <c r="O376" s="584"/>
      <c r="P376" s="584"/>
      <c r="Q376" s="584"/>
      <c r="R376" s="584"/>
    </row>
    <row r="377" spans="1:18" x14ac:dyDescent="0.2">
      <c r="A377" s="584" t="str">
        <f>+A240</f>
        <v>c/  Preliminary.</v>
      </c>
      <c r="B377" s="584"/>
      <c r="C377" s="584"/>
      <c r="D377" s="584"/>
      <c r="E377" s="584"/>
      <c r="F377" s="584"/>
      <c r="G377" s="584"/>
      <c r="H377" s="584"/>
      <c r="I377" s="584"/>
      <c r="J377" s="584"/>
      <c r="K377" s="584"/>
      <c r="L377" s="584"/>
      <c r="M377" s="584"/>
      <c r="N377" s="584"/>
      <c r="O377" s="584"/>
      <c r="P377" s="584"/>
      <c r="Q377" s="584"/>
      <c r="R377" s="584"/>
    </row>
    <row r="378" spans="1:18" x14ac:dyDescent="0.2">
      <c r="A378" s="601" t="str">
        <f>+A241</f>
        <v>d/  Includes catch from the North Jetty when the ocean fishery was open; does not include catch reported as occurring inside the Columbia River mouth (North Jetty catch when the ocean fishery was closed, and Buoy 10 was open).</v>
      </c>
      <c r="B378" s="601"/>
      <c r="C378" s="601"/>
      <c r="D378" s="601"/>
      <c r="E378" s="601"/>
      <c r="F378" s="601"/>
      <c r="G378" s="601"/>
      <c r="H378" s="601"/>
      <c r="I378" s="601"/>
      <c r="J378" s="601"/>
      <c r="K378" s="601"/>
      <c r="L378" s="601"/>
      <c r="M378" s="601"/>
      <c r="N378" s="601"/>
      <c r="O378" s="601"/>
      <c r="P378" s="601"/>
      <c r="Q378" s="601"/>
      <c r="R378" s="601"/>
    </row>
    <row r="379" spans="1:18" x14ac:dyDescent="0.2">
      <c r="A379" s="601"/>
      <c r="B379" s="601"/>
      <c r="C379" s="601"/>
      <c r="D379" s="601"/>
      <c r="E379" s="601"/>
      <c r="F379" s="601"/>
      <c r="G379" s="601"/>
      <c r="H379" s="601"/>
      <c r="I379" s="601"/>
      <c r="J379" s="601"/>
      <c r="K379" s="601"/>
      <c r="L379" s="601"/>
      <c r="M379" s="601"/>
      <c r="N379" s="601"/>
      <c r="O379" s="601"/>
      <c r="P379" s="601"/>
      <c r="Q379" s="601"/>
      <c r="R379" s="601"/>
    </row>
    <row r="380" spans="1:18" ht="22.5" customHeight="1" x14ac:dyDescent="0.2">
      <c r="A380" s="601" t="str">
        <f>A243</f>
        <v xml:space="preserve">e/  The ports of Neah Bay and La Push were closed to public access in 2020 due to the COVID-19 pandemic. Catch shown in this table occurred in the adjacent catch areas and was landed into Sekiu. </v>
      </c>
      <c r="B380" s="601"/>
      <c r="C380" s="601"/>
      <c r="D380" s="601"/>
      <c r="E380" s="601"/>
      <c r="F380" s="601"/>
      <c r="G380" s="601"/>
      <c r="H380" s="601"/>
      <c r="I380" s="601"/>
      <c r="J380" s="601"/>
      <c r="K380" s="601"/>
      <c r="L380" s="601"/>
      <c r="M380" s="601"/>
      <c r="N380" s="601"/>
      <c r="O380" s="601"/>
      <c r="P380" s="601"/>
      <c r="Q380" s="601"/>
      <c r="R380" s="601"/>
    </row>
  </sheetData>
  <mergeCells count="19">
    <mergeCell ref="A1:R1"/>
    <mergeCell ref="B3:I3"/>
    <mergeCell ref="K3:R3"/>
    <mergeCell ref="A241:R242"/>
    <mergeCell ref="A257:R257"/>
    <mergeCell ref="A243:R243"/>
    <mergeCell ref="A351:R351"/>
    <mergeCell ref="B353:I353"/>
    <mergeCell ref="K353:R353"/>
    <mergeCell ref="A380:R380"/>
    <mergeCell ref="B259:I259"/>
    <mergeCell ref="K259:R259"/>
    <mergeCell ref="A375:R375"/>
    <mergeCell ref="A376:R376"/>
    <mergeCell ref="A377:R377"/>
    <mergeCell ref="A378:R379"/>
    <mergeCell ref="A304:R304"/>
    <mergeCell ref="B306:I306"/>
    <mergeCell ref="K306:R306"/>
  </mergeCells>
  <pageMargins left="0.7" right="0.7" top="0.75" bottom="0.75" header="0.3" footer="0.3"/>
  <pageSetup orientation="landscape" r:id="rId1"/>
  <rowBreaks count="2" manualBreakCount="2">
    <brk id="303" max="17" man="1"/>
    <brk id="350" max="17" man="1"/>
  </rowBreak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dimension ref="A1:I248"/>
  <sheetViews>
    <sheetView showGridLines="0" topLeftCell="A193" zoomScaleNormal="100" workbookViewId="0">
      <selection sqref="A1:J2"/>
    </sheetView>
  </sheetViews>
  <sheetFormatPr defaultColWidth="9" defaultRowHeight="11.25" x14ac:dyDescent="0.2"/>
  <cols>
    <col min="1" max="1" width="9.625" style="305" customWidth="1"/>
    <col min="2" max="8" width="8.625" style="24" customWidth="1"/>
    <col min="9" max="9" width="8" style="24" bestFit="1" customWidth="1"/>
    <col min="10" max="16384" width="9" style="1"/>
  </cols>
  <sheetData>
    <row r="1" spans="1:9" ht="11.25" customHeight="1" x14ac:dyDescent="0.2">
      <c r="A1" s="602" t="s">
        <v>201</v>
      </c>
      <c r="B1" s="602"/>
      <c r="C1" s="602"/>
      <c r="D1" s="602"/>
      <c r="E1" s="602"/>
      <c r="F1" s="602"/>
      <c r="G1" s="602"/>
      <c r="H1" s="602"/>
      <c r="I1" s="603"/>
    </row>
    <row r="2" spans="1:9" s="303" customFormat="1" ht="11.25" customHeight="1" x14ac:dyDescent="0.2">
      <c r="A2" s="603"/>
      <c r="B2" s="603"/>
      <c r="C2" s="603"/>
      <c r="D2" s="603"/>
      <c r="E2" s="603"/>
      <c r="F2" s="603"/>
      <c r="G2" s="603"/>
      <c r="H2" s="603"/>
      <c r="I2" s="603"/>
    </row>
    <row r="3" spans="1:9" s="312" customFormat="1" x14ac:dyDescent="0.2">
      <c r="A3" s="121" t="s">
        <v>33</v>
      </c>
      <c r="B3" s="304" t="s">
        <v>34</v>
      </c>
      <c r="C3" s="304" t="s">
        <v>35</v>
      </c>
      <c r="D3" s="304" t="s">
        <v>36</v>
      </c>
      <c r="E3" s="304" t="s">
        <v>37</v>
      </c>
      <c r="F3" s="304" t="s">
        <v>38</v>
      </c>
      <c r="G3" s="304" t="s">
        <v>39</v>
      </c>
      <c r="H3" s="304" t="s">
        <v>40</v>
      </c>
      <c r="I3" s="304" t="s">
        <v>28</v>
      </c>
    </row>
    <row r="4" spans="1:9" x14ac:dyDescent="0.2">
      <c r="A4" s="159" t="s">
        <v>65</v>
      </c>
      <c r="B4" s="37"/>
      <c r="C4" s="37"/>
      <c r="D4" s="37"/>
      <c r="E4" s="37"/>
      <c r="F4" s="37"/>
      <c r="G4" s="37"/>
      <c r="H4" s="37"/>
      <c r="I4" s="37"/>
    </row>
    <row r="5" spans="1:9" x14ac:dyDescent="0.2">
      <c r="A5" s="202">
        <v>1977</v>
      </c>
      <c r="B5" s="37">
        <v>0</v>
      </c>
      <c r="C5" s="37">
        <v>0</v>
      </c>
      <c r="D5" s="37">
        <v>15</v>
      </c>
      <c r="E5" s="37">
        <v>1667</v>
      </c>
      <c r="F5" s="37">
        <v>8714</v>
      </c>
      <c r="G5" s="37">
        <v>89</v>
      </c>
      <c r="H5" s="37">
        <v>0</v>
      </c>
      <c r="I5" s="37">
        <f t="shared" ref="I5:I11" si="0">SUM(B5:H5)</f>
        <v>10485</v>
      </c>
    </row>
    <row r="6" spans="1:9" x14ac:dyDescent="0.2">
      <c r="A6" s="202">
        <v>1979</v>
      </c>
      <c r="B6" s="196">
        <v>17</v>
      </c>
      <c r="C6" s="196">
        <v>1</v>
      </c>
      <c r="D6" s="196">
        <v>308</v>
      </c>
      <c r="E6" s="196">
        <v>2375</v>
      </c>
      <c r="F6" s="196">
        <v>8408</v>
      </c>
      <c r="G6" s="196">
        <v>646</v>
      </c>
      <c r="H6" s="196">
        <v>24</v>
      </c>
      <c r="I6" s="37">
        <f t="shared" si="0"/>
        <v>11779</v>
      </c>
    </row>
    <row r="7" spans="1:9" x14ac:dyDescent="0.2">
      <c r="A7" s="202">
        <v>1981</v>
      </c>
      <c r="B7" s="196" t="s">
        <v>29</v>
      </c>
      <c r="C7" s="196">
        <v>18</v>
      </c>
      <c r="D7" s="196">
        <v>7</v>
      </c>
      <c r="E7" s="196">
        <v>1787</v>
      </c>
      <c r="F7" s="196">
        <f>5594+371</f>
        <v>5965</v>
      </c>
      <c r="G7" s="196" t="s">
        <v>29</v>
      </c>
      <c r="H7" s="196">
        <v>27</v>
      </c>
      <c r="I7" s="37">
        <f t="shared" si="0"/>
        <v>7804</v>
      </c>
    </row>
    <row r="8" spans="1:9" x14ac:dyDescent="0.2">
      <c r="A8" s="202">
        <v>1983</v>
      </c>
      <c r="B8" s="196" t="s">
        <v>29</v>
      </c>
      <c r="C8" s="196" t="s">
        <v>29</v>
      </c>
      <c r="D8" s="196" t="s">
        <v>29</v>
      </c>
      <c r="E8" s="196">
        <v>409</v>
      </c>
      <c r="F8" s="196">
        <v>3605</v>
      </c>
      <c r="G8" s="196">
        <v>154</v>
      </c>
      <c r="H8" s="196" t="s">
        <v>29</v>
      </c>
      <c r="I8" s="37">
        <f t="shared" si="0"/>
        <v>4168</v>
      </c>
    </row>
    <row r="9" spans="1:9" x14ac:dyDescent="0.2">
      <c r="A9" s="202">
        <v>1985</v>
      </c>
      <c r="B9" s="196" t="s">
        <v>29</v>
      </c>
      <c r="C9" s="196" t="s">
        <v>29</v>
      </c>
      <c r="D9" s="196">
        <v>0</v>
      </c>
      <c r="E9" s="196">
        <v>143</v>
      </c>
      <c r="F9" s="196">
        <v>1071</v>
      </c>
      <c r="G9" s="196">
        <v>9</v>
      </c>
      <c r="H9" s="196" t="s">
        <v>29</v>
      </c>
      <c r="I9" s="37">
        <f t="shared" si="0"/>
        <v>1223</v>
      </c>
    </row>
    <row r="10" spans="1:9" x14ac:dyDescent="0.2">
      <c r="A10" s="308">
        <v>1987</v>
      </c>
      <c r="B10" s="196" t="s">
        <v>29</v>
      </c>
      <c r="C10" s="196" t="s">
        <v>29</v>
      </c>
      <c r="D10" s="196">
        <v>6</v>
      </c>
      <c r="E10" s="196">
        <v>686</v>
      </c>
      <c r="F10" s="196">
        <v>713</v>
      </c>
      <c r="G10" s="196" t="s">
        <v>29</v>
      </c>
      <c r="H10" s="196" t="s">
        <v>29</v>
      </c>
      <c r="I10" s="37">
        <f t="shared" si="0"/>
        <v>1405</v>
      </c>
    </row>
    <row r="11" spans="1:9" x14ac:dyDescent="0.2">
      <c r="A11" s="202" t="s">
        <v>268</v>
      </c>
      <c r="B11" s="196" t="s">
        <v>29</v>
      </c>
      <c r="C11" s="196">
        <v>0</v>
      </c>
      <c r="D11" s="196">
        <v>0</v>
      </c>
      <c r="E11" s="196">
        <v>1443</v>
      </c>
      <c r="F11" s="196">
        <v>295</v>
      </c>
      <c r="G11" s="196">
        <v>202</v>
      </c>
      <c r="H11" s="196" t="s">
        <v>29</v>
      </c>
      <c r="I11" s="37">
        <f t="shared" si="0"/>
        <v>1940</v>
      </c>
    </row>
    <row r="12" spans="1:9" x14ac:dyDescent="0.2">
      <c r="A12" s="202" t="s">
        <v>270</v>
      </c>
      <c r="B12" s="37" t="s">
        <v>29</v>
      </c>
      <c r="C12" s="37" t="s">
        <v>29</v>
      </c>
      <c r="D12" s="37" t="s">
        <v>29</v>
      </c>
      <c r="E12" s="37">
        <v>479</v>
      </c>
      <c r="F12" s="37">
        <v>1543</v>
      </c>
      <c r="G12" s="37">
        <v>0</v>
      </c>
      <c r="H12" s="37" t="s">
        <v>29</v>
      </c>
      <c r="I12" s="37">
        <f>SUM(B12:H12)</f>
        <v>2022</v>
      </c>
    </row>
    <row r="13" spans="1:9" x14ac:dyDescent="0.2">
      <c r="A13" s="202" t="s">
        <v>272</v>
      </c>
      <c r="B13" s="37" t="s">
        <v>29</v>
      </c>
      <c r="C13" s="37">
        <v>0</v>
      </c>
      <c r="D13" s="37" t="s">
        <v>29</v>
      </c>
      <c r="E13" s="37">
        <v>609</v>
      </c>
      <c r="F13" s="37">
        <v>1264</v>
      </c>
      <c r="G13" s="37">
        <v>371</v>
      </c>
      <c r="H13" s="37" t="s">
        <v>29</v>
      </c>
      <c r="I13" s="37">
        <f t="shared" ref="I13:I18" si="1">SUM(B13:H13)</f>
        <v>2244</v>
      </c>
    </row>
    <row r="14" spans="1:9" x14ac:dyDescent="0.2">
      <c r="A14" s="308">
        <v>1995</v>
      </c>
      <c r="B14" s="37" t="s">
        <v>29</v>
      </c>
      <c r="C14" s="37" t="s">
        <v>29</v>
      </c>
      <c r="D14" s="37" t="s">
        <v>29</v>
      </c>
      <c r="E14" s="37" t="s">
        <v>29</v>
      </c>
      <c r="F14" s="37">
        <v>2578</v>
      </c>
      <c r="G14" s="196">
        <v>30</v>
      </c>
      <c r="H14" s="37" t="s">
        <v>29</v>
      </c>
      <c r="I14" s="37">
        <f t="shared" si="1"/>
        <v>2608</v>
      </c>
    </row>
    <row r="15" spans="1:9" x14ac:dyDescent="0.2">
      <c r="A15" s="202" t="s">
        <v>275</v>
      </c>
      <c r="B15" s="37" t="s">
        <v>29</v>
      </c>
      <c r="C15" s="37" t="s">
        <v>29</v>
      </c>
      <c r="D15" s="37" t="s">
        <v>29</v>
      </c>
      <c r="E15" s="37">
        <v>79</v>
      </c>
      <c r="F15" s="37">
        <v>498</v>
      </c>
      <c r="G15" s="37" t="s">
        <v>29</v>
      </c>
      <c r="H15" s="37" t="s">
        <v>29</v>
      </c>
      <c r="I15" s="37">
        <v>577</v>
      </c>
    </row>
    <row r="16" spans="1:9" x14ac:dyDescent="0.2">
      <c r="A16" s="202">
        <v>1999</v>
      </c>
      <c r="B16" s="37" t="s">
        <v>29</v>
      </c>
      <c r="C16" s="37" t="s">
        <v>29</v>
      </c>
      <c r="D16" s="37" t="s">
        <v>29</v>
      </c>
      <c r="E16" s="37">
        <v>730</v>
      </c>
      <c r="F16" s="37">
        <v>1165</v>
      </c>
      <c r="G16" s="37">
        <v>81</v>
      </c>
      <c r="H16" s="37" t="s">
        <v>29</v>
      </c>
      <c r="I16" s="37">
        <f t="shared" si="1"/>
        <v>1976</v>
      </c>
    </row>
    <row r="17" spans="1:9" x14ac:dyDescent="0.2">
      <c r="A17" s="202">
        <v>2001</v>
      </c>
      <c r="B17" s="37" t="s">
        <v>29</v>
      </c>
      <c r="C17" s="37" t="s">
        <v>29</v>
      </c>
      <c r="D17" s="37" t="s">
        <v>29</v>
      </c>
      <c r="E17" s="37">
        <v>1715</v>
      </c>
      <c r="F17" s="37">
        <v>1081</v>
      </c>
      <c r="G17" s="37">
        <v>3</v>
      </c>
      <c r="H17" s="37" t="s">
        <v>29</v>
      </c>
      <c r="I17" s="37">
        <f t="shared" si="1"/>
        <v>2799</v>
      </c>
    </row>
    <row r="18" spans="1:9" x14ac:dyDescent="0.2">
      <c r="A18" s="202">
        <v>2003</v>
      </c>
      <c r="B18" s="37" t="s">
        <v>29</v>
      </c>
      <c r="C18" s="37" t="s">
        <v>29</v>
      </c>
      <c r="D18" s="37">
        <v>6</v>
      </c>
      <c r="E18" s="37">
        <v>2863</v>
      </c>
      <c r="F18" s="37">
        <v>5136</v>
      </c>
      <c r="G18" s="37">
        <v>120</v>
      </c>
      <c r="H18" s="37" t="s">
        <v>29</v>
      </c>
      <c r="I18" s="37">
        <f t="shared" si="1"/>
        <v>8125</v>
      </c>
    </row>
    <row r="19" spans="1:9" x14ac:dyDescent="0.2">
      <c r="A19" s="202">
        <v>2005</v>
      </c>
      <c r="B19" s="37" t="s">
        <v>29</v>
      </c>
      <c r="C19" s="37" t="s">
        <v>29</v>
      </c>
      <c r="D19" s="37" t="s">
        <v>29</v>
      </c>
      <c r="E19" s="37">
        <v>1456</v>
      </c>
      <c r="F19" s="37">
        <v>1375</v>
      </c>
      <c r="G19" s="37">
        <v>62</v>
      </c>
      <c r="H19" s="37" t="s">
        <v>29</v>
      </c>
      <c r="I19" s="37">
        <f>SUM(B19:H19)</f>
        <v>2893</v>
      </c>
    </row>
    <row r="20" spans="1:9" x14ac:dyDescent="0.2">
      <c r="A20" s="202">
        <v>2007</v>
      </c>
      <c r="B20" s="37" t="s">
        <v>29</v>
      </c>
      <c r="C20" s="37" t="s">
        <v>29</v>
      </c>
      <c r="D20" s="37" t="s">
        <v>29</v>
      </c>
      <c r="E20" s="37">
        <v>1267.54</v>
      </c>
      <c r="F20" s="37">
        <v>2765.9</v>
      </c>
      <c r="G20" s="37">
        <v>0</v>
      </c>
      <c r="H20" s="37" t="s">
        <v>29</v>
      </c>
      <c r="I20" s="37">
        <f t="shared" ref="I20:I26" si="2">SUM(B20:H20)</f>
        <v>4033.44</v>
      </c>
    </row>
    <row r="21" spans="1:9" s="293" customFormat="1" x14ac:dyDescent="0.2">
      <c r="A21" s="202">
        <v>2009</v>
      </c>
      <c r="B21" s="37" t="s">
        <v>29</v>
      </c>
      <c r="C21" s="37" t="s">
        <v>29</v>
      </c>
      <c r="D21" s="37">
        <v>8.58</v>
      </c>
      <c r="E21" s="37">
        <v>2590.79</v>
      </c>
      <c r="F21" s="37">
        <v>4266.09</v>
      </c>
      <c r="G21" s="37">
        <v>270.14999999999998</v>
      </c>
      <c r="H21" s="37" t="s">
        <v>29</v>
      </c>
      <c r="I21" s="37">
        <f t="shared" si="2"/>
        <v>7135.61</v>
      </c>
    </row>
    <row r="22" spans="1:9" s="293" customFormat="1" x14ac:dyDescent="0.2">
      <c r="A22" s="202">
        <v>2011</v>
      </c>
      <c r="B22" s="37" t="s">
        <v>29</v>
      </c>
      <c r="C22" s="37" t="s">
        <v>29</v>
      </c>
      <c r="D22" s="37">
        <v>33.020000000000003</v>
      </c>
      <c r="E22" s="37">
        <v>3319.93</v>
      </c>
      <c r="F22" s="37">
        <v>3960.49</v>
      </c>
      <c r="G22" s="37">
        <v>159.34</v>
      </c>
      <c r="H22" s="37" t="s">
        <v>29</v>
      </c>
      <c r="I22" s="37">
        <f t="shared" si="2"/>
        <v>7472.78</v>
      </c>
    </row>
    <row r="23" spans="1:9" s="293" customFormat="1" x14ac:dyDescent="0.2">
      <c r="A23" s="202">
        <v>2013</v>
      </c>
      <c r="B23" s="37" t="s">
        <v>29</v>
      </c>
      <c r="C23" s="37" t="s">
        <v>29</v>
      </c>
      <c r="D23" s="37">
        <v>30.669999999999998</v>
      </c>
      <c r="E23" s="37">
        <v>4087.57</v>
      </c>
      <c r="F23" s="37">
        <v>1865.98</v>
      </c>
      <c r="G23" s="37">
        <v>12.86</v>
      </c>
      <c r="H23" s="37" t="s">
        <v>29</v>
      </c>
      <c r="I23" s="37">
        <f t="shared" si="2"/>
        <v>5997.079999999999</v>
      </c>
    </row>
    <row r="24" spans="1:9" s="293" customFormat="1" x14ac:dyDescent="0.2">
      <c r="A24" s="202">
        <v>2015</v>
      </c>
      <c r="B24" s="37" t="s">
        <v>29</v>
      </c>
      <c r="C24" s="37" t="s">
        <v>29</v>
      </c>
      <c r="D24" s="37">
        <v>802.56000000000006</v>
      </c>
      <c r="E24" s="37">
        <v>4984.41</v>
      </c>
      <c r="F24" s="37">
        <v>592.66</v>
      </c>
      <c r="G24" s="37">
        <v>5.3</v>
      </c>
      <c r="H24" s="37" t="s">
        <v>29</v>
      </c>
      <c r="I24" s="37">
        <f t="shared" si="2"/>
        <v>6384.93</v>
      </c>
    </row>
    <row r="25" spans="1:9" s="347" customFormat="1" x14ac:dyDescent="0.2">
      <c r="A25" s="348">
        <v>2017</v>
      </c>
      <c r="B25" s="37" t="s">
        <v>29</v>
      </c>
      <c r="C25" s="37" t="s">
        <v>29</v>
      </c>
      <c r="D25" s="37">
        <v>1.44</v>
      </c>
      <c r="E25" s="37">
        <v>367.81</v>
      </c>
      <c r="F25" s="37">
        <v>299.3</v>
      </c>
      <c r="G25" s="37">
        <v>7.35</v>
      </c>
      <c r="H25" s="37" t="s">
        <v>29</v>
      </c>
      <c r="I25" s="37">
        <f>SUM(B25:H25)</f>
        <v>675.9</v>
      </c>
    </row>
    <row r="26" spans="1:9" s="293" customFormat="1" x14ac:dyDescent="0.2">
      <c r="A26" s="348">
        <v>2019</v>
      </c>
      <c r="B26" s="37" t="s">
        <v>29</v>
      </c>
      <c r="C26" s="37" t="s">
        <v>29</v>
      </c>
      <c r="D26" s="37">
        <v>15.44</v>
      </c>
      <c r="E26" s="37">
        <v>259.92</v>
      </c>
      <c r="F26" s="37">
        <v>593.29999999999995</v>
      </c>
      <c r="G26" s="37">
        <v>0</v>
      </c>
      <c r="H26" s="37" t="s">
        <v>29</v>
      </c>
      <c r="I26" s="37">
        <f t="shared" si="2"/>
        <v>868.66</v>
      </c>
    </row>
    <row r="27" spans="1:9" x14ac:dyDescent="0.2">
      <c r="A27" s="202"/>
      <c r="B27" s="37"/>
      <c r="C27" s="37"/>
      <c r="D27" s="37"/>
      <c r="E27" s="37"/>
      <c r="F27" s="37"/>
      <c r="G27" s="37"/>
      <c r="H27" s="37"/>
      <c r="I27" s="37"/>
    </row>
    <row r="28" spans="1:9" x14ac:dyDescent="0.2">
      <c r="A28" s="159" t="s">
        <v>66</v>
      </c>
      <c r="B28" s="37"/>
      <c r="C28" s="37"/>
      <c r="D28" s="37"/>
      <c r="E28" s="37"/>
      <c r="F28" s="37"/>
      <c r="G28" s="37"/>
      <c r="H28" s="37"/>
      <c r="I28" s="37"/>
    </row>
    <row r="29" spans="1:9" x14ac:dyDescent="0.2">
      <c r="A29" s="202">
        <v>1977</v>
      </c>
      <c r="B29" s="196">
        <v>0</v>
      </c>
      <c r="C29" s="196">
        <v>0</v>
      </c>
      <c r="D29" s="37">
        <v>40</v>
      </c>
      <c r="E29" s="37">
        <v>600</v>
      </c>
      <c r="F29" s="37">
        <v>2328</v>
      </c>
      <c r="G29" s="37">
        <v>8</v>
      </c>
      <c r="H29" s="196">
        <v>0</v>
      </c>
      <c r="I29" s="37">
        <f t="shared" ref="I29:I50" si="3">SUM(B29:H29)</f>
        <v>2976</v>
      </c>
    </row>
    <row r="30" spans="1:9" x14ac:dyDescent="0.2">
      <c r="A30" s="202">
        <v>1979</v>
      </c>
      <c r="B30" s="37" t="s">
        <v>29</v>
      </c>
      <c r="C30" s="196">
        <v>1</v>
      </c>
      <c r="D30" s="196">
        <v>16</v>
      </c>
      <c r="E30" s="196">
        <v>259</v>
      </c>
      <c r="F30" s="196">
        <v>1529</v>
      </c>
      <c r="G30" s="196">
        <v>0</v>
      </c>
      <c r="H30" s="37" t="s">
        <v>29</v>
      </c>
      <c r="I30" s="37">
        <f t="shared" si="3"/>
        <v>1805</v>
      </c>
    </row>
    <row r="31" spans="1:9" x14ac:dyDescent="0.2">
      <c r="A31" s="202">
        <v>1981</v>
      </c>
      <c r="B31" s="37" t="s">
        <v>29</v>
      </c>
      <c r="C31" s="196">
        <v>0</v>
      </c>
      <c r="D31" s="196">
        <v>0</v>
      </c>
      <c r="E31" s="196">
        <v>0</v>
      </c>
      <c r="F31" s="196">
        <v>336</v>
      </c>
      <c r="G31" s="196" t="s">
        <v>29</v>
      </c>
      <c r="H31" s="37" t="s">
        <v>29</v>
      </c>
      <c r="I31" s="37">
        <f t="shared" si="3"/>
        <v>336</v>
      </c>
    </row>
    <row r="32" spans="1:9" x14ac:dyDescent="0.2">
      <c r="A32" s="202">
        <v>1983</v>
      </c>
      <c r="B32" s="37" t="s">
        <v>29</v>
      </c>
      <c r="C32" s="37" t="s">
        <v>29</v>
      </c>
      <c r="D32" s="37" t="s">
        <v>29</v>
      </c>
      <c r="E32" s="37">
        <v>7</v>
      </c>
      <c r="F32" s="37">
        <v>253</v>
      </c>
      <c r="G32" s="37">
        <v>1</v>
      </c>
      <c r="H32" s="37" t="s">
        <v>29</v>
      </c>
      <c r="I32" s="37">
        <f t="shared" si="3"/>
        <v>261</v>
      </c>
    </row>
    <row r="33" spans="1:9" x14ac:dyDescent="0.2">
      <c r="A33" s="202">
        <v>1985</v>
      </c>
      <c r="B33" s="37" t="s">
        <v>29</v>
      </c>
      <c r="C33" s="37" t="s">
        <v>29</v>
      </c>
      <c r="D33" s="196">
        <v>0</v>
      </c>
      <c r="E33" s="37">
        <v>9</v>
      </c>
      <c r="F33" s="37">
        <v>33</v>
      </c>
      <c r="G33" s="196">
        <v>0</v>
      </c>
      <c r="H33" s="37" t="s">
        <v>29</v>
      </c>
      <c r="I33" s="37">
        <f t="shared" si="3"/>
        <v>42</v>
      </c>
    </row>
    <row r="34" spans="1:9" x14ac:dyDescent="0.2">
      <c r="A34" s="202">
        <v>1987</v>
      </c>
      <c r="B34" s="37" t="s">
        <v>29</v>
      </c>
      <c r="C34" s="37" t="s">
        <v>29</v>
      </c>
      <c r="D34" s="196">
        <v>0</v>
      </c>
      <c r="E34" s="37">
        <v>12</v>
      </c>
      <c r="F34" s="37">
        <v>37</v>
      </c>
      <c r="G34" s="37" t="s">
        <v>29</v>
      </c>
      <c r="H34" s="37" t="s">
        <v>29</v>
      </c>
      <c r="I34" s="37">
        <f t="shared" si="3"/>
        <v>49</v>
      </c>
    </row>
    <row r="35" spans="1:9" x14ac:dyDescent="0.2">
      <c r="A35" s="202">
        <v>1989</v>
      </c>
      <c r="B35" s="37" t="s">
        <v>29</v>
      </c>
      <c r="C35" s="196">
        <v>0</v>
      </c>
      <c r="D35" s="196">
        <v>0</v>
      </c>
      <c r="E35" s="196">
        <v>0</v>
      </c>
      <c r="F35" s="37" t="s">
        <v>29</v>
      </c>
      <c r="G35" s="37" t="s">
        <v>29</v>
      </c>
      <c r="H35" s="37" t="s">
        <v>29</v>
      </c>
      <c r="I35" s="37">
        <f t="shared" si="3"/>
        <v>0</v>
      </c>
    </row>
    <row r="36" spans="1:9" x14ac:dyDescent="0.2">
      <c r="A36" s="202">
        <v>1991</v>
      </c>
      <c r="B36" s="37" t="s">
        <v>29</v>
      </c>
      <c r="C36" s="37" t="s">
        <v>29</v>
      </c>
      <c r="D36" s="37" t="s">
        <v>29</v>
      </c>
      <c r="E36" s="37">
        <v>46</v>
      </c>
      <c r="F36" s="37" t="s">
        <v>29</v>
      </c>
      <c r="G36" s="37" t="s">
        <v>29</v>
      </c>
      <c r="H36" s="37" t="s">
        <v>29</v>
      </c>
      <c r="I36" s="37">
        <f t="shared" si="3"/>
        <v>46</v>
      </c>
    </row>
    <row r="37" spans="1:9" x14ac:dyDescent="0.2">
      <c r="A37" s="202">
        <v>1993</v>
      </c>
      <c r="B37" s="37" t="s">
        <v>29</v>
      </c>
      <c r="C37" s="37" t="s">
        <v>29</v>
      </c>
      <c r="D37" s="37" t="s">
        <v>29</v>
      </c>
      <c r="E37" s="37">
        <v>46</v>
      </c>
      <c r="F37" s="37">
        <v>34</v>
      </c>
      <c r="G37" s="37">
        <v>4</v>
      </c>
      <c r="H37" s="37" t="s">
        <v>29</v>
      </c>
      <c r="I37" s="37">
        <f t="shared" si="3"/>
        <v>84</v>
      </c>
    </row>
    <row r="38" spans="1:9" x14ac:dyDescent="0.2">
      <c r="A38" s="202">
        <v>1995</v>
      </c>
      <c r="B38" s="37" t="s">
        <v>29</v>
      </c>
      <c r="C38" s="37" t="s">
        <v>29</v>
      </c>
      <c r="D38" s="37" t="s">
        <v>29</v>
      </c>
      <c r="E38" s="37" t="s">
        <v>29</v>
      </c>
      <c r="F38" s="37">
        <v>78</v>
      </c>
      <c r="G38" s="37">
        <v>11</v>
      </c>
      <c r="H38" s="37" t="s">
        <v>29</v>
      </c>
      <c r="I38" s="37">
        <f t="shared" si="3"/>
        <v>89</v>
      </c>
    </row>
    <row r="39" spans="1:9" x14ac:dyDescent="0.2">
      <c r="A39" s="202">
        <v>1997</v>
      </c>
      <c r="B39" s="37" t="s">
        <v>29</v>
      </c>
      <c r="C39" s="37" t="s">
        <v>29</v>
      </c>
      <c r="D39" s="37" t="s">
        <v>29</v>
      </c>
      <c r="E39" s="37">
        <v>195</v>
      </c>
      <c r="F39" s="37">
        <v>0</v>
      </c>
      <c r="G39" s="37" t="s">
        <v>29</v>
      </c>
      <c r="H39" s="37" t="s">
        <v>29</v>
      </c>
      <c r="I39" s="37">
        <f t="shared" si="3"/>
        <v>195</v>
      </c>
    </row>
    <row r="40" spans="1:9" x14ac:dyDescent="0.2">
      <c r="A40" s="202">
        <v>1999</v>
      </c>
      <c r="B40" s="37" t="s">
        <v>29</v>
      </c>
      <c r="C40" s="37" t="s">
        <v>29</v>
      </c>
      <c r="D40" s="37" t="s">
        <v>29</v>
      </c>
      <c r="E40" s="37">
        <v>87</v>
      </c>
      <c r="F40" s="37">
        <v>47</v>
      </c>
      <c r="G40" s="37">
        <v>0</v>
      </c>
      <c r="H40" s="37" t="s">
        <v>29</v>
      </c>
      <c r="I40" s="37">
        <f t="shared" si="3"/>
        <v>134</v>
      </c>
    </row>
    <row r="41" spans="1:9" x14ac:dyDescent="0.2">
      <c r="A41" s="202">
        <v>2001</v>
      </c>
      <c r="B41" s="37" t="s">
        <v>29</v>
      </c>
      <c r="C41" s="37" t="s">
        <v>29</v>
      </c>
      <c r="D41" s="37" t="s">
        <v>29</v>
      </c>
      <c r="E41" s="37">
        <v>129</v>
      </c>
      <c r="F41" s="37">
        <v>32</v>
      </c>
      <c r="G41" s="37" t="s">
        <v>29</v>
      </c>
      <c r="H41" s="37" t="s">
        <v>29</v>
      </c>
      <c r="I41" s="37">
        <f t="shared" si="3"/>
        <v>161</v>
      </c>
    </row>
    <row r="42" spans="1:9" x14ac:dyDescent="0.2">
      <c r="A42" s="202">
        <v>2003</v>
      </c>
      <c r="B42" s="37" t="s">
        <v>29</v>
      </c>
      <c r="C42" s="37" t="s">
        <v>29</v>
      </c>
      <c r="D42" s="37">
        <v>4</v>
      </c>
      <c r="E42" s="37">
        <v>419</v>
      </c>
      <c r="F42" s="37">
        <v>459</v>
      </c>
      <c r="G42" s="37">
        <v>23</v>
      </c>
      <c r="H42" s="37">
        <v>0</v>
      </c>
      <c r="I42" s="37">
        <f t="shared" si="3"/>
        <v>905</v>
      </c>
    </row>
    <row r="43" spans="1:9" x14ac:dyDescent="0.2">
      <c r="A43" s="202">
        <v>2005</v>
      </c>
      <c r="B43" s="37" t="s">
        <v>29</v>
      </c>
      <c r="C43" s="37" t="s">
        <v>29</v>
      </c>
      <c r="D43" s="37" t="s">
        <v>29</v>
      </c>
      <c r="E43" s="37">
        <v>41</v>
      </c>
      <c r="F43" s="37">
        <v>167</v>
      </c>
      <c r="G43" s="37">
        <v>2</v>
      </c>
      <c r="H43" s="37">
        <v>0</v>
      </c>
      <c r="I43" s="37">
        <f t="shared" si="3"/>
        <v>210</v>
      </c>
    </row>
    <row r="44" spans="1:9" x14ac:dyDescent="0.2">
      <c r="A44" s="202">
        <v>2007</v>
      </c>
      <c r="B44" s="37" t="s">
        <v>29</v>
      </c>
      <c r="C44" s="37" t="s">
        <v>29</v>
      </c>
      <c r="D44" s="37" t="s">
        <v>29</v>
      </c>
      <c r="E44" s="37">
        <v>41.76</v>
      </c>
      <c r="F44" s="37">
        <v>83.96</v>
      </c>
      <c r="G44" s="37">
        <v>0</v>
      </c>
      <c r="H44" s="37">
        <v>0</v>
      </c>
      <c r="I44" s="37">
        <f t="shared" si="3"/>
        <v>125.72</v>
      </c>
    </row>
    <row r="45" spans="1:9" s="293" customFormat="1" ht="12" customHeight="1" x14ac:dyDescent="0.2">
      <c r="A45" s="202">
        <v>2009</v>
      </c>
      <c r="B45" s="37" t="s">
        <v>29</v>
      </c>
      <c r="C45" s="37" t="s">
        <v>29</v>
      </c>
      <c r="D45" s="37">
        <v>6.25</v>
      </c>
      <c r="E45" s="37">
        <v>147.61000000000001</v>
      </c>
      <c r="F45" s="37">
        <v>76.8</v>
      </c>
      <c r="G45" s="37">
        <v>0</v>
      </c>
      <c r="H45" s="37">
        <v>0</v>
      </c>
      <c r="I45" s="37">
        <f t="shared" si="3"/>
        <v>230.66000000000003</v>
      </c>
    </row>
    <row r="46" spans="1:9" s="293" customFormat="1" ht="10.9" customHeight="1" x14ac:dyDescent="0.2">
      <c r="A46" s="202">
        <v>2011</v>
      </c>
      <c r="B46" s="37" t="s">
        <v>29</v>
      </c>
      <c r="C46" s="37" t="s">
        <v>29</v>
      </c>
      <c r="D46" s="37">
        <v>4</v>
      </c>
      <c r="E46" s="37">
        <v>519.75</v>
      </c>
      <c r="F46" s="37">
        <v>928.94</v>
      </c>
      <c r="G46" s="37">
        <v>67.37</v>
      </c>
      <c r="H46" s="37">
        <v>0</v>
      </c>
      <c r="I46" s="37">
        <f t="shared" si="3"/>
        <v>1520.06</v>
      </c>
    </row>
    <row r="47" spans="1:9" s="293" customFormat="1" ht="12" customHeight="1" x14ac:dyDescent="0.2">
      <c r="A47" s="202">
        <v>2013</v>
      </c>
      <c r="B47" s="37" t="s">
        <v>29</v>
      </c>
      <c r="C47" s="37" t="s">
        <v>29</v>
      </c>
      <c r="D47" s="37">
        <v>3.3</v>
      </c>
      <c r="E47" s="37">
        <v>232.1</v>
      </c>
      <c r="F47" s="37">
        <v>406.22</v>
      </c>
      <c r="G47" s="37">
        <v>1.05</v>
      </c>
      <c r="H47" s="37">
        <v>0</v>
      </c>
      <c r="I47" s="37">
        <f t="shared" si="3"/>
        <v>642.66999999999996</v>
      </c>
    </row>
    <row r="48" spans="1:9" s="293" customFormat="1" ht="12" customHeight="1" x14ac:dyDescent="0.2">
      <c r="A48" s="202">
        <v>2015</v>
      </c>
      <c r="B48" s="37" t="s">
        <v>29</v>
      </c>
      <c r="C48" s="37" t="s">
        <v>29</v>
      </c>
      <c r="D48" s="37">
        <v>23.67</v>
      </c>
      <c r="E48" s="37">
        <v>113.4</v>
      </c>
      <c r="F48" s="37">
        <v>4.62</v>
      </c>
      <c r="G48" s="37">
        <v>0</v>
      </c>
      <c r="H48" s="37">
        <v>0</v>
      </c>
      <c r="I48" s="37">
        <f t="shared" si="3"/>
        <v>141.69</v>
      </c>
    </row>
    <row r="49" spans="1:9" s="347" customFormat="1" x14ac:dyDescent="0.2">
      <c r="A49" s="348">
        <v>2017</v>
      </c>
      <c r="B49" s="37" t="s">
        <v>29</v>
      </c>
      <c r="C49" s="37" t="s">
        <v>29</v>
      </c>
      <c r="D49" s="37">
        <v>0</v>
      </c>
      <c r="E49" s="37">
        <v>4</v>
      </c>
      <c r="F49" s="37">
        <v>7.83</v>
      </c>
      <c r="G49" s="37">
        <v>0</v>
      </c>
      <c r="H49" s="37">
        <v>0</v>
      </c>
      <c r="I49" s="37">
        <f>SUM(B49:H49)</f>
        <v>11.83</v>
      </c>
    </row>
    <row r="50" spans="1:9" s="293" customFormat="1" x14ac:dyDescent="0.2">
      <c r="A50" s="348">
        <v>2019</v>
      </c>
      <c r="B50" s="37" t="s">
        <v>29</v>
      </c>
      <c r="C50" s="37" t="s">
        <v>29</v>
      </c>
      <c r="D50" s="37">
        <v>0</v>
      </c>
      <c r="E50" s="37">
        <v>41.1</v>
      </c>
      <c r="F50" s="37">
        <v>165.38</v>
      </c>
      <c r="G50" s="37">
        <v>0</v>
      </c>
      <c r="H50" s="37">
        <v>0</v>
      </c>
      <c r="I50" s="37">
        <f t="shared" si="3"/>
        <v>206.48</v>
      </c>
    </row>
    <row r="51" spans="1:9" x14ac:dyDescent="0.2">
      <c r="A51" s="202"/>
      <c r="B51" s="37"/>
      <c r="C51" s="37"/>
      <c r="D51" s="37"/>
      <c r="E51" s="37"/>
      <c r="F51" s="37"/>
      <c r="G51" s="37"/>
      <c r="H51" s="37"/>
      <c r="I51" s="37"/>
    </row>
    <row r="52" spans="1:9" x14ac:dyDescent="0.2">
      <c r="A52" s="159" t="s">
        <v>64</v>
      </c>
      <c r="B52" s="37"/>
      <c r="C52" s="37"/>
      <c r="D52" s="37"/>
      <c r="E52" s="37"/>
      <c r="F52" s="37"/>
      <c r="G52" s="37"/>
      <c r="H52" s="37"/>
      <c r="I52" s="37"/>
    </row>
    <row r="53" spans="1:9" x14ac:dyDescent="0.2">
      <c r="A53" s="202">
        <v>1977</v>
      </c>
      <c r="B53" s="196">
        <v>0</v>
      </c>
      <c r="C53" s="37">
        <v>303</v>
      </c>
      <c r="D53" s="37">
        <v>1424</v>
      </c>
      <c r="E53" s="37">
        <v>11649</v>
      </c>
      <c r="F53" s="37">
        <v>909</v>
      </c>
      <c r="G53" s="37">
        <v>10</v>
      </c>
      <c r="H53" s="37">
        <v>0</v>
      </c>
      <c r="I53" s="37">
        <f t="shared" ref="I53:I66" si="4">SUM(B53:H53)</f>
        <v>14295</v>
      </c>
    </row>
    <row r="54" spans="1:9" x14ac:dyDescent="0.2">
      <c r="A54" s="202">
        <v>1979</v>
      </c>
      <c r="B54" s="37" t="s">
        <v>29</v>
      </c>
      <c r="C54" s="37">
        <v>40</v>
      </c>
      <c r="D54" s="37">
        <v>748</v>
      </c>
      <c r="E54" s="37">
        <v>990</v>
      </c>
      <c r="F54" s="37">
        <v>2188</v>
      </c>
      <c r="G54" s="37">
        <v>0</v>
      </c>
      <c r="H54" s="37" t="s">
        <v>29</v>
      </c>
      <c r="I54" s="37">
        <f t="shared" si="4"/>
        <v>3966</v>
      </c>
    </row>
    <row r="55" spans="1:9" x14ac:dyDescent="0.2">
      <c r="A55" s="202">
        <v>1981</v>
      </c>
      <c r="B55" s="37" t="s">
        <v>29</v>
      </c>
      <c r="C55" s="37">
        <v>31</v>
      </c>
      <c r="D55" s="37">
        <v>177</v>
      </c>
      <c r="E55" s="37">
        <v>771</v>
      </c>
      <c r="F55" s="37">
        <f>713+4</f>
        <v>717</v>
      </c>
      <c r="G55" s="37" t="s">
        <v>29</v>
      </c>
      <c r="H55" s="37" t="s">
        <v>29</v>
      </c>
      <c r="I55" s="37">
        <f t="shared" si="4"/>
        <v>1696</v>
      </c>
    </row>
    <row r="56" spans="1:9" x14ac:dyDescent="0.2">
      <c r="A56" s="202">
        <v>1983</v>
      </c>
      <c r="B56" s="37" t="s">
        <v>29</v>
      </c>
      <c r="C56" s="37">
        <v>0</v>
      </c>
      <c r="D56" s="37">
        <v>2</v>
      </c>
      <c r="E56" s="37">
        <v>26</v>
      </c>
      <c r="F56" s="37">
        <v>0</v>
      </c>
      <c r="G56" s="37">
        <v>2</v>
      </c>
      <c r="H56" s="37" t="s">
        <v>29</v>
      </c>
      <c r="I56" s="37">
        <f t="shared" si="4"/>
        <v>30</v>
      </c>
    </row>
    <row r="57" spans="1:9" x14ac:dyDescent="0.2">
      <c r="A57" s="202">
        <v>1985</v>
      </c>
      <c r="B57" s="37" t="s">
        <v>29</v>
      </c>
      <c r="C57" s="37" t="s">
        <v>29</v>
      </c>
      <c r="D57" s="37">
        <v>0</v>
      </c>
      <c r="E57" s="37">
        <v>695</v>
      </c>
      <c r="F57" s="37">
        <v>907</v>
      </c>
      <c r="G57" s="37">
        <v>4</v>
      </c>
      <c r="H57" s="37" t="s">
        <v>29</v>
      </c>
      <c r="I57" s="37">
        <f t="shared" si="4"/>
        <v>1606</v>
      </c>
    </row>
    <row r="58" spans="1:9" x14ac:dyDescent="0.2">
      <c r="A58" s="202">
        <v>1987</v>
      </c>
      <c r="B58" s="37" t="s">
        <v>29</v>
      </c>
      <c r="C58" s="37" t="s">
        <v>29</v>
      </c>
      <c r="D58" s="37">
        <v>0</v>
      </c>
      <c r="E58" s="37">
        <v>183</v>
      </c>
      <c r="F58" s="37">
        <v>45</v>
      </c>
      <c r="G58" s="37" t="s">
        <v>29</v>
      </c>
      <c r="H58" s="37" t="s">
        <v>29</v>
      </c>
      <c r="I58" s="37">
        <f t="shared" si="4"/>
        <v>228</v>
      </c>
    </row>
    <row r="59" spans="1:9" x14ac:dyDescent="0.2">
      <c r="A59" s="202">
        <v>1989</v>
      </c>
      <c r="B59" s="37" t="s">
        <v>29</v>
      </c>
      <c r="C59" s="37">
        <v>0</v>
      </c>
      <c r="D59" s="37">
        <v>0</v>
      </c>
      <c r="E59" s="37">
        <v>28</v>
      </c>
      <c r="F59" s="37">
        <v>45</v>
      </c>
      <c r="G59" s="37" t="s">
        <v>29</v>
      </c>
      <c r="H59" s="37" t="s">
        <v>29</v>
      </c>
      <c r="I59" s="37">
        <f t="shared" si="4"/>
        <v>73</v>
      </c>
    </row>
    <row r="60" spans="1:9" x14ac:dyDescent="0.2">
      <c r="A60" s="202">
        <v>1991</v>
      </c>
      <c r="B60" s="37" t="s">
        <v>29</v>
      </c>
      <c r="C60" s="37" t="s">
        <v>29</v>
      </c>
      <c r="D60" s="37">
        <v>0</v>
      </c>
      <c r="E60" s="37">
        <v>43</v>
      </c>
      <c r="F60" s="37">
        <v>33</v>
      </c>
      <c r="G60" s="37">
        <v>4</v>
      </c>
      <c r="H60" s="37" t="s">
        <v>29</v>
      </c>
      <c r="I60" s="37">
        <f t="shared" si="4"/>
        <v>80</v>
      </c>
    </row>
    <row r="61" spans="1:9" x14ac:dyDescent="0.2">
      <c r="A61" s="202">
        <v>1993</v>
      </c>
      <c r="B61" s="37" t="s">
        <v>29</v>
      </c>
      <c r="C61" s="37" t="s">
        <v>29</v>
      </c>
      <c r="D61" s="37" t="s">
        <v>29</v>
      </c>
      <c r="E61" s="37">
        <v>33</v>
      </c>
      <c r="F61" s="37">
        <v>35</v>
      </c>
      <c r="G61" s="37">
        <v>2</v>
      </c>
      <c r="H61" s="37" t="s">
        <v>29</v>
      </c>
      <c r="I61" s="37">
        <f t="shared" si="4"/>
        <v>70</v>
      </c>
    </row>
    <row r="62" spans="1:9" x14ac:dyDescent="0.2">
      <c r="A62" s="202">
        <v>1995</v>
      </c>
      <c r="B62" s="37" t="s">
        <v>29</v>
      </c>
      <c r="C62" s="37" t="s">
        <v>29</v>
      </c>
      <c r="D62" s="37" t="s">
        <v>29</v>
      </c>
      <c r="E62" s="37">
        <v>40</v>
      </c>
      <c r="F62" s="37">
        <v>51</v>
      </c>
      <c r="G62" s="37">
        <v>2</v>
      </c>
      <c r="H62" s="37" t="s">
        <v>29</v>
      </c>
      <c r="I62" s="37">
        <f t="shared" si="4"/>
        <v>93</v>
      </c>
    </row>
    <row r="63" spans="1:9" x14ac:dyDescent="0.2">
      <c r="A63" s="202">
        <v>1997</v>
      </c>
      <c r="B63" s="37" t="s">
        <v>29</v>
      </c>
      <c r="C63" s="37" t="s">
        <v>29</v>
      </c>
      <c r="D63" s="37" t="s">
        <v>29</v>
      </c>
      <c r="E63" s="37">
        <v>520</v>
      </c>
      <c r="F63" s="37">
        <v>96</v>
      </c>
      <c r="G63" s="37">
        <v>22</v>
      </c>
      <c r="H63" s="37" t="s">
        <v>29</v>
      </c>
      <c r="I63" s="37">
        <f t="shared" si="4"/>
        <v>638</v>
      </c>
    </row>
    <row r="64" spans="1:9" x14ac:dyDescent="0.2">
      <c r="A64" s="202">
        <v>1999</v>
      </c>
      <c r="B64" s="37" t="s">
        <v>29</v>
      </c>
      <c r="C64" s="37" t="s">
        <v>29</v>
      </c>
      <c r="D64" s="37" t="s">
        <v>29</v>
      </c>
      <c r="E64" s="37">
        <v>35</v>
      </c>
      <c r="F64" s="37">
        <v>40</v>
      </c>
      <c r="G64" s="37">
        <v>0</v>
      </c>
      <c r="H64" s="37" t="s">
        <v>29</v>
      </c>
      <c r="I64" s="37">
        <f t="shared" si="4"/>
        <v>75</v>
      </c>
    </row>
    <row r="65" spans="1:9" x14ac:dyDescent="0.2">
      <c r="A65" s="202">
        <v>2001</v>
      </c>
      <c r="B65" s="37" t="s">
        <v>29</v>
      </c>
      <c r="C65" s="37" t="s">
        <v>29</v>
      </c>
      <c r="D65" s="37" t="s">
        <v>29</v>
      </c>
      <c r="E65" s="37">
        <v>782</v>
      </c>
      <c r="F65" s="37">
        <v>136</v>
      </c>
      <c r="G65" s="37" t="s">
        <v>29</v>
      </c>
      <c r="H65" s="37" t="s">
        <v>29</v>
      </c>
      <c r="I65" s="37">
        <f t="shared" si="4"/>
        <v>918</v>
      </c>
    </row>
    <row r="66" spans="1:9" x14ac:dyDescent="0.2">
      <c r="A66" s="202">
        <v>2003</v>
      </c>
      <c r="B66" s="37" t="s">
        <v>29</v>
      </c>
      <c r="C66" s="37" t="s">
        <v>29</v>
      </c>
      <c r="D66" s="37">
        <v>12</v>
      </c>
      <c r="E66" s="37">
        <v>3559</v>
      </c>
      <c r="F66" s="37">
        <v>756</v>
      </c>
      <c r="G66" s="37">
        <v>32</v>
      </c>
      <c r="H66" s="37" t="s">
        <v>29</v>
      </c>
      <c r="I66" s="37">
        <f t="shared" si="4"/>
        <v>4359</v>
      </c>
    </row>
    <row r="67" spans="1:9" x14ac:dyDescent="0.2">
      <c r="A67" s="202">
        <v>2005</v>
      </c>
      <c r="B67" s="37" t="s">
        <v>29</v>
      </c>
      <c r="C67" s="37" t="s">
        <v>29</v>
      </c>
      <c r="D67" s="37">
        <v>0</v>
      </c>
      <c r="E67" s="37">
        <v>26</v>
      </c>
      <c r="F67" s="37">
        <v>128</v>
      </c>
      <c r="G67" s="37">
        <v>0</v>
      </c>
      <c r="H67" s="37" t="s">
        <v>29</v>
      </c>
      <c r="I67" s="37">
        <f>SUM(B67:H67)</f>
        <v>154</v>
      </c>
    </row>
    <row r="68" spans="1:9" x14ac:dyDescent="0.2">
      <c r="A68" s="202">
        <v>2007</v>
      </c>
      <c r="B68" s="37" t="s">
        <v>29</v>
      </c>
      <c r="C68" s="37" t="s">
        <v>29</v>
      </c>
      <c r="D68" s="37" t="s">
        <v>29</v>
      </c>
      <c r="E68" s="37">
        <v>260.95999999999998</v>
      </c>
      <c r="F68" s="37">
        <v>240.29</v>
      </c>
      <c r="G68" s="37">
        <v>2.19</v>
      </c>
      <c r="H68" s="37" t="s">
        <v>29</v>
      </c>
      <c r="I68" s="37">
        <f t="shared" ref="I68:I74" si="5">SUM(B68:H68)</f>
        <v>503.44</v>
      </c>
    </row>
    <row r="69" spans="1:9" s="293" customFormat="1" ht="12" customHeight="1" x14ac:dyDescent="0.2">
      <c r="A69" s="202">
        <v>2009</v>
      </c>
      <c r="B69" s="37" t="s">
        <v>29</v>
      </c>
      <c r="C69" s="37" t="s">
        <v>29</v>
      </c>
      <c r="D69" s="37">
        <v>50.56</v>
      </c>
      <c r="E69" s="37">
        <v>79.22</v>
      </c>
      <c r="F69" s="37">
        <v>131.41</v>
      </c>
      <c r="G69" s="37">
        <v>0</v>
      </c>
      <c r="H69" s="37" t="s">
        <v>29</v>
      </c>
      <c r="I69" s="37">
        <f t="shared" si="5"/>
        <v>261.19</v>
      </c>
    </row>
    <row r="70" spans="1:9" s="293" customFormat="1" ht="12" customHeight="1" x14ac:dyDescent="0.2">
      <c r="A70" s="202">
        <v>2011</v>
      </c>
      <c r="B70" s="37" t="s">
        <v>29</v>
      </c>
      <c r="C70" s="37" t="s">
        <v>29</v>
      </c>
      <c r="D70" s="37">
        <v>4</v>
      </c>
      <c r="E70" s="37">
        <v>544.4</v>
      </c>
      <c r="F70" s="37">
        <v>1270.3699999999999</v>
      </c>
      <c r="G70" s="37">
        <v>13.2</v>
      </c>
      <c r="H70" s="37" t="s">
        <v>29</v>
      </c>
      <c r="I70" s="37">
        <f t="shared" si="5"/>
        <v>1831.97</v>
      </c>
    </row>
    <row r="71" spans="1:9" s="293" customFormat="1" ht="12" customHeight="1" x14ac:dyDescent="0.2">
      <c r="A71" s="202">
        <v>2013</v>
      </c>
      <c r="B71" s="37" t="s">
        <v>29</v>
      </c>
      <c r="C71" s="37" t="s">
        <v>29</v>
      </c>
      <c r="D71" s="37">
        <v>4.82</v>
      </c>
      <c r="E71" s="37">
        <v>647.5</v>
      </c>
      <c r="F71" s="37">
        <v>371.7</v>
      </c>
      <c r="G71" s="37">
        <v>0</v>
      </c>
      <c r="H71" s="37" t="s">
        <v>29</v>
      </c>
      <c r="I71" s="37">
        <f t="shared" si="5"/>
        <v>1024.02</v>
      </c>
    </row>
    <row r="72" spans="1:9" s="293" customFormat="1" ht="12" customHeight="1" x14ac:dyDescent="0.2">
      <c r="A72" s="202">
        <v>2015</v>
      </c>
      <c r="B72" s="37" t="s">
        <v>29</v>
      </c>
      <c r="C72" s="37" t="s">
        <v>29</v>
      </c>
      <c r="D72" s="37">
        <v>208.67</v>
      </c>
      <c r="E72" s="37">
        <v>1828.96</v>
      </c>
      <c r="F72" s="37">
        <v>60.33</v>
      </c>
      <c r="G72" s="37">
        <v>2.8</v>
      </c>
      <c r="H72" s="37" t="s">
        <v>29</v>
      </c>
      <c r="I72" s="37">
        <f t="shared" si="5"/>
        <v>2100.7600000000002</v>
      </c>
    </row>
    <row r="73" spans="1:9" s="347" customFormat="1" x14ac:dyDescent="0.2">
      <c r="A73" s="348">
        <v>2017</v>
      </c>
      <c r="B73" s="37" t="s">
        <v>29</v>
      </c>
      <c r="C73" s="37" t="s">
        <v>29</v>
      </c>
      <c r="D73" s="37">
        <v>0</v>
      </c>
      <c r="E73" s="37">
        <v>35.56</v>
      </c>
      <c r="F73" s="37">
        <v>8.9700000000000006</v>
      </c>
      <c r="G73" s="37">
        <v>0</v>
      </c>
      <c r="H73" s="37" t="s">
        <v>29</v>
      </c>
      <c r="I73" s="37">
        <f>SUM(B73:H73)</f>
        <v>44.53</v>
      </c>
    </row>
    <row r="74" spans="1:9" s="293" customFormat="1" x14ac:dyDescent="0.2">
      <c r="A74" s="348">
        <v>2019</v>
      </c>
      <c r="B74" s="37" t="s">
        <v>29</v>
      </c>
      <c r="C74" s="37" t="s">
        <v>29</v>
      </c>
      <c r="D74" s="37">
        <v>0</v>
      </c>
      <c r="E74" s="37">
        <v>126.81</v>
      </c>
      <c r="F74" s="37">
        <v>565.17999999999995</v>
      </c>
      <c r="G74" s="37">
        <v>8.2899999999999991</v>
      </c>
      <c r="H74" s="37" t="s">
        <v>29</v>
      </c>
      <c r="I74" s="37">
        <f t="shared" si="5"/>
        <v>700.28</v>
      </c>
    </row>
    <row r="75" spans="1:9" s="293" customFormat="1" x14ac:dyDescent="0.2">
      <c r="A75" s="202"/>
      <c r="B75" s="37"/>
      <c r="C75" s="37"/>
      <c r="D75" s="37"/>
      <c r="E75" s="37"/>
      <c r="F75" s="37"/>
      <c r="G75" s="37"/>
      <c r="H75" s="37"/>
      <c r="I75" s="37"/>
    </row>
    <row r="76" spans="1:9" x14ac:dyDescent="0.2">
      <c r="A76" s="126" t="s">
        <v>286</v>
      </c>
    </row>
    <row r="77" spans="1:9" x14ac:dyDescent="0.2">
      <c r="A77" s="305">
        <v>1977</v>
      </c>
      <c r="B77" s="24">
        <v>0</v>
      </c>
      <c r="C77" s="24">
        <v>33</v>
      </c>
      <c r="D77" s="24">
        <v>171</v>
      </c>
      <c r="E77" s="24">
        <v>689</v>
      </c>
      <c r="F77" s="24">
        <v>602</v>
      </c>
      <c r="G77" s="24">
        <v>4</v>
      </c>
      <c r="H77" s="24">
        <v>0</v>
      </c>
      <c r="I77" s="24">
        <f t="shared" ref="I77:I98" si="6">SUM(B77:H77)</f>
        <v>1499</v>
      </c>
    </row>
    <row r="78" spans="1:9" x14ac:dyDescent="0.2">
      <c r="A78" s="305">
        <v>1979</v>
      </c>
      <c r="B78" s="24" t="s">
        <v>29</v>
      </c>
      <c r="C78" s="24">
        <v>3</v>
      </c>
      <c r="D78" s="24">
        <v>8</v>
      </c>
      <c r="E78" s="24">
        <v>246</v>
      </c>
      <c r="F78" s="24">
        <v>26</v>
      </c>
      <c r="G78" s="24">
        <v>0</v>
      </c>
      <c r="H78" s="24" t="s">
        <v>29</v>
      </c>
      <c r="I78" s="24">
        <f t="shared" si="6"/>
        <v>283</v>
      </c>
    </row>
    <row r="79" spans="1:9" x14ac:dyDescent="0.2">
      <c r="A79" s="305">
        <v>1981</v>
      </c>
      <c r="B79" s="24" t="s">
        <v>29</v>
      </c>
      <c r="C79" s="24">
        <v>2</v>
      </c>
      <c r="D79" s="24">
        <v>4</v>
      </c>
      <c r="E79" s="24">
        <v>101</v>
      </c>
      <c r="F79" s="24">
        <v>260</v>
      </c>
      <c r="G79" s="24" t="s">
        <v>29</v>
      </c>
      <c r="H79" s="24" t="s">
        <v>29</v>
      </c>
      <c r="I79" s="24">
        <f t="shared" si="6"/>
        <v>367</v>
      </c>
    </row>
    <row r="80" spans="1:9" x14ac:dyDescent="0.2">
      <c r="A80" s="305">
        <v>1983</v>
      </c>
      <c r="B80" s="24" t="s">
        <v>29</v>
      </c>
      <c r="C80" s="24">
        <v>0</v>
      </c>
      <c r="D80" s="24">
        <v>0</v>
      </c>
      <c r="E80" s="24">
        <v>0</v>
      </c>
      <c r="F80" s="24">
        <v>2</v>
      </c>
      <c r="G80" s="24">
        <v>0</v>
      </c>
      <c r="H80" s="24" t="s">
        <v>29</v>
      </c>
      <c r="I80" s="24">
        <f t="shared" si="6"/>
        <v>2</v>
      </c>
    </row>
    <row r="81" spans="1:9" x14ac:dyDescent="0.2">
      <c r="A81" s="305">
        <v>1985</v>
      </c>
      <c r="B81" s="24" t="s">
        <v>29</v>
      </c>
      <c r="C81" s="24" t="s">
        <v>29</v>
      </c>
      <c r="D81" s="24">
        <v>0</v>
      </c>
      <c r="E81" s="24">
        <v>6</v>
      </c>
      <c r="F81" s="24">
        <v>203</v>
      </c>
      <c r="G81" s="24" t="s">
        <v>29</v>
      </c>
      <c r="H81" s="24" t="s">
        <v>29</v>
      </c>
      <c r="I81" s="24">
        <f t="shared" si="6"/>
        <v>209</v>
      </c>
    </row>
    <row r="82" spans="1:9" x14ac:dyDescent="0.2">
      <c r="A82" s="305">
        <v>1987</v>
      </c>
      <c r="B82" s="24" t="s">
        <v>29</v>
      </c>
      <c r="C82" s="24" t="s">
        <v>29</v>
      </c>
      <c r="D82" s="24">
        <v>0</v>
      </c>
      <c r="E82" s="24">
        <v>110</v>
      </c>
      <c r="F82" s="24">
        <v>9</v>
      </c>
      <c r="G82" s="24" t="s">
        <v>29</v>
      </c>
      <c r="H82" s="24" t="s">
        <v>29</v>
      </c>
      <c r="I82" s="24">
        <f t="shared" si="6"/>
        <v>119</v>
      </c>
    </row>
    <row r="83" spans="1:9" x14ac:dyDescent="0.2">
      <c r="A83" s="305">
        <v>1989</v>
      </c>
      <c r="B83" s="24" t="s">
        <v>29</v>
      </c>
      <c r="C83" s="24">
        <v>0</v>
      </c>
      <c r="D83" s="24">
        <v>0</v>
      </c>
      <c r="E83" s="24">
        <v>11</v>
      </c>
      <c r="F83" s="24">
        <v>12</v>
      </c>
      <c r="G83" s="24" t="s">
        <v>29</v>
      </c>
      <c r="H83" s="24" t="s">
        <v>29</v>
      </c>
      <c r="I83" s="24">
        <f t="shared" si="6"/>
        <v>23</v>
      </c>
    </row>
    <row r="84" spans="1:9" x14ac:dyDescent="0.2">
      <c r="A84" s="305">
        <v>1991</v>
      </c>
      <c r="B84" s="24" t="s">
        <v>29</v>
      </c>
      <c r="C84" s="24" t="s">
        <v>29</v>
      </c>
      <c r="D84" s="24">
        <v>0</v>
      </c>
      <c r="E84" s="24">
        <v>45</v>
      </c>
      <c r="F84" s="24">
        <v>21</v>
      </c>
      <c r="G84" s="24">
        <v>0</v>
      </c>
      <c r="H84" s="24" t="s">
        <v>29</v>
      </c>
      <c r="I84" s="24">
        <f t="shared" si="6"/>
        <v>66</v>
      </c>
    </row>
    <row r="85" spans="1:9" x14ac:dyDescent="0.2">
      <c r="A85" s="305">
        <v>1993</v>
      </c>
      <c r="B85" s="24" t="s">
        <v>29</v>
      </c>
      <c r="C85" s="24" t="s">
        <v>29</v>
      </c>
      <c r="D85" s="24" t="s">
        <v>29</v>
      </c>
      <c r="E85" s="24">
        <v>7</v>
      </c>
      <c r="F85" s="24">
        <v>11</v>
      </c>
      <c r="G85" s="24">
        <v>0</v>
      </c>
      <c r="H85" s="24" t="s">
        <v>29</v>
      </c>
      <c r="I85" s="24">
        <f t="shared" si="6"/>
        <v>18</v>
      </c>
    </row>
    <row r="86" spans="1:9" x14ac:dyDescent="0.2">
      <c r="A86" s="305">
        <v>1995</v>
      </c>
      <c r="B86" s="24" t="s">
        <v>29</v>
      </c>
      <c r="C86" s="24" t="s">
        <v>29</v>
      </c>
      <c r="D86" s="24" t="s">
        <v>29</v>
      </c>
      <c r="E86" s="24">
        <v>4</v>
      </c>
      <c r="F86" s="24">
        <v>18</v>
      </c>
      <c r="G86" s="24">
        <v>9</v>
      </c>
      <c r="H86" s="24" t="s">
        <v>29</v>
      </c>
      <c r="I86" s="24">
        <f t="shared" si="6"/>
        <v>31</v>
      </c>
    </row>
    <row r="87" spans="1:9" x14ac:dyDescent="0.2">
      <c r="A87" s="305">
        <v>1997</v>
      </c>
      <c r="B87" s="24" t="s">
        <v>29</v>
      </c>
      <c r="C87" s="24" t="s">
        <v>29</v>
      </c>
      <c r="D87" s="24" t="s">
        <v>29</v>
      </c>
      <c r="E87" s="24">
        <v>0</v>
      </c>
      <c r="F87" s="24">
        <v>0</v>
      </c>
      <c r="G87" s="24" t="s">
        <v>29</v>
      </c>
      <c r="H87" s="24" t="s">
        <v>29</v>
      </c>
      <c r="I87" s="24">
        <f t="shared" si="6"/>
        <v>0</v>
      </c>
    </row>
    <row r="88" spans="1:9" x14ac:dyDescent="0.2">
      <c r="A88" s="305">
        <v>1999</v>
      </c>
      <c r="B88" s="24" t="s">
        <v>29</v>
      </c>
      <c r="C88" s="24" t="s">
        <v>29</v>
      </c>
      <c r="D88" s="24" t="s">
        <v>29</v>
      </c>
      <c r="E88" s="24">
        <v>0</v>
      </c>
      <c r="F88" s="24">
        <v>3</v>
      </c>
      <c r="G88" s="24">
        <v>0</v>
      </c>
      <c r="H88" s="24" t="s">
        <v>29</v>
      </c>
      <c r="I88" s="24">
        <f t="shared" si="6"/>
        <v>3</v>
      </c>
    </row>
    <row r="89" spans="1:9" x14ac:dyDescent="0.2">
      <c r="A89" s="305">
        <v>2001</v>
      </c>
      <c r="B89" s="24" t="s">
        <v>29</v>
      </c>
      <c r="C89" s="24" t="s">
        <v>29</v>
      </c>
      <c r="D89" s="24" t="s">
        <v>29</v>
      </c>
      <c r="E89" s="24">
        <v>5</v>
      </c>
      <c r="F89" s="24">
        <v>31</v>
      </c>
      <c r="G89" s="195">
        <v>4</v>
      </c>
      <c r="H89" s="24" t="s">
        <v>29</v>
      </c>
      <c r="I89" s="24">
        <f t="shared" si="6"/>
        <v>40</v>
      </c>
    </row>
    <row r="90" spans="1:9" x14ac:dyDescent="0.2">
      <c r="A90" s="305">
        <v>2003</v>
      </c>
      <c r="B90" s="24" t="s">
        <v>29</v>
      </c>
      <c r="C90" s="24" t="s">
        <v>29</v>
      </c>
      <c r="D90" s="24">
        <v>0</v>
      </c>
      <c r="E90" s="24">
        <v>2</v>
      </c>
      <c r="F90" s="24">
        <v>16</v>
      </c>
      <c r="G90" s="24">
        <v>0</v>
      </c>
      <c r="H90" s="24" t="s">
        <v>29</v>
      </c>
      <c r="I90" s="24">
        <f t="shared" si="6"/>
        <v>18</v>
      </c>
    </row>
    <row r="91" spans="1:9" x14ac:dyDescent="0.2">
      <c r="A91" s="305">
        <v>2005</v>
      </c>
      <c r="B91" s="24" t="s">
        <v>29</v>
      </c>
      <c r="C91" s="24" t="s">
        <v>29</v>
      </c>
      <c r="D91" s="24" t="s">
        <v>29</v>
      </c>
      <c r="E91" s="24">
        <v>3</v>
      </c>
      <c r="F91" s="24">
        <v>0</v>
      </c>
      <c r="G91" s="24">
        <v>0</v>
      </c>
      <c r="H91" s="24" t="s">
        <v>29</v>
      </c>
      <c r="I91" s="24">
        <f t="shared" si="6"/>
        <v>3</v>
      </c>
    </row>
    <row r="92" spans="1:9" x14ac:dyDescent="0.2">
      <c r="A92" s="305">
        <v>2007</v>
      </c>
      <c r="B92" s="24" t="s">
        <v>29</v>
      </c>
      <c r="C92" s="24" t="s">
        <v>29</v>
      </c>
      <c r="D92" s="24" t="s">
        <v>29</v>
      </c>
      <c r="E92" s="24">
        <v>5</v>
      </c>
      <c r="F92" s="24">
        <v>2.67</v>
      </c>
      <c r="G92" s="24">
        <v>0</v>
      </c>
      <c r="H92" s="24" t="s">
        <v>29</v>
      </c>
      <c r="I92" s="24">
        <f t="shared" si="6"/>
        <v>7.67</v>
      </c>
    </row>
    <row r="93" spans="1:9" s="293" customFormat="1" ht="12" customHeight="1" x14ac:dyDescent="0.2">
      <c r="A93" s="202">
        <v>2009</v>
      </c>
      <c r="B93" s="37" t="s">
        <v>29</v>
      </c>
      <c r="C93" s="37" t="s">
        <v>29</v>
      </c>
      <c r="D93" s="37">
        <v>0</v>
      </c>
      <c r="E93" s="37">
        <v>0</v>
      </c>
      <c r="F93" s="37">
        <v>0</v>
      </c>
      <c r="G93" s="37">
        <v>0</v>
      </c>
      <c r="H93" s="37" t="s">
        <v>29</v>
      </c>
      <c r="I93" s="37">
        <f t="shared" si="6"/>
        <v>0</v>
      </c>
    </row>
    <row r="94" spans="1:9" s="293" customFormat="1" ht="12" customHeight="1" x14ac:dyDescent="0.2">
      <c r="A94" s="202">
        <v>2011</v>
      </c>
      <c r="B94" s="37" t="s">
        <v>29</v>
      </c>
      <c r="C94" s="37" t="s">
        <v>29</v>
      </c>
      <c r="D94" s="37">
        <v>0</v>
      </c>
      <c r="E94" s="37">
        <v>2</v>
      </c>
      <c r="F94" s="37">
        <v>1</v>
      </c>
      <c r="G94" s="37">
        <v>0</v>
      </c>
      <c r="H94" s="37" t="s">
        <v>29</v>
      </c>
      <c r="I94" s="37">
        <f t="shared" si="6"/>
        <v>3</v>
      </c>
    </row>
    <row r="95" spans="1:9" s="293" customFormat="1" ht="12" customHeight="1" x14ac:dyDescent="0.2">
      <c r="A95" s="202">
        <v>2013</v>
      </c>
      <c r="B95" s="37" t="s">
        <v>29</v>
      </c>
      <c r="C95" s="37" t="s">
        <v>29</v>
      </c>
      <c r="D95" s="37">
        <v>0</v>
      </c>
      <c r="E95" s="37">
        <v>0</v>
      </c>
      <c r="F95" s="37">
        <v>4.22</v>
      </c>
      <c r="G95" s="37">
        <v>0</v>
      </c>
      <c r="H95" s="37" t="s">
        <v>29</v>
      </c>
      <c r="I95" s="37">
        <f t="shared" si="6"/>
        <v>4.22</v>
      </c>
    </row>
    <row r="96" spans="1:9" s="293" customFormat="1" ht="12" customHeight="1" x14ac:dyDescent="0.2">
      <c r="A96" s="202">
        <v>2015</v>
      </c>
      <c r="B96" s="37" t="s">
        <v>29</v>
      </c>
      <c r="C96" s="37" t="s">
        <v>29</v>
      </c>
      <c r="D96" s="37">
        <v>0</v>
      </c>
      <c r="E96" s="37">
        <v>2.57</v>
      </c>
      <c r="F96" s="37">
        <v>1</v>
      </c>
      <c r="G96" s="37">
        <v>0</v>
      </c>
      <c r="H96" s="37" t="s">
        <v>29</v>
      </c>
      <c r="I96" s="37">
        <f t="shared" si="6"/>
        <v>3.57</v>
      </c>
    </row>
    <row r="97" spans="1:9" s="347" customFormat="1" x14ac:dyDescent="0.2">
      <c r="A97" s="348">
        <v>2017</v>
      </c>
      <c r="B97" s="37" t="s">
        <v>29</v>
      </c>
      <c r="C97" s="37" t="s">
        <v>29</v>
      </c>
      <c r="D97" s="37">
        <v>0</v>
      </c>
      <c r="E97" s="37">
        <v>0</v>
      </c>
      <c r="F97" s="37">
        <v>0</v>
      </c>
      <c r="G97" s="37">
        <v>0</v>
      </c>
      <c r="H97" s="37" t="s">
        <v>29</v>
      </c>
      <c r="I97" s="37">
        <f>SUM(B97:H97)</f>
        <v>0</v>
      </c>
    </row>
    <row r="98" spans="1:9" s="293" customFormat="1" x14ac:dyDescent="0.2">
      <c r="A98" s="348">
        <v>2019</v>
      </c>
      <c r="B98" s="37" t="s">
        <v>29</v>
      </c>
      <c r="C98" s="37" t="s">
        <v>29</v>
      </c>
      <c r="D98" s="37">
        <v>0</v>
      </c>
      <c r="E98" s="37">
        <v>0</v>
      </c>
      <c r="F98" s="37">
        <v>0</v>
      </c>
      <c r="G98" s="37">
        <v>0</v>
      </c>
      <c r="H98" s="37" t="s">
        <v>29</v>
      </c>
      <c r="I98" s="37">
        <f t="shared" si="6"/>
        <v>0</v>
      </c>
    </row>
    <row r="100" spans="1:9" x14ac:dyDescent="0.2">
      <c r="A100" s="120" t="s">
        <v>287</v>
      </c>
    </row>
    <row r="101" spans="1:9" x14ac:dyDescent="0.2">
      <c r="A101" s="305">
        <v>1977</v>
      </c>
      <c r="B101" s="37">
        <f t="shared" ref="B101:I110" si="7">IF(AND(B77="-",B53="-",B29="-",B5="-"),"-",SUM(B77,B53,B29,B5))</f>
        <v>0</v>
      </c>
      <c r="C101" s="37">
        <f t="shared" si="7"/>
        <v>336</v>
      </c>
      <c r="D101" s="37">
        <f t="shared" si="7"/>
        <v>1650</v>
      </c>
      <c r="E101" s="37">
        <f t="shared" si="7"/>
        <v>14605</v>
      </c>
      <c r="F101" s="37">
        <f t="shared" si="7"/>
        <v>12553</v>
      </c>
      <c r="G101" s="37">
        <f t="shared" si="7"/>
        <v>111</v>
      </c>
      <c r="H101" s="37">
        <f t="shared" si="7"/>
        <v>0</v>
      </c>
      <c r="I101" s="37">
        <f t="shared" si="7"/>
        <v>29255</v>
      </c>
    </row>
    <row r="102" spans="1:9" x14ac:dyDescent="0.2">
      <c r="A102" s="305">
        <v>1979</v>
      </c>
      <c r="B102" s="37">
        <f t="shared" si="7"/>
        <v>17</v>
      </c>
      <c r="C102" s="37">
        <f t="shared" si="7"/>
        <v>45</v>
      </c>
      <c r="D102" s="37">
        <f t="shared" si="7"/>
        <v>1080</v>
      </c>
      <c r="E102" s="37">
        <f t="shared" si="7"/>
        <v>3870</v>
      </c>
      <c r="F102" s="37">
        <f t="shared" si="7"/>
        <v>12151</v>
      </c>
      <c r="G102" s="37">
        <f t="shared" si="7"/>
        <v>646</v>
      </c>
      <c r="H102" s="37">
        <f t="shared" si="7"/>
        <v>24</v>
      </c>
      <c r="I102" s="37">
        <f t="shared" si="7"/>
        <v>17833</v>
      </c>
    </row>
    <row r="103" spans="1:9" x14ac:dyDescent="0.2">
      <c r="A103" s="305">
        <v>1981</v>
      </c>
      <c r="B103" s="37" t="str">
        <f t="shared" si="7"/>
        <v>-</v>
      </c>
      <c r="C103" s="37">
        <f t="shared" si="7"/>
        <v>51</v>
      </c>
      <c r="D103" s="37">
        <f t="shared" si="7"/>
        <v>188</v>
      </c>
      <c r="E103" s="37">
        <f t="shared" si="7"/>
        <v>2659</v>
      </c>
      <c r="F103" s="37">
        <f t="shared" si="7"/>
        <v>7278</v>
      </c>
      <c r="G103" s="37" t="str">
        <f t="shared" si="7"/>
        <v>-</v>
      </c>
      <c r="H103" s="37">
        <f t="shared" si="7"/>
        <v>27</v>
      </c>
      <c r="I103" s="37">
        <f t="shared" si="7"/>
        <v>10203</v>
      </c>
    </row>
    <row r="104" spans="1:9" x14ac:dyDescent="0.2">
      <c r="A104" s="305">
        <v>1983</v>
      </c>
      <c r="B104" s="37" t="str">
        <f t="shared" si="7"/>
        <v>-</v>
      </c>
      <c r="C104" s="37">
        <f t="shared" si="7"/>
        <v>0</v>
      </c>
      <c r="D104" s="37">
        <f t="shared" si="7"/>
        <v>2</v>
      </c>
      <c r="E104" s="37">
        <f t="shared" si="7"/>
        <v>442</v>
      </c>
      <c r="F104" s="37">
        <f t="shared" si="7"/>
        <v>3860</v>
      </c>
      <c r="G104" s="37">
        <f t="shared" si="7"/>
        <v>157</v>
      </c>
      <c r="H104" s="37" t="str">
        <f t="shared" si="7"/>
        <v>-</v>
      </c>
      <c r="I104" s="37">
        <f t="shared" si="7"/>
        <v>4461</v>
      </c>
    </row>
    <row r="105" spans="1:9" x14ac:dyDescent="0.2">
      <c r="A105" s="305">
        <v>1985</v>
      </c>
      <c r="B105" s="37" t="str">
        <f t="shared" si="7"/>
        <v>-</v>
      </c>
      <c r="C105" s="37" t="str">
        <f t="shared" si="7"/>
        <v>-</v>
      </c>
      <c r="D105" s="37">
        <f t="shared" si="7"/>
        <v>0</v>
      </c>
      <c r="E105" s="37">
        <f t="shared" si="7"/>
        <v>853</v>
      </c>
      <c r="F105" s="37">
        <f t="shared" si="7"/>
        <v>2214</v>
      </c>
      <c r="G105" s="37">
        <f t="shared" si="7"/>
        <v>13</v>
      </c>
      <c r="H105" s="37" t="str">
        <f t="shared" si="7"/>
        <v>-</v>
      </c>
      <c r="I105" s="37">
        <f t="shared" si="7"/>
        <v>3080</v>
      </c>
    </row>
    <row r="106" spans="1:9" x14ac:dyDescent="0.2">
      <c r="A106" s="294">
        <v>1987</v>
      </c>
      <c r="B106" s="37" t="str">
        <f t="shared" si="7"/>
        <v>-</v>
      </c>
      <c r="C106" s="37" t="str">
        <f t="shared" si="7"/>
        <v>-</v>
      </c>
      <c r="D106" s="37">
        <f t="shared" si="7"/>
        <v>6</v>
      </c>
      <c r="E106" s="37">
        <f t="shared" si="7"/>
        <v>991</v>
      </c>
      <c r="F106" s="37">
        <f t="shared" si="7"/>
        <v>804</v>
      </c>
      <c r="G106" s="37" t="str">
        <f t="shared" si="7"/>
        <v>-</v>
      </c>
      <c r="H106" s="37" t="str">
        <f t="shared" si="7"/>
        <v>-</v>
      </c>
      <c r="I106" s="37">
        <f t="shared" si="7"/>
        <v>1801</v>
      </c>
    </row>
    <row r="107" spans="1:9" x14ac:dyDescent="0.2">
      <c r="A107" s="305" t="s">
        <v>268</v>
      </c>
      <c r="B107" s="37" t="str">
        <f t="shared" si="7"/>
        <v>-</v>
      </c>
      <c r="C107" s="37">
        <f t="shared" si="7"/>
        <v>0</v>
      </c>
      <c r="D107" s="37">
        <f t="shared" si="7"/>
        <v>0</v>
      </c>
      <c r="E107" s="37">
        <f t="shared" si="7"/>
        <v>1482</v>
      </c>
      <c r="F107" s="37">
        <f t="shared" si="7"/>
        <v>352</v>
      </c>
      <c r="G107" s="37">
        <f t="shared" si="7"/>
        <v>202</v>
      </c>
      <c r="H107" s="37" t="str">
        <f t="shared" si="7"/>
        <v>-</v>
      </c>
      <c r="I107" s="37">
        <f t="shared" si="7"/>
        <v>2036</v>
      </c>
    </row>
    <row r="108" spans="1:9" x14ac:dyDescent="0.2">
      <c r="A108" s="305" t="s">
        <v>270</v>
      </c>
      <c r="B108" s="37" t="str">
        <f t="shared" si="7"/>
        <v>-</v>
      </c>
      <c r="C108" s="37" t="str">
        <f t="shared" si="7"/>
        <v>-</v>
      </c>
      <c r="D108" s="37">
        <f t="shared" si="7"/>
        <v>0</v>
      </c>
      <c r="E108" s="37">
        <f t="shared" si="7"/>
        <v>613</v>
      </c>
      <c r="F108" s="37">
        <f t="shared" si="7"/>
        <v>1597</v>
      </c>
      <c r="G108" s="37">
        <f t="shared" si="7"/>
        <v>4</v>
      </c>
      <c r="H108" s="37" t="str">
        <f t="shared" si="7"/>
        <v>-</v>
      </c>
      <c r="I108" s="37">
        <f t="shared" si="7"/>
        <v>2214</v>
      </c>
    </row>
    <row r="109" spans="1:9" x14ac:dyDescent="0.2">
      <c r="A109" s="305" t="s">
        <v>272</v>
      </c>
      <c r="B109" s="37" t="str">
        <f t="shared" si="7"/>
        <v>-</v>
      </c>
      <c r="C109" s="37">
        <f t="shared" si="7"/>
        <v>0</v>
      </c>
      <c r="D109" s="37" t="str">
        <f t="shared" si="7"/>
        <v>-</v>
      </c>
      <c r="E109" s="37">
        <f t="shared" si="7"/>
        <v>695</v>
      </c>
      <c r="F109" s="37">
        <f t="shared" si="7"/>
        <v>1344</v>
      </c>
      <c r="G109" s="37">
        <f t="shared" si="7"/>
        <v>377</v>
      </c>
      <c r="H109" s="37" t="str">
        <f t="shared" si="7"/>
        <v>-</v>
      </c>
      <c r="I109" s="37">
        <f t="shared" si="7"/>
        <v>2416</v>
      </c>
    </row>
    <row r="110" spans="1:9" x14ac:dyDescent="0.2">
      <c r="A110" s="294">
        <v>1995</v>
      </c>
      <c r="B110" s="37" t="str">
        <f t="shared" si="7"/>
        <v>-</v>
      </c>
      <c r="C110" s="37" t="str">
        <f t="shared" si="7"/>
        <v>-</v>
      </c>
      <c r="D110" s="37" t="str">
        <f t="shared" si="7"/>
        <v>-</v>
      </c>
      <c r="E110" s="37">
        <f t="shared" si="7"/>
        <v>44</v>
      </c>
      <c r="F110" s="37">
        <f t="shared" si="7"/>
        <v>2725</v>
      </c>
      <c r="G110" s="37">
        <f t="shared" si="7"/>
        <v>52</v>
      </c>
      <c r="H110" s="37" t="str">
        <f t="shared" si="7"/>
        <v>-</v>
      </c>
      <c r="I110" s="37">
        <f t="shared" si="7"/>
        <v>2821</v>
      </c>
    </row>
    <row r="111" spans="1:9" x14ac:dyDescent="0.2">
      <c r="A111" s="305" t="s">
        <v>275</v>
      </c>
      <c r="B111" s="37" t="str">
        <f t="shared" ref="B111:I120" si="8">IF(AND(B87="-",B63="-",B39="-",B15="-"),"-",SUM(B87,B63,B39,B15))</f>
        <v>-</v>
      </c>
      <c r="C111" s="37" t="str">
        <f t="shared" si="8"/>
        <v>-</v>
      </c>
      <c r="D111" s="37" t="str">
        <f t="shared" si="8"/>
        <v>-</v>
      </c>
      <c r="E111" s="37">
        <f t="shared" si="8"/>
        <v>794</v>
      </c>
      <c r="F111" s="37">
        <f t="shared" si="8"/>
        <v>594</v>
      </c>
      <c r="G111" s="37">
        <f t="shared" si="8"/>
        <v>22</v>
      </c>
      <c r="H111" s="37" t="str">
        <f t="shared" si="8"/>
        <v>-</v>
      </c>
      <c r="I111" s="37">
        <f t="shared" si="8"/>
        <v>1410</v>
      </c>
    </row>
    <row r="112" spans="1:9" x14ac:dyDescent="0.2">
      <c r="A112" s="305">
        <v>1999</v>
      </c>
      <c r="B112" s="37" t="str">
        <f t="shared" si="8"/>
        <v>-</v>
      </c>
      <c r="C112" s="37" t="str">
        <f t="shared" si="8"/>
        <v>-</v>
      </c>
      <c r="D112" s="37" t="str">
        <f t="shared" si="8"/>
        <v>-</v>
      </c>
      <c r="E112" s="37">
        <f t="shared" si="8"/>
        <v>852</v>
      </c>
      <c r="F112" s="37">
        <f t="shared" si="8"/>
        <v>1255</v>
      </c>
      <c r="G112" s="37">
        <f t="shared" si="8"/>
        <v>81</v>
      </c>
      <c r="H112" s="37" t="str">
        <f t="shared" si="8"/>
        <v>-</v>
      </c>
      <c r="I112" s="37">
        <f t="shared" si="8"/>
        <v>2188</v>
      </c>
    </row>
    <row r="113" spans="1:9" x14ac:dyDescent="0.2">
      <c r="A113" s="305">
        <v>2001</v>
      </c>
      <c r="B113" s="37" t="str">
        <f t="shared" si="8"/>
        <v>-</v>
      </c>
      <c r="C113" s="37" t="str">
        <f t="shared" si="8"/>
        <v>-</v>
      </c>
      <c r="D113" s="37" t="str">
        <f t="shared" si="8"/>
        <v>-</v>
      </c>
      <c r="E113" s="37">
        <f t="shared" si="8"/>
        <v>2631</v>
      </c>
      <c r="F113" s="37">
        <f t="shared" si="8"/>
        <v>1280</v>
      </c>
      <c r="G113" s="37">
        <f t="shared" si="8"/>
        <v>7</v>
      </c>
      <c r="H113" s="37" t="str">
        <f t="shared" si="8"/>
        <v>-</v>
      </c>
      <c r="I113" s="37">
        <f t="shared" si="8"/>
        <v>3918</v>
      </c>
    </row>
    <row r="114" spans="1:9" x14ac:dyDescent="0.2">
      <c r="A114" s="202">
        <v>2003</v>
      </c>
      <c r="B114" s="37" t="str">
        <f t="shared" si="8"/>
        <v>-</v>
      </c>
      <c r="C114" s="37" t="str">
        <f t="shared" si="8"/>
        <v>-</v>
      </c>
      <c r="D114" s="37">
        <f t="shared" si="8"/>
        <v>22</v>
      </c>
      <c r="E114" s="37">
        <f t="shared" si="8"/>
        <v>6843</v>
      </c>
      <c r="F114" s="37">
        <f t="shared" si="8"/>
        <v>6367</v>
      </c>
      <c r="G114" s="37">
        <f t="shared" si="8"/>
        <v>175</v>
      </c>
      <c r="H114" s="37">
        <f t="shared" si="8"/>
        <v>0</v>
      </c>
      <c r="I114" s="37">
        <f t="shared" si="8"/>
        <v>13407</v>
      </c>
    </row>
    <row r="115" spans="1:9" x14ac:dyDescent="0.2">
      <c r="A115" s="202">
        <v>2005</v>
      </c>
      <c r="B115" s="37" t="str">
        <f t="shared" si="8"/>
        <v>-</v>
      </c>
      <c r="C115" s="37" t="str">
        <f t="shared" si="8"/>
        <v>-</v>
      </c>
      <c r="D115" s="37">
        <f t="shared" si="8"/>
        <v>0</v>
      </c>
      <c r="E115" s="37">
        <f t="shared" si="8"/>
        <v>1526</v>
      </c>
      <c r="F115" s="37">
        <f t="shared" si="8"/>
        <v>1670</v>
      </c>
      <c r="G115" s="37">
        <f t="shared" si="8"/>
        <v>64</v>
      </c>
      <c r="H115" s="37">
        <f t="shared" si="8"/>
        <v>0</v>
      </c>
      <c r="I115" s="37">
        <f t="shared" si="8"/>
        <v>3260</v>
      </c>
    </row>
    <row r="116" spans="1:9" x14ac:dyDescent="0.2">
      <c r="A116" s="202">
        <v>2007</v>
      </c>
      <c r="B116" s="37" t="str">
        <f t="shared" si="8"/>
        <v>-</v>
      </c>
      <c r="C116" s="37" t="str">
        <f t="shared" si="8"/>
        <v>-</v>
      </c>
      <c r="D116" s="37" t="str">
        <f t="shared" si="8"/>
        <v>-</v>
      </c>
      <c r="E116" s="37">
        <f t="shared" si="8"/>
        <v>1575.26</v>
      </c>
      <c r="F116" s="37">
        <f t="shared" si="8"/>
        <v>3092.82</v>
      </c>
      <c r="G116" s="37">
        <f t="shared" si="8"/>
        <v>2.19</v>
      </c>
      <c r="H116" s="37">
        <f t="shared" si="8"/>
        <v>0</v>
      </c>
      <c r="I116" s="37">
        <f t="shared" si="8"/>
        <v>4670.2700000000004</v>
      </c>
    </row>
    <row r="117" spans="1:9" s="293" customFormat="1" ht="12" customHeight="1" x14ac:dyDescent="0.2">
      <c r="A117" s="202">
        <v>2009</v>
      </c>
      <c r="B117" s="37" t="str">
        <f t="shared" si="8"/>
        <v>-</v>
      </c>
      <c r="C117" s="37" t="str">
        <f t="shared" si="8"/>
        <v>-</v>
      </c>
      <c r="D117" s="37">
        <f t="shared" si="8"/>
        <v>65.39</v>
      </c>
      <c r="E117" s="37">
        <f t="shared" si="8"/>
        <v>2817.62</v>
      </c>
      <c r="F117" s="37">
        <f t="shared" si="8"/>
        <v>4474.3</v>
      </c>
      <c r="G117" s="37">
        <f t="shared" si="8"/>
        <v>270.14999999999998</v>
      </c>
      <c r="H117" s="37">
        <f t="shared" si="8"/>
        <v>0</v>
      </c>
      <c r="I117" s="37">
        <f t="shared" si="8"/>
        <v>7627.46</v>
      </c>
    </row>
    <row r="118" spans="1:9" s="293" customFormat="1" ht="12" customHeight="1" x14ac:dyDescent="0.2">
      <c r="A118" s="202">
        <v>2011</v>
      </c>
      <c r="B118" s="37" t="str">
        <f t="shared" si="8"/>
        <v>-</v>
      </c>
      <c r="C118" s="37" t="str">
        <f t="shared" si="8"/>
        <v>-</v>
      </c>
      <c r="D118" s="37">
        <f t="shared" si="8"/>
        <v>41.02</v>
      </c>
      <c r="E118" s="37">
        <f t="shared" si="8"/>
        <v>4386.08</v>
      </c>
      <c r="F118" s="37">
        <f t="shared" si="8"/>
        <v>6160.7999999999993</v>
      </c>
      <c r="G118" s="37">
        <f t="shared" si="8"/>
        <v>239.91000000000003</v>
      </c>
      <c r="H118" s="37">
        <f t="shared" si="8"/>
        <v>0</v>
      </c>
      <c r="I118" s="37">
        <f t="shared" si="8"/>
        <v>10827.81</v>
      </c>
    </row>
    <row r="119" spans="1:9" s="293" customFormat="1" ht="12" customHeight="1" x14ac:dyDescent="0.2">
      <c r="A119" s="202">
        <v>2013</v>
      </c>
      <c r="B119" s="37" t="str">
        <f t="shared" si="8"/>
        <v>-</v>
      </c>
      <c r="C119" s="37" t="str">
        <f t="shared" si="8"/>
        <v>-</v>
      </c>
      <c r="D119" s="37">
        <f t="shared" si="8"/>
        <v>38.79</v>
      </c>
      <c r="E119" s="37">
        <f t="shared" si="8"/>
        <v>4967.17</v>
      </c>
      <c r="F119" s="37">
        <f t="shared" si="8"/>
        <v>2648.12</v>
      </c>
      <c r="G119" s="37">
        <f t="shared" si="8"/>
        <v>13.91</v>
      </c>
      <c r="H119" s="37">
        <f t="shared" si="8"/>
        <v>0</v>
      </c>
      <c r="I119" s="37">
        <f t="shared" si="8"/>
        <v>7667.9899999999989</v>
      </c>
    </row>
    <row r="120" spans="1:9" s="293" customFormat="1" ht="12" customHeight="1" x14ac:dyDescent="0.2">
      <c r="A120" s="202">
        <v>2015</v>
      </c>
      <c r="B120" s="37" t="str">
        <f t="shared" si="8"/>
        <v>-</v>
      </c>
      <c r="C120" s="37" t="str">
        <f t="shared" si="8"/>
        <v>-</v>
      </c>
      <c r="D120" s="37">
        <f t="shared" si="8"/>
        <v>1034.9000000000001</v>
      </c>
      <c r="E120" s="37">
        <f t="shared" si="8"/>
        <v>6929.34</v>
      </c>
      <c r="F120" s="37">
        <f t="shared" si="8"/>
        <v>658.61</v>
      </c>
      <c r="G120" s="37">
        <f t="shared" si="8"/>
        <v>8.1</v>
      </c>
      <c r="H120" s="37">
        <f t="shared" si="8"/>
        <v>0</v>
      </c>
      <c r="I120" s="37">
        <f t="shared" si="8"/>
        <v>8630.9500000000007</v>
      </c>
    </row>
    <row r="121" spans="1:9" s="347" customFormat="1" ht="12" customHeight="1" x14ac:dyDescent="0.2">
      <c r="A121" s="348">
        <v>2017</v>
      </c>
      <c r="B121" s="37" t="str">
        <f t="shared" ref="B121:I122" si="9">IF(AND(B97="-",B73="-",B49="-",B25="-"),"-",SUM(B97,B73,B49,B25))</f>
        <v>-</v>
      </c>
      <c r="C121" s="37" t="str">
        <f t="shared" si="9"/>
        <v>-</v>
      </c>
      <c r="D121" s="37">
        <f t="shared" si="9"/>
        <v>1.44</v>
      </c>
      <c r="E121" s="37">
        <f t="shared" si="9"/>
        <v>407.37</v>
      </c>
      <c r="F121" s="37">
        <f t="shared" si="9"/>
        <v>316.10000000000002</v>
      </c>
      <c r="G121" s="37">
        <f t="shared" si="9"/>
        <v>7.35</v>
      </c>
      <c r="H121" s="37">
        <f t="shared" si="9"/>
        <v>0</v>
      </c>
      <c r="I121" s="37">
        <f t="shared" si="9"/>
        <v>732.26</v>
      </c>
    </row>
    <row r="122" spans="1:9" s="293" customFormat="1" ht="12" customHeight="1" x14ac:dyDescent="0.2">
      <c r="A122" s="348">
        <v>2019</v>
      </c>
      <c r="B122" s="37" t="str">
        <f t="shared" si="9"/>
        <v>-</v>
      </c>
      <c r="C122" s="37" t="str">
        <f t="shared" si="9"/>
        <v>-</v>
      </c>
      <c r="D122" s="37">
        <f t="shared" si="9"/>
        <v>15.44</v>
      </c>
      <c r="E122" s="37">
        <f t="shared" si="9"/>
        <v>427.83000000000004</v>
      </c>
      <c r="F122" s="37">
        <f t="shared" si="9"/>
        <v>1323.86</v>
      </c>
      <c r="G122" s="37">
        <f t="shared" si="9"/>
        <v>8.2899999999999991</v>
      </c>
      <c r="H122" s="37">
        <f t="shared" si="9"/>
        <v>0</v>
      </c>
      <c r="I122" s="37">
        <f t="shared" si="9"/>
        <v>1775.42</v>
      </c>
    </row>
    <row r="123" spans="1:9" x14ac:dyDescent="0.2">
      <c r="A123" s="162" t="s">
        <v>80</v>
      </c>
      <c r="B123" s="184"/>
      <c r="C123" s="184"/>
      <c r="D123" s="184"/>
      <c r="E123" s="184"/>
      <c r="F123" s="184"/>
      <c r="G123" s="184"/>
      <c r="H123" s="184"/>
      <c r="I123" s="184"/>
    </row>
    <row r="124" spans="1:9" ht="10.9" customHeight="1" x14ac:dyDescent="0.2">
      <c r="A124" s="596" t="s">
        <v>240</v>
      </c>
      <c r="B124" s="596"/>
      <c r="C124" s="596"/>
      <c r="D124" s="596"/>
      <c r="E124" s="596"/>
      <c r="F124" s="596"/>
      <c r="G124" s="596"/>
      <c r="H124" s="596"/>
      <c r="I124" s="596"/>
    </row>
    <row r="125" spans="1:9" x14ac:dyDescent="0.2">
      <c r="A125" s="596"/>
      <c r="B125" s="596"/>
      <c r="C125" s="596"/>
      <c r="D125" s="596"/>
      <c r="E125" s="596"/>
      <c r="F125" s="596"/>
      <c r="G125" s="596"/>
      <c r="H125" s="596"/>
      <c r="I125" s="596"/>
    </row>
    <row r="129" spans="1:9" x14ac:dyDescent="0.2">
      <c r="A129" s="1"/>
    </row>
    <row r="131" spans="1:9" s="310" customFormat="1" x14ac:dyDescent="0.2">
      <c r="A131" s="240"/>
      <c r="B131" s="249"/>
      <c r="C131" s="249"/>
      <c r="D131" s="249"/>
      <c r="E131" s="249"/>
      <c r="F131" s="249"/>
      <c r="G131" s="249"/>
      <c r="H131" s="249"/>
      <c r="I131" s="249"/>
    </row>
    <row r="138" spans="1:9" x14ac:dyDescent="0.2">
      <c r="A138" s="602" t="s">
        <v>201</v>
      </c>
      <c r="B138" s="602"/>
      <c r="C138" s="602"/>
      <c r="D138" s="602"/>
      <c r="E138" s="602"/>
      <c r="F138" s="602"/>
      <c r="G138" s="602"/>
      <c r="H138" s="602"/>
      <c r="I138" s="603"/>
    </row>
    <row r="139" spans="1:9" x14ac:dyDescent="0.2">
      <c r="A139" s="603"/>
      <c r="B139" s="603"/>
      <c r="C139" s="603"/>
      <c r="D139" s="603"/>
      <c r="E139" s="603"/>
      <c r="F139" s="603"/>
      <c r="G139" s="603"/>
      <c r="H139" s="603"/>
      <c r="I139" s="603"/>
    </row>
    <row r="140" spans="1:9" x14ac:dyDescent="0.2">
      <c r="A140" s="121" t="s">
        <v>288</v>
      </c>
      <c r="B140" s="369" t="s">
        <v>34</v>
      </c>
      <c r="C140" s="369" t="s">
        <v>35</v>
      </c>
      <c r="D140" s="369" t="s">
        <v>36</v>
      </c>
      <c r="E140" s="369" t="s">
        <v>37</v>
      </c>
      <c r="F140" s="369" t="s">
        <v>38</v>
      </c>
      <c r="G140" s="369" t="s">
        <v>39</v>
      </c>
      <c r="H140" s="369" t="s">
        <v>40</v>
      </c>
      <c r="I140" s="369" t="s">
        <v>28</v>
      </c>
    </row>
    <row r="141" spans="1:9" x14ac:dyDescent="0.2">
      <c r="A141" s="159" t="s">
        <v>65</v>
      </c>
      <c r="B141" s="37"/>
      <c r="C141" s="37"/>
      <c r="D141" s="37"/>
      <c r="E141" s="37"/>
      <c r="F141" s="37"/>
      <c r="G141" s="37"/>
      <c r="H141" s="37"/>
      <c r="I141" s="37"/>
    </row>
    <row r="142" spans="1:9" x14ac:dyDescent="0.2">
      <c r="A142" s="348" t="s">
        <v>30</v>
      </c>
      <c r="B142" s="196" t="s">
        <v>29</v>
      </c>
      <c r="C142" s="196">
        <f t="shared" ref="C142:I142" si="10">AVERAGE(C7:C9)</f>
        <v>18</v>
      </c>
      <c r="D142" s="196">
        <f t="shared" si="10"/>
        <v>3.5</v>
      </c>
      <c r="E142" s="196">
        <f t="shared" si="10"/>
        <v>779.66666666666663</v>
      </c>
      <c r="F142" s="196">
        <f t="shared" si="10"/>
        <v>3547</v>
      </c>
      <c r="G142" s="196">
        <f t="shared" si="10"/>
        <v>81.5</v>
      </c>
      <c r="H142" s="196">
        <f t="shared" si="10"/>
        <v>27</v>
      </c>
      <c r="I142" s="196">
        <f t="shared" si="10"/>
        <v>4398.333333333333</v>
      </c>
    </row>
    <row r="143" spans="1:9" x14ac:dyDescent="0.2">
      <c r="A143" s="308">
        <v>1987</v>
      </c>
      <c r="B143" s="196" t="str">
        <f t="shared" ref="B143:I152" si="11">B10</f>
        <v>-</v>
      </c>
      <c r="C143" s="196" t="str">
        <f t="shared" si="11"/>
        <v>-</v>
      </c>
      <c r="D143" s="196">
        <f t="shared" si="11"/>
        <v>6</v>
      </c>
      <c r="E143" s="196">
        <f t="shared" si="11"/>
        <v>686</v>
      </c>
      <c r="F143" s="196">
        <f t="shared" si="11"/>
        <v>713</v>
      </c>
      <c r="G143" s="196" t="str">
        <f t="shared" si="11"/>
        <v>-</v>
      </c>
      <c r="H143" s="196" t="str">
        <f t="shared" si="11"/>
        <v>-</v>
      </c>
      <c r="I143" s="196">
        <f t="shared" si="11"/>
        <v>1405</v>
      </c>
    </row>
    <row r="144" spans="1:9" x14ac:dyDescent="0.2">
      <c r="A144" s="348" t="s">
        <v>338</v>
      </c>
      <c r="B144" s="196" t="str">
        <f t="shared" si="11"/>
        <v>-</v>
      </c>
      <c r="C144" s="196">
        <f t="shared" si="11"/>
        <v>0</v>
      </c>
      <c r="D144" s="196">
        <f t="shared" si="11"/>
        <v>0</v>
      </c>
      <c r="E144" s="196">
        <f t="shared" si="11"/>
        <v>1443</v>
      </c>
      <c r="F144" s="196">
        <f t="shared" si="11"/>
        <v>295</v>
      </c>
      <c r="G144" s="196">
        <f t="shared" si="11"/>
        <v>202</v>
      </c>
      <c r="H144" s="196" t="str">
        <f t="shared" si="11"/>
        <v>-</v>
      </c>
      <c r="I144" s="196">
        <f t="shared" si="11"/>
        <v>1940</v>
      </c>
    </row>
    <row r="145" spans="1:9" x14ac:dyDescent="0.2">
      <c r="A145" s="348" t="s">
        <v>278</v>
      </c>
      <c r="B145" s="196" t="str">
        <f t="shared" si="11"/>
        <v>-</v>
      </c>
      <c r="C145" s="196" t="str">
        <f t="shared" si="11"/>
        <v>-</v>
      </c>
      <c r="D145" s="196" t="str">
        <f t="shared" si="11"/>
        <v>-</v>
      </c>
      <c r="E145" s="196">
        <f t="shared" si="11"/>
        <v>479</v>
      </c>
      <c r="F145" s="196">
        <f t="shared" si="11"/>
        <v>1543</v>
      </c>
      <c r="G145" s="196">
        <f t="shared" si="11"/>
        <v>0</v>
      </c>
      <c r="H145" s="196" t="str">
        <f t="shared" si="11"/>
        <v>-</v>
      </c>
      <c r="I145" s="196">
        <f t="shared" si="11"/>
        <v>2022</v>
      </c>
    </row>
    <row r="146" spans="1:9" x14ac:dyDescent="0.2">
      <c r="A146" s="348" t="s">
        <v>280</v>
      </c>
      <c r="B146" s="196" t="str">
        <f t="shared" si="11"/>
        <v>-</v>
      </c>
      <c r="C146" s="196">
        <f t="shared" si="11"/>
        <v>0</v>
      </c>
      <c r="D146" s="196" t="str">
        <f t="shared" si="11"/>
        <v>-</v>
      </c>
      <c r="E146" s="196">
        <f t="shared" si="11"/>
        <v>609</v>
      </c>
      <c r="F146" s="196">
        <f t="shared" si="11"/>
        <v>1264</v>
      </c>
      <c r="G146" s="196">
        <f t="shared" si="11"/>
        <v>371</v>
      </c>
      <c r="H146" s="196" t="str">
        <f t="shared" si="11"/>
        <v>-</v>
      </c>
      <c r="I146" s="196">
        <f t="shared" si="11"/>
        <v>2244</v>
      </c>
    </row>
    <row r="147" spans="1:9" x14ac:dyDescent="0.2">
      <c r="A147" s="308">
        <v>1995</v>
      </c>
      <c r="B147" s="196" t="str">
        <f t="shared" si="11"/>
        <v>-</v>
      </c>
      <c r="C147" s="196" t="str">
        <f t="shared" si="11"/>
        <v>-</v>
      </c>
      <c r="D147" s="196" t="str">
        <f t="shared" si="11"/>
        <v>-</v>
      </c>
      <c r="E147" s="196" t="str">
        <f t="shared" si="11"/>
        <v>-</v>
      </c>
      <c r="F147" s="196">
        <f t="shared" si="11"/>
        <v>2578</v>
      </c>
      <c r="G147" s="196">
        <f t="shared" si="11"/>
        <v>30</v>
      </c>
      <c r="H147" s="196" t="str">
        <f t="shared" si="11"/>
        <v>-</v>
      </c>
      <c r="I147" s="196">
        <f t="shared" si="11"/>
        <v>2608</v>
      </c>
    </row>
    <row r="148" spans="1:9" x14ac:dyDescent="0.2">
      <c r="A148" s="348" t="s">
        <v>282</v>
      </c>
      <c r="B148" s="196" t="str">
        <f t="shared" si="11"/>
        <v>-</v>
      </c>
      <c r="C148" s="196" t="str">
        <f t="shared" si="11"/>
        <v>-</v>
      </c>
      <c r="D148" s="196" t="str">
        <f t="shared" si="11"/>
        <v>-</v>
      </c>
      <c r="E148" s="196">
        <f t="shared" si="11"/>
        <v>79</v>
      </c>
      <c r="F148" s="196">
        <f t="shared" si="11"/>
        <v>498</v>
      </c>
      <c r="G148" s="196" t="str">
        <f t="shared" si="11"/>
        <v>-</v>
      </c>
      <c r="H148" s="196" t="str">
        <f t="shared" si="11"/>
        <v>-</v>
      </c>
      <c r="I148" s="196">
        <f t="shared" si="11"/>
        <v>577</v>
      </c>
    </row>
    <row r="149" spans="1:9" x14ac:dyDescent="0.2">
      <c r="A149" s="348">
        <v>1999</v>
      </c>
      <c r="B149" s="196" t="str">
        <f t="shared" si="11"/>
        <v>-</v>
      </c>
      <c r="C149" s="196" t="str">
        <f t="shared" si="11"/>
        <v>-</v>
      </c>
      <c r="D149" s="196" t="str">
        <f t="shared" si="11"/>
        <v>-</v>
      </c>
      <c r="E149" s="196">
        <f t="shared" si="11"/>
        <v>730</v>
      </c>
      <c r="F149" s="196">
        <f t="shared" si="11"/>
        <v>1165</v>
      </c>
      <c r="G149" s="196">
        <f t="shared" si="11"/>
        <v>81</v>
      </c>
      <c r="H149" s="196" t="str">
        <f t="shared" si="11"/>
        <v>-</v>
      </c>
      <c r="I149" s="196">
        <f t="shared" si="11"/>
        <v>1976</v>
      </c>
    </row>
    <row r="150" spans="1:9" x14ac:dyDescent="0.2">
      <c r="A150" s="348">
        <v>2001</v>
      </c>
      <c r="B150" s="196" t="str">
        <f t="shared" si="11"/>
        <v>-</v>
      </c>
      <c r="C150" s="196" t="str">
        <f t="shared" si="11"/>
        <v>-</v>
      </c>
      <c r="D150" s="196" t="str">
        <f t="shared" si="11"/>
        <v>-</v>
      </c>
      <c r="E150" s="196">
        <f t="shared" si="11"/>
        <v>1715</v>
      </c>
      <c r="F150" s="196">
        <f t="shared" si="11"/>
        <v>1081</v>
      </c>
      <c r="G150" s="196">
        <f t="shared" si="11"/>
        <v>3</v>
      </c>
      <c r="H150" s="196" t="str">
        <f t="shared" si="11"/>
        <v>-</v>
      </c>
      <c r="I150" s="196">
        <f t="shared" si="11"/>
        <v>2799</v>
      </c>
    </row>
    <row r="151" spans="1:9" x14ac:dyDescent="0.2">
      <c r="A151" s="348">
        <v>2003</v>
      </c>
      <c r="B151" s="196" t="str">
        <f t="shared" si="11"/>
        <v>-</v>
      </c>
      <c r="C151" s="196" t="str">
        <f t="shared" si="11"/>
        <v>-</v>
      </c>
      <c r="D151" s="196">
        <f t="shared" si="11"/>
        <v>6</v>
      </c>
      <c r="E151" s="196">
        <f t="shared" si="11"/>
        <v>2863</v>
      </c>
      <c r="F151" s="196">
        <f t="shared" si="11"/>
        <v>5136</v>
      </c>
      <c r="G151" s="196">
        <f t="shared" si="11"/>
        <v>120</v>
      </c>
      <c r="H151" s="196" t="str">
        <f t="shared" si="11"/>
        <v>-</v>
      </c>
      <c r="I151" s="196">
        <f t="shared" si="11"/>
        <v>8125</v>
      </c>
    </row>
    <row r="152" spans="1:9" x14ac:dyDescent="0.2">
      <c r="A152" s="348">
        <v>2005</v>
      </c>
      <c r="B152" s="196" t="str">
        <f t="shared" si="11"/>
        <v>-</v>
      </c>
      <c r="C152" s="196" t="str">
        <f t="shared" si="11"/>
        <v>-</v>
      </c>
      <c r="D152" s="196" t="str">
        <f t="shared" si="11"/>
        <v>-</v>
      </c>
      <c r="E152" s="196">
        <f t="shared" si="11"/>
        <v>1456</v>
      </c>
      <c r="F152" s="196">
        <f t="shared" si="11"/>
        <v>1375</v>
      </c>
      <c r="G152" s="196">
        <f t="shared" si="11"/>
        <v>62</v>
      </c>
      <c r="H152" s="196" t="str">
        <f t="shared" si="11"/>
        <v>-</v>
      </c>
      <c r="I152" s="196">
        <f t="shared" si="11"/>
        <v>2893</v>
      </c>
    </row>
    <row r="153" spans="1:9" x14ac:dyDescent="0.2">
      <c r="A153" s="348">
        <v>2007</v>
      </c>
      <c r="B153" s="196" t="str">
        <f t="shared" ref="B153:I159" si="12">B20</f>
        <v>-</v>
      </c>
      <c r="C153" s="196" t="str">
        <f t="shared" si="12"/>
        <v>-</v>
      </c>
      <c r="D153" s="196" t="str">
        <f t="shared" si="12"/>
        <v>-</v>
      </c>
      <c r="E153" s="196">
        <f t="shared" si="12"/>
        <v>1267.54</v>
      </c>
      <c r="F153" s="196">
        <f t="shared" si="12"/>
        <v>2765.9</v>
      </c>
      <c r="G153" s="196">
        <f t="shared" si="12"/>
        <v>0</v>
      </c>
      <c r="H153" s="196" t="str">
        <f t="shared" si="12"/>
        <v>-</v>
      </c>
      <c r="I153" s="196">
        <f t="shared" si="12"/>
        <v>4033.44</v>
      </c>
    </row>
    <row r="154" spans="1:9" x14ac:dyDescent="0.2">
      <c r="A154" s="348">
        <v>2009</v>
      </c>
      <c r="B154" s="196" t="str">
        <f t="shared" si="12"/>
        <v>-</v>
      </c>
      <c r="C154" s="196" t="str">
        <f t="shared" si="12"/>
        <v>-</v>
      </c>
      <c r="D154" s="196">
        <f t="shared" si="12"/>
        <v>8.58</v>
      </c>
      <c r="E154" s="196">
        <f t="shared" si="12"/>
        <v>2590.79</v>
      </c>
      <c r="F154" s="196">
        <f t="shared" si="12"/>
        <v>4266.09</v>
      </c>
      <c r="G154" s="196">
        <f t="shared" si="12"/>
        <v>270.14999999999998</v>
      </c>
      <c r="H154" s="196" t="str">
        <f t="shared" si="12"/>
        <v>-</v>
      </c>
      <c r="I154" s="196">
        <f t="shared" si="12"/>
        <v>7135.61</v>
      </c>
    </row>
    <row r="155" spans="1:9" x14ac:dyDescent="0.2">
      <c r="A155" s="348">
        <v>2011</v>
      </c>
      <c r="B155" s="196" t="str">
        <f t="shared" si="12"/>
        <v>-</v>
      </c>
      <c r="C155" s="196" t="str">
        <f t="shared" si="12"/>
        <v>-</v>
      </c>
      <c r="D155" s="196">
        <f t="shared" si="12"/>
        <v>33.020000000000003</v>
      </c>
      <c r="E155" s="196">
        <f t="shared" si="12"/>
        <v>3319.93</v>
      </c>
      <c r="F155" s="196">
        <f t="shared" si="12"/>
        <v>3960.49</v>
      </c>
      <c r="G155" s="196">
        <f t="shared" si="12"/>
        <v>159.34</v>
      </c>
      <c r="H155" s="196" t="str">
        <f t="shared" si="12"/>
        <v>-</v>
      </c>
      <c r="I155" s="196">
        <f t="shared" si="12"/>
        <v>7472.78</v>
      </c>
    </row>
    <row r="156" spans="1:9" x14ac:dyDescent="0.2">
      <c r="A156" s="348">
        <v>2013</v>
      </c>
      <c r="B156" s="196" t="str">
        <f t="shared" si="12"/>
        <v>-</v>
      </c>
      <c r="C156" s="196" t="str">
        <f t="shared" si="12"/>
        <v>-</v>
      </c>
      <c r="D156" s="196">
        <f t="shared" si="12"/>
        <v>30.669999999999998</v>
      </c>
      <c r="E156" s="196">
        <f t="shared" si="12"/>
        <v>4087.57</v>
      </c>
      <c r="F156" s="196">
        <f t="shared" si="12"/>
        <v>1865.98</v>
      </c>
      <c r="G156" s="196">
        <f t="shared" si="12"/>
        <v>12.86</v>
      </c>
      <c r="H156" s="196" t="str">
        <f t="shared" si="12"/>
        <v>-</v>
      </c>
      <c r="I156" s="196">
        <f t="shared" si="12"/>
        <v>5997.079999999999</v>
      </c>
    </row>
    <row r="157" spans="1:9" x14ac:dyDescent="0.2">
      <c r="A157" s="348">
        <v>2015</v>
      </c>
      <c r="B157" s="196" t="str">
        <f t="shared" si="12"/>
        <v>-</v>
      </c>
      <c r="C157" s="196" t="str">
        <f t="shared" si="12"/>
        <v>-</v>
      </c>
      <c r="D157" s="196">
        <f t="shared" si="12"/>
        <v>802.56000000000006</v>
      </c>
      <c r="E157" s="196">
        <f t="shared" si="12"/>
        <v>4984.41</v>
      </c>
      <c r="F157" s="196">
        <f t="shared" si="12"/>
        <v>592.66</v>
      </c>
      <c r="G157" s="196">
        <f t="shared" si="12"/>
        <v>5.3</v>
      </c>
      <c r="H157" s="196" t="str">
        <f t="shared" si="12"/>
        <v>-</v>
      </c>
      <c r="I157" s="196">
        <f t="shared" si="12"/>
        <v>6384.93</v>
      </c>
    </row>
    <row r="158" spans="1:9" s="347" customFormat="1" x14ac:dyDescent="0.2">
      <c r="A158" s="348">
        <v>2017</v>
      </c>
      <c r="B158" s="196" t="str">
        <f t="shared" si="12"/>
        <v>-</v>
      </c>
      <c r="C158" s="196" t="str">
        <f t="shared" si="12"/>
        <v>-</v>
      </c>
      <c r="D158" s="196">
        <f t="shared" si="12"/>
        <v>1.44</v>
      </c>
      <c r="E158" s="196">
        <f t="shared" si="12"/>
        <v>367.81</v>
      </c>
      <c r="F158" s="196">
        <f t="shared" si="12"/>
        <v>299.3</v>
      </c>
      <c r="G158" s="196">
        <f t="shared" si="12"/>
        <v>7.35</v>
      </c>
      <c r="H158" s="196" t="str">
        <f t="shared" si="12"/>
        <v>-</v>
      </c>
      <c r="I158" s="196">
        <f t="shared" si="12"/>
        <v>675.9</v>
      </c>
    </row>
    <row r="159" spans="1:9" x14ac:dyDescent="0.2">
      <c r="A159" s="348">
        <v>2019</v>
      </c>
      <c r="B159" s="196" t="str">
        <f t="shared" si="12"/>
        <v>-</v>
      </c>
      <c r="C159" s="196" t="str">
        <f t="shared" si="12"/>
        <v>-</v>
      </c>
      <c r="D159" s="196">
        <f t="shared" si="12"/>
        <v>15.44</v>
      </c>
      <c r="E159" s="196">
        <f t="shared" si="12"/>
        <v>259.92</v>
      </c>
      <c r="F159" s="196">
        <f t="shared" si="12"/>
        <v>593.29999999999995</v>
      </c>
      <c r="G159" s="196">
        <f t="shared" si="12"/>
        <v>0</v>
      </c>
      <c r="H159" s="196" t="str">
        <f t="shared" si="12"/>
        <v>-</v>
      </c>
      <c r="I159" s="196">
        <f t="shared" si="12"/>
        <v>868.66</v>
      </c>
    </row>
    <row r="160" spans="1:9" x14ac:dyDescent="0.2">
      <c r="A160" s="348"/>
      <c r="B160" s="37"/>
      <c r="C160" s="37"/>
      <c r="D160" s="37"/>
      <c r="E160" s="37"/>
      <c r="F160" s="37"/>
      <c r="G160" s="37"/>
      <c r="H160" s="37"/>
      <c r="I160" s="37"/>
    </row>
    <row r="161" spans="1:9" x14ac:dyDescent="0.2">
      <c r="A161" s="159" t="s">
        <v>66</v>
      </c>
      <c r="B161" s="37"/>
      <c r="C161" s="37"/>
      <c r="D161" s="37"/>
      <c r="E161" s="37"/>
      <c r="F161" s="37"/>
      <c r="G161" s="37"/>
      <c r="H161" s="37"/>
      <c r="I161" s="37"/>
    </row>
    <row r="162" spans="1:9" x14ac:dyDescent="0.2">
      <c r="A162" s="348" t="s">
        <v>30</v>
      </c>
      <c r="B162" s="196" t="s">
        <v>29</v>
      </c>
      <c r="C162" s="196">
        <f>AVERAGE(C31:C33)</f>
        <v>0</v>
      </c>
      <c r="D162" s="196">
        <f>AVERAGE(D31:D33)</f>
        <v>0</v>
      </c>
      <c r="E162" s="196">
        <f>AVERAGE(E31:E33)</f>
        <v>5.333333333333333</v>
      </c>
      <c r="F162" s="196">
        <f>AVERAGE(F31:F33)</f>
        <v>207.33333333333334</v>
      </c>
      <c r="G162" s="196">
        <f>AVERAGE(G31:G33)</f>
        <v>0.5</v>
      </c>
      <c r="H162" s="196" t="s">
        <v>29</v>
      </c>
      <c r="I162" s="196">
        <f>AVERAGE(I31:I33)</f>
        <v>213</v>
      </c>
    </row>
    <row r="163" spans="1:9" x14ac:dyDescent="0.2">
      <c r="A163" s="308">
        <v>1987</v>
      </c>
      <c r="B163" s="196" t="str">
        <f t="shared" ref="B163:I172" si="13">B34</f>
        <v>-</v>
      </c>
      <c r="C163" s="196" t="str">
        <f t="shared" si="13"/>
        <v>-</v>
      </c>
      <c r="D163" s="196">
        <f t="shared" si="13"/>
        <v>0</v>
      </c>
      <c r="E163" s="196">
        <f t="shared" si="13"/>
        <v>12</v>
      </c>
      <c r="F163" s="196">
        <f t="shared" si="13"/>
        <v>37</v>
      </c>
      <c r="G163" s="196" t="str">
        <f t="shared" si="13"/>
        <v>-</v>
      </c>
      <c r="H163" s="196" t="str">
        <f t="shared" si="13"/>
        <v>-</v>
      </c>
      <c r="I163" s="196">
        <f t="shared" si="13"/>
        <v>49</v>
      </c>
    </row>
    <row r="164" spans="1:9" x14ac:dyDescent="0.2">
      <c r="A164" s="348">
        <v>1989</v>
      </c>
      <c r="B164" s="196" t="str">
        <f t="shared" si="13"/>
        <v>-</v>
      </c>
      <c r="C164" s="196">
        <f t="shared" si="13"/>
        <v>0</v>
      </c>
      <c r="D164" s="196">
        <f t="shared" si="13"/>
        <v>0</v>
      </c>
      <c r="E164" s="196">
        <f t="shared" si="13"/>
        <v>0</v>
      </c>
      <c r="F164" s="196" t="str">
        <f t="shared" si="13"/>
        <v>-</v>
      </c>
      <c r="G164" s="196" t="str">
        <f t="shared" si="13"/>
        <v>-</v>
      </c>
      <c r="H164" s="196" t="str">
        <f t="shared" si="13"/>
        <v>-</v>
      </c>
      <c r="I164" s="196">
        <f t="shared" si="13"/>
        <v>0</v>
      </c>
    </row>
    <row r="165" spans="1:9" x14ac:dyDescent="0.2">
      <c r="A165" s="348">
        <v>1991</v>
      </c>
      <c r="B165" s="196" t="str">
        <f t="shared" si="13"/>
        <v>-</v>
      </c>
      <c r="C165" s="196" t="str">
        <f t="shared" si="13"/>
        <v>-</v>
      </c>
      <c r="D165" s="196" t="str">
        <f t="shared" si="13"/>
        <v>-</v>
      </c>
      <c r="E165" s="196">
        <f t="shared" si="13"/>
        <v>46</v>
      </c>
      <c r="F165" s="196" t="str">
        <f t="shared" si="13"/>
        <v>-</v>
      </c>
      <c r="G165" s="196" t="str">
        <f t="shared" si="13"/>
        <v>-</v>
      </c>
      <c r="H165" s="196" t="str">
        <f t="shared" si="13"/>
        <v>-</v>
      </c>
      <c r="I165" s="196">
        <f t="shared" si="13"/>
        <v>46</v>
      </c>
    </row>
    <row r="166" spans="1:9" x14ac:dyDescent="0.2">
      <c r="A166" s="348">
        <v>1993</v>
      </c>
      <c r="B166" s="196" t="str">
        <f t="shared" si="13"/>
        <v>-</v>
      </c>
      <c r="C166" s="196" t="str">
        <f t="shared" si="13"/>
        <v>-</v>
      </c>
      <c r="D166" s="196" t="str">
        <f t="shared" si="13"/>
        <v>-</v>
      </c>
      <c r="E166" s="196">
        <f t="shared" si="13"/>
        <v>46</v>
      </c>
      <c r="F166" s="196">
        <f t="shared" si="13"/>
        <v>34</v>
      </c>
      <c r="G166" s="196">
        <f t="shared" si="13"/>
        <v>4</v>
      </c>
      <c r="H166" s="196" t="str">
        <f t="shared" si="13"/>
        <v>-</v>
      </c>
      <c r="I166" s="196">
        <f t="shared" si="13"/>
        <v>84</v>
      </c>
    </row>
    <row r="167" spans="1:9" x14ac:dyDescent="0.2">
      <c r="A167" s="348">
        <v>1995</v>
      </c>
      <c r="B167" s="196" t="str">
        <f t="shared" si="13"/>
        <v>-</v>
      </c>
      <c r="C167" s="196" t="str">
        <f t="shared" si="13"/>
        <v>-</v>
      </c>
      <c r="D167" s="196" t="str">
        <f t="shared" si="13"/>
        <v>-</v>
      </c>
      <c r="E167" s="196" t="str">
        <f t="shared" si="13"/>
        <v>-</v>
      </c>
      <c r="F167" s="196">
        <f t="shared" si="13"/>
        <v>78</v>
      </c>
      <c r="G167" s="196">
        <f t="shared" si="13"/>
        <v>11</v>
      </c>
      <c r="H167" s="196" t="str">
        <f t="shared" si="13"/>
        <v>-</v>
      </c>
      <c r="I167" s="196">
        <f t="shared" si="13"/>
        <v>89</v>
      </c>
    </row>
    <row r="168" spans="1:9" x14ac:dyDescent="0.2">
      <c r="A168" s="348">
        <v>1997</v>
      </c>
      <c r="B168" s="196" t="str">
        <f t="shared" si="13"/>
        <v>-</v>
      </c>
      <c r="C168" s="196" t="str">
        <f t="shared" si="13"/>
        <v>-</v>
      </c>
      <c r="D168" s="196" t="str">
        <f t="shared" si="13"/>
        <v>-</v>
      </c>
      <c r="E168" s="196">
        <f t="shared" si="13"/>
        <v>195</v>
      </c>
      <c r="F168" s="196">
        <f t="shared" si="13"/>
        <v>0</v>
      </c>
      <c r="G168" s="196" t="str">
        <f t="shared" si="13"/>
        <v>-</v>
      </c>
      <c r="H168" s="196" t="str">
        <f t="shared" si="13"/>
        <v>-</v>
      </c>
      <c r="I168" s="196">
        <f t="shared" si="13"/>
        <v>195</v>
      </c>
    </row>
    <row r="169" spans="1:9" x14ac:dyDescent="0.2">
      <c r="A169" s="348">
        <v>1999</v>
      </c>
      <c r="B169" s="196" t="str">
        <f t="shared" si="13"/>
        <v>-</v>
      </c>
      <c r="C169" s="196" t="str">
        <f t="shared" si="13"/>
        <v>-</v>
      </c>
      <c r="D169" s="196" t="str">
        <f t="shared" si="13"/>
        <v>-</v>
      </c>
      <c r="E169" s="196">
        <f t="shared" si="13"/>
        <v>87</v>
      </c>
      <c r="F169" s="196">
        <f t="shared" si="13"/>
        <v>47</v>
      </c>
      <c r="G169" s="196">
        <f t="shared" si="13"/>
        <v>0</v>
      </c>
      <c r="H169" s="196" t="str">
        <f t="shared" si="13"/>
        <v>-</v>
      </c>
      <c r="I169" s="196">
        <f t="shared" si="13"/>
        <v>134</v>
      </c>
    </row>
    <row r="170" spans="1:9" x14ac:dyDescent="0.2">
      <c r="A170" s="348">
        <v>2001</v>
      </c>
      <c r="B170" s="196" t="str">
        <f t="shared" si="13"/>
        <v>-</v>
      </c>
      <c r="C170" s="196" t="str">
        <f t="shared" si="13"/>
        <v>-</v>
      </c>
      <c r="D170" s="196" t="str">
        <f t="shared" si="13"/>
        <v>-</v>
      </c>
      <c r="E170" s="196">
        <f t="shared" si="13"/>
        <v>129</v>
      </c>
      <c r="F170" s="196">
        <f t="shared" si="13"/>
        <v>32</v>
      </c>
      <c r="G170" s="196" t="str">
        <f t="shared" si="13"/>
        <v>-</v>
      </c>
      <c r="H170" s="196" t="str">
        <f t="shared" si="13"/>
        <v>-</v>
      </c>
      <c r="I170" s="196">
        <f t="shared" si="13"/>
        <v>161</v>
      </c>
    </row>
    <row r="171" spans="1:9" x14ac:dyDescent="0.2">
      <c r="A171" s="348">
        <v>2003</v>
      </c>
      <c r="B171" s="196" t="str">
        <f t="shared" si="13"/>
        <v>-</v>
      </c>
      <c r="C171" s="196" t="str">
        <f t="shared" si="13"/>
        <v>-</v>
      </c>
      <c r="D171" s="196">
        <f t="shared" si="13"/>
        <v>4</v>
      </c>
      <c r="E171" s="196">
        <f t="shared" si="13"/>
        <v>419</v>
      </c>
      <c r="F171" s="196">
        <f t="shared" si="13"/>
        <v>459</v>
      </c>
      <c r="G171" s="196">
        <f t="shared" si="13"/>
        <v>23</v>
      </c>
      <c r="H171" s="196">
        <f t="shared" si="13"/>
        <v>0</v>
      </c>
      <c r="I171" s="196">
        <f t="shared" si="13"/>
        <v>905</v>
      </c>
    </row>
    <row r="172" spans="1:9" x14ac:dyDescent="0.2">
      <c r="A172" s="348">
        <v>2005</v>
      </c>
      <c r="B172" s="196" t="str">
        <f t="shared" si="13"/>
        <v>-</v>
      </c>
      <c r="C172" s="196" t="str">
        <f t="shared" si="13"/>
        <v>-</v>
      </c>
      <c r="D172" s="196" t="str">
        <f t="shared" si="13"/>
        <v>-</v>
      </c>
      <c r="E172" s="196">
        <f t="shared" si="13"/>
        <v>41</v>
      </c>
      <c r="F172" s="196">
        <f t="shared" si="13"/>
        <v>167</v>
      </c>
      <c r="G172" s="196">
        <f t="shared" si="13"/>
        <v>2</v>
      </c>
      <c r="H172" s="196">
        <f t="shared" si="13"/>
        <v>0</v>
      </c>
      <c r="I172" s="196">
        <f t="shared" si="13"/>
        <v>210</v>
      </c>
    </row>
    <row r="173" spans="1:9" x14ac:dyDescent="0.2">
      <c r="A173" s="348">
        <v>2007</v>
      </c>
      <c r="B173" s="196" t="str">
        <f t="shared" ref="B173:I179" si="14">B44</f>
        <v>-</v>
      </c>
      <c r="C173" s="196" t="str">
        <f t="shared" si="14"/>
        <v>-</v>
      </c>
      <c r="D173" s="196" t="str">
        <f t="shared" si="14"/>
        <v>-</v>
      </c>
      <c r="E173" s="196">
        <f t="shared" si="14"/>
        <v>41.76</v>
      </c>
      <c r="F173" s="196">
        <f t="shared" si="14"/>
        <v>83.96</v>
      </c>
      <c r="G173" s="196">
        <f t="shared" si="14"/>
        <v>0</v>
      </c>
      <c r="H173" s="196">
        <f t="shared" si="14"/>
        <v>0</v>
      </c>
      <c r="I173" s="196">
        <f t="shared" si="14"/>
        <v>125.72</v>
      </c>
    </row>
    <row r="174" spans="1:9" x14ac:dyDescent="0.2">
      <c r="A174" s="348">
        <v>2009</v>
      </c>
      <c r="B174" s="196" t="str">
        <f t="shared" si="14"/>
        <v>-</v>
      </c>
      <c r="C174" s="196" t="str">
        <f t="shared" si="14"/>
        <v>-</v>
      </c>
      <c r="D174" s="196">
        <f t="shared" si="14"/>
        <v>6.25</v>
      </c>
      <c r="E174" s="196">
        <f t="shared" si="14"/>
        <v>147.61000000000001</v>
      </c>
      <c r="F174" s="196">
        <f t="shared" si="14"/>
        <v>76.8</v>
      </c>
      <c r="G174" s="196">
        <f t="shared" si="14"/>
        <v>0</v>
      </c>
      <c r="H174" s="196">
        <f t="shared" si="14"/>
        <v>0</v>
      </c>
      <c r="I174" s="196">
        <f t="shared" si="14"/>
        <v>230.66000000000003</v>
      </c>
    </row>
    <row r="175" spans="1:9" x14ac:dyDescent="0.2">
      <c r="A175" s="348">
        <v>2011</v>
      </c>
      <c r="B175" s="196" t="str">
        <f t="shared" si="14"/>
        <v>-</v>
      </c>
      <c r="C175" s="196" t="str">
        <f t="shared" si="14"/>
        <v>-</v>
      </c>
      <c r="D175" s="196">
        <f t="shared" si="14"/>
        <v>4</v>
      </c>
      <c r="E175" s="196">
        <f t="shared" si="14"/>
        <v>519.75</v>
      </c>
      <c r="F175" s="196">
        <f t="shared" si="14"/>
        <v>928.94</v>
      </c>
      <c r="G175" s="196">
        <f t="shared" si="14"/>
        <v>67.37</v>
      </c>
      <c r="H175" s="196">
        <f t="shared" si="14"/>
        <v>0</v>
      </c>
      <c r="I175" s="196">
        <f t="shared" si="14"/>
        <v>1520.06</v>
      </c>
    </row>
    <row r="176" spans="1:9" x14ac:dyDescent="0.2">
      <c r="A176" s="348">
        <v>2013</v>
      </c>
      <c r="B176" s="196" t="str">
        <f t="shared" si="14"/>
        <v>-</v>
      </c>
      <c r="C176" s="196" t="str">
        <f t="shared" si="14"/>
        <v>-</v>
      </c>
      <c r="D176" s="196">
        <f t="shared" si="14"/>
        <v>3.3</v>
      </c>
      <c r="E176" s="196">
        <f t="shared" si="14"/>
        <v>232.1</v>
      </c>
      <c r="F176" s="196">
        <f t="shared" si="14"/>
        <v>406.22</v>
      </c>
      <c r="G176" s="196">
        <f t="shared" si="14"/>
        <v>1.05</v>
      </c>
      <c r="H176" s="196">
        <f t="shared" si="14"/>
        <v>0</v>
      </c>
      <c r="I176" s="196">
        <f t="shared" si="14"/>
        <v>642.66999999999996</v>
      </c>
    </row>
    <row r="177" spans="1:9" x14ac:dyDescent="0.2">
      <c r="A177" s="348">
        <v>2015</v>
      </c>
      <c r="B177" s="196" t="str">
        <f t="shared" si="14"/>
        <v>-</v>
      </c>
      <c r="C177" s="196" t="str">
        <f t="shared" si="14"/>
        <v>-</v>
      </c>
      <c r="D177" s="196">
        <f t="shared" si="14"/>
        <v>23.67</v>
      </c>
      <c r="E177" s="196">
        <f t="shared" si="14"/>
        <v>113.4</v>
      </c>
      <c r="F177" s="196">
        <f t="shared" si="14"/>
        <v>4.62</v>
      </c>
      <c r="G177" s="196">
        <f t="shared" si="14"/>
        <v>0</v>
      </c>
      <c r="H177" s="196">
        <f t="shared" si="14"/>
        <v>0</v>
      </c>
      <c r="I177" s="196">
        <f t="shared" si="14"/>
        <v>141.69</v>
      </c>
    </row>
    <row r="178" spans="1:9" s="347" customFormat="1" x14ac:dyDescent="0.2">
      <c r="A178" s="348">
        <v>2017</v>
      </c>
      <c r="B178" s="196" t="str">
        <f t="shared" si="14"/>
        <v>-</v>
      </c>
      <c r="C178" s="196" t="str">
        <f t="shared" si="14"/>
        <v>-</v>
      </c>
      <c r="D178" s="196">
        <f t="shared" si="14"/>
        <v>0</v>
      </c>
      <c r="E178" s="196">
        <f t="shared" si="14"/>
        <v>4</v>
      </c>
      <c r="F178" s="196">
        <f t="shared" si="14"/>
        <v>7.83</v>
      </c>
      <c r="G178" s="196">
        <f t="shared" si="14"/>
        <v>0</v>
      </c>
      <c r="H178" s="196">
        <f t="shared" si="14"/>
        <v>0</v>
      </c>
      <c r="I178" s="196">
        <f t="shared" si="14"/>
        <v>11.83</v>
      </c>
    </row>
    <row r="179" spans="1:9" x14ac:dyDescent="0.2">
      <c r="A179" s="348">
        <v>2019</v>
      </c>
      <c r="B179" s="196" t="str">
        <f t="shared" si="14"/>
        <v>-</v>
      </c>
      <c r="C179" s="196" t="str">
        <f t="shared" si="14"/>
        <v>-</v>
      </c>
      <c r="D179" s="196">
        <f t="shared" si="14"/>
        <v>0</v>
      </c>
      <c r="E179" s="196">
        <f t="shared" si="14"/>
        <v>41.1</v>
      </c>
      <c r="F179" s="196">
        <f t="shared" si="14"/>
        <v>165.38</v>
      </c>
      <c r="G179" s="196">
        <f t="shared" si="14"/>
        <v>0</v>
      </c>
      <c r="H179" s="196">
        <f t="shared" si="14"/>
        <v>0</v>
      </c>
      <c r="I179" s="196">
        <f t="shared" si="14"/>
        <v>206.48</v>
      </c>
    </row>
    <row r="180" spans="1:9" x14ac:dyDescent="0.2">
      <c r="A180" s="348"/>
      <c r="B180" s="37"/>
      <c r="C180" s="37"/>
      <c r="D180" s="37"/>
      <c r="E180" s="37"/>
      <c r="F180" s="37"/>
      <c r="G180" s="37"/>
      <c r="H180" s="37"/>
      <c r="I180" s="37"/>
    </row>
    <row r="181" spans="1:9" x14ac:dyDescent="0.2">
      <c r="A181" s="159" t="s">
        <v>64</v>
      </c>
      <c r="B181" s="37"/>
      <c r="C181" s="37"/>
      <c r="D181" s="37"/>
      <c r="E181" s="37"/>
      <c r="F181" s="37"/>
      <c r="G181" s="37"/>
      <c r="H181" s="37"/>
      <c r="I181" s="37"/>
    </row>
    <row r="182" spans="1:9" x14ac:dyDescent="0.2">
      <c r="A182" s="348" t="s">
        <v>30</v>
      </c>
      <c r="B182" s="37" t="s">
        <v>29</v>
      </c>
      <c r="C182" s="37">
        <f>AVERAGE(C55:C57)</f>
        <v>15.5</v>
      </c>
      <c r="D182" s="37">
        <f>AVERAGE(D55:D57)</f>
        <v>59.666666666666664</v>
      </c>
      <c r="E182" s="37">
        <f>AVERAGE(E55:E57)</f>
        <v>497.33333333333331</v>
      </c>
      <c r="F182" s="37">
        <f>AVERAGE(F55:F57)</f>
        <v>541.33333333333337</v>
      </c>
      <c r="G182" s="37">
        <f>AVERAGE(G55:G57)</f>
        <v>3</v>
      </c>
      <c r="H182" s="37" t="s">
        <v>29</v>
      </c>
      <c r="I182" s="37">
        <f>AVERAGE(I55:I57)</f>
        <v>1110.6666666666667</v>
      </c>
    </row>
    <row r="183" spans="1:9" x14ac:dyDescent="0.2">
      <c r="A183" s="348">
        <v>1987</v>
      </c>
      <c r="B183" s="37" t="str">
        <f t="shared" ref="B183:I192" si="15">B58</f>
        <v>-</v>
      </c>
      <c r="C183" s="37" t="str">
        <f t="shared" si="15"/>
        <v>-</v>
      </c>
      <c r="D183" s="37">
        <f t="shared" si="15"/>
        <v>0</v>
      </c>
      <c r="E183" s="37">
        <f t="shared" si="15"/>
        <v>183</v>
      </c>
      <c r="F183" s="37">
        <f t="shared" si="15"/>
        <v>45</v>
      </c>
      <c r="G183" s="37" t="str">
        <f t="shared" si="15"/>
        <v>-</v>
      </c>
      <c r="H183" s="37" t="str">
        <f t="shared" si="15"/>
        <v>-</v>
      </c>
      <c r="I183" s="37">
        <f t="shared" si="15"/>
        <v>228</v>
      </c>
    </row>
    <row r="184" spans="1:9" x14ac:dyDescent="0.2">
      <c r="A184" s="348">
        <v>1989</v>
      </c>
      <c r="B184" s="37" t="str">
        <f t="shared" si="15"/>
        <v>-</v>
      </c>
      <c r="C184" s="37">
        <f t="shared" si="15"/>
        <v>0</v>
      </c>
      <c r="D184" s="37">
        <f t="shared" si="15"/>
        <v>0</v>
      </c>
      <c r="E184" s="37">
        <f t="shared" si="15"/>
        <v>28</v>
      </c>
      <c r="F184" s="37">
        <f t="shared" si="15"/>
        <v>45</v>
      </c>
      <c r="G184" s="37" t="str">
        <f t="shared" si="15"/>
        <v>-</v>
      </c>
      <c r="H184" s="37" t="str">
        <f t="shared" si="15"/>
        <v>-</v>
      </c>
      <c r="I184" s="37">
        <f t="shared" si="15"/>
        <v>73</v>
      </c>
    </row>
    <row r="185" spans="1:9" x14ac:dyDescent="0.2">
      <c r="A185" s="348">
        <v>1991</v>
      </c>
      <c r="B185" s="37" t="str">
        <f t="shared" si="15"/>
        <v>-</v>
      </c>
      <c r="C185" s="37" t="str">
        <f t="shared" si="15"/>
        <v>-</v>
      </c>
      <c r="D185" s="37">
        <f t="shared" si="15"/>
        <v>0</v>
      </c>
      <c r="E185" s="37">
        <f t="shared" si="15"/>
        <v>43</v>
      </c>
      <c r="F185" s="37">
        <f t="shared" si="15"/>
        <v>33</v>
      </c>
      <c r="G185" s="37">
        <f t="shared" si="15"/>
        <v>4</v>
      </c>
      <c r="H185" s="37" t="str">
        <f t="shared" si="15"/>
        <v>-</v>
      </c>
      <c r="I185" s="37">
        <f t="shared" si="15"/>
        <v>80</v>
      </c>
    </row>
    <row r="186" spans="1:9" x14ac:dyDescent="0.2">
      <c r="A186" s="348">
        <v>1993</v>
      </c>
      <c r="B186" s="37" t="str">
        <f t="shared" si="15"/>
        <v>-</v>
      </c>
      <c r="C186" s="37" t="str">
        <f t="shared" si="15"/>
        <v>-</v>
      </c>
      <c r="D186" s="37" t="str">
        <f t="shared" si="15"/>
        <v>-</v>
      </c>
      <c r="E186" s="37">
        <f t="shared" si="15"/>
        <v>33</v>
      </c>
      <c r="F186" s="37">
        <f t="shared" si="15"/>
        <v>35</v>
      </c>
      <c r="G186" s="37">
        <f t="shared" si="15"/>
        <v>2</v>
      </c>
      <c r="H186" s="37" t="str">
        <f t="shared" si="15"/>
        <v>-</v>
      </c>
      <c r="I186" s="37">
        <f t="shared" si="15"/>
        <v>70</v>
      </c>
    </row>
    <row r="187" spans="1:9" x14ac:dyDescent="0.2">
      <c r="A187" s="348">
        <v>1995</v>
      </c>
      <c r="B187" s="37" t="str">
        <f t="shared" si="15"/>
        <v>-</v>
      </c>
      <c r="C187" s="37" t="str">
        <f t="shared" si="15"/>
        <v>-</v>
      </c>
      <c r="D187" s="37" t="str">
        <f t="shared" si="15"/>
        <v>-</v>
      </c>
      <c r="E187" s="37">
        <f t="shared" si="15"/>
        <v>40</v>
      </c>
      <c r="F187" s="37">
        <f t="shared" si="15"/>
        <v>51</v>
      </c>
      <c r="G187" s="37">
        <f t="shared" si="15"/>
        <v>2</v>
      </c>
      <c r="H187" s="37" t="str">
        <f t="shared" si="15"/>
        <v>-</v>
      </c>
      <c r="I187" s="37">
        <f t="shared" si="15"/>
        <v>93</v>
      </c>
    </row>
    <row r="188" spans="1:9" x14ac:dyDescent="0.2">
      <c r="A188" s="348">
        <v>1997</v>
      </c>
      <c r="B188" s="37" t="str">
        <f t="shared" si="15"/>
        <v>-</v>
      </c>
      <c r="C188" s="37" t="str">
        <f t="shared" si="15"/>
        <v>-</v>
      </c>
      <c r="D188" s="37" t="str">
        <f t="shared" si="15"/>
        <v>-</v>
      </c>
      <c r="E188" s="37">
        <f t="shared" si="15"/>
        <v>520</v>
      </c>
      <c r="F188" s="37">
        <f t="shared" si="15"/>
        <v>96</v>
      </c>
      <c r="G188" s="37">
        <f t="shared" si="15"/>
        <v>22</v>
      </c>
      <c r="H188" s="37" t="str">
        <f t="shared" si="15"/>
        <v>-</v>
      </c>
      <c r="I188" s="37">
        <f t="shared" si="15"/>
        <v>638</v>
      </c>
    </row>
    <row r="189" spans="1:9" x14ac:dyDescent="0.2">
      <c r="A189" s="348">
        <v>1999</v>
      </c>
      <c r="B189" s="37" t="str">
        <f t="shared" si="15"/>
        <v>-</v>
      </c>
      <c r="C189" s="37" t="str">
        <f t="shared" si="15"/>
        <v>-</v>
      </c>
      <c r="D189" s="37" t="str">
        <f t="shared" si="15"/>
        <v>-</v>
      </c>
      <c r="E189" s="37">
        <f t="shared" si="15"/>
        <v>35</v>
      </c>
      <c r="F189" s="37">
        <f t="shared" si="15"/>
        <v>40</v>
      </c>
      <c r="G189" s="37">
        <f t="shared" si="15"/>
        <v>0</v>
      </c>
      <c r="H189" s="37" t="str">
        <f t="shared" si="15"/>
        <v>-</v>
      </c>
      <c r="I189" s="37">
        <f t="shared" si="15"/>
        <v>75</v>
      </c>
    </row>
    <row r="190" spans="1:9" x14ac:dyDescent="0.2">
      <c r="A190" s="348">
        <v>2001</v>
      </c>
      <c r="B190" s="37" t="str">
        <f t="shared" si="15"/>
        <v>-</v>
      </c>
      <c r="C190" s="37" t="str">
        <f t="shared" si="15"/>
        <v>-</v>
      </c>
      <c r="D190" s="37" t="str">
        <f t="shared" si="15"/>
        <v>-</v>
      </c>
      <c r="E190" s="37">
        <f t="shared" si="15"/>
        <v>782</v>
      </c>
      <c r="F190" s="37">
        <f t="shared" si="15"/>
        <v>136</v>
      </c>
      <c r="G190" s="37" t="str">
        <f t="shared" si="15"/>
        <v>-</v>
      </c>
      <c r="H190" s="37" t="str">
        <f t="shared" si="15"/>
        <v>-</v>
      </c>
      <c r="I190" s="37">
        <f t="shared" si="15"/>
        <v>918</v>
      </c>
    </row>
    <row r="191" spans="1:9" x14ac:dyDescent="0.2">
      <c r="A191" s="348">
        <v>2003</v>
      </c>
      <c r="B191" s="37" t="str">
        <f t="shared" si="15"/>
        <v>-</v>
      </c>
      <c r="C191" s="37" t="str">
        <f t="shared" si="15"/>
        <v>-</v>
      </c>
      <c r="D191" s="37">
        <f t="shared" si="15"/>
        <v>12</v>
      </c>
      <c r="E191" s="37">
        <f t="shared" si="15"/>
        <v>3559</v>
      </c>
      <c r="F191" s="37">
        <f t="shared" si="15"/>
        <v>756</v>
      </c>
      <c r="G191" s="37">
        <f t="shared" si="15"/>
        <v>32</v>
      </c>
      <c r="H191" s="37" t="str">
        <f t="shared" si="15"/>
        <v>-</v>
      </c>
      <c r="I191" s="37">
        <f t="shared" si="15"/>
        <v>4359</v>
      </c>
    </row>
    <row r="192" spans="1:9" x14ac:dyDescent="0.2">
      <c r="A192" s="348">
        <v>2005</v>
      </c>
      <c r="B192" s="37" t="str">
        <f t="shared" si="15"/>
        <v>-</v>
      </c>
      <c r="C192" s="37" t="str">
        <f t="shared" si="15"/>
        <v>-</v>
      </c>
      <c r="D192" s="37">
        <f t="shared" si="15"/>
        <v>0</v>
      </c>
      <c r="E192" s="37">
        <f t="shared" si="15"/>
        <v>26</v>
      </c>
      <c r="F192" s="37">
        <f t="shared" si="15"/>
        <v>128</v>
      </c>
      <c r="G192" s="37">
        <f t="shared" si="15"/>
        <v>0</v>
      </c>
      <c r="H192" s="37" t="str">
        <f t="shared" si="15"/>
        <v>-</v>
      </c>
      <c r="I192" s="37">
        <f t="shared" si="15"/>
        <v>154</v>
      </c>
    </row>
    <row r="193" spans="1:9" x14ac:dyDescent="0.2">
      <c r="A193" s="348">
        <v>2007</v>
      </c>
      <c r="B193" s="37" t="str">
        <f t="shared" ref="B193:I199" si="16">B68</f>
        <v>-</v>
      </c>
      <c r="C193" s="37" t="str">
        <f t="shared" si="16"/>
        <v>-</v>
      </c>
      <c r="D193" s="37" t="str">
        <f t="shared" si="16"/>
        <v>-</v>
      </c>
      <c r="E193" s="37">
        <f t="shared" si="16"/>
        <v>260.95999999999998</v>
      </c>
      <c r="F193" s="37">
        <f t="shared" si="16"/>
        <v>240.29</v>
      </c>
      <c r="G193" s="37">
        <f t="shared" si="16"/>
        <v>2.19</v>
      </c>
      <c r="H193" s="37" t="str">
        <f t="shared" si="16"/>
        <v>-</v>
      </c>
      <c r="I193" s="37">
        <f t="shared" si="16"/>
        <v>503.44</v>
      </c>
    </row>
    <row r="194" spans="1:9" x14ac:dyDescent="0.2">
      <c r="A194" s="348">
        <v>2009</v>
      </c>
      <c r="B194" s="37" t="str">
        <f t="shared" si="16"/>
        <v>-</v>
      </c>
      <c r="C194" s="37" t="str">
        <f t="shared" si="16"/>
        <v>-</v>
      </c>
      <c r="D194" s="37">
        <f t="shared" si="16"/>
        <v>50.56</v>
      </c>
      <c r="E194" s="37">
        <f t="shared" si="16"/>
        <v>79.22</v>
      </c>
      <c r="F194" s="37">
        <f t="shared" si="16"/>
        <v>131.41</v>
      </c>
      <c r="G194" s="37">
        <f t="shared" si="16"/>
        <v>0</v>
      </c>
      <c r="H194" s="37" t="str">
        <f t="shared" si="16"/>
        <v>-</v>
      </c>
      <c r="I194" s="37">
        <f t="shared" si="16"/>
        <v>261.19</v>
      </c>
    </row>
    <row r="195" spans="1:9" x14ac:dyDescent="0.2">
      <c r="A195" s="348">
        <v>2011</v>
      </c>
      <c r="B195" s="37" t="str">
        <f t="shared" si="16"/>
        <v>-</v>
      </c>
      <c r="C195" s="37" t="str">
        <f t="shared" si="16"/>
        <v>-</v>
      </c>
      <c r="D195" s="37">
        <f t="shared" si="16"/>
        <v>4</v>
      </c>
      <c r="E195" s="37">
        <f t="shared" si="16"/>
        <v>544.4</v>
      </c>
      <c r="F195" s="37">
        <f t="shared" si="16"/>
        <v>1270.3699999999999</v>
      </c>
      <c r="G195" s="37">
        <f t="shared" si="16"/>
        <v>13.2</v>
      </c>
      <c r="H195" s="37" t="str">
        <f t="shared" si="16"/>
        <v>-</v>
      </c>
      <c r="I195" s="37">
        <f t="shared" si="16"/>
        <v>1831.97</v>
      </c>
    </row>
    <row r="196" spans="1:9" x14ac:dyDescent="0.2">
      <c r="A196" s="348">
        <v>2013</v>
      </c>
      <c r="B196" s="37" t="str">
        <f t="shared" si="16"/>
        <v>-</v>
      </c>
      <c r="C196" s="37" t="str">
        <f t="shared" si="16"/>
        <v>-</v>
      </c>
      <c r="D196" s="37">
        <f t="shared" si="16"/>
        <v>4.82</v>
      </c>
      <c r="E196" s="37">
        <f t="shared" si="16"/>
        <v>647.5</v>
      </c>
      <c r="F196" s="37">
        <f t="shared" si="16"/>
        <v>371.7</v>
      </c>
      <c r="G196" s="37">
        <f t="shared" si="16"/>
        <v>0</v>
      </c>
      <c r="H196" s="37" t="str">
        <f t="shared" si="16"/>
        <v>-</v>
      </c>
      <c r="I196" s="37">
        <f t="shared" si="16"/>
        <v>1024.02</v>
      </c>
    </row>
    <row r="197" spans="1:9" x14ac:dyDescent="0.2">
      <c r="A197" s="348">
        <v>2015</v>
      </c>
      <c r="B197" s="37" t="str">
        <f t="shared" si="16"/>
        <v>-</v>
      </c>
      <c r="C197" s="37" t="str">
        <f t="shared" si="16"/>
        <v>-</v>
      </c>
      <c r="D197" s="37">
        <f t="shared" si="16"/>
        <v>208.67</v>
      </c>
      <c r="E197" s="37">
        <f t="shared" si="16"/>
        <v>1828.96</v>
      </c>
      <c r="F197" s="37">
        <f t="shared" si="16"/>
        <v>60.33</v>
      </c>
      <c r="G197" s="37">
        <f t="shared" si="16"/>
        <v>2.8</v>
      </c>
      <c r="H197" s="37" t="str">
        <f t="shared" si="16"/>
        <v>-</v>
      </c>
      <c r="I197" s="37">
        <f t="shared" si="16"/>
        <v>2100.7600000000002</v>
      </c>
    </row>
    <row r="198" spans="1:9" s="347" customFormat="1" x14ac:dyDescent="0.2">
      <c r="A198" s="348">
        <v>2017</v>
      </c>
      <c r="B198" s="37" t="str">
        <f t="shared" si="16"/>
        <v>-</v>
      </c>
      <c r="C198" s="37" t="str">
        <f t="shared" si="16"/>
        <v>-</v>
      </c>
      <c r="D198" s="37">
        <f t="shared" si="16"/>
        <v>0</v>
      </c>
      <c r="E198" s="37">
        <f t="shared" si="16"/>
        <v>35.56</v>
      </c>
      <c r="F198" s="37">
        <f t="shared" si="16"/>
        <v>8.9700000000000006</v>
      </c>
      <c r="G198" s="37">
        <f t="shared" si="16"/>
        <v>0</v>
      </c>
      <c r="H198" s="37" t="str">
        <f t="shared" si="16"/>
        <v>-</v>
      </c>
      <c r="I198" s="37">
        <f t="shared" si="16"/>
        <v>44.53</v>
      </c>
    </row>
    <row r="199" spans="1:9" x14ac:dyDescent="0.2">
      <c r="A199" s="348">
        <v>2019</v>
      </c>
      <c r="B199" s="37" t="str">
        <f t="shared" si="16"/>
        <v>-</v>
      </c>
      <c r="C199" s="37" t="str">
        <f t="shared" si="16"/>
        <v>-</v>
      </c>
      <c r="D199" s="37">
        <f t="shared" si="16"/>
        <v>0</v>
      </c>
      <c r="E199" s="37">
        <f t="shared" si="16"/>
        <v>126.81</v>
      </c>
      <c r="F199" s="37">
        <f t="shared" si="16"/>
        <v>565.17999999999995</v>
      </c>
      <c r="G199" s="37">
        <f t="shared" si="16"/>
        <v>8.2899999999999991</v>
      </c>
      <c r="H199" s="37" t="str">
        <f t="shared" si="16"/>
        <v>-</v>
      </c>
      <c r="I199" s="37">
        <f t="shared" si="16"/>
        <v>700.28</v>
      </c>
    </row>
    <row r="200" spans="1:9" x14ac:dyDescent="0.2">
      <c r="A200" s="348"/>
      <c r="B200" s="37"/>
      <c r="C200" s="37"/>
      <c r="D200" s="37"/>
      <c r="E200" s="37"/>
      <c r="F200" s="37"/>
      <c r="G200" s="37"/>
      <c r="H200" s="37"/>
      <c r="I200" s="37"/>
    </row>
    <row r="201" spans="1:9" x14ac:dyDescent="0.2">
      <c r="A201" s="603" t="s">
        <v>219</v>
      </c>
      <c r="B201" s="603"/>
      <c r="C201" s="603"/>
      <c r="D201" s="603"/>
      <c r="E201" s="603"/>
      <c r="F201" s="603"/>
      <c r="G201" s="603"/>
      <c r="H201" s="603"/>
      <c r="I201" s="603"/>
    </row>
    <row r="202" spans="1:9" x14ac:dyDescent="0.2">
      <c r="A202" s="602"/>
      <c r="B202" s="602"/>
      <c r="C202" s="602"/>
      <c r="D202" s="602"/>
      <c r="E202" s="602"/>
      <c r="F202" s="602"/>
      <c r="G202" s="602"/>
      <c r="H202" s="602"/>
      <c r="I202" s="602"/>
    </row>
    <row r="203" spans="1:9" x14ac:dyDescent="0.2">
      <c r="A203" s="121" t="s">
        <v>288</v>
      </c>
      <c r="B203" s="370" t="s">
        <v>34</v>
      </c>
      <c r="C203" s="370" t="s">
        <v>35</v>
      </c>
      <c r="D203" s="370" t="s">
        <v>36</v>
      </c>
      <c r="E203" s="370" t="s">
        <v>37</v>
      </c>
      <c r="F203" s="370" t="s">
        <v>38</v>
      </c>
      <c r="G203" s="370" t="s">
        <v>39</v>
      </c>
      <c r="H203" s="370" t="s">
        <v>40</v>
      </c>
      <c r="I203" s="370" t="s">
        <v>28</v>
      </c>
    </row>
    <row r="204" spans="1:9" x14ac:dyDescent="0.2">
      <c r="A204" s="126" t="s">
        <v>286</v>
      </c>
    </row>
    <row r="205" spans="1:9" x14ac:dyDescent="0.2">
      <c r="A205" s="348" t="s">
        <v>30</v>
      </c>
      <c r="B205" s="24" t="s">
        <v>29</v>
      </c>
      <c r="C205" s="24">
        <f>AVERAGE(C79:C81)</f>
        <v>1</v>
      </c>
      <c r="D205" s="24">
        <f>AVERAGE(D79:D81)</f>
        <v>1.3333333333333333</v>
      </c>
      <c r="E205" s="24">
        <f>AVERAGE(E79:E81)</f>
        <v>35.666666666666664</v>
      </c>
      <c r="F205" s="24">
        <f>AVERAGE(F79:F81)</f>
        <v>155</v>
      </c>
      <c r="G205" s="24">
        <f>AVERAGE(G79:G81)</f>
        <v>0</v>
      </c>
      <c r="H205" s="37" t="s">
        <v>29</v>
      </c>
      <c r="I205" s="24">
        <f>AVERAGE(I79:I81)</f>
        <v>192.66666666666666</v>
      </c>
    </row>
    <row r="206" spans="1:9" x14ac:dyDescent="0.2">
      <c r="A206" s="371">
        <v>1987</v>
      </c>
      <c r="B206" s="24" t="str">
        <f t="shared" ref="B206:I215" si="17">B82</f>
        <v>-</v>
      </c>
      <c r="C206" s="24" t="str">
        <f t="shared" si="17"/>
        <v>-</v>
      </c>
      <c r="D206" s="24">
        <f t="shared" si="17"/>
        <v>0</v>
      </c>
      <c r="E206" s="24">
        <f t="shared" si="17"/>
        <v>110</v>
      </c>
      <c r="F206" s="24">
        <f t="shared" si="17"/>
        <v>9</v>
      </c>
      <c r="G206" s="24" t="str">
        <f t="shared" si="17"/>
        <v>-</v>
      </c>
      <c r="H206" s="24" t="str">
        <f t="shared" si="17"/>
        <v>-</v>
      </c>
      <c r="I206" s="24">
        <f t="shared" si="17"/>
        <v>119</v>
      </c>
    </row>
    <row r="207" spans="1:9" x14ac:dyDescent="0.2">
      <c r="A207" s="371">
        <v>1989</v>
      </c>
      <c r="B207" s="24" t="str">
        <f t="shared" si="17"/>
        <v>-</v>
      </c>
      <c r="C207" s="24">
        <f t="shared" si="17"/>
        <v>0</v>
      </c>
      <c r="D207" s="24">
        <f t="shared" si="17"/>
        <v>0</v>
      </c>
      <c r="E207" s="24">
        <f t="shared" si="17"/>
        <v>11</v>
      </c>
      <c r="F207" s="24">
        <f t="shared" si="17"/>
        <v>12</v>
      </c>
      <c r="G207" s="24" t="str">
        <f t="shared" si="17"/>
        <v>-</v>
      </c>
      <c r="H207" s="24" t="str">
        <f t="shared" si="17"/>
        <v>-</v>
      </c>
      <c r="I207" s="24">
        <f t="shared" si="17"/>
        <v>23</v>
      </c>
    </row>
    <row r="208" spans="1:9" x14ac:dyDescent="0.2">
      <c r="A208" s="371">
        <v>1991</v>
      </c>
      <c r="B208" s="24" t="str">
        <f t="shared" si="17"/>
        <v>-</v>
      </c>
      <c r="C208" s="24" t="str">
        <f t="shared" si="17"/>
        <v>-</v>
      </c>
      <c r="D208" s="24">
        <f t="shared" si="17"/>
        <v>0</v>
      </c>
      <c r="E208" s="24">
        <f t="shared" si="17"/>
        <v>45</v>
      </c>
      <c r="F208" s="24">
        <f t="shared" si="17"/>
        <v>21</v>
      </c>
      <c r="G208" s="24">
        <f t="shared" si="17"/>
        <v>0</v>
      </c>
      <c r="H208" s="24" t="str">
        <f t="shared" si="17"/>
        <v>-</v>
      </c>
      <c r="I208" s="24">
        <f t="shared" si="17"/>
        <v>66</v>
      </c>
    </row>
    <row r="209" spans="1:9" x14ac:dyDescent="0.2">
      <c r="A209" s="371">
        <v>1993</v>
      </c>
      <c r="B209" s="24" t="str">
        <f t="shared" si="17"/>
        <v>-</v>
      </c>
      <c r="C209" s="24" t="str">
        <f t="shared" si="17"/>
        <v>-</v>
      </c>
      <c r="D209" s="24" t="str">
        <f t="shared" si="17"/>
        <v>-</v>
      </c>
      <c r="E209" s="24">
        <f t="shared" si="17"/>
        <v>7</v>
      </c>
      <c r="F209" s="24">
        <f t="shared" si="17"/>
        <v>11</v>
      </c>
      <c r="G209" s="24">
        <f t="shared" si="17"/>
        <v>0</v>
      </c>
      <c r="H209" s="24" t="str">
        <f t="shared" si="17"/>
        <v>-</v>
      </c>
      <c r="I209" s="24">
        <f t="shared" si="17"/>
        <v>18</v>
      </c>
    </row>
    <row r="210" spans="1:9" x14ac:dyDescent="0.2">
      <c r="A210" s="371">
        <v>1995</v>
      </c>
      <c r="B210" s="24" t="str">
        <f t="shared" si="17"/>
        <v>-</v>
      </c>
      <c r="C210" s="24" t="str">
        <f t="shared" si="17"/>
        <v>-</v>
      </c>
      <c r="D210" s="24" t="str">
        <f t="shared" si="17"/>
        <v>-</v>
      </c>
      <c r="E210" s="24">
        <f t="shared" si="17"/>
        <v>4</v>
      </c>
      <c r="F210" s="24">
        <f t="shared" si="17"/>
        <v>18</v>
      </c>
      <c r="G210" s="24">
        <f t="shared" si="17"/>
        <v>9</v>
      </c>
      <c r="H210" s="24" t="str">
        <f t="shared" si="17"/>
        <v>-</v>
      </c>
      <c r="I210" s="24">
        <f t="shared" si="17"/>
        <v>31</v>
      </c>
    </row>
    <row r="211" spans="1:9" x14ac:dyDescent="0.2">
      <c r="A211" s="371">
        <v>1997</v>
      </c>
      <c r="B211" s="24" t="str">
        <f t="shared" si="17"/>
        <v>-</v>
      </c>
      <c r="C211" s="24" t="str">
        <f t="shared" si="17"/>
        <v>-</v>
      </c>
      <c r="D211" s="24" t="str">
        <f t="shared" si="17"/>
        <v>-</v>
      </c>
      <c r="E211" s="24">
        <f t="shared" si="17"/>
        <v>0</v>
      </c>
      <c r="F211" s="24">
        <f t="shared" si="17"/>
        <v>0</v>
      </c>
      <c r="G211" s="24" t="str">
        <f t="shared" si="17"/>
        <v>-</v>
      </c>
      <c r="H211" s="24" t="str">
        <f t="shared" si="17"/>
        <v>-</v>
      </c>
      <c r="I211" s="24">
        <f t="shared" si="17"/>
        <v>0</v>
      </c>
    </row>
    <row r="212" spans="1:9" x14ac:dyDescent="0.2">
      <c r="A212" s="371">
        <v>1999</v>
      </c>
      <c r="B212" s="24" t="str">
        <f t="shared" si="17"/>
        <v>-</v>
      </c>
      <c r="C212" s="24" t="str">
        <f t="shared" si="17"/>
        <v>-</v>
      </c>
      <c r="D212" s="24" t="str">
        <f t="shared" si="17"/>
        <v>-</v>
      </c>
      <c r="E212" s="24">
        <f t="shared" si="17"/>
        <v>0</v>
      </c>
      <c r="F212" s="24">
        <f t="shared" si="17"/>
        <v>3</v>
      </c>
      <c r="G212" s="24">
        <f t="shared" si="17"/>
        <v>0</v>
      </c>
      <c r="H212" s="24" t="str">
        <f t="shared" si="17"/>
        <v>-</v>
      </c>
      <c r="I212" s="24">
        <f t="shared" si="17"/>
        <v>3</v>
      </c>
    </row>
    <row r="213" spans="1:9" x14ac:dyDescent="0.2">
      <c r="A213" s="371">
        <v>2001</v>
      </c>
      <c r="B213" s="24" t="str">
        <f t="shared" si="17"/>
        <v>-</v>
      </c>
      <c r="C213" s="24" t="str">
        <f t="shared" si="17"/>
        <v>-</v>
      </c>
      <c r="D213" s="24" t="str">
        <f t="shared" si="17"/>
        <v>-</v>
      </c>
      <c r="E213" s="24">
        <f t="shared" si="17"/>
        <v>5</v>
      </c>
      <c r="F213" s="24">
        <f t="shared" si="17"/>
        <v>31</v>
      </c>
      <c r="G213" s="24">
        <f t="shared" si="17"/>
        <v>4</v>
      </c>
      <c r="H213" s="24" t="str">
        <f t="shared" si="17"/>
        <v>-</v>
      </c>
      <c r="I213" s="24">
        <f t="shared" si="17"/>
        <v>40</v>
      </c>
    </row>
    <row r="214" spans="1:9" x14ac:dyDescent="0.2">
      <c r="A214" s="371">
        <v>2003</v>
      </c>
      <c r="B214" s="24" t="str">
        <f t="shared" si="17"/>
        <v>-</v>
      </c>
      <c r="C214" s="24" t="str">
        <f t="shared" si="17"/>
        <v>-</v>
      </c>
      <c r="D214" s="24">
        <f t="shared" si="17"/>
        <v>0</v>
      </c>
      <c r="E214" s="24">
        <f t="shared" si="17"/>
        <v>2</v>
      </c>
      <c r="F214" s="24">
        <f t="shared" si="17"/>
        <v>16</v>
      </c>
      <c r="G214" s="24">
        <f t="shared" si="17"/>
        <v>0</v>
      </c>
      <c r="H214" s="24" t="str">
        <f t="shared" si="17"/>
        <v>-</v>
      </c>
      <c r="I214" s="24">
        <f t="shared" si="17"/>
        <v>18</v>
      </c>
    </row>
    <row r="215" spans="1:9" x14ac:dyDescent="0.2">
      <c r="A215" s="371">
        <v>2005</v>
      </c>
      <c r="B215" s="24" t="str">
        <f t="shared" si="17"/>
        <v>-</v>
      </c>
      <c r="C215" s="24" t="str">
        <f t="shared" si="17"/>
        <v>-</v>
      </c>
      <c r="D215" s="24" t="str">
        <f t="shared" si="17"/>
        <v>-</v>
      </c>
      <c r="E215" s="24">
        <f t="shared" si="17"/>
        <v>3</v>
      </c>
      <c r="F215" s="24">
        <f t="shared" si="17"/>
        <v>0</v>
      </c>
      <c r="G215" s="24">
        <f t="shared" si="17"/>
        <v>0</v>
      </c>
      <c r="H215" s="24" t="str">
        <f t="shared" si="17"/>
        <v>-</v>
      </c>
      <c r="I215" s="24">
        <f t="shared" si="17"/>
        <v>3</v>
      </c>
    </row>
    <row r="216" spans="1:9" x14ac:dyDescent="0.2">
      <c r="A216" s="371">
        <v>2007</v>
      </c>
      <c r="B216" s="24" t="str">
        <f t="shared" ref="B216:I222" si="18">B92</f>
        <v>-</v>
      </c>
      <c r="C216" s="24" t="str">
        <f t="shared" si="18"/>
        <v>-</v>
      </c>
      <c r="D216" s="24" t="str">
        <f t="shared" si="18"/>
        <v>-</v>
      </c>
      <c r="E216" s="24">
        <f t="shared" si="18"/>
        <v>5</v>
      </c>
      <c r="F216" s="24">
        <f t="shared" si="18"/>
        <v>2.67</v>
      </c>
      <c r="G216" s="24">
        <f t="shared" si="18"/>
        <v>0</v>
      </c>
      <c r="H216" s="24" t="str">
        <f t="shared" si="18"/>
        <v>-</v>
      </c>
      <c r="I216" s="24">
        <f t="shared" si="18"/>
        <v>7.67</v>
      </c>
    </row>
    <row r="217" spans="1:9" x14ac:dyDescent="0.2">
      <c r="A217" s="348">
        <v>2009</v>
      </c>
      <c r="B217" s="24" t="str">
        <f t="shared" si="18"/>
        <v>-</v>
      </c>
      <c r="C217" s="24" t="str">
        <f t="shared" si="18"/>
        <v>-</v>
      </c>
      <c r="D217" s="24">
        <f t="shared" si="18"/>
        <v>0</v>
      </c>
      <c r="E217" s="24">
        <f t="shared" si="18"/>
        <v>0</v>
      </c>
      <c r="F217" s="24">
        <f t="shared" si="18"/>
        <v>0</v>
      </c>
      <c r="G217" s="24">
        <f t="shared" si="18"/>
        <v>0</v>
      </c>
      <c r="H217" s="24" t="str">
        <f t="shared" si="18"/>
        <v>-</v>
      </c>
      <c r="I217" s="24">
        <f t="shared" si="18"/>
        <v>0</v>
      </c>
    </row>
    <row r="218" spans="1:9" x14ac:dyDescent="0.2">
      <c r="A218" s="348">
        <v>2011</v>
      </c>
      <c r="B218" s="24" t="str">
        <f t="shared" si="18"/>
        <v>-</v>
      </c>
      <c r="C218" s="24" t="str">
        <f t="shared" si="18"/>
        <v>-</v>
      </c>
      <c r="D218" s="24">
        <f t="shared" si="18"/>
        <v>0</v>
      </c>
      <c r="E218" s="24">
        <f t="shared" si="18"/>
        <v>2</v>
      </c>
      <c r="F218" s="24">
        <f t="shared" si="18"/>
        <v>1</v>
      </c>
      <c r="G218" s="24">
        <f t="shared" si="18"/>
        <v>0</v>
      </c>
      <c r="H218" s="24" t="str">
        <f t="shared" si="18"/>
        <v>-</v>
      </c>
      <c r="I218" s="24">
        <f t="shared" si="18"/>
        <v>3</v>
      </c>
    </row>
    <row r="219" spans="1:9" x14ac:dyDescent="0.2">
      <c r="A219" s="348">
        <v>2013</v>
      </c>
      <c r="B219" s="24" t="str">
        <f t="shared" si="18"/>
        <v>-</v>
      </c>
      <c r="C219" s="24" t="str">
        <f t="shared" si="18"/>
        <v>-</v>
      </c>
      <c r="D219" s="24">
        <f t="shared" si="18"/>
        <v>0</v>
      </c>
      <c r="E219" s="24">
        <f t="shared" si="18"/>
        <v>0</v>
      </c>
      <c r="F219" s="24">
        <f t="shared" si="18"/>
        <v>4.22</v>
      </c>
      <c r="G219" s="24">
        <f t="shared" si="18"/>
        <v>0</v>
      </c>
      <c r="H219" s="24" t="str">
        <f t="shared" si="18"/>
        <v>-</v>
      </c>
      <c r="I219" s="24">
        <f t="shared" si="18"/>
        <v>4.22</v>
      </c>
    </row>
    <row r="220" spans="1:9" x14ac:dyDescent="0.2">
      <c r="A220" s="348">
        <v>2015</v>
      </c>
      <c r="B220" s="24" t="str">
        <f t="shared" si="18"/>
        <v>-</v>
      </c>
      <c r="C220" s="24" t="str">
        <f t="shared" si="18"/>
        <v>-</v>
      </c>
      <c r="D220" s="24">
        <f t="shared" si="18"/>
        <v>0</v>
      </c>
      <c r="E220" s="24">
        <f t="shared" si="18"/>
        <v>2.57</v>
      </c>
      <c r="F220" s="24">
        <f t="shared" si="18"/>
        <v>1</v>
      </c>
      <c r="G220" s="24">
        <f t="shared" si="18"/>
        <v>0</v>
      </c>
      <c r="H220" s="24" t="str">
        <f t="shared" si="18"/>
        <v>-</v>
      </c>
      <c r="I220" s="24">
        <f t="shared" si="18"/>
        <v>3.57</v>
      </c>
    </row>
    <row r="221" spans="1:9" s="347" customFormat="1" x14ac:dyDescent="0.2">
      <c r="A221" s="348">
        <v>2017</v>
      </c>
      <c r="B221" s="37" t="str">
        <f t="shared" si="18"/>
        <v>-</v>
      </c>
      <c r="C221" s="37" t="str">
        <f t="shared" si="18"/>
        <v>-</v>
      </c>
      <c r="D221" s="37">
        <f t="shared" si="18"/>
        <v>0</v>
      </c>
      <c r="E221" s="37">
        <f t="shared" si="18"/>
        <v>0</v>
      </c>
      <c r="F221" s="37">
        <f t="shared" si="18"/>
        <v>0</v>
      </c>
      <c r="G221" s="37">
        <f t="shared" si="18"/>
        <v>0</v>
      </c>
      <c r="H221" s="37" t="str">
        <f t="shared" si="18"/>
        <v>-</v>
      </c>
      <c r="I221" s="37">
        <f t="shared" si="18"/>
        <v>0</v>
      </c>
    </row>
    <row r="222" spans="1:9" x14ac:dyDescent="0.2">
      <c r="A222" s="348">
        <v>2019</v>
      </c>
      <c r="B222" s="24" t="str">
        <f t="shared" si="18"/>
        <v>-</v>
      </c>
      <c r="C222" s="24" t="str">
        <f t="shared" si="18"/>
        <v>-</v>
      </c>
      <c r="D222" s="24">
        <f t="shared" si="18"/>
        <v>0</v>
      </c>
      <c r="E222" s="24">
        <f t="shared" si="18"/>
        <v>0</v>
      </c>
      <c r="F222" s="24">
        <f t="shared" si="18"/>
        <v>0</v>
      </c>
      <c r="G222" s="24">
        <f t="shared" si="18"/>
        <v>0</v>
      </c>
      <c r="H222" s="24" t="str">
        <f t="shared" si="18"/>
        <v>-</v>
      </c>
      <c r="I222" s="24">
        <f t="shared" si="18"/>
        <v>0</v>
      </c>
    </row>
    <row r="223" spans="1:9" x14ac:dyDescent="0.2">
      <c r="A223" s="371"/>
    </row>
    <row r="224" spans="1:9" x14ac:dyDescent="0.2">
      <c r="A224" s="120" t="s">
        <v>287</v>
      </c>
    </row>
    <row r="225" spans="1:9" x14ac:dyDescent="0.2">
      <c r="A225" s="348" t="s">
        <v>30</v>
      </c>
      <c r="B225" s="37" t="str">
        <f t="shared" ref="B225:I234" si="19">IF(AND(B205="-",B182="-",B162="-",B142="-"),"-",SUM(B205,B182,B162,B142))</f>
        <v>-</v>
      </c>
      <c r="C225" s="37">
        <f t="shared" si="19"/>
        <v>34.5</v>
      </c>
      <c r="D225" s="37">
        <f t="shared" si="19"/>
        <v>64.5</v>
      </c>
      <c r="E225" s="37">
        <f t="shared" si="19"/>
        <v>1318</v>
      </c>
      <c r="F225" s="37">
        <f t="shared" si="19"/>
        <v>4450.666666666667</v>
      </c>
      <c r="G225" s="37">
        <f t="shared" si="19"/>
        <v>85</v>
      </c>
      <c r="H225" s="37">
        <f t="shared" si="19"/>
        <v>27</v>
      </c>
      <c r="I225" s="37">
        <f t="shared" si="19"/>
        <v>5914.6666666666661</v>
      </c>
    </row>
    <row r="226" spans="1:9" x14ac:dyDescent="0.2">
      <c r="A226" s="361">
        <v>1987</v>
      </c>
      <c r="B226" s="37" t="str">
        <f t="shared" si="19"/>
        <v>-</v>
      </c>
      <c r="C226" s="37" t="str">
        <f t="shared" si="19"/>
        <v>-</v>
      </c>
      <c r="D226" s="37">
        <f t="shared" si="19"/>
        <v>6</v>
      </c>
      <c r="E226" s="37">
        <f t="shared" si="19"/>
        <v>991</v>
      </c>
      <c r="F226" s="37">
        <f t="shared" si="19"/>
        <v>804</v>
      </c>
      <c r="G226" s="37" t="str">
        <f t="shared" si="19"/>
        <v>-</v>
      </c>
      <c r="H226" s="37" t="str">
        <f t="shared" si="19"/>
        <v>-</v>
      </c>
      <c r="I226" s="37">
        <f t="shared" si="19"/>
        <v>1801</v>
      </c>
    </row>
    <row r="227" spans="1:9" x14ac:dyDescent="0.2">
      <c r="A227" s="371" t="s">
        <v>338</v>
      </c>
      <c r="B227" s="37" t="str">
        <f t="shared" si="19"/>
        <v>-</v>
      </c>
      <c r="C227" s="37">
        <f t="shared" si="19"/>
        <v>0</v>
      </c>
      <c r="D227" s="37">
        <f t="shared" si="19"/>
        <v>0</v>
      </c>
      <c r="E227" s="37">
        <f t="shared" si="19"/>
        <v>1482</v>
      </c>
      <c r="F227" s="37">
        <f t="shared" si="19"/>
        <v>352</v>
      </c>
      <c r="G227" s="37">
        <f t="shared" si="19"/>
        <v>202</v>
      </c>
      <c r="H227" s="37" t="str">
        <f t="shared" si="19"/>
        <v>-</v>
      </c>
      <c r="I227" s="37">
        <f t="shared" si="19"/>
        <v>2036</v>
      </c>
    </row>
    <row r="228" spans="1:9" x14ac:dyDescent="0.2">
      <c r="A228" s="371" t="s">
        <v>278</v>
      </c>
      <c r="B228" s="37" t="str">
        <f t="shared" si="19"/>
        <v>-</v>
      </c>
      <c r="C228" s="37" t="str">
        <f t="shared" si="19"/>
        <v>-</v>
      </c>
      <c r="D228" s="37">
        <f t="shared" si="19"/>
        <v>0</v>
      </c>
      <c r="E228" s="37">
        <f t="shared" si="19"/>
        <v>613</v>
      </c>
      <c r="F228" s="37">
        <f t="shared" si="19"/>
        <v>1597</v>
      </c>
      <c r="G228" s="37">
        <f t="shared" si="19"/>
        <v>4</v>
      </c>
      <c r="H228" s="37" t="str">
        <f t="shared" si="19"/>
        <v>-</v>
      </c>
      <c r="I228" s="37">
        <f t="shared" si="19"/>
        <v>2214</v>
      </c>
    </row>
    <row r="229" spans="1:9" x14ac:dyDescent="0.2">
      <c r="A229" s="371" t="s">
        <v>280</v>
      </c>
      <c r="B229" s="37" t="str">
        <f t="shared" si="19"/>
        <v>-</v>
      </c>
      <c r="C229" s="37">
        <f t="shared" si="19"/>
        <v>0</v>
      </c>
      <c r="D229" s="37" t="str">
        <f t="shared" si="19"/>
        <v>-</v>
      </c>
      <c r="E229" s="37">
        <f t="shared" si="19"/>
        <v>695</v>
      </c>
      <c r="F229" s="37">
        <f t="shared" si="19"/>
        <v>1344</v>
      </c>
      <c r="G229" s="37">
        <f t="shared" si="19"/>
        <v>377</v>
      </c>
      <c r="H229" s="37" t="str">
        <f t="shared" si="19"/>
        <v>-</v>
      </c>
      <c r="I229" s="37">
        <f t="shared" si="19"/>
        <v>2416</v>
      </c>
    </row>
    <row r="230" spans="1:9" x14ac:dyDescent="0.2">
      <c r="A230" s="361">
        <v>1995</v>
      </c>
      <c r="B230" s="37" t="str">
        <f t="shared" si="19"/>
        <v>-</v>
      </c>
      <c r="C230" s="37" t="str">
        <f t="shared" si="19"/>
        <v>-</v>
      </c>
      <c r="D230" s="37" t="str">
        <f t="shared" si="19"/>
        <v>-</v>
      </c>
      <c r="E230" s="37">
        <f t="shared" si="19"/>
        <v>44</v>
      </c>
      <c r="F230" s="37">
        <f t="shared" si="19"/>
        <v>2725</v>
      </c>
      <c r="G230" s="37">
        <f t="shared" si="19"/>
        <v>52</v>
      </c>
      <c r="H230" s="37" t="str">
        <f t="shared" si="19"/>
        <v>-</v>
      </c>
      <c r="I230" s="37">
        <f t="shared" si="19"/>
        <v>2821</v>
      </c>
    </row>
    <row r="231" spans="1:9" x14ac:dyDescent="0.2">
      <c r="A231" s="371" t="s">
        <v>282</v>
      </c>
      <c r="B231" s="37" t="str">
        <f t="shared" si="19"/>
        <v>-</v>
      </c>
      <c r="C231" s="37" t="str">
        <f t="shared" si="19"/>
        <v>-</v>
      </c>
      <c r="D231" s="37" t="str">
        <f t="shared" si="19"/>
        <v>-</v>
      </c>
      <c r="E231" s="37">
        <f t="shared" si="19"/>
        <v>794</v>
      </c>
      <c r="F231" s="37">
        <f t="shared" si="19"/>
        <v>594</v>
      </c>
      <c r="G231" s="37">
        <f t="shared" si="19"/>
        <v>22</v>
      </c>
      <c r="H231" s="37" t="str">
        <f t="shared" si="19"/>
        <v>-</v>
      </c>
      <c r="I231" s="37">
        <f t="shared" si="19"/>
        <v>1410</v>
      </c>
    </row>
    <row r="232" spans="1:9" x14ac:dyDescent="0.2">
      <c r="A232" s="371">
        <v>1999</v>
      </c>
      <c r="B232" s="37" t="str">
        <f t="shared" si="19"/>
        <v>-</v>
      </c>
      <c r="C232" s="37" t="str">
        <f t="shared" si="19"/>
        <v>-</v>
      </c>
      <c r="D232" s="37" t="str">
        <f t="shared" si="19"/>
        <v>-</v>
      </c>
      <c r="E232" s="37">
        <f t="shared" si="19"/>
        <v>852</v>
      </c>
      <c r="F232" s="37">
        <f t="shared" si="19"/>
        <v>1255</v>
      </c>
      <c r="G232" s="37">
        <f t="shared" si="19"/>
        <v>81</v>
      </c>
      <c r="H232" s="37" t="str">
        <f t="shared" si="19"/>
        <v>-</v>
      </c>
      <c r="I232" s="37">
        <f t="shared" si="19"/>
        <v>2188</v>
      </c>
    </row>
    <row r="233" spans="1:9" x14ac:dyDescent="0.2">
      <c r="A233" s="371">
        <v>2001</v>
      </c>
      <c r="B233" s="37" t="str">
        <f t="shared" si="19"/>
        <v>-</v>
      </c>
      <c r="C233" s="37" t="str">
        <f t="shared" si="19"/>
        <v>-</v>
      </c>
      <c r="D233" s="37" t="str">
        <f t="shared" si="19"/>
        <v>-</v>
      </c>
      <c r="E233" s="37">
        <f t="shared" si="19"/>
        <v>2631</v>
      </c>
      <c r="F233" s="37">
        <f t="shared" si="19"/>
        <v>1280</v>
      </c>
      <c r="G233" s="37">
        <f t="shared" si="19"/>
        <v>7</v>
      </c>
      <c r="H233" s="37" t="str">
        <f t="shared" si="19"/>
        <v>-</v>
      </c>
      <c r="I233" s="37">
        <f t="shared" si="19"/>
        <v>3918</v>
      </c>
    </row>
    <row r="234" spans="1:9" x14ac:dyDescent="0.2">
      <c r="A234" s="348">
        <v>2003</v>
      </c>
      <c r="B234" s="37" t="str">
        <f t="shared" si="19"/>
        <v>-</v>
      </c>
      <c r="C234" s="37" t="str">
        <f t="shared" si="19"/>
        <v>-</v>
      </c>
      <c r="D234" s="37">
        <f t="shared" si="19"/>
        <v>22</v>
      </c>
      <c r="E234" s="37">
        <f t="shared" si="19"/>
        <v>6843</v>
      </c>
      <c r="F234" s="37">
        <f t="shared" si="19"/>
        <v>6367</v>
      </c>
      <c r="G234" s="37">
        <f t="shared" si="19"/>
        <v>175</v>
      </c>
      <c r="H234" s="37">
        <f t="shared" si="19"/>
        <v>0</v>
      </c>
      <c r="I234" s="37">
        <f t="shared" si="19"/>
        <v>13407</v>
      </c>
    </row>
    <row r="235" spans="1:9" x14ac:dyDescent="0.2">
      <c r="A235" s="348">
        <v>2005</v>
      </c>
      <c r="B235" s="37" t="str">
        <f t="shared" ref="B235:I242" si="20">IF(AND(B215="-",B192="-",B172="-",B152="-"),"-",SUM(B215,B192,B172,B152))</f>
        <v>-</v>
      </c>
      <c r="C235" s="37" t="str">
        <f t="shared" si="20"/>
        <v>-</v>
      </c>
      <c r="D235" s="37">
        <f t="shared" si="20"/>
        <v>0</v>
      </c>
      <c r="E235" s="37">
        <f t="shared" si="20"/>
        <v>1526</v>
      </c>
      <c r="F235" s="37">
        <f t="shared" si="20"/>
        <v>1670</v>
      </c>
      <c r="G235" s="37">
        <f t="shared" si="20"/>
        <v>64</v>
      </c>
      <c r="H235" s="37">
        <f t="shared" si="20"/>
        <v>0</v>
      </c>
      <c r="I235" s="37">
        <f t="shared" si="20"/>
        <v>3260</v>
      </c>
    </row>
    <row r="236" spans="1:9" x14ac:dyDescent="0.2">
      <c r="A236" s="348">
        <v>2007</v>
      </c>
      <c r="B236" s="37" t="str">
        <f t="shared" si="20"/>
        <v>-</v>
      </c>
      <c r="C236" s="37" t="str">
        <f t="shared" si="20"/>
        <v>-</v>
      </c>
      <c r="D236" s="37" t="str">
        <f t="shared" si="20"/>
        <v>-</v>
      </c>
      <c r="E236" s="37">
        <f t="shared" si="20"/>
        <v>1575.26</v>
      </c>
      <c r="F236" s="37">
        <f t="shared" si="20"/>
        <v>3092.82</v>
      </c>
      <c r="G236" s="37">
        <f t="shared" si="20"/>
        <v>2.19</v>
      </c>
      <c r="H236" s="37">
        <f t="shared" si="20"/>
        <v>0</v>
      </c>
      <c r="I236" s="37">
        <f t="shared" si="20"/>
        <v>4670.2700000000004</v>
      </c>
    </row>
    <row r="237" spans="1:9" x14ac:dyDescent="0.2">
      <c r="A237" s="348">
        <v>2009</v>
      </c>
      <c r="B237" s="37" t="str">
        <f t="shared" si="20"/>
        <v>-</v>
      </c>
      <c r="C237" s="37" t="str">
        <f t="shared" si="20"/>
        <v>-</v>
      </c>
      <c r="D237" s="37">
        <f t="shared" si="20"/>
        <v>65.39</v>
      </c>
      <c r="E237" s="37">
        <f t="shared" si="20"/>
        <v>2817.62</v>
      </c>
      <c r="F237" s="37">
        <f t="shared" si="20"/>
        <v>4474.3</v>
      </c>
      <c r="G237" s="37">
        <f t="shared" si="20"/>
        <v>270.14999999999998</v>
      </c>
      <c r="H237" s="37">
        <f t="shared" si="20"/>
        <v>0</v>
      </c>
      <c r="I237" s="37">
        <f t="shared" si="20"/>
        <v>7627.46</v>
      </c>
    </row>
    <row r="238" spans="1:9" x14ac:dyDescent="0.2">
      <c r="A238" s="348">
        <v>2011</v>
      </c>
      <c r="B238" s="37" t="str">
        <f t="shared" si="20"/>
        <v>-</v>
      </c>
      <c r="C238" s="37" t="str">
        <f t="shared" si="20"/>
        <v>-</v>
      </c>
      <c r="D238" s="37">
        <f t="shared" si="20"/>
        <v>41.02</v>
      </c>
      <c r="E238" s="37">
        <f t="shared" si="20"/>
        <v>4386.08</v>
      </c>
      <c r="F238" s="37">
        <f t="shared" si="20"/>
        <v>6160.7999999999993</v>
      </c>
      <c r="G238" s="37">
        <f t="shared" si="20"/>
        <v>239.91000000000003</v>
      </c>
      <c r="H238" s="37">
        <f t="shared" si="20"/>
        <v>0</v>
      </c>
      <c r="I238" s="37">
        <f t="shared" si="20"/>
        <v>10827.81</v>
      </c>
    </row>
    <row r="239" spans="1:9" x14ac:dyDescent="0.2">
      <c r="A239" s="348">
        <v>2013</v>
      </c>
      <c r="B239" s="37" t="str">
        <f t="shared" si="20"/>
        <v>-</v>
      </c>
      <c r="C239" s="37" t="str">
        <f t="shared" si="20"/>
        <v>-</v>
      </c>
      <c r="D239" s="37">
        <f t="shared" si="20"/>
        <v>38.79</v>
      </c>
      <c r="E239" s="37">
        <f t="shared" si="20"/>
        <v>4967.17</v>
      </c>
      <c r="F239" s="37">
        <f t="shared" si="20"/>
        <v>2648.12</v>
      </c>
      <c r="G239" s="37">
        <f t="shared" si="20"/>
        <v>13.91</v>
      </c>
      <c r="H239" s="37">
        <f t="shared" si="20"/>
        <v>0</v>
      </c>
      <c r="I239" s="37">
        <f t="shared" si="20"/>
        <v>7667.9899999999989</v>
      </c>
    </row>
    <row r="240" spans="1:9" x14ac:dyDescent="0.2">
      <c r="A240" s="348">
        <v>2015</v>
      </c>
      <c r="B240" s="37" t="str">
        <f t="shared" si="20"/>
        <v>-</v>
      </c>
      <c r="C240" s="37" t="str">
        <f t="shared" si="20"/>
        <v>-</v>
      </c>
      <c r="D240" s="37">
        <f t="shared" si="20"/>
        <v>1034.9000000000001</v>
      </c>
      <c r="E240" s="37">
        <f t="shared" si="20"/>
        <v>6929.34</v>
      </c>
      <c r="F240" s="37">
        <f t="shared" si="20"/>
        <v>658.61</v>
      </c>
      <c r="G240" s="37">
        <f t="shared" si="20"/>
        <v>8.1</v>
      </c>
      <c r="H240" s="37">
        <f t="shared" si="20"/>
        <v>0</v>
      </c>
      <c r="I240" s="37">
        <f t="shared" si="20"/>
        <v>8630.9500000000007</v>
      </c>
    </row>
    <row r="241" spans="1:9" s="347" customFormat="1" x14ac:dyDescent="0.2">
      <c r="A241" s="348">
        <v>2017</v>
      </c>
      <c r="B241" s="37" t="str">
        <f t="shared" si="20"/>
        <v>-</v>
      </c>
      <c r="C241" s="37" t="str">
        <f t="shared" si="20"/>
        <v>-</v>
      </c>
      <c r="D241" s="37">
        <f t="shared" si="20"/>
        <v>1.44</v>
      </c>
      <c r="E241" s="37">
        <f t="shared" si="20"/>
        <v>407.37</v>
      </c>
      <c r="F241" s="37">
        <f t="shared" si="20"/>
        <v>316.10000000000002</v>
      </c>
      <c r="G241" s="37">
        <f t="shared" si="20"/>
        <v>7.35</v>
      </c>
      <c r="H241" s="37">
        <f t="shared" si="20"/>
        <v>0</v>
      </c>
      <c r="I241" s="37">
        <f t="shared" si="20"/>
        <v>732.26</v>
      </c>
    </row>
    <row r="242" spans="1:9" x14ac:dyDescent="0.2">
      <c r="A242" s="348" t="s">
        <v>336</v>
      </c>
      <c r="B242" s="38" t="str">
        <f t="shared" si="20"/>
        <v>-</v>
      </c>
      <c r="C242" s="38" t="str">
        <f t="shared" si="20"/>
        <v>-</v>
      </c>
      <c r="D242" s="38">
        <f t="shared" si="20"/>
        <v>15.44</v>
      </c>
      <c r="E242" s="38">
        <f t="shared" si="20"/>
        <v>427.83000000000004</v>
      </c>
      <c r="F242" s="38">
        <f t="shared" si="20"/>
        <v>1323.86</v>
      </c>
      <c r="G242" s="38">
        <f t="shared" si="20"/>
        <v>8.2899999999999991</v>
      </c>
      <c r="H242" s="38">
        <f t="shared" si="20"/>
        <v>0</v>
      </c>
      <c r="I242" s="38">
        <f t="shared" si="20"/>
        <v>1775.42</v>
      </c>
    </row>
    <row r="243" spans="1:9" x14ac:dyDescent="0.2">
      <c r="A243" s="162" t="s">
        <v>251</v>
      </c>
      <c r="B243" s="37"/>
      <c r="C243" s="37"/>
      <c r="D243" s="37"/>
      <c r="E243" s="37"/>
      <c r="F243" s="37"/>
      <c r="G243" s="37"/>
      <c r="H243" s="37"/>
      <c r="I243" s="37"/>
    </row>
    <row r="244" spans="1:9" x14ac:dyDescent="0.2">
      <c r="A244" s="348" t="s">
        <v>262</v>
      </c>
      <c r="B244" s="37"/>
      <c r="C244" s="37"/>
      <c r="D244" s="37"/>
      <c r="E244" s="37"/>
      <c r="F244" s="37"/>
      <c r="G244" s="37"/>
      <c r="H244" s="37"/>
      <c r="I244" s="37"/>
    </row>
    <row r="245" spans="1:9" x14ac:dyDescent="0.2">
      <c r="A245" s="481" t="s">
        <v>387</v>
      </c>
      <c r="B245" s="37"/>
      <c r="C245" s="37"/>
      <c r="D245" s="37"/>
      <c r="E245" s="37"/>
      <c r="F245" s="37"/>
      <c r="G245" s="37"/>
      <c r="H245" s="37"/>
      <c r="I245" s="37"/>
    </row>
    <row r="246" spans="1:9" x14ac:dyDescent="0.2">
      <c r="A246" s="596" t="s">
        <v>388</v>
      </c>
      <c r="B246" s="596"/>
      <c r="C246" s="596"/>
      <c r="D246" s="596"/>
      <c r="E246" s="596"/>
      <c r="F246" s="596"/>
      <c r="G246" s="596"/>
      <c r="H246" s="596"/>
      <c r="I246" s="596"/>
    </row>
    <row r="247" spans="1:9" x14ac:dyDescent="0.2">
      <c r="A247" s="596"/>
      <c r="B247" s="596"/>
      <c r="C247" s="596"/>
      <c r="D247" s="596"/>
      <c r="E247" s="596"/>
      <c r="F247" s="596"/>
      <c r="G247" s="596"/>
      <c r="H247" s="596"/>
      <c r="I247" s="596"/>
    </row>
    <row r="248" spans="1:9" x14ac:dyDescent="0.2">
      <c r="A248" s="371"/>
    </row>
  </sheetData>
  <mergeCells count="5">
    <mergeCell ref="A1:I2"/>
    <mergeCell ref="A124:I125"/>
    <mergeCell ref="A138:I139"/>
    <mergeCell ref="A201:I202"/>
    <mergeCell ref="A246:I247"/>
  </mergeCells>
  <pageMargins left="0.7" right="0.7" top="0.75" bottom="0.75" header="0.3" footer="0.3"/>
  <pageSetup orientation="portrait" r:id="rId1"/>
  <rowBreaks count="1" manualBreakCount="1">
    <brk id="200" max="8"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3"/>
  <dimension ref="A1:V296"/>
  <sheetViews>
    <sheetView showGridLines="0" topLeftCell="A242" zoomScaleNormal="100" workbookViewId="0">
      <selection sqref="A1:J2"/>
    </sheetView>
  </sheetViews>
  <sheetFormatPr defaultRowHeight="15.75" x14ac:dyDescent="0.25"/>
  <cols>
    <col min="1" max="1" width="8.875" style="340" customWidth="1"/>
    <col min="2" max="3" width="5.75" style="340" bestFit="1" customWidth="1"/>
    <col min="4" max="8" width="6.5" style="340" bestFit="1" customWidth="1"/>
    <col min="9" max="10" width="5.75" style="340" bestFit="1" customWidth="1"/>
    <col min="11" max="11" width="3.875" style="340" bestFit="1" customWidth="1"/>
    <col min="12" max="12" width="8.25" style="340" customWidth="1"/>
    <col min="13" max="16384" width="9" style="340"/>
  </cols>
  <sheetData>
    <row r="1" spans="1:14" x14ac:dyDescent="0.25">
      <c r="A1" s="523" t="s">
        <v>300</v>
      </c>
      <c r="B1" s="523"/>
      <c r="C1" s="523"/>
      <c r="D1" s="523"/>
      <c r="E1" s="523"/>
      <c r="F1" s="523"/>
      <c r="G1" s="523"/>
      <c r="H1" s="523"/>
      <c r="I1" s="523"/>
      <c r="J1" s="523"/>
      <c r="K1" s="523"/>
      <c r="L1" s="523"/>
    </row>
    <row r="2" spans="1:14" ht="11.25" customHeight="1" x14ac:dyDescent="0.25">
      <c r="A2" s="2" t="s">
        <v>33</v>
      </c>
      <c r="B2" s="381" t="s">
        <v>43</v>
      </c>
      <c r="C2" s="381" t="s">
        <v>34</v>
      </c>
      <c r="D2" s="381" t="s">
        <v>35</v>
      </c>
      <c r="E2" s="381" t="s">
        <v>81</v>
      </c>
      <c r="F2" s="381" t="s">
        <v>82</v>
      </c>
      <c r="G2" s="381" t="s">
        <v>38</v>
      </c>
      <c r="H2" s="381" t="s">
        <v>39</v>
      </c>
      <c r="I2" s="381" t="s">
        <v>40</v>
      </c>
      <c r="J2" s="381" t="s">
        <v>44</v>
      </c>
      <c r="K2" s="381" t="s">
        <v>83</v>
      </c>
      <c r="L2" s="58" t="s">
        <v>84</v>
      </c>
    </row>
    <row r="3" spans="1:14" ht="11.25" customHeight="1" x14ac:dyDescent="0.25">
      <c r="A3" s="402"/>
      <c r="B3" s="23"/>
      <c r="C3" s="23"/>
      <c r="D3" s="23"/>
      <c r="E3" s="23"/>
      <c r="F3" s="23"/>
      <c r="G3" s="23"/>
      <c r="H3" s="23"/>
      <c r="I3" s="23"/>
      <c r="J3" s="23"/>
      <c r="K3" s="23"/>
      <c r="L3" s="203"/>
    </row>
    <row r="4" spans="1:14" ht="11.25" customHeight="1" x14ac:dyDescent="0.25">
      <c r="A4" s="116" t="s">
        <v>301</v>
      </c>
      <c r="B4" s="193"/>
      <c r="C4" s="193"/>
      <c r="D4" s="193"/>
      <c r="E4" s="193"/>
      <c r="F4" s="193"/>
      <c r="G4" s="193"/>
      <c r="H4" s="193"/>
      <c r="I4" s="193"/>
      <c r="J4" s="193"/>
      <c r="K4" s="193"/>
      <c r="L4" s="200"/>
    </row>
    <row r="5" spans="1:14" ht="11.25" customHeight="1" x14ac:dyDescent="0.25">
      <c r="A5" s="383">
        <v>1978</v>
      </c>
      <c r="B5" s="193" t="str">
        <f>IF(AND('A-7'!B64="-",'A-7'!B116="-",'A-7'!B168="-"),"-",SUM('A-7'!B64,'A-7'!B116,'A-7'!B168))</f>
        <v>-</v>
      </c>
      <c r="C5" s="193" t="str">
        <f>IF(AND('A-7'!C64="-",'A-7'!C116="-",'A-7'!C168="-"),"-",SUM('A-7'!C64,'A-7'!C116,'A-7'!C168))</f>
        <v>-</v>
      </c>
      <c r="D5" s="193">
        <f>IF(AND('A-7'!D64="-",'A-7'!D116="-",'A-7'!D168="-"),"-",SUM('A-7'!D64,'A-7'!D116,'A-7'!D168))</f>
        <v>337</v>
      </c>
      <c r="E5" s="193">
        <f>IF(AND('A-7'!E64="-",'A-7'!E116="-",'A-7'!E168="-"),"-",SUM('A-7'!E64,'A-7'!E116,'A-7'!E168))</f>
        <v>7204</v>
      </c>
      <c r="F5" s="193">
        <f>IF(AND('A-7'!F64="-",'A-7'!F116="-",'A-7'!F168="-"),"-",SUM('A-7'!F64,'A-7'!F116,'A-7'!F168))</f>
        <v>13155</v>
      </c>
      <c r="G5" s="193">
        <f>IF(AND('A-7'!G64="-",'A-7'!G116="-",'A-7'!G168="-"),"-",SUM('A-7'!G64,'A-7'!G116,'A-7'!G168))</f>
        <v>10123</v>
      </c>
      <c r="H5" s="193">
        <f>IF(AND('A-7'!H64="-",'A-7'!H116="-",'A-7'!H168="-"),"-",SUM('A-7'!H64,'A-7'!H116,'A-7'!H168))</f>
        <v>2963</v>
      </c>
      <c r="I5" s="193">
        <f>IF(AND('A-7'!I64="-",'A-7'!I116="-",'A-7'!I168="-"),"-",SUM('A-7'!I64,'A-7'!I116,'A-7'!I168))</f>
        <v>764</v>
      </c>
      <c r="J5" s="193">
        <f>IF(AND('A-7'!J64="-",'A-7'!J116="-",'A-7'!J168="-"),"-",SUM('A-7'!J64,'A-7'!J116,'A-7'!J168))</f>
        <v>25</v>
      </c>
      <c r="K5" s="193" t="str">
        <f>IF(AND('A-7'!K64="-",'A-7'!K116="-",'A-7'!K168="-"),"-",SUM('A-7'!K64,'A-7'!K116,'A-7'!K168))</f>
        <v>-</v>
      </c>
      <c r="L5" s="211">
        <f>IF(AND('A-7'!L64="-",'A-7'!L116="-",'A-7'!L168="-"),"-",SUM('A-7'!L64,'A-7'!L116,'A-7'!L168))</f>
        <v>34571</v>
      </c>
      <c r="M5" s="22"/>
      <c r="N5" s="22"/>
    </row>
    <row r="6" spans="1:14" ht="11.25" customHeight="1" x14ac:dyDescent="0.25">
      <c r="A6" s="383">
        <v>1979</v>
      </c>
      <c r="B6" s="193" t="str">
        <f>IF(AND('A-7'!B65="-",'A-7'!B117="-",'A-7'!B169="-"),"-",SUM('A-7'!B65,'A-7'!B117,'A-7'!B169))</f>
        <v>-</v>
      </c>
      <c r="C6" s="193" t="str">
        <f>IF(AND('A-7'!C65="-",'A-7'!C117="-",'A-7'!C169="-"),"-",SUM('A-7'!C65,'A-7'!C117,'A-7'!C169))</f>
        <v>-</v>
      </c>
      <c r="D6" s="193">
        <f>IF(AND('A-7'!D65="-",'A-7'!D117="-",'A-7'!D169="-"),"-",SUM('A-7'!D65,'A-7'!D117,'A-7'!D169))</f>
        <v>973</v>
      </c>
      <c r="E6" s="193">
        <f>IF(AND('A-7'!E65="-",'A-7'!E117="-",'A-7'!E169="-"),"-",SUM('A-7'!E65,'A-7'!E117,'A-7'!E169))</f>
        <v>12</v>
      </c>
      <c r="F6" s="193">
        <f>IF(AND('A-7'!F65="-",'A-7'!F117="-",'A-7'!F169="-"),"-",SUM('A-7'!F65,'A-7'!F117,'A-7'!F169))</f>
        <v>17244</v>
      </c>
      <c r="G6" s="193">
        <f>IF(AND('A-7'!G65="-",'A-7'!G117="-",'A-7'!G169="-"),"-",SUM('A-7'!G65,'A-7'!G117,'A-7'!G169))</f>
        <v>13909</v>
      </c>
      <c r="H6" s="193">
        <f>IF(AND('A-7'!H65="-",'A-7'!H117="-",'A-7'!H169="-"),"-",SUM('A-7'!H65,'A-7'!H117,'A-7'!H169))</f>
        <v>491</v>
      </c>
      <c r="I6" s="193">
        <f>IF(AND('A-7'!I65="-",'A-7'!I117="-",'A-7'!I169="-"),"-",SUM('A-7'!I65,'A-7'!I117,'A-7'!I169))</f>
        <v>423</v>
      </c>
      <c r="J6" s="193">
        <f>IF(AND('A-7'!J65="-",'A-7'!J117="-",'A-7'!J169="-"),"-",SUM('A-7'!J65,'A-7'!J117,'A-7'!J169))</f>
        <v>1</v>
      </c>
      <c r="K6" s="193" t="str">
        <f>IF(AND('A-7'!K65="-",'A-7'!K117="-",'A-7'!K169="-"),"-",SUM('A-7'!K65,'A-7'!K117,'A-7'!K169))</f>
        <v>-</v>
      </c>
      <c r="L6" s="211">
        <f>IF(AND('A-7'!L65="-",'A-7'!L117="-",'A-7'!L169="-"),"-",SUM('A-7'!L65,'A-7'!L117,'A-7'!L169))</f>
        <v>33053</v>
      </c>
      <c r="M6" s="22"/>
      <c r="N6" s="22"/>
    </row>
    <row r="7" spans="1:14" ht="11.25" customHeight="1" x14ac:dyDescent="0.25">
      <c r="A7" s="383">
        <v>1980</v>
      </c>
      <c r="B7" s="193" t="str">
        <f>IF(AND('A-7'!B66="-",'A-7'!B118="-",'A-7'!B170="-"),"-",SUM('A-7'!B66,'A-7'!B118,'A-7'!B170))</f>
        <v>-</v>
      </c>
      <c r="C7" s="193" t="str">
        <f>IF(AND('A-7'!C66="-",'A-7'!C118="-",'A-7'!C170="-"),"-",SUM('A-7'!C66,'A-7'!C118,'A-7'!C170))</f>
        <v>-</v>
      </c>
      <c r="D7" s="193">
        <f>IF(AND('A-7'!D66="-",'A-7'!D118="-",'A-7'!D170="-"),"-",SUM('A-7'!D66,'A-7'!D118,'A-7'!D170))</f>
        <v>640</v>
      </c>
      <c r="E7" s="193">
        <f>IF(AND('A-7'!E66="-",'A-7'!E118="-",'A-7'!E170="-"),"-",SUM('A-7'!E66,'A-7'!E118,'A-7'!E170))</f>
        <v>1675</v>
      </c>
      <c r="F7" s="193">
        <f>IF(AND('A-7'!F66="-",'A-7'!F118="-",'A-7'!F170="-"),"-",SUM('A-7'!F66,'A-7'!F118,'A-7'!F170))</f>
        <v>6108</v>
      </c>
      <c r="G7" s="193">
        <f>IF(AND('A-7'!G66="-",'A-7'!G118="-",'A-7'!G170="-"),"-",SUM('A-7'!G66,'A-7'!G118,'A-7'!G170))</f>
        <v>10774</v>
      </c>
      <c r="H7" s="193">
        <f>IF(AND('A-7'!H66="-",'A-7'!H118="-",'A-7'!H170="-"),"-",SUM('A-7'!H66,'A-7'!H118,'A-7'!H170))</f>
        <v>1621</v>
      </c>
      <c r="I7" s="193">
        <f>IF(AND('A-7'!I66="-",'A-7'!I118="-",'A-7'!I170="-"),"-",SUM('A-7'!I66,'A-7'!I118,'A-7'!I170))</f>
        <v>606</v>
      </c>
      <c r="J7" s="193">
        <f>IF(AND('A-7'!J66="-",'A-7'!J118="-",'A-7'!J170="-"),"-",SUM('A-7'!J66,'A-7'!J118,'A-7'!J170))</f>
        <v>3</v>
      </c>
      <c r="K7" s="193" t="str">
        <f>IF(AND('A-7'!K66="-",'A-7'!K118="-",'A-7'!K170="-"),"-",SUM('A-7'!K66,'A-7'!K118,'A-7'!K170))</f>
        <v>-</v>
      </c>
      <c r="L7" s="211">
        <f>IF(AND('A-7'!L66="-",'A-7'!L118="-",'A-7'!L170="-"),"-",SUM('A-7'!L66,'A-7'!L118,'A-7'!L170))</f>
        <v>21427</v>
      </c>
      <c r="M7" s="22"/>
      <c r="N7" s="22"/>
    </row>
    <row r="8" spans="1:14" ht="11.25" customHeight="1" x14ac:dyDescent="0.25">
      <c r="A8" s="383">
        <v>1981</v>
      </c>
      <c r="B8" s="193" t="str">
        <f>IF(AND('A-7'!B67="-",'A-7'!B119="-",'A-7'!B171="-"),"-",SUM('A-7'!B67,'A-7'!B119,'A-7'!B171))</f>
        <v>-</v>
      </c>
      <c r="C8" s="193" t="str">
        <f>IF(AND('A-7'!C67="-",'A-7'!C119="-",'A-7'!C171="-"),"-",SUM('A-7'!C67,'A-7'!C119,'A-7'!C171))</f>
        <v>-</v>
      </c>
      <c r="D8" s="193">
        <f>IF(AND('A-7'!D67="-",'A-7'!D119="-",'A-7'!D171="-"),"-",SUM('A-7'!D67,'A-7'!D119,'A-7'!D171))</f>
        <v>2059</v>
      </c>
      <c r="E8" s="193">
        <f>IF(AND('A-7'!E67="-",'A-7'!E119="-",'A-7'!E171="-"),"-",SUM('A-7'!E67,'A-7'!E119,'A-7'!E171))</f>
        <v>0</v>
      </c>
      <c r="F8" s="193">
        <f>IF(AND('A-7'!F67="-",'A-7'!F119="-",'A-7'!F171="-"),"-",SUM('A-7'!F67,'A-7'!F119,'A-7'!F171))</f>
        <v>18110</v>
      </c>
      <c r="G8" s="193">
        <f>IF(AND('A-7'!G67="-",'A-7'!G119="-",'A-7'!G171="-"),"-",SUM('A-7'!G67,'A-7'!G119,'A-7'!G171))</f>
        <v>12542</v>
      </c>
      <c r="H8" s="193">
        <f>IF(AND('A-7'!H67="-",'A-7'!H119="-",'A-7'!H171="-"),"-",SUM('A-7'!H67,'A-7'!H119,'A-7'!H171))</f>
        <v>323</v>
      </c>
      <c r="I8" s="193">
        <f>IF(AND('A-7'!I67="-",'A-7'!I119="-",'A-7'!I171="-"),"-",SUM('A-7'!I67,'A-7'!I119,'A-7'!I171))</f>
        <v>288</v>
      </c>
      <c r="J8" s="193">
        <f>IF(AND('A-7'!J67="-",'A-7'!J119="-",'A-7'!J171="-"),"-",SUM('A-7'!J67,'A-7'!J119,'A-7'!J171))</f>
        <v>0</v>
      </c>
      <c r="K8" s="193" t="str">
        <f>IF(AND('A-7'!K67="-",'A-7'!K119="-",'A-7'!K171="-"),"-",SUM('A-7'!K67,'A-7'!K119,'A-7'!K171))</f>
        <v>-</v>
      </c>
      <c r="L8" s="211">
        <f>IF(AND('A-7'!L67="-",'A-7'!L119="-",'A-7'!L171="-"),"-",SUM('A-7'!L67,'A-7'!L119,'A-7'!L171))</f>
        <v>33322</v>
      </c>
      <c r="M8" s="22"/>
      <c r="N8" s="22"/>
    </row>
    <row r="9" spans="1:14" ht="11.25" customHeight="1" x14ac:dyDescent="0.25">
      <c r="A9" s="383">
        <v>1982</v>
      </c>
      <c r="B9" s="193" t="str">
        <f>IF(AND('A-7'!B68="-",'A-7'!B120="-",'A-7'!B172="-"),"-",SUM('A-7'!B68,'A-7'!B120,'A-7'!B172))</f>
        <v>-</v>
      </c>
      <c r="C9" s="193" t="str">
        <f>IF(AND('A-7'!C68="-",'A-7'!C120="-",'A-7'!C172="-"),"-",SUM('A-7'!C68,'A-7'!C120,'A-7'!C172))</f>
        <v>-</v>
      </c>
      <c r="D9" s="193">
        <f>IF(AND('A-7'!D68="-",'A-7'!D120="-",'A-7'!D172="-"),"-",SUM('A-7'!D68,'A-7'!D120,'A-7'!D172))</f>
        <v>1467</v>
      </c>
      <c r="E9" s="193">
        <f>IF(AND('A-7'!E68="-",'A-7'!E120="-",'A-7'!E172="-"),"-",SUM('A-7'!E68,'A-7'!E120,'A-7'!E172))</f>
        <v>1730</v>
      </c>
      <c r="F9" s="193">
        <f>IF(AND('A-7'!F68="-",'A-7'!F120="-",'A-7'!F172="-"),"-",SUM('A-7'!F68,'A-7'!F120,'A-7'!F172))</f>
        <v>14717</v>
      </c>
      <c r="G9" s="193">
        <f>IF(AND('A-7'!G68="-",'A-7'!G120="-",'A-7'!G172="-"),"-",SUM('A-7'!G68,'A-7'!G120,'A-7'!G172))</f>
        <v>2661</v>
      </c>
      <c r="H9" s="193">
        <f>IF(AND('A-7'!H68="-",'A-7'!H120="-",'A-7'!H172="-"),"-",SUM('A-7'!H68,'A-7'!H120,'A-7'!H172))</f>
        <v>1501</v>
      </c>
      <c r="I9" s="193">
        <f>IF(AND('A-7'!I68="-",'A-7'!I120="-",'A-7'!I172="-"),"-",SUM('A-7'!I68,'A-7'!I120,'A-7'!I172))</f>
        <v>761</v>
      </c>
      <c r="J9" s="193">
        <f>IF(AND('A-7'!J68="-",'A-7'!J120="-",'A-7'!J172="-"),"-",SUM('A-7'!J68,'A-7'!J120,'A-7'!J172))</f>
        <v>3</v>
      </c>
      <c r="K9" s="193" t="str">
        <f>IF(AND('A-7'!K68="-",'A-7'!K120="-",'A-7'!K172="-"),"-",SUM('A-7'!K68,'A-7'!K120,'A-7'!K172))</f>
        <v>-</v>
      </c>
      <c r="L9" s="211">
        <f>IF(AND('A-7'!L68="-",'A-7'!L120="-",'A-7'!L172="-"),"-",SUM('A-7'!L68,'A-7'!L120,'A-7'!L172))</f>
        <v>22840</v>
      </c>
      <c r="M9" s="22"/>
      <c r="N9" s="22"/>
    </row>
    <row r="10" spans="1:14" ht="11.25" customHeight="1" x14ac:dyDescent="0.25">
      <c r="A10" s="383">
        <v>1983</v>
      </c>
      <c r="B10" s="193" t="str">
        <f>IF(AND('A-7'!B69="-",'A-7'!B121="-",'A-7'!B173="-"),"-",SUM('A-7'!B69,'A-7'!B121,'A-7'!B173))</f>
        <v>-</v>
      </c>
      <c r="C10" s="193" t="str">
        <f>IF(AND('A-7'!C69="-",'A-7'!C121="-",'A-7'!C173="-"),"-",SUM('A-7'!C69,'A-7'!C121,'A-7'!C173))</f>
        <v>-</v>
      </c>
      <c r="D10" s="193">
        <f>IF(AND('A-7'!D69="-",'A-7'!D121="-",'A-7'!D173="-"),"-",SUM('A-7'!D69,'A-7'!D121,'A-7'!D173))</f>
        <v>764</v>
      </c>
      <c r="E10" s="193">
        <f>IF(AND('A-7'!E69="-",'A-7'!E121="-",'A-7'!E173="-"),"-",SUM('A-7'!E69,'A-7'!E121,'A-7'!E173))</f>
        <v>908</v>
      </c>
      <c r="F10" s="193">
        <f>IF(AND('A-7'!F69="-",'A-7'!F121="-",'A-7'!F173="-"),"-",SUM('A-7'!F69,'A-7'!F121,'A-7'!F173))</f>
        <v>10439</v>
      </c>
      <c r="G10" s="193">
        <f>IF(AND('A-7'!G69="-",'A-7'!G121="-",'A-7'!G173="-"),"-",SUM('A-7'!G69,'A-7'!G121,'A-7'!G173))</f>
        <v>3268</v>
      </c>
      <c r="H10" s="193">
        <f>IF(AND('A-7'!H69="-",'A-7'!H121="-",'A-7'!H173="-"),"-",SUM('A-7'!H69,'A-7'!H121,'A-7'!H173))</f>
        <v>902</v>
      </c>
      <c r="I10" s="193">
        <f>IF(AND('A-7'!I69="-",'A-7'!I121="-",'A-7'!I173="-"),"-",SUM('A-7'!I69,'A-7'!I121,'A-7'!I173))</f>
        <v>504</v>
      </c>
      <c r="J10" s="193">
        <f>IF(AND('A-7'!J69="-",'A-7'!J121="-",'A-7'!J173="-"),"-",SUM('A-7'!J69,'A-7'!J121,'A-7'!J173))</f>
        <v>22</v>
      </c>
      <c r="K10" s="193" t="str">
        <f>IF(AND('A-7'!K69="-",'A-7'!K121="-",'A-7'!K173="-"),"-",SUM('A-7'!K69,'A-7'!K121,'A-7'!K173))</f>
        <v>-</v>
      </c>
      <c r="L10" s="211">
        <f>IF(AND('A-7'!L69="-",'A-7'!L121="-",'A-7'!L173="-"),"-",SUM('A-7'!L69,'A-7'!L121,'A-7'!L173))</f>
        <v>16807</v>
      </c>
      <c r="M10" s="22"/>
      <c r="N10" s="22"/>
    </row>
    <row r="11" spans="1:14" ht="11.25" customHeight="1" x14ac:dyDescent="0.25">
      <c r="A11" s="383">
        <v>1984</v>
      </c>
      <c r="B11" s="193" t="str">
        <f>IF(AND('A-7'!B70="-",'A-7'!B122="-",'A-7'!B174="-"),"-",SUM('A-7'!B70,'A-7'!B122,'A-7'!B174))</f>
        <v>-</v>
      </c>
      <c r="C11" s="193" t="str">
        <f>IF(AND('A-7'!C70="-",'A-7'!C122="-",'A-7'!C174="-"),"-",SUM('A-7'!C70,'A-7'!C122,'A-7'!C174))</f>
        <v>-</v>
      </c>
      <c r="D11" s="193">
        <f>IF(AND('A-7'!D70="-",'A-7'!D122="-",'A-7'!D174="-"),"-",SUM('A-7'!D70,'A-7'!D122,'A-7'!D174))</f>
        <v>144</v>
      </c>
      <c r="E11" s="193">
        <f>IF(AND('A-7'!E70="-",'A-7'!E122="-",'A-7'!E174="-"),"-",SUM('A-7'!E70,'A-7'!E122,'A-7'!E174))</f>
        <v>395</v>
      </c>
      <c r="F11" s="193">
        <f>IF(AND('A-7'!F70="-",'A-7'!F122="-",'A-7'!F174="-"),"-",SUM('A-7'!F70,'A-7'!F122,'A-7'!F174))</f>
        <v>1664</v>
      </c>
      <c r="G11" s="193">
        <f>IF(AND('A-7'!G70="-",'A-7'!G122="-",'A-7'!G174="-"),"-",SUM('A-7'!G70,'A-7'!G122,'A-7'!G174))</f>
        <v>2278</v>
      </c>
      <c r="H11" s="193">
        <f>IF(AND('A-7'!H70="-",'A-7'!H122="-",'A-7'!H174="-"),"-",SUM('A-7'!H70,'A-7'!H122,'A-7'!H174))</f>
        <v>215</v>
      </c>
      <c r="I11" s="193">
        <f>IF(AND('A-7'!I70="-",'A-7'!I122="-",'A-7'!I174="-"),"-",SUM('A-7'!I70,'A-7'!I122,'A-7'!I174))</f>
        <v>39</v>
      </c>
      <c r="J11" s="193">
        <f>IF(AND('A-7'!J70="-",'A-7'!J122="-",'A-7'!J174="-"),"-",SUM('A-7'!J70,'A-7'!J122,'A-7'!J174))</f>
        <v>7</v>
      </c>
      <c r="K11" s="193" t="str">
        <f>IF(AND('A-7'!K70="-",'A-7'!K122="-",'A-7'!K174="-"),"-",SUM('A-7'!K70,'A-7'!K122,'A-7'!K174))</f>
        <v>-</v>
      </c>
      <c r="L11" s="211">
        <f>IF(AND('A-7'!L70="-",'A-7'!L122="-",'A-7'!L174="-"),"-",SUM('A-7'!L70,'A-7'!L122,'A-7'!L174))</f>
        <v>4742</v>
      </c>
      <c r="M11" s="22"/>
      <c r="N11" s="22"/>
    </row>
    <row r="12" spans="1:14" ht="11.25" customHeight="1" x14ac:dyDescent="0.25">
      <c r="A12" s="383">
        <v>1985</v>
      </c>
      <c r="B12" s="193" t="str">
        <f>IF(AND('A-7'!B71="-",'A-7'!B123="-",'A-7'!B175="-"),"-",SUM('A-7'!B71,'A-7'!B123,'A-7'!B175))</f>
        <v>-</v>
      </c>
      <c r="C12" s="193" t="str">
        <f>IF(AND('A-7'!C71="-",'A-7'!C123="-",'A-7'!C175="-"),"-",SUM('A-7'!C71,'A-7'!C123,'A-7'!C175))</f>
        <v>-</v>
      </c>
      <c r="D12" s="193">
        <f>IF(AND('A-7'!D71="-",'A-7'!D123="-",'A-7'!D175="-"),"-",SUM('A-7'!D71,'A-7'!D123,'A-7'!D175))</f>
        <v>2629</v>
      </c>
      <c r="E12" s="193">
        <f>IF(AND('A-7'!E71="-",'A-7'!E123="-",'A-7'!E175="-"),"-",SUM('A-7'!E71,'A-7'!E123,'A-7'!E175))</f>
        <v>2024</v>
      </c>
      <c r="F12" s="193">
        <f>IF(AND('A-7'!F71="-",'A-7'!F123="-",'A-7'!F175="-"),"-",SUM('A-7'!F71,'A-7'!F123,'A-7'!F175))</f>
        <v>6034</v>
      </c>
      <c r="G12" s="193">
        <f>IF(AND('A-7'!G71="-",'A-7'!G123="-",'A-7'!G175="-"),"-",SUM('A-7'!G71,'A-7'!G123,'A-7'!G175))</f>
        <v>6051</v>
      </c>
      <c r="H12" s="193">
        <f>IF(AND('A-7'!H71="-",'A-7'!H123="-",'A-7'!H175="-"),"-",SUM('A-7'!H71,'A-7'!H123,'A-7'!H175))</f>
        <v>1766</v>
      </c>
      <c r="I12" s="193">
        <f>IF(AND('A-7'!I71="-",'A-7'!I123="-",'A-7'!I175="-"),"-",SUM('A-7'!I71,'A-7'!I123,'A-7'!I175))</f>
        <v>650</v>
      </c>
      <c r="J12" s="193">
        <f>IF(AND('A-7'!J71="-",'A-7'!J123="-",'A-7'!J175="-"),"-",SUM('A-7'!J71,'A-7'!J123,'A-7'!J175))</f>
        <v>18</v>
      </c>
      <c r="K12" s="193" t="str">
        <f>IF(AND('A-7'!K71="-",'A-7'!K123="-",'A-7'!K175="-"),"-",SUM('A-7'!K71,'A-7'!K123,'A-7'!K175))</f>
        <v>-</v>
      </c>
      <c r="L12" s="211">
        <f>IF(AND('A-7'!L71="-",'A-7'!L123="-",'A-7'!L175="-"),"-",SUM('A-7'!L71,'A-7'!L123,'A-7'!L175))</f>
        <v>19172</v>
      </c>
      <c r="M12" s="22"/>
      <c r="N12" s="22"/>
    </row>
    <row r="13" spans="1:14" ht="11.25" customHeight="1" x14ac:dyDescent="0.25">
      <c r="A13" s="383">
        <v>1986</v>
      </c>
      <c r="B13" s="193" t="str">
        <f>IF(AND('A-7'!B72="-",'A-7'!B124="-",'A-7'!B176="-"),"-",SUM('A-7'!B72,'A-7'!B124,'A-7'!B176))</f>
        <v>-</v>
      </c>
      <c r="C13" s="193" t="str">
        <f>IF(AND('A-7'!C72="-",'A-7'!C124="-",'A-7'!C176="-"),"-",SUM('A-7'!C72,'A-7'!C124,'A-7'!C176))</f>
        <v>-</v>
      </c>
      <c r="D13" s="193">
        <f>IF(AND('A-7'!D72="-",'A-7'!D124="-",'A-7'!D176="-"),"-",SUM('A-7'!D72,'A-7'!D124,'A-7'!D176))</f>
        <v>3043</v>
      </c>
      <c r="E13" s="193">
        <f>IF(AND('A-7'!E72="-",'A-7'!E124="-",'A-7'!E176="-"),"-",SUM('A-7'!E72,'A-7'!E124,'A-7'!E176))</f>
        <v>3295</v>
      </c>
      <c r="F13" s="193">
        <f>IF(AND('A-7'!F72="-",'A-7'!F124="-",'A-7'!F176="-"),"-",SUM('A-7'!F72,'A-7'!F124,'A-7'!F176))</f>
        <v>13742</v>
      </c>
      <c r="G13" s="193">
        <f>IF(AND('A-7'!G72="-",'A-7'!G124="-",'A-7'!G176="-"),"-",SUM('A-7'!G72,'A-7'!G124,'A-7'!G176))</f>
        <v>4902</v>
      </c>
      <c r="H13" s="193">
        <f>IF(AND('A-7'!H72="-",'A-7'!H124="-",'A-7'!H176="-"),"-",SUM('A-7'!H72,'A-7'!H124,'A-7'!H176))</f>
        <v>1965</v>
      </c>
      <c r="I13" s="193">
        <f>IF(AND('A-7'!I72="-",'A-7'!I124="-",'A-7'!I176="-"),"-",SUM('A-7'!I72,'A-7'!I124,'A-7'!I176))</f>
        <v>1152</v>
      </c>
      <c r="J13" s="193">
        <f>IF(AND('A-7'!J72="-",'A-7'!J124="-",'A-7'!J176="-"),"-",SUM('A-7'!J72,'A-7'!J124,'A-7'!J176))</f>
        <v>17</v>
      </c>
      <c r="K13" s="193" t="str">
        <f>IF(AND('A-7'!K72="-",'A-7'!K124="-",'A-7'!K176="-"),"-",SUM('A-7'!K72,'A-7'!K124,'A-7'!K176))</f>
        <v>-</v>
      </c>
      <c r="L13" s="211">
        <f>IF(AND('A-7'!L72="-",'A-7'!L124="-",'A-7'!L176="-"),"-",SUM('A-7'!L72,'A-7'!L124,'A-7'!L176))</f>
        <v>28116</v>
      </c>
      <c r="M13" s="22"/>
      <c r="N13" s="22"/>
    </row>
    <row r="14" spans="1:14" ht="11.25" customHeight="1" x14ac:dyDescent="0.25">
      <c r="A14" s="383">
        <v>1987</v>
      </c>
      <c r="B14" s="193" t="str">
        <f>IF(AND('A-7'!B73="-",'A-7'!B125="-",'A-7'!B177="-"),"-",SUM('A-7'!B73,'A-7'!B125,'A-7'!B177))</f>
        <v>-</v>
      </c>
      <c r="C14" s="193" t="str">
        <f>IF(AND('A-7'!C73="-",'A-7'!C125="-",'A-7'!C177="-"),"-",SUM('A-7'!C73,'A-7'!C125,'A-7'!C177))</f>
        <v>-</v>
      </c>
      <c r="D14" s="193">
        <f>IF(AND('A-7'!D73="-",'A-7'!D125="-",'A-7'!D177="-"),"-",SUM('A-7'!D73,'A-7'!D125,'A-7'!D177))</f>
        <v>2846</v>
      </c>
      <c r="E14" s="193">
        <f>IF(AND('A-7'!E73="-",'A-7'!E125="-",'A-7'!E177="-"),"-",SUM('A-7'!E73,'A-7'!E125,'A-7'!E177))</f>
        <v>2958</v>
      </c>
      <c r="F14" s="193">
        <f>IF(AND('A-7'!F73="-",'A-7'!F125="-",'A-7'!F177="-"),"-",SUM('A-7'!F73,'A-7'!F125,'A-7'!F177))</f>
        <v>16047</v>
      </c>
      <c r="G14" s="193">
        <f>IF(AND('A-7'!G73="-",'A-7'!G125="-",'A-7'!G177="-"),"-",SUM('A-7'!G73,'A-7'!G125,'A-7'!G177))</f>
        <v>7259</v>
      </c>
      <c r="H14" s="193">
        <f>IF(AND('A-7'!H73="-",'A-7'!H125="-",'A-7'!H177="-"),"-",SUM('A-7'!H73,'A-7'!H125,'A-7'!H177))</f>
        <v>5483</v>
      </c>
      <c r="I14" s="193">
        <f>IF(AND('A-7'!I73="-",'A-7'!I125="-",'A-7'!I177="-"),"-",SUM('A-7'!I73,'A-7'!I125,'A-7'!I177))</f>
        <v>2384</v>
      </c>
      <c r="J14" s="193" t="str">
        <f>IF(AND('A-7'!J73="-",'A-7'!J125="-",'A-7'!J177="-"),"-",SUM('A-7'!J73,'A-7'!J125,'A-7'!J177))</f>
        <v>-</v>
      </c>
      <c r="K14" s="193" t="str">
        <f>IF(AND('A-7'!K73="-",'A-7'!K125="-",'A-7'!K177="-"),"-",SUM('A-7'!K73,'A-7'!K125,'A-7'!K177))</f>
        <v>-</v>
      </c>
      <c r="L14" s="211">
        <f>IF(AND('A-7'!L73="-",'A-7'!L125="-",'A-7'!L177="-"),"-",SUM('A-7'!L73,'A-7'!L125,'A-7'!L177))</f>
        <v>36977</v>
      </c>
      <c r="M14" s="22"/>
      <c r="N14" s="22"/>
    </row>
    <row r="15" spans="1:14" ht="11.25" customHeight="1" x14ac:dyDescent="0.25">
      <c r="A15" s="383">
        <v>1988</v>
      </c>
      <c r="B15" s="193" t="str">
        <f>IF(AND('A-7'!B74="-",'A-7'!B126="-",'A-7'!B178="-"),"-",SUM('A-7'!B74,'A-7'!B126,'A-7'!B178))</f>
        <v>-</v>
      </c>
      <c r="C15" s="193" t="str">
        <f>IF(AND('A-7'!C74="-",'A-7'!C126="-",'A-7'!C178="-"),"-",SUM('A-7'!C74,'A-7'!C126,'A-7'!C178))</f>
        <v>-</v>
      </c>
      <c r="D15" s="193">
        <f>IF(AND('A-7'!D74="-",'A-7'!D126="-",'A-7'!D178="-"),"-",SUM('A-7'!D74,'A-7'!D126,'A-7'!D178))</f>
        <v>4182</v>
      </c>
      <c r="E15" s="193">
        <f>IF(AND('A-7'!E74="-",'A-7'!E126="-",'A-7'!E178="-"),"-",SUM('A-7'!E74,'A-7'!E126,'A-7'!E178))</f>
        <v>5995</v>
      </c>
      <c r="F15" s="193">
        <f>IF(AND('A-7'!F74="-",'A-7'!F126="-",'A-7'!F178="-"),"-",SUM('A-7'!F74,'A-7'!F126,'A-7'!F178))</f>
        <v>16911</v>
      </c>
      <c r="G15" s="193">
        <f>IF(AND('A-7'!G74="-",'A-7'!G126="-",'A-7'!G178="-"),"-",SUM('A-7'!G74,'A-7'!G126,'A-7'!G178))</f>
        <v>14043</v>
      </c>
      <c r="H15" s="193">
        <f>IF(AND('A-7'!H74="-",'A-7'!H126="-",'A-7'!H178="-"),"-",SUM('A-7'!H74,'A-7'!H126,'A-7'!H178))</f>
        <v>4250</v>
      </c>
      <c r="I15" s="193">
        <f>IF(AND('A-7'!I74="-",'A-7'!I126="-",'A-7'!I178="-"),"-",SUM('A-7'!I74,'A-7'!I126,'A-7'!I178))</f>
        <v>3788</v>
      </c>
      <c r="J15" s="193" t="str">
        <f>IF(AND('A-7'!J74="-",'A-7'!J126="-",'A-7'!J178="-"),"-",SUM('A-7'!J74,'A-7'!J126,'A-7'!J178))</f>
        <v>-</v>
      </c>
      <c r="K15" s="193" t="str">
        <f>IF(AND('A-7'!K74="-",'A-7'!K126="-",'A-7'!K178="-"),"-",SUM('A-7'!K74,'A-7'!K126,'A-7'!K178))</f>
        <v>-</v>
      </c>
      <c r="L15" s="211">
        <f>IF(AND('A-7'!L74="-",'A-7'!L126="-",'A-7'!L178="-"),"-",SUM('A-7'!L74,'A-7'!L126,'A-7'!L178))</f>
        <v>49169</v>
      </c>
      <c r="M15" s="22"/>
      <c r="N15" s="22"/>
    </row>
    <row r="16" spans="1:14" ht="11.25" customHeight="1" x14ac:dyDescent="0.25">
      <c r="A16" s="383">
        <v>1989</v>
      </c>
      <c r="B16" s="193" t="str">
        <f>IF(AND('A-7'!B75="-",'A-7'!B127="-",'A-7'!B179="-"),"-",SUM('A-7'!B75,'A-7'!B127,'A-7'!B179))</f>
        <v>-</v>
      </c>
      <c r="C16" s="193" t="str">
        <f>IF(AND('A-7'!C75="-",'A-7'!C127="-",'A-7'!C179="-"),"-",SUM('A-7'!C75,'A-7'!C127,'A-7'!C179))</f>
        <v>-</v>
      </c>
      <c r="D16" s="193">
        <f>IF(AND('A-7'!D75="-",'A-7'!D127="-",'A-7'!D179="-"),"-",SUM('A-7'!D75,'A-7'!D127,'A-7'!D179))</f>
        <v>5922</v>
      </c>
      <c r="E16" s="193">
        <f>IF(AND('A-7'!E75="-",'A-7'!E127="-",'A-7'!E179="-"),"-",SUM('A-7'!E75,'A-7'!E127,'A-7'!E179))</f>
        <v>6507</v>
      </c>
      <c r="F16" s="193">
        <f>IF(AND('A-7'!F75="-",'A-7'!F127="-",'A-7'!F179="-"),"-",SUM('A-7'!F75,'A-7'!F127,'A-7'!F179))</f>
        <v>13869</v>
      </c>
      <c r="G16" s="193">
        <f>IF(AND('A-7'!G75="-",'A-7'!G127="-",'A-7'!G179="-"),"-",SUM('A-7'!G75,'A-7'!G127,'A-7'!G179))</f>
        <v>7799</v>
      </c>
      <c r="H16" s="193">
        <f>IF(AND('A-7'!H75="-",'A-7'!H127="-",'A-7'!H179="-"),"-",SUM('A-7'!H75,'A-7'!H127,'A-7'!H179))</f>
        <v>2889</v>
      </c>
      <c r="I16" s="193">
        <f>IF(AND('A-7'!I75="-",'A-7'!I127="-",'A-7'!I179="-"),"-",SUM('A-7'!I75,'A-7'!I127,'A-7'!I179))</f>
        <v>2450</v>
      </c>
      <c r="J16" s="193">
        <f>IF(AND('A-7'!J75="-",'A-7'!J127="-",'A-7'!J179="-"),"-",SUM('A-7'!J75,'A-7'!J127,'A-7'!J179))</f>
        <v>497</v>
      </c>
      <c r="K16" s="193" t="str">
        <f>IF(AND('A-7'!K75="-",'A-7'!K127="-",'A-7'!K179="-"),"-",SUM('A-7'!K75,'A-7'!K127,'A-7'!K179))</f>
        <v>-</v>
      </c>
      <c r="L16" s="211">
        <f>IF(AND('A-7'!L75="-",'A-7'!L127="-",'A-7'!L179="-"),"-",SUM('A-7'!L75,'A-7'!L127,'A-7'!L179))</f>
        <v>39933</v>
      </c>
      <c r="M16" s="22"/>
      <c r="N16" s="22"/>
    </row>
    <row r="17" spans="1:14" ht="11.25" customHeight="1" x14ac:dyDescent="0.25">
      <c r="A17" s="383">
        <v>1990</v>
      </c>
      <c r="B17" s="193" t="str">
        <f>IF(AND('A-7'!B76="-",'A-7'!B128="-",'A-7'!B180="-"),"-",SUM('A-7'!B76,'A-7'!B128,'A-7'!B180))</f>
        <v>-</v>
      </c>
      <c r="C17" s="193" t="str">
        <f>IF(AND('A-7'!C76="-",'A-7'!C128="-",'A-7'!C180="-"),"-",SUM('A-7'!C76,'A-7'!C128,'A-7'!C180))</f>
        <v>-</v>
      </c>
      <c r="D17" s="193">
        <f>IF(AND('A-7'!D76="-",'A-7'!D128="-",'A-7'!D180="-"),"-",SUM('A-7'!D76,'A-7'!D128,'A-7'!D180))</f>
        <v>2734</v>
      </c>
      <c r="E17" s="193">
        <f>IF(AND('A-7'!E76="-",'A-7'!E128="-",'A-7'!E180="-"),"-",SUM('A-7'!E76,'A-7'!E128,'A-7'!E180))</f>
        <v>3714</v>
      </c>
      <c r="F17" s="193">
        <f>IF(AND('A-7'!F76="-",'A-7'!F128="-",'A-7'!F180="-"),"-",SUM('A-7'!F76,'A-7'!F128,'A-7'!F180))</f>
        <v>9594</v>
      </c>
      <c r="G17" s="193">
        <f>IF(AND('A-7'!G76="-",'A-7'!G128="-",'A-7'!G180="-"),"-",SUM('A-7'!G76,'A-7'!G128,'A-7'!G180))</f>
        <v>6460</v>
      </c>
      <c r="H17" s="193">
        <f>IF(AND('A-7'!H76="-",'A-7'!H128="-",'A-7'!H180="-"),"-",SUM('A-7'!H76,'A-7'!H128,'A-7'!H180))</f>
        <v>1482</v>
      </c>
      <c r="I17" s="193">
        <f>IF(AND('A-7'!I76="-",'A-7'!I128="-",'A-7'!I180="-"),"-",SUM('A-7'!I76,'A-7'!I128,'A-7'!I180))</f>
        <v>1036</v>
      </c>
      <c r="J17" s="193" t="str">
        <f>IF(AND('A-7'!J76="-",'A-7'!J128="-",'A-7'!J180="-"),"-",SUM('A-7'!J76,'A-7'!J128,'A-7'!J180))</f>
        <v>-</v>
      </c>
      <c r="K17" s="193" t="str">
        <f>IF(AND('A-7'!K76="-",'A-7'!K128="-",'A-7'!K180="-"),"-",SUM('A-7'!K76,'A-7'!K128,'A-7'!K180))</f>
        <v>-</v>
      </c>
      <c r="L17" s="211">
        <f>IF(AND('A-7'!L76="-",'A-7'!L128="-",'A-7'!L180="-"),"-",SUM('A-7'!L76,'A-7'!L128,'A-7'!L180))</f>
        <v>25020</v>
      </c>
      <c r="M17" s="22"/>
      <c r="N17" s="22"/>
    </row>
    <row r="18" spans="1:14" ht="11.25" customHeight="1" x14ac:dyDescent="0.25">
      <c r="A18" s="383">
        <v>1991</v>
      </c>
      <c r="B18" s="193" t="str">
        <f>IF(AND('A-7'!B77="-",'A-7'!B129="-",'A-7'!B181="-"),"-",SUM('A-7'!B77,'A-7'!B129,'A-7'!B181))</f>
        <v>-</v>
      </c>
      <c r="C18" s="193" t="str">
        <f>IF(AND('A-7'!C77="-",'A-7'!C129="-",'A-7'!C181="-"),"-",SUM('A-7'!C77,'A-7'!C129,'A-7'!C181))</f>
        <v>-</v>
      </c>
      <c r="D18" s="193">
        <f>IF(AND('A-7'!D77="-",'A-7'!D129="-",'A-7'!D181="-"),"-",SUM('A-7'!D77,'A-7'!D129,'A-7'!D181))</f>
        <v>695</v>
      </c>
      <c r="E18" s="193">
        <f>IF(AND('A-7'!E77="-",'A-7'!E129="-",'A-7'!E181="-"),"-",SUM('A-7'!E77,'A-7'!E129,'A-7'!E181))</f>
        <v>3948</v>
      </c>
      <c r="F18" s="193">
        <f>IF(AND('A-7'!F77="-",'A-7'!F129="-",'A-7'!F181="-"),"-",SUM('A-7'!F77,'A-7'!F129,'A-7'!F181))</f>
        <v>4102</v>
      </c>
      <c r="G18" s="193">
        <f>IF(AND('A-7'!G77="-",'A-7'!G129="-",'A-7'!G181="-"),"-",SUM('A-7'!G77,'A-7'!G129,'A-7'!G181))</f>
        <v>1967</v>
      </c>
      <c r="H18" s="193">
        <f>IF(AND('A-7'!H77="-",'A-7'!H129="-",'A-7'!H181="-"),"-",SUM('A-7'!H77,'A-7'!H129,'A-7'!H181))</f>
        <v>1859</v>
      </c>
      <c r="I18" s="193">
        <f>IF(AND('A-7'!I77="-",'A-7'!I129="-",'A-7'!I181="-"),"-",SUM('A-7'!I77,'A-7'!I129,'A-7'!I181))</f>
        <v>1596</v>
      </c>
      <c r="J18" s="193" t="str">
        <f>IF(AND('A-7'!J77="-",'A-7'!J129="-",'A-7'!J181="-"),"-",SUM('A-7'!J77,'A-7'!J129,'A-7'!J181))</f>
        <v>-</v>
      </c>
      <c r="K18" s="193" t="str">
        <f>IF(AND('A-7'!K77="-",'A-7'!K129="-",'A-7'!K181="-"),"-",SUM('A-7'!K77,'A-7'!K129,'A-7'!K181))</f>
        <v>-</v>
      </c>
      <c r="L18" s="211">
        <f>IF(AND('A-7'!L77="-",'A-7'!L129="-",'A-7'!L181="-"),"-",SUM('A-7'!L77,'A-7'!L129,'A-7'!L181))</f>
        <v>14167</v>
      </c>
      <c r="M18" s="22"/>
      <c r="N18" s="22"/>
    </row>
    <row r="19" spans="1:14" ht="11.25" customHeight="1" x14ac:dyDescent="0.25">
      <c r="A19" s="383">
        <v>1992</v>
      </c>
      <c r="B19" s="193" t="str">
        <f>IF(AND('A-7'!B78="-",'A-7'!B130="-",'A-7'!B182="-"),"-",SUM('A-7'!B78,'A-7'!B130,'A-7'!B182))</f>
        <v>-</v>
      </c>
      <c r="C19" s="193" t="str">
        <f>IF(AND('A-7'!C78="-",'A-7'!C130="-",'A-7'!C182="-"),"-",SUM('A-7'!C78,'A-7'!C130,'A-7'!C182))</f>
        <v>-</v>
      </c>
      <c r="D19" s="193">
        <f>IF(AND('A-7'!D78="-",'A-7'!D130="-",'A-7'!D182="-"),"-",SUM('A-7'!D78,'A-7'!D130,'A-7'!D182))</f>
        <v>1554</v>
      </c>
      <c r="E19" s="193" t="str">
        <f>IF(AND('A-7'!E78="-",'A-7'!E130="-",'A-7'!E182="-"),"-",SUM('A-7'!E78,'A-7'!E130,'A-7'!E182))</f>
        <v>-</v>
      </c>
      <c r="F19" s="193">
        <f>IF(AND('A-7'!F78="-",'A-7'!F130="-",'A-7'!F182="-"),"-",SUM('A-7'!F78,'A-7'!F130,'A-7'!F182))</f>
        <v>1496</v>
      </c>
      <c r="G19" s="193">
        <f>IF(AND('A-7'!G78="-",'A-7'!G130="-",'A-7'!G182="-"),"-",SUM('A-7'!G78,'A-7'!G130,'A-7'!G182))</f>
        <v>2686</v>
      </c>
      <c r="H19" s="193">
        <f>IF(AND('A-7'!H78="-",'A-7'!H130="-",'A-7'!H182="-"),"-",SUM('A-7'!H78,'A-7'!H130,'A-7'!H182))</f>
        <v>1474</v>
      </c>
      <c r="I19" s="193">
        <f>IF(AND('A-7'!I78="-",'A-7'!I130="-",'A-7'!I182="-"),"-",SUM('A-7'!I78,'A-7'!I130,'A-7'!I182))</f>
        <v>1684</v>
      </c>
      <c r="J19" s="193" t="str">
        <f>IF(AND('A-7'!J78="-",'A-7'!J130="-",'A-7'!J182="-"),"-",SUM('A-7'!J78,'A-7'!J130,'A-7'!J182))</f>
        <v>-</v>
      </c>
      <c r="K19" s="193" t="str">
        <f>IF(AND('A-7'!K78="-",'A-7'!K130="-",'A-7'!K182="-"),"-",SUM('A-7'!K78,'A-7'!K130,'A-7'!K182))</f>
        <v>-</v>
      </c>
      <c r="L19" s="211">
        <f>IF(AND('A-7'!L78="-",'A-7'!L130="-",'A-7'!L182="-"),"-",SUM('A-7'!L78,'A-7'!L130,'A-7'!L182))</f>
        <v>8894</v>
      </c>
      <c r="M19" s="22"/>
      <c r="N19" s="22"/>
    </row>
    <row r="20" spans="1:14" ht="11.25" customHeight="1" x14ac:dyDescent="0.25">
      <c r="A20" s="383">
        <v>1993</v>
      </c>
      <c r="B20" s="193" t="str">
        <f>IF(AND('A-7'!B79="-",'A-7'!B131="-",'A-7'!B183="-"),"-",SUM('A-7'!B79,'A-7'!B131,'A-7'!B183))</f>
        <v>-</v>
      </c>
      <c r="C20" s="193" t="str">
        <f>IF(AND('A-7'!C79="-",'A-7'!C131="-",'A-7'!C183="-"),"-",SUM('A-7'!C79,'A-7'!C131,'A-7'!C183))</f>
        <v>-</v>
      </c>
      <c r="D20" s="193">
        <f>IF(AND('A-7'!D79="-",'A-7'!D131="-",'A-7'!D183="-"),"-",SUM('A-7'!D79,'A-7'!D131,'A-7'!D183))</f>
        <v>2051</v>
      </c>
      <c r="E20" s="193">
        <f>IF(AND('A-7'!E79="-",'A-7'!E131="-",'A-7'!E183="-"),"-",SUM('A-7'!E79,'A-7'!E131,'A-7'!E183))</f>
        <v>1311</v>
      </c>
      <c r="F20" s="193">
        <f>IF(AND('A-7'!F79="-",'A-7'!F131="-",'A-7'!F183="-"),"-",SUM('A-7'!F79,'A-7'!F131,'A-7'!F183))</f>
        <v>1734</v>
      </c>
      <c r="G20" s="193">
        <f>IF(AND('A-7'!G79="-",'A-7'!G131="-",'A-7'!G183="-"),"-",SUM('A-7'!G79,'A-7'!G131,'A-7'!G183))</f>
        <v>953</v>
      </c>
      <c r="H20" s="193">
        <f>IF(AND('A-7'!H79="-",'A-7'!H131="-",'A-7'!H183="-"),"-",SUM('A-7'!H79,'A-7'!H131,'A-7'!H183))</f>
        <v>1822</v>
      </c>
      <c r="I20" s="193">
        <f>IF(AND('A-7'!I79="-",'A-7'!I131="-",'A-7'!I183="-"),"-",SUM('A-7'!I79,'A-7'!I131,'A-7'!I183))</f>
        <v>1245</v>
      </c>
      <c r="J20" s="193">
        <f>IF(AND('A-7'!J79="-",'A-7'!J131="-",'A-7'!J183="-"),"-",SUM('A-7'!J79,'A-7'!J131,'A-7'!J183))</f>
        <v>146</v>
      </c>
      <c r="K20" s="193" t="str">
        <f>IF(AND('A-7'!K79="-",'A-7'!K131="-",'A-7'!K183="-"),"-",SUM('A-7'!K79,'A-7'!K131,'A-7'!K183))</f>
        <v>-</v>
      </c>
      <c r="L20" s="211">
        <f>IF(AND('A-7'!L79="-",'A-7'!L131="-",'A-7'!L183="-"),"-",SUM('A-7'!L79,'A-7'!L131,'A-7'!L183))</f>
        <v>9262</v>
      </c>
      <c r="M20" s="22"/>
      <c r="N20" s="22"/>
    </row>
    <row r="21" spans="1:14" ht="11.25" customHeight="1" x14ac:dyDescent="0.25">
      <c r="A21" s="383">
        <v>1994</v>
      </c>
      <c r="B21" s="193" t="str">
        <f>IF(AND('A-7'!B80="-",'A-7'!B132="-",'A-7'!B184="-"),"-",SUM('A-7'!B80,'A-7'!B132,'A-7'!B184))</f>
        <v>-</v>
      </c>
      <c r="C21" s="193" t="str">
        <f>IF(AND('A-7'!C80="-",'A-7'!C132="-",'A-7'!C184="-"),"-",SUM('A-7'!C80,'A-7'!C132,'A-7'!C184))</f>
        <v>-</v>
      </c>
      <c r="D21" s="193">
        <f>IF(AND('A-7'!D80="-",'A-7'!D132="-",'A-7'!D184="-"),"-",SUM('A-7'!D80,'A-7'!D132,'A-7'!D184))</f>
        <v>932</v>
      </c>
      <c r="E21" s="193">
        <f>IF(AND('A-7'!E80="-",'A-7'!E132="-",'A-7'!E184="-"),"-",SUM('A-7'!E80,'A-7'!E132,'A-7'!E184))</f>
        <v>1228</v>
      </c>
      <c r="F21" s="193" t="str">
        <f>IF(AND('A-7'!F80="-",'A-7'!F132="-",'A-7'!F184="-"),"-",SUM('A-7'!F80,'A-7'!F132,'A-7'!F184))</f>
        <v>-</v>
      </c>
      <c r="G21" s="193" t="str">
        <f>IF(AND('A-7'!G80="-",'A-7'!G132="-",'A-7'!G184="-"),"-",SUM('A-7'!G80,'A-7'!G132,'A-7'!G184))</f>
        <v>-</v>
      </c>
      <c r="H21" s="193">
        <f>IF(AND('A-7'!H80="-",'A-7'!H132="-",'A-7'!H184="-"),"-",SUM('A-7'!H80,'A-7'!H132,'A-7'!H184))</f>
        <v>268</v>
      </c>
      <c r="I21" s="193">
        <f>IF(AND('A-7'!I80="-",'A-7'!I132="-",'A-7'!I184="-"),"-",SUM('A-7'!I80,'A-7'!I132,'A-7'!I184))</f>
        <v>985</v>
      </c>
      <c r="J21" s="193">
        <f>IF(AND('A-7'!J80="-",'A-7'!J132="-",'A-7'!J184="-"),"-",SUM('A-7'!J80,'A-7'!J132,'A-7'!J184))</f>
        <v>65</v>
      </c>
      <c r="K21" s="193" t="str">
        <f>IF(AND('A-7'!K80="-",'A-7'!K132="-",'A-7'!K184="-"),"-",SUM('A-7'!K80,'A-7'!K132,'A-7'!K184))</f>
        <v>-</v>
      </c>
      <c r="L21" s="211">
        <f>IF(AND('A-7'!L80="-",'A-7'!L132="-",'A-7'!L184="-"),"-",SUM('A-7'!L80,'A-7'!L132,'A-7'!L184))</f>
        <v>3478</v>
      </c>
      <c r="M21" s="22"/>
      <c r="N21" s="22"/>
    </row>
    <row r="22" spans="1:14" ht="11.25" customHeight="1" x14ac:dyDescent="0.25">
      <c r="A22" s="383">
        <v>1995</v>
      </c>
      <c r="B22" s="193" t="str">
        <f>IF(AND('A-7'!B81="-",'A-7'!B133="-",'A-7'!B185="-"),"-",SUM('A-7'!B81,'A-7'!B133,'A-7'!B185))</f>
        <v>-</v>
      </c>
      <c r="C22" s="193" t="str">
        <f>IF(AND('A-7'!C81="-",'A-7'!C133="-",'A-7'!C185="-"),"-",SUM('A-7'!C81,'A-7'!C133,'A-7'!C185))</f>
        <v>-</v>
      </c>
      <c r="D22" s="193">
        <f>IF(AND('A-7'!D81="-",'A-7'!D133="-",'A-7'!D185="-"),"-",SUM('A-7'!D81,'A-7'!D133,'A-7'!D185))</f>
        <v>939</v>
      </c>
      <c r="E22" s="193">
        <f>IF(AND('A-7'!E81="-",'A-7'!E133="-",'A-7'!E185="-"),"-",SUM('A-7'!E81,'A-7'!E133,'A-7'!E185))</f>
        <v>1621</v>
      </c>
      <c r="F22" s="193" t="str">
        <f>IF(AND('A-7'!F81="-",'A-7'!F133="-",'A-7'!F185="-"),"-",SUM('A-7'!F81,'A-7'!F133,'A-7'!F185))</f>
        <v>-</v>
      </c>
      <c r="G22" s="193">
        <f>IF(AND('A-7'!G81="-",'A-7'!G133="-",'A-7'!G185="-"),"-",SUM('A-7'!G81,'A-7'!G133,'A-7'!G185))</f>
        <v>2608</v>
      </c>
      <c r="H22" s="193">
        <f>IF(AND('A-7'!H81="-",'A-7'!H133="-",'A-7'!H185="-"),"-",SUM('A-7'!H81,'A-7'!H133,'A-7'!H185))</f>
        <v>1251</v>
      </c>
      <c r="I22" s="193">
        <f>IF(AND('A-7'!I81="-",'A-7'!I133="-",'A-7'!I185="-"),"-",SUM('A-7'!I81,'A-7'!I133,'A-7'!I185))</f>
        <v>1097</v>
      </c>
      <c r="J22" s="193">
        <f>IF(AND('A-7'!J81="-",'A-7'!J133="-",'A-7'!J185="-"),"-",SUM('A-7'!J81,'A-7'!J133,'A-7'!J185))</f>
        <v>54</v>
      </c>
      <c r="K22" s="193" t="str">
        <f>IF(AND('A-7'!K81="-",'A-7'!K133="-",'A-7'!K185="-"),"-",SUM('A-7'!K81,'A-7'!K133,'A-7'!K185))</f>
        <v>-</v>
      </c>
      <c r="L22" s="211">
        <f>IF(AND('A-7'!L81="-",'A-7'!L133="-",'A-7'!L185="-"),"-",SUM('A-7'!L81,'A-7'!L133,'A-7'!L185))</f>
        <v>7570</v>
      </c>
      <c r="M22" s="22"/>
      <c r="N22" s="22"/>
    </row>
    <row r="23" spans="1:14" ht="11.25" customHeight="1" x14ac:dyDescent="0.25">
      <c r="A23" s="383">
        <v>1996</v>
      </c>
      <c r="B23" s="193" t="str">
        <f>IF(AND('A-7'!B82="-",'A-7'!B134="-",'A-7'!B186="-"),"-",SUM('A-7'!B82,'A-7'!B134,'A-7'!B186))</f>
        <v>-</v>
      </c>
      <c r="C23" s="193" t="str">
        <f>IF(AND('A-7'!C82="-",'A-7'!C134="-",'A-7'!C186="-"),"-",SUM('A-7'!C82,'A-7'!C134,'A-7'!C186))</f>
        <v>-</v>
      </c>
      <c r="D23" s="193">
        <f>IF(AND('A-7'!D82="-",'A-7'!D134="-",'A-7'!D186="-"),"-",SUM('A-7'!D82,'A-7'!D134,'A-7'!D186))</f>
        <v>1378</v>
      </c>
      <c r="E23" s="193">
        <f>IF(AND('A-7'!E82="-",'A-7'!E134="-",'A-7'!E186="-"),"-",SUM('A-7'!E82,'A-7'!E134,'A-7'!E186))</f>
        <v>1972</v>
      </c>
      <c r="F23" s="193" t="str">
        <f>IF(AND('A-7'!F82="-",'A-7'!F134="-",'A-7'!F186="-"),"-",SUM('A-7'!F82,'A-7'!F134,'A-7'!F186))</f>
        <v>-</v>
      </c>
      <c r="G23" s="193">
        <f>IF(AND('A-7'!G82="-",'A-7'!G134="-",'A-7'!G186="-"),"-",SUM('A-7'!G82,'A-7'!G134,'A-7'!G186))</f>
        <v>1819</v>
      </c>
      <c r="H23" s="193">
        <f>IF(AND('A-7'!H82="-",'A-7'!H134="-",'A-7'!H186="-"),"-",SUM('A-7'!H82,'A-7'!H134,'A-7'!H186))</f>
        <v>1619</v>
      </c>
      <c r="I23" s="193">
        <f>IF(AND('A-7'!I82="-",'A-7'!I134="-",'A-7'!I186="-"),"-",SUM('A-7'!I82,'A-7'!I134,'A-7'!I186))</f>
        <v>1041</v>
      </c>
      <c r="J23" s="193">
        <f>IF(AND('A-7'!J82="-",'A-7'!J134="-",'A-7'!J186="-"),"-",SUM('A-7'!J82,'A-7'!J134,'A-7'!J186))</f>
        <v>86</v>
      </c>
      <c r="K23" s="193" t="str">
        <f>IF(AND('A-7'!K82="-",'A-7'!K134="-",'A-7'!K186="-"),"-",SUM('A-7'!K82,'A-7'!K134,'A-7'!K186))</f>
        <v>-</v>
      </c>
      <c r="L23" s="211">
        <f>IF(AND('A-7'!L82="-",'A-7'!L134="-",'A-7'!L186="-"),"-",SUM('A-7'!L82,'A-7'!L134,'A-7'!L186))</f>
        <v>7915</v>
      </c>
      <c r="M23" s="22"/>
      <c r="N23" s="22"/>
    </row>
    <row r="24" spans="1:14" ht="11.25" customHeight="1" x14ac:dyDescent="0.25">
      <c r="A24" s="383">
        <v>1997</v>
      </c>
      <c r="B24" s="193" t="str">
        <f>IF(AND('A-7'!B83="-",'A-7'!B135="-",'A-7'!B187="-"),"-",SUM('A-7'!B83,'A-7'!B135,'A-7'!B187))</f>
        <v>-</v>
      </c>
      <c r="C24" s="193">
        <f>IF(AND('A-7'!C83="-",'A-7'!C135="-",'A-7'!C187="-"),"-",SUM('A-7'!C83,'A-7'!C135,'A-7'!C187))</f>
        <v>348</v>
      </c>
      <c r="D24" s="193">
        <f>IF(AND('A-7'!D83="-",'A-7'!D135="-",'A-7'!D187="-"),"-",SUM('A-7'!D83,'A-7'!D135,'A-7'!D187))</f>
        <v>1940</v>
      </c>
      <c r="E24" s="193">
        <f>IF(AND('A-7'!E83="-",'A-7'!E135="-",'A-7'!E187="-"),"-",SUM('A-7'!E83,'A-7'!E135,'A-7'!E187))</f>
        <v>1875</v>
      </c>
      <c r="F24" s="193" t="str">
        <f>IF(AND('A-7'!F83="-",'A-7'!F135="-",'A-7'!F187="-"),"-",SUM('A-7'!F83,'A-7'!F135,'A-7'!F187))</f>
        <v>-</v>
      </c>
      <c r="G24" s="193">
        <f>IF(AND('A-7'!G83="-",'A-7'!G135="-",'A-7'!G187="-"),"-",SUM('A-7'!G83,'A-7'!G135,'A-7'!G187))</f>
        <v>1623</v>
      </c>
      <c r="H24" s="193">
        <f>IF(AND('A-7'!H83="-",'A-7'!H135="-",'A-7'!H187="-"),"-",SUM('A-7'!H83,'A-7'!H135,'A-7'!H187))</f>
        <v>1033</v>
      </c>
      <c r="I24" s="193">
        <f>IF(AND('A-7'!I83="-",'A-7'!I135="-",'A-7'!I187="-"),"-",SUM('A-7'!I83,'A-7'!I135,'A-7'!I187))</f>
        <v>541</v>
      </c>
      <c r="J24" s="193">
        <f>IF(AND('A-7'!J83="-",'A-7'!J135="-",'A-7'!J187="-"),"-",SUM('A-7'!J83,'A-7'!J135,'A-7'!J187))</f>
        <v>67</v>
      </c>
      <c r="K24" s="193" t="str">
        <f>IF(AND('A-7'!K83="-",'A-7'!K135="-",'A-7'!K187="-"),"-",SUM('A-7'!K83,'A-7'!K135,'A-7'!K187))</f>
        <v>-</v>
      </c>
      <c r="L24" s="211">
        <f>IF(AND('A-7'!L83="-",'A-7'!L135="-",'A-7'!L187="-"),"-",SUM('A-7'!L83,'A-7'!L135,'A-7'!L187))</f>
        <v>7427</v>
      </c>
      <c r="M24" s="22"/>
      <c r="N24" s="22"/>
    </row>
    <row r="25" spans="1:14" ht="11.25" customHeight="1" x14ac:dyDescent="0.25">
      <c r="A25" s="383">
        <v>1998</v>
      </c>
      <c r="B25" s="193" t="str">
        <f>IF(AND('A-7'!B84="-",'A-7'!B136="-",'A-7'!B188="-"),"-",SUM('A-7'!B84,'A-7'!B136,'A-7'!B188))</f>
        <v>-</v>
      </c>
      <c r="C25" s="193">
        <f>IF(AND('A-7'!C84="-",'A-7'!C136="-",'A-7'!C188="-"),"-",SUM('A-7'!C84,'A-7'!C136,'A-7'!C188))</f>
        <v>851</v>
      </c>
      <c r="D25" s="193">
        <f>IF(AND('A-7'!D84="-",'A-7'!D136="-",'A-7'!D188="-"),"-",SUM('A-7'!D84,'A-7'!D136,'A-7'!D188))</f>
        <v>1782</v>
      </c>
      <c r="E25" s="193">
        <f>IF(AND('A-7'!E84="-",'A-7'!E136="-",'A-7'!E188="-"),"-",SUM('A-7'!E84,'A-7'!E136,'A-7'!E188))</f>
        <v>1706</v>
      </c>
      <c r="F25" s="193" t="str">
        <f>IF(AND('A-7'!F84="-",'A-7'!F136="-",'A-7'!F188="-"),"-",SUM('A-7'!F84,'A-7'!F136,'A-7'!F188))</f>
        <v>-</v>
      </c>
      <c r="G25" s="193">
        <f>IF(AND('A-7'!G84="-",'A-7'!G136="-",'A-7'!G188="-"),"-",SUM('A-7'!G84,'A-7'!G136,'A-7'!G188))</f>
        <v>1356</v>
      </c>
      <c r="H25" s="193">
        <f>IF(AND('A-7'!H84="-",'A-7'!H136="-",'A-7'!H188="-"),"-",SUM('A-7'!H84,'A-7'!H136,'A-7'!H188))</f>
        <v>557</v>
      </c>
      <c r="I25" s="193">
        <f>IF(AND('A-7'!I84="-",'A-7'!I136="-",'A-7'!I188="-"),"-",SUM('A-7'!I84,'A-7'!I136,'A-7'!I188))</f>
        <v>595</v>
      </c>
      <c r="J25" s="193">
        <f>IF(AND('A-7'!J84="-",'A-7'!J136="-",'A-7'!J188="-"),"-",SUM('A-7'!J84,'A-7'!J136,'A-7'!J188))</f>
        <v>116</v>
      </c>
      <c r="K25" s="193" t="str">
        <f>IF(AND('A-7'!K84="-",'A-7'!K136="-",'A-7'!K188="-"),"-",SUM('A-7'!K84,'A-7'!K136,'A-7'!K188))</f>
        <v>-</v>
      </c>
      <c r="L25" s="211">
        <f>IF(AND('A-7'!L84="-",'A-7'!L136="-",'A-7'!L188="-"),"-",SUM('A-7'!L84,'A-7'!L136,'A-7'!L188))</f>
        <v>6963</v>
      </c>
      <c r="M25" s="22"/>
      <c r="N25" s="22"/>
    </row>
    <row r="26" spans="1:14" ht="11.25" customHeight="1" x14ac:dyDescent="0.25">
      <c r="A26" s="383">
        <v>1999</v>
      </c>
      <c r="B26" s="193" t="str">
        <f>IF(AND('A-7'!B85="-",'A-7'!B137="-",'A-7'!B189="-"),"-",SUM('A-7'!B85,'A-7'!B137,'A-7'!B189))</f>
        <v>-</v>
      </c>
      <c r="C26" s="193">
        <f>IF(AND('A-7'!C85="-",'A-7'!C137="-",'A-7'!C189="-"),"-",SUM('A-7'!C85,'A-7'!C137,'A-7'!C189))</f>
        <v>177</v>
      </c>
      <c r="D26" s="193">
        <f>IF(AND('A-7'!D85="-",'A-7'!D137="-",'A-7'!D189="-"),"-",SUM('A-7'!D85,'A-7'!D137,'A-7'!D189))</f>
        <v>604</v>
      </c>
      <c r="E26" s="193">
        <f>IF(AND('A-7'!E85="-",'A-7'!E137="-",'A-7'!E189="-"),"-",SUM('A-7'!E85,'A-7'!E137,'A-7'!E189))</f>
        <v>1361</v>
      </c>
      <c r="F26" s="193">
        <f>IF(AND('A-7'!F85="-",'A-7'!F137="-",'A-7'!F189="-"),"-",SUM('A-7'!F85,'A-7'!F137,'A-7'!F189))</f>
        <v>733</v>
      </c>
      <c r="G26" s="193">
        <f>IF(AND('A-7'!G85="-",'A-7'!G137="-",'A-7'!G189="-"),"-",SUM('A-7'!G85,'A-7'!G137,'A-7'!G189))</f>
        <v>1042</v>
      </c>
      <c r="H26" s="193">
        <f>IF(AND('A-7'!H85="-",'A-7'!H137="-",'A-7'!H189="-"),"-",SUM('A-7'!H85,'A-7'!H137,'A-7'!H189))</f>
        <v>417</v>
      </c>
      <c r="I26" s="193">
        <f>IF(AND('A-7'!I85="-",'A-7'!I137="-",'A-7'!I189="-"),"-",SUM('A-7'!I85,'A-7'!I137,'A-7'!I189))</f>
        <v>371</v>
      </c>
      <c r="J26" s="193">
        <f>IF(AND('A-7'!J85="-",'A-7'!J137="-",'A-7'!J189="-"),"-",SUM('A-7'!J85,'A-7'!J137,'A-7'!J189))</f>
        <v>121</v>
      </c>
      <c r="K26" s="193">
        <f>IF(AND('A-7'!K85="-",'A-7'!K137="-",'A-7'!K189="-"),"-",SUM('A-7'!K85,'A-7'!K137,'A-7'!K189))</f>
        <v>8</v>
      </c>
      <c r="L26" s="211">
        <f>IF(AND('A-7'!L85="-",'A-7'!L137="-",'A-7'!L189="-"),"-",SUM('A-7'!L85,'A-7'!L137,'A-7'!L189))</f>
        <v>4834</v>
      </c>
      <c r="M26" s="22"/>
      <c r="N26" s="22"/>
    </row>
    <row r="27" spans="1:14" ht="11.25" customHeight="1" x14ac:dyDescent="0.25">
      <c r="A27" s="383">
        <v>2000</v>
      </c>
      <c r="B27" s="193" t="str">
        <f>IF(AND('A-7'!B86="-",'A-7'!B138="-",'A-7'!B190="-"),"-",SUM('A-7'!B86,'A-7'!B138,'A-7'!B190))</f>
        <v>-</v>
      </c>
      <c r="C27" s="193">
        <f>IF(AND('A-7'!C86="-",'A-7'!C138="-",'A-7'!C190="-"),"-",SUM('A-7'!C86,'A-7'!C138,'A-7'!C190))</f>
        <v>155</v>
      </c>
      <c r="D27" s="193">
        <f>IF(AND('A-7'!D86="-",'A-7'!D138="-",'A-7'!D190="-"),"-",SUM('A-7'!D86,'A-7'!D138,'A-7'!D190))</f>
        <v>706</v>
      </c>
      <c r="E27" s="193">
        <f>IF(AND('A-7'!E86="-",'A-7'!E138="-",'A-7'!E190="-"),"-",SUM('A-7'!E86,'A-7'!E138,'A-7'!E190))</f>
        <v>952</v>
      </c>
      <c r="F27" s="193">
        <f>IF(AND('A-7'!F86="-",'A-7'!F138="-",'A-7'!F190="-"),"-",SUM('A-7'!F86,'A-7'!F138,'A-7'!F190))</f>
        <v>1186</v>
      </c>
      <c r="G27" s="193">
        <f>IF(AND('A-7'!G86="-",'A-7'!G138="-",'A-7'!G190="-"),"-",SUM('A-7'!G86,'A-7'!G138,'A-7'!G190))</f>
        <v>1819</v>
      </c>
      <c r="H27" s="193">
        <f>IF(AND('A-7'!H86="-",'A-7'!H138="-",'A-7'!H190="-"),"-",SUM('A-7'!H86,'A-7'!H138,'A-7'!H190))</f>
        <v>1238</v>
      </c>
      <c r="I27" s="193">
        <f>IF(AND('A-7'!I86="-",'A-7'!I138="-",'A-7'!I190="-"),"-",SUM('A-7'!I86,'A-7'!I138,'A-7'!I190))</f>
        <v>630</v>
      </c>
      <c r="J27" s="193">
        <f>IF(AND('A-7'!J86="-",'A-7'!J138="-",'A-7'!J190="-"),"-",SUM('A-7'!J86,'A-7'!J138,'A-7'!J190))</f>
        <v>180</v>
      </c>
      <c r="K27" s="193">
        <f>IF(AND('A-7'!K86="-",'A-7'!K138="-",'A-7'!K190="-"),"-",SUM('A-7'!K86,'A-7'!K138,'A-7'!K190))</f>
        <v>69</v>
      </c>
      <c r="L27" s="211">
        <f>IF(AND('A-7'!L86="-",'A-7'!L138="-",'A-7'!L190="-"),"-",SUM('A-7'!L86,'A-7'!L138,'A-7'!L190))</f>
        <v>6935</v>
      </c>
      <c r="M27" s="22"/>
      <c r="N27" s="22"/>
    </row>
    <row r="28" spans="1:14" ht="11.25" customHeight="1" x14ac:dyDescent="0.25">
      <c r="A28" s="383">
        <v>2001</v>
      </c>
      <c r="B28" s="193" t="str">
        <f>IF(AND('A-7'!B87="-",'A-7'!B139="-",'A-7'!B191="-"),"-",SUM('A-7'!B87,'A-7'!B139,'A-7'!B191))</f>
        <v>-</v>
      </c>
      <c r="C28" s="193">
        <f>IF(AND('A-7'!C87="-",'A-7'!C139="-",'A-7'!C191="-"),"-",SUM('A-7'!C87,'A-7'!C139,'A-7'!C191))</f>
        <v>937</v>
      </c>
      <c r="D28" s="193">
        <f>IF(AND('A-7'!D87="-",'A-7'!D139="-",'A-7'!D191="-"),"-",SUM('A-7'!D87,'A-7'!D139,'A-7'!D191))</f>
        <v>2011</v>
      </c>
      <c r="E28" s="193">
        <f>IF(AND('A-7'!E87="-",'A-7'!E139="-",'A-7'!E191="-"),"-",SUM('A-7'!E87,'A-7'!E139,'A-7'!E191))</f>
        <v>1980</v>
      </c>
      <c r="F28" s="193">
        <f>IF(AND('A-7'!F87="-",'A-7'!F139="-",'A-7'!F191="-"),"-",SUM('A-7'!F87,'A-7'!F139,'A-7'!F191))</f>
        <v>1358</v>
      </c>
      <c r="G28" s="193">
        <f>IF(AND('A-7'!G87="-",'A-7'!G139="-",'A-7'!G191="-"),"-",SUM('A-7'!G87,'A-7'!G139,'A-7'!G191))</f>
        <v>2051</v>
      </c>
      <c r="H28" s="193">
        <f>IF(AND('A-7'!H87="-",'A-7'!H139="-",'A-7'!H191="-"),"-",SUM('A-7'!H87,'A-7'!H139,'A-7'!H191))</f>
        <v>1214</v>
      </c>
      <c r="I28" s="193">
        <f>IF(AND('A-7'!I87="-",'A-7'!I139="-",'A-7'!I191="-"),"-",SUM('A-7'!I87,'A-7'!I139,'A-7'!I191))</f>
        <v>748</v>
      </c>
      <c r="J28" s="193">
        <f>IF(AND('A-7'!J87="-",'A-7'!J139="-",'A-7'!J191="-"),"-",SUM('A-7'!J87,'A-7'!J139,'A-7'!J191))</f>
        <v>135</v>
      </c>
      <c r="K28" s="193">
        <f>IF(AND('A-7'!K87="-",'A-7'!K139="-",'A-7'!K191="-"),"-",SUM('A-7'!K87,'A-7'!K139,'A-7'!K191))</f>
        <v>1</v>
      </c>
      <c r="L28" s="211">
        <f>IF(AND('A-7'!L87="-",'A-7'!L139="-",'A-7'!L191="-"),"-",SUM('A-7'!L87,'A-7'!L139,'A-7'!L191))</f>
        <v>10435</v>
      </c>
      <c r="M28" s="22"/>
      <c r="N28" s="22"/>
    </row>
    <row r="29" spans="1:14" ht="11.25" customHeight="1" x14ac:dyDescent="0.25">
      <c r="A29" s="383">
        <v>2002</v>
      </c>
      <c r="B29" s="193">
        <f>IF(AND('A-7'!B88="-",'A-7'!B140="-",'A-7'!B192="-"),"-",SUM('A-7'!B88,'A-7'!B140,'A-7'!B192))</f>
        <v>367</v>
      </c>
      <c r="C29" s="193">
        <f>IF(AND('A-7'!C88="-",'A-7'!C140="-",'A-7'!C192="-"),"-",SUM('A-7'!C88,'A-7'!C140,'A-7'!C192))</f>
        <v>840</v>
      </c>
      <c r="D29" s="193">
        <f>IF(AND('A-7'!D88="-",'A-7'!D140="-",'A-7'!D192="-"),"-",SUM('A-7'!D88,'A-7'!D140,'A-7'!D192))</f>
        <v>1712</v>
      </c>
      <c r="E29" s="193">
        <f>IF(AND('A-7'!E88="-",'A-7'!E140="-",'A-7'!E192="-"),"-",SUM('A-7'!E88,'A-7'!E140,'A-7'!E192))</f>
        <v>1965</v>
      </c>
      <c r="F29" s="193">
        <f>IF(AND('A-7'!F88="-",'A-7'!F140="-",'A-7'!F192="-"),"-",SUM('A-7'!F88,'A-7'!F140,'A-7'!F192))</f>
        <v>682</v>
      </c>
      <c r="G29" s="193">
        <f>IF(AND('A-7'!G88="-",'A-7'!G140="-",'A-7'!G192="-"),"-",SUM('A-7'!G88,'A-7'!G140,'A-7'!G192))</f>
        <v>1293</v>
      </c>
      <c r="H29" s="193">
        <f>IF(AND('A-7'!H88="-",'A-7'!H140="-",'A-7'!H192="-"),"-",SUM('A-7'!H88,'A-7'!H140,'A-7'!H192))</f>
        <v>1607</v>
      </c>
      <c r="I29" s="193">
        <f>IF(AND('A-7'!I88="-",'A-7'!I140="-",'A-7'!I192="-"),"-",SUM('A-7'!I88,'A-7'!I140,'A-7'!I192))</f>
        <v>2204</v>
      </c>
      <c r="J29" s="193">
        <f>IF(AND('A-7'!J88="-",'A-7'!J140="-",'A-7'!J192="-"),"-",SUM('A-7'!J88,'A-7'!J140,'A-7'!J192))</f>
        <v>158</v>
      </c>
      <c r="K29" s="193">
        <f>IF(AND('A-7'!K88="-",'A-7'!K140="-",'A-7'!K192="-"),"-",SUM('A-7'!K88,'A-7'!K140,'A-7'!K192))</f>
        <v>15</v>
      </c>
      <c r="L29" s="211">
        <f>IF(AND('A-7'!L88="-",'A-7'!L140="-",'A-7'!L192="-"),"-",SUM('A-7'!L88,'A-7'!L140,'A-7'!L192))</f>
        <v>10843</v>
      </c>
      <c r="M29" s="22"/>
      <c r="N29" s="22"/>
    </row>
    <row r="30" spans="1:14" ht="11.25" customHeight="1" x14ac:dyDescent="0.25">
      <c r="A30" s="402">
        <v>2003</v>
      </c>
      <c r="B30" s="193">
        <f>IF(AND('A-7'!B89="-",'A-7'!B141="-",'A-7'!B193="-"),"-",SUM('A-7'!B89,'A-7'!B141,'A-7'!B193))</f>
        <v>175</v>
      </c>
      <c r="C30" s="193">
        <f>IF(AND('A-7'!C89="-",'A-7'!C141="-",'A-7'!C193="-"),"-",SUM('A-7'!C89,'A-7'!C141,'A-7'!C193))</f>
        <v>1390</v>
      </c>
      <c r="D30" s="193">
        <f>IF(AND('A-7'!D89="-",'A-7'!D141="-",'A-7'!D193="-"),"-",SUM('A-7'!D89,'A-7'!D141,'A-7'!D193))</f>
        <v>2857</v>
      </c>
      <c r="E30" s="193">
        <f>IF(AND('A-7'!E89="-",'A-7'!E141="-",'A-7'!E193="-"),"-",SUM('A-7'!E89,'A-7'!E141,'A-7'!E193))</f>
        <v>1541</v>
      </c>
      <c r="F30" s="193">
        <f>IF(AND('A-7'!F89="-",'A-7'!F141="-",'A-7'!F193="-"),"-",SUM('A-7'!F89,'A-7'!F141,'A-7'!F193))</f>
        <v>902</v>
      </c>
      <c r="G30" s="193">
        <f>IF(AND('A-7'!G89="-",'A-7'!G141="-",'A-7'!G193="-"),"-",SUM('A-7'!G89,'A-7'!G141,'A-7'!G193))</f>
        <v>1347</v>
      </c>
      <c r="H30" s="193">
        <f>IF(AND('A-7'!H89="-",'A-7'!H141="-",'A-7'!H193="-"),"-",SUM('A-7'!H89,'A-7'!H141,'A-7'!H193))</f>
        <v>1665</v>
      </c>
      <c r="I30" s="193">
        <f>IF(AND('A-7'!I89="-",'A-7'!I141="-",'A-7'!I193="-"),"-",SUM('A-7'!I89,'A-7'!I141,'A-7'!I193))</f>
        <v>1447</v>
      </c>
      <c r="J30" s="193">
        <f>IF(AND('A-7'!J89="-",'A-7'!J141="-",'A-7'!J193="-"),"-",SUM('A-7'!J89,'A-7'!J141,'A-7'!J193))</f>
        <v>139</v>
      </c>
      <c r="K30" s="193">
        <f>IF(AND('A-7'!K89="-",'A-7'!K141="-",'A-7'!K193="-"),"-",SUM('A-7'!K89,'A-7'!K141,'A-7'!K193))</f>
        <v>14</v>
      </c>
      <c r="L30" s="211"/>
      <c r="M30" s="22"/>
      <c r="N30" s="22"/>
    </row>
    <row r="31" spans="1:14" ht="11.25" customHeight="1" x14ac:dyDescent="0.25">
      <c r="A31" s="383">
        <v>2004</v>
      </c>
      <c r="B31" s="193">
        <f>IF(AND('A-7'!B90="-",'A-7'!B142="-",'A-7'!B194="-"),"-",SUM('A-7'!B90,'A-7'!B142,'A-7'!B194))</f>
        <v>906</v>
      </c>
      <c r="C31" s="193">
        <f>IF(AND('A-7'!C90="-",'A-7'!C142="-",'A-7'!C194="-"),"-",SUM('A-7'!C90,'A-7'!C142,'A-7'!C194))</f>
        <v>2506</v>
      </c>
      <c r="D31" s="193">
        <f>IF(AND('A-7'!D90="-",'A-7'!D142="-",'A-7'!D194="-"),"-",SUM('A-7'!D90,'A-7'!D142,'A-7'!D194))</f>
        <v>2137</v>
      </c>
      <c r="E31" s="193">
        <f>IF(AND('A-7'!E90="-",'A-7'!E142="-",'A-7'!E194="-"),"-",SUM('A-7'!E90,'A-7'!E142,'A-7'!E194))</f>
        <v>1819</v>
      </c>
      <c r="F31" s="193">
        <f>IF(AND('A-7'!F90="-",'A-7'!F142="-",'A-7'!F194="-"),"-",SUM('A-7'!F90,'A-7'!F142,'A-7'!F194))</f>
        <v>825</v>
      </c>
      <c r="G31" s="193">
        <f>IF(AND('A-7'!G90="-",'A-7'!G142="-",'A-7'!G194="-"),"-",SUM('A-7'!G90,'A-7'!G142,'A-7'!G194))</f>
        <v>1833</v>
      </c>
      <c r="H31" s="193">
        <f>IF(AND('A-7'!H90="-",'A-7'!H142="-",'A-7'!H194="-"),"-",SUM('A-7'!H90,'A-7'!H142,'A-7'!H194))</f>
        <v>1359</v>
      </c>
      <c r="I31" s="193">
        <f>IF(AND('A-7'!I90="-",'A-7'!I142="-",'A-7'!I194="-"),"-",SUM('A-7'!I90,'A-7'!I142,'A-7'!I194))</f>
        <v>704</v>
      </c>
      <c r="J31" s="193">
        <f>IF(AND('A-7'!J90="-",'A-7'!J142="-",'A-7'!J194="-"),"-",SUM('A-7'!J90,'A-7'!J142,'A-7'!J194))</f>
        <v>229</v>
      </c>
      <c r="K31" s="193">
        <f>IF(AND('A-7'!K90="-",'A-7'!K142="-",'A-7'!K194="-"),"-",SUM('A-7'!K90,'A-7'!K142,'A-7'!K194))</f>
        <v>21</v>
      </c>
      <c r="L31" s="211">
        <f>IF(AND('A-7'!L90="-",'A-7'!L142="-",'A-7'!L194="-"),"-",SUM('A-7'!L90,'A-7'!L142,'A-7'!L194))</f>
        <v>12339</v>
      </c>
      <c r="M31" s="22"/>
      <c r="N31" s="22"/>
    </row>
    <row r="32" spans="1:14" ht="11.25" customHeight="1" x14ac:dyDescent="0.25">
      <c r="A32" s="402">
        <v>2005</v>
      </c>
      <c r="B32" s="193">
        <f>IF(AND('A-7'!B91="-",'A-7'!B143="-",'A-7'!B195="-"),"-",SUM('A-7'!B91,'A-7'!B143,'A-7'!B195))</f>
        <v>1298</v>
      </c>
      <c r="C32" s="193">
        <f>IF(AND('A-7'!C91="-",'A-7'!C143="-",'A-7'!C195="-"),"-",SUM('A-7'!C91,'A-7'!C143,'A-7'!C195))</f>
        <v>369</v>
      </c>
      <c r="D32" s="193">
        <f>IF(AND('A-7'!D91="-",'A-7'!D143="-",'A-7'!D195="-"),"-",SUM('A-7'!D91,'A-7'!D143,'A-7'!D195))</f>
        <v>2832</v>
      </c>
      <c r="E32" s="193">
        <f>IF(AND('A-7'!E91="-",'A-7'!E143="-",'A-7'!E195="-"),"-",SUM('A-7'!E91,'A-7'!E143,'A-7'!E195))</f>
        <v>2663</v>
      </c>
      <c r="F32" s="193" t="str">
        <f>IF(AND('A-7'!F91="-",'A-7'!F143="-",'A-7'!F195="-"),"-",SUM('A-7'!F91,'A-7'!F143,'A-7'!F195))</f>
        <v>-</v>
      </c>
      <c r="G32" s="193" t="str">
        <f>IF(AND('A-7'!G91="-",'A-7'!G143="-",'A-7'!G195="-"),"-",SUM('A-7'!G91,'A-7'!G143,'A-7'!G195))</f>
        <v>-</v>
      </c>
      <c r="H32" s="193">
        <f>IF(AND('A-7'!H91="-",'A-7'!H143="-",'A-7'!H195="-"),"-",SUM('A-7'!H91,'A-7'!H143,'A-7'!H195))</f>
        <v>2519</v>
      </c>
      <c r="I32" s="193">
        <f>IF(AND('A-7'!I91="-",'A-7'!I143="-",'A-7'!I195="-"),"-",SUM('A-7'!I91,'A-7'!I143,'A-7'!I195))</f>
        <v>960</v>
      </c>
      <c r="J32" s="193">
        <f>IF(AND('A-7'!J91="-",'A-7'!J143="-",'A-7'!J195="-"),"-",SUM('A-7'!J91,'A-7'!J143,'A-7'!J195))</f>
        <v>142</v>
      </c>
      <c r="K32" s="193">
        <f>IF(AND('A-7'!K91="-",'A-7'!K143="-",'A-7'!K195="-"),"-",SUM('A-7'!K91,'A-7'!K143,'A-7'!K195))</f>
        <v>75</v>
      </c>
      <c r="L32" s="211">
        <f>IF(AND('A-7'!L91="-",'A-7'!L143="-",'A-7'!L195="-"),"-",SUM('A-7'!L91,'A-7'!L143,'A-7'!L195))</f>
        <v>10858</v>
      </c>
      <c r="M32" s="22"/>
      <c r="N32" s="22"/>
    </row>
    <row r="33" spans="1:14" ht="11.25" customHeight="1" x14ac:dyDescent="0.25">
      <c r="A33" s="383">
        <v>2006</v>
      </c>
      <c r="B33" s="193" t="str">
        <f>IF(AND('A-7'!B92="-",'A-7'!B144="-",'A-7'!B196="-"),"-",SUM('A-7'!B92,'A-7'!B144,'A-7'!B196))</f>
        <v>-</v>
      </c>
      <c r="C33" s="193" t="str">
        <f>IF(AND('A-7'!C92="-",'A-7'!C144="-",'A-7'!C196="-"),"-",SUM('A-7'!C92,'A-7'!C144,'A-7'!C196))</f>
        <v>-</v>
      </c>
      <c r="D33" s="193" t="str">
        <f>IF(AND('A-7'!D92="-",'A-7'!D144="-",'A-7'!D196="-"),"-",SUM('A-7'!D92,'A-7'!D144,'A-7'!D196))</f>
        <v>-</v>
      </c>
      <c r="E33" s="193">
        <f>IF(AND('A-7'!E92="-",'A-7'!E144="-",'A-7'!E196="-"),"-",SUM('A-7'!E92,'A-7'!E144,'A-7'!E196))</f>
        <v>1017</v>
      </c>
      <c r="F33" s="193">
        <f>IF(AND('A-7'!F92="-",'A-7'!F144="-",'A-7'!F196="-"),"-",SUM('A-7'!F92,'A-7'!F144,'A-7'!F196))</f>
        <v>483</v>
      </c>
      <c r="G33" s="193">
        <f>IF(AND('A-7'!G92="-",'A-7'!G144="-",'A-7'!G196="-"),"-",SUM('A-7'!G92,'A-7'!G144,'A-7'!G196))</f>
        <v>185</v>
      </c>
      <c r="H33" s="193">
        <f>IF(AND('A-7'!H92="-",'A-7'!H144="-",'A-7'!H196="-"),"-",SUM('A-7'!H92,'A-7'!H144,'A-7'!H196))</f>
        <v>621</v>
      </c>
      <c r="I33" s="193">
        <f>IF(AND('A-7'!I92="-",'A-7'!I144="-",'A-7'!I196="-"),"-",SUM('A-7'!I92,'A-7'!I144,'A-7'!I196))</f>
        <v>723</v>
      </c>
      <c r="J33" s="193">
        <f>IF(AND('A-7'!J92="-",'A-7'!J144="-",'A-7'!J196="-"),"-",SUM('A-7'!J92,'A-7'!J144,'A-7'!J196))</f>
        <v>279</v>
      </c>
      <c r="K33" s="193">
        <f>IF(AND('A-7'!K92="-",'A-7'!K144="-",'A-7'!K196="-"),"-",SUM('A-7'!K92,'A-7'!K144,'A-7'!K196))</f>
        <v>26</v>
      </c>
      <c r="L33" s="211">
        <f>IF(AND('A-7'!L92="-",'A-7'!L144="-",'A-7'!L196="-"),"-",SUM('A-7'!L92,'A-7'!L144,'A-7'!L196))</f>
        <v>3334</v>
      </c>
      <c r="M33" s="22"/>
      <c r="N33" s="22"/>
    </row>
    <row r="34" spans="1:14" ht="11.25" customHeight="1" x14ac:dyDescent="0.25">
      <c r="A34" s="402">
        <v>2007</v>
      </c>
      <c r="B34" s="193" t="str">
        <f>IF(AND('A-7'!B93="-",'A-7'!B145="-",'A-7'!B197="-"),"-",SUM('A-7'!B93,'A-7'!B145,'A-7'!B197))</f>
        <v>-</v>
      </c>
      <c r="C34" s="193">
        <f>IF(AND('A-7'!C93="-",'A-7'!C145="-",'A-7'!C197="-"),"-",SUM('A-7'!C93,'A-7'!C145,'A-7'!C197))</f>
        <v>342</v>
      </c>
      <c r="D34" s="193">
        <f>IF(AND('A-7'!D93="-",'A-7'!D145="-",'A-7'!D197="-"),"-",SUM('A-7'!D93,'A-7'!D145,'A-7'!D197))</f>
        <v>1181</v>
      </c>
      <c r="E34" s="193">
        <f>IF(AND('A-7'!E93="-",'A-7'!E145="-",'A-7'!E197="-"),"-",SUM('A-7'!E93,'A-7'!E145,'A-7'!E197))</f>
        <v>774</v>
      </c>
      <c r="F34" s="193">
        <f>IF(AND('A-7'!F93="-",'A-7'!F145="-",'A-7'!F197="-"),"-",SUM('A-7'!F93,'A-7'!F145,'A-7'!F197))</f>
        <v>265</v>
      </c>
      <c r="G34" s="193">
        <f>IF(AND('A-7'!G93="-",'A-7'!G145="-",'A-7'!G197="-"),"-",SUM('A-7'!G93,'A-7'!G145,'A-7'!G197))</f>
        <v>1151</v>
      </c>
      <c r="H34" s="193">
        <f>IF(AND('A-7'!H93="-",'A-7'!H145="-",'A-7'!H197="-"),"-",SUM('A-7'!H93,'A-7'!H145,'A-7'!H197))</f>
        <v>303</v>
      </c>
      <c r="I34" s="193">
        <f>IF(AND('A-7'!I93="-",'A-7'!I145="-",'A-7'!I197="-"),"-",SUM('A-7'!I93,'A-7'!I145,'A-7'!I197))</f>
        <v>244</v>
      </c>
      <c r="J34" s="193">
        <f>IF(AND('A-7'!J93="-",'A-7'!J145="-",'A-7'!J197="-"),"-",SUM('A-7'!J93,'A-7'!J145,'A-7'!J197))</f>
        <v>162</v>
      </c>
      <c r="K34" s="193" t="str">
        <f>IF(AND('A-7'!K93="-",'A-7'!K145="-",'A-7'!K197="-"),"-",SUM('A-7'!K93,'A-7'!K145,'A-7'!K197))</f>
        <v>-</v>
      </c>
      <c r="L34" s="211">
        <f>IF(AND('A-7'!L93="-",'A-7'!L145="-",'A-7'!L197="-"),"-",SUM('A-7'!L93,'A-7'!L145,'A-7'!L197))</f>
        <v>4422</v>
      </c>
      <c r="M34" s="148"/>
      <c r="N34" s="148"/>
    </row>
    <row r="35" spans="1:14" ht="11.25" customHeight="1" x14ac:dyDescent="0.25">
      <c r="A35" s="402">
        <v>2008</v>
      </c>
      <c r="B35" s="193" t="str">
        <f>IF(AND('A-7'!B94="-",'A-7'!B146="-",'A-7'!B198="-"),"-",SUM('A-7'!B94,'A-7'!B146,'A-7'!B198))</f>
        <v>-</v>
      </c>
      <c r="C35" s="193" t="str">
        <f>IF(AND('A-7'!C94="-",'A-7'!C146="-",'A-7'!C198="-"),"-",SUM('A-7'!C94,'A-7'!C146,'A-7'!C198))</f>
        <v>-</v>
      </c>
      <c r="D35" s="193" t="str">
        <f>IF(AND('A-7'!D94="-",'A-7'!D146="-",'A-7'!D198="-"),"-",SUM('A-7'!D94,'A-7'!D146,'A-7'!D198))</f>
        <v>-</v>
      </c>
      <c r="E35" s="193" t="str">
        <f>IF(AND('A-7'!E94="-",'A-7'!E146="-",'A-7'!E198="-"),"-",SUM('A-7'!E94,'A-7'!E146,'A-7'!E198))</f>
        <v>-</v>
      </c>
      <c r="F35" s="193" t="str">
        <f>IF(AND('A-7'!F94="-",'A-7'!F146="-",'A-7'!F198="-"),"-",SUM('A-7'!F94,'A-7'!F146,'A-7'!F198))</f>
        <v>-</v>
      </c>
      <c r="G35" s="193" t="str">
        <f>IF(AND('A-7'!G94="-",'A-7'!G146="-",'A-7'!G198="-"),"-",SUM('A-7'!G94,'A-7'!G146,'A-7'!G198))</f>
        <v>-</v>
      </c>
      <c r="H35" s="193">
        <f>IF(AND('A-7'!H94="-",'A-7'!H146="-",'A-7'!H198="-"),"-",SUM('A-7'!H94,'A-7'!H146,'A-7'!H198))</f>
        <v>37</v>
      </c>
      <c r="I35" s="193">
        <f>IF(AND('A-7'!I94="-",'A-7'!I146="-",'A-7'!I198="-"),"-",SUM('A-7'!I94,'A-7'!I146,'A-7'!I198))</f>
        <v>12</v>
      </c>
      <c r="J35" s="193">
        <f>IF(AND('A-7'!J94="-",'A-7'!J146="-",'A-7'!J198="-"),"-",SUM('A-7'!J94,'A-7'!J146,'A-7'!J198))</f>
        <v>48</v>
      </c>
      <c r="K35" s="193" t="str">
        <f>IF(AND('A-7'!K94="-",'A-7'!K146="-",'A-7'!K198="-"),"-",SUM('A-7'!K94,'A-7'!K146,'A-7'!K198))</f>
        <v>-</v>
      </c>
      <c r="L35" s="211">
        <f>IF(AND('A-7'!L94="-",'A-7'!L146="-",'A-7'!L198="-"),"-",SUM('A-7'!L94,'A-7'!L146,'A-7'!L198))</f>
        <v>97</v>
      </c>
      <c r="M35" s="148"/>
      <c r="N35" s="148"/>
    </row>
    <row r="36" spans="1:14" ht="11.25" customHeight="1" x14ac:dyDescent="0.25">
      <c r="A36" s="402">
        <v>2009</v>
      </c>
      <c r="B36" s="193" t="str">
        <f>IF(AND('A-7'!B95="-",'A-7'!B147="-",'A-7'!B199="-"),"-",SUM('A-7'!B95,'A-7'!B147,'A-7'!B199))</f>
        <v>-</v>
      </c>
      <c r="C36" s="193" t="str">
        <f>IF(AND('A-7'!C95="-",'A-7'!C147="-",'A-7'!C199="-"),"-",SUM('A-7'!C95,'A-7'!C147,'A-7'!C199))</f>
        <v>-</v>
      </c>
      <c r="D36" s="193" t="str">
        <f>IF(AND('A-7'!D95="-",'A-7'!D147="-",'A-7'!D199="-"),"-",SUM('A-7'!D95,'A-7'!D147,'A-7'!D199))</f>
        <v>-</v>
      </c>
      <c r="E36" s="193" t="str">
        <f>IF(AND('A-7'!E95="-",'A-7'!E147="-",'A-7'!E199="-"),"-",SUM('A-7'!E95,'A-7'!E147,'A-7'!E199))</f>
        <v>-</v>
      </c>
      <c r="F36" s="193" t="str">
        <f>IF(AND('A-7'!F95="-",'A-7'!F147="-",'A-7'!F199="-"),"-",SUM('A-7'!F95,'A-7'!F147,'A-7'!F199))</f>
        <v>-</v>
      </c>
      <c r="G36" s="193" t="str">
        <f>IF(AND('A-7'!G95="-",'A-7'!G147="-",'A-7'!G199="-"),"-",SUM('A-7'!G95,'A-7'!G147,'A-7'!G199))</f>
        <v>-</v>
      </c>
      <c r="H36" s="193">
        <f>IF(AND('A-7'!H95="-",'A-7'!H147="-",'A-7'!H199="-"),"-",SUM('A-7'!H95,'A-7'!H147,'A-7'!H199))</f>
        <v>634</v>
      </c>
      <c r="I36" s="193">
        <f>IF(AND('A-7'!I95="-",'A-7'!I147="-",'A-7'!I199="-"),"-",SUM('A-7'!I95,'A-7'!I147,'A-7'!I199))</f>
        <v>60</v>
      </c>
      <c r="J36" s="193" t="str">
        <f>IF(AND('A-7'!J95="-",'A-7'!J147="-",'A-7'!J199="-"),"-",SUM('A-7'!J95,'A-7'!J147,'A-7'!J199))</f>
        <v>-</v>
      </c>
      <c r="K36" s="193" t="str">
        <f>IF(AND('A-7'!K95="-",'A-7'!K147="-",'A-7'!K199="-"),"-",SUM('A-7'!K95,'A-7'!K147,'A-7'!K199))</f>
        <v>-</v>
      </c>
      <c r="L36" s="211">
        <f>IF(AND('A-7'!L95="-",'A-7'!L147="-",'A-7'!L199="-"),"-",SUM('A-7'!L95,'A-7'!L147,'A-7'!L199))</f>
        <v>694</v>
      </c>
      <c r="M36" s="148"/>
      <c r="N36" s="148"/>
    </row>
    <row r="37" spans="1:14" ht="11.25" customHeight="1" x14ac:dyDescent="0.25">
      <c r="A37" s="402">
        <v>2010</v>
      </c>
      <c r="B37" s="193" t="str">
        <f>IF(AND('A-7'!B96="-",'A-7'!B148="-",'A-7'!B200="-"),"-",SUM('A-7'!B96,'A-7'!B148,'A-7'!B200))</f>
        <v>-</v>
      </c>
      <c r="C37" s="193" t="str">
        <f>IF(AND('A-7'!C96="-",'A-7'!C148="-",'A-7'!C200="-"),"-",SUM('A-7'!C96,'A-7'!C148,'A-7'!C200))</f>
        <v>-</v>
      </c>
      <c r="D37" s="193">
        <f>IF(AND('A-7'!D96="-",'A-7'!D148="-",'A-7'!D200="-"),"-",SUM('A-7'!D96,'A-7'!D148,'A-7'!D200))</f>
        <v>1015</v>
      </c>
      <c r="E37" s="193">
        <f>IF(AND('A-7'!E96="-",'A-7'!E148="-",'A-7'!E200="-"),"-",SUM('A-7'!E96,'A-7'!E148,'A-7'!E200))</f>
        <v>987</v>
      </c>
      <c r="F37" s="193">
        <f>IF(AND('A-7'!F96="-",'A-7'!F148="-",'A-7'!F200="-"),"-",SUM('A-7'!F96,'A-7'!F148,'A-7'!F200))</f>
        <v>568</v>
      </c>
      <c r="G37" s="193">
        <f>IF(AND('A-7'!G96="-",'A-7'!G148="-",'A-7'!G200="-"),"-",SUM('A-7'!G96,'A-7'!G148,'A-7'!G200))</f>
        <v>719</v>
      </c>
      <c r="H37" s="193">
        <f>IF(AND('A-7'!H96="-",'A-7'!H148="-",'A-7'!H200="-"),"-",SUM('A-7'!H96,'A-7'!H148,'A-7'!H200))</f>
        <v>37</v>
      </c>
      <c r="I37" s="193">
        <f>IF(AND('A-7'!I96="-",'A-7'!I148="-",'A-7'!I200="-"),"-",SUM('A-7'!I96,'A-7'!I148,'A-7'!I200))</f>
        <v>157</v>
      </c>
      <c r="J37" s="193" t="str">
        <f>IF(AND('A-7'!J96="-",'A-7'!J148="-",'A-7'!J200="-"),"-",SUM('A-7'!J96,'A-7'!J148,'A-7'!J200))</f>
        <v>-</v>
      </c>
      <c r="K37" s="193" t="str">
        <f>IF(AND('A-7'!K96="-",'A-7'!K148="-",'A-7'!K200="-"),"-",SUM('A-7'!K96,'A-7'!K148,'A-7'!K200))</f>
        <v>-</v>
      </c>
      <c r="L37" s="211">
        <f>IF(AND('A-7'!L96="-",'A-7'!L148="-",'A-7'!L200="-"),"-",SUM('A-7'!L96,'A-7'!L148,'A-7'!L200))</f>
        <v>3483</v>
      </c>
      <c r="M37" s="148"/>
      <c r="N37" s="148"/>
    </row>
    <row r="38" spans="1:14" ht="11.25" customHeight="1" x14ac:dyDescent="0.25">
      <c r="A38" s="402">
        <v>2011</v>
      </c>
      <c r="B38" s="193" t="str">
        <f>IF(AND('A-7'!B97="-",'A-7'!B149="-",'A-7'!B201="-"),"-",SUM('A-7'!B97,'A-7'!B149,'A-7'!B201))</f>
        <v>-</v>
      </c>
      <c r="C38" s="193">
        <f>IF(AND('A-7'!C97="-",'A-7'!C149="-",'A-7'!C201="-"),"-",SUM('A-7'!C97,'A-7'!C149,'A-7'!C201))</f>
        <v>316</v>
      </c>
      <c r="D38" s="193">
        <f>IF(AND('A-7'!D97="-",'A-7'!D149="-",'A-7'!D201="-"),"-",SUM('A-7'!D97,'A-7'!D149,'A-7'!D201))</f>
        <v>888</v>
      </c>
      <c r="E38" s="193">
        <f>IF(AND('A-7'!E97="-",'A-7'!E149="-",'A-7'!E201="-"),"-",SUM('A-7'!E97,'A-7'!E149,'A-7'!E201))</f>
        <v>1080</v>
      </c>
      <c r="F38" s="193">
        <f>IF(AND('A-7'!F97="-",'A-7'!F149="-",'A-7'!F201="-"),"-",SUM('A-7'!F97,'A-7'!F149,'A-7'!F201))</f>
        <v>100</v>
      </c>
      <c r="G38" s="193">
        <f>IF(AND('A-7'!G97="-",'A-7'!G149="-",'A-7'!G201="-"),"-",SUM('A-7'!G97,'A-7'!G149,'A-7'!G201))</f>
        <v>207</v>
      </c>
      <c r="H38" s="193">
        <f>IF(AND('A-7'!H97="-",'A-7'!H149="-",'A-7'!H201="-"),"-",SUM('A-7'!H97,'A-7'!H149,'A-7'!H201))</f>
        <v>122</v>
      </c>
      <c r="I38" s="193">
        <f>IF(AND('A-7'!I97="-",'A-7'!I149="-",'A-7'!I201="-"),"-",SUM('A-7'!I97,'A-7'!I149,'A-7'!I201))</f>
        <v>226</v>
      </c>
      <c r="J38" s="193">
        <f>IF(AND('A-7'!J97="-",'A-7'!J149="-",'A-7'!J201="-"),"-",SUM('A-7'!J97,'A-7'!J149,'A-7'!J201))</f>
        <v>235</v>
      </c>
      <c r="K38" s="193" t="str">
        <f>IF(AND('A-7'!K97="-",'A-7'!K149="-",'A-7'!K201="-"),"-",SUM('A-7'!K97,'A-7'!K149,'A-7'!K201))</f>
        <v>-</v>
      </c>
      <c r="L38" s="211">
        <f>IF(AND('A-7'!L97="-",'A-7'!L149="-",'A-7'!L201="-"),"-",SUM('A-7'!L97,'A-7'!L149,'A-7'!L201))</f>
        <v>3174</v>
      </c>
      <c r="M38" s="148"/>
      <c r="N38" s="148"/>
    </row>
    <row r="39" spans="1:14" ht="11.25" customHeight="1" x14ac:dyDescent="0.25">
      <c r="A39" s="402">
        <v>2012</v>
      </c>
      <c r="B39" s="193" t="str">
        <f>IF(AND('A-7'!B98="-",'A-7'!B150="-",'A-7'!B202="-"),"-",SUM('A-7'!B98,'A-7'!B150,'A-7'!B202))</f>
        <v>-</v>
      </c>
      <c r="C39" s="193">
        <f>IF(AND('A-7'!C98="-",'A-7'!C150="-",'A-7'!C202="-"),"-",SUM('A-7'!C98,'A-7'!C150,'A-7'!C202))</f>
        <v>522</v>
      </c>
      <c r="D39" s="193">
        <f>IF(AND('A-7'!D98="-",'A-7'!D150="-",'A-7'!D202="-"),"-",SUM('A-7'!D98,'A-7'!D150,'A-7'!D202))</f>
        <v>1434</v>
      </c>
      <c r="E39" s="193">
        <f>IF(AND('A-7'!E98="-",'A-7'!E150="-",'A-7'!E202="-"),"-",SUM('A-7'!E98,'A-7'!E150,'A-7'!E202))</f>
        <v>936</v>
      </c>
      <c r="F39" s="193">
        <f>IF(AND('A-7'!F98="-",'A-7'!F150="-",'A-7'!F202="-"),"-",SUM('A-7'!F98,'A-7'!F150,'A-7'!F202))</f>
        <v>246</v>
      </c>
      <c r="G39" s="193">
        <f>IF(AND('A-7'!G98="-",'A-7'!G150="-",'A-7'!G202="-"),"-",SUM('A-7'!G98,'A-7'!G150,'A-7'!G202))</f>
        <v>632</v>
      </c>
      <c r="H39" s="193">
        <f>IF(AND('A-7'!H98="-",'A-7'!H150="-",'A-7'!H202="-"),"-",SUM('A-7'!H98,'A-7'!H150,'A-7'!H202))</f>
        <v>887</v>
      </c>
      <c r="I39" s="193">
        <f>IF(AND('A-7'!I98="-",'A-7'!I150="-",'A-7'!I202="-"),"-",SUM('A-7'!I98,'A-7'!I150,'A-7'!I202))</f>
        <v>680</v>
      </c>
      <c r="J39" s="193">
        <f>IF(AND('A-7'!J98="-",'A-7'!J150="-",'A-7'!J202="-"),"-",SUM('A-7'!J98,'A-7'!J150,'A-7'!J202))</f>
        <v>121</v>
      </c>
      <c r="K39" s="193" t="str">
        <f>IF(AND('A-7'!K98="-",'A-7'!K150="-",'A-7'!K202="-"),"-",SUM('A-7'!K98,'A-7'!K150,'A-7'!K202))</f>
        <v>-</v>
      </c>
      <c r="L39" s="211">
        <f>IF(AND('A-7'!L98="-",'A-7'!L150="-",'A-7'!L202="-"),"-",SUM('A-7'!L98,'A-7'!L150,'A-7'!L202))</f>
        <v>5458</v>
      </c>
      <c r="M39" s="148"/>
      <c r="N39" s="148"/>
    </row>
    <row r="40" spans="1:14" ht="11.25" customHeight="1" x14ac:dyDescent="0.25">
      <c r="A40" s="402">
        <v>2013</v>
      </c>
      <c r="B40" s="193" t="str">
        <f>IF(AND('A-7'!B99="-",'A-7'!B151="-",'A-7'!B203="-"),"-",SUM('A-7'!B99,'A-7'!B151,'A-7'!B203))</f>
        <v>-</v>
      </c>
      <c r="C40" s="193">
        <f>IF(AND('A-7'!C99="-",'A-7'!C151="-",'A-7'!C203="-"),"-",SUM('A-7'!C99,'A-7'!C151,'A-7'!C203))</f>
        <v>1029</v>
      </c>
      <c r="D40" s="193">
        <f>IF(AND('A-7'!D99="-",'A-7'!D151="-",'A-7'!D203="-"),"-",SUM('A-7'!D99,'A-7'!D151,'A-7'!D203))</f>
        <v>1134</v>
      </c>
      <c r="E40" s="193">
        <f>IF(AND('A-7'!E99="-",'A-7'!E151="-",'A-7'!E203="-"),"-",SUM('A-7'!E99,'A-7'!E151,'A-7'!E203))</f>
        <v>771</v>
      </c>
      <c r="F40" s="193">
        <f>IF(AND('A-7'!F99="-",'A-7'!F151="-",'A-7'!F203="-"),"-",SUM('A-7'!F99,'A-7'!F151,'A-7'!F203))</f>
        <v>518</v>
      </c>
      <c r="G40" s="193">
        <f>IF(AND('A-7'!G99="-",'A-7'!G151="-",'A-7'!G203="-"),"-",SUM('A-7'!G99,'A-7'!G151,'A-7'!G203))</f>
        <v>2147</v>
      </c>
      <c r="H40" s="193">
        <f>IF(AND('A-7'!H99="-",'A-7'!H151="-",'A-7'!H203="-"),"-",SUM('A-7'!H99,'A-7'!H151,'A-7'!H203))</f>
        <v>1345</v>
      </c>
      <c r="I40" s="193">
        <f>IF(AND('A-7'!I99="-",'A-7'!I151="-",'A-7'!I203="-"),"-",SUM('A-7'!I99,'A-7'!I151,'A-7'!I203))</f>
        <v>893</v>
      </c>
      <c r="J40" s="193">
        <f>IF(AND('A-7'!J99="-",'A-7'!J151="-",'A-7'!J203="-"),"-",SUM('A-7'!J99,'A-7'!J151,'A-7'!J203))</f>
        <v>155</v>
      </c>
      <c r="K40" s="193" t="str">
        <f>IF(AND('A-7'!K99="-",'A-7'!K151="-",'A-7'!K203="-"),"-",SUM('A-7'!K99,'A-7'!K151,'A-7'!K203))</f>
        <v>-</v>
      </c>
      <c r="L40" s="211">
        <f>IF(AND('A-7'!L99="-",'A-7'!L151="-",'A-7'!L203="-"),"-",SUM('A-7'!L99,'A-7'!L151,'A-7'!L203))</f>
        <v>7992</v>
      </c>
      <c r="M40" s="148"/>
      <c r="N40" s="148"/>
    </row>
    <row r="41" spans="1:14" ht="11.25" customHeight="1" x14ac:dyDescent="0.25">
      <c r="A41" s="402">
        <v>2014</v>
      </c>
      <c r="B41" s="193" t="str">
        <f>IF(AND('A-7'!B100="-",'A-7'!B152="-",'A-7'!B204="-"),"-",SUM('A-7'!B100,'A-7'!B152,'A-7'!B204))</f>
        <v>-</v>
      </c>
      <c r="C41" s="193">
        <f>IF(AND('A-7'!C100="-",'A-7'!C152="-",'A-7'!C204="-"),"-",SUM('A-7'!C100,'A-7'!C152,'A-7'!C204))</f>
        <v>952</v>
      </c>
      <c r="D41" s="193">
        <f>IF(AND('A-7'!D100="-",'A-7'!D152="-",'A-7'!D204="-"),"-",SUM('A-7'!D100,'A-7'!D152,'A-7'!D204))</f>
        <v>2101</v>
      </c>
      <c r="E41" s="193">
        <f>IF(AND('A-7'!E100="-",'A-7'!E152="-",'A-7'!E204="-"),"-",SUM('A-7'!E100,'A-7'!E152,'A-7'!E204))</f>
        <v>1718</v>
      </c>
      <c r="F41" s="193">
        <f>IF(AND('A-7'!F100="-",'A-7'!F152="-",'A-7'!F204="-"),"-",SUM('A-7'!F100,'A-7'!F152,'A-7'!F204))</f>
        <v>1062</v>
      </c>
      <c r="G41" s="193">
        <f>IF(AND('A-7'!G100="-",'A-7'!G152="-",'A-7'!G204="-"),"-",SUM('A-7'!G100,'A-7'!G152,'A-7'!G204))</f>
        <v>2155</v>
      </c>
      <c r="H41" s="193">
        <f>IF(AND('A-7'!H100="-",'A-7'!H152="-",'A-7'!H204="-"),"-",SUM('A-7'!H100,'A-7'!H152,'A-7'!H204))</f>
        <v>742</v>
      </c>
      <c r="I41" s="193">
        <f>IF(AND('A-7'!I100="-",'A-7'!I152="-",'A-7'!I204="-"),"-",SUM('A-7'!I100,'A-7'!I152,'A-7'!I204))</f>
        <v>289</v>
      </c>
      <c r="J41" s="193">
        <f>IF(AND('A-7'!J100="-",'A-7'!J152="-",'A-7'!J204="-"),"-",SUM('A-7'!J100,'A-7'!J152,'A-7'!J204))</f>
        <v>98</v>
      </c>
      <c r="K41" s="193" t="str">
        <f>IF(AND('A-7'!K100="-",'A-7'!K152="-",'A-7'!K204="-"),"-",SUM('A-7'!K100,'A-7'!K152,'A-7'!K204))</f>
        <v>-</v>
      </c>
      <c r="L41" s="211">
        <f>IF(AND('A-7'!L100="-",'A-7'!L152="-",'A-7'!L204="-"),"-",SUM('A-7'!L100,'A-7'!L152,'A-7'!L204))</f>
        <v>9117</v>
      </c>
      <c r="M41" s="148"/>
      <c r="N41" s="148"/>
    </row>
    <row r="42" spans="1:14" ht="11.25" customHeight="1" x14ac:dyDescent="0.25">
      <c r="A42" s="402">
        <v>2015</v>
      </c>
      <c r="B42" s="193" t="str">
        <f>IF(AND('A-7'!B101="-",'A-7'!B153="-",'A-7'!B205="-"),"-",SUM('A-7'!B101,'A-7'!B153,'A-7'!B205))</f>
        <v>-</v>
      </c>
      <c r="C42" s="193">
        <f>IF(AND('A-7'!C101="-",'A-7'!C153="-",'A-7'!C205="-"),"-",SUM('A-7'!C101,'A-7'!C153,'A-7'!C205))</f>
        <v>1755</v>
      </c>
      <c r="D42" s="193">
        <f>IF(AND('A-7'!D101="-",'A-7'!D153="-",'A-7'!D205="-"),"-",SUM('A-7'!D101,'A-7'!D153,'A-7'!D205))</f>
        <v>1562</v>
      </c>
      <c r="E42" s="193">
        <f>IF(AND('A-7'!E101="-",'A-7'!E153="-",'A-7'!E205="-"),"-",SUM('A-7'!E101,'A-7'!E153,'A-7'!E205))</f>
        <v>1249</v>
      </c>
      <c r="F42" s="193">
        <f>IF(AND('A-7'!F101="-",'A-7'!F153="-",'A-7'!F205="-"),"-",SUM('A-7'!F101,'A-7'!F153,'A-7'!F205))</f>
        <v>1275</v>
      </c>
      <c r="G42" s="193">
        <f>IF(AND('A-7'!G101="-",'A-7'!G153="-",'A-7'!G205="-"),"-",SUM('A-7'!G101,'A-7'!G153,'A-7'!G205))</f>
        <v>788</v>
      </c>
      <c r="H42" s="193">
        <f>IF(AND('A-7'!H101="-",'A-7'!H153="-",'A-7'!H205="-"),"-",SUM('A-7'!H101,'A-7'!H153,'A-7'!H205))</f>
        <v>367</v>
      </c>
      <c r="I42" s="193">
        <f>IF(AND('A-7'!I101="-",'A-7'!I153="-",'A-7'!I205="-"),"-",SUM('A-7'!I101,'A-7'!I153,'A-7'!I205))</f>
        <v>237</v>
      </c>
      <c r="J42" s="193">
        <f>IF(AND('A-7'!J101="-",'A-7'!J153="-",'A-7'!J205="-"),"-",SUM('A-7'!J101,'A-7'!J153,'A-7'!J205))</f>
        <v>158</v>
      </c>
      <c r="K42" s="193" t="str">
        <f>IF(AND('A-7'!K101="-",'A-7'!K153="-",'A-7'!K205="-"),"-",SUM('A-7'!K101,'A-7'!K153,'A-7'!K205))</f>
        <v>-</v>
      </c>
      <c r="L42" s="211">
        <f>IF(AND('A-7'!L101="-",'A-7'!L153="-",'A-7'!L205="-"),"-",SUM('A-7'!L101,'A-7'!L153,'A-7'!L205))</f>
        <v>7391</v>
      </c>
      <c r="M42" s="148"/>
      <c r="N42" s="148"/>
    </row>
    <row r="43" spans="1:14" ht="11.25" customHeight="1" x14ac:dyDescent="0.25">
      <c r="A43" s="402">
        <v>2016</v>
      </c>
      <c r="B43" s="193" t="str">
        <f>IF(AND('A-7'!B102="-",'A-7'!B154="-",'A-7'!B206="-"),"-",SUM('A-7'!B102,'A-7'!B154,'A-7'!B206))</f>
        <v>-</v>
      </c>
      <c r="C43" s="193">
        <f>IF(AND('A-7'!C102="-",'A-7'!C154="-",'A-7'!C206="-"),"-",SUM('A-7'!C102,'A-7'!C154,'A-7'!C206))</f>
        <v>888</v>
      </c>
      <c r="D43" s="193">
        <f>IF(AND('A-7'!D102="-",'A-7'!D154="-",'A-7'!D206="-"),"-",SUM('A-7'!D102,'A-7'!D154,'A-7'!D206))</f>
        <v>833</v>
      </c>
      <c r="E43" s="193">
        <f>IF(AND('A-7'!E102="-",'A-7'!E154="-",'A-7'!E206="-"),"-",SUM('A-7'!E102,'A-7'!E154,'A-7'!E206))</f>
        <v>635</v>
      </c>
      <c r="F43" s="193">
        <f>IF(AND('A-7'!F102="-",'A-7'!F154="-",'A-7'!F206="-"),"-",SUM('A-7'!F102,'A-7'!F154,'A-7'!F206))</f>
        <v>542</v>
      </c>
      <c r="G43" s="193">
        <f>IF(AND('A-7'!G102="-",'A-7'!G154="-",'A-7'!G206="-"),"-",SUM('A-7'!G102,'A-7'!G154,'A-7'!G206))</f>
        <v>634</v>
      </c>
      <c r="H43" s="193">
        <f>IF(AND('A-7'!H102="-",'A-7'!H154="-",'A-7'!H206="-"),"-",SUM('A-7'!H102,'A-7'!H154,'A-7'!H206))</f>
        <v>330</v>
      </c>
      <c r="I43" s="193">
        <f>IF(AND('A-7'!I102="-",'A-7'!I154="-",'A-7'!I206="-"),"-",SUM('A-7'!I102,'A-7'!I154,'A-7'!I206))</f>
        <v>137</v>
      </c>
      <c r="J43" s="193">
        <f>IF(AND('A-7'!J102="-",'A-7'!J154="-",'A-7'!J206="-"),"-",SUM('A-7'!J102,'A-7'!J154,'A-7'!J206))</f>
        <v>41</v>
      </c>
      <c r="K43" s="193" t="str">
        <f>IF(AND('A-7'!K102="-",'A-7'!K154="-",'A-7'!K206="-"),"-",SUM('A-7'!K102,'A-7'!K154,'A-7'!K206))</f>
        <v>-</v>
      </c>
      <c r="L43" s="211">
        <f>IF(AND('A-7'!L102="-",'A-7'!L154="-",'A-7'!L206="-"),"-",SUM('A-7'!L102,'A-7'!L154,'A-7'!L206))</f>
        <v>4040</v>
      </c>
      <c r="M43" s="148"/>
      <c r="N43" s="148"/>
    </row>
    <row r="44" spans="1:14" ht="11.25" customHeight="1" x14ac:dyDescent="0.25">
      <c r="A44" s="402">
        <v>2017</v>
      </c>
      <c r="B44" s="193" t="str">
        <f>IF(AND('A-7'!B103="-",'A-7'!B155="-",'A-7'!B207="-"),"-",SUM('A-7'!B103,'A-7'!B155,'A-7'!B207))</f>
        <v>-</v>
      </c>
      <c r="C44" s="193">
        <f>IF(AND('A-7'!C103="-",'A-7'!C155="-",'A-7'!C207="-"),"-",SUM('A-7'!C103,'A-7'!C155,'A-7'!C207))</f>
        <v>106</v>
      </c>
      <c r="D44" s="193">
        <f>IF(AND('A-7'!D103="-",'A-7'!D155="-",'A-7'!D207="-"),"-",SUM('A-7'!D103,'A-7'!D155,'A-7'!D207))</f>
        <v>183</v>
      </c>
      <c r="E44" s="193">
        <f>IF(AND('A-7'!E103="-",'A-7'!E155="-",'A-7'!E207="-"),"-",SUM('A-7'!E103,'A-7'!E155,'A-7'!E207))</f>
        <v>391</v>
      </c>
      <c r="F44" s="193">
        <f>IF(AND('A-7'!F103="-",'A-7'!F155="-",'A-7'!F207="-"),"-",SUM('A-7'!F103,'A-7'!F155,'A-7'!F207))</f>
        <v>655</v>
      </c>
      <c r="G44" s="193" t="str">
        <f>IF(AND('A-7'!G103="-",'A-7'!G155="-",'A-7'!G207="-"),"-",SUM('A-7'!G103,'A-7'!G155,'A-7'!G207))</f>
        <v>-</v>
      </c>
      <c r="H44" s="193">
        <f>IF(AND('A-7'!H103="-",'A-7'!H155="-",'A-7'!H207="-"),"-",SUM('A-7'!H103,'A-7'!H155,'A-7'!H207))</f>
        <v>88</v>
      </c>
      <c r="I44" s="193">
        <f>IF(AND('A-7'!I103="-",'A-7'!I155="-",'A-7'!I207="-"),"-",SUM('A-7'!I103,'A-7'!I155,'A-7'!I207))</f>
        <v>137</v>
      </c>
      <c r="J44" s="193">
        <f>IF(AND('A-7'!J103="-",'A-7'!J155="-",'A-7'!J207="-"),"-",SUM('A-7'!J103,'A-7'!J155,'A-7'!J207))</f>
        <v>41</v>
      </c>
      <c r="K44" s="193" t="str">
        <f>IF(AND('A-7'!K103="-",'A-7'!K155="-",'A-7'!K207="-"),"-",SUM('A-7'!K103,'A-7'!K155,'A-7'!K207))</f>
        <v>-</v>
      </c>
      <c r="L44" s="211">
        <f>IF(AND('A-7'!L103="-",'A-7'!L155="-",'A-7'!L207="-"),"-",SUM('A-7'!L103,'A-7'!L155,'A-7'!L207))</f>
        <v>1601</v>
      </c>
      <c r="M44" s="148"/>
      <c r="N44" s="148"/>
    </row>
    <row r="45" spans="1:14" s="358" customFormat="1" ht="11.25" customHeight="1" x14ac:dyDescent="0.25">
      <c r="A45" s="498">
        <v>2018</v>
      </c>
      <c r="B45" s="197" t="str">
        <f>IF(AND('A-7'!B104="-",'A-7'!B156="-",'A-7'!B208="-"),"-",SUM('A-7'!B104,'A-7'!B156,'A-7'!B208))</f>
        <v>-</v>
      </c>
      <c r="C45" s="197" t="str">
        <f>IF(AND('A-7'!C104="-",'A-7'!C156="-",'A-7'!C208="-"),"-",SUM('A-7'!C104,'A-7'!C156,'A-7'!C208))</f>
        <v>-</v>
      </c>
      <c r="D45" s="197">
        <f>IF(AND('A-7'!D104="-",'A-7'!D156="-",'A-7'!D208="-"),"-",SUM('A-7'!D104,'A-7'!D156,'A-7'!D208))</f>
        <v>348</v>
      </c>
      <c r="E45" s="197">
        <f>IF(AND('A-7'!E104="-",'A-7'!E156="-",'A-7'!E208="-"),"-",SUM('A-7'!E104,'A-7'!E156,'A-7'!E208))</f>
        <v>433</v>
      </c>
      <c r="F45" s="197">
        <f>IF(AND('A-7'!F104="-",'A-7'!F156="-",'A-7'!F208="-"),"-",SUM('A-7'!F104,'A-7'!F156,'A-7'!F208))</f>
        <v>287</v>
      </c>
      <c r="G45" s="197">
        <f>IF(AND('A-7'!G104="-",'A-7'!G156="-",'A-7'!G208="-"),"-",SUM('A-7'!G104,'A-7'!G156,'A-7'!G208))</f>
        <v>667</v>
      </c>
      <c r="H45" s="197">
        <f>IF(AND('A-7'!H104="-",'A-7'!H156="-",'A-7'!H208="-"),"-",SUM('A-7'!H104,'A-7'!H156,'A-7'!H208))</f>
        <v>80</v>
      </c>
      <c r="I45" s="197">
        <f>IF(AND('A-7'!I104="-",'A-7'!I156="-",'A-7'!I208="-"),"-",SUM('A-7'!I104,'A-7'!I156,'A-7'!I208))</f>
        <v>102</v>
      </c>
      <c r="J45" s="197">
        <f>IF(AND('A-7'!J104="-",'A-7'!J156="-",'A-7'!J208="-"),"-",SUM('A-7'!J104,'A-7'!J156,'A-7'!J208))</f>
        <v>83</v>
      </c>
      <c r="K45" s="197" t="str">
        <f>IF(AND('A-7'!K104="-",'A-7'!K156="-",'A-7'!K208="-"),"-",SUM('A-7'!K104,'A-7'!K156,'A-7'!K208))</f>
        <v>-</v>
      </c>
      <c r="L45" s="46">
        <f>IF(AND('A-7'!L104="-",'A-7'!L156="-",'A-7'!L208="-"),"-",SUM('A-7'!L104,'A-7'!L156,'A-7'!L208))</f>
        <v>2000</v>
      </c>
      <c r="M45" s="148"/>
      <c r="N45" s="148"/>
    </row>
    <row r="46" spans="1:14" s="358" customFormat="1" ht="11.25" customHeight="1" x14ac:dyDescent="0.25">
      <c r="A46" s="498">
        <v>2019</v>
      </c>
      <c r="B46" s="197" t="str">
        <f>IF(AND('A-7'!B105="-",'A-7'!B157="-",'A-7'!B209="-"),"-",SUM('A-7'!B105,'A-7'!B157,'A-7'!B209))</f>
        <v>-</v>
      </c>
      <c r="C46" s="197">
        <f>IF(AND('A-7'!C105="-",'A-7'!C157="-",'A-7'!C209="-"),"-",SUM('A-7'!C105,'A-7'!C157,'A-7'!C209))</f>
        <v>49</v>
      </c>
      <c r="D46" s="197">
        <f>IF(AND('A-7'!D105="-",'A-7'!D157="-",'A-7'!D209="-"),"-",SUM('A-7'!D105,'A-7'!D157,'A-7'!D209))</f>
        <v>134</v>
      </c>
      <c r="E46" s="197">
        <f>IF(AND('A-7'!E105="-",'A-7'!E157="-",'A-7'!E209="-"),"-",SUM('A-7'!E105,'A-7'!E157,'A-7'!E209))</f>
        <v>342</v>
      </c>
      <c r="F46" s="197">
        <f>IF(AND('A-7'!F105="-",'A-7'!F157="-",'A-7'!F209="-"),"-",SUM('A-7'!F105,'A-7'!F157,'A-7'!F209))</f>
        <v>912</v>
      </c>
      <c r="G46" s="197">
        <f>IF(AND('A-7'!G105="-",'A-7'!G157="-",'A-7'!G209="-"),"-",SUM('A-7'!G105,'A-7'!G157,'A-7'!G209))</f>
        <v>388</v>
      </c>
      <c r="H46" s="197">
        <f>IF(AND('A-7'!H105="-",'A-7'!H157="-",'A-7'!H209="-"),"-",SUM('A-7'!H105,'A-7'!H157,'A-7'!H209))</f>
        <v>104</v>
      </c>
      <c r="I46" s="197">
        <f>IF(AND('A-7'!I105="-",'A-7'!I157="-",'A-7'!I209="-"),"-",SUM('A-7'!I105,'A-7'!I157,'A-7'!I209))</f>
        <v>187</v>
      </c>
      <c r="J46" s="197" t="str">
        <f>IF(AND('A-7'!J105="-",'A-7'!J157="-",'A-7'!J209="-"),"-",SUM('A-7'!J105,'A-7'!J157,'A-7'!J209))</f>
        <v>-</v>
      </c>
      <c r="K46" s="197" t="str">
        <f>IF(AND('A-7'!K105="-",'A-7'!K157="-",'A-7'!K209="-"),"-",SUM('A-7'!K105,'A-7'!K157,'A-7'!K209))</f>
        <v>-</v>
      </c>
      <c r="L46" s="46">
        <f>IF(AND('A-7'!L105="-",'A-7'!L157="-",'A-7'!L209="-"),"-",SUM('A-7'!L105,'A-7'!L157,'A-7'!L209))</f>
        <v>2116</v>
      </c>
      <c r="M46" s="148"/>
      <c r="N46" s="148"/>
    </row>
    <row r="47" spans="1:14" ht="11.25" customHeight="1" x14ac:dyDescent="0.25">
      <c r="A47" s="491" t="s">
        <v>393</v>
      </c>
      <c r="B47" s="193" t="str">
        <f>IF(AND('A-7'!B106="-",'A-7'!B158="-",'A-7'!B210="-"),"-",SUM('A-7'!B106,'A-7'!B158,'A-7'!B210))</f>
        <v>-</v>
      </c>
      <c r="C47" s="193">
        <f>IF(AND('A-7'!C106="-",'A-7'!C158="-",'A-7'!C210="-"),"-",SUM('A-7'!C106,'A-7'!C158,'A-7'!C210))</f>
        <v>140</v>
      </c>
      <c r="D47" s="193">
        <f>IF(AND('A-7'!D106="-",'A-7'!D158="-",'A-7'!D210="-"),"-",SUM('A-7'!D106,'A-7'!D158,'A-7'!D210))</f>
        <v>97</v>
      </c>
      <c r="E47" s="193">
        <f>IF(AND('A-7'!E106="-",'A-7'!E158="-",'A-7'!E210="-"),"-",SUM('A-7'!E106,'A-7'!E158,'A-7'!E210))</f>
        <v>379</v>
      </c>
      <c r="F47" s="193">
        <f>IF(AND('A-7'!F106="-",'A-7'!F158="-",'A-7'!F210="-"),"-",SUM('A-7'!F106,'A-7'!F158,'A-7'!F210))</f>
        <v>571</v>
      </c>
      <c r="G47" s="193">
        <f>IF(AND('A-7'!G106="-",'A-7'!G158="-",'A-7'!G210="-"),"-",SUM('A-7'!G106,'A-7'!G158,'A-7'!G210))</f>
        <v>269</v>
      </c>
      <c r="H47" s="193">
        <f>IF(AND('A-7'!H106="-",'A-7'!H158="-",'A-7'!H210="-"),"-",SUM('A-7'!H106,'A-7'!H158,'A-7'!H210))</f>
        <v>174</v>
      </c>
      <c r="I47" s="193">
        <f>IF(AND('A-7'!I106="-",'A-7'!I158="-",'A-7'!I210="-"),"-",SUM('A-7'!I106,'A-7'!I158,'A-7'!I210))</f>
        <v>212</v>
      </c>
      <c r="J47" s="193" t="str">
        <f>IF(AND('A-7'!J106="-",'A-7'!J158="-",'A-7'!J210="-"),"-",SUM('A-7'!J106,'A-7'!J158,'A-7'!J210))</f>
        <v>-</v>
      </c>
      <c r="K47" s="193" t="str">
        <f>IF(AND('A-7'!K106="-",'A-7'!K158="-",'A-7'!K210="-"),"-",SUM('A-7'!K106,'A-7'!K158,'A-7'!K210))</f>
        <v>-</v>
      </c>
      <c r="L47" s="211">
        <f>IF(AND('A-7'!L106="-",'A-7'!L158="-",'A-7'!L210="-"),"-",SUM('A-7'!L106,'A-7'!L158,'A-7'!L210))</f>
        <v>1842</v>
      </c>
      <c r="M47" s="22"/>
      <c r="N47" s="22"/>
    </row>
    <row r="48" spans="1:14" ht="11.25" customHeight="1" x14ac:dyDescent="0.25">
      <c r="A48" s="383"/>
      <c r="B48" s="193"/>
      <c r="C48" s="193"/>
      <c r="D48" s="193"/>
      <c r="E48" s="193"/>
      <c r="F48" s="193"/>
      <c r="G48" s="193"/>
      <c r="H48" s="193"/>
      <c r="I48" s="193"/>
      <c r="J48" s="193"/>
      <c r="K48" s="193"/>
      <c r="L48" s="200"/>
      <c r="M48" s="22"/>
      <c r="N48" s="22"/>
    </row>
    <row r="49" spans="1:14" ht="11.25" customHeight="1" x14ac:dyDescent="0.25">
      <c r="A49" s="158" t="s">
        <v>302</v>
      </c>
      <c r="B49" s="193"/>
      <c r="C49" s="193"/>
      <c r="D49" s="193"/>
      <c r="E49" s="193"/>
      <c r="F49" s="193"/>
      <c r="G49" s="193"/>
      <c r="H49" s="193"/>
      <c r="I49" s="193"/>
      <c r="J49" s="193"/>
      <c r="K49" s="193"/>
      <c r="L49" s="200"/>
      <c r="M49" s="22"/>
      <c r="N49" s="22"/>
    </row>
    <row r="50" spans="1:14" ht="11.25" customHeight="1" x14ac:dyDescent="0.25">
      <c r="A50" s="383">
        <v>1978</v>
      </c>
      <c r="B50" s="193" t="str">
        <f>'A-7'!B220</f>
        <v>-</v>
      </c>
      <c r="C50" s="193">
        <f>IF(AND('A-7'!C220="-",'A-2'!B4="-",'A-2'!B49="-"),"-",SUM('A-7'!C220,'A-2'!B4,'A-2'!B49))</f>
        <v>639</v>
      </c>
      <c r="D50" s="193">
        <f>IF(AND('A-7'!D220="-",'A-2'!C4="-",'A-2'!C49="-"),"-",SUM('A-7'!D220,'A-2'!C4,'A-2'!C49))</f>
        <v>7964</v>
      </c>
      <c r="E50" s="193">
        <f>IF(AND('A-7'!E220="-",'A-2'!D4="-",'A-2'!D49="-"),"-",SUM('A-7'!E220,'A-2'!D4,'A-2'!D49))</f>
        <v>17917</v>
      </c>
      <c r="F50" s="193">
        <f>IF(AND('A-7'!F220="-",'A-2'!E4="-",'A-2'!E49="-"),"-",SUM('A-7'!F220,'A-2'!E4,'A-2'!E49))</f>
        <v>9074</v>
      </c>
      <c r="G50" s="193">
        <f>IF(AND('A-7'!G220="-",'A-2'!F4="-",'A-2'!F49="-"),"-",SUM('A-7'!G220,'A-2'!F4,'A-2'!F49))</f>
        <v>4193</v>
      </c>
      <c r="H50" s="193">
        <f>IF(AND('A-7'!H220="-",'A-2'!G4="-",'A-2'!G49="-"),"-",SUM('A-7'!H220,'A-2'!G4,'A-2'!G49))</f>
        <v>1781</v>
      </c>
      <c r="I50" s="193">
        <f>IF(AND('A-7'!I220="-",'A-2'!H4="-",'A-2'!H49="-"),"-",SUM('A-7'!I220,'A-2'!H4,'A-2'!H49))</f>
        <v>1256</v>
      </c>
      <c r="J50" s="193">
        <f>'A-7'!J220</f>
        <v>992</v>
      </c>
      <c r="K50" s="193" t="str">
        <f>'A-7'!K220</f>
        <v>-</v>
      </c>
      <c r="L50" s="200">
        <f>IF(AND('A-7'!L220="-",'A-2'!I4="-",'A-2'!I49="-"),"-",SUM('A-7'!L220,'A-2'!I4,'A-2'!I49))</f>
        <v>43816</v>
      </c>
      <c r="M50" s="22"/>
      <c r="N50" s="22"/>
    </row>
    <row r="51" spans="1:14" ht="11.25" customHeight="1" x14ac:dyDescent="0.25">
      <c r="A51" s="383">
        <v>1979</v>
      </c>
      <c r="B51" s="193" t="str">
        <f>'A-7'!B221</f>
        <v>-</v>
      </c>
      <c r="C51" s="193">
        <f>IF(AND('A-7'!C221="-",'A-2'!B5="-",'A-2'!B50="-"),"-",SUM('A-7'!C221,'A-2'!B5,'A-2'!B50))</f>
        <v>0</v>
      </c>
      <c r="D51" s="193">
        <f>IF(AND('A-7'!D221="-",'A-2'!C5="-",'A-2'!C50="-"),"-",SUM('A-7'!D221,'A-2'!C5,'A-2'!C50))</f>
        <v>6537</v>
      </c>
      <c r="E51" s="193">
        <f>IF(AND('A-7'!E221="-",'A-2'!D5="-",'A-2'!D50="-"),"-",SUM('A-7'!E221,'A-2'!D5,'A-2'!D50))</f>
        <v>8501</v>
      </c>
      <c r="F51" s="193">
        <f>IF(AND('A-7'!F221="-",'A-2'!E5="-",'A-2'!E50="-"),"-",SUM('A-7'!F221,'A-2'!E5,'A-2'!E50))</f>
        <v>21391</v>
      </c>
      <c r="G51" s="193">
        <f>IF(AND('A-7'!G221="-",'A-2'!F5="-",'A-2'!F50="-"),"-",SUM('A-7'!G221,'A-2'!F5,'A-2'!F50))</f>
        <v>17089</v>
      </c>
      <c r="H51" s="193">
        <f>IF(AND('A-7'!H221="-",'A-2'!G5="-",'A-2'!G50="-"),"-",SUM('A-7'!H221,'A-2'!G5,'A-2'!G50))</f>
        <v>2814</v>
      </c>
      <c r="I51" s="193">
        <f>IF(AND('A-7'!I221="-",'A-2'!H5="-",'A-2'!H50="-"),"-",SUM('A-7'!I221,'A-2'!H5,'A-2'!H50))</f>
        <v>764</v>
      </c>
      <c r="J51" s="193">
        <f>'A-7'!J221</f>
        <v>202</v>
      </c>
      <c r="K51" s="193" t="str">
        <f>'A-7'!K221</f>
        <v>-</v>
      </c>
      <c r="L51" s="200">
        <f>IF(AND('A-7'!L221="-",'A-2'!I5="-",'A-2'!I50="-"),"-",SUM('A-7'!L221,'A-2'!I5,'A-2'!I50))</f>
        <v>57298</v>
      </c>
      <c r="M51" s="22"/>
      <c r="N51" s="22"/>
    </row>
    <row r="52" spans="1:14" ht="11.25" customHeight="1" x14ac:dyDescent="0.25">
      <c r="A52" s="383">
        <v>1980</v>
      </c>
      <c r="B52" s="193" t="str">
        <f>'A-7'!B222</f>
        <v>-</v>
      </c>
      <c r="C52" s="193" t="str">
        <f>IF(AND('A-7'!C222="-",'A-2'!B6="-",'A-2'!B51="-"),"-",SUM('A-7'!C222,'A-2'!B6,'A-2'!B51))</f>
        <v>-</v>
      </c>
      <c r="D52" s="193">
        <f>IF(AND('A-7'!D222="-",'A-2'!C6="-",'A-2'!C51="-"),"-",SUM('A-7'!D222,'A-2'!C6,'A-2'!C51))</f>
        <v>9358</v>
      </c>
      <c r="E52" s="193">
        <f>IF(AND('A-7'!E222="-",'A-2'!D6="-",'A-2'!D51="-"),"-",SUM('A-7'!E222,'A-2'!D6,'A-2'!D51))</f>
        <v>276</v>
      </c>
      <c r="F52" s="193">
        <f>IF(AND('A-7'!F222="-",'A-2'!E6="-",'A-2'!E51="-"),"-",SUM('A-7'!F222,'A-2'!E6,'A-2'!E51))</f>
        <v>5561</v>
      </c>
      <c r="G52" s="193">
        <f>IF(AND('A-7'!G222="-",'A-2'!F6="-",'A-2'!F51="-"),"-",SUM('A-7'!G222,'A-2'!F6,'A-2'!F51))</f>
        <v>6820</v>
      </c>
      <c r="H52" s="193">
        <f>IF(AND('A-7'!H222="-",'A-2'!G6="-",'A-2'!G51="-"),"-",SUM('A-7'!H222,'A-2'!G6,'A-2'!G51))</f>
        <v>5715</v>
      </c>
      <c r="I52" s="193">
        <f>IF(AND('A-7'!I222="-",'A-2'!H6="-",'A-2'!H51="-"),"-",SUM('A-7'!I222,'A-2'!H6,'A-2'!H51))</f>
        <v>845</v>
      </c>
      <c r="J52" s="193">
        <f>'A-7'!J222</f>
        <v>510</v>
      </c>
      <c r="K52" s="193" t="str">
        <f>'A-7'!K222</f>
        <v>-</v>
      </c>
      <c r="L52" s="200">
        <f>IF(AND('A-7'!L222="-",'A-2'!I6="-",'A-2'!I51="-"),"-",SUM('A-7'!L222,'A-2'!I6,'A-2'!I51))</f>
        <v>29085</v>
      </c>
      <c r="M52" s="22"/>
      <c r="N52" s="22"/>
    </row>
    <row r="53" spans="1:14" ht="11.25" customHeight="1" x14ac:dyDescent="0.25">
      <c r="A53" s="383">
        <v>1981</v>
      </c>
      <c r="B53" s="193" t="str">
        <f>'A-7'!B223</f>
        <v>-</v>
      </c>
      <c r="C53" s="193" t="str">
        <f>IF(AND('A-7'!C223="-",'A-2'!B7="-",'A-2'!B52="-"),"-",SUM('A-7'!C223,'A-2'!B7,'A-2'!B52))</f>
        <v>-</v>
      </c>
      <c r="D53" s="193">
        <f>IF(AND('A-7'!D223="-",'A-2'!C7="-",'A-2'!C52="-"),"-",SUM('A-7'!D223,'A-2'!C7,'A-2'!C52))</f>
        <v>7529</v>
      </c>
      <c r="E53" s="193">
        <f>IF(AND('A-7'!E223="-",'A-2'!D7="-",'A-2'!D52="-"),"-",SUM('A-7'!E223,'A-2'!D7,'A-2'!D52))</f>
        <v>1402</v>
      </c>
      <c r="F53" s="193">
        <f>IF(AND('A-7'!F223="-",'A-2'!E7="-",'A-2'!E52="-"),"-",SUM('A-7'!F223,'A-2'!E7,'A-2'!E52))</f>
        <v>6791</v>
      </c>
      <c r="G53" s="193">
        <f>IF(AND('A-7'!G223="-",'A-2'!F7="-",'A-2'!F52="-"),"-",SUM('A-7'!G223,'A-2'!F7,'A-2'!F52))</f>
        <v>9667</v>
      </c>
      <c r="H53" s="193">
        <f>IF(AND('A-7'!H223="-",'A-2'!G7="-",'A-2'!G52="-"),"-",SUM('A-7'!H223,'A-2'!G7,'A-2'!G52))</f>
        <v>3197</v>
      </c>
      <c r="I53" s="193">
        <f>IF(AND('A-7'!I223="-",'A-2'!H7="-",'A-2'!H52="-"),"-",SUM('A-7'!I223,'A-2'!H7,'A-2'!H52))</f>
        <v>1553</v>
      </c>
      <c r="J53" s="193">
        <f>'A-7'!J223</f>
        <v>453</v>
      </c>
      <c r="K53" s="193" t="str">
        <f>'A-7'!K223</f>
        <v>-</v>
      </c>
      <c r="L53" s="200">
        <f>IF(AND('A-7'!L223="-",'A-2'!I7="-",'A-2'!I52="-"),"-",SUM('A-7'!L223,'A-2'!I7,'A-2'!I52))</f>
        <v>30592</v>
      </c>
      <c r="M53" s="22"/>
      <c r="N53" s="22"/>
    </row>
    <row r="54" spans="1:14" ht="11.25" customHeight="1" x14ac:dyDescent="0.25">
      <c r="A54" s="383">
        <v>1982</v>
      </c>
      <c r="B54" s="193" t="str">
        <f>'A-7'!B224</f>
        <v>-</v>
      </c>
      <c r="C54" s="193" t="str">
        <f>IF(AND('A-7'!C224="-",'A-2'!B8="-",'A-2'!B53="-"),"-",SUM('A-7'!C224,'A-2'!B8,'A-2'!B53))</f>
        <v>-</v>
      </c>
      <c r="D54" s="193">
        <f>IF(AND('A-7'!D224="-",'A-2'!C8="-",'A-2'!C53="-"),"-",SUM('A-7'!D224,'A-2'!C8,'A-2'!C53))</f>
        <v>4442</v>
      </c>
      <c r="E54" s="193">
        <f>IF(AND('A-7'!E224="-",'A-2'!D8="-",'A-2'!D53="-"),"-",SUM('A-7'!E224,'A-2'!D8,'A-2'!D53))</f>
        <v>2061</v>
      </c>
      <c r="F54" s="193">
        <f>IF(AND('A-7'!F224="-",'A-2'!E8="-",'A-2'!E53="-"),"-",SUM('A-7'!F224,'A-2'!E8,'A-2'!E53))</f>
        <v>10881</v>
      </c>
      <c r="G54" s="193">
        <f>IF(AND('A-7'!G224="-",'A-2'!F8="-",'A-2'!F53="-"),"-",SUM('A-7'!G224,'A-2'!F8,'A-2'!F53))</f>
        <v>10375</v>
      </c>
      <c r="H54" s="193">
        <f>IF(AND('A-7'!H224="-",'A-2'!G8="-",'A-2'!G53="-"),"-",SUM('A-7'!H224,'A-2'!G8,'A-2'!G53))</f>
        <v>2988</v>
      </c>
      <c r="I54" s="193">
        <f>IF(AND('A-7'!I224="-",'A-2'!H8="-",'A-2'!H53="-"),"-",SUM('A-7'!I224,'A-2'!H8,'A-2'!H53))</f>
        <v>1125</v>
      </c>
      <c r="J54" s="193">
        <f>'A-7'!J224</f>
        <v>582</v>
      </c>
      <c r="K54" s="193" t="str">
        <f>'A-7'!K224</f>
        <v>-</v>
      </c>
      <c r="L54" s="200">
        <f>IF(AND('A-7'!L224="-",'A-2'!I8="-",'A-2'!I53="-"),"-",SUM('A-7'!L224,'A-2'!I8,'A-2'!I53))</f>
        <v>32454</v>
      </c>
      <c r="M54" s="22"/>
      <c r="N54" s="22"/>
    </row>
    <row r="55" spans="1:14" ht="11.25" customHeight="1" x14ac:dyDescent="0.25">
      <c r="A55" s="383">
        <v>1983</v>
      </c>
      <c r="B55" s="193" t="str">
        <f>'A-7'!B225</f>
        <v>-</v>
      </c>
      <c r="C55" s="193" t="str">
        <f>IF(AND('A-7'!C225="-",'A-2'!B9="-",'A-2'!B54="-"),"-",SUM('A-7'!C225,'A-2'!B9,'A-2'!B54))</f>
        <v>-</v>
      </c>
      <c r="D55" s="193">
        <f>IF(AND('A-7'!D225="-",'A-2'!C9="-",'A-2'!C54="-"),"-",SUM('A-7'!D225,'A-2'!C9,'A-2'!C54))</f>
        <v>1526</v>
      </c>
      <c r="E55" s="193">
        <f>IF(AND('A-7'!E225="-",'A-2'!D9="-",'A-2'!D54="-"),"-",SUM('A-7'!E225,'A-2'!D9,'A-2'!D54))</f>
        <v>5470</v>
      </c>
      <c r="F55" s="193">
        <f>IF(AND('A-7'!F225="-",'A-2'!E9="-",'A-2'!E54="-"),"-",SUM('A-7'!F225,'A-2'!E9,'A-2'!E54))</f>
        <v>5317</v>
      </c>
      <c r="G55" s="193">
        <f>IF(AND('A-7'!G225="-",'A-2'!F9="-",'A-2'!F54="-"),"-",SUM('A-7'!G225,'A-2'!F9,'A-2'!F54))</f>
        <v>2382</v>
      </c>
      <c r="H55" s="193">
        <f>IF(AND('A-7'!H225="-",'A-2'!G9="-",'A-2'!G54="-"),"-",SUM('A-7'!H225,'A-2'!G9,'A-2'!G54))</f>
        <v>81</v>
      </c>
      <c r="I55" s="193">
        <f>IF(AND('A-7'!I225="-",'A-2'!H9="-",'A-2'!H54="-"),"-",SUM('A-7'!I225,'A-2'!H9,'A-2'!H54))</f>
        <v>631</v>
      </c>
      <c r="J55" s="193">
        <f>'A-7'!J225</f>
        <v>116</v>
      </c>
      <c r="K55" s="193" t="str">
        <f>'A-7'!K225</f>
        <v>-</v>
      </c>
      <c r="L55" s="200">
        <f>IF(AND('A-7'!L225="-",'A-2'!I9="-",'A-2'!I54="-"),"-",SUM('A-7'!L225,'A-2'!I9,'A-2'!I54))</f>
        <v>15523</v>
      </c>
      <c r="M55" s="22"/>
      <c r="N55" s="22"/>
    </row>
    <row r="56" spans="1:14" ht="11.25" customHeight="1" x14ac:dyDescent="0.25">
      <c r="A56" s="383">
        <v>1984</v>
      </c>
      <c r="B56" s="193" t="str">
        <f>'A-7'!B226</f>
        <v>-</v>
      </c>
      <c r="C56" s="193" t="str">
        <f>IF(AND('A-7'!C226="-",'A-2'!B10="-",'A-2'!B55="-"),"-",SUM('A-7'!C226,'A-2'!B10,'A-2'!B55))</f>
        <v>-</v>
      </c>
      <c r="D56" s="193">
        <f>IF(AND('A-7'!D226="-",'A-2'!C10="-",'A-2'!C55="-"),"-",SUM('A-7'!D226,'A-2'!C10,'A-2'!C55))</f>
        <v>1372</v>
      </c>
      <c r="E56" s="193">
        <f>IF(AND('A-7'!E226="-",'A-2'!D10="-",'A-2'!D55="-"),"-",SUM('A-7'!E226,'A-2'!D10,'A-2'!D55))</f>
        <v>139</v>
      </c>
      <c r="F56" s="193">
        <f>IF(AND('A-7'!F226="-",'A-2'!E10="-",'A-2'!E55="-"),"-",SUM('A-7'!F226,'A-2'!E10,'A-2'!E55))</f>
        <v>1970</v>
      </c>
      <c r="G56" s="193">
        <f>IF(AND('A-7'!G226="-",'A-2'!F10="-",'A-2'!F55="-"),"-",SUM('A-7'!G226,'A-2'!F10,'A-2'!F55))</f>
        <v>3652</v>
      </c>
      <c r="H56" s="193">
        <f>IF(AND('A-7'!H226="-",'A-2'!G10="-",'A-2'!G55="-"),"-",SUM('A-7'!H226,'A-2'!G10,'A-2'!G55))</f>
        <v>3</v>
      </c>
      <c r="I56" s="193">
        <f>IF(AND('A-7'!I226="-",'A-2'!H10="-",'A-2'!H55="-"),"-",SUM('A-7'!I226,'A-2'!H10,'A-2'!H55))</f>
        <v>234</v>
      </c>
      <c r="J56" s="193">
        <f>'A-7'!J226</f>
        <v>209</v>
      </c>
      <c r="K56" s="193" t="str">
        <f>'A-7'!K226</f>
        <v>-</v>
      </c>
      <c r="L56" s="200">
        <f>IF(AND('A-7'!L226="-",'A-2'!I10="-",'A-2'!I55="-"),"-",SUM('A-7'!L226,'A-2'!I10,'A-2'!I55))</f>
        <v>7579</v>
      </c>
      <c r="M56" s="22"/>
      <c r="N56" s="22"/>
    </row>
    <row r="57" spans="1:14" ht="11.25" customHeight="1" x14ac:dyDescent="0.25">
      <c r="A57" s="383">
        <v>1985</v>
      </c>
      <c r="B57" s="193" t="str">
        <f>'A-7'!B227</f>
        <v>-</v>
      </c>
      <c r="C57" s="193" t="str">
        <f>IF(AND('A-7'!C227="-",'A-2'!B11="-",'A-2'!B56="-"),"-",SUM('A-7'!C227,'A-2'!B11,'A-2'!B56))</f>
        <v>-</v>
      </c>
      <c r="D57" s="193">
        <f>IF(AND('A-7'!D227="-",'A-2'!C11="-",'A-2'!C56="-"),"-",SUM('A-7'!D227,'A-2'!C11,'A-2'!C56))</f>
        <v>25</v>
      </c>
      <c r="E57" s="193">
        <f>IF(AND('A-7'!E227="-",'A-2'!D11="-",'A-2'!D56="-"),"-",SUM('A-7'!E227,'A-2'!D11,'A-2'!D56))</f>
        <v>14</v>
      </c>
      <c r="F57" s="193">
        <f>IF(AND('A-7'!F227="-",'A-2'!E11="-",'A-2'!E56="-"),"-",SUM('A-7'!F227,'A-2'!E11,'A-2'!E56))</f>
        <v>93</v>
      </c>
      <c r="G57" s="193">
        <f>IF(AND('A-7'!G227="-",'A-2'!F11="-",'A-2'!F56="-"),"-",SUM('A-7'!G227,'A-2'!F11,'A-2'!F56))</f>
        <v>225</v>
      </c>
      <c r="H57" s="193">
        <f>IF(AND('A-7'!H227="-",'A-2'!G11="-",'A-2'!G56="-"),"-",SUM('A-7'!H227,'A-2'!G11,'A-2'!G56))</f>
        <v>97</v>
      </c>
      <c r="I57" s="193">
        <f>IF(AND('A-7'!I227="-",'A-2'!H11="-",'A-2'!H56="-"),"-",SUM('A-7'!I227,'A-2'!H11,'A-2'!H56))</f>
        <v>117</v>
      </c>
      <c r="J57" s="193">
        <f>'A-7'!J227</f>
        <v>322</v>
      </c>
      <c r="K57" s="193" t="str">
        <f>'A-7'!K227</f>
        <v>-</v>
      </c>
      <c r="L57" s="200">
        <f>IF(AND('A-7'!L227="-",'A-2'!I11="-",'A-2'!I56="-"),"-",SUM('A-7'!L227,'A-2'!I11,'A-2'!I56))</f>
        <v>893</v>
      </c>
      <c r="M57" s="22"/>
      <c r="N57" s="22"/>
    </row>
    <row r="58" spans="1:14" ht="11.25" customHeight="1" x14ac:dyDescent="0.25">
      <c r="A58" s="383">
        <v>1986</v>
      </c>
      <c r="B58" s="193" t="str">
        <f>'A-7'!B228</f>
        <v>-</v>
      </c>
      <c r="C58" s="193" t="str">
        <f>IF(AND('A-7'!C228="-",'A-2'!B12="-",'A-2'!B57="-"),"-",SUM('A-7'!C228,'A-2'!B12,'A-2'!B57))</f>
        <v>-</v>
      </c>
      <c r="D58" s="193">
        <f>IF(AND('A-7'!D228="-",'A-2'!C12="-",'A-2'!C57="-"),"-",SUM('A-7'!D228,'A-2'!C12,'A-2'!C57))</f>
        <v>546</v>
      </c>
      <c r="E58" s="193">
        <f>IF(AND('A-7'!E228="-",'A-2'!D12="-",'A-2'!D57="-"),"-",SUM('A-7'!E228,'A-2'!D12,'A-2'!D57))</f>
        <v>1594.896978729359</v>
      </c>
      <c r="F58" s="193">
        <f>IF(AND('A-7'!F228="-",'A-2'!E12="-",'A-2'!E57="-"),"-",SUM('A-7'!F228,'A-2'!E12,'A-2'!E57))</f>
        <v>1490.4998867212082</v>
      </c>
      <c r="G58" s="193">
        <f>IF(AND('A-7'!G228="-",'A-2'!F12="-",'A-2'!F57="-"),"-",SUM('A-7'!G228,'A-2'!F12,'A-2'!F57))</f>
        <v>2585.7843486261554</v>
      </c>
      <c r="H58" s="193">
        <f>IF(AND('A-7'!H228="-",'A-2'!G12="-",'A-2'!G57="-"),"-",SUM('A-7'!H228,'A-2'!G12,'A-2'!G57))</f>
        <v>347</v>
      </c>
      <c r="I58" s="193">
        <f>IF(AND('A-7'!I228="-",'A-2'!H12="-",'A-2'!H57="-"),"-",SUM('A-7'!I228,'A-2'!H12,'A-2'!H57))</f>
        <v>175</v>
      </c>
      <c r="J58" s="193">
        <f>'A-7'!J228</f>
        <v>114</v>
      </c>
      <c r="K58" s="193" t="str">
        <f>'A-7'!K228</f>
        <v>-</v>
      </c>
      <c r="L58" s="200">
        <f>IF(AND('A-7'!L228="-",'A-2'!I12="-",'A-2'!I57="-"),"-",SUM('A-7'!L228,'A-2'!I12,'A-2'!I57))</f>
        <v>6853.1812140767224</v>
      </c>
      <c r="M58" s="22"/>
      <c r="N58" s="22"/>
    </row>
    <row r="59" spans="1:14" ht="11.25" customHeight="1" x14ac:dyDescent="0.25">
      <c r="A59" s="383">
        <v>1987</v>
      </c>
      <c r="B59" s="193" t="str">
        <f>'A-7'!B229</f>
        <v>-</v>
      </c>
      <c r="C59" s="193" t="str">
        <f>IF(AND('A-7'!C229="-",'A-2'!B13="-",'A-2'!B58="-"),"-",SUM('A-7'!C229,'A-2'!B13,'A-2'!B58))</f>
        <v>-</v>
      </c>
      <c r="D59" s="193">
        <f>IF(AND('A-7'!D229="-",'A-2'!C13="-",'A-2'!C58="-"),"-",SUM('A-7'!D229,'A-2'!C13,'A-2'!C58))</f>
        <v>495</v>
      </c>
      <c r="E59" s="193">
        <f>IF(AND('A-7'!E229="-",'A-2'!D13="-",'A-2'!D58="-"),"-",SUM('A-7'!E229,'A-2'!D13,'A-2'!D58))</f>
        <v>3122.1861560690131</v>
      </c>
      <c r="F59" s="193">
        <f>IF(AND('A-7'!F229="-",'A-2'!E13="-",'A-2'!E58="-"),"-",SUM('A-7'!F229,'A-2'!E13,'A-2'!E58))</f>
        <v>22</v>
      </c>
      <c r="G59" s="193" t="str">
        <f>IF(AND('A-7'!G229="-",'A-2'!F13="-",'A-2'!F58="-"),"-",SUM('A-7'!G229,'A-2'!F13,'A-2'!F58))</f>
        <v>-</v>
      </c>
      <c r="H59" s="193">
        <f>IF(AND('A-7'!H229="-",'A-2'!G13="-",'A-2'!G58="-"),"-",SUM('A-7'!H229,'A-2'!G13,'A-2'!G58))</f>
        <v>512.62835249042143</v>
      </c>
      <c r="I59" s="193">
        <f>IF(AND('A-7'!I229="-",'A-2'!H13="-",'A-2'!H58="-"),"-",SUM('A-7'!I229,'A-2'!H13,'A-2'!H58))</f>
        <v>304</v>
      </c>
      <c r="J59" s="193">
        <f>'A-7'!J229</f>
        <v>311</v>
      </c>
      <c r="K59" s="193" t="str">
        <f>'A-7'!K229</f>
        <v>-</v>
      </c>
      <c r="L59" s="200">
        <f>IF(AND('A-7'!L229="-",'A-2'!I13="-",'A-2'!I58="-"),"-",SUM('A-7'!L229,'A-2'!I13,'A-2'!I58))</f>
        <v>4766.8145085594351</v>
      </c>
      <c r="M59" s="22"/>
      <c r="N59" s="22"/>
    </row>
    <row r="60" spans="1:14" ht="11.25" customHeight="1" x14ac:dyDescent="0.25">
      <c r="A60" s="383">
        <v>1988</v>
      </c>
      <c r="B60" s="193" t="str">
        <f>'A-7'!B230</f>
        <v>-</v>
      </c>
      <c r="C60" s="193" t="str">
        <f>IF(AND('A-7'!C230="-",'A-2'!B14="-",'A-2'!B59="-"),"-",SUM('A-7'!C230,'A-2'!B14,'A-2'!B59))</f>
        <v>-</v>
      </c>
      <c r="D60" s="193">
        <f>IF(AND('A-7'!D230="-",'A-2'!C14="-",'A-2'!C59="-"),"-",SUM('A-7'!D230,'A-2'!C14,'A-2'!C59))</f>
        <v>311</v>
      </c>
      <c r="E60" s="193">
        <f>IF(AND('A-7'!E230="-",'A-2'!D14="-",'A-2'!D59="-"),"-",SUM('A-7'!E230,'A-2'!D14,'A-2'!D59))</f>
        <v>1652.3335891834445</v>
      </c>
      <c r="F60" s="193" t="str">
        <f>IF(AND('A-7'!F230="-",'A-2'!E14="-",'A-2'!E59="-"),"-",SUM('A-7'!F230,'A-2'!E14,'A-2'!E59))</f>
        <v>-</v>
      </c>
      <c r="G60" s="193" t="str">
        <f>IF(AND('A-7'!G230="-",'A-2'!F14="-",'A-2'!F59="-"),"-",SUM('A-7'!G230,'A-2'!F14,'A-2'!F59))</f>
        <v>-</v>
      </c>
      <c r="H60" s="193">
        <f>IF(AND('A-7'!H230="-",'A-2'!G14="-",'A-2'!G59="-"),"-",SUM('A-7'!H230,'A-2'!G14,'A-2'!G59))</f>
        <v>839.28634386778776</v>
      </c>
      <c r="I60" s="193">
        <f>IF(AND('A-7'!I230="-",'A-2'!H14="-",'A-2'!H59="-"),"-",SUM('A-7'!I230,'A-2'!H14,'A-2'!H59))</f>
        <v>193</v>
      </c>
      <c r="J60" s="193">
        <f>'A-7'!J230</f>
        <v>227</v>
      </c>
      <c r="K60" s="193" t="str">
        <f>'A-7'!K230</f>
        <v>-</v>
      </c>
      <c r="L60" s="200">
        <f>IF(AND('A-7'!L230="-",'A-2'!I14="-",'A-2'!I59="-"),"-",SUM('A-7'!L230,'A-2'!I14,'A-2'!I59))</f>
        <v>3222.6199330512322</v>
      </c>
      <c r="M60" s="22"/>
      <c r="N60" s="22"/>
    </row>
    <row r="61" spans="1:14" ht="11.25" customHeight="1" x14ac:dyDescent="0.25">
      <c r="A61" s="383">
        <v>1989</v>
      </c>
      <c r="B61" s="193" t="str">
        <f>'A-7'!B231</f>
        <v>-</v>
      </c>
      <c r="C61" s="193" t="str">
        <f>IF(AND('A-7'!C231="-",'A-2'!B15="-",'A-2'!B60="-"),"-",SUM('A-7'!C231,'A-2'!B15,'A-2'!B60))</f>
        <v>-</v>
      </c>
      <c r="D61" s="193">
        <f>IF(AND('A-7'!D231="-",'A-2'!C15="-",'A-2'!C60="-"),"-",SUM('A-7'!D231,'A-2'!C15,'A-2'!C60))</f>
        <v>247</v>
      </c>
      <c r="E61" s="193">
        <f>IF(AND('A-7'!E231="-",'A-2'!D15="-",'A-2'!D60="-"),"-",SUM('A-7'!E231,'A-2'!D15,'A-2'!D60))</f>
        <v>1185.9136012567092</v>
      </c>
      <c r="F61" s="193" t="str">
        <f>IF(AND('A-7'!F231="-",'A-2'!E15="-",'A-2'!E60="-"),"-",SUM('A-7'!F231,'A-2'!E15,'A-2'!E60))</f>
        <v>-</v>
      </c>
      <c r="G61" s="193">
        <f>IF(AND('A-7'!G231="-",'A-2'!F15="-",'A-2'!F60="-"),"-",SUM('A-7'!G231,'A-2'!F15,'A-2'!F60))</f>
        <v>562.49017989767287</v>
      </c>
      <c r="H61" s="193">
        <f>IF(AND('A-7'!H231="-",'A-2'!G15="-",'A-2'!G60="-"),"-",SUM('A-7'!H231,'A-2'!G15,'A-2'!G60))</f>
        <v>746</v>
      </c>
      <c r="I61" s="193">
        <f>IF(AND('A-7'!I231="-",'A-2'!H15="-",'A-2'!H60="-"),"-",SUM('A-7'!I231,'A-2'!H15,'A-2'!H60))</f>
        <v>118</v>
      </c>
      <c r="J61" s="193" t="str">
        <f>'A-7'!J231</f>
        <v>-</v>
      </c>
      <c r="K61" s="193" t="str">
        <f>'A-7'!K231</f>
        <v>-</v>
      </c>
      <c r="L61" s="200">
        <f>IF(AND('A-7'!L231="-",'A-2'!I15="-",'A-2'!I60="-"),"-",SUM('A-7'!L231,'A-2'!I15,'A-2'!I60))</f>
        <v>2859.4037811543822</v>
      </c>
      <c r="M61" s="22"/>
      <c r="N61" s="22"/>
    </row>
    <row r="62" spans="1:14" ht="11.25" customHeight="1" x14ac:dyDescent="0.25">
      <c r="A62" s="383">
        <v>1990</v>
      </c>
      <c r="B62" s="193" t="str">
        <f>'A-7'!B232</f>
        <v>-</v>
      </c>
      <c r="C62" s="193" t="str">
        <f>IF(AND('A-7'!C232="-",'A-2'!B16="-",'A-2'!B61="-"),"-",SUM('A-7'!C232,'A-2'!B16,'A-2'!B61))</f>
        <v>-</v>
      </c>
      <c r="D62" s="193">
        <f>IF(AND('A-7'!D232="-",'A-2'!C16="-",'A-2'!C61="-"),"-",SUM('A-7'!D232,'A-2'!C16,'A-2'!C61))</f>
        <v>33</v>
      </c>
      <c r="E62" s="193" t="str">
        <f>IF(AND('A-7'!E232="-",'A-2'!D16="-",'A-2'!D61="-"),"-",SUM('A-7'!E232,'A-2'!D16,'A-2'!D61))</f>
        <v>-</v>
      </c>
      <c r="F62" s="193" t="str">
        <f>IF(AND('A-7'!F232="-",'A-2'!E16="-",'A-2'!E61="-"),"-",SUM('A-7'!F232,'A-2'!E16,'A-2'!E61))</f>
        <v>-</v>
      </c>
      <c r="G62" s="193">
        <f>IF(AND('A-7'!G232="-",'A-2'!F16="-",'A-2'!F61="-"),"-",SUM('A-7'!G232,'A-2'!F16,'A-2'!F61))</f>
        <v>1071</v>
      </c>
      <c r="H62" s="193">
        <f>IF(AND('A-7'!H232="-",'A-2'!G16="-",'A-2'!G61="-"),"-",SUM('A-7'!H232,'A-2'!G16,'A-2'!G61))</f>
        <v>311</v>
      </c>
      <c r="I62" s="193">
        <f>IF(AND('A-7'!I232="-",'A-2'!H16="-",'A-2'!H61="-"),"-",SUM('A-7'!I232,'A-2'!H16,'A-2'!H61))</f>
        <v>10</v>
      </c>
      <c r="J62" s="193" t="str">
        <f>'A-7'!J232</f>
        <v>-</v>
      </c>
      <c r="K62" s="193" t="str">
        <f>'A-7'!K232</f>
        <v>-</v>
      </c>
      <c r="L62" s="200">
        <f>IF(AND('A-7'!L232="-",'A-2'!I16="-",'A-2'!I61="-"),"-",SUM('A-7'!L232,'A-2'!I16,'A-2'!I61))</f>
        <v>1425</v>
      </c>
      <c r="M62" s="22"/>
      <c r="N62" s="22"/>
    </row>
    <row r="63" spans="1:14" ht="11.25" customHeight="1" x14ac:dyDescent="0.25">
      <c r="A63" s="383">
        <v>1991</v>
      </c>
      <c r="B63" s="193" t="str">
        <f>'A-7'!B233</f>
        <v>-</v>
      </c>
      <c r="C63" s="193" t="str">
        <f>IF(AND('A-7'!C233="-",'A-2'!B17="-",'A-2'!B62="-"),"-",SUM('A-7'!C233,'A-2'!B17,'A-2'!B62))</f>
        <v>-</v>
      </c>
      <c r="D63" s="193" t="str">
        <f>IF(AND('A-7'!D233="-",'A-2'!C17="-",'A-2'!C62="-"),"-",SUM('A-7'!D233,'A-2'!C17,'A-2'!C62))</f>
        <v>-</v>
      </c>
      <c r="E63" s="193" t="str">
        <f>IF(AND('A-7'!E233="-",'A-2'!D17="-",'A-2'!D62="-"),"-",SUM('A-7'!E233,'A-2'!D17,'A-2'!D62))</f>
        <v>-</v>
      </c>
      <c r="F63" s="193" t="str">
        <f>IF(AND('A-7'!F233="-",'A-2'!E17="-",'A-2'!E62="-"),"-",SUM('A-7'!F233,'A-2'!E17,'A-2'!E62))</f>
        <v>-</v>
      </c>
      <c r="G63" s="193" t="str">
        <f>IF(AND('A-7'!G233="-",'A-2'!F17="-",'A-2'!F62="-"),"-",SUM('A-7'!G233,'A-2'!F17,'A-2'!F62))</f>
        <v>-</v>
      </c>
      <c r="H63" s="193">
        <f>IF(AND('A-7'!H233="-",'A-2'!G17="-",'A-2'!G62="-"),"-",SUM('A-7'!H233,'A-2'!G17,'A-2'!G62))</f>
        <v>522</v>
      </c>
      <c r="I63" s="193">
        <f>IF(AND('A-7'!I233="-",'A-2'!H17="-",'A-2'!H62="-"),"-",SUM('A-7'!I233,'A-2'!H17,'A-2'!H62))</f>
        <v>100</v>
      </c>
      <c r="J63" s="193" t="str">
        <f>'A-7'!J233</f>
        <v>-</v>
      </c>
      <c r="K63" s="193" t="str">
        <f>'A-7'!K233</f>
        <v>-</v>
      </c>
      <c r="L63" s="200">
        <f>IF(AND('A-7'!L233="-",'A-2'!I17="-",'A-2'!I62="-"),"-",SUM('A-7'!L233,'A-2'!I17,'A-2'!I62))</f>
        <v>622</v>
      </c>
      <c r="M63" s="22"/>
      <c r="N63" s="22"/>
    </row>
    <row r="64" spans="1:14" ht="11.25" customHeight="1" x14ac:dyDescent="0.25">
      <c r="A64" s="383">
        <v>1992</v>
      </c>
      <c r="B64" s="193" t="str">
        <f>'A-7'!B234</f>
        <v>-</v>
      </c>
      <c r="C64" s="193" t="str">
        <f>IF(AND('A-7'!C234="-",'A-2'!B18="-",'A-2'!B63="-"),"-",SUM('A-7'!C234,'A-2'!B18,'A-2'!B63))</f>
        <v>-</v>
      </c>
      <c r="D64" s="193" t="str">
        <f>IF(AND('A-7'!D234="-",'A-2'!C18="-",'A-2'!C63="-"),"-",SUM('A-7'!D234,'A-2'!C18,'A-2'!C63))</f>
        <v>-</v>
      </c>
      <c r="E64" s="193" t="str">
        <f>IF(AND('A-7'!E234="-",'A-2'!D18="-",'A-2'!D63="-"),"-",SUM('A-7'!E234,'A-2'!D18,'A-2'!D63))</f>
        <v>-</v>
      </c>
      <c r="F64" s="193" t="str">
        <f>IF(AND('A-7'!F234="-",'A-2'!E18="-",'A-2'!E63="-"),"-",SUM('A-7'!F234,'A-2'!E18,'A-2'!E63))</f>
        <v>-</v>
      </c>
      <c r="G64" s="193" t="str">
        <f>IF(AND('A-7'!G234="-",'A-2'!F18="-",'A-2'!F63="-"),"-",SUM('A-7'!G234,'A-2'!F18,'A-2'!F63))</f>
        <v>-</v>
      </c>
      <c r="H64" s="193" t="str">
        <f>IF(AND('A-7'!H234="-",'A-2'!G18="-",'A-2'!G63="-"),"-",SUM('A-7'!H234,'A-2'!G18,'A-2'!G63))</f>
        <v>-</v>
      </c>
      <c r="I64" s="193" t="str">
        <f>IF(AND('A-7'!I234="-",'A-2'!H18="-",'A-2'!H63="-"),"-",SUM('A-7'!I234,'A-2'!H18,'A-2'!H63))</f>
        <v>-</v>
      </c>
      <c r="J64" s="193" t="str">
        <f>'A-7'!J234</f>
        <v>-</v>
      </c>
      <c r="K64" s="193" t="str">
        <f>'A-7'!K234</f>
        <v>-</v>
      </c>
      <c r="L64" s="200" t="str">
        <f>IF(AND('A-7'!L234="-",'A-2'!I18="-",'A-2'!I63="-"),"-",SUM('A-7'!L234,'A-2'!I18,'A-2'!I63))</f>
        <v>-</v>
      </c>
      <c r="M64" s="22"/>
      <c r="N64" s="22"/>
    </row>
    <row r="65" spans="1:14" ht="11.25" customHeight="1" x14ac:dyDescent="0.25">
      <c r="A65" s="383">
        <v>1993</v>
      </c>
      <c r="B65" s="193" t="str">
        <f>'A-7'!B235</f>
        <v>-</v>
      </c>
      <c r="C65" s="193" t="str">
        <f>IF(AND('A-7'!C235="-",'A-2'!B19="-",'A-2'!B64="-"),"-",SUM('A-7'!C235,'A-2'!B19,'A-2'!B64))</f>
        <v>-</v>
      </c>
      <c r="D65" s="193" t="str">
        <f>IF(AND('A-7'!D235="-",'A-2'!C19="-",'A-2'!C64="-"),"-",SUM('A-7'!D235,'A-2'!C19,'A-2'!C64))</f>
        <v>-</v>
      </c>
      <c r="E65" s="193" t="str">
        <f>IF(AND('A-7'!E235="-",'A-2'!D19="-",'A-2'!D64="-"),"-",SUM('A-7'!E235,'A-2'!D19,'A-2'!D64))</f>
        <v>-</v>
      </c>
      <c r="F65" s="193" t="str">
        <f>IF(AND('A-7'!F235="-",'A-2'!E19="-",'A-2'!E64="-"),"-",SUM('A-7'!F235,'A-2'!E19,'A-2'!E64))</f>
        <v>-</v>
      </c>
      <c r="G65" s="193" t="str">
        <f>IF(AND('A-7'!G235="-",'A-2'!F19="-",'A-2'!F64="-"),"-",SUM('A-7'!G235,'A-2'!F19,'A-2'!F64))</f>
        <v>-</v>
      </c>
      <c r="H65" s="193" t="str">
        <f>IF(AND('A-7'!H235="-",'A-2'!G19="-",'A-2'!G64="-"),"-",SUM('A-7'!H235,'A-2'!G19,'A-2'!G64))</f>
        <v>-</v>
      </c>
      <c r="I65" s="193" t="str">
        <f>IF(AND('A-7'!I235="-",'A-2'!H19="-",'A-2'!H64="-"),"-",SUM('A-7'!I235,'A-2'!H19,'A-2'!H64))</f>
        <v>-</v>
      </c>
      <c r="J65" s="193" t="str">
        <f>'A-7'!J235</f>
        <v>-</v>
      </c>
      <c r="K65" s="193" t="str">
        <f>'A-7'!K235</f>
        <v>-</v>
      </c>
      <c r="L65" s="200" t="str">
        <f>IF(AND('A-7'!L235="-",'A-2'!I19="-",'A-2'!I64="-"),"-",SUM('A-7'!L235,'A-2'!I19,'A-2'!I64))</f>
        <v>-</v>
      </c>
      <c r="M65" s="22"/>
      <c r="N65" s="22"/>
    </row>
    <row r="66" spans="1:14" ht="11.25" customHeight="1" x14ac:dyDescent="0.25">
      <c r="A66" s="383">
        <v>1994</v>
      </c>
      <c r="B66" s="193" t="str">
        <f>'A-7'!B236</f>
        <v>-</v>
      </c>
      <c r="C66" s="193" t="str">
        <f>IF(AND('A-7'!C236="-",'A-2'!B20="-",'A-2'!B65="-"),"-",SUM('A-7'!C236,'A-2'!B20,'A-2'!B65))</f>
        <v>-</v>
      </c>
      <c r="D66" s="193">
        <f>IF(AND('A-7'!D236="-",'A-2'!C20="-",'A-2'!C65="-"),"-",SUM('A-7'!D236,'A-2'!C20,'A-2'!C65))</f>
        <v>44</v>
      </c>
      <c r="E66" s="193" t="str">
        <f>IF(AND('A-7'!E236="-",'A-2'!D20="-",'A-2'!D65="-"),"-",SUM('A-7'!E236,'A-2'!D20,'A-2'!D65))</f>
        <v>-</v>
      </c>
      <c r="F66" s="193" t="str">
        <f>IF(AND('A-7'!F236="-",'A-2'!E20="-",'A-2'!E65="-"),"-",SUM('A-7'!F236,'A-2'!E20,'A-2'!E65))</f>
        <v>-</v>
      </c>
      <c r="G66" s="193">
        <f>IF(AND('A-7'!G236="-",'A-2'!F20="-",'A-2'!F65="-"),"-",SUM('A-7'!G236,'A-2'!F20,'A-2'!F65))</f>
        <v>56</v>
      </c>
      <c r="H66" s="193" t="str">
        <f>IF(AND('A-7'!H236="-",'A-2'!G20="-",'A-2'!G65="-"),"-",SUM('A-7'!H236,'A-2'!G20,'A-2'!G65))</f>
        <v>-</v>
      </c>
      <c r="I66" s="193">
        <f>IF(AND('A-7'!I236="-",'A-2'!H20="-",'A-2'!H65="-"),"-",SUM('A-7'!I236,'A-2'!H20,'A-2'!H65))</f>
        <v>183</v>
      </c>
      <c r="J66" s="193" t="str">
        <f>'A-7'!J236</f>
        <v>-</v>
      </c>
      <c r="K66" s="193" t="str">
        <f>'A-7'!K236</f>
        <v>-</v>
      </c>
      <c r="L66" s="200">
        <f>IF(AND('A-7'!L236="-",'A-2'!I20="-",'A-2'!I65="-"),"-",SUM('A-7'!L236,'A-2'!I20,'A-2'!I65))</f>
        <v>283</v>
      </c>
      <c r="M66" s="22"/>
      <c r="N66" s="22"/>
    </row>
    <row r="67" spans="1:14" ht="11.25" customHeight="1" x14ac:dyDescent="0.25">
      <c r="A67" s="383">
        <v>1995</v>
      </c>
      <c r="B67" s="193" t="str">
        <f>'A-7'!B237</f>
        <v>-</v>
      </c>
      <c r="C67" s="193" t="str">
        <f>IF(AND('A-7'!C237="-",'A-2'!B21="-",'A-2'!B66="-"),"-",SUM('A-7'!C237,'A-2'!B21,'A-2'!B66))</f>
        <v>-</v>
      </c>
      <c r="D67" s="193">
        <f>IF(AND('A-7'!D237="-",'A-2'!C21="-",'A-2'!C66="-"),"-",SUM('A-7'!D237,'A-2'!C21,'A-2'!C66))</f>
        <v>46</v>
      </c>
      <c r="E67" s="193" t="str">
        <f>IF(AND('A-7'!E237="-",'A-2'!D21="-",'A-2'!D66="-"),"-",SUM('A-7'!E237,'A-2'!D21,'A-2'!D66))</f>
        <v>-</v>
      </c>
      <c r="F67" s="193">
        <f>IF(AND('A-7'!F237="-",'A-2'!E21="-",'A-2'!E66="-"),"-",SUM('A-7'!F237,'A-2'!E21,'A-2'!E66))</f>
        <v>48</v>
      </c>
      <c r="G67" s="193" t="str">
        <f>IF(AND('A-7'!G237="-",'A-2'!F21="-",'A-2'!F66="-"),"-",SUM('A-7'!G237,'A-2'!F21,'A-2'!F66))</f>
        <v>-</v>
      </c>
      <c r="H67" s="193" t="str">
        <f>IF(AND('A-7'!H237="-",'A-2'!G21="-",'A-2'!G66="-"),"-",SUM('A-7'!H237,'A-2'!G21,'A-2'!G66))</f>
        <v>-</v>
      </c>
      <c r="I67" s="193">
        <f>IF(AND('A-7'!I237="-",'A-2'!H21="-",'A-2'!H66="-"),"-",SUM('A-7'!I237,'A-2'!H21,'A-2'!H66))</f>
        <v>188</v>
      </c>
      <c r="J67" s="193" t="str">
        <f>'A-7'!J237</f>
        <v>-</v>
      </c>
      <c r="K67" s="193" t="str">
        <f>'A-7'!K237</f>
        <v>-</v>
      </c>
      <c r="L67" s="200">
        <f>IF(AND('A-7'!L237="-",'A-2'!I21="-",'A-2'!I66="-"),"-",SUM('A-7'!L237,'A-2'!I21,'A-2'!I66))</f>
        <v>282</v>
      </c>
      <c r="M67" s="22"/>
      <c r="N67" s="22"/>
    </row>
    <row r="68" spans="1:14" ht="11.25" customHeight="1" x14ac:dyDescent="0.25">
      <c r="A68" s="383">
        <v>1996</v>
      </c>
      <c r="B68" s="193" t="str">
        <f>'A-7'!B238</f>
        <v>-</v>
      </c>
      <c r="C68" s="193" t="str">
        <f>IF(AND('A-7'!C238="-",'A-2'!B22="-",'A-2'!B67="-"),"-",SUM('A-7'!C238,'A-2'!B22,'A-2'!B67))</f>
        <v>-</v>
      </c>
      <c r="D68" s="193">
        <f>IF(AND('A-7'!D238="-",'A-2'!C22="-",'A-2'!C67="-"),"-",SUM('A-7'!D238,'A-2'!C22,'A-2'!C67))</f>
        <v>99</v>
      </c>
      <c r="E68" s="193">
        <f>IF(AND('A-7'!E238="-",'A-2'!D22="-",'A-2'!D67="-"),"-",SUM('A-7'!E238,'A-2'!D22,'A-2'!D67))</f>
        <v>31</v>
      </c>
      <c r="F68" s="193" t="str">
        <f>IF(AND('A-7'!F238="-",'A-2'!E22="-",'A-2'!E67="-"),"-",SUM('A-7'!F238,'A-2'!E22,'A-2'!E67))</f>
        <v>-</v>
      </c>
      <c r="G68" s="193">
        <f>IF(AND('A-7'!G238="-",'A-2'!F22="-",'A-2'!F67="-"),"-",SUM('A-7'!G238,'A-2'!F22,'A-2'!F67))</f>
        <v>323</v>
      </c>
      <c r="H68" s="193">
        <f>IF(AND('A-7'!H238="-",'A-2'!G22="-",'A-2'!G67="-"),"-",SUM('A-7'!H238,'A-2'!G22,'A-2'!G67))</f>
        <v>298</v>
      </c>
      <c r="I68" s="193">
        <f>IF(AND('A-7'!I238="-",'A-2'!H22="-",'A-2'!H67="-"),"-",SUM('A-7'!I238,'A-2'!H22,'A-2'!H67))</f>
        <v>161</v>
      </c>
      <c r="J68" s="193" t="str">
        <f>'A-7'!J238</f>
        <v>-</v>
      </c>
      <c r="K68" s="193" t="str">
        <f>'A-7'!K238</f>
        <v>-</v>
      </c>
      <c r="L68" s="200">
        <f>IF(AND('A-7'!L238="-",'A-2'!I22="-",'A-2'!I67="-"),"-",SUM('A-7'!L238,'A-2'!I22,'A-2'!I67))</f>
        <v>912</v>
      </c>
      <c r="M68" s="22"/>
      <c r="N68" s="22"/>
    </row>
    <row r="69" spans="1:14" ht="11.25" customHeight="1" x14ac:dyDescent="0.25">
      <c r="A69" s="383">
        <v>1997</v>
      </c>
      <c r="B69" s="193" t="str">
        <f>'A-7'!B239</f>
        <v>-</v>
      </c>
      <c r="C69" s="193">
        <f>IF(AND('A-7'!C239="-",'A-2'!B23="-",'A-2'!B68="-"),"-",SUM('A-7'!C239,'A-2'!B23,'A-2'!B68))</f>
        <v>19</v>
      </c>
      <c r="D69" s="193">
        <f>IF(AND('A-7'!D239="-",'A-2'!C23="-",'A-2'!C68="-"),"-",SUM('A-7'!D239,'A-2'!C23,'A-2'!C68))</f>
        <v>149</v>
      </c>
      <c r="E69" s="193" t="str">
        <f>IF(AND('A-7'!E239="-",'A-2'!D23="-",'A-2'!D68="-"),"-",SUM('A-7'!E239,'A-2'!D23,'A-2'!D68))</f>
        <v>-</v>
      </c>
      <c r="F69" s="193" t="str">
        <f>IF(AND('A-7'!F239="-",'A-2'!E23="-",'A-2'!E68="-"),"-",SUM('A-7'!F239,'A-2'!E23,'A-2'!E68))</f>
        <v>-</v>
      </c>
      <c r="G69" s="193">
        <f>IF(AND('A-7'!G239="-",'A-2'!F23="-",'A-2'!F68="-"),"-",SUM('A-7'!G239,'A-2'!F23,'A-2'!F68))</f>
        <v>38</v>
      </c>
      <c r="H69" s="193">
        <f>IF(AND('A-7'!H239="-",'A-2'!G23="-",'A-2'!G68="-"),"-",SUM('A-7'!H239,'A-2'!G23,'A-2'!G68))</f>
        <v>106</v>
      </c>
      <c r="I69" s="193">
        <f>IF(AND('A-7'!I239="-",'A-2'!H23="-",'A-2'!H68="-"),"-",SUM('A-7'!I239,'A-2'!H23,'A-2'!H68))</f>
        <v>169</v>
      </c>
      <c r="J69" s="193" t="str">
        <f>'A-7'!J239</f>
        <v>-</v>
      </c>
      <c r="K69" s="193" t="str">
        <f>'A-7'!K239</f>
        <v>-</v>
      </c>
      <c r="L69" s="200">
        <f>IF(AND('A-7'!L239="-",'A-2'!I23="-",'A-2'!I68="-"),"-",SUM('A-7'!L239,'A-2'!I23,'A-2'!I68))</f>
        <v>481</v>
      </c>
      <c r="M69" s="22"/>
      <c r="N69" s="22"/>
    </row>
    <row r="70" spans="1:14" ht="11.25" customHeight="1" x14ac:dyDescent="0.25">
      <c r="A70" s="383">
        <v>1998</v>
      </c>
      <c r="B70" s="193" t="str">
        <f>'A-7'!B240</f>
        <v>-</v>
      </c>
      <c r="C70" s="193">
        <f>IF(AND('A-7'!C240="-",'A-2'!B24="-",'A-2'!B69="-"),"-",SUM('A-7'!C240,'A-2'!B24,'A-2'!B69))</f>
        <v>0</v>
      </c>
      <c r="D70" s="193">
        <f>IF(AND('A-7'!D240="-",'A-2'!C24="-",'A-2'!C69="-"),"-",SUM('A-7'!D240,'A-2'!C24,'A-2'!C69))</f>
        <v>22</v>
      </c>
      <c r="E70" s="193" t="str">
        <f>IF(AND('A-7'!E240="-",'A-2'!D24="-",'A-2'!D69="-"),"-",SUM('A-7'!E240,'A-2'!D24,'A-2'!D69))</f>
        <v>-</v>
      </c>
      <c r="F70" s="193" t="str">
        <f>IF(AND('A-7'!F240="-",'A-2'!E24="-",'A-2'!E69="-"),"-",SUM('A-7'!F240,'A-2'!E24,'A-2'!E69))</f>
        <v>-</v>
      </c>
      <c r="G70" s="193">
        <f>IF(AND('A-7'!G240="-",'A-2'!F24="-",'A-2'!F69="-"),"-",SUM('A-7'!G240,'A-2'!F24,'A-2'!F69))</f>
        <v>14</v>
      </c>
      <c r="H70" s="193">
        <f>IF(AND('A-7'!H240="-",'A-2'!G24="-",'A-2'!G69="-"),"-",SUM('A-7'!H240,'A-2'!G24,'A-2'!G69))</f>
        <v>164</v>
      </c>
      <c r="I70" s="193">
        <f>IF(AND('A-7'!I240="-",'A-2'!H24="-",'A-2'!H69="-"),"-",SUM('A-7'!I240,'A-2'!H24,'A-2'!H69))</f>
        <v>172</v>
      </c>
      <c r="J70" s="193" t="str">
        <f>'A-7'!J240</f>
        <v>-</v>
      </c>
      <c r="K70" s="193" t="str">
        <f>'A-7'!K240</f>
        <v>-</v>
      </c>
      <c r="L70" s="200">
        <f>IF(AND('A-7'!L240="-",'A-2'!I24="-",'A-2'!I69="-"),"-",SUM('A-7'!L240,'A-2'!I24,'A-2'!I69))</f>
        <v>372</v>
      </c>
      <c r="M70" s="22"/>
      <c r="N70" s="22"/>
    </row>
    <row r="71" spans="1:14" ht="11.25" customHeight="1" x14ac:dyDescent="0.25">
      <c r="A71" s="383">
        <v>1999</v>
      </c>
      <c r="B71" s="193" t="str">
        <f>'A-7'!B241</f>
        <v>-</v>
      </c>
      <c r="C71" s="193" t="str">
        <f>IF(AND('A-7'!C241="-",'A-2'!B25="-",'A-2'!B70="-"),"-",SUM('A-7'!C241,'A-2'!B25,'A-2'!B70))</f>
        <v>-</v>
      </c>
      <c r="D71" s="193">
        <f>IF(AND('A-7'!D241="-",'A-2'!C25="-",'A-2'!C70="-"),"-",SUM('A-7'!D241,'A-2'!C25,'A-2'!C70))</f>
        <v>3</v>
      </c>
      <c r="E71" s="193" t="str">
        <f>IF(AND('A-7'!E241="-",'A-2'!D25="-",'A-2'!D70="-"),"-",SUM('A-7'!E241,'A-2'!D25,'A-2'!D70))</f>
        <v>-</v>
      </c>
      <c r="F71" s="193" t="str">
        <f>IF(AND('A-7'!F241="-",'A-2'!E25="-",'A-2'!E70="-"),"-",SUM('A-7'!F241,'A-2'!E25,'A-2'!E70))</f>
        <v>-</v>
      </c>
      <c r="G71" s="193">
        <f>IF(AND('A-7'!G241="-",'A-2'!F25="-",'A-2'!F70="-"),"-",SUM('A-7'!G241,'A-2'!F25,'A-2'!F70))</f>
        <v>78</v>
      </c>
      <c r="H71" s="193">
        <f>IF(AND('A-7'!H241="-",'A-2'!G25="-",'A-2'!G70="-"),"-",SUM('A-7'!H241,'A-2'!G25,'A-2'!G70))</f>
        <v>274</v>
      </c>
      <c r="I71" s="193">
        <f>IF(AND('A-7'!I241="-",'A-2'!H25="-",'A-2'!H70="-"),"-",SUM('A-7'!I241,'A-2'!H25,'A-2'!H70))</f>
        <v>120</v>
      </c>
      <c r="J71" s="193">
        <f>'A-7'!J241</f>
        <v>9</v>
      </c>
      <c r="K71" s="193" t="str">
        <f>'A-7'!K241</f>
        <v>-</v>
      </c>
      <c r="L71" s="200">
        <f>IF(AND('A-7'!L241="-",'A-2'!I25="-",'A-2'!I70="-"),"-",SUM('A-7'!L241,'A-2'!I25,'A-2'!I70))</f>
        <v>484</v>
      </c>
      <c r="M71" s="22"/>
      <c r="N71" s="22"/>
    </row>
    <row r="72" spans="1:14" ht="11.25" customHeight="1" x14ac:dyDescent="0.25">
      <c r="A72" s="383">
        <v>2000</v>
      </c>
      <c r="B72" s="193" t="str">
        <f>'A-7'!B242</f>
        <v>-</v>
      </c>
      <c r="C72" s="193" t="str">
        <f>IF(AND('A-7'!C242="-",'A-2'!B26="-",'A-2'!B71="-"),"-",SUM('A-7'!C242,'A-2'!B26,'A-2'!B71))</f>
        <v>-</v>
      </c>
      <c r="D72" s="193">
        <f>IF(AND('A-7'!D242="-",'A-2'!C26="-",'A-2'!C71="-"),"-",SUM('A-7'!D242,'A-2'!C26,'A-2'!C71))</f>
        <v>4</v>
      </c>
      <c r="E72" s="193" t="str">
        <f>IF(AND('A-7'!E242="-",'A-2'!D26="-",'A-2'!D71="-"),"-",SUM('A-7'!E242,'A-2'!D26,'A-2'!D71))</f>
        <v>-</v>
      </c>
      <c r="F72" s="193" t="str">
        <f>IF(AND('A-7'!F242="-",'A-2'!E26="-",'A-2'!E71="-"),"-",SUM('A-7'!F242,'A-2'!E26,'A-2'!E71))</f>
        <v>-</v>
      </c>
      <c r="G72" s="193">
        <f>IF(AND('A-7'!G242="-",'A-2'!F26="-",'A-2'!F71="-"),"-",SUM('A-7'!G242,'A-2'!F26,'A-2'!F71))</f>
        <v>84</v>
      </c>
      <c r="H72" s="193">
        <f>IF(AND('A-7'!H242="-",'A-2'!G26="-",'A-2'!G71="-"),"-",SUM('A-7'!H242,'A-2'!G26,'A-2'!G71))</f>
        <v>198</v>
      </c>
      <c r="I72" s="193">
        <f>IF(AND('A-7'!I242="-",'A-2'!H26="-",'A-2'!H71="-"),"-",SUM('A-7'!I242,'A-2'!H26,'A-2'!H71))</f>
        <v>130</v>
      </c>
      <c r="J72" s="193" t="str">
        <f>'A-7'!J242</f>
        <v>-</v>
      </c>
      <c r="K72" s="193" t="str">
        <f>'A-7'!K242</f>
        <v>-</v>
      </c>
      <c r="L72" s="200">
        <f>IF(AND('A-7'!L242="-",'A-2'!I26="-",'A-2'!I71="-"),"-",SUM('A-7'!L242,'A-2'!I26,'A-2'!I71))</f>
        <v>416</v>
      </c>
      <c r="M72" s="22"/>
      <c r="N72" s="22"/>
    </row>
    <row r="73" spans="1:14" ht="11.25" customHeight="1" x14ac:dyDescent="0.25">
      <c r="A73" s="383">
        <v>2001</v>
      </c>
      <c r="B73" s="193" t="str">
        <f>'A-7'!B243</f>
        <v>-</v>
      </c>
      <c r="C73" s="193" t="str">
        <f>IF(AND('A-7'!C243="-",'A-2'!B27="-",'A-2'!B72="-"),"-",SUM('A-7'!C243,'A-2'!B27,'A-2'!B72))</f>
        <v>-</v>
      </c>
      <c r="D73" s="193">
        <f>IF(AND('A-7'!D243="-",'A-2'!C27="-",'A-2'!C72="-"),"-",SUM('A-7'!D243,'A-2'!C27,'A-2'!C72))</f>
        <v>18</v>
      </c>
      <c r="E73" s="193">
        <f>IF(AND('A-7'!E243="-",'A-2'!D27="-",'A-2'!D72="-"),"-",SUM('A-7'!E243,'A-2'!D27,'A-2'!D72))</f>
        <v>41</v>
      </c>
      <c r="F73" s="193" t="str">
        <f>IF(AND('A-7'!F243="-",'A-2'!E27="-",'A-2'!E72="-"),"-",SUM('A-7'!F243,'A-2'!E27,'A-2'!E72))</f>
        <v>-</v>
      </c>
      <c r="G73" s="193">
        <f>IF(AND('A-7'!G243="-",'A-2'!F27="-",'A-2'!F72="-"),"-",SUM('A-7'!G243,'A-2'!F27,'A-2'!F72))</f>
        <v>150</v>
      </c>
      <c r="H73" s="193">
        <f>IF(AND('A-7'!H243="-",'A-2'!G27="-",'A-2'!G72="-"),"-",SUM('A-7'!H243,'A-2'!G27,'A-2'!G72))</f>
        <v>411</v>
      </c>
      <c r="I73" s="193">
        <f>IF(AND('A-7'!I243="-",'A-2'!H27="-",'A-2'!H72="-"),"-",SUM('A-7'!I243,'A-2'!H27,'A-2'!H72))</f>
        <v>166</v>
      </c>
      <c r="J73" s="193" t="str">
        <f>'A-7'!J243</f>
        <v>-</v>
      </c>
      <c r="K73" s="193" t="str">
        <f>'A-7'!K243</f>
        <v>-</v>
      </c>
      <c r="L73" s="200">
        <f>IF(AND('A-7'!L243="-",'A-2'!I27="-",'A-2'!I72="-"),"-",SUM('A-7'!L243,'A-2'!I27,'A-2'!I72))</f>
        <v>786</v>
      </c>
      <c r="M73" s="22"/>
      <c r="N73" s="22"/>
    </row>
    <row r="74" spans="1:14" ht="11.25" customHeight="1" x14ac:dyDescent="0.25">
      <c r="A74" s="383">
        <v>2002</v>
      </c>
      <c r="B74" s="193">
        <f>'A-7'!B244</f>
        <v>3</v>
      </c>
      <c r="C74" s="193">
        <f>IF(AND('A-7'!C244="-",'A-2'!B28="-",'A-2'!B73="-"),"-",SUM('A-7'!C244,'A-2'!B28,'A-2'!B73))</f>
        <v>15</v>
      </c>
      <c r="D74" s="193">
        <f>IF(AND('A-7'!D244="-",'A-2'!C28="-",'A-2'!C73="-"),"-",SUM('A-7'!D244,'A-2'!C28,'A-2'!C73))</f>
        <v>22</v>
      </c>
      <c r="E74" s="193">
        <f>IF(AND('A-7'!E244="-",'A-2'!D28="-",'A-2'!D73="-"),"-",SUM('A-7'!E244,'A-2'!D28,'A-2'!D73))</f>
        <v>73</v>
      </c>
      <c r="F74" s="193">
        <f>IF(AND('A-7'!F244="-",'A-2'!E28="-",'A-2'!E73="-"),"-",SUM('A-7'!F244,'A-2'!E28,'A-2'!E73))</f>
        <v>82</v>
      </c>
      <c r="G74" s="193">
        <f>IF(AND('A-7'!G244="-",'A-2'!F28="-",'A-2'!F73="-"),"-",SUM('A-7'!G244,'A-2'!F28,'A-2'!F73))</f>
        <v>188</v>
      </c>
      <c r="H74" s="193">
        <f>IF(AND('A-7'!H244="-",'A-2'!G28="-",'A-2'!G73="-"),"-",SUM('A-7'!H244,'A-2'!G28,'A-2'!G73))</f>
        <v>548</v>
      </c>
      <c r="I74" s="193">
        <f>IF(AND('A-7'!I244="-",'A-2'!H28="-",'A-2'!H73="-"),"-",SUM('A-7'!I244,'A-2'!H28,'A-2'!H73))</f>
        <v>102</v>
      </c>
      <c r="J74" s="193" t="str">
        <f>'A-7'!J244</f>
        <v>-</v>
      </c>
      <c r="K74" s="193" t="str">
        <f>'A-7'!K244</f>
        <v>-</v>
      </c>
      <c r="L74" s="200">
        <f>IF(AND('A-7'!L244="-",'A-2'!I28="-",'A-2'!I73="-"),"-",SUM('A-7'!L244,'A-2'!I28,'A-2'!I73))</f>
        <v>1033</v>
      </c>
      <c r="M74" s="22"/>
      <c r="N74" s="22"/>
    </row>
    <row r="75" spans="1:14" ht="11.25" customHeight="1" x14ac:dyDescent="0.25">
      <c r="A75" s="402">
        <v>2003</v>
      </c>
      <c r="B75" s="193">
        <f>'A-7'!B245</f>
        <v>0</v>
      </c>
      <c r="C75" s="193">
        <f>IF(AND('A-7'!C245="-",'A-2'!B29="-",'A-2'!B74="-"),"-",SUM('A-7'!C245,'A-2'!B29,'A-2'!B74))</f>
        <v>21</v>
      </c>
      <c r="D75" s="193">
        <f>IF(AND('A-7'!D245="-",'A-2'!C29="-",'A-2'!C74="-"),"-",SUM('A-7'!D245,'A-2'!C29,'A-2'!C74))</f>
        <v>49</v>
      </c>
      <c r="E75" s="193">
        <f>IF(AND('A-7'!E245="-",'A-2'!D29="-",'A-2'!D74="-"),"-",SUM('A-7'!E245,'A-2'!D29,'A-2'!D74))</f>
        <v>74</v>
      </c>
      <c r="F75" s="193">
        <f>IF(AND('A-7'!F245="-",'A-2'!E29="-",'A-2'!E74="-"),"-",SUM('A-7'!F245,'A-2'!E29,'A-2'!E74))</f>
        <v>109</v>
      </c>
      <c r="G75" s="193">
        <f>IF(AND('A-7'!G245="-",'A-2'!F29="-",'A-2'!F74="-"),"-",SUM('A-7'!G245,'A-2'!F29,'A-2'!F74))</f>
        <v>106</v>
      </c>
      <c r="H75" s="193">
        <f>IF(AND('A-7'!H245="-",'A-2'!G29="-",'A-2'!G74="-"),"-",SUM('A-7'!H245,'A-2'!G29,'A-2'!G74))</f>
        <v>185</v>
      </c>
      <c r="I75" s="193">
        <f>IF(AND('A-7'!I245="-",'A-2'!H29="-",'A-2'!H74="-"),"-",SUM('A-7'!I245,'A-2'!H29,'A-2'!H74))</f>
        <v>113</v>
      </c>
      <c r="J75" s="193">
        <f>'A-7'!J245</f>
        <v>2</v>
      </c>
      <c r="K75" s="193" t="str">
        <f>'A-7'!K245</f>
        <v>-</v>
      </c>
      <c r="L75" s="200">
        <f>IF(AND('A-7'!L245="-",'A-2'!I29="-",'A-2'!I74="-"),"-",SUM('A-7'!L245,'A-2'!I29,'A-2'!I74))</f>
        <v>659</v>
      </c>
      <c r="M75" s="22"/>
      <c r="N75" s="22"/>
    </row>
    <row r="76" spans="1:14" ht="11.25" customHeight="1" x14ac:dyDescent="0.25">
      <c r="A76" s="383">
        <v>2004</v>
      </c>
      <c r="B76" s="193">
        <f>'A-7'!B246</f>
        <v>2</v>
      </c>
      <c r="C76" s="193">
        <f>IF(AND('A-7'!C246="-",'A-2'!B30="-",'A-2'!B75="-"),"-",SUM('A-7'!C246,'A-2'!B30,'A-2'!B75))</f>
        <v>31</v>
      </c>
      <c r="D76" s="193">
        <f>IF(AND('A-7'!D246="-",'A-2'!C30="-",'A-2'!C75="-"),"-",SUM('A-7'!D246,'A-2'!C30,'A-2'!C75))</f>
        <v>73</v>
      </c>
      <c r="E76" s="193">
        <f>IF(AND('A-7'!E246="-",'A-2'!D30="-",'A-2'!D75="-"),"-",SUM('A-7'!E246,'A-2'!D30,'A-2'!D75))</f>
        <v>141</v>
      </c>
      <c r="F76" s="193">
        <f>IF(AND('A-7'!F246="-",'A-2'!E30="-",'A-2'!E75="-"),"-",SUM('A-7'!F246,'A-2'!E30,'A-2'!E75))</f>
        <v>138</v>
      </c>
      <c r="G76" s="193">
        <f>IF(AND('A-7'!G246="-",'A-2'!F30="-",'A-2'!F75="-"),"-",SUM('A-7'!G246,'A-2'!F30,'A-2'!F75))</f>
        <v>220</v>
      </c>
      <c r="H76" s="193">
        <f>IF(AND('A-7'!H246="-",'A-2'!G30="-",'A-2'!G75="-"),"-",SUM('A-7'!H246,'A-2'!G30,'A-2'!G75))</f>
        <v>358</v>
      </c>
      <c r="I76" s="193">
        <f>IF(AND('A-7'!I246="-",'A-2'!H30="-",'A-2'!H75="-"),"-",SUM('A-7'!I246,'A-2'!H30,'A-2'!H75))</f>
        <v>61</v>
      </c>
      <c r="J76" s="193">
        <f>'A-7'!J246</f>
        <v>18</v>
      </c>
      <c r="K76" s="193" t="str">
        <f>'A-7'!K246</f>
        <v>-</v>
      </c>
      <c r="L76" s="200">
        <f>IF(AND('A-7'!L246="-",'A-2'!I30="-",'A-2'!I75="-"),"-",SUM('A-7'!L246,'A-2'!I30,'A-2'!I75))</f>
        <v>1042</v>
      </c>
      <c r="M76" s="22"/>
      <c r="N76" s="22"/>
    </row>
    <row r="77" spans="1:14" ht="11.25" customHeight="1" x14ac:dyDescent="0.25">
      <c r="A77" s="402">
        <v>2005</v>
      </c>
      <c r="B77" s="193">
        <f>'A-7'!B247</f>
        <v>6</v>
      </c>
      <c r="C77" s="193">
        <f>IF(AND('A-7'!C247="-",'A-2'!B31="-",'A-2'!B76="-"),"-",SUM('A-7'!C247,'A-2'!B31,'A-2'!B76))</f>
        <v>1</v>
      </c>
      <c r="D77" s="193" t="str">
        <f>IF(AND('A-7'!D247="-",'A-2'!C31="-",'A-2'!C76="-"),"-",SUM('A-7'!D247,'A-2'!C31,'A-2'!C76))</f>
        <v>-</v>
      </c>
      <c r="E77" s="193" t="str">
        <f>IF(AND('A-7'!E247="-",'A-2'!D31="-",'A-2'!D76="-"),"-",SUM('A-7'!E247,'A-2'!D31,'A-2'!D76))</f>
        <v>-</v>
      </c>
      <c r="F77" s="193" t="str">
        <f>IF(AND('A-7'!F247="-",'A-2'!E31="-",'A-2'!E76="-"),"-",SUM('A-7'!F247,'A-2'!E31,'A-2'!E76))</f>
        <v>-</v>
      </c>
      <c r="G77" s="193" t="str">
        <f>IF(AND('A-7'!G247="-",'A-2'!F31="-",'A-2'!F76="-"),"-",SUM('A-7'!G247,'A-2'!F31,'A-2'!F76))</f>
        <v>-</v>
      </c>
      <c r="H77" s="193">
        <f>IF(AND('A-7'!H247="-",'A-2'!G31="-",'A-2'!G76="-"),"-",SUM('A-7'!H247,'A-2'!G31,'A-2'!G76))</f>
        <v>438</v>
      </c>
      <c r="I77" s="193">
        <f>IF(AND('A-7'!I247="-",'A-2'!H31="-",'A-2'!H76="-"),"-",SUM('A-7'!I247,'A-2'!H31,'A-2'!H76))</f>
        <v>110</v>
      </c>
      <c r="J77" s="193">
        <f>'A-7'!J247</f>
        <v>18</v>
      </c>
      <c r="K77" s="193" t="str">
        <f>'A-7'!K247</f>
        <v>-</v>
      </c>
      <c r="L77" s="200">
        <f>IF(AND('A-7'!L247="-",'A-2'!I31="-",'A-2'!I76="-"),"-",SUM('A-7'!L247,'A-2'!I31,'A-2'!I76))</f>
        <v>573</v>
      </c>
      <c r="M77" s="22"/>
      <c r="N77" s="22"/>
    </row>
    <row r="78" spans="1:14" ht="11.25" customHeight="1" x14ac:dyDescent="0.25">
      <c r="A78" s="383">
        <v>2006</v>
      </c>
      <c r="B78" s="193" t="str">
        <f>'A-7'!B248</f>
        <v>-</v>
      </c>
      <c r="C78" s="193" t="str">
        <f>IF(AND('A-7'!C248="-",'A-2'!B32="-",'A-2'!B77="-"),"-",SUM('A-7'!C248,'A-2'!B32,'A-2'!B77))</f>
        <v>-</v>
      </c>
      <c r="D78" s="193" t="str">
        <f>IF(AND('A-7'!D248="-",'A-2'!C32="-",'A-2'!C77="-"),"-",SUM('A-7'!D248,'A-2'!C32,'A-2'!C77))</f>
        <v>-</v>
      </c>
      <c r="E78" s="193" t="str">
        <f>IF(AND('A-7'!E248="-",'A-2'!D32="-",'A-2'!D77="-"),"-",SUM('A-7'!E248,'A-2'!D32,'A-2'!D77))</f>
        <v>-</v>
      </c>
      <c r="F78" s="193" t="str">
        <f>IF(AND('A-7'!F248="-",'A-2'!E32="-",'A-2'!E77="-"),"-",SUM('A-7'!F248,'A-2'!E32,'A-2'!E77))</f>
        <v>-</v>
      </c>
      <c r="G78" s="193" t="str">
        <f>IF(AND('A-7'!G248="-",'A-2'!F32="-",'A-2'!F77="-"),"-",SUM('A-7'!G248,'A-2'!F32,'A-2'!F77))</f>
        <v>-</v>
      </c>
      <c r="H78" s="193">
        <f>IF(AND('A-7'!H248="-",'A-2'!G32="-",'A-2'!G77="-"),"-",SUM('A-7'!H248,'A-2'!G32,'A-2'!G77))</f>
        <v>6</v>
      </c>
      <c r="I78" s="193">
        <f>IF(AND('A-7'!I248="-",'A-2'!H32="-",'A-2'!H77="-"),"-",SUM('A-7'!I248,'A-2'!H32,'A-2'!H77))</f>
        <v>151</v>
      </c>
      <c r="J78" s="193">
        <f>'A-7'!J248</f>
        <v>27</v>
      </c>
      <c r="K78" s="193" t="str">
        <f>'A-7'!K248</f>
        <v>-</v>
      </c>
      <c r="L78" s="200">
        <f>IF(AND('A-7'!L248="-",'A-2'!I32="-",'A-2'!I77="-"),"-",SUM('A-7'!L248,'A-2'!I32,'A-2'!I77))</f>
        <v>184</v>
      </c>
      <c r="M78" s="22"/>
      <c r="N78" s="22"/>
    </row>
    <row r="79" spans="1:14" ht="11.25" customHeight="1" x14ac:dyDescent="0.25">
      <c r="A79" s="402">
        <v>2007</v>
      </c>
      <c r="B79" s="193" t="str">
        <f>'A-7'!B249</f>
        <v>-</v>
      </c>
      <c r="C79" s="193">
        <f>IF(AND('A-7'!C249="-",'A-2'!B33="-",'A-2'!B78="-"),"-",SUM('A-7'!C249,'A-2'!B33,'A-2'!B78))</f>
        <v>6</v>
      </c>
      <c r="D79" s="193">
        <f>IF(AND('A-7'!D249="-",'A-2'!C33="-",'A-2'!C78="-"),"-",SUM('A-7'!D249,'A-2'!C33,'A-2'!C78))</f>
        <v>8</v>
      </c>
      <c r="E79" s="193">
        <f>IF(AND('A-7'!E249="-",'A-2'!D33="-",'A-2'!D78="-"),"-",SUM('A-7'!E249,'A-2'!D33,'A-2'!D78))</f>
        <v>138</v>
      </c>
      <c r="F79" s="193">
        <f>IF(AND('A-7'!F249="-",'A-2'!E33="-",'A-2'!E78="-"),"-",SUM('A-7'!F249,'A-2'!E33,'A-2'!E78))</f>
        <v>99</v>
      </c>
      <c r="G79" s="193">
        <f>IF(AND('A-7'!G249="-",'A-2'!F33="-",'A-2'!F78="-"),"-",SUM('A-7'!G249,'A-2'!F33,'A-2'!F78))</f>
        <v>95</v>
      </c>
      <c r="H79" s="193">
        <f>IF(AND('A-7'!H249="-",'A-2'!G33="-",'A-2'!G78="-"),"-",SUM('A-7'!H249,'A-2'!G33,'A-2'!G78))</f>
        <v>417</v>
      </c>
      <c r="I79" s="193">
        <f>IF(AND('A-7'!I249="-",'A-2'!H33="-",'A-2'!H78="-"),"-",SUM('A-7'!I249,'A-2'!H33,'A-2'!H78))</f>
        <v>47</v>
      </c>
      <c r="J79" s="193">
        <f>'A-7'!J249</f>
        <v>12</v>
      </c>
      <c r="K79" s="193" t="str">
        <f>'A-7'!K249</f>
        <v>-</v>
      </c>
      <c r="L79" s="200">
        <f>IF(AND('A-7'!L249="-",'A-2'!I33="-",'A-2'!I78="-"),"-",SUM('A-7'!L249,'A-2'!I33,'A-2'!I78))</f>
        <v>822</v>
      </c>
      <c r="M79" s="148"/>
      <c r="N79" s="148"/>
    </row>
    <row r="80" spans="1:14" ht="11.25" customHeight="1" x14ac:dyDescent="0.25">
      <c r="A80" s="402">
        <v>2008</v>
      </c>
      <c r="B80" s="193" t="str">
        <f>'A-7'!B250</f>
        <v>-</v>
      </c>
      <c r="C80" s="193" t="str">
        <f>IF(AND('A-7'!C250="-",'A-2'!B34="-",'A-2'!B79="-"),"-",SUM('A-7'!C250,'A-2'!B34,'A-2'!B79))</f>
        <v>-</v>
      </c>
      <c r="D80" s="193" t="str">
        <f>IF(AND('A-7'!D250="-",'A-2'!C34="-",'A-2'!C79="-"),"-",SUM('A-7'!D250,'A-2'!C34,'A-2'!C79))</f>
        <v>-</v>
      </c>
      <c r="E80" s="193" t="str">
        <f>IF(AND('A-7'!E250="-",'A-2'!D34="-",'A-2'!D79="-"),"-",SUM('A-7'!E250,'A-2'!D34,'A-2'!D79))</f>
        <v>-</v>
      </c>
      <c r="F80" s="193" t="str">
        <f>IF(AND('A-7'!F250="-",'A-2'!E34="-",'A-2'!E79="-"),"-",SUM('A-7'!F250,'A-2'!E34,'A-2'!E79))</f>
        <v>-</v>
      </c>
      <c r="G80" s="193" t="str">
        <f>IF(AND('A-7'!G250="-",'A-2'!F34="-",'A-2'!F79="-"),"-",SUM('A-7'!G250,'A-2'!F34,'A-2'!F79))</f>
        <v>-</v>
      </c>
      <c r="H80" s="193" t="str">
        <f>IF(AND('A-7'!H250="-",'A-2'!G34="-",'A-2'!G79="-"),"-",SUM('A-7'!H250,'A-2'!G34,'A-2'!G79))</f>
        <v>-</v>
      </c>
      <c r="I80" s="193">
        <f>IF(AND('A-7'!I250="-",'A-2'!H34="-",'A-2'!H79="-"),"-",SUM('A-7'!I250,'A-2'!H34,'A-2'!H79))</f>
        <v>51</v>
      </c>
      <c r="J80" s="193" t="str">
        <f>'A-7'!J250</f>
        <v>-</v>
      </c>
      <c r="K80" s="193" t="str">
        <f>'A-7'!K250</f>
        <v>-</v>
      </c>
      <c r="L80" s="200">
        <f>IF(AND('A-7'!L250="-",'A-2'!I34="-",'A-2'!I79="-"),"-",SUM('A-7'!L250,'A-2'!I34,'A-2'!I79))</f>
        <v>51</v>
      </c>
      <c r="M80" s="148"/>
      <c r="N80" s="148"/>
    </row>
    <row r="81" spans="1:14" ht="11.25" customHeight="1" x14ac:dyDescent="0.25">
      <c r="A81" s="402">
        <v>2009</v>
      </c>
      <c r="B81" s="193" t="str">
        <f>'A-7'!B251</f>
        <v>-</v>
      </c>
      <c r="C81" s="193" t="str">
        <f>IF(AND('A-7'!C251="-",'A-2'!B35="-",'A-2'!B80="-"),"-",SUM('A-7'!C251,'A-2'!B35,'A-2'!B80))</f>
        <v>-</v>
      </c>
      <c r="D81" s="193" t="str">
        <f>IF(AND('A-7'!D251="-",'A-2'!C35="-",'A-2'!C80="-"),"-",SUM('A-7'!D251,'A-2'!C35,'A-2'!C80))</f>
        <v>-</v>
      </c>
      <c r="E81" s="193" t="str">
        <f>IF(AND('A-7'!E251="-",'A-2'!D35="-",'A-2'!D80="-"),"-",SUM('A-7'!E251,'A-2'!D35,'A-2'!D80))</f>
        <v>-</v>
      </c>
      <c r="F81" s="193" t="str">
        <f>IF(AND('A-7'!F251="-",'A-2'!E35="-",'A-2'!E80="-"),"-",SUM('A-7'!F251,'A-2'!E35,'A-2'!E80))</f>
        <v>-</v>
      </c>
      <c r="G81" s="193" t="str">
        <f>IF(AND('A-7'!G251="-",'A-2'!F35="-",'A-2'!F80="-"),"-",SUM('A-7'!G251,'A-2'!F35,'A-2'!F80))</f>
        <v>-</v>
      </c>
      <c r="H81" s="193" t="str">
        <f>IF(AND('A-7'!H251="-",'A-2'!G35="-",'A-2'!G80="-"),"-",SUM('A-7'!H251,'A-2'!G35,'A-2'!G80))</f>
        <v>-</v>
      </c>
      <c r="I81" s="193" t="str">
        <f>IF(AND('A-7'!I251="-",'A-2'!H35="-",'A-2'!H80="-"),"-",SUM('A-7'!I251,'A-2'!H35,'A-2'!H80))</f>
        <v>-</v>
      </c>
      <c r="J81" s="193" t="str">
        <f>'A-7'!J251</f>
        <v>-</v>
      </c>
      <c r="K81" s="193" t="str">
        <f>'A-7'!K251</f>
        <v>-</v>
      </c>
      <c r="L81" s="200" t="str">
        <f>IF(AND('A-7'!L251="-",'A-2'!I35="-",'A-2'!I80="-"),"-",SUM('A-7'!L251,'A-2'!I35,'A-2'!I80))</f>
        <v>-</v>
      </c>
      <c r="M81" s="148"/>
      <c r="N81" s="148"/>
    </row>
    <row r="82" spans="1:14" ht="11.25" customHeight="1" x14ac:dyDescent="0.25">
      <c r="A82" s="402">
        <v>2010</v>
      </c>
      <c r="B82" s="193" t="str">
        <f>'A-7'!B252</f>
        <v>-</v>
      </c>
      <c r="C82" s="193" t="str">
        <f>IF(AND('A-7'!C252="-",'A-2'!B36="-",'A-2'!B81="-"),"-",SUM('A-7'!C252,'A-2'!B36,'A-2'!B81))</f>
        <v>-</v>
      </c>
      <c r="D82" s="193">
        <f>IF(AND('A-7'!D252="-",'A-2'!C36="-",'A-2'!C81="-"),"-",SUM('A-7'!D252,'A-2'!C36,'A-2'!C81))</f>
        <v>43</v>
      </c>
      <c r="E82" s="193" t="str">
        <f>IF(AND('A-7'!E252="-",'A-2'!D36="-",'A-2'!D81="-"),"-",SUM('A-7'!E252,'A-2'!D36,'A-2'!D81))</f>
        <v>-</v>
      </c>
      <c r="F82" s="193">
        <f>IF(AND('A-7'!F252="-",'A-2'!E36="-",'A-2'!E81="-"),"-",SUM('A-7'!F252,'A-2'!E36,'A-2'!E81))</f>
        <v>26</v>
      </c>
      <c r="G82" s="193">
        <f>IF(AND('A-7'!G252="-",'A-2'!F36="-",'A-2'!F81="-"),"-",SUM('A-7'!G252,'A-2'!F36,'A-2'!F81))</f>
        <v>40</v>
      </c>
      <c r="H82" s="193" t="str">
        <f>IF(AND('A-7'!H252="-",'A-2'!G36="-",'A-2'!G81="-"),"-",SUM('A-7'!H252,'A-2'!G36,'A-2'!G81))</f>
        <v>-</v>
      </c>
      <c r="I82" s="193">
        <f>IF(AND('A-7'!I252="-",'A-2'!H36="-",'A-2'!H81="-"),"-",SUM('A-7'!I252,'A-2'!H36,'A-2'!H81))</f>
        <v>72</v>
      </c>
      <c r="J82" s="193" t="str">
        <f>'A-7'!J252</f>
        <v>-</v>
      </c>
      <c r="K82" s="193" t="str">
        <f>'A-7'!K252</f>
        <v>-</v>
      </c>
      <c r="L82" s="200">
        <f>IF(AND('A-7'!L252="-",'A-2'!I36="-",'A-2'!I81="-"),"-",SUM('A-7'!L252,'A-2'!I36,'A-2'!I81))</f>
        <v>181</v>
      </c>
      <c r="M82" s="148"/>
      <c r="N82" s="148"/>
    </row>
    <row r="83" spans="1:14" ht="11.25" customHeight="1" x14ac:dyDescent="0.25">
      <c r="A83" s="402">
        <v>2011</v>
      </c>
      <c r="B83" s="193" t="str">
        <f>'A-7'!B253</f>
        <v>-</v>
      </c>
      <c r="C83" s="193" t="str">
        <f>IF(AND('A-7'!C253="-",'A-2'!B37="-",'A-2'!B82="-"),"-",SUM('A-7'!C253,'A-2'!B37,'A-2'!B82))</f>
        <v>-</v>
      </c>
      <c r="D83" s="193">
        <f>IF(AND('A-7'!D253="-",'A-2'!C37="-",'A-2'!C82="-"),"-",SUM('A-7'!D253,'A-2'!C37,'A-2'!C82))</f>
        <v>60</v>
      </c>
      <c r="E83" s="193">
        <f>IF(AND('A-7'!E253="-",'A-2'!D37="-",'A-2'!D82="-"),"-",SUM('A-7'!E253,'A-2'!D37,'A-2'!D82))</f>
        <v>60</v>
      </c>
      <c r="F83" s="193">
        <f>IF(AND('A-7'!F253="-",'A-2'!E37="-",'A-2'!E82="-"),"-",SUM('A-7'!F253,'A-2'!E37,'A-2'!E82))</f>
        <v>160</v>
      </c>
      <c r="G83" s="193">
        <f>IF(AND('A-7'!G253="-",'A-2'!F37="-",'A-2'!F82="-"),"-",SUM('A-7'!G253,'A-2'!F37,'A-2'!F82))</f>
        <v>135</v>
      </c>
      <c r="H83" s="193" t="str">
        <f>IF(AND('A-7'!H253="-",'A-2'!G37="-",'A-2'!G82="-"),"-",SUM('A-7'!H253,'A-2'!G37,'A-2'!G82))</f>
        <v>-</v>
      </c>
      <c r="I83" s="193">
        <f>IF(AND('A-7'!I253="-",'A-2'!H37="-",'A-2'!H82="-"),"-",SUM('A-7'!I253,'A-2'!H37,'A-2'!H82))</f>
        <v>75</v>
      </c>
      <c r="J83" s="193" t="str">
        <f>'A-7'!J253</f>
        <v>-</v>
      </c>
      <c r="K83" s="193" t="str">
        <f>'A-7'!K253</f>
        <v>-</v>
      </c>
      <c r="L83" s="200">
        <f>IF(AND('A-7'!L253="-",'A-2'!I37="-",'A-2'!I82="-"),"-",SUM('A-7'!L253,'A-2'!I37,'A-2'!I82))</f>
        <v>490</v>
      </c>
      <c r="M83" s="148"/>
      <c r="N83" s="148"/>
    </row>
    <row r="84" spans="1:14" ht="11.25" customHeight="1" x14ac:dyDescent="0.25">
      <c r="A84" s="402">
        <v>2012</v>
      </c>
      <c r="B84" s="193" t="str">
        <f>'A-7'!B254</f>
        <v>-</v>
      </c>
      <c r="C84" s="193">
        <f>IF(AND('A-7'!C254="-",'A-2'!B38="-",'A-2'!B83="-"),"-",SUM('A-7'!C254,'A-2'!B38,'A-2'!B83))</f>
        <v>0</v>
      </c>
      <c r="D84" s="193">
        <f>IF(AND('A-7'!D254="-",'A-2'!C38="-",'A-2'!C83="-"),"-",SUM('A-7'!D254,'A-2'!C38,'A-2'!C83))</f>
        <v>23</v>
      </c>
      <c r="E84" s="193">
        <f>IF(AND('A-7'!E254="-",'A-2'!D38="-",'A-2'!D83="-"),"-",SUM('A-7'!E254,'A-2'!D38,'A-2'!D83))</f>
        <v>118</v>
      </c>
      <c r="F84" s="193">
        <f>IF(AND('A-7'!F254="-",'A-2'!E38="-",'A-2'!E83="-"),"-",SUM('A-7'!F254,'A-2'!E38,'A-2'!E83))</f>
        <v>90</v>
      </c>
      <c r="G84" s="193">
        <f>IF(AND('A-7'!G254="-",'A-2'!F38="-",'A-2'!F83="-"),"-",SUM('A-7'!G254,'A-2'!F38,'A-2'!F83))</f>
        <v>67</v>
      </c>
      <c r="H84" s="193">
        <f>IF(AND('A-7'!H254="-",'A-2'!G38="-",'A-2'!G83="-"),"-",SUM('A-7'!H254,'A-2'!G38,'A-2'!G83))</f>
        <v>348</v>
      </c>
      <c r="I84" s="193">
        <f>IF(AND('A-7'!I254="-",'A-2'!H38="-",'A-2'!H83="-"),"-",SUM('A-7'!I254,'A-2'!H38,'A-2'!H83))</f>
        <v>41</v>
      </c>
      <c r="J84" s="193" t="str">
        <f>'A-7'!J254</f>
        <v>-</v>
      </c>
      <c r="K84" s="193" t="str">
        <f>'A-7'!K254</f>
        <v>-</v>
      </c>
      <c r="L84" s="200">
        <f>IF(AND('A-7'!L254="-",'A-2'!I38="-",'A-2'!I83="-"),"-",SUM('A-7'!L254,'A-2'!I38,'A-2'!I83))</f>
        <v>687</v>
      </c>
      <c r="M84" s="148"/>
      <c r="N84" s="148"/>
    </row>
    <row r="85" spans="1:14" ht="11.25" customHeight="1" x14ac:dyDescent="0.25">
      <c r="A85" s="402">
        <v>2013</v>
      </c>
      <c r="B85" s="193" t="str">
        <f>'A-7'!B255</f>
        <v>-</v>
      </c>
      <c r="C85" s="193">
        <f>IF(AND('A-7'!C255="-",'A-2'!B39="-",'A-2'!B84="-"),"-",SUM('A-7'!C255,'A-2'!B39,'A-2'!B84))</f>
        <v>13</v>
      </c>
      <c r="D85" s="193">
        <f>IF(AND('A-7'!D255="-",'A-2'!C39="-",'A-2'!C84="-"),"-",SUM('A-7'!D255,'A-2'!C39,'A-2'!C84))</f>
        <v>185</v>
      </c>
      <c r="E85" s="193">
        <f>IF(AND('A-7'!E255="-",'A-2'!D39="-",'A-2'!D84="-"),"-",SUM('A-7'!E255,'A-2'!D39,'A-2'!D84))</f>
        <v>267</v>
      </c>
      <c r="F85" s="193">
        <f>IF(AND('A-7'!F255="-",'A-2'!E39="-",'A-2'!E84="-"),"-",SUM('A-7'!F255,'A-2'!E39,'A-2'!E84))</f>
        <v>441</v>
      </c>
      <c r="G85" s="193">
        <f>IF(AND('A-7'!G255="-",'A-2'!F39="-",'A-2'!F84="-"),"-",SUM('A-7'!G255,'A-2'!F39,'A-2'!F84))</f>
        <v>321</v>
      </c>
      <c r="H85" s="193">
        <f>IF(AND('A-7'!H255="-",'A-2'!G39="-",'A-2'!G84="-"),"-",SUM('A-7'!H255,'A-2'!G39,'A-2'!G84))</f>
        <v>89</v>
      </c>
      <c r="I85" s="193">
        <f>IF(AND('A-7'!I255="-",'A-2'!H39="-",'A-2'!H84="-"),"-",SUM('A-7'!I255,'A-2'!H39,'A-2'!H84))</f>
        <v>52</v>
      </c>
      <c r="J85" s="193" t="str">
        <f>'A-7'!J255</f>
        <v>-</v>
      </c>
      <c r="K85" s="193" t="str">
        <f>'A-7'!K255</f>
        <v>-</v>
      </c>
      <c r="L85" s="200">
        <f>IF(AND('A-7'!L255="-",'A-2'!I39="-",'A-2'!I84="-"),"-",SUM('A-7'!L255,'A-2'!I39,'A-2'!I84))</f>
        <v>1368</v>
      </c>
      <c r="M85" s="148"/>
      <c r="N85" s="148"/>
    </row>
    <row r="86" spans="1:14" ht="11.25" customHeight="1" x14ac:dyDescent="0.25">
      <c r="A86" s="402">
        <v>2014</v>
      </c>
      <c r="B86" s="193" t="str">
        <f>'A-7'!B256</f>
        <v>-</v>
      </c>
      <c r="C86" s="193">
        <f>IF(AND('A-7'!C256="-",'A-2'!B40="-",'A-2'!B85="-"),"-",SUM('A-7'!C256,'A-2'!B40,'A-2'!B85))</f>
        <v>10</v>
      </c>
      <c r="D86" s="193">
        <f>IF(AND('A-7'!D256="-",'A-2'!C40="-",'A-2'!C85="-"),"-",SUM('A-7'!D256,'A-2'!C40,'A-2'!C85))</f>
        <v>471</v>
      </c>
      <c r="E86" s="193">
        <f>IF(AND('A-7'!E256="-",'A-2'!D40="-",'A-2'!D85="-"),"-",SUM('A-7'!E256,'A-2'!D40,'A-2'!D85))</f>
        <v>82</v>
      </c>
      <c r="F86" s="193">
        <f>IF(AND('A-7'!F256="-",'A-2'!E40="-",'A-2'!E85="-"),"-",SUM('A-7'!F256,'A-2'!E40,'A-2'!E85))</f>
        <v>38</v>
      </c>
      <c r="G86" s="193">
        <f>IF(AND('A-7'!G256="-",'A-2'!F40="-",'A-2'!F85="-"),"-",SUM('A-7'!G256,'A-2'!F40,'A-2'!F85))</f>
        <v>70</v>
      </c>
      <c r="H86" s="193">
        <f>IF(AND('A-7'!H256="-",'A-2'!G40="-",'A-2'!G85="-"),"-",SUM('A-7'!H256,'A-2'!G40,'A-2'!G85))</f>
        <v>120</v>
      </c>
      <c r="I86" s="193">
        <f>IF(AND('A-7'!I256="-",'A-2'!H40="-",'A-2'!H85="-"),"-",SUM('A-7'!I256,'A-2'!H40,'A-2'!H85))</f>
        <v>78</v>
      </c>
      <c r="J86" s="193" t="str">
        <f>'A-7'!J256</f>
        <v>-</v>
      </c>
      <c r="K86" s="193" t="str">
        <f>'A-7'!K256</f>
        <v>-</v>
      </c>
      <c r="L86" s="200">
        <f>IF(AND('A-7'!L256="-",'A-2'!I40="-",'A-2'!I85="-"),"-",SUM('A-7'!L256,'A-2'!I40,'A-2'!I85))</f>
        <v>869</v>
      </c>
      <c r="M86" s="148"/>
      <c r="N86" s="148"/>
    </row>
    <row r="87" spans="1:14" ht="11.25" customHeight="1" x14ac:dyDescent="0.25">
      <c r="A87" s="402">
        <v>2015</v>
      </c>
      <c r="B87" s="197" t="str">
        <f>'A-7'!B257</f>
        <v>-</v>
      </c>
      <c r="C87" s="197">
        <f>IF(AND('A-7'!C257="-",'A-2'!B41="-",'A-2'!B86="-"),"-",SUM('A-7'!C257,'A-2'!B41,'A-2'!B86))</f>
        <v>12</v>
      </c>
      <c r="D87" s="197">
        <f>IF(AND('A-7'!D257="-",'A-2'!C41="-",'A-2'!C86="-"),"-",SUM('A-7'!D257,'A-2'!C41,'A-2'!C86))</f>
        <v>150</v>
      </c>
      <c r="E87" s="197">
        <f>IF(AND('A-7'!E257="-",'A-2'!D41="-",'A-2'!D86="-"),"-",SUM('A-7'!E257,'A-2'!D41,'A-2'!D86))</f>
        <v>100</v>
      </c>
      <c r="F87" s="197">
        <f>IF(AND('A-7'!F257="-",'A-2'!E41="-",'A-2'!E86="-"),"-",SUM('A-7'!F257,'A-2'!E41,'A-2'!E86))</f>
        <v>90</v>
      </c>
      <c r="G87" s="197">
        <f>IF(AND('A-7'!G257="-",'A-2'!F41="-",'A-2'!F86="-"),"-",SUM('A-7'!G257,'A-2'!F41,'A-2'!F86))</f>
        <v>24</v>
      </c>
      <c r="H87" s="197">
        <f>IF(AND('A-7'!H257="-",'A-2'!G41="-",'A-2'!G86="-"),"-",SUM('A-7'!H257,'A-2'!G41,'A-2'!G86))</f>
        <v>32</v>
      </c>
      <c r="I87" s="197">
        <f>IF(AND('A-7'!I257="-",'A-2'!H41="-",'A-2'!H86="-"),"-",SUM('A-7'!I257,'A-2'!H41,'A-2'!H86))</f>
        <v>144</v>
      </c>
      <c r="J87" s="197" t="str">
        <f>'A-7'!J257</f>
        <v>-</v>
      </c>
      <c r="K87" s="197" t="str">
        <f>'A-7'!K257</f>
        <v>-</v>
      </c>
      <c r="L87" s="203">
        <f>IF(AND('A-7'!L257="-",'A-2'!I41="-",'A-2'!I86="-"),"-",SUM('A-7'!L257,'A-2'!I41,'A-2'!I86))</f>
        <v>552</v>
      </c>
      <c r="M87" s="148"/>
      <c r="N87" s="148"/>
    </row>
    <row r="88" spans="1:14" ht="11.25" customHeight="1" x14ac:dyDescent="0.25">
      <c r="A88" s="402">
        <v>2016</v>
      </c>
      <c r="B88" s="197" t="str">
        <f>'A-7'!B258</f>
        <v>-</v>
      </c>
      <c r="C88" s="197">
        <f>IF(AND('A-7'!C258="-",'A-2'!B42="-",'A-2'!B87="-"),"-",SUM('A-7'!C258,'A-2'!B42,'A-2'!B87))</f>
        <v>7</v>
      </c>
      <c r="D88" s="197">
        <f>IF(AND('A-7'!D258="-",'A-2'!C42="-",'A-2'!C87="-"),"-",SUM('A-7'!D258,'A-2'!C42,'A-2'!C87))</f>
        <v>13</v>
      </c>
      <c r="E88" s="197">
        <f>IF(AND('A-7'!E258="-",'A-2'!D42="-",'A-2'!D87="-"),"-",SUM('A-7'!E258,'A-2'!D42,'A-2'!D87))</f>
        <v>47</v>
      </c>
      <c r="F88" s="197">
        <f>IF(AND('A-7'!F258="-",'A-2'!E42="-",'A-2'!E87="-"),"-",SUM('A-7'!F258,'A-2'!E42,'A-2'!E87))</f>
        <v>8</v>
      </c>
      <c r="G88" s="197" t="str">
        <f>IF(AND('A-7'!G258="-",'A-2'!F42="-",'A-2'!F87="-"),"-",SUM('A-7'!G258,'A-2'!F42,'A-2'!F87))</f>
        <v>-</v>
      </c>
      <c r="H88" s="197">
        <f>IF(AND('A-7'!H258="-",'A-2'!G42="-",'A-2'!G87="-"),"-",SUM('A-7'!H258,'A-2'!G42,'A-2'!G87))</f>
        <v>59</v>
      </c>
      <c r="I88" s="197">
        <f>IF(AND('A-7'!I258="-",'A-2'!H42="-",'A-2'!H87="-"),"-",SUM('A-7'!I258,'A-2'!H42,'A-2'!H87))</f>
        <v>52</v>
      </c>
      <c r="J88" s="197" t="str">
        <f>'A-7'!J258</f>
        <v>-</v>
      </c>
      <c r="K88" s="197" t="str">
        <f>'A-7'!K258</f>
        <v>-</v>
      </c>
      <c r="L88" s="203">
        <f>IF(AND('A-7'!L258="-",'A-2'!I42="-",'A-2'!I87="-"),"-",SUM('A-7'!L258,'A-2'!I42,'A-2'!I87))</f>
        <v>186</v>
      </c>
      <c r="M88" s="148"/>
      <c r="N88" s="148"/>
    </row>
    <row r="89" spans="1:14" ht="11.25" customHeight="1" x14ac:dyDescent="0.25">
      <c r="A89" s="402">
        <v>2017</v>
      </c>
      <c r="B89" s="197" t="str">
        <f>'A-7'!B259</f>
        <v>-</v>
      </c>
      <c r="C89" s="197" t="str">
        <f>IF(AND('A-7'!C259="-",'A-2'!B43="-",'A-2'!B88="-"),"-",SUM('A-7'!C259,'A-2'!B43,'A-2'!B88))</f>
        <v>-</v>
      </c>
      <c r="D89" s="197" t="str">
        <f>IF(AND('A-7'!D259="-",'A-2'!C43="-",'A-2'!C88="-"),"-",SUM('A-7'!D259,'A-2'!C43,'A-2'!C88))</f>
        <v>-</v>
      </c>
      <c r="E89" s="197" t="str">
        <f>IF(AND('A-7'!E259="-",'A-2'!D43="-",'A-2'!D88="-"),"-",SUM('A-7'!E259,'A-2'!D43,'A-2'!D88))</f>
        <v>-</v>
      </c>
      <c r="F89" s="197" t="str">
        <f>IF(AND('A-7'!F259="-",'A-2'!E43="-",'A-2'!E88="-"),"-",SUM('A-7'!F259,'A-2'!E43,'A-2'!E88))</f>
        <v>-</v>
      </c>
      <c r="G89" s="197" t="str">
        <f>IF(AND('A-7'!G259="-",'A-2'!F43="-",'A-2'!F88="-"),"-",SUM('A-7'!G259,'A-2'!F43,'A-2'!F88))</f>
        <v>-</v>
      </c>
      <c r="H89" s="197" t="str">
        <f>IF(AND('A-7'!H259="-",'A-2'!G43="-",'A-2'!G88="-"),"-",SUM('A-7'!H259,'A-2'!G43,'A-2'!G88))</f>
        <v>-</v>
      </c>
      <c r="I89" s="197">
        <f>IF(AND('A-7'!I259="-",'A-2'!H43="-",'A-2'!H88="-"),"-",SUM('A-7'!I259,'A-2'!H43,'A-2'!H88))</f>
        <v>109</v>
      </c>
      <c r="J89" s="197" t="str">
        <f>'A-7'!J259</f>
        <v>-</v>
      </c>
      <c r="K89" s="197" t="str">
        <f>'A-7'!K259</f>
        <v>-</v>
      </c>
      <c r="L89" s="203">
        <f>IF(AND('A-7'!L259="-",'A-2'!I43="-",'A-2'!I88="-"),"-",SUM('A-7'!L259,'A-2'!I43,'A-2'!I88))</f>
        <v>109</v>
      </c>
      <c r="M89" s="148"/>
      <c r="N89" s="148"/>
    </row>
    <row r="90" spans="1:14" s="358" customFormat="1" ht="11.25" customHeight="1" x14ac:dyDescent="0.25">
      <c r="A90" s="402">
        <v>2018</v>
      </c>
      <c r="B90" s="197" t="str">
        <f>'A-7'!B260</f>
        <v>-</v>
      </c>
      <c r="C90" s="197" t="str">
        <f>IF(AND('A-7'!C260="-",'A-2'!B44="-",'A-2'!B89="-"),"-",SUM('A-7'!C260,'A-2'!B44,'A-2'!B89))</f>
        <v>-</v>
      </c>
      <c r="D90" s="197">
        <f>IF(AND('A-7'!D260="-",'A-2'!C44="-",'A-2'!C89="-"),"-",SUM('A-7'!D260,'A-2'!C44,'A-2'!C89))</f>
        <v>167</v>
      </c>
      <c r="E90" s="197">
        <f>IF(AND('A-7'!E260="-",'A-2'!D44="-",'A-2'!D89="-"),"-",SUM('A-7'!E260,'A-2'!D44,'A-2'!D89))</f>
        <v>351</v>
      </c>
      <c r="F90" s="197">
        <f>IF(AND('A-7'!F260="-",'A-2'!E44="-",'A-2'!E89="-"),"-",SUM('A-7'!F260,'A-2'!E44,'A-2'!E89))</f>
        <v>286</v>
      </c>
      <c r="G90" s="197">
        <f>IF(AND('A-7'!G260="-",'A-2'!F44="-",'A-2'!F89="-"),"-",SUM('A-7'!G260,'A-2'!F44,'A-2'!F89))</f>
        <v>255</v>
      </c>
      <c r="H90" s="197" t="str">
        <f>IF(AND('A-7'!H260="-",'A-2'!G44="-",'A-2'!G89="-"),"-",SUM('A-7'!H260,'A-2'!G44,'A-2'!G89))</f>
        <v>-</v>
      </c>
      <c r="I90" s="197">
        <f>IF(AND('A-7'!I260="-",'A-2'!H44="-",'A-2'!H89="-"),"-",SUM('A-7'!I260,'A-2'!H44,'A-2'!H89))</f>
        <v>115</v>
      </c>
      <c r="J90" s="197" t="str">
        <f>'A-7'!J260</f>
        <v>-</v>
      </c>
      <c r="K90" s="197" t="str">
        <f>'A-7'!K260</f>
        <v>-</v>
      </c>
      <c r="L90" s="203">
        <f>IF(AND('A-7'!L260="-",'A-2'!I44="-",'A-2'!I89="-"),"-",SUM('A-7'!L260,'A-2'!I44,'A-2'!I89))</f>
        <v>1174</v>
      </c>
      <c r="M90" s="148"/>
      <c r="N90" s="148"/>
    </row>
    <row r="91" spans="1:14" s="358" customFormat="1" ht="11.25" customHeight="1" x14ac:dyDescent="0.25">
      <c r="A91" s="498" t="s">
        <v>403</v>
      </c>
      <c r="B91" s="197" t="str">
        <f>'A-7'!B261</f>
        <v>-</v>
      </c>
      <c r="C91" s="197">
        <f>IF(AND('A-7'!C261="-",'A-2'!B45="-",'A-2'!B90="-"),"-",SUM('A-7'!C261,'A-2'!B45,'A-2'!B90))</f>
        <v>2</v>
      </c>
      <c r="D91" s="197">
        <f>IF(AND('A-7'!D261="-",'A-2'!C45="-",'A-2'!C90="-"),"-",SUM('A-7'!D261,'A-2'!C45,'A-2'!C90))</f>
        <v>7</v>
      </c>
      <c r="E91" s="197">
        <f>IF(AND('A-7'!E261="-",'A-2'!D45="-",'A-2'!D90="-"),"-",SUM('A-7'!E261,'A-2'!D45,'A-2'!D90))</f>
        <v>108</v>
      </c>
      <c r="F91" s="197">
        <f>IF(AND('A-7'!F261="-",'A-2'!E45="-",'A-2'!E90="-"),"-",SUM('A-7'!F261,'A-2'!E45,'A-2'!E90))</f>
        <v>140</v>
      </c>
      <c r="G91" s="197">
        <f>IF(AND('A-7'!G261="-",'A-2'!F45="-",'A-2'!F90="-"),"-",SUM('A-7'!G261,'A-2'!F45,'A-2'!F90))</f>
        <v>283</v>
      </c>
      <c r="H91" s="197" t="str">
        <f>IF(AND('A-7'!H261="-",'A-2'!G45="-",'A-2'!G90="-"),"-",SUM('A-7'!H261,'A-2'!G45,'A-2'!G90))</f>
        <v>-</v>
      </c>
      <c r="I91" s="197" t="str">
        <f>IF(AND('A-7'!I261="-",'A-2'!H45="-",'A-2'!H90="-"),"-",SUM('A-7'!I261,'A-2'!H45,'A-2'!H90))</f>
        <v>-</v>
      </c>
      <c r="J91" s="197" t="str">
        <f>'A-7'!J261</f>
        <v>-</v>
      </c>
      <c r="K91" s="197" t="str">
        <f>'A-7'!K261</f>
        <v>-</v>
      </c>
      <c r="L91" s="203">
        <f>IF(AND('A-7'!L261="-",'A-2'!I45="-",'A-2'!I90="-"),"-",SUM('A-7'!L261,'A-2'!I45,'A-2'!I90))</f>
        <v>540</v>
      </c>
      <c r="M91" s="148"/>
      <c r="N91" s="148"/>
    </row>
    <row r="92" spans="1:14" ht="11.25" customHeight="1" x14ac:dyDescent="0.25">
      <c r="A92" s="498" t="s">
        <v>393</v>
      </c>
      <c r="B92" s="197" t="str">
        <f>'A-7'!B262</f>
        <v>-</v>
      </c>
      <c r="C92" s="197">
        <f>IF(AND('A-7'!C262="-",'A-2'!B46="-",'A-2'!B91="-"),"-",SUM('A-7'!C262,'A-2'!B46,'A-2'!B91))</f>
        <v>1</v>
      </c>
      <c r="D92" s="197">
        <f>IF(AND('A-7'!D262="-",'A-2'!C46="-",'A-2'!C91="-"),"-",SUM('A-7'!D262,'A-2'!C46,'A-2'!C91))</f>
        <v>3</v>
      </c>
      <c r="E92" s="197">
        <f>IF(AND('A-7'!E262="-",'A-2'!D46="-",'A-2'!D91="-"),"-",SUM('A-7'!E262,'A-2'!D46,'A-2'!D91))</f>
        <v>46</v>
      </c>
      <c r="F92" s="197">
        <f>IF(AND('A-7'!F262="-",'A-2'!E46="-",'A-2'!E91="-"),"-",SUM('A-7'!F262,'A-2'!E46,'A-2'!E91))</f>
        <v>72</v>
      </c>
      <c r="G92" s="197" t="str">
        <f>IF(AND('A-7'!G262="-",'A-2'!F46="-",'A-2'!F91="-"),"-",SUM('A-7'!G262,'A-2'!F46,'A-2'!F91))</f>
        <v>-</v>
      </c>
      <c r="H92" s="197" t="str">
        <f>IF(AND('A-7'!H262="-",'A-2'!G46="-",'A-2'!G91="-"),"-",SUM('A-7'!H262,'A-2'!G46,'A-2'!G91))</f>
        <v>-</v>
      </c>
      <c r="I92" s="197" t="str">
        <f>IF(AND('A-7'!I262="-",'A-2'!H46="-",'A-2'!H91="-"),"-",SUM('A-7'!I262,'A-2'!H46,'A-2'!H91))</f>
        <v>-</v>
      </c>
      <c r="J92" s="197" t="str">
        <f>'A-7'!J262</f>
        <v>-</v>
      </c>
      <c r="K92" s="197" t="str">
        <f>'A-7'!K262</f>
        <v>-</v>
      </c>
      <c r="L92" s="203">
        <f>IF(AND('A-7'!L262="-",'A-2'!I46="-",'A-2'!I91="-"),"-",SUM('A-7'!L262,'A-2'!I46,'A-2'!I91))</f>
        <v>122</v>
      </c>
      <c r="M92" s="22"/>
      <c r="N92" s="22"/>
    </row>
    <row r="93" spans="1:14" ht="11.25" customHeight="1" x14ac:dyDescent="0.25">
      <c r="A93" s="383"/>
      <c r="B93" s="193"/>
      <c r="C93" s="193"/>
      <c r="D93" s="193"/>
      <c r="E93" s="193"/>
      <c r="F93" s="193"/>
      <c r="G93" s="193"/>
      <c r="H93" s="193"/>
      <c r="I93" s="193"/>
      <c r="J93" s="193"/>
      <c r="K93" s="193"/>
      <c r="L93" s="200"/>
      <c r="M93" s="22"/>
      <c r="N93" s="22"/>
    </row>
    <row r="94" spans="1:14" ht="11.25" customHeight="1" x14ac:dyDescent="0.25">
      <c r="A94" s="116" t="s">
        <v>88</v>
      </c>
      <c r="B94" s="193"/>
      <c r="C94" s="193"/>
      <c r="D94" s="193"/>
      <c r="E94" s="193"/>
      <c r="F94" s="193"/>
      <c r="G94" s="193"/>
      <c r="H94" s="193"/>
      <c r="I94" s="193"/>
      <c r="J94" s="193"/>
      <c r="K94" s="193"/>
      <c r="L94" s="200"/>
      <c r="M94" s="22"/>
      <c r="N94" s="22"/>
    </row>
    <row r="95" spans="1:14" ht="11.25" customHeight="1" x14ac:dyDescent="0.25">
      <c r="A95" s="383">
        <v>1978</v>
      </c>
      <c r="B95" s="193" t="s">
        <v>29</v>
      </c>
      <c r="C95" s="193">
        <f>IF(AND('A-2'!B94="-",'A-2'!B139="-",'A-2'!B184="-"),"-",SUM('A-2'!B94,'A-2'!B139,'A-2'!B184))</f>
        <v>2785</v>
      </c>
      <c r="D95" s="193">
        <f>IF(AND('A-2'!C94="-",'A-2'!C139="-",'A-2'!C184="-"),"-",SUM('A-2'!C94,'A-2'!C139,'A-2'!C184))</f>
        <v>12329</v>
      </c>
      <c r="E95" s="193">
        <f>IF(AND('A-2'!D94="-",'A-2'!D139="-",'A-2'!D184="-"),"-",SUM('A-2'!D94,'A-2'!D139,'A-2'!D184))</f>
        <v>20765</v>
      </c>
      <c r="F95" s="193">
        <f>IF(AND('A-2'!E94="-",'A-2'!E139="-",'A-2'!E184="-"),"-",SUM('A-2'!E94,'A-2'!E139,'A-2'!E184))</f>
        <v>18097</v>
      </c>
      <c r="G95" s="193">
        <f>IF(AND('A-2'!F94="-",'A-2'!F139="-",'A-2'!F184="-"),"-",SUM('A-2'!F94,'A-2'!F139,'A-2'!F184))</f>
        <v>6737</v>
      </c>
      <c r="H95" s="193">
        <f>IF(AND('A-2'!G94="-",'A-2'!G139="-",'A-2'!G184="-"),"-",SUM('A-2'!G94,'A-2'!G139,'A-2'!G184))</f>
        <v>2985</v>
      </c>
      <c r="I95" s="193" t="str">
        <f>IF(AND('A-2'!H94="-",'A-2'!H139="-",'A-2'!H184="-"),"-",SUM('A-2'!H94,'A-2'!H139,'A-2'!H184))</f>
        <v>-</v>
      </c>
      <c r="J95" s="193" t="s">
        <v>29</v>
      </c>
      <c r="K95" s="193" t="s">
        <v>29</v>
      </c>
      <c r="L95" s="200">
        <f>SUM(B95:K95)</f>
        <v>63698</v>
      </c>
      <c r="M95" s="22"/>
      <c r="N95" s="22"/>
    </row>
    <row r="96" spans="1:14" ht="11.25" customHeight="1" x14ac:dyDescent="0.25">
      <c r="A96" s="383">
        <v>1979</v>
      </c>
      <c r="B96" s="193" t="s">
        <v>29</v>
      </c>
      <c r="C96" s="193">
        <f>IF(AND('A-2'!B95="-",'A-2'!B140="-",'A-2'!B185="-"),"-",SUM('A-2'!B95,'A-2'!B140,'A-2'!B185))</f>
        <v>12</v>
      </c>
      <c r="D96" s="193">
        <f>IF(AND('A-2'!C95="-",'A-2'!C140="-",'A-2'!C185="-"),"-",SUM('A-2'!C95,'A-2'!C140,'A-2'!C185))</f>
        <v>11159</v>
      </c>
      <c r="E96" s="193">
        <f>IF(AND('A-2'!D95="-",'A-2'!D140="-",'A-2'!D185="-"),"-",SUM('A-2'!D95,'A-2'!D140,'A-2'!D185))</f>
        <v>7692</v>
      </c>
      <c r="F96" s="193">
        <f>IF(AND('A-2'!E95="-",'A-2'!E140="-",'A-2'!E185="-"),"-",SUM('A-2'!E95,'A-2'!E140,'A-2'!E185))</f>
        <v>19865</v>
      </c>
      <c r="G96" s="193">
        <f>IF(AND('A-2'!F95="-",'A-2'!F140="-",'A-2'!F185="-"),"-",SUM('A-2'!F95,'A-2'!F140,'A-2'!F185))</f>
        <v>10382</v>
      </c>
      <c r="H96" s="193">
        <f>IF(AND('A-2'!G95="-",'A-2'!G140="-",'A-2'!G185="-"),"-",SUM('A-2'!G95,'A-2'!G140,'A-2'!G185))</f>
        <v>5873</v>
      </c>
      <c r="I96" s="193" t="str">
        <f>IF(AND('A-2'!H95="-",'A-2'!H140="-",'A-2'!H185="-"),"-",SUM('A-2'!H95,'A-2'!H140,'A-2'!H185))</f>
        <v>-</v>
      </c>
      <c r="J96" s="193" t="s">
        <v>29</v>
      </c>
      <c r="K96" s="193" t="s">
        <v>29</v>
      </c>
      <c r="L96" s="200">
        <f t="shared" ref="L96:L137" si="0">SUM(B96:K96)</f>
        <v>54983</v>
      </c>
      <c r="M96" s="22"/>
      <c r="N96" s="22"/>
    </row>
    <row r="97" spans="1:14" ht="11.25" customHeight="1" x14ac:dyDescent="0.25">
      <c r="A97" s="383">
        <v>1980</v>
      </c>
      <c r="B97" s="193" t="s">
        <v>29</v>
      </c>
      <c r="C97" s="193" t="str">
        <f>IF(AND('A-2'!B96="-",'A-2'!B141="-",'A-2'!B186="-"),"-",SUM('A-2'!B96,'A-2'!B141,'A-2'!B186))</f>
        <v>-</v>
      </c>
      <c r="D97" s="193">
        <f>IF(AND('A-2'!C96="-",'A-2'!C141="-",'A-2'!C186="-"),"-",SUM('A-2'!C96,'A-2'!C141,'A-2'!C186))</f>
        <v>16589</v>
      </c>
      <c r="E97" s="193" t="str">
        <f>IF(AND('A-2'!D96="-",'A-2'!D141="-",'A-2'!D186="-"),"-",SUM('A-2'!D96,'A-2'!D141,'A-2'!D186))</f>
        <v>-</v>
      </c>
      <c r="F97" s="193">
        <f>IF(AND('A-2'!E96="-",'A-2'!E141="-",'A-2'!E186="-"),"-",SUM('A-2'!E96,'A-2'!E141,'A-2'!E186))</f>
        <v>27160</v>
      </c>
      <c r="G97" s="193">
        <f>IF(AND('A-2'!F96="-",'A-2'!F141="-",'A-2'!F186="-"),"-",SUM('A-2'!F96,'A-2'!F141,'A-2'!F186))</f>
        <v>9837</v>
      </c>
      <c r="H97" s="193">
        <f>IF(AND('A-2'!G96="-",'A-2'!G141="-",'A-2'!G186="-"),"-",SUM('A-2'!G96,'A-2'!G141,'A-2'!G186))</f>
        <v>6447</v>
      </c>
      <c r="I97" s="193" t="str">
        <f>IF(AND('A-2'!H96="-",'A-2'!H141="-",'A-2'!H186="-"),"-",SUM('A-2'!H96,'A-2'!H141,'A-2'!H186))</f>
        <v>-</v>
      </c>
      <c r="J97" s="193" t="s">
        <v>29</v>
      </c>
      <c r="K97" s="193" t="s">
        <v>29</v>
      </c>
      <c r="L97" s="200">
        <f t="shared" si="0"/>
        <v>60033</v>
      </c>
      <c r="M97" s="22"/>
      <c r="N97" s="22"/>
    </row>
    <row r="98" spans="1:14" ht="11.25" customHeight="1" x14ac:dyDescent="0.25">
      <c r="A98" s="383">
        <v>1981</v>
      </c>
      <c r="B98" s="193" t="s">
        <v>29</v>
      </c>
      <c r="C98" s="193" t="str">
        <f>IF(AND('A-2'!B97="-",'A-2'!B142="-",'A-2'!B187="-"),"-",SUM('A-2'!B97,'A-2'!B142,'A-2'!B187))</f>
        <v>-</v>
      </c>
      <c r="D98" s="193">
        <f>IF(AND('A-2'!C97="-",'A-2'!C142="-",'A-2'!C187="-"),"-",SUM('A-2'!C97,'A-2'!C142,'A-2'!C187))</f>
        <v>12257</v>
      </c>
      <c r="E98" s="193">
        <f>IF(AND('A-2'!D97="-",'A-2'!D142="-",'A-2'!D187="-"),"-",SUM('A-2'!D97,'A-2'!D142,'A-2'!D187))</f>
        <v>4882</v>
      </c>
      <c r="F98" s="193">
        <f>IF(AND('A-2'!E97="-",'A-2'!E142="-",'A-2'!E187="-"),"-",SUM('A-2'!E97,'A-2'!E142,'A-2'!E187))</f>
        <v>16703</v>
      </c>
      <c r="G98" s="193">
        <f>IF(AND('A-2'!F97="-",'A-2'!F142="-",'A-2'!F187="-"),"-",SUM('A-2'!F97,'A-2'!F142,'A-2'!F187))</f>
        <v>8567</v>
      </c>
      <c r="H98" s="193">
        <f>IF(AND('A-2'!G97="-",'A-2'!G142="-",'A-2'!G187="-"),"-",SUM('A-2'!G97,'A-2'!G142,'A-2'!G187))</f>
        <v>4636</v>
      </c>
      <c r="I98" s="193" t="str">
        <f>IF(AND('A-2'!H97="-",'A-2'!H142="-",'A-2'!H187="-"),"-",SUM('A-2'!H97,'A-2'!H142,'A-2'!H187))</f>
        <v>-</v>
      </c>
      <c r="J98" s="193" t="s">
        <v>29</v>
      </c>
      <c r="K98" s="193" t="s">
        <v>29</v>
      </c>
      <c r="L98" s="200">
        <f t="shared" si="0"/>
        <v>47045</v>
      </c>
      <c r="M98" s="22"/>
      <c r="N98" s="22"/>
    </row>
    <row r="99" spans="1:14" ht="11.25" customHeight="1" x14ac:dyDescent="0.25">
      <c r="A99" s="383">
        <v>1982</v>
      </c>
      <c r="B99" s="193" t="s">
        <v>29</v>
      </c>
      <c r="C99" s="193">
        <f>IF(AND('A-2'!B98="-",'A-2'!B143="-",'A-2'!B188="-"),"-",SUM('A-2'!B98,'A-2'!B143,'A-2'!B188))</f>
        <v>3755</v>
      </c>
      <c r="D99" s="193">
        <f>IF(AND('A-2'!C98="-",'A-2'!C143="-",'A-2'!C188="-"),"-",SUM('A-2'!C98,'A-2'!C143,'A-2'!C188))</f>
        <v>13643</v>
      </c>
      <c r="E99" s="193">
        <f>IF(AND('A-2'!D98="-",'A-2'!D143="-",'A-2'!D188="-"),"-",SUM('A-2'!D98,'A-2'!D143,'A-2'!D188))</f>
        <v>7851</v>
      </c>
      <c r="F99" s="193">
        <f>IF(AND('A-2'!E98="-",'A-2'!E143="-",'A-2'!E188="-"),"-",SUM('A-2'!E98,'A-2'!E143,'A-2'!E188))</f>
        <v>23922</v>
      </c>
      <c r="G99" s="193">
        <f>IF(AND('A-2'!F98="-",'A-2'!F143="-",'A-2'!F188="-"),"-",SUM('A-2'!F98,'A-2'!F143,'A-2'!F188))</f>
        <v>14111</v>
      </c>
      <c r="H99" s="193">
        <f>IF(AND('A-2'!G98="-",'A-2'!G143="-",'A-2'!G188="-"),"-",SUM('A-2'!G98,'A-2'!G143,'A-2'!G188))</f>
        <v>6163</v>
      </c>
      <c r="I99" s="193" t="str">
        <f>IF(AND('A-2'!H98="-",'A-2'!H143="-",'A-2'!H188="-"),"-",SUM('A-2'!H98,'A-2'!H143,'A-2'!H188))</f>
        <v>-</v>
      </c>
      <c r="J99" s="193" t="s">
        <v>29</v>
      </c>
      <c r="K99" s="193" t="s">
        <v>29</v>
      </c>
      <c r="L99" s="200">
        <f t="shared" si="0"/>
        <v>69445</v>
      </c>
      <c r="M99" s="22"/>
      <c r="N99" s="22"/>
    </row>
    <row r="100" spans="1:14" ht="11.25" customHeight="1" x14ac:dyDescent="0.25">
      <c r="A100" s="383">
        <v>1983</v>
      </c>
      <c r="B100" s="193" t="s">
        <v>29</v>
      </c>
      <c r="C100" s="193">
        <f>IF(AND('A-2'!B99="-",'A-2'!B144="-",'A-2'!B189="-"),"-",SUM('A-2'!B99,'A-2'!B144,'A-2'!B189))</f>
        <v>319</v>
      </c>
      <c r="D100" s="193">
        <f>IF(AND('A-2'!C99="-",'A-2'!C144="-",'A-2'!C189="-"),"-",SUM('A-2'!C99,'A-2'!C144,'A-2'!C189))</f>
        <v>8839</v>
      </c>
      <c r="E100" s="193">
        <f>IF(AND('A-2'!D99="-",'A-2'!D144="-",'A-2'!D189="-"),"-",SUM('A-2'!D99,'A-2'!D144,'A-2'!D189))</f>
        <v>6895</v>
      </c>
      <c r="F100" s="193">
        <f>IF(AND('A-2'!E99="-",'A-2'!E144="-",'A-2'!E189="-"),"-",SUM('A-2'!E99,'A-2'!E144,'A-2'!E189))</f>
        <v>10261</v>
      </c>
      <c r="G100" s="193">
        <f>IF(AND('A-2'!F99="-",'A-2'!F144="-",'A-2'!F189="-"),"-",SUM('A-2'!F99,'A-2'!F144,'A-2'!F189))</f>
        <v>4047</v>
      </c>
      <c r="H100" s="193">
        <f>IF(AND('A-2'!G99="-",'A-2'!G144="-",'A-2'!G189="-"),"-",SUM('A-2'!G99,'A-2'!G144,'A-2'!G189))</f>
        <v>1270</v>
      </c>
      <c r="I100" s="193" t="str">
        <f>IF(AND('A-2'!H99="-",'A-2'!H144="-",'A-2'!H189="-"),"-",SUM('A-2'!H99,'A-2'!H144,'A-2'!H189))</f>
        <v>-</v>
      </c>
      <c r="J100" s="193" t="s">
        <v>29</v>
      </c>
      <c r="K100" s="193" t="s">
        <v>29</v>
      </c>
      <c r="L100" s="200">
        <f t="shared" si="0"/>
        <v>31631</v>
      </c>
      <c r="M100" s="22"/>
      <c r="N100" s="22"/>
    </row>
    <row r="101" spans="1:14" ht="11.25" customHeight="1" x14ac:dyDescent="0.25">
      <c r="A101" s="383">
        <v>1984</v>
      </c>
      <c r="B101" s="193" t="s">
        <v>29</v>
      </c>
      <c r="C101" s="193" t="str">
        <f>IF(AND('A-2'!B100="-",'A-2'!B145="-",'A-2'!B190="-"),"-",SUM('A-2'!B100,'A-2'!B145,'A-2'!B190))</f>
        <v>-</v>
      </c>
      <c r="D101" s="193">
        <f>IF(AND('A-2'!C100="-",'A-2'!C145="-",'A-2'!C190="-"),"-",SUM('A-2'!C100,'A-2'!C145,'A-2'!C190))</f>
        <v>4290</v>
      </c>
      <c r="E101" s="193">
        <f>IF(AND('A-2'!D100="-",'A-2'!D145="-",'A-2'!D190="-"),"-",SUM('A-2'!D100,'A-2'!D145,'A-2'!D190))</f>
        <v>8353</v>
      </c>
      <c r="F101" s="193">
        <f>IF(AND('A-2'!E100="-",'A-2'!E145="-",'A-2'!E190="-"),"-",SUM('A-2'!E100,'A-2'!E145,'A-2'!E190))</f>
        <v>11353</v>
      </c>
      <c r="G101" s="193">
        <f>IF(AND('A-2'!F100="-",'A-2'!F145="-",'A-2'!F190="-"),"-",SUM('A-2'!F100,'A-2'!F145,'A-2'!F190))</f>
        <v>7772</v>
      </c>
      <c r="H101" s="193">
        <f>IF(AND('A-2'!G100="-",'A-2'!G145="-",'A-2'!G190="-"),"-",SUM('A-2'!G100,'A-2'!G145,'A-2'!G190))</f>
        <v>5435</v>
      </c>
      <c r="I101" s="193" t="str">
        <f>IF(AND('A-2'!H100="-",'A-2'!H145="-",'A-2'!H190="-"),"-",SUM('A-2'!H100,'A-2'!H145,'A-2'!H190))</f>
        <v>-</v>
      </c>
      <c r="J101" s="193" t="s">
        <v>29</v>
      </c>
      <c r="K101" s="193" t="s">
        <v>29</v>
      </c>
      <c r="L101" s="200">
        <f t="shared" si="0"/>
        <v>37203</v>
      </c>
      <c r="M101" s="22"/>
      <c r="N101" s="22"/>
    </row>
    <row r="102" spans="1:14" ht="11.25" customHeight="1" x14ac:dyDescent="0.25">
      <c r="A102" s="383">
        <v>1985</v>
      </c>
      <c r="B102" s="193" t="s">
        <v>29</v>
      </c>
      <c r="C102" s="193" t="str">
        <f>IF(AND('A-2'!B101="-",'A-2'!B146="-",'A-2'!B191="-"),"-",SUM('A-2'!B101,'A-2'!B146,'A-2'!B191))</f>
        <v>-</v>
      </c>
      <c r="D102" s="193">
        <f>IF(AND('A-2'!C101="-",'A-2'!C146="-",'A-2'!C191="-"),"-",SUM('A-2'!C101,'A-2'!C146,'A-2'!C191))</f>
        <v>12098</v>
      </c>
      <c r="E102" s="193">
        <f>IF(AND('A-2'!D101="-",'A-2'!D146="-",'A-2'!D191="-"),"-",SUM('A-2'!D101,'A-2'!D146,'A-2'!D191))</f>
        <v>11422</v>
      </c>
      <c r="F102" s="193">
        <f>IF(AND('A-2'!E101="-",'A-2'!E146="-",'A-2'!E191="-"),"-",SUM('A-2'!E101,'A-2'!E146,'A-2'!E191))</f>
        <v>13223</v>
      </c>
      <c r="G102" s="193">
        <f>IF(AND('A-2'!F101="-",'A-2'!F146="-",'A-2'!F191="-"),"-",SUM('A-2'!F101,'A-2'!F146,'A-2'!F191))</f>
        <v>8508</v>
      </c>
      <c r="H102" s="193">
        <f>IF(AND('A-2'!G101="-",'A-2'!G146="-",'A-2'!G191="-"),"-",SUM('A-2'!G101,'A-2'!G146,'A-2'!G191))</f>
        <v>6327</v>
      </c>
      <c r="I102" s="193" t="str">
        <f>IF(AND('A-2'!H101="-",'A-2'!H146="-",'A-2'!H191="-"),"-",SUM('A-2'!H101,'A-2'!H146,'A-2'!H191))</f>
        <v>-</v>
      </c>
      <c r="J102" s="193" t="s">
        <v>29</v>
      </c>
      <c r="K102" s="193" t="s">
        <v>29</v>
      </c>
      <c r="L102" s="200">
        <f t="shared" si="0"/>
        <v>51578</v>
      </c>
      <c r="M102" s="22"/>
      <c r="N102" s="22"/>
    </row>
    <row r="103" spans="1:14" ht="11.25" customHeight="1" x14ac:dyDescent="0.25">
      <c r="A103" s="383">
        <v>1986</v>
      </c>
      <c r="B103" s="193" t="s">
        <v>29</v>
      </c>
      <c r="C103" s="193" t="str">
        <f>IF(AND('A-2'!B102="-",'A-2'!B147="-",'A-2'!B192="-"),"-",SUM('A-2'!B102,'A-2'!B147,'A-2'!B192))</f>
        <v>-</v>
      </c>
      <c r="D103" s="193">
        <f>IF(AND('A-2'!C102="-",'A-2'!C147="-",'A-2'!C192="-"),"-",SUM('A-2'!C102,'A-2'!C147,'A-2'!C192))</f>
        <v>14017</v>
      </c>
      <c r="E103" s="193">
        <f>IF(AND('A-2'!D102="-",'A-2'!D147="-",'A-2'!D192="-"),"-",SUM('A-2'!D102,'A-2'!D147,'A-2'!D192))</f>
        <v>13154.103021270641</v>
      </c>
      <c r="F103" s="193">
        <f>IF(AND('A-2'!E102="-",'A-2'!E147="-",'A-2'!E192="-"),"-",SUM('A-2'!E102,'A-2'!E147,'A-2'!E192))</f>
        <v>13864.500113278791</v>
      </c>
      <c r="G103" s="193">
        <f>IF(AND('A-2'!F102="-",'A-2'!F147="-",'A-2'!F192="-"),"-",SUM('A-2'!F102,'A-2'!F147,'A-2'!F192))</f>
        <v>8156.2156513738446</v>
      </c>
      <c r="H103" s="193">
        <f>IF(AND('A-2'!G102="-",'A-2'!G147="-",'A-2'!G192="-"),"-",SUM('A-2'!G102,'A-2'!G147,'A-2'!G192))</f>
        <v>1808</v>
      </c>
      <c r="I103" s="193" t="str">
        <f>IF(AND('A-2'!H102="-",'A-2'!H147="-",'A-2'!H192="-"),"-",SUM('A-2'!H102,'A-2'!H147,'A-2'!H192))</f>
        <v>-</v>
      </c>
      <c r="J103" s="193" t="s">
        <v>29</v>
      </c>
      <c r="K103" s="193" t="s">
        <v>29</v>
      </c>
      <c r="L103" s="200">
        <f t="shared" si="0"/>
        <v>50999.818785923271</v>
      </c>
      <c r="M103" s="22"/>
      <c r="N103" s="22"/>
    </row>
    <row r="104" spans="1:14" ht="11.25" customHeight="1" x14ac:dyDescent="0.25">
      <c r="A104" s="383">
        <v>1987</v>
      </c>
      <c r="B104" s="193" t="s">
        <v>29</v>
      </c>
      <c r="C104" s="193" t="str">
        <f>IF(AND('A-2'!B103="-",'A-2'!B148="-",'A-2'!B193="-"),"-",SUM('A-2'!B103,'A-2'!B148,'A-2'!B193))</f>
        <v>-</v>
      </c>
      <c r="D104" s="193">
        <f>IF(AND('A-2'!C103="-",'A-2'!C148="-",'A-2'!C193="-"),"-",SUM('A-2'!C103,'A-2'!C148,'A-2'!C193))</f>
        <v>14860</v>
      </c>
      <c r="E104" s="193">
        <f>IF(AND('A-2'!D103="-",'A-2'!D148="-",'A-2'!D193="-"),"-",SUM('A-2'!D103,'A-2'!D148,'A-2'!D193))</f>
        <v>13780.813843930988</v>
      </c>
      <c r="F104" s="193">
        <f>IF(AND('A-2'!E103="-",'A-2'!E148="-",'A-2'!E193="-"),"-",SUM('A-2'!E103,'A-2'!E148,'A-2'!E193))</f>
        <v>14854.078658355596</v>
      </c>
      <c r="G104" s="193">
        <f>IF(AND('A-2'!F103="-",'A-2'!F148="-",'A-2'!F193="-"),"-",SUM('A-2'!F103,'A-2'!F148,'A-2'!F193))</f>
        <v>9280</v>
      </c>
      <c r="H104" s="193">
        <f>IF(AND('A-2'!G103="-",'A-2'!G148="-",'A-2'!G193="-"),"-",SUM('A-2'!G103,'A-2'!G148,'A-2'!G193))</f>
        <v>3081.3716475095785</v>
      </c>
      <c r="I104" s="193" t="str">
        <f>IF(AND('A-2'!H103="-",'A-2'!H148="-",'A-2'!H193="-"),"-",SUM('A-2'!H103,'A-2'!H148,'A-2'!H193))</f>
        <v>-</v>
      </c>
      <c r="J104" s="193" t="s">
        <v>29</v>
      </c>
      <c r="K104" s="193" t="s">
        <v>29</v>
      </c>
      <c r="L104" s="200">
        <f t="shared" si="0"/>
        <v>55856.264149796167</v>
      </c>
      <c r="M104" s="22"/>
      <c r="N104" s="22"/>
    </row>
    <row r="105" spans="1:14" ht="11.25" customHeight="1" x14ac:dyDescent="0.25">
      <c r="A105" s="383">
        <v>1988</v>
      </c>
      <c r="B105" s="193" t="s">
        <v>29</v>
      </c>
      <c r="C105" s="193" t="str">
        <f>IF(AND('A-2'!B104="-",'A-2'!B149="-",'A-2'!B194="-"),"-",SUM('A-2'!B104,'A-2'!B149,'A-2'!B194))</f>
        <v>-</v>
      </c>
      <c r="D105" s="193">
        <f>IF(AND('A-2'!C104="-",'A-2'!C149="-",'A-2'!C194="-"),"-",SUM('A-2'!C104,'A-2'!C149,'A-2'!C194))</f>
        <v>16986.282235939645</v>
      </c>
      <c r="E105" s="193">
        <f>IF(AND('A-2'!D104="-",'A-2'!D149="-",'A-2'!D194="-"),"-",SUM('A-2'!D104,'A-2'!D149,'A-2'!D194))</f>
        <v>19190.666410816557</v>
      </c>
      <c r="F105" s="193">
        <f>IF(AND('A-2'!E104="-",'A-2'!E149="-",'A-2'!E194="-"),"-",SUM('A-2'!E104,'A-2'!E149,'A-2'!E194))</f>
        <v>19960</v>
      </c>
      <c r="G105" s="193">
        <f>IF(AND('A-2'!F104="-",'A-2'!F149="-",'A-2'!F194="-"),"-",SUM('A-2'!F104,'A-2'!F149,'A-2'!F194))</f>
        <v>12536</v>
      </c>
      <c r="H105" s="193">
        <f>IF(AND('A-2'!G104="-",'A-2'!G149="-",'A-2'!G194="-"),"-",SUM('A-2'!G104,'A-2'!G149,'A-2'!G194))</f>
        <v>5229.7136561322122</v>
      </c>
      <c r="I105" s="193" t="str">
        <f>IF(AND('A-2'!H104="-",'A-2'!H149="-",'A-2'!H194="-"),"-",SUM('A-2'!H104,'A-2'!H149,'A-2'!H194))</f>
        <v>-</v>
      </c>
      <c r="J105" s="193" t="s">
        <v>29</v>
      </c>
      <c r="K105" s="193" t="s">
        <v>29</v>
      </c>
      <c r="L105" s="200">
        <f t="shared" si="0"/>
        <v>73902.662302888421</v>
      </c>
      <c r="M105" s="22"/>
      <c r="N105" s="22"/>
    </row>
    <row r="106" spans="1:14" ht="11.25" customHeight="1" x14ac:dyDescent="0.25">
      <c r="A106" s="383">
        <v>1989</v>
      </c>
      <c r="B106" s="193" t="s">
        <v>29</v>
      </c>
      <c r="C106" s="193" t="str">
        <f>IF(AND('A-2'!B105="-",'A-2'!B150="-",'A-2'!B195="-"),"-",SUM('A-2'!B105,'A-2'!B150,'A-2'!B195))</f>
        <v>-</v>
      </c>
      <c r="D106" s="193">
        <f>IF(AND('A-2'!C105="-",'A-2'!C150="-",'A-2'!C195="-"),"-",SUM('A-2'!C105,'A-2'!C150,'A-2'!C195))</f>
        <v>14053</v>
      </c>
      <c r="E106" s="193">
        <f>IF(AND('A-2'!D105="-",'A-2'!D150="-",'A-2'!D195="-"),"-",SUM('A-2'!D105,'A-2'!D150,'A-2'!D195))</f>
        <v>14919.086398743291</v>
      </c>
      <c r="F106" s="193">
        <f>IF(AND('A-2'!E105="-",'A-2'!E150="-",'A-2'!E195="-"),"-",SUM('A-2'!E105,'A-2'!E150,'A-2'!E195))</f>
        <v>11774</v>
      </c>
      <c r="G106" s="193">
        <f>IF(AND('A-2'!F105="-",'A-2'!F150="-",'A-2'!F195="-"),"-",SUM('A-2'!F105,'A-2'!F150,'A-2'!F195))</f>
        <v>11574.509820102328</v>
      </c>
      <c r="H106" s="193">
        <f>IF(AND('A-2'!G105="-",'A-2'!G150="-",'A-2'!G195="-"),"-",SUM('A-2'!G105,'A-2'!G150,'A-2'!G195))</f>
        <v>3422</v>
      </c>
      <c r="I106" s="193" t="str">
        <f>IF(AND('A-2'!H105="-",'A-2'!H150="-",'A-2'!H195="-"),"-",SUM('A-2'!H105,'A-2'!H150,'A-2'!H195))</f>
        <v>-</v>
      </c>
      <c r="J106" s="193" t="s">
        <v>29</v>
      </c>
      <c r="K106" s="193" t="s">
        <v>29</v>
      </c>
      <c r="L106" s="200">
        <f t="shared" si="0"/>
        <v>55742.596218845618</v>
      </c>
      <c r="M106" s="22"/>
      <c r="N106" s="22"/>
    </row>
    <row r="107" spans="1:14" ht="11.25" customHeight="1" x14ac:dyDescent="0.25">
      <c r="A107" s="383">
        <v>1990</v>
      </c>
      <c r="B107" s="193" t="s">
        <v>29</v>
      </c>
      <c r="C107" s="193" t="str">
        <f>IF(AND('A-2'!B106="-",'A-2'!B151="-",'A-2'!B196="-"),"-",SUM('A-2'!B106,'A-2'!B151,'A-2'!B196))</f>
        <v>-</v>
      </c>
      <c r="D107" s="193">
        <f>IF(AND('A-2'!C106="-",'A-2'!C151="-",'A-2'!C196="-"),"-",SUM('A-2'!C106,'A-2'!C151,'A-2'!C196))</f>
        <v>12669</v>
      </c>
      <c r="E107" s="193">
        <f>IF(AND('A-2'!D106="-",'A-2'!D151="-",'A-2'!D196="-"),"-",SUM('A-2'!D106,'A-2'!D151,'A-2'!D196))</f>
        <v>15219</v>
      </c>
      <c r="F107" s="193">
        <f>IF(AND('A-2'!E106="-",'A-2'!E151="-",'A-2'!E196="-"),"-",SUM('A-2'!E106,'A-2'!E151,'A-2'!E196))</f>
        <v>11880</v>
      </c>
      <c r="G107" s="193">
        <f>IF(AND('A-2'!F106="-",'A-2'!F151="-",'A-2'!F196="-"),"-",SUM('A-2'!F106,'A-2'!F151,'A-2'!F196))</f>
        <v>4761</v>
      </c>
      <c r="H107" s="193">
        <f>IF(AND('A-2'!G106="-",'A-2'!G151="-",'A-2'!G196="-"),"-",SUM('A-2'!G106,'A-2'!G151,'A-2'!G196))</f>
        <v>656</v>
      </c>
      <c r="I107" s="193" t="str">
        <f>IF(AND('A-2'!H106="-",'A-2'!H151="-",'A-2'!H196="-"),"-",SUM('A-2'!H106,'A-2'!H151,'A-2'!H196))</f>
        <v>-</v>
      </c>
      <c r="J107" s="193" t="s">
        <v>29</v>
      </c>
      <c r="K107" s="193" t="s">
        <v>29</v>
      </c>
      <c r="L107" s="200">
        <f t="shared" si="0"/>
        <v>45185</v>
      </c>
      <c r="M107" s="22"/>
      <c r="N107" s="22"/>
    </row>
    <row r="108" spans="1:14" ht="11.25" customHeight="1" x14ac:dyDescent="0.25">
      <c r="A108" s="383">
        <v>1991</v>
      </c>
      <c r="B108" s="193" t="s">
        <v>29</v>
      </c>
      <c r="C108" s="193" t="str">
        <f>IF(AND('A-2'!B107="-",'A-2'!B152="-",'A-2'!B197="-"),"-",SUM('A-2'!B107,'A-2'!B152,'A-2'!B197))</f>
        <v>-</v>
      </c>
      <c r="D108" s="193">
        <f>IF(AND('A-2'!C107="-",'A-2'!C152="-",'A-2'!C197="-"),"-",SUM('A-2'!C107,'A-2'!C152,'A-2'!C197))</f>
        <v>8400</v>
      </c>
      <c r="E108" s="193">
        <f>IF(AND('A-2'!D107="-",'A-2'!D152="-",'A-2'!D197="-"),"-",SUM('A-2'!D107,'A-2'!D152,'A-2'!D197))</f>
        <v>10900</v>
      </c>
      <c r="F108" s="193">
        <f>IF(AND('A-2'!E107="-",'A-2'!E152="-",'A-2'!E197="-"),"-",SUM('A-2'!E107,'A-2'!E152,'A-2'!E197))</f>
        <v>6400</v>
      </c>
      <c r="G108" s="193">
        <f>IF(AND('A-2'!F107="-",'A-2'!F152="-",'A-2'!F197="-"),"-",SUM('A-2'!F107,'A-2'!F152,'A-2'!F197))</f>
        <v>7100</v>
      </c>
      <c r="H108" s="193">
        <f>IF(AND('A-2'!G107="-",'A-2'!G152="-",'A-2'!G197="-"),"-",SUM('A-2'!G107,'A-2'!G152,'A-2'!G197))</f>
        <v>1900</v>
      </c>
      <c r="I108" s="193" t="str">
        <f>IF(AND('A-2'!H107="-",'A-2'!H152="-",'A-2'!H197="-"),"-",SUM('A-2'!H107,'A-2'!H152,'A-2'!H197))</f>
        <v>-</v>
      </c>
      <c r="J108" s="193" t="s">
        <v>29</v>
      </c>
      <c r="K108" s="193" t="s">
        <v>29</v>
      </c>
      <c r="L108" s="200">
        <f t="shared" si="0"/>
        <v>34700</v>
      </c>
      <c r="M108" s="22"/>
      <c r="N108" s="22"/>
    </row>
    <row r="109" spans="1:14" ht="11.25" customHeight="1" x14ac:dyDescent="0.25">
      <c r="A109" s="383">
        <v>1992</v>
      </c>
      <c r="B109" s="193" t="s">
        <v>29</v>
      </c>
      <c r="C109" s="193" t="str">
        <f>IF(AND('A-2'!B108="-",'A-2'!B153="-",'A-2'!B198="-"),"-",SUM('A-2'!B108,'A-2'!B153,'A-2'!B198))</f>
        <v>-</v>
      </c>
      <c r="D109" s="193">
        <f>IF(AND('A-2'!C108="-",'A-2'!C153="-",'A-2'!C198="-"),"-",SUM('A-2'!C108,'A-2'!C153,'A-2'!C198))</f>
        <v>6600</v>
      </c>
      <c r="E109" s="193">
        <f>IF(AND('A-2'!D108="-",'A-2'!D153="-",'A-2'!D198="-"),"-",SUM('A-2'!D108,'A-2'!D153,'A-2'!D198))</f>
        <v>3400</v>
      </c>
      <c r="F109" s="193">
        <f>IF(AND('A-2'!E108="-",'A-2'!E153="-",'A-2'!E198="-"),"-",SUM('A-2'!E108,'A-2'!E153,'A-2'!E198))</f>
        <v>2700</v>
      </c>
      <c r="G109" s="193">
        <f>IF(AND('A-2'!F108="-",'A-2'!F153="-",'A-2'!F198="-"),"-",SUM('A-2'!F108,'A-2'!F153,'A-2'!F198))</f>
        <v>4500</v>
      </c>
      <c r="H109" s="193">
        <f>IF(AND('A-2'!G108="-",'A-2'!G153="-",'A-2'!G198="-"),"-",SUM('A-2'!G108,'A-2'!G153,'A-2'!G198))</f>
        <v>3100</v>
      </c>
      <c r="I109" s="193" t="str">
        <f>IF(AND('A-2'!H108="-",'A-2'!H153="-",'A-2'!H198="-"),"-",SUM('A-2'!H108,'A-2'!H153,'A-2'!H198))</f>
        <v>-</v>
      </c>
      <c r="J109" s="193" t="s">
        <v>29</v>
      </c>
      <c r="K109" s="193" t="s">
        <v>29</v>
      </c>
      <c r="L109" s="200">
        <f t="shared" si="0"/>
        <v>20300</v>
      </c>
      <c r="M109" s="22"/>
      <c r="N109" s="22"/>
    </row>
    <row r="110" spans="1:14" ht="11.25" customHeight="1" x14ac:dyDescent="0.25">
      <c r="A110" s="383">
        <v>1993</v>
      </c>
      <c r="B110" s="193" t="s">
        <v>29</v>
      </c>
      <c r="C110" s="193" t="str">
        <f>IF(AND('A-2'!B109="-",'A-2'!B154="-",'A-2'!B199="-"),"-",SUM('A-2'!B109,'A-2'!B154,'A-2'!B199))</f>
        <v>-</v>
      </c>
      <c r="D110" s="193">
        <f>IF(AND('A-2'!C109="-",'A-2'!C154="-",'A-2'!C199="-"),"-",SUM('A-2'!C109,'A-2'!C154,'A-2'!C199))</f>
        <v>9300</v>
      </c>
      <c r="E110" s="193">
        <f>IF(AND('A-2'!D109="-",'A-2'!D154="-",'A-2'!D199="-"),"-",SUM('A-2'!D109,'A-2'!D154,'A-2'!D199))</f>
        <v>4000</v>
      </c>
      <c r="F110" s="193">
        <f>IF(AND('A-2'!E109="-",'A-2'!E154="-",'A-2'!E199="-"),"-",SUM('A-2'!E109,'A-2'!E154,'A-2'!E199))</f>
        <v>5700</v>
      </c>
      <c r="G110" s="193">
        <f>IF(AND('A-2'!F109="-",'A-2'!F154="-",'A-2'!F199="-"),"-",SUM('A-2'!F109,'A-2'!F154,'A-2'!F199))</f>
        <v>4400</v>
      </c>
      <c r="H110" s="193">
        <f>IF(AND('A-2'!G109="-",'A-2'!G154="-",'A-2'!G199="-"),"-",SUM('A-2'!G109,'A-2'!G154,'A-2'!G199))</f>
        <v>2500</v>
      </c>
      <c r="I110" s="193" t="str">
        <f>IF(AND('A-2'!H109="-",'A-2'!H154="-",'A-2'!H199="-"),"-",SUM('A-2'!H109,'A-2'!H154,'A-2'!H199))</f>
        <v>-</v>
      </c>
      <c r="J110" s="193" t="s">
        <v>29</v>
      </c>
      <c r="K110" s="193" t="s">
        <v>29</v>
      </c>
      <c r="L110" s="200">
        <f t="shared" si="0"/>
        <v>25900</v>
      </c>
      <c r="M110" s="22"/>
      <c r="N110" s="22"/>
    </row>
    <row r="111" spans="1:14" ht="11.25" customHeight="1" x14ac:dyDescent="0.25">
      <c r="A111" s="383">
        <v>1994</v>
      </c>
      <c r="B111" s="193" t="s">
        <v>29</v>
      </c>
      <c r="C111" s="193" t="str">
        <f>IF(AND('A-2'!B110="-",'A-2'!B155="-",'A-2'!B200="-"),"-",SUM('A-2'!B110,'A-2'!B155,'A-2'!B200))</f>
        <v>-</v>
      </c>
      <c r="D111" s="193">
        <f>IF(AND('A-2'!C110="-",'A-2'!C155="-",'A-2'!C200="-"),"-",SUM('A-2'!C110,'A-2'!C155,'A-2'!C200))</f>
        <v>6500</v>
      </c>
      <c r="E111" s="193">
        <f>IF(AND('A-2'!D110="-",'A-2'!D155="-",'A-2'!D200="-"),"-",SUM('A-2'!D110,'A-2'!D155,'A-2'!D200))</f>
        <v>4600</v>
      </c>
      <c r="F111" s="193">
        <f>IF(AND('A-2'!E110="-",'A-2'!E155="-",'A-2'!E200="-"),"-",SUM('A-2'!E110,'A-2'!E155,'A-2'!E200))</f>
        <v>5400</v>
      </c>
      <c r="G111" s="193">
        <f>IF(AND('A-2'!F110="-",'A-2'!F155="-",'A-2'!F200="-"),"-",SUM('A-2'!F110,'A-2'!F155,'A-2'!F200))</f>
        <v>2400</v>
      </c>
      <c r="H111" s="193">
        <f>IF(AND('A-2'!G110="-",'A-2'!G155="-",'A-2'!G200="-"),"-",SUM('A-2'!G110,'A-2'!G155,'A-2'!G200))</f>
        <v>2300</v>
      </c>
      <c r="I111" s="193" t="str">
        <f>IF(AND('A-2'!H110="-",'A-2'!H155="-",'A-2'!H200="-"),"-",SUM('A-2'!H110,'A-2'!H155,'A-2'!H200))</f>
        <v>-</v>
      </c>
      <c r="J111" s="193" t="s">
        <v>29</v>
      </c>
      <c r="K111" s="193" t="s">
        <v>29</v>
      </c>
      <c r="L111" s="200">
        <f t="shared" si="0"/>
        <v>21200</v>
      </c>
      <c r="M111" s="22"/>
      <c r="N111" s="22"/>
    </row>
    <row r="112" spans="1:14" ht="11.25" customHeight="1" x14ac:dyDescent="0.25">
      <c r="A112" s="383">
        <v>1995</v>
      </c>
      <c r="B112" s="193" t="s">
        <v>29</v>
      </c>
      <c r="C112" s="193" t="str">
        <f>IF(AND('A-2'!B111="-",'A-2'!B156="-",'A-2'!B201="-"),"-",SUM('A-2'!B111,'A-2'!B156,'A-2'!B201))</f>
        <v>-</v>
      </c>
      <c r="D112" s="193">
        <f>IF(AND('A-2'!C111="-",'A-2'!C156="-",'A-2'!C201="-"),"-",SUM('A-2'!C111,'A-2'!C156,'A-2'!C201))</f>
        <v>8500</v>
      </c>
      <c r="E112" s="193">
        <f>IF(AND('A-2'!D111="-",'A-2'!D156="-",'A-2'!D201="-"),"-",SUM('A-2'!D111,'A-2'!D156,'A-2'!D201))</f>
        <v>5200</v>
      </c>
      <c r="F112" s="193">
        <f>IF(AND('A-2'!E111="-",'A-2'!E156="-",'A-2'!E201="-"),"-",SUM('A-2'!E111,'A-2'!E156,'A-2'!E201))</f>
        <v>5600</v>
      </c>
      <c r="G112" s="193">
        <f>IF(AND('A-2'!F111="-",'A-2'!F156="-",'A-2'!F201="-"),"-",SUM('A-2'!F111,'A-2'!F156,'A-2'!F201))</f>
        <v>3200</v>
      </c>
      <c r="H112" s="193">
        <f>IF(AND('A-2'!G111="-",'A-2'!G156="-",'A-2'!G201="-"),"-",SUM('A-2'!G111,'A-2'!G156,'A-2'!G201))</f>
        <v>3300</v>
      </c>
      <c r="I112" s="193" t="str">
        <f>IF(AND('A-2'!H111="-",'A-2'!H156="-",'A-2'!H201="-"),"-",SUM('A-2'!H111,'A-2'!H156,'A-2'!H201))</f>
        <v>-</v>
      </c>
      <c r="J112" s="193" t="s">
        <v>29</v>
      </c>
      <c r="K112" s="193" t="s">
        <v>29</v>
      </c>
      <c r="L112" s="200">
        <f t="shared" si="0"/>
        <v>25800</v>
      </c>
      <c r="M112" s="22"/>
      <c r="N112" s="22"/>
    </row>
    <row r="113" spans="1:14" ht="11.25" customHeight="1" x14ac:dyDescent="0.25">
      <c r="A113" s="383">
        <v>1996</v>
      </c>
      <c r="B113" s="193" t="s">
        <v>29</v>
      </c>
      <c r="C113" s="193" t="str">
        <f>IF(AND('A-2'!B112="-",'A-2'!B157="-",'A-2'!B202="-"),"-",SUM('A-2'!B112,'A-2'!B157,'A-2'!B202))</f>
        <v>-</v>
      </c>
      <c r="D113" s="193">
        <f>IF(AND('A-2'!C112="-",'A-2'!C157="-",'A-2'!C202="-"),"-",SUM('A-2'!C112,'A-2'!C157,'A-2'!C202))</f>
        <v>4700</v>
      </c>
      <c r="E113" s="193">
        <f>IF(AND('A-2'!D112="-",'A-2'!D157="-",'A-2'!D202="-"),"-",SUM('A-2'!D112,'A-2'!D157,'A-2'!D202))</f>
        <v>5900</v>
      </c>
      <c r="F113" s="193">
        <f>IF(AND('A-2'!E112="-",'A-2'!E157="-",'A-2'!E202="-"),"-",SUM('A-2'!E112,'A-2'!E157,'A-2'!E202))</f>
        <v>5300</v>
      </c>
      <c r="G113" s="193">
        <f>IF(AND('A-2'!F112="-",'A-2'!F157="-",'A-2'!F202="-"),"-",SUM('A-2'!F112,'A-2'!F157,'A-2'!F202))</f>
        <v>2900</v>
      </c>
      <c r="H113" s="193">
        <f>IF(AND('A-2'!G112="-",'A-2'!G157="-",'A-2'!G202="-"),"-",SUM('A-2'!G112,'A-2'!G157,'A-2'!G202))</f>
        <v>1925</v>
      </c>
      <c r="I113" s="193" t="str">
        <f>IF(AND('A-2'!H112="-",'A-2'!H157="-",'A-2'!H202="-"),"-",SUM('A-2'!H112,'A-2'!H157,'A-2'!H202))</f>
        <v>-</v>
      </c>
      <c r="J113" s="193" t="s">
        <v>29</v>
      </c>
      <c r="K113" s="193" t="s">
        <v>29</v>
      </c>
      <c r="L113" s="200">
        <f t="shared" si="0"/>
        <v>20725</v>
      </c>
      <c r="M113" s="22"/>
      <c r="N113" s="22"/>
    </row>
    <row r="114" spans="1:14" ht="11.25" customHeight="1" x14ac:dyDescent="0.25">
      <c r="A114" s="383">
        <v>1997</v>
      </c>
      <c r="B114" s="193" t="s">
        <v>29</v>
      </c>
      <c r="C114" s="193">
        <f>IF(AND('A-2'!B113="-",'A-2'!B158="-",'A-2'!B203="-"),"-",SUM('A-2'!B113,'A-2'!B158,'A-2'!B203))</f>
        <v>600</v>
      </c>
      <c r="D114" s="193">
        <f>IF(AND('A-2'!C113="-",'A-2'!C158="-",'A-2'!C203="-"),"-",SUM('A-2'!C113,'A-2'!C158,'A-2'!C203))</f>
        <v>6500</v>
      </c>
      <c r="E114" s="193">
        <f>IF(AND('A-2'!D113="-",'A-2'!D158="-",'A-2'!D203="-"),"-",SUM('A-2'!D113,'A-2'!D158,'A-2'!D203))</f>
        <v>2000</v>
      </c>
      <c r="F114" s="193">
        <f>IF(AND('A-2'!E113="-",'A-2'!E158="-",'A-2'!E203="-"),"-",SUM('A-2'!E113,'A-2'!E158,'A-2'!E203))</f>
        <v>5700</v>
      </c>
      <c r="G114" s="193">
        <f>IF(AND('A-2'!F113="-",'A-2'!F158="-",'A-2'!F203="-"),"-",SUM('A-2'!F113,'A-2'!F158,'A-2'!F203))</f>
        <v>2300</v>
      </c>
      <c r="H114" s="193">
        <f>IF(AND('A-2'!G113="-",'A-2'!G158="-",'A-2'!G203="-"),"-",SUM('A-2'!G113,'A-2'!G158,'A-2'!G203))</f>
        <v>1750</v>
      </c>
      <c r="I114" s="193" t="str">
        <f>IF(AND('A-2'!H113="-",'A-2'!H158="-",'A-2'!H203="-"),"-",SUM('A-2'!H113,'A-2'!H158,'A-2'!H203))</f>
        <v>-</v>
      </c>
      <c r="J114" s="193" t="s">
        <v>29</v>
      </c>
      <c r="K114" s="193" t="s">
        <v>29</v>
      </c>
      <c r="L114" s="200">
        <f t="shared" si="0"/>
        <v>18850</v>
      </c>
      <c r="M114" s="22"/>
      <c r="N114" s="22"/>
    </row>
    <row r="115" spans="1:14" ht="11.25" customHeight="1" x14ac:dyDescent="0.25">
      <c r="A115" s="383">
        <v>1998</v>
      </c>
      <c r="B115" s="193" t="s">
        <v>29</v>
      </c>
      <c r="C115" s="193" t="str">
        <f>IF(AND('A-2'!B114="-",'A-2'!B159="-",'A-2'!B204="-"),"-",SUM('A-2'!B114,'A-2'!B159,'A-2'!B204))</f>
        <v>-</v>
      </c>
      <c r="D115" s="193">
        <f>IF(AND('A-2'!C114="-",'A-2'!C159="-",'A-2'!C204="-"),"-",SUM('A-2'!C114,'A-2'!C159,'A-2'!C204))</f>
        <v>4300</v>
      </c>
      <c r="E115" s="193">
        <f>IF(AND('A-2'!D114="-",'A-2'!D159="-",'A-2'!D204="-"),"-",SUM('A-2'!D114,'A-2'!D159,'A-2'!D204))</f>
        <v>2100</v>
      </c>
      <c r="F115" s="193">
        <f>IF(AND('A-2'!E114="-",'A-2'!E159="-",'A-2'!E204="-"),"-",SUM('A-2'!E114,'A-2'!E159,'A-2'!E204))</f>
        <v>3900</v>
      </c>
      <c r="G115" s="193">
        <f>IF(AND('A-2'!F114="-",'A-2'!F159="-",'A-2'!F204="-"),"-",SUM('A-2'!F114,'A-2'!F159,'A-2'!F204))</f>
        <v>1800</v>
      </c>
      <c r="H115" s="193">
        <f>IF(AND('A-2'!G114="-",'A-2'!G159="-",'A-2'!G204="-"),"-",SUM('A-2'!G114,'A-2'!G159,'A-2'!G204))</f>
        <v>2300</v>
      </c>
      <c r="I115" s="193" t="str">
        <f>IF(AND('A-2'!H114="-",'A-2'!H159="-",'A-2'!H204="-"),"-",SUM('A-2'!H114,'A-2'!H159,'A-2'!H204))</f>
        <v>-</v>
      </c>
      <c r="J115" s="193" t="s">
        <v>29</v>
      </c>
      <c r="K115" s="193" t="s">
        <v>29</v>
      </c>
      <c r="L115" s="200">
        <f t="shared" si="0"/>
        <v>14400</v>
      </c>
      <c r="M115" s="22"/>
      <c r="N115" s="22"/>
    </row>
    <row r="116" spans="1:14" ht="11.25" customHeight="1" x14ac:dyDescent="0.25">
      <c r="A116" s="383">
        <v>1999</v>
      </c>
      <c r="B116" s="193" t="s">
        <v>29</v>
      </c>
      <c r="C116" s="193">
        <f>IF(AND('A-2'!B115="-",'A-2'!B160="-",'A-2'!B205="-"),"-",SUM('A-2'!B115,'A-2'!B160,'A-2'!B205))</f>
        <v>125</v>
      </c>
      <c r="D116" s="193">
        <f>IF(AND('A-2'!C115="-",'A-2'!C160="-",'A-2'!C205="-"),"-",SUM('A-2'!C115,'A-2'!C160,'A-2'!C205))</f>
        <v>2500</v>
      </c>
      <c r="E116" s="193">
        <f>IF(AND('A-2'!D115="-",'A-2'!D160="-",'A-2'!D205="-"),"-",SUM('A-2'!D115,'A-2'!D160,'A-2'!D205))</f>
        <v>5000</v>
      </c>
      <c r="F116" s="193">
        <f>IF(AND('A-2'!E115="-",'A-2'!E160="-",'A-2'!E205="-"),"-",SUM('A-2'!E115,'A-2'!E160,'A-2'!E205))</f>
        <v>4700</v>
      </c>
      <c r="G116" s="193">
        <f>IF(AND('A-2'!F115="-",'A-2'!F160="-",'A-2'!F205="-"),"-",SUM('A-2'!F115,'A-2'!F160,'A-2'!F205))</f>
        <v>2200</v>
      </c>
      <c r="H116" s="193">
        <f>IF(AND('A-2'!G115="-",'A-2'!G160="-",'A-2'!G205="-"),"-",SUM('A-2'!G115,'A-2'!G160,'A-2'!G205))</f>
        <v>1600</v>
      </c>
      <c r="I116" s="193" t="str">
        <f>IF(AND('A-2'!H115="-",'A-2'!H160="-",'A-2'!H205="-"),"-",SUM('A-2'!H115,'A-2'!H160,'A-2'!H205))</f>
        <v>-</v>
      </c>
      <c r="J116" s="193" t="s">
        <v>29</v>
      </c>
      <c r="K116" s="193" t="s">
        <v>29</v>
      </c>
      <c r="L116" s="200">
        <f t="shared" si="0"/>
        <v>16125</v>
      </c>
      <c r="M116" s="22"/>
      <c r="N116" s="22"/>
    </row>
    <row r="117" spans="1:14" ht="11.25" customHeight="1" x14ac:dyDescent="0.25">
      <c r="A117" s="383">
        <v>2000</v>
      </c>
      <c r="B117" s="193" t="s">
        <v>29</v>
      </c>
      <c r="C117" s="193" t="str">
        <f>IF(AND('A-2'!B116="-",'A-2'!B161="-",'A-2'!B206="-"),"-",SUM('A-2'!B116,'A-2'!B161,'A-2'!B206))</f>
        <v>-</v>
      </c>
      <c r="D117" s="193">
        <f>IF(AND('A-2'!C116="-",'A-2'!C161="-",'A-2'!C206="-"),"-",SUM('A-2'!C116,'A-2'!C161,'A-2'!C206))</f>
        <v>5210</v>
      </c>
      <c r="E117" s="193">
        <f>IF(AND('A-2'!D116="-",'A-2'!D161="-",'A-2'!D206="-"),"-",SUM('A-2'!D116,'A-2'!D161,'A-2'!D206))</f>
        <v>5863</v>
      </c>
      <c r="F117" s="193">
        <f>IF(AND('A-2'!E116="-",'A-2'!E161="-",'A-2'!E206="-"),"-",SUM('A-2'!E116,'A-2'!E161,'A-2'!E206))</f>
        <v>3248</v>
      </c>
      <c r="G117" s="193">
        <f>IF(AND('A-2'!F116="-",'A-2'!F161="-",'A-2'!F206="-"),"-",SUM('A-2'!F116,'A-2'!F161,'A-2'!F206))</f>
        <v>2390</v>
      </c>
      <c r="H117" s="193">
        <f>IF(AND('A-2'!G116="-",'A-2'!G161="-",'A-2'!G206="-"),"-",SUM('A-2'!G116,'A-2'!G161,'A-2'!G206))</f>
        <v>3600</v>
      </c>
      <c r="I117" s="193" t="str">
        <f>IF(AND('A-2'!H116="-",'A-2'!H161="-",'A-2'!H206="-"),"-",SUM('A-2'!H116,'A-2'!H161,'A-2'!H206))</f>
        <v>-</v>
      </c>
      <c r="J117" s="193" t="s">
        <v>29</v>
      </c>
      <c r="K117" s="193" t="s">
        <v>29</v>
      </c>
      <c r="L117" s="200">
        <f t="shared" si="0"/>
        <v>20311</v>
      </c>
      <c r="M117" s="22"/>
      <c r="N117" s="22"/>
    </row>
    <row r="118" spans="1:14" ht="11.25" customHeight="1" x14ac:dyDescent="0.25">
      <c r="A118" s="383">
        <v>2001</v>
      </c>
      <c r="B118" s="193" t="s">
        <v>29</v>
      </c>
      <c r="C118" s="193" t="str">
        <f>IF(AND('A-2'!B117="-",'A-2'!B162="-",'A-2'!B207="-"),"-",SUM('A-2'!B117,'A-2'!B162,'A-2'!B207))</f>
        <v>-</v>
      </c>
      <c r="D118" s="193">
        <f>IF(AND('A-2'!C117="-",'A-2'!C162="-",'A-2'!C207="-"),"-",SUM('A-2'!C117,'A-2'!C162,'A-2'!C207))</f>
        <v>4894</v>
      </c>
      <c r="E118" s="193">
        <f>IF(AND('A-2'!D117="-",'A-2'!D162="-",'A-2'!D207="-"),"-",SUM('A-2'!D117,'A-2'!D162,'A-2'!D207))</f>
        <v>1448</v>
      </c>
      <c r="F118" s="193">
        <f>IF(AND('A-2'!E117="-",'A-2'!E162="-",'A-2'!E207="-"),"-",SUM('A-2'!E117,'A-2'!E162,'A-2'!E207))</f>
        <v>3042</v>
      </c>
      <c r="G118" s="193">
        <f>IF(AND('A-2'!F117="-",'A-2'!F162="-",'A-2'!F207="-"),"-",SUM('A-2'!F117,'A-2'!F162,'A-2'!F207))</f>
        <v>1419</v>
      </c>
      <c r="H118" s="193">
        <f>IF(AND('A-2'!G117="-",'A-2'!G162="-",'A-2'!G207="-"),"-",SUM('A-2'!G117,'A-2'!G162,'A-2'!G207))</f>
        <v>2222</v>
      </c>
      <c r="I118" s="193">
        <f>IF(AND('A-2'!H117="-",'A-2'!H162="-",'A-2'!H207="-"),"-",SUM('A-2'!H117,'A-2'!H162,'A-2'!H207))</f>
        <v>501</v>
      </c>
      <c r="J118" s="193" t="s">
        <v>29</v>
      </c>
      <c r="K118" s="193" t="s">
        <v>29</v>
      </c>
      <c r="L118" s="200">
        <f t="shared" si="0"/>
        <v>13526</v>
      </c>
      <c r="M118" s="22"/>
      <c r="N118" s="22"/>
    </row>
    <row r="119" spans="1:14" ht="11.25" customHeight="1" x14ac:dyDescent="0.25">
      <c r="A119" s="383">
        <v>2002</v>
      </c>
      <c r="B119" s="193" t="s">
        <v>29</v>
      </c>
      <c r="C119" s="193" t="str">
        <f>IF(AND('A-2'!B118="-",'A-2'!B163="-",'A-2'!B208="-"),"-",SUM('A-2'!B118,'A-2'!B163,'A-2'!B208))</f>
        <v>-</v>
      </c>
      <c r="D119" s="193">
        <f>IF(AND('A-2'!C118="-",'A-2'!C163="-",'A-2'!C208="-"),"-",SUM('A-2'!C118,'A-2'!C163,'A-2'!C208))</f>
        <v>4246</v>
      </c>
      <c r="E119" s="193">
        <f>IF(AND('A-2'!D118="-",'A-2'!D163="-",'A-2'!D208="-"),"-",SUM('A-2'!D118,'A-2'!D163,'A-2'!D208))</f>
        <v>3247</v>
      </c>
      <c r="F119" s="193">
        <f>IF(AND('A-2'!E118="-",'A-2'!E163="-",'A-2'!E208="-"),"-",SUM('A-2'!E118,'A-2'!E163,'A-2'!E208))</f>
        <v>4664</v>
      </c>
      <c r="G119" s="193">
        <f>IF(AND('A-2'!F118="-",'A-2'!F163="-",'A-2'!F208="-"),"-",SUM('A-2'!F118,'A-2'!F163,'A-2'!F208))</f>
        <v>2816</v>
      </c>
      <c r="H119" s="193">
        <f>IF(AND('A-2'!G118="-",'A-2'!G163="-",'A-2'!G208="-"),"-",SUM('A-2'!G118,'A-2'!G163,'A-2'!G208))</f>
        <v>1686</v>
      </c>
      <c r="I119" s="193">
        <f>IF(AND('A-2'!H118="-",'A-2'!H163="-",'A-2'!H208="-"),"-",SUM('A-2'!H118,'A-2'!H163,'A-2'!H208))</f>
        <v>139</v>
      </c>
      <c r="J119" s="193" t="s">
        <v>29</v>
      </c>
      <c r="K119" s="193" t="s">
        <v>29</v>
      </c>
      <c r="L119" s="200">
        <f t="shared" si="0"/>
        <v>16798</v>
      </c>
      <c r="M119" s="22"/>
      <c r="N119" s="22"/>
    </row>
    <row r="120" spans="1:14" ht="11.25" customHeight="1" x14ac:dyDescent="0.25">
      <c r="A120" s="402">
        <v>2003</v>
      </c>
      <c r="B120" s="193" t="s">
        <v>29</v>
      </c>
      <c r="C120" s="193" t="str">
        <f>IF(AND('A-2'!B119="-",'A-2'!B164="-",'A-2'!B209="-"),"-",SUM('A-2'!B119,'A-2'!B164,'A-2'!B209))</f>
        <v>-</v>
      </c>
      <c r="D120" s="193">
        <f>IF(AND('A-2'!C119="-",'A-2'!C164="-",'A-2'!C209="-"),"-",SUM('A-2'!C119,'A-2'!C164,'A-2'!C209))</f>
        <v>3074</v>
      </c>
      <c r="E120" s="193">
        <f>IF(AND('A-2'!D119="-",'A-2'!D164="-",'A-2'!D209="-"),"-",SUM('A-2'!D119,'A-2'!D164,'A-2'!D209))</f>
        <v>2727</v>
      </c>
      <c r="F120" s="193">
        <f>IF(AND('A-2'!E119="-",'A-2'!E164="-",'A-2'!E209="-"),"-",SUM('A-2'!E119,'A-2'!E164,'A-2'!E209))</f>
        <v>3697</v>
      </c>
      <c r="G120" s="193">
        <f>IF(AND('A-2'!F119="-",'A-2'!F164="-",'A-2'!F209="-"),"-",SUM('A-2'!F119,'A-2'!F164,'A-2'!F209))</f>
        <v>3745</v>
      </c>
      <c r="H120" s="193">
        <f>IF(AND('A-2'!G119="-",'A-2'!G164="-",'A-2'!G209="-"),"-",SUM('A-2'!G119,'A-2'!G164,'A-2'!G209))</f>
        <v>2431</v>
      </c>
      <c r="I120" s="193">
        <f>IF(AND('A-2'!H119="-",'A-2'!H164="-",'A-2'!H209="-"),"-",SUM('A-2'!H119,'A-2'!H164,'A-2'!H209))</f>
        <v>136</v>
      </c>
      <c r="J120" s="193" t="s">
        <v>29</v>
      </c>
      <c r="K120" s="193" t="s">
        <v>29</v>
      </c>
      <c r="L120" s="200">
        <f t="shared" si="0"/>
        <v>15810</v>
      </c>
      <c r="M120" s="22"/>
      <c r="N120" s="22"/>
    </row>
    <row r="121" spans="1:14" ht="11.25" customHeight="1" x14ac:dyDescent="0.25">
      <c r="A121" s="383">
        <v>2004</v>
      </c>
      <c r="B121" s="193" t="s">
        <v>29</v>
      </c>
      <c r="C121" s="193" t="str">
        <f>IF(AND('A-2'!B120="-",'A-2'!B165="-",'A-2'!B210="-"),"-",SUM('A-2'!B120,'A-2'!B165,'A-2'!B210))</f>
        <v>-</v>
      </c>
      <c r="D121" s="193">
        <f>IF(AND('A-2'!C120="-",'A-2'!C165="-",'A-2'!C210="-"),"-",SUM('A-2'!C120,'A-2'!C165,'A-2'!C210))</f>
        <v>5146</v>
      </c>
      <c r="E121" s="193">
        <f>IF(AND('A-2'!D120="-",'A-2'!D165="-",'A-2'!D210="-"),"-",SUM('A-2'!D120,'A-2'!D165,'A-2'!D210))</f>
        <v>4034</v>
      </c>
      <c r="F121" s="193">
        <f>IF(AND('A-2'!E120="-",'A-2'!E165="-",'A-2'!E210="-"),"-",SUM('A-2'!E120,'A-2'!E165,'A-2'!E210))</f>
        <v>6297</v>
      </c>
      <c r="G121" s="193">
        <f>IF(AND('A-2'!F120="-",'A-2'!F165="-",'A-2'!F210="-"),"-",SUM('A-2'!F120,'A-2'!F165,'A-2'!F210))</f>
        <v>3470</v>
      </c>
      <c r="H121" s="193">
        <f>IF(AND('A-2'!G120="-",'A-2'!G165="-",'A-2'!G210="-"),"-",SUM('A-2'!G120,'A-2'!G165,'A-2'!G210))</f>
        <v>1972</v>
      </c>
      <c r="I121" s="193">
        <f>IF(AND('A-2'!H120="-",'A-2'!H165="-",'A-2'!H210="-"),"-",SUM('A-2'!H120,'A-2'!H165,'A-2'!H210))</f>
        <v>290</v>
      </c>
      <c r="J121" s="193" t="s">
        <v>29</v>
      </c>
      <c r="K121" s="193" t="s">
        <v>29</v>
      </c>
      <c r="L121" s="200">
        <f t="shared" si="0"/>
        <v>21209</v>
      </c>
      <c r="M121" s="22"/>
      <c r="N121" s="22"/>
    </row>
    <row r="122" spans="1:14" ht="11.25" customHeight="1" x14ac:dyDescent="0.25">
      <c r="A122" s="402">
        <v>2005</v>
      </c>
      <c r="B122" s="193" t="s">
        <v>29</v>
      </c>
      <c r="C122" s="193" t="str">
        <f>IF(AND('A-2'!B121="-",'A-2'!B166="-",'A-2'!B211="-"),"-",SUM('A-2'!B121,'A-2'!B166,'A-2'!B211))</f>
        <v>-</v>
      </c>
      <c r="D122" s="193">
        <f>IF(AND('A-2'!C121="-",'A-2'!C166="-",'A-2'!C211="-"),"-",SUM('A-2'!C121,'A-2'!C166,'A-2'!C211))</f>
        <v>3881</v>
      </c>
      <c r="E122" s="193">
        <f>IF(AND('A-2'!D121="-",'A-2'!D166="-",'A-2'!D211="-"),"-",SUM('A-2'!D121,'A-2'!D166,'A-2'!D211))</f>
        <v>377</v>
      </c>
      <c r="F122" s="193">
        <f>IF(AND('A-2'!E121="-",'A-2'!E166="-",'A-2'!E211="-"),"-",SUM('A-2'!E121,'A-2'!E166,'A-2'!E211))</f>
        <v>5001</v>
      </c>
      <c r="G122" s="193">
        <f>IF(AND('A-2'!F121="-",'A-2'!F166="-",'A-2'!F211="-"),"-",SUM('A-2'!F121,'A-2'!F166,'A-2'!F211))</f>
        <v>3365</v>
      </c>
      <c r="H122" s="193">
        <f>IF(AND('A-2'!G121="-",'A-2'!G166="-",'A-2'!G211="-"),"-",SUM('A-2'!G121,'A-2'!G166,'A-2'!G211))</f>
        <v>3669</v>
      </c>
      <c r="I122" s="193">
        <f>IF(AND('A-2'!H121="-",'A-2'!H166="-",'A-2'!H211="-"),"-",SUM('A-2'!H121,'A-2'!H166,'A-2'!H211))</f>
        <v>401</v>
      </c>
      <c r="J122" s="193" t="s">
        <v>29</v>
      </c>
      <c r="K122" s="193" t="s">
        <v>29</v>
      </c>
      <c r="L122" s="200">
        <f t="shared" si="0"/>
        <v>16694</v>
      </c>
      <c r="M122" s="22"/>
      <c r="N122" s="22"/>
    </row>
    <row r="123" spans="1:14" ht="11.25" customHeight="1" x14ac:dyDescent="0.25">
      <c r="A123" s="383">
        <v>2006</v>
      </c>
      <c r="B123" s="193" t="s">
        <v>29</v>
      </c>
      <c r="C123" s="193" t="str">
        <f>IF(AND('A-2'!B122="-",'A-2'!B167="-",'A-2'!B212="-"),"-",SUM('A-2'!B122,'A-2'!B167,'A-2'!B212))</f>
        <v>-</v>
      </c>
      <c r="D123" s="193">
        <f>IF(AND('A-2'!C122="-",'A-2'!C167="-",'A-2'!C212="-"),"-",SUM('A-2'!C122,'A-2'!C167,'A-2'!C212))</f>
        <v>2062</v>
      </c>
      <c r="E123" s="193">
        <f>IF(AND('A-2'!D122="-",'A-2'!D167="-",'A-2'!D212="-"),"-",SUM('A-2'!D122,'A-2'!D167,'A-2'!D212))</f>
        <v>103</v>
      </c>
      <c r="F123" s="193">
        <f>IF(AND('A-2'!E122="-",'A-2'!E167="-",'A-2'!E212="-"),"-",SUM('A-2'!E122,'A-2'!E167,'A-2'!E212))</f>
        <v>650</v>
      </c>
      <c r="G123" s="193">
        <f>IF(AND('A-2'!F122="-",'A-2'!F167="-",'A-2'!F212="-"),"-",SUM('A-2'!F122,'A-2'!F167,'A-2'!F212))</f>
        <v>2593</v>
      </c>
      <c r="H123" s="193">
        <f>IF(AND('A-2'!G122="-",'A-2'!G167="-",'A-2'!G212="-"),"-",SUM('A-2'!G122,'A-2'!G167,'A-2'!G212))</f>
        <v>2477</v>
      </c>
      <c r="I123" s="193">
        <f>IF(AND('A-2'!H122="-",'A-2'!H167="-",'A-2'!H212="-"),"-",SUM('A-2'!H122,'A-2'!H167,'A-2'!H212))</f>
        <v>374</v>
      </c>
      <c r="J123" s="193" t="s">
        <v>29</v>
      </c>
      <c r="K123" s="193" t="s">
        <v>29</v>
      </c>
      <c r="L123" s="200">
        <f t="shared" si="0"/>
        <v>8259</v>
      </c>
      <c r="M123" s="22"/>
      <c r="N123" s="22"/>
    </row>
    <row r="124" spans="1:14" ht="11.25" customHeight="1" x14ac:dyDescent="0.25">
      <c r="A124" s="402">
        <v>2007</v>
      </c>
      <c r="B124" s="193" t="s">
        <v>29</v>
      </c>
      <c r="C124" s="193">
        <f>IF(AND('A-2'!B123="-",'A-2'!B168="-",'A-2'!B213="-"),"-",SUM('A-2'!B123,'A-2'!B168,'A-2'!B213))</f>
        <v>106</v>
      </c>
      <c r="D124" s="193">
        <f>IF(AND('A-2'!C123="-",'A-2'!C168="-",'A-2'!C213="-"),"-",SUM('A-2'!C123,'A-2'!C168,'A-2'!C213))</f>
        <v>3132</v>
      </c>
      <c r="E124" s="193">
        <f>IF(AND('A-2'!D123="-",'A-2'!D168="-",'A-2'!D213="-"),"-",SUM('A-2'!D123,'A-2'!D168,'A-2'!D213))</f>
        <v>29</v>
      </c>
      <c r="F124" s="193">
        <f>IF(AND('A-2'!E123="-",'A-2'!E168="-",'A-2'!E213="-"),"-",SUM('A-2'!E123,'A-2'!E168,'A-2'!E213))</f>
        <v>3288</v>
      </c>
      <c r="G124" s="193">
        <f>IF(AND('A-2'!F123="-",'A-2'!F168="-",'A-2'!F213="-"),"-",SUM('A-2'!F123,'A-2'!F168,'A-2'!F213))</f>
        <v>2659</v>
      </c>
      <c r="H124" s="193">
        <f>IF(AND('A-2'!G123="-",'A-2'!G168="-",'A-2'!G213="-"),"-",SUM('A-2'!G123,'A-2'!G168,'A-2'!G213))</f>
        <v>932</v>
      </c>
      <c r="I124" s="193">
        <f>IF(AND('A-2'!H123="-",'A-2'!H168="-",'A-2'!H213="-"),"-",SUM('A-2'!H123,'A-2'!H168,'A-2'!H213))</f>
        <v>168</v>
      </c>
      <c r="J124" s="193" t="s">
        <v>29</v>
      </c>
      <c r="K124" s="193" t="s">
        <v>29</v>
      </c>
      <c r="L124" s="200">
        <f t="shared" si="0"/>
        <v>10314</v>
      </c>
      <c r="M124" s="148"/>
      <c r="N124" s="148"/>
    </row>
    <row r="125" spans="1:14" ht="11.25" customHeight="1" x14ac:dyDescent="0.25">
      <c r="A125" s="402">
        <v>2008</v>
      </c>
      <c r="B125" s="193" t="s">
        <v>29</v>
      </c>
      <c r="C125" s="193" t="str">
        <f>IF(AND('A-2'!B124="-",'A-2'!B169="-",'A-2'!B214="-"),"-",SUM('A-2'!B124,'A-2'!B169,'A-2'!B214))</f>
        <v>-</v>
      </c>
      <c r="D125" s="193" t="str">
        <f>IF(AND('A-2'!C124="-",'A-2'!C169="-",'A-2'!C214="-"),"-",SUM('A-2'!C124,'A-2'!C169,'A-2'!C214))</f>
        <v>-</v>
      </c>
      <c r="E125" s="193" t="str">
        <f>IF(AND('A-2'!D124="-",'A-2'!D169="-",'A-2'!D214="-"),"-",SUM('A-2'!D124,'A-2'!D169,'A-2'!D214))</f>
        <v>-</v>
      </c>
      <c r="F125" s="193" t="str">
        <f>IF(AND('A-2'!E124="-",'A-2'!E169="-",'A-2'!E214="-"),"-",SUM('A-2'!E124,'A-2'!E169,'A-2'!E214))</f>
        <v>-</v>
      </c>
      <c r="G125" s="193" t="str">
        <f>IF(AND('A-2'!F124="-",'A-2'!F169="-",'A-2'!F214="-"),"-",SUM('A-2'!F124,'A-2'!F169,'A-2'!F214))</f>
        <v>-</v>
      </c>
      <c r="H125" s="193" t="str">
        <f>IF(AND('A-2'!G124="-",'A-2'!G169="-",'A-2'!G214="-"),"-",SUM('A-2'!G124,'A-2'!G169,'A-2'!G214))</f>
        <v>-</v>
      </c>
      <c r="I125" s="193" t="str">
        <f>IF(AND('A-2'!H124="-",'A-2'!H169="-",'A-2'!H214="-"),"-",SUM('A-2'!H124,'A-2'!H169,'A-2'!H214))</f>
        <v>-</v>
      </c>
      <c r="J125" s="193" t="s">
        <v>29</v>
      </c>
      <c r="K125" s="193" t="s">
        <v>29</v>
      </c>
      <c r="L125" s="200" t="s">
        <v>29</v>
      </c>
      <c r="M125" s="148"/>
      <c r="N125" s="148"/>
    </row>
    <row r="126" spans="1:14" ht="11.25" customHeight="1" x14ac:dyDescent="0.25">
      <c r="A126" s="402">
        <v>2009</v>
      </c>
      <c r="B126" s="193" t="s">
        <v>29</v>
      </c>
      <c r="C126" s="193" t="str">
        <f>IF(AND('A-2'!B125="-",'A-2'!B170="-",'A-2'!B215="-"),"-",SUM('A-2'!B125,'A-2'!B170,'A-2'!B215))</f>
        <v>-</v>
      </c>
      <c r="D126" s="193" t="str">
        <f>IF(AND('A-2'!C125="-",'A-2'!C170="-",'A-2'!C215="-"),"-",SUM('A-2'!C125,'A-2'!C170,'A-2'!C215))</f>
        <v>-</v>
      </c>
      <c r="E126" s="193" t="str">
        <f>IF(AND('A-2'!D125="-",'A-2'!D170="-",'A-2'!D215="-"),"-",SUM('A-2'!D125,'A-2'!D170,'A-2'!D215))</f>
        <v>-</v>
      </c>
      <c r="F126" s="193" t="str">
        <f>IF(AND('A-2'!E125="-",'A-2'!E170="-",'A-2'!E215="-"),"-",SUM('A-2'!E125,'A-2'!E170,'A-2'!E215))</f>
        <v>-</v>
      </c>
      <c r="G126" s="193" t="str">
        <f>IF(AND('A-2'!F125="-",'A-2'!F170="-",'A-2'!F215="-"),"-",SUM('A-2'!F125,'A-2'!F170,'A-2'!F215))</f>
        <v>-</v>
      </c>
      <c r="H126" s="193" t="str">
        <f>IF(AND('A-2'!G125="-",'A-2'!G170="-",'A-2'!G215="-"),"-",SUM('A-2'!G125,'A-2'!G170,'A-2'!G215))</f>
        <v>-</v>
      </c>
      <c r="I126" s="193" t="str">
        <f>IF(AND('A-2'!H125="-",'A-2'!H170="-",'A-2'!H215="-"),"-",SUM('A-2'!H125,'A-2'!H170,'A-2'!H215))</f>
        <v>-</v>
      </c>
      <c r="J126" s="193" t="s">
        <v>29</v>
      </c>
      <c r="K126" s="193" t="s">
        <v>29</v>
      </c>
      <c r="L126" s="200" t="s">
        <v>29</v>
      </c>
      <c r="M126" s="148"/>
      <c r="N126" s="148"/>
    </row>
    <row r="127" spans="1:14" ht="11.25" customHeight="1" x14ac:dyDescent="0.25">
      <c r="A127" s="402">
        <v>2010</v>
      </c>
      <c r="B127" s="193" t="s">
        <v>29</v>
      </c>
      <c r="C127" s="193" t="str">
        <f>IF(AND('A-2'!B126="-",'A-2'!B171="-",'A-2'!B216="-"),"-",SUM('A-2'!B126,'A-2'!B171,'A-2'!B216))</f>
        <v>-</v>
      </c>
      <c r="D127" s="193" t="str">
        <f>IF(AND('A-2'!C126="-",'A-2'!C171="-",'A-2'!C216="-"),"-",SUM('A-2'!C126,'A-2'!C171,'A-2'!C216))</f>
        <v>-</v>
      </c>
      <c r="E127" s="193" t="str">
        <f>IF(AND('A-2'!D126="-",'A-2'!D171="-",'A-2'!D216="-"),"-",SUM('A-2'!D126,'A-2'!D171,'A-2'!D216))</f>
        <v>-</v>
      </c>
      <c r="F127" s="193">
        <f>IF(AND('A-2'!E126="-",'A-2'!E171="-",'A-2'!E216="-"),"-",SUM('A-2'!E126,'A-2'!E171,'A-2'!E216))</f>
        <v>1105</v>
      </c>
      <c r="G127" s="193">
        <f>IF(AND('A-2'!F126="-",'A-2'!F171="-",'A-2'!F216="-"),"-",SUM('A-2'!F126,'A-2'!F171,'A-2'!F216))</f>
        <v>870</v>
      </c>
      <c r="H127" s="193" t="str">
        <f>IF(AND('A-2'!G126="-",'A-2'!G171="-",'A-2'!G216="-"),"-",SUM('A-2'!G126,'A-2'!G171,'A-2'!G216))</f>
        <v>-</v>
      </c>
      <c r="I127" s="193" t="str">
        <f>IF(AND('A-2'!H126="-",'A-2'!H171="-",'A-2'!H216="-"),"-",SUM('A-2'!H126,'A-2'!H171,'A-2'!H216))</f>
        <v>-</v>
      </c>
      <c r="J127" s="193" t="s">
        <v>29</v>
      </c>
      <c r="K127" s="193" t="s">
        <v>29</v>
      </c>
      <c r="L127" s="200">
        <f t="shared" si="0"/>
        <v>1975</v>
      </c>
      <c r="M127" s="148"/>
      <c r="N127" s="148"/>
    </row>
    <row r="128" spans="1:14" ht="11.25" customHeight="1" x14ac:dyDescent="0.25">
      <c r="A128" s="402">
        <v>2011</v>
      </c>
      <c r="B128" s="193" t="s">
        <v>29</v>
      </c>
      <c r="C128" s="193" t="str">
        <f>IF(AND('A-2'!B127="-",'A-2'!B172="-",'A-2'!B217="-"),"-",SUM('A-2'!B127,'A-2'!B172,'A-2'!B217))</f>
        <v>-</v>
      </c>
      <c r="D128" s="193">
        <f>IF(AND('A-2'!C127="-",'A-2'!C172="-",'A-2'!C217="-"),"-",SUM('A-2'!C127,'A-2'!C172,'A-2'!C217))</f>
        <v>1879</v>
      </c>
      <c r="E128" s="193">
        <f>IF(AND('A-2'!D127="-",'A-2'!D172="-",'A-2'!D217="-"),"-",SUM('A-2'!D127,'A-2'!D172,'A-2'!D217))</f>
        <v>504</v>
      </c>
      <c r="F128" s="193">
        <f>IF(AND('A-2'!E127="-",'A-2'!E172="-",'A-2'!E217="-"),"-",SUM('A-2'!E127,'A-2'!E172,'A-2'!E217))</f>
        <v>1737</v>
      </c>
      <c r="G128" s="193">
        <f>IF(AND('A-2'!F127="-",'A-2'!F172="-",'A-2'!F217="-"),"-",SUM('A-2'!F127,'A-2'!F172,'A-2'!F217))</f>
        <v>1897</v>
      </c>
      <c r="H128" s="193">
        <f>IF(AND('A-2'!G127="-",'A-2'!G172="-",'A-2'!G217="-"),"-",SUM('A-2'!G127,'A-2'!G172,'A-2'!G217))</f>
        <v>638</v>
      </c>
      <c r="I128" s="193">
        <f>IF(AND('A-2'!H127="-",'A-2'!H172="-",'A-2'!H217="-"),"-",SUM('A-2'!H127,'A-2'!H172,'A-2'!H217))</f>
        <v>117</v>
      </c>
      <c r="J128" s="193" t="s">
        <v>29</v>
      </c>
      <c r="K128" s="193" t="s">
        <v>29</v>
      </c>
      <c r="L128" s="200">
        <f t="shared" si="0"/>
        <v>6772</v>
      </c>
      <c r="M128" s="148"/>
      <c r="N128" s="148"/>
    </row>
    <row r="129" spans="1:14" ht="11.25" customHeight="1" x14ac:dyDescent="0.25">
      <c r="A129" s="402">
        <v>2012</v>
      </c>
      <c r="B129" s="193" t="s">
        <v>29</v>
      </c>
      <c r="C129" s="193" t="str">
        <f>IF(AND('A-2'!B128="-",'A-2'!B173="-",'A-2'!B218="-"),"-",SUM('A-2'!B128,'A-2'!B173,'A-2'!B218))</f>
        <v>-</v>
      </c>
      <c r="D129" s="193">
        <f>IF(AND('A-2'!C128="-",'A-2'!C173="-",'A-2'!C218="-"),"-",SUM('A-2'!C128,'A-2'!C173,'A-2'!C218))</f>
        <v>3738</v>
      </c>
      <c r="E129" s="193">
        <f>IF(AND('A-2'!D128="-",'A-2'!D173="-",'A-2'!D218="-"),"-",SUM('A-2'!D128,'A-2'!D173,'A-2'!D218))</f>
        <v>1593</v>
      </c>
      <c r="F129" s="193">
        <f>IF(AND('A-2'!E128="-",'A-2'!E173="-",'A-2'!E218="-"),"-",SUM('A-2'!E128,'A-2'!E173,'A-2'!E218))</f>
        <v>4406</v>
      </c>
      <c r="G129" s="193">
        <f>IF(AND('A-2'!F128="-",'A-2'!F173="-",'A-2'!F218="-"),"-",SUM('A-2'!F128,'A-2'!F173,'A-2'!F218))</f>
        <v>2650</v>
      </c>
      <c r="H129" s="193">
        <f>IF(AND('A-2'!G128="-",'A-2'!G173="-",'A-2'!G218="-"),"-",SUM('A-2'!G128,'A-2'!G173,'A-2'!G218))</f>
        <v>1361</v>
      </c>
      <c r="I129" s="193">
        <f>IF(AND('A-2'!H128="-",'A-2'!H173="-",'A-2'!H218="-"),"-",SUM('A-2'!H128,'A-2'!H173,'A-2'!H218))</f>
        <v>469</v>
      </c>
      <c r="J129" s="193" t="s">
        <v>29</v>
      </c>
      <c r="K129" s="193" t="s">
        <v>29</v>
      </c>
      <c r="L129" s="200">
        <f t="shared" si="0"/>
        <v>14217</v>
      </c>
      <c r="M129" s="148"/>
      <c r="N129" s="148"/>
    </row>
    <row r="130" spans="1:14" ht="11.25" customHeight="1" x14ac:dyDescent="0.25">
      <c r="A130" s="122">
        <v>2013</v>
      </c>
      <c r="B130" s="193" t="s">
        <v>29</v>
      </c>
      <c r="C130" s="193" t="str">
        <f>IF(AND('A-2'!B129="-",'A-2'!B174="-",'A-2'!B219="-"),"-",SUM('A-2'!B129,'A-2'!B174,'A-2'!B219))</f>
        <v>-</v>
      </c>
      <c r="D130" s="193">
        <f>IF(AND('A-2'!C129="-",'A-2'!C174="-",'A-2'!C219="-"),"-",SUM('A-2'!C129,'A-2'!C174,'A-2'!C219))</f>
        <v>4268</v>
      </c>
      <c r="E130" s="193">
        <f>IF(AND('A-2'!D129="-",'A-2'!D174="-",'A-2'!D219="-"),"-",SUM('A-2'!D129,'A-2'!D174,'A-2'!D219))</f>
        <v>3904</v>
      </c>
      <c r="F130" s="193">
        <f>IF(AND('A-2'!E129="-",'A-2'!E174="-",'A-2'!E219="-"),"-",SUM('A-2'!E129,'A-2'!E174,'A-2'!E219))</f>
        <v>3979</v>
      </c>
      <c r="G130" s="193">
        <f>IF(AND('A-2'!F129="-",'A-2'!F174="-",'A-2'!F219="-"),"-",SUM('A-2'!F129,'A-2'!F174,'A-2'!F219))</f>
        <v>2638</v>
      </c>
      <c r="H130" s="193">
        <f>IF(AND('A-2'!G129="-",'A-2'!G174="-",'A-2'!G219="-"),"-",SUM('A-2'!G129,'A-2'!G174,'A-2'!G219))</f>
        <v>1620</v>
      </c>
      <c r="I130" s="193">
        <f>IF(AND('A-2'!H129="-",'A-2'!H174="-",'A-2'!H219="-"),"-",SUM('A-2'!H129,'A-2'!H174,'A-2'!H219))</f>
        <v>223</v>
      </c>
      <c r="J130" s="193" t="s">
        <v>29</v>
      </c>
      <c r="K130" s="193" t="s">
        <v>29</v>
      </c>
      <c r="L130" s="200">
        <f t="shared" si="0"/>
        <v>16632</v>
      </c>
      <c r="M130" s="226"/>
      <c r="N130" s="148"/>
    </row>
    <row r="131" spans="1:14" ht="11.25" customHeight="1" x14ac:dyDescent="0.25">
      <c r="A131" s="122">
        <v>2014</v>
      </c>
      <c r="B131" s="193" t="s">
        <v>29</v>
      </c>
      <c r="C131" s="193" t="str">
        <f>IF(AND('A-2'!B130="-",'A-2'!B175="-",'A-2'!B220="-"),"-",SUM('A-2'!B130,'A-2'!B175,'A-2'!B220))</f>
        <v>-</v>
      </c>
      <c r="D131" s="193">
        <f>IF(AND('A-2'!C130="-",'A-2'!C175="-",'A-2'!C220="-"),"-",SUM('A-2'!C130,'A-2'!C175,'A-2'!C220))</f>
        <v>3011</v>
      </c>
      <c r="E131" s="193">
        <f>IF(AND('A-2'!D130="-",'A-2'!D175="-",'A-2'!D220="-"),"-",SUM('A-2'!D130,'A-2'!D175,'A-2'!D220))</f>
        <v>2682</v>
      </c>
      <c r="F131" s="193">
        <f>IF(AND('A-2'!E130="-",'A-2'!E175="-",'A-2'!E220="-"),"-",SUM('A-2'!E130,'A-2'!E175,'A-2'!E220))</f>
        <v>3281</v>
      </c>
      <c r="G131" s="193">
        <f>IF(AND('A-2'!F130="-",'A-2'!F175="-",'A-2'!F220="-"),"-",SUM('A-2'!F130,'A-2'!F175,'A-2'!F220))</f>
        <v>2987</v>
      </c>
      <c r="H131" s="193">
        <f>IF(AND('A-2'!G130="-",'A-2'!G175="-",'A-2'!G220="-"),"-",SUM('A-2'!G130,'A-2'!G175,'A-2'!G220))</f>
        <v>1759</v>
      </c>
      <c r="I131" s="193">
        <f>IF(AND('A-2'!H130="-",'A-2'!H175="-",'A-2'!H220="-"),"-",SUM('A-2'!H130,'A-2'!H175,'A-2'!H220))</f>
        <v>575</v>
      </c>
      <c r="J131" s="193" t="s">
        <v>29</v>
      </c>
      <c r="K131" s="193" t="s">
        <v>29</v>
      </c>
      <c r="L131" s="200">
        <f t="shared" si="0"/>
        <v>14295</v>
      </c>
      <c r="M131" s="148"/>
      <c r="N131" s="148"/>
    </row>
    <row r="132" spans="1:14" ht="11.25" customHeight="1" x14ac:dyDescent="0.25">
      <c r="A132" s="402">
        <v>2015</v>
      </c>
      <c r="B132" s="197" t="s">
        <v>29</v>
      </c>
      <c r="C132" s="197" t="str">
        <f>IF(AND('A-2'!B131="-",'A-2'!B176="-",'A-2'!B221="-"),"-",SUM('A-2'!B131,'A-2'!B176,'A-2'!B221))</f>
        <v>-</v>
      </c>
      <c r="D132" s="197">
        <f>IF(AND('A-2'!C131="-",'A-2'!C176="-",'A-2'!C221="-"),"-",SUM('A-2'!C131,'A-2'!C176,'A-2'!C221))</f>
        <v>4434</v>
      </c>
      <c r="E132" s="197">
        <f>IF(AND('A-2'!D131="-",'A-2'!D176="-",'A-2'!D221="-"),"-",SUM('A-2'!D131,'A-2'!D176,'A-2'!D221))</f>
        <v>2392</v>
      </c>
      <c r="F132" s="197">
        <f>IF(AND('A-2'!E131="-",'A-2'!E176="-",'A-2'!E221="-"),"-",SUM('A-2'!E131,'A-2'!E176,'A-2'!E221))</f>
        <v>1943</v>
      </c>
      <c r="G132" s="197">
        <f>IF(AND('A-2'!F131="-",'A-2'!F176="-",'A-2'!F221="-"),"-",SUM('A-2'!F131,'A-2'!F176,'A-2'!F221))</f>
        <v>2000</v>
      </c>
      <c r="H132" s="197">
        <f>IF(AND('A-2'!G131="-",'A-2'!G176="-",'A-2'!G221="-"),"-",SUM('A-2'!G131,'A-2'!G176,'A-2'!G221))</f>
        <v>1695</v>
      </c>
      <c r="I132" s="197">
        <f>IF(AND('A-2'!H131="-",'A-2'!H176="-",'A-2'!H221="-"),"-",SUM('A-2'!H131,'A-2'!H176,'A-2'!H221))</f>
        <v>515</v>
      </c>
      <c r="J132" s="197" t="s">
        <v>29</v>
      </c>
      <c r="K132" s="197" t="s">
        <v>29</v>
      </c>
      <c r="L132" s="203">
        <f>SUM(B132:K132)</f>
        <v>12979</v>
      </c>
      <c r="M132" s="148"/>
      <c r="N132" s="148"/>
    </row>
    <row r="133" spans="1:14" ht="11.25" customHeight="1" x14ac:dyDescent="0.25">
      <c r="A133" s="402">
        <v>2016</v>
      </c>
      <c r="B133" s="197" t="s">
        <v>29</v>
      </c>
      <c r="C133" s="197" t="str">
        <f>IF(AND('A-2'!B132="-",'A-2'!B177="-",'A-2'!B222="-"),"-",SUM('A-2'!B132,'A-2'!B177,'A-2'!B222))</f>
        <v>-</v>
      </c>
      <c r="D133" s="197">
        <f>IF(AND('A-2'!C132="-",'A-2'!C177="-",'A-2'!C222="-"),"-",SUM('A-2'!C132,'A-2'!C177,'A-2'!C222))</f>
        <v>1662</v>
      </c>
      <c r="E133" s="197">
        <f>IF(AND('A-2'!D132="-",'A-2'!D177="-",'A-2'!D222="-"),"-",SUM('A-2'!D132,'A-2'!D177,'A-2'!D222))</f>
        <v>1290</v>
      </c>
      <c r="F133" s="197" t="str">
        <f>IF(AND('A-2'!E132="-",'A-2'!E177="-",'A-2'!E222="-"),"-",SUM('A-2'!E132,'A-2'!E177,'A-2'!E222))</f>
        <v>-</v>
      </c>
      <c r="G133" s="197">
        <f>IF(AND('A-2'!F132="-",'A-2'!F177="-",'A-2'!F222="-"),"-",SUM('A-2'!F132,'A-2'!F177,'A-2'!F222))</f>
        <v>2450</v>
      </c>
      <c r="H133" s="197">
        <f>IF(AND('A-2'!G132="-",'A-2'!G177="-",'A-2'!G222="-"),"-",SUM('A-2'!G132,'A-2'!G177,'A-2'!G222))</f>
        <v>1563</v>
      </c>
      <c r="I133" s="197">
        <f>IF(AND('A-2'!H132="-",'A-2'!H177="-",'A-2'!H222="-"),"-",SUM('A-2'!H132,'A-2'!H177,'A-2'!H222))</f>
        <v>174</v>
      </c>
      <c r="J133" s="197" t="s">
        <v>29</v>
      </c>
      <c r="K133" s="197" t="s">
        <v>29</v>
      </c>
      <c r="L133" s="203">
        <f>SUM(B133:K133)</f>
        <v>7139</v>
      </c>
      <c r="M133" s="148"/>
      <c r="N133" s="148"/>
    </row>
    <row r="134" spans="1:14" ht="11.25" customHeight="1" x14ac:dyDescent="0.25">
      <c r="A134" s="402">
        <v>2017</v>
      </c>
      <c r="B134" s="197" t="s">
        <v>29</v>
      </c>
      <c r="C134" s="197" t="str">
        <f>IF(AND('A-2'!B133="-",'A-2'!B178="-",'A-2'!B223="-"),"-",SUM('A-2'!B133,'A-2'!B178,'A-2'!B223))</f>
        <v>-</v>
      </c>
      <c r="D134" s="197">
        <f>IF(AND('A-2'!C133="-",'A-2'!C178="-",'A-2'!C223="-"),"-",SUM('A-2'!C133,'A-2'!C178,'A-2'!C223))</f>
        <v>874</v>
      </c>
      <c r="E134" s="197">
        <f>IF(AND('A-2'!D133="-",'A-2'!D178="-",'A-2'!D223="-"),"-",SUM('A-2'!D133,'A-2'!D178,'A-2'!D223))</f>
        <v>1210</v>
      </c>
      <c r="F134" s="197" t="str">
        <f>IF(AND('A-2'!E133="-",'A-2'!E178="-",'A-2'!E223="-"),"-",SUM('A-2'!E133,'A-2'!E178,'A-2'!E223))</f>
        <v>-</v>
      </c>
      <c r="G134" s="197">
        <f>IF(AND('A-2'!F133="-",'A-2'!F178="-",'A-2'!F223="-"),"-",SUM('A-2'!F133,'A-2'!F178,'A-2'!F223))</f>
        <v>2610</v>
      </c>
      <c r="H134" s="197">
        <f>IF(AND('A-2'!G133="-",'A-2'!G178="-",'A-2'!G223="-"),"-",SUM('A-2'!G133,'A-2'!G178,'A-2'!G223))</f>
        <v>1811</v>
      </c>
      <c r="I134" s="197">
        <f>IF(AND('A-2'!H133="-",'A-2'!H178="-",'A-2'!H223="-"),"-",SUM('A-2'!H133,'A-2'!H178,'A-2'!H223))</f>
        <v>220</v>
      </c>
      <c r="J134" s="197" t="s">
        <v>29</v>
      </c>
      <c r="K134" s="197" t="s">
        <v>29</v>
      </c>
      <c r="L134" s="203">
        <f>SUM(B134:K134)</f>
        <v>6725</v>
      </c>
      <c r="M134" s="148"/>
      <c r="N134" s="148"/>
    </row>
    <row r="135" spans="1:14" s="358" customFormat="1" ht="11.25" customHeight="1" x14ac:dyDescent="0.25">
      <c r="A135" s="402">
        <v>2018</v>
      </c>
      <c r="B135" s="197" t="s">
        <v>29</v>
      </c>
      <c r="C135" s="197" t="str">
        <f>IF(AND('A-2'!B134="-",'A-2'!B179="-",'A-2'!B224="-"),"-",SUM('A-2'!B134,'A-2'!B179,'A-2'!B224))</f>
        <v>-</v>
      </c>
      <c r="D135" s="197">
        <f>IF(AND('A-2'!C134="-",'A-2'!C179="-",'A-2'!C224="-"),"-",SUM('A-2'!C134,'A-2'!C179,'A-2'!C224))</f>
        <v>473</v>
      </c>
      <c r="E135" s="197">
        <f>IF(AND('A-2'!D134="-",'A-2'!D179="-",'A-2'!D224="-"),"-",SUM('A-2'!D134,'A-2'!D179,'A-2'!D224))</f>
        <v>839</v>
      </c>
      <c r="F135" s="197">
        <f>IF(AND('A-2'!E134="-",'A-2'!E179="-",'A-2'!E224="-"),"-",SUM('A-2'!E134,'A-2'!E179,'A-2'!E224))</f>
        <v>823</v>
      </c>
      <c r="G135" s="197">
        <f>IF(AND('A-2'!F134="-",'A-2'!F179="-",'A-2'!F224="-"),"-",SUM('A-2'!F134,'A-2'!F179,'A-2'!F224))</f>
        <v>2751</v>
      </c>
      <c r="H135" s="197">
        <f>IF(AND('A-2'!G134="-",'A-2'!G179="-",'A-2'!G224="-"),"-",SUM('A-2'!G134,'A-2'!G179,'A-2'!G224))</f>
        <v>1551</v>
      </c>
      <c r="I135" s="197">
        <f>IF(AND('A-2'!H134="-",'A-2'!H179="-",'A-2'!H224="-"),"-",SUM('A-2'!H134,'A-2'!H179,'A-2'!H224))</f>
        <v>441</v>
      </c>
      <c r="J135" s="197" t="s">
        <v>29</v>
      </c>
      <c r="K135" s="197" t="s">
        <v>29</v>
      </c>
      <c r="L135" s="203">
        <f>SUM(B135:K135)</f>
        <v>6878</v>
      </c>
      <c r="M135" s="148"/>
      <c r="N135" s="148"/>
    </row>
    <row r="136" spans="1:14" s="358" customFormat="1" ht="11.25" customHeight="1" x14ac:dyDescent="0.25">
      <c r="A136" s="498" t="s">
        <v>403</v>
      </c>
      <c r="B136" s="197" t="s">
        <v>29</v>
      </c>
      <c r="C136" s="197" t="str">
        <f>IF(AND('A-2'!B135="-",'A-2'!B180="-",'A-2'!B225="-"),"-",SUM('A-2'!B135,'A-2'!B180,'A-2'!B225))</f>
        <v>-</v>
      </c>
      <c r="D136" s="197">
        <f>IF(AND('A-2'!C135="-",'A-2'!C180="-",'A-2'!C225="-"),"-",SUM('A-2'!C135,'A-2'!C180,'A-2'!C225))</f>
        <v>3875</v>
      </c>
      <c r="E136" s="197">
        <f>IF(AND('A-2'!D135="-",'A-2'!D180="-",'A-2'!D225="-"),"-",SUM('A-2'!D135,'A-2'!D180,'A-2'!D225))</f>
        <v>4372</v>
      </c>
      <c r="F136" s="197">
        <f>IF(AND('A-2'!E135="-",'A-2'!E180="-",'A-2'!E225="-"),"-",SUM('A-2'!E135,'A-2'!E180,'A-2'!E225))</f>
        <v>3087</v>
      </c>
      <c r="G136" s="197">
        <f>IF(AND('A-2'!F135="-",'A-2'!F180="-",'A-2'!F225="-"),"-",SUM('A-2'!F135,'A-2'!F180,'A-2'!F225))</f>
        <v>2785</v>
      </c>
      <c r="H136" s="197">
        <f>IF(AND('A-2'!G135="-",'A-2'!G180="-",'A-2'!G225="-"),"-",SUM('A-2'!G135,'A-2'!G180,'A-2'!G225))</f>
        <v>1100</v>
      </c>
      <c r="I136" s="197">
        <f>IF(AND('A-2'!H135="-",'A-2'!H180="-",'A-2'!H225="-"),"-",SUM('A-2'!H135,'A-2'!H180,'A-2'!H225))</f>
        <v>251</v>
      </c>
      <c r="J136" s="197" t="s">
        <v>29</v>
      </c>
      <c r="K136" s="197" t="s">
        <v>29</v>
      </c>
      <c r="L136" s="203">
        <f t="shared" ref="L136" si="1">SUM(B136:K136)</f>
        <v>15470</v>
      </c>
      <c r="M136" s="148"/>
      <c r="N136" s="148"/>
    </row>
    <row r="137" spans="1:14" ht="11.25" customHeight="1" x14ac:dyDescent="0.25">
      <c r="A137" s="498" t="s">
        <v>393</v>
      </c>
      <c r="B137" s="193" t="s">
        <v>29</v>
      </c>
      <c r="C137" s="193" t="str">
        <f>IF(AND('A-2'!B136="-",'A-2'!B181="-",'A-2'!B226="-"),"-",SUM('A-2'!B136,'A-2'!B181,'A-2'!B226))</f>
        <v>-</v>
      </c>
      <c r="D137" s="193">
        <f>IF(AND('A-2'!C136="-",'A-2'!C181="-",'A-2'!C226="-"),"-",SUM('A-2'!C136,'A-2'!C181,'A-2'!C226))</f>
        <v>2665</v>
      </c>
      <c r="E137" s="193">
        <f>IF(AND('A-2'!D136="-",'A-2'!D181="-",'A-2'!D226="-"),"-",SUM('A-2'!D136,'A-2'!D181,'A-2'!D226))</f>
        <v>3357</v>
      </c>
      <c r="F137" s="193">
        <f>IF(AND('A-2'!E136="-",'A-2'!E181="-",'A-2'!E226="-"),"-",SUM('A-2'!E136,'A-2'!E181,'A-2'!E226))</f>
        <v>2884</v>
      </c>
      <c r="G137" s="193">
        <f>IF(AND('A-2'!F136="-",'A-2'!F181="-",'A-2'!F226="-"),"-",SUM('A-2'!F136,'A-2'!F181,'A-2'!F226))</f>
        <v>1713</v>
      </c>
      <c r="H137" s="193">
        <f>IF(AND('A-2'!G136="-",'A-2'!G181="-",'A-2'!G226="-"),"-",SUM('A-2'!G136,'A-2'!G181,'A-2'!G226))</f>
        <v>1081</v>
      </c>
      <c r="I137" s="193">
        <f>IF(AND('A-2'!H136="-",'A-2'!H181="-",'A-2'!H226="-"),"-",SUM('A-2'!H136,'A-2'!H181,'A-2'!H226))</f>
        <v>568</v>
      </c>
      <c r="J137" s="193" t="s">
        <v>29</v>
      </c>
      <c r="K137" s="193" t="s">
        <v>29</v>
      </c>
      <c r="L137" s="200">
        <f t="shared" si="0"/>
        <v>12268</v>
      </c>
      <c r="M137" s="22"/>
      <c r="N137" s="22"/>
    </row>
    <row r="138" spans="1:14" ht="11.25" customHeight="1" x14ac:dyDescent="0.25">
      <c r="A138" s="383"/>
      <c r="B138" s="193"/>
      <c r="C138" s="193"/>
      <c r="D138" s="193"/>
      <c r="E138" s="193"/>
      <c r="F138" s="193"/>
      <c r="G138" s="193"/>
      <c r="H138" s="193"/>
      <c r="I138" s="193"/>
      <c r="J138" s="193"/>
      <c r="K138" s="193"/>
      <c r="L138" s="200"/>
      <c r="M138" s="22"/>
      <c r="N138" s="22"/>
    </row>
    <row r="139" spans="1:14" ht="11.25" customHeight="1" x14ac:dyDescent="0.25">
      <c r="A139" s="120" t="s">
        <v>303</v>
      </c>
      <c r="B139" s="193"/>
      <c r="C139" s="193"/>
      <c r="D139" s="193"/>
      <c r="E139" s="193"/>
      <c r="F139" s="193"/>
      <c r="G139" s="193"/>
      <c r="H139" s="193"/>
      <c r="I139" s="193"/>
      <c r="J139" s="193"/>
      <c r="K139" s="193"/>
      <c r="L139" s="200"/>
      <c r="M139" s="22"/>
      <c r="N139" s="22"/>
    </row>
    <row r="140" spans="1:14" ht="11.25" customHeight="1" x14ac:dyDescent="0.25">
      <c r="A140" s="383">
        <v>1978</v>
      </c>
      <c r="B140" s="197" t="str">
        <f t="shared" ref="B140:C159" si="2">IF(AND(B95="-",B50="-",B5="-"),"-",SUM(B95,B50,B5))</f>
        <v>-</v>
      </c>
      <c r="C140" s="197">
        <f t="shared" si="2"/>
        <v>3424</v>
      </c>
      <c r="D140" s="197">
        <f t="shared" ref="D140:L140" si="3">IF(AND(D95="-",D50="-",D5="-"),"-",SUM(D95,D50,D5))</f>
        <v>20630</v>
      </c>
      <c r="E140" s="197">
        <f t="shared" si="3"/>
        <v>45886</v>
      </c>
      <c r="F140" s="197">
        <f t="shared" si="3"/>
        <v>40326</v>
      </c>
      <c r="G140" s="197">
        <f t="shared" si="3"/>
        <v>21053</v>
      </c>
      <c r="H140" s="197">
        <f t="shared" si="3"/>
        <v>7729</v>
      </c>
      <c r="I140" s="197">
        <f t="shared" si="3"/>
        <v>2020</v>
      </c>
      <c r="J140" s="197">
        <f t="shared" si="3"/>
        <v>1017</v>
      </c>
      <c r="K140" s="197" t="str">
        <f t="shared" si="3"/>
        <v>-</v>
      </c>
      <c r="L140" s="203">
        <f t="shared" si="3"/>
        <v>142085</v>
      </c>
      <c r="M140" s="22"/>
      <c r="N140" s="22"/>
    </row>
    <row r="141" spans="1:14" ht="11.25" customHeight="1" x14ac:dyDescent="0.25">
      <c r="A141" s="383">
        <v>1979</v>
      </c>
      <c r="B141" s="197" t="str">
        <f t="shared" si="2"/>
        <v>-</v>
      </c>
      <c r="C141" s="197">
        <f t="shared" si="2"/>
        <v>12</v>
      </c>
      <c r="D141" s="197">
        <f t="shared" ref="D141:L141" si="4">IF(AND(D96="-",D51="-",D6="-"),"-",SUM(D96,D51,D6))</f>
        <v>18669</v>
      </c>
      <c r="E141" s="197">
        <f t="shared" si="4"/>
        <v>16205</v>
      </c>
      <c r="F141" s="197">
        <f t="shared" si="4"/>
        <v>58500</v>
      </c>
      <c r="G141" s="197">
        <f t="shared" si="4"/>
        <v>41380</v>
      </c>
      <c r="H141" s="197">
        <f t="shared" si="4"/>
        <v>9178</v>
      </c>
      <c r="I141" s="197">
        <f t="shared" si="4"/>
        <v>1187</v>
      </c>
      <c r="J141" s="197">
        <f t="shared" si="4"/>
        <v>203</v>
      </c>
      <c r="K141" s="197" t="str">
        <f t="shared" si="4"/>
        <v>-</v>
      </c>
      <c r="L141" s="203">
        <f t="shared" si="4"/>
        <v>145334</v>
      </c>
      <c r="M141" s="22"/>
      <c r="N141" s="22"/>
    </row>
    <row r="142" spans="1:14" ht="11.25" customHeight="1" x14ac:dyDescent="0.25">
      <c r="A142" s="383">
        <v>1980</v>
      </c>
      <c r="B142" s="197" t="str">
        <f t="shared" si="2"/>
        <v>-</v>
      </c>
      <c r="C142" s="197" t="str">
        <f t="shared" si="2"/>
        <v>-</v>
      </c>
      <c r="D142" s="197">
        <f t="shared" ref="D142:L142" si="5">IF(AND(D97="-",D52="-",D7="-"),"-",SUM(D97,D52,D7))</f>
        <v>26587</v>
      </c>
      <c r="E142" s="197">
        <f t="shared" si="5"/>
        <v>1951</v>
      </c>
      <c r="F142" s="197">
        <f t="shared" si="5"/>
        <v>38829</v>
      </c>
      <c r="G142" s="197">
        <f t="shared" si="5"/>
        <v>27431</v>
      </c>
      <c r="H142" s="197">
        <f t="shared" si="5"/>
        <v>13783</v>
      </c>
      <c r="I142" s="197">
        <f t="shared" si="5"/>
        <v>1451</v>
      </c>
      <c r="J142" s="197">
        <f t="shared" si="5"/>
        <v>513</v>
      </c>
      <c r="K142" s="197" t="str">
        <f t="shared" si="5"/>
        <v>-</v>
      </c>
      <c r="L142" s="203">
        <f t="shared" si="5"/>
        <v>110545</v>
      </c>
      <c r="M142" s="22"/>
      <c r="N142" s="22"/>
    </row>
    <row r="143" spans="1:14" ht="11.25" customHeight="1" x14ac:dyDescent="0.25">
      <c r="A143" s="383">
        <v>1981</v>
      </c>
      <c r="B143" s="197" t="str">
        <f t="shared" si="2"/>
        <v>-</v>
      </c>
      <c r="C143" s="197" t="str">
        <f t="shared" si="2"/>
        <v>-</v>
      </c>
      <c r="D143" s="197">
        <f t="shared" ref="D143:L143" si="6">IF(AND(D98="-",D53="-",D8="-"),"-",SUM(D98,D53,D8))</f>
        <v>21845</v>
      </c>
      <c r="E143" s="197">
        <f t="shared" si="6"/>
        <v>6284</v>
      </c>
      <c r="F143" s="197">
        <f t="shared" si="6"/>
        <v>41604</v>
      </c>
      <c r="G143" s="197">
        <f t="shared" si="6"/>
        <v>30776</v>
      </c>
      <c r="H143" s="197">
        <f t="shared" si="6"/>
        <v>8156</v>
      </c>
      <c r="I143" s="197">
        <f t="shared" si="6"/>
        <v>1841</v>
      </c>
      <c r="J143" s="197">
        <f t="shared" si="6"/>
        <v>453</v>
      </c>
      <c r="K143" s="197" t="str">
        <f t="shared" si="6"/>
        <v>-</v>
      </c>
      <c r="L143" s="203">
        <f t="shared" si="6"/>
        <v>110959</v>
      </c>
      <c r="M143" s="22"/>
      <c r="N143" s="22"/>
    </row>
    <row r="144" spans="1:14" ht="11.25" customHeight="1" x14ac:dyDescent="0.25">
      <c r="A144" s="383">
        <v>1982</v>
      </c>
      <c r="B144" s="197" t="str">
        <f t="shared" si="2"/>
        <v>-</v>
      </c>
      <c r="C144" s="197">
        <f t="shared" si="2"/>
        <v>3755</v>
      </c>
      <c r="D144" s="197">
        <f t="shared" ref="D144:L144" si="7">IF(AND(D99="-",D54="-",D9="-"),"-",SUM(D99,D54,D9))</f>
        <v>19552</v>
      </c>
      <c r="E144" s="197">
        <f t="shared" si="7"/>
        <v>11642</v>
      </c>
      <c r="F144" s="197">
        <f t="shared" si="7"/>
        <v>49520</v>
      </c>
      <c r="G144" s="197">
        <f t="shared" si="7"/>
        <v>27147</v>
      </c>
      <c r="H144" s="197">
        <f t="shared" si="7"/>
        <v>10652</v>
      </c>
      <c r="I144" s="197">
        <f t="shared" si="7"/>
        <v>1886</v>
      </c>
      <c r="J144" s="197">
        <f t="shared" si="7"/>
        <v>585</v>
      </c>
      <c r="K144" s="197" t="str">
        <f t="shared" si="7"/>
        <v>-</v>
      </c>
      <c r="L144" s="203">
        <f t="shared" si="7"/>
        <v>124739</v>
      </c>
      <c r="M144" s="22"/>
      <c r="N144" s="22"/>
    </row>
    <row r="145" spans="1:14" ht="11.25" customHeight="1" x14ac:dyDescent="0.25">
      <c r="A145" s="383">
        <v>1983</v>
      </c>
      <c r="B145" s="197" t="str">
        <f t="shared" si="2"/>
        <v>-</v>
      </c>
      <c r="C145" s="197">
        <f t="shared" si="2"/>
        <v>319</v>
      </c>
      <c r="D145" s="197">
        <f t="shared" ref="D145:L145" si="8">IF(AND(D100="-",D55="-",D10="-"),"-",SUM(D100,D55,D10))</f>
        <v>11129</v>
      </c>
      <c r="E145" s="197">
        <f t="shared" si="8"/>
        <v>13273</v>
      </c>
      <c r="F145" s="197">
        <f t="shared" si="8"/>
        <v>26017</v>
      </c>
      <c r="G145" s="197">
        <f t="shared" si="8"/>
        <v>9697</v>
      </c>
      <c r="H145" s="197">
        <f t="shared" si="8"/>
        <v>2253</v>
      </c>
      <c r="I145" s="197">
        <f t="shared" si="8"/>
        <v>1135</v>
      </c>
      <c r="J145" s="197">
        <f t="shared" si="8"/>
        <v>138</v>
      </c>
      <c r="K145" s="197" t="str">
        <f t="shared" si="8"/>
        <v>-</v>
      </c>
      <c r="L145" s="203">
        <f t="shared" si="8"/>
        <v>63961</v>
      </c>
      <c r="M145" s="22"/>
      <c r="N145" s="22"/>
    </row>
    <row r="146" spans="1:14" ht="11.25" customHeight="1" x14ac:dyDescent="0.25">
      <c r="A146" s="383">
        <v>1984</v>
      </c>
      <c r="B146" s="197" t="str">
        <f t="shared" si="2"/>
        <v>-</v>
      </c>
      <c r="C146" s="197" t="str">
        <f t="shared" si="2"/>
        <v>-</v>
      </c>
      <c r="D146" s="197">
        <f t="shared" ref="D146:L146" si="9">IF(AND(D101="-",D56="-",D11="-"),"-",SUM(D101,D56,D11))</f>
        <v>5806</v>
      </c>
      <c r="E146" s="197">
        <f t="shared" si="9"/>
        <v>8887</v>
      </c>
      <c r="F146" s="197">
        <f t="shared" si="9"/>
        <v>14987</v>
      </c>
      <c r="G146" s="197">
        <f t="shared" si="9"/>
        <v>13702</v>
      </c>
      <c r="H146" s="197">
        <f t="shared" si="9"/>
        <v>5653</v>
      </c>
      <c r="I146" s="197">
        <f t="shared" si="9"/>
        <v>273</v>
      </c>
      <c r="J146" s="197">
        <f t="shared" si="9"/>
        <v>216</v>
      </c>
      <c r="K146" s="197" t="str">
        <f t="shared" si="9"/>
        <v>-</v>
      </c>
      <c r="L146" s="203">
        <f t="shared" si="9"/>
        <v>49524</v>
      </c>
      <c r="M146" s="22"/>
      <c r="N146" s="22"/>
    </row>
    <row r="147" spans="1:14" ht="11.25" customHeight="1" x14ac:dyDescent="0.25">
      <c r="A147" s="383">
        <v>1985</v>
      </c>
      <c r="B147" s="197" t="str">
        <f t="shared" si="2"/>
        <v>-</v>
      </c>
      <c r="C147" s="197" t="str">
        <f t="shared" si="2"/>
        <v>-</v>
      </c>
      <c r="D147" s="197">
        <f t="shared" ref="D147:L147" si="10">IF(AND(D102="-",D57="-",D12="-"),"-",SUM(D102,D57,D12))</f>
        <v>14752</v>
      </c>
      <c r="E147" s="197">
        <f t="shared" si="10"/>
        <v>13460</v>
      </c>
      <c r="F147" s="197">
        <f t="shared" si="10"/>
        <v>19350</v>
      </c>
      <c r="G147" s="197">
        <f t="shared" si="10"/>
        <v>14784</v>
      </c>
      <c r="H147" s="197">
        <f t="shared" si="10"/>
        <v>8190</v>
      </c>
      <c r="I147" s="197">
        <f t="shared" si="10"/>
        <v>767</v>
      </c>
      <c r="J147" s="197">
        <f t="shared" si="10"/>
        <v>340</v>
      </c>
      <c r="K147" s="197" t="str">
        <f t="shared" si="10"/>
        <v>-</v>
      </c>
      <c r="L147" s="203">
        <f t="shared" si="10"/>
        <v>71643</v>
      </c>
      <c r="M147" s="22"/>
      <c r="N147" s="22"/>
    </row>
    <row r="148" spans="1:14" ht="11.25" customHeight="1" x14ac:dyDescent="0.25">
      <c r="A148" s="383">
        <v>1986</v>
      </c>
      <c r="B148" s="197" t="str">
        <f t="shared" si="2"/>
        <v>-</v>
      </c>
      <c r="C148" s="197" t="str">
        <f t="shared" si="2"/>
        <v>-</v>
      </c>
      <c r="D148" s="197">
        <f t="shared" ref="D148:L148" si="11">IF(AND(D103="-",D58="-",D13="-"),"-",SUM(D103,D58,D13))</f>
        <v>17606</v>
      </c>
      <c r="E148" s="197">
        <f t="shared" si="11"/>
        <v>18044</v>
      </c>
      <c r="F148" s="197">
        <f t="shared" si="11"/>
        <v>29097</v>
      </c>
      <c r="G148" s="197">
        <f t="shared" si="11"/>
        <v>15644</v>
      </c>
      <c r="H148" s="197">
        <f t="shared" si="11"/>
        <v>4120</v>
      </c>
      <c r="I148" s="197">
        <f t="shared" si="11"/>
        <v>1327</v>
      </c>
      <c r="J148" s="197">
        <f t="shared" si="11"/>
        <v>131</v>
      </c>
      <c r="K148" s="197" t="str">
        <f t="shared" si="11"/>
        <v>-</v>
      </c>
      <c r="L148" s="203">
        <f t="shared" si="11"/>
        <v>85969</v>
      </c>
      <c r="M148" s="22"/>
      <c r="N148" s="22"/>
    </row>
    <row r="149" spans="1:14" ht="11.25" customHeight="1" x14ac:dyDescent="0.25">
      <c r="A149" s="383">
        <v>1987</v>
      </c>
      <c r="B149" s="197" t="str">
        <f t="shared" si="2"/>
        <v>-</v>
      </c>
      <c r="C149" s="197" t="str">
        <f t="shared" si="2"/>
        <v>-</v>
      </c>
      <c r="D149" s="197">
        <f t="shared" ref="D149:L149" si="12">IF(AND(D104="-",D59="-",D14="-"),"-",SUM(D104,D59,D14))</f>
        <v>18201</v>
      </c>
      <c r="E149" s="197">
        <f t="shared" si="12"/>
        <v>19861</v>
      </c>
      <c r="F149" s="197">
        <f t="shared" si="12"/>
        <v>30923.078658355596</v>
      </c>
      <c r="G149" s="197">
        <f t="shared" si="12"/>
        <v>16539</v>
      </c>
      <c r="H149" s="197">
        <f t="shared" si="12"/>
        <v>9077</v>
      </c>
      <c r="I149" s="197">
        <f t="shared" si="12"/>
        <v>2688</v>
      </c>
      <c r="J149" s="197">
        <f t="shared" si="12"/>
        <v>311</v>
      </c>
      <c r="K149" s="197" t="str">
        <f t="shared" si="12"/>
        <v>-</v>
      </c>
      <c r="L149" s="203">
        <f t="shared" si="12"/>
        <v>97600.078658355604</v>
      </c>
      <c r="M149" s="22"/>
      <c r="N149" s="22"/>
    </row>
    <row r="150" spans="1:14" ht="11.25" customHeight="1" x14ac:dyDescent="0.25">
      <c r="A150" s="383">
        <v>1988</v>
      </c>
      <c r="B150" s="197" t="str">
        <f t="shared" si="2"/>
        <v>-</v>
      </c>
      <c r="C150" s="197" t="str">
        <f t="shared" si="2"/>
        <v>-</v>
      </c>
      <c r="D150" s="197">
        <f t="shared" ref="D150:L150" si="13">IF(AND(D105="-",D60="-",D15="-"),"-",SUM(D105,D60,D15))</f>
        <v>21479.282235939645</v>
      </c>
      <c r="E150" s="197">
        <f t="shared" si="13"/>
        <v>26838</v>
      </c>
      <c r="F150" s="197">
        <f t="shared" si="13"/>
        <v>36871</v>
      </c>
      <c r="G150" s="197">
        <f t="shared" si="13"/>
        <v>26579</v>
      </c>
      <c r="H150" s="197">
        <f t="shared" si="13"/>
        <v>10319</v>
      </c>
      <c r="I150" s="197">
        <f t="shared" si="13"/>
        <v>3981</v>
      </c>
      <c r="J150" s="197">
        <f t="shared" si="13"/>
        <v>227</v>
      </c>
      <c r="K150" s="197" t="str">
        <f t="shared" si="13"/>
        <v>-</v>
      </c>
      <c r="L150" s="203">
        <f t="shared" si="13"/>
        <v>126294.28223593965</v>
      </c>
      <c r="M150" s="22"/>
      <c r="N150" s="22"/>
    </row>
    <row r="151" spans="1:14" ht="11.25" customHeight="1" x14ac:dyDescent="0.25">
      <c r="A151" s="383">
        <v>1989</v>
      </c>
      <c r="B151" s="197" t="str">
        <f t="shared" si="2"/>
        <v>-</v>
      </c>
      <c r="C151" s="197" t="str">
        <f t="shared" si="2"/>
        <v>-</v>
      </c>
      <c r="D151" s="197">
        <f t="shared" ref="D151:L151" si="14">IF(AND(D106="-",D61="-",D16="-"),"-",SUM(D106,D61,D16))</f>
        <v>20222</v>
      </c>
      <c r="E151" s="197">
        <f t="shared" si="14"/>
        <v>22612</v>
      </c>
      <c r="F151" s="197">
        <f t="shared" si="14"/>
        <v>25643</v>
      </c>
      <c r="G151" s="197">
        <f t="shared" si="14"/>
        <v>19936</v>
      </c>
      <c r="H151" s="197">
        <f t="shared" si="14"/>
        <v>7057</v>
      </c>
      <c r="I151" s="197">
        <f t="shared" si="14"/>
        <v>2568</v>
      </c>
      <c r="J151" s="197">
        <f t="shared" si="14"/>
        <v>497</v>
      </c>
      <c r="K151" s="197" t="str">
        <f t="shared" si="14"/>
        <v>-</v>
      </c>
      <c r="L151" s="203">
        <f t="shared" si="14"/>
        <v>98535</v>
      </c>
      <c r="M151" s="22"/>
      <c r="N151" s="22"/>
    </row>
    <row r="152" spans="1:14" ht="11.25" customHeight="1" x14ac:dyDescent="0.25">
      <c r="A152" s="383">
        <v>1990</v>
      </c>
      <c r="B152" s="197" t="str">
        <f t="shared" si="2"/>
        <v>-</v>
      </c>
      <c r="C152" s="197" t="str">
        <f t="shared" si="2"/>
        <v>-</v>
      </c>
      <c r="D152" s="197">
        <f t="shared" ref="D152:L152" si="15">IF(AND(D107="-",D62="-",D17="-"),"-",SUM(D107,D62,D17))</f>
        <v>15436</v>
      </c>
      <c r="E152" s="197">
        <f t="shared" si="15"/>
        <v>18933</v>
      </c>
      <c r="F152" s="197">
        <f t="shared" si="15"/>
        <v>21474</v>
      </c>
      <c r="G152" s="197">
        <f t="shared" si="15"/>
        <v>12292</v>
      </c>
      <c r="H152" s="197">
        <f t="shared" si="15"/>
        <v>2449</v>
      </c>
      <c r="I152" s="197">
        <f t="shared" si="15"/>
        <v>1046</v>
      </c>
      <c r="J152" s="197" t="str">
        <f t="shared" si="15"/>
        <v>-</v>
      </c>
      <c r="K152" s="197" t="str">
        <f t="shared" si="15"/>
        <v>-</v>
      </c>
      <c r="L152" s="203">
        <f t="shared" si="15"/>
        <v>71630</v>
      </c>
      <c r="M152" s="22"/>
      <c r="N152" s="22"/>
    </row>
    <row r="153" spans="1:14" ht="11.25" customHeight="1" x14ac:dyDescent="0.25">
      <c r="A153" s="383">
        <v>1991</v>
      </c>
      <c r="B153" s="197" t="str">
        <f t="shared" si="2"/>
        <v>-</v>
      </c>
      <c r="C153" s="197" t="str">
        <f t="shared" si="2"/>
        <v>-</v>
      </c>
      <c r="D153" s="197">
        <f t="shared" ref="D153:L153" si="16">IF(AND(D108="-",D63="-",D18="-"),"-",SUM(D108,D63,D18))</f>
        <v>9095</v>
      </c>
      <c r="E153" s="197">
        <f t="shared" si="16"/>
        <v>14848</v>
      </c>
      <c r="F153" s="197">
        <f t="shared" si="16"/>
        <v>10502</v>
      </c>
      <c r="G153" s="197">
        <f t="shared" si="16"/>
        <v>9067</v>
      </c>
      <c r="H153" s="197">
        <f t="shared" si="16"/>
        <v>4281</v>
      </c>
      <c r="I153" s="197">
        <f t="shared" si="16"/>
        <v>1696</v>
      </c>
      <c r="J153" s="197" t="str">
        <f t="shared" si="16"/>
        <v>-</v>
      </c>
      <c r="K153" s="197" t="str">
        <f t="shared" si="16"/>
        <v>-</v>
      </c>
      <c r="L153" s="203">
        <f t="shared" si="16"/>
        <v>49489</v>
      </c>
      <c r="M153" s="22"/>
      <c r="N153" s="22"/>
    </row>
    <row r="154" spans="1:14" ht="11.25" customHeight="1" x14ac:dyDescent="0.25">
      <c r="A154" s="383">
        <v>1992</v>
      </c>
      <c r="B154" s="197" t="str">
        <f t="shared" si="2"/>
        <v>-</v>
      </c>
      <c r="C154" s="197" t="str">
        <f t="shared" si="2"/>
        <v>-</v>
      </c>
      <c r="D154" s="197">
        <f t="shared" ref="D154:L154" si="17">IF(AND(D109="-",D64="-",D19="-"),"-",SUM(D109,D64,D19))</f>
        <v>8154</v>
      </c>
      <c r="E154" s="197">
        <f t="shared" si="17"/>
        <v>3400</v>
      </c>
      <c r="F154" s="197">
        <f t="shared" si="17"/>
        <v>4196</v>
      </c>
      <c r="G154" s="197">
        <f t="shared" si="17"/>
        <v>7186</v>
      </c>
      <c r="H154" s="197">
        <f t="shared" si="17"/>
        <v>4574</v>
      </c>
      <c r="I154" s="197">
        <f t="shared" si="17"/>
        <v>1684</v>
      </c>
      <c r="J154" s="197" t="str">
        <f t="shared" si="17"/>
        <v>-</v>
      </c>
      <c r="K154" s="197" t="str">
        <f t="shared" si="17"/>
        <v>-</v>
      </c>
      <c r="L154" s="203">
        <f t="shared" si="17"/>
        <v>29194</v>
      </c>
      <c r="M154" s="22"/>
      <c r="N154" s="22"/>
    </row>
    <row r="155" spans="1:14" ht="11.25" customHeight="1" x14ac:dyDescent="0.25">
      <c r="A155" s="383">
        <v>1993</v>
      </c>
      <c r="B155" s="197" t="str">
        <f t="shared" si="2"/>
        <v>-</v>
      </c>
      <c r="C155" s="197" t="str">
        <f t="shared" si="2"/>
        <v>-</v>
      </c>
      <c r="D155" s="197">
        <f t="shared" ref="D155:L155" si="18">IF(AND(D110="-",D65="-",D20="-"),"-",SUM(D110,D65,D20))</f>
        <v>11351</v>
      </c>
      <c r="E155" s="197">
        <f t="shared" si="18"/>
        <v>5311</v>
      </c>
      <c r="F155" s="197">
        <f t="shared" si="18"/>
        <v>7434</v>
      </c>
      <c r="G155" s="197">
        <f t="shared" si="18"/>
        <v>5353</v>
      </c>
      <c r="H155" s="197">
        <f t="shared" si="18"/>
        <v>4322</v>
      </c>
      <c r="I155" s="197">
        <f t="shared" si="18"/>
        <v>1245</v>
      </c>
      <c r="J155" s="197">
        <f t="shared" si="18"/>
        <v>146</v>
      </c>
      <c r="K155" s="197" t="str">
        <f t="shared" si="18"/>
        <v>-</v>
      </c>
      <c r="L155" s="203">
        <f t="shared" si="18"/>
        <v>35162</v>
      </c>
      <c r="M155" s="22"/>
      <c r="N155" s="22"/>
    </row>
    <row r="156" spans="1:14" ht="11.25" customHeight="1" x14ac:dyDescent="0.25">
      <c r="A156" s="383">
        <v>1994</v>
      </c>
      <c r="B156" s="197" t="str">
        <f t="shared" si="2"/>
        <v>-</v>
      </c>
      <c r="C156" s="197" t="str">
        <f t="shared" si="2"/>
        <v>-</v>
      </c>
      <c r="D156" s="197">
        <f t="shared" ref="D156:L156" si="19">IF(AND(D111="-",D66="-",D21="-"),"-",SUM(D111,D66,D21))</f>
        <v>7476</v>
      </c>
      <c r="E156" s="197">
        <f t="shared" si="19"/>
        <v>5828</v>
      </c>
      <c r="F156" s="197">
        <f t="shared" si="19"/>
        <v>5400</v>
      </c>
      <c r="G156" s="197">
        <f t="shared" si="19"/>
        <v>2456</v>
      </c>
      <c r="H156" s="197">
        <f t="shared" si="19"/>
        <v>2568</v>
      </c>
      <c r="I156" s="197">
        <f t="shared" si="19"/>
        <v>1168</v>
      </c>
      <c r="J156" s="197">
        <f t="shared" si="19"/>
        <v>65</v>
      </c>
      <c r="K156" s="197" t="str">
        <f t="shared" si="19"/>
        <v>-</v>
      </c>
      <c r="L156" s="203">
        <f t="shared" si="19"/>
        <v>24961</v>
      </c>
      <c r="M156" s="22"/>
      <c r="N156" s="22"/>
    </row>
    <row r="157" spans="1:14" ht="11.25" customHeight="1" x14ac:dyDescent="0.25">
      <c r="A157" s="383">
        <v>1995</v>
      </c>
      <c r="B157" s="197" t="str">
        <f t="shared" si="2"/>
        <v>-</v>
      </c>
      <c r="C157" s="197" t="str">
        <f t="shared" si="2"/>
        <v>-</v>
      </c>
      <c r="D157" s="197">
        <f t="shared" ref="D157:L157" si="20">IF(AND(D112="-",D67="-",D22="-"),"-",SUM(D112,D67,D22))</f>
        <v>9485</v>
      </c>
      <c r="E157" s="197">
        <f t="shared" si="20"/>
        <v>6821</v>
      </c>
      <c r="F157" s="197">
        <f t="shared" si="20"/>
        <v>5648</v>
      </c>
      <c r="G157" s="197">
        <f t="shared" si="20"/>
        <v>5808</v>
      </c>
      <c r="H157" s="197">
        <f t="shared" si="20"/>
        <v>4551</v>
      </c>
      <c r="I157" s="197">
        <f t="shared" si="20"/>
        <v>1285</v>
      </c>
      <c r="J157" s="197">
        <f t="shared" si="20"/>
        <v>54</v>
      </c>
      <c r="K157" s="197" t="str">
        <f t="shared" si="20"/>
        <v>-</v>
      </c>
      <c r="L157" s="203">
        <f t="shared" si="20"/>
        <v>33652</v>
      </c>
      <c r="M157" s="22"/>
      <c r="N157" s="22"/>
    </row>
    <row r="158" spans="1:14" ht="11.25" customHeight="1" x14ac:dyDescent="0.25">
      <c r="A158" s="383">
        <v>1996</v>
      </c>
      <c r="B158" s="197" t="str">
        <f t="shared" si="2"/>
        <v>-</v>
      </c>
      <c r="C158" s="197" t="str">
        <f t="shared" si="2"/>
        <v>-</v>
      </c>
      <c r="D158" s="197">
        <f t="shared" ref="D158:L158" si="21">IF(AND(D113="-",D68="-",D23="-"),"-",SUM(D113,D68,D23))</f>
        <v>6177</v>
      </c>
      <c r="E158" s="197">
        <f t="shared" si="21"/>
        <v>7903</v>
      </c>
      <c r="F158" s="197">
        <f t="shared" si="21"/>
        <v>5300</v>
      </c>
      <c r="G158" s="197">
        <f t="shared" si="21"/>
        <v>5042</v>
      </c>
      <c r="H158" s="197">
        <f t="shared" si="21"/>
        <v>3842</v>
      </c>
      <c r="I158" s="197">
        <f t="shared" si="21"/>
        <v>1202</v>
      </c>
      <c r="J158" s="197">
        <f t="shared" si="21"/>
        <v>86</v>
      </c>
      <c r="K158" s="197" t="str">
        <f t="shared" si="21"/>
        <v>-</v>
      </c>
      <c r="L158" s="203">
        <f t="shared" si="21"/>
        <v>29552</v>
      </c>
      <c r="M158" s="22"/>
      <c r="N158" s="22"/>
    </row>
    <row r="159" spans="1:14" ht="11.25" customHeight="1" x14ac:dyDescent="0.25">
      <c r="A159" s="383">
        <v>1997</v>
      </c>
      <c r="B159" s="197" t="str">
        <f t="shared" si="2"/>
        <v>-</v>
      </c>
      <c r="C159" s="197">
        <f t="shared" si="2"/>
        <v>967</v>
      </c>
      <c r="D159" s="197">
        <f t="shared" ref="D159:L159" si="22">IF(AND(D114="-",D69="-",D24="-"),"-",SUM(D114,D69,D24))</f>
        <v>8589</v>
      </c>
      <c r="E159" s="197">
        <f t="shared" si="22"/>
        <v>3875</v>
      </c>
      <c r="F159" s="197">
        <f t="shared" si="22"/>
        <v>5700</v>
      </c>
      <c r="G159" s="197">
        <f t="shared" si="22"/>
        <v>3961</v>
      </c>
      <c r="H159" s="197">
        <f t="shared" si="22"/>
        <v>2889</v>
      </c>
      <c r="I159" s="197">
        <f t="shared" si="22"/>
        <v>710</v>
      </c>
      <c r="J159" s="197">
        <f t="shared" si="22"/>
        <v>67</v>
      </c>
      <c r="K159" s="197" t="str">
        <f t="shared" si="22"/>
        <v>-</v>
      </c>
      <c r="L159" s="203">
        <f t="shared" si="22"/>
        <v>26758</v>
      </c>
      <c r="M159" s="22"/>
      <c r="N159" s="22"/>
    </row>
    <row r="160" spans="1:14" ht="11.25" customHeight="1" x14ac:dyDescent="0.25">
      <c r="A160" s="383">
        <v>1998</v>
      </c>
      <c r="B160" s="197" t="str">
        <f t="shared" ref="B160:C179" si="23">IF(AND(B115="-",B70="-",B25="-"),"-",SUM(B115,B70,B25))</f>
        <v>-</v>
      </c>
      <c r="C160" s="197">
        <f t="shared" si="23"/>
        <v>851</v>
      </c>
      <c r="D160" s="197">
        <f t="shared" ref="D160:L160" si="24">IF(AND(D115="-",D70="-",D25="-"),"-",SUM(D115,D70,D25))</f>
        <v>6104</v>
      </c>
      <c r="E160" s="197">
        <f t="shared" si="24"/>
        <v>3806</v>
      </c>
      <c r="F160" s="197">
        <f t="shared" si="24"/>
        <v>3900</v>
      </c>
      <c r="G160" s="197">
        <f t="shared" si="24"/>
        <v>3170</v>
      </c>
      <c r="H160" s="197">
        <f t="shared" si="24"/>
        <v>3021</v>
      </c>
      <c r="I160" s="197">
        <f t="shared" si="24"/>
        <v>767</v>
      </c>
      <c r="J160" s="197">
        <f t="shared" si="24"/>
        <v>116</v>
      </c>
      <c r="K160" s="197" t="str">
        <f t="shared" si="24"/>
        <v>-</v>
      </c>
      <c r="L160" s="203">
        <f t="shared" si="24"/>
        <v>21735</v>
      </c>
      <c r="M160" s="22"/>
      <c r="N160" s="22"/>
    </row>
    <row r="161" spans="1:14" ht="11.25" customHeight="1" x14ac:dyDescent="0.25">
      <c r="A161" s="383">
        <v>1999</v>
      </c>
      <c r="B161" s="197" t="str">
        <f t="shared" si="23"/>
        <v>-</v>
      </c>
      <c r="C161" s="197">
        <f t="shared" si="23"/>
        <v>302</v>
      </c>
      <c r="D161" s="197">
        <f t="shared" ref="D161:L161" si="25">IF(AND(D116="-",D71="-",D26="-"),"-",SUM(D116,D71,D26))</f>
        <v>3107</v>
      </c>
      <c r="E161" s="197">
        <f t="shared" si="25"/>
        <v>6361</v>
      </c>
      <c r="F161" s="197">
        <f t="shared" si="25"/>
        <v>5433</v>
      </c>
      <c r="G161" s="197">
        <f t="shared" si="25"/>
        <v>3320</v>
      </c>
      <c r="H161" s="197">
        <f t="shared" si="25"/>
        <v>2291</v>
      </c>
      <c r="I161" s="197">
        <f t="shared" si="25"/>
        <v>491</v>
      </c>
      <c r="J161" s="197">
        <f t="shared" si="25"/>
        <v>130</v>
      </c>
      <c r="K161" s="197">
        <f t="shared" si="25"/>
        <v>8</v>
      </c>
      <c r="L161" s="203">
        <f t="shared" si="25"/>
        <v>21443</v>
      </c>
      <c r="M161" s="22"/>
      <c r="N161" s="22"/>
    </row>
    <row r="162" spans="1:14" ht="11.25" customHeight="1" x14ac:dyDescent="0.25">
      <c r="A162" s="383">
        <v>2000</v>
      </c>
      <c r="B162" s="197" t="str">
        <f t="shared" si="23"/>
        <v>-</v>
      </c>
      <c r="C162" s="197">
        <f t="shared" si="23"/>
        <v>155</v>
      </c>
      <c r="D162" s="197">
        <f t="shared" ref="D162:L162" si="26">IF(AND(D117="-",D72="-",D27="-"),"-",SUM(D117,D72,D27))</f>
        <v>5920</v>
      </c>
      <c r="E162" s="197">
        <f t="shared" si="26"/>
        <v>6815</v>
      </c>
      <c r="F162" s="197">
        <f t="shared" si="26"/>
        <v>4434</v>
      </c>
      <c r="G162" s="197">
        <f t="shared" si="26"/>
        <v>4293</v>
      </c>
      <c r="H162" s="197">
        <f t="shared" si="26"/>
        <v>5036</v>
      </c>
      <c r="I162" s="197">
        <f t="shared" si="26"/>
        <v>760</v>
      </c>
      <c r="J162" s="197">
        <f t="shared" si="26"/>
        <v>180</v>
      </c>
      <c r="K162" s="197">
        <f t="shared" si="26"/>
        <v>69</v>
      </c>
      <c r="L162" s="203">
        <f t="shared" si="26"/>
        <v>27662</v>
      </c>
      <c r="M162" s="22"/>
      <c r="N162" s="22"/>
    </row>
    <row r="163" spans="1:14" ht="11.25" customHeight="1" x14ac:dyDescent="0.25">
      <c r="A163" s="383">
        <v>2001</v>
      </c>
      <c r="B163" s="197" t="str">
        <f t="shared" si="23"/>
        <v>-</v>
      </c>
      <c r="C163" s="197">
        <f t="shared" si="23"/>
        <v>937</v>
      </c>
      <c r="D163" s="197">
        <f t="shared" ref="D163:L163" si="27">IF(AND(D118="-",D73="-",D28="-"),"-",SUM(D118,D73,D28))</f>
        <v>6923</v>
      </c>
      <c r="E163" s="197">
        <f t="shared" si="27"/>
        <v>3469</v>
      </c>
      <c r="F163" s="197">
        <f t="shared" si="27"/>
        <v>4400</v>
      </c>
      <c r="G163" s="197">
        <f t="shared" si="27"/>
        <v>3620</v>
      </c>
      <c r="H163" s="197">
        <f t="shared" si="27"/>
        <v>3847</v>
      </c>
      <c r="I163" s="197">
        <f t="shared" si="27"/>
        <v>1415</v>
      </c>
      <c r="J163" s="197">
        <f t="shared" si="27"/>
        <v>135</v>
      </c>
      <c r="K163" s="197">
        <f t="shared" si="27"/>
        <v>1</v>
      </c>
      <c r="L163" s="203">
        <f t="shared" si="27"/>
        <v>24747</v>
      </c>
      <c r="M163" s="22"/>
      <c r="N163" s="22"/>
    </row>
    <row r="164" spans="1:14" ht="11.25" customHeight="1" x14ac:dyDescent="0.25">
      <c r="A164" s="383">
        <v>2002</v>
      </c>
      <c r="B164" s="197">
        <f t="shared" si="23"/>
        <v>370</v>
      </c>
      <c r="C164" s="197">
        <f t="shared" si="23"/>
        <v>855</v>
      </c>
      <c r="D164" s="197">
        <f t="shared" ref="D164:L164" si="28">IF(AND(D119="-",D74="-",D29="-"),"-",SUM(D119,D74,D29))</f>
        <v>5980</v>
      </c>
      <c r="E164" s="197">
        <f t="shared" si="28"/>
        <v>5285</v>
      </c>
      <c r="F164" s="197">
        <f t="shared" si="28"/>
        <v>5428</v>
      </c>
      <c r="G164" s="197">
        <f t="shared" si="28"/>
        <v>4297</v>
      </c>
      <c r="H164" s="197">
        <f t="shared" si="28"/>
        <v>3841</v>
      </c>
      <c r="I164" s="197">
        <f t="shared" si="28"/>
        <v>2445</v>
      </c>
      <c r="J164" s="197">
        <f t="shared" si="28"/>
        <v>158</v>
      </c>
      <c r="K164" s="197">
        <f t="shared" si="28"/>
        <v>15</v>
      </c>
      <c r="L164" s="203">
        <f t="shared" si="28"/>
        <v>28674</v>
      </c>
      <c r="M164" s="22"/>
      <c r="N164" s="22"/>
    </row>
    <row r="165" spans="1:14" ht="11.25" customHeight="1" x14ac:dyDescent="0.25">
      <c r="A165" s="402">
        <v>2003</v>
      </c>
      <c r="B165" s="197">
        <f t="shared" si="23"/>
        <v>175</v>
      </c>
      <c r="C165" s="197">
        <f t="shared" si="23"/>
        <v>1411</v>
      </c>
      <c r="D165" s="197">
        <f t="shared" ref="D165:L165" si="29">IF(AND(D120="-",D75="-",D30="-"),"-",SUM(D120,D75,D30))</f>
        <v>5980</v>
      </c>
      <c r="E165" s="197">
        <f t="shared" si="29"/>
        <v>4342</v>
      </c>
      <c r="F165" s="197">
        <f t="shared" si="29"/>
        <v>4708</v>
      </c>
      <c r="G165" s="197">
        <f t="shared" si="29"/>
        <v>5198</v>
      </c>
      <c r="H165" s="197">
        <f t="shared" si="29"/>
        <v>4281</v>
      </c>
      <c r="I165" s="197">
        <f t="shared" si="29"/>
        <v>1696</v>
      </c>
      <c r="J165" s="197">
        <f t="shared" si="29"/>
        <v>141</v>
      </c>
      <c r="K165" s="197">
        <f t="shared" si="29"/>
        <v>14</v>
      </c>
      <c r="L165" s="203">
        <f t="shared" si="29"/>
        <v>16469</v>
      </c>
      <c r="M165" s="22"/>
      <c r="N165" s="22"/>
    </row>
    <row r="166" spans="1:14" ht="11.25" customHeight="1" x14ac:dyDescent="0.25">
      <c r="A166" s="402">
        <v>2004</v>
      </c>
      <c r="B166" s="197">
        <f t="shared" si="23"/>
        <v>908</v>
      </c>
      <c r="C166" s="197">
        <f t="shared" si="23"/>
        <v>2537</v>
      </c>
      <c r="D166" s="197">
        <f t="shared" ref="D166:L166" si="30">IF(AND(D121="-",D76="-",D31="-"),"-",SUM(D121,D76,D31))</f>
        <v>7356</v>
      </c>
      <c r="E166" s="197">
        <f t="shared" si="30"/>
        <v>5994</v>
      </c>
      <c r="F166" s="197">
        <f t="shared" si="30"/>
        <v>7260</v>
      </c>
      <c r="G166" s="197">
        <f t="shared" si="30"/>
        <v>5523</v>
      </c>
      <c r="H166" s="197">
        <f t="shared" si="30"/>
        <v>3689</v>
      </c>
      <c r="I166" s="197">
        <f t="shared" si="30"/>
        <v>1055</v>
      </c>
      <c r="J166" s="197">
        <f t="shared" si="30"/>
        <v>247</v>
      </c>
      <c r="K166" s="197">
        <f t="shared" si="30"/>
        <v>21</v>
      </c>
      <c r="L166" s="203">
        <f t="shared" si="30"/>
        <v>34590</v>
      </c>
      <c r="M166" s="22"/>
      <c r="N166" s="22"/>
    </row>
    <row r="167" spans="1:14" ht="11.25" customHeight="1" x14ac:dyDescent="0.25">
      <c r="A167" s="402">
        <v>2005</v>
      </c>
      <c r="B167" s="197">
        <f t="shared" si="23"/>
        <v>1304</v>
      </c>
      <c r="C167" s="197">
        <f t="shared" si="23"/>
        <v>370</v>
      </c>
      <c r="D167" s="197">
        <f t="shared" ref="D167:L167" si="31">IF(AND(D122="-",D77="-",D32="-"),"-",SUM(D122,D77,D32))</f>
        <v>6713</v>
      </c>
      <c r="E167" s="197">
        <f t="shared" si="31"/>
        <v>3040</v>
      </c>
      <c r="F167" s="197">
        <f t="shared" si="31"/>
        <v>5001</v>
      </c>
      <c r="G167" s="197">
        <f t="shared" si="31"/>
        <v>3365</v>
      </c>
      <c r="H167" s="197">
        <f t="shared" si="31"/>
        <v>6626</v>
      </c>
      <c r="I167" s="197">
        <f t="shared" si="31"/>
        <v>1471</v>
      </c>
      <c r="J167" s="197">
        <f t="shared" si="31"/>
        <v>160</v>
      </c>
      <c r="K167" s="197">
        <f t="shared" si="31"/>
        <v>75</v>
      </c>
      <c r="L167" s="203">
        <f t="shared" si="31"/>
        <v>28125</v>
      </c>
      <c r="M167" s="22"/>
      <c r="N167" s="22"/>
    </row>
    <row r="168" spans="1:14" ht="11.25" customHeight="1" x14ac:dyDescent="0.25">
      <c r="A168" s="402">
        <v>2006</v>
      </c>
      <c r="B168" s="197" t="str">
        <f t="shared" si="23"/>
        <v>-</v>
      </c>
      <c r="C168" s="197" t="str">
        <f t="shared" si="23"/>
        <v>-</v>
      </c>
      <c r="D168" s="197">
        <f t="shared" ref="D168:L168" si="32">IF(AND(D123="-",D78="-",D33="-"),"-",SUM(D123,D78,D33))</f>
        <v>2062</v>
      </c>
      <c r="E168" s="197">
        <f t="shared" si="32"/>
        <v>1120</v>
      </c>
      <c r="F168" s="197">
        <f t="shared" si="32"/>
        <v>1133</v>
      </c>
      <c r="G168" s="197">
        <f t="shared" si="32"/>
        <v>2778</v>
      </c>
      <c r="H168" s="197">
        <f t="shared" si="32"/>
        <v>3104</v>
      </c>
      <c r="I168" s="197">
        <f t="shared" si="32"/>
        <v>1248</v>
      </c>
      <c r="J168" s="197">
        <f t="shared" si="32"/>
        <v>306</v>
      </c>
      <c r="K168" s="197">
        <f t="shared" si="32"/>
        <v>26</v>
      </c>
      <c r="L168" s="203">
        <f t="shared" si="32"/>
        <v>11777</v>
      </c>
      <c r="M168" s="22"/>
      <c r="N168" s="22"/>
    </row>
    <row r="169" spans="1:14" ht="11.25" customHeight="1" x14ac:dyDescent="0.25">
      <c r="A169" s="402">
        <v>2007</v>
      </c>
      <c r="B169" s="197" t="str">
        <f t="shared" si="23"/>
        <v>-</v>
      </c>
      <c r="C169" s="197">
        <f t="shared" si="23"/>
        <v>454</v>
      </c>
      <c r="D169" s="197">
        <f t="shared" ref="D169:L169" si="33">IF(AND(D124="-",D79="-",D34="-"),"-",SUM(D124,D79,D34))</f>
        <v>4321</v>
      </c>
      <c r="E169" s="197">
        <f t="shared" si="33"/>
        <v>941</v>
      </c>
      <c r="F169" s="197">
        <f t="shared" si="33"/>
        <v>3652</v>
      </c>
      <c r="G169" s="197">
        <f t="shared" si="33"/>
        <v>3905</v>
      </c>
      <c r="H169" s="197">
        <f t="shared" si="33"/>
        <v>1652</v>
      </c>
      <c r="I169" s="197">
        <f t="shared" si="33"/>
        <v>459</v>
      </c>
      <c r="J169" s="197">
        <f t="shared" si="33"/>
        <v>174</v>
      </c>
      <c r="K169" s="197" t="str">
        <f t="shared" si="33"/>
        <v>-</v>
      </c>
      <c r="L169" s="203">
        <f t="shared" si="33"/>
        <v>15558</v>
      </c>
      <c r="M169" s="148"/>
      <c r="N169" s="148"/>
    </row>
    <row r="170" spans="1:14" ht="11.25" customHeight="1" x14ac:dyDescent="0.25">
      <c r="A170" s="402">
        <v>2008</v>
      </c>
      <c r="B170" s="197" t="str">
        <f t="shared" si="23"/>
        <v>-</v>
      </c>
      <c r="C170" s="197" t="str">
        <f t="shared" si="23"/>
        <v>-</v>
      </c>
      <c r="D170" s="197" t="str">
        <f t="shared" ref="D170:L170" si="34">IF(AND(D125="-",D80="-",D35="-"),"-",SUM(D125,D80,D35))</f>
        <v>-</v>
      </c>
      <c r="E170" s="197" t="str">
        <f t="shared" si="34"/>
        <v>-</v>
      </c>
      <c r="F170" s="197" t="str">
        <f t="shared" si="34"/>
        <v>-</v>
      </c>
      <c r="G170" s="197" t="str">
        <f t="shared" si="34"/>
        <v>-</v>
      </c>
      <c r="H170" s="197">
        <f t="shared" si="34"/>
        <v>37</v>
      </c>
      <c r="I170" s="197">
        <f t="shared" si="34"/>
        <v>63</v>
      </c>
      <c r="J170" s="197">
        <f t="shared" si="34"/>
        <v>48</v>
      </c>
      <c r="K170" s="197" t="str">
        <f t="shared" si="34"/>
        <v>-</v>
      </c>
      <c r="L170" s="203">
        <f t="shared" si="34"/>
        <v>148</v>
      </c>
      <c r="M170" s="148"/>
      <c r="N170" s="148"/>
    </row>
    <row r="171" spans="1:14" ht="11.25" customHeight="1" x14ac:dyDescent="0.25">
      <c r="A171" s="402">
        <v>2009</v>
      </c>
      <c r="B171" s="197" t="str">
        <f t="shared" si="23"/>
        <v>-</v>
      </c>
      <c r="C171" s="197" t="str">
        <f t="shared" si="23"/>
        <v>-</v>
      </c>
      <c r="D171" s="197" t="str">
        <f t="shared" ref="D171:L171" si="35">IF(AND(D126="-",D81="-",D36="-"),"-",SUM(D126,D81,D36))</f>
        <v>-</v>
      </c>
      <c r="E171" s="197" t="str">
        <f t="shared" si="35"/>
        <v>-</v>
      </c>
      <c r="F171" s="197" t="str">
        <f t="shared" si="35"/>
        <v>-</v>
      </c>
      <c r="G171" s="197" t="str">
        <f t="shared" si="35"/>
        <v>-</v>
      </c>
      <c r="H171" s="197">
        <f t="shared" si="35"/>
        <v>634</v>
      </c>
      <c r="I171" s="197">
        <f t="shared" si="35"/>
        <v>60</v>
      </c>
      <c r="J171" s="197" t="str">
        <f t="shared" si="35"/>
        <v>-</v>
      </c>
      <c r="K171" s="197" t="str">
        <f t="shared" si="35"/>
        <v>-</v>
      </c>
      <c r="L171" s="203">
        <f t="shared" si="35"/>
        <v>694</v>
      </c>
      <c r="M171" s="148"/>
      <c r="N171" s="148"/>
    </row>
    <row r="172" spans="1:14" ht="11.25" customHeight="1" x14ac:dyDescent="0.25">
      <c r="A172" s="402">
        <v>2010</v>
      </c>
      <c r="B172" s="197" t="str">
        <f t="shared" si="23"/>
        <v>-</v>
      </c>
      <c r="C172" s="197" t="str">
        <f t="shared" si="23"/>
        <v>-</v>
      </c>
      <c r="D172" s="197">
        <f t="shared" ref="D172:L172" si="36">IF(AND(D127="-",D82="-",D37="-"),"-",SUM(D127,D82,D37))</f>
        <v>1058</v>
      </c>
      <c r="E172" s="197">
        <f t="shared" si="36"/>
        <v>987</v>
      </c>
      <c r="F172" s="197">
        <f t="shared" si="36"/>
        <v>1699</v>
      </c>
      <c r="G172" s="197">
        <f t="shared" si="36"/>
        <v>1629</v>
      </c>
      <c r="H172" s="197">
        <f t="shared" si="36"/>
        <v>37</v>
      </c>
      <c r="I172" s="197">
        <f t="shared" si="36"/>
        <v>229</v>
      </c>
      <c r="J172" s="197" t="str">
        <f t="shared" si="36"/>
        <v>-</v>
      </c>
      <c r="K172" s="197" t="str">
        <f t="shared" si="36"/>
        <v>-</v>
      </c>
      <c r="L172" s="203">
        <f t="shared" si="36"/>
        <v>5639</v>
      </c>
      <c r="M172" s="148"/>
      <c r="N172" s="148"/>
    </row>
    <row r="173" spans="1:14" ht="11.25" customHeight="1" x14ac:dyDescent="0.25">
      <c r="A173" s="402">
        <v>2011</v>
      </c>
      <c r="B173" s="197" t="str">
        <f t="shared" si="23"/>
        <v>-</v>
      </c>
      <c r="C173" s="197">
        <f t="shared" si="23"/>
        <v>316</v>
      </c>
      <c r="D173" s="197">
        <f t="shared" ref="D173:L173" si="37">IF(AND(D128="-",D83="-",D38="-"),"-",SUM(D128,D83,D38))</f>
        <v>2827</v>
      </c>
      <c r="E173" s="197">
        <f t="shared" si="37"/>
        <v>1644</v>
      </c>
      <c r="F173" s="197">
        <f t="shared" si="37"/>
        <v>1997</v>
      </c>
      <c r="G173" s="197">
        <f t="shared" si="37"/>
        <v>2239</v>
      </c>
      <c r="H173" s="197">
        <f t="shared" si="37"/>
        <v>760</v>
      </c>
      <c r="I173" s="197">
        <f t="shared" si="37"/>
        <v>418</v>
      </c>
      <c r="J173" s="197">
        <f t="shared" si="37"/>
        <v>235</v>
      </c>
      <c r="K173" s="197" t="str">
        <f t="shared" si="37"/>
        <v>-</v>
      </c>
      <c r="L173" s="203">
        <f t="shared" si="37"/>
        <v>10436</v>
      </c>
      <c r="M173" s="148"/>
      <c r="N173" s="148"/>
    </row>
    <row r="174" spans="1:14" ht="11.25" customHeight="1" x14ac:dyDescent="0.25">
      <c r="A174" s="402">
        <v>2012</v>
      </c>
      <c r="B174" s="197" t="str">
        <f t="shared" si="23"/>
        <v>-</v>
      </c>
      <c r="C174" s="197">
        <f t="shared" si="23"/>
        <v>522</v>
      </c>
      <c r="D174" s="197">
        <f t="shared" ref="D174:L174" si="38">IF(AND(D129="-",D84="-",D39="-"),"-",SUM(D129,D84,D39))</f>
        <v>5195</v>
      </c>
      <c r="E174" s="197">
        <f t="shared" si="38"/>
        <v>2647</v>
      </c>
      <c r="F174" s="197">
        <f t="shared" si="38"/>
        <v>4742</v>
      </c>
      <c r="G174" s="197">
        <f t="shared" si="38"/>
        <v>3349</v>
      </c>
      <c r="H174" s="197">
        <f t="shared" si="38"/>
        <v>2596</v>
      </c>
      <c r="I174" s="197">
        <f t="shared" si="38"/>
        <v>1190</v>
      </c>
      <c r="J174" s="197">
        <f t="shared" si="38"/>
        <v>121</v>
      </c>
      <c r="K174" s="197" t="str">
        <f t="shared" si="38"/>
        <v>-</v>
      </c>
      <c r="L174" s="203">
        <f t="shared" si="38"/>
        <v>20362</v>
      </c>
      <c r="M174" s="148"/>
      <c r="N174" s="148"/>
    </row>
    <row r="175" spans="1:14" ht="11.25" customHeight="1" x14ac:dyDescent="0.25">
      <c r="A175" s="402">
        <v>2013</v>
      </c>
      <c r="B175" s="197" t="str">
        <f t="shared" si="23"/>
        <v>-</v>
      </c>
      <c r="C175" s="197">
        <f t="shared" si="23"/>
        <v>1042</v>
      </c>
      <c r="D175" s="197">
        <f t="shared" ref="D175:L175" si="39">IF(AND(D130="-",D85="-",D40="-"),"-",SUM(D130,D85,D40))</f>
        <v>5587</v>
      </c>
      <c r="E175" s="197">
        <f t="shared" si="39"/>
        <v>4942</v>
      </c>
      <c r="F175" s="197">
        <f t="shared" si="39"/>
        <v>4938</v>
      </c>
      <c r="G175" s="197">
        <f t="shared" si="39"/>
        <v>5106</v>
      </c>
      <c r="H175" s="197">
        <f t="shared" si="39"/>
        <v>3054</v>
      </c>
      <c r="I175" s="197">
        <f t="shared" si="39"/>
        <v>1168</v>
      </c>
      <c r="J175" s="197">
        <f t="shared" si="39"/>
        <v>155</v>
      </c>
      <c r="K175" s="197" t="str">
        <f t="shared" si="39"/>
        <v>-</v>
      </c>
      <c r="L175" s="203">
        <f t="shared" si="39"/>
        <v>25992</v>
      </c>
      <c r="M175" s="148"/>
      <c r="N175" s="148"/>
    </row>
    <row r="176" spans="1:14" ht="11.25" customHeight="1" x14ac:dyDescent="0.25">
      <c r="A176" s="402">
        <v>2014</v>
      </c>
      <c r="B176" s="197" t="str">
        <f t="shared" si="23"/>
        <v>-</v>
      </c>
      <c r="C176" s="197">
        <f t="shared" si="23"/>
        <v>962</v>
      </c>
      <c r="D176" s="197">
        <f t="shared" ref="D176:L176" si="40">IF(AND(D131="-",D86="-",D41="-"),"-",SUM(D131,D86,D41))</f>
        <v>5583</v>
      </c>
      <c r="E176" s="197">
        <f t="shared" si="40"/>
        <v>4482</v>
      </c>
      <c r="F176" s="197">
        <f t="shared" si="40"/>
        <v>4381</v>
      </c>
      <c r="G176" s="197">
        <f t="shared" si="40"/>
        <v>5212</v>
      </c>
      <c r="H176" s="197">
        <f t="shared" si="40"/>
        <v>2621</v>
      </c>
      <c r="I176" s="197">
        <f t="shared" si="40"/>
        <v>942</v>
      </c>
      <c r="J176" s="197">
        <f t="shared" si="40"/>
        <v>98</v>
      </c>
      <c r="K176" s="197" t="str">
        <f t="shared" si="40"/>
        <v>-</v>
      </c>
      <c r="L176" s="203">
        <f t="shared" si="40"/>
        <v>24281</v>
      </c>
      <c r="M176" s="148"/>
      <c r="N176" s="148"/>
    </row>
    <row r="177" spans="1:14" ht="11.25" customHeight="1" x14ac:dyDescent="0.25">
      <c r="A177" s="402">
        <v>2015</v>
      </c>
      <c r="B177" s="197" t="str">
        <f t="shared" si="23"/>
        <v>-</v>
      </c>
      <c r="C177" s="197">
        <f t="shared" si="23"/>
        <v>1767</v>
      </c>
      <c r="D177" s="197">
        <f t="shared" ref="D177:L177" si="41">IF(AND(D132="-",D87="-",D42="-"),"-",SUM(D132,D87,D42))</f>
        <v>6146</v>
      </c>
      <c r="E177" s="197">
        <f t="shared" si="41"/>
        <v>3741</v>
      </c>
      <c r="F177" s="197">
        <f t="shared" si="41"/>
        <v>3308</v>
      </c>
      <c r="G177" s="197">
        <f t="shared" si="41"/>
        <v>2812</v>
      </c>
      <c r="H177" s="197">
        <f t="shared" si="41"/>
        <v>2094</v>
      </c>
      <c r="I177" s="197">
        <f t="shared" si="41"/>
        <v>896</v>
      </c>
      <c r="J177" s="197">
        <f t="shared" si="41"/>
        <v>158</v>
      </c>
      <c r="K177" s="197" t="str">
        <f t="shared" si="41"/>
        <v>-</v>
      </c>
      <c r="L177" s="203">
        <f t="shared" si="41"/>
        <v>20922</v>
      </c>
      <c r="M177" s="148"/>
      <c r="N177" s="148"/>
    </row>
    <row r="178" spans="1:14" ht="11.25" customHeight="1" x14ac:dyDescent="0.25">
      <c r="A178" s="402">
        <v>2016</v>
      </c>
      <c r="B178" s="197" t="str">
        <f t="shared" si="23"/>
        <v>-</v>
      </c>
      <c r="C178" s="197">
        <f t="shared" si="23"/>
        <v>895</v>
      </c>
      <c r="D178" s="197">
        <f t="shared" ref="D178:L178" si="42">IF(AND(D133="-",D88="-",D43="-"),"-",SUM(D133,D88,D43))</f>
        <v>2508</v>
      </c>
      <c r="E178" s="197">
        <f t="shared" si="42"/>
        <v>1972</v>
      </c>
      <c r="F178" s="197">
        <f t="shared" si="42"/>
        <v>550</v>
      </c>
      <c r="G178" s="197">
        <f t="shared" si="42"/>
        <v>3084</v>
      </c>
      <c r="H178" s="197">
        <f t="shared" si="42"/>
        <v>1952</v>
      </c>
      <c r="I178" s="197">
        <f t="shared" si="42"/>
        <v>363</v>
      </c>
      <c r="J178" s="197">
        <f t="shared" si="42"/>
        <v>41</v>
      </c>
      <c r="K178" s="197" t="str">
        <f t="shared" si="42"/>
        <v>-</v>
      </c>
      <c r="L178" s="203">
        <f t="shared" si="42"/>
        <v>11365</v>
      </c>
      <c r="M178" s="148"/>
      <c r="N178" s="148"/>
    </row>
    <row r="179" spans="1:14" ht="11.25" customHeight="1" x14ac:dyDescent="0.25">
      <c r="A179" s="402">
        <v>2017</v>
      </c>
      <c r="B179" s="197" t="str">
        <f t="shared" si="23"/>
        <v>-</v>
      </c>
      <c r="C179" s="197">
        <f t="shared" si="23"/>
        <v>106</v>
      </c>
      <c r="D179" s="197">
        <f t="shared" ref="D179:L179" si="43">IF(AND(D134="-",D89="-",D44="-"),"-",SUM(D134,D89,D44))</f>
        <v>1057</v>
      </c>
      <c r="E179" s="197">
        <f t="shared" si="43"/>
        <v>1601</v>
      </c>
      <c r="F179" s="197">
        <f t="shared" si="43"/>
        <v>655</v>
      </c>
      <c r="G179" s="197">
        <f t="shared" si="43"/>
        <v>2610</v>
      </c>
      <c r="H179" s="197">
        <f t="shared" si="43"/>
        <v>1899</v>
      </c>
      <c r="I179" s="197">
        <f t="shared" si="43"/>
        <v>466</v>
      </c>
      <c r="J179" s="197">
        <f t="shared" si="43"/>
        <v>41</v>
      </c>
      <c r="K179" s="197" t="str">
        <f t="shared" si="43"/>
        <v>-</v>
      </c>
      <c r="L179" s="203">
        <f t="shared" si="43"/>
        <v>8435</v>
      </c>
      <c r="M179" s="148"/>
      <c r="N179" s="148"/>
    </row>
    <row r="180" spans="1:14" s="358" customFormat="1" ht="11.25" customHeight="1" x14ac:dyDescent="0.25">
      <c r="A180" s="402">
        <v>2018</v>
      </c>
      <c r="B180" s="197" t="str">
        <f t="shared" ref="B180:C180" si="44">IF(AND(B135="-",B90="-",B45="-"),"-",SUM(B135,B90,B45))</f>
        <v>-</v>
      </c>
      <c r="C180" s="197" t="str">
        <f t="shared" si="44"/>
        <v>-</v>
      </c>
      <c r="D180" s="197">
        <f t="shared" ref="D180:L180" si="45">IF(AND(D135="-",D90="-",D45="-"),"-",SUM(D135,D90,D45))</f>
        <v>988</v>
      </c>
      <c r="E180" s="197">
        <f t="shared" si="45"/>
        <v>1623</v>
      </c>
      <c r="F180" s="197">
        <f t="shared" si="45"/>
        <v>1396</v>
      </c>
      <c r="G180" s="197">
        <f t="shared" si="45"/>
        <v>3673</v>
      </c>
      <c r="H180" s="197">
        <f t="shared" si="45"/>
        <v>1631</v>
      </c>
      <c r="I180" s="197">
        <f t="shared" si="45"/>
        <v>658</v>
      </c>
      <c r="J180" s="197">
        <f t="shared" si="45"/>
        <v>83</v>
      </c>
      <c r="K180" s="197" t="str">
        <f t="shared" si="45"/>
        <v>-</v>
      </c>
      <c r="L180" s="203">
        <f t="shared" si="45"/>
        <v>10052</v>
      </c>
      <c r="M180" s="148"/>
      <c r="N180" s="148"/>
    </row>
    <row r="181" spans="1:14" s="358" customFormat="1" ht="11.25" customHeight="1" x14ac:dyDescent="0.25">
      <c r="A181" s="498" t="s">
        <v>403</v>
      </c>
      <c r="B181" s="197" t="str">
        <f t="shared" ref="B181:L182" si="46">IF(AND(B136="-",B91="-",B46="-"),"-",SUM(B136,B91,B46))</f>
        <v>-</v>
      </c>
      <c r="C181" s="197">
        <f t="shared" si="46"/>
        <v>51</v>
      </c>
      <c r="D181" s="197">
        <f t="shared" si="46"/>
        <v>4016</v>
      </c>
      <c r="E181" s="197">
        <f t="shared" si="46"/>
        <v>4822</v>
      </c>
      <c r="F181" s="197">
        <f>IF(AND(F136="-",F91="-",F46="-"),"-",SUM(F136,F91,F46))</f>
        <v>4139</v>
      </c>
      <c r="G181" s="197">
        <f t="shared" si="46"/>
        <v>3456</v>
      </c>
      <c r="H181" s="197">
        <f t="shared" si="46"/>
        <v>1204</v>
      </c>
      <c r="I181" s="197">
        <f t="shared" si="46"/>
        <v>438</v>
      </c>
      <c r="J181" s="197" t="str">
        <f t="shared" si="46"/>
        <v>-</v>
      </c>
      <c r="K181" s="197" t="str">
        <f t="shared" si="46"/>
        <v>-</v>
      </c>
      <c r="L181" s="203">
        <f t="shared" si="46"/>
        <v>18126</v>
      </c>
      <c r="M181" s="148"/>
      <c r="N181" s="148"/>
    </row>
    <row r="182" spans="1:14" ht="11.25" customHeight="1" x14ac:dyDescent="0.25">
      <c r="A182" s="498" t="s">
        <v>393</v>
      </c>
      <c r="B182" s="32" t="str">
        <f t="shared" si="46"/>
        <v>-</v>
      </c>
      <c r="C182" s="32">
        <f t="shared" si="46"/>
        <v>141</v>
      </c>
      <c r="D182" s="32">
        <f t="shared" si="46"/>
        <v>2765</v>
      </c>
      <c r="E182" s="32">
        <f t="shared" si="46"/>
        <v>3782</v>
      </c>
      <c r="F182" s="32">
        <f>IF(AND(F137="-",F92="-",F47="-"),"-",SUM(F137,F92,F47))</f>
        <v>3527</v>
      </c>
      <c r="G182" s="32">
        <f t="shared" si="46"/>
        <v>1982</v>
      </c>
      <c r="H182" s="32">
        <f t="shared" si="46"/>
        <v>1255</v>
      </c>
      <c r="I182" s="32">
        <f t="shared" si="46"/>
        <v>780</v>
      </c>
      <c r="J182" s="32" t="str">
        <f t="shared" si="46"/>
        <v>-</v>
      </c>
      <c r="K182" s="32" t="str">
        <f t="shared" si="46"/>
        <v>-</v>
      </c>
      <c r="L182" s="203">
        <f t="shared" si="46"/>
        <v>14232</v>
      </c>
      <c r="M182" s="22"/>
      <c r="N182" s="22"/>
    </row>
    <row r="183" spans="1:14" ht="11.25" customHeight="1" x14ac:dyDescent="0.25">
      <c r="A183" s="585" t="s">
        <v>218</v>
      </c>
      <c r="B183" s="585"/>
      <c r="C183" s="585"/>
      <c r="D183" s="585"/>
      <c r="E183" s="585"/>
      <c r="F183" s="585"/>
      <c r="G183" s="585"/>
      <c r="H183" s="585"/>
      <c r="I183" s="585"/>
      <c r="J183" s="585"/>
      <c r="K183" s="585"/>
      <c r="L183" s="585"/>
    </row>
    <row r="184" spans="1:14" ht="11.25" customHeight="1" x14ac:dyDescent="0.25">
      <c r="A184" s="604" t="s">
        <v>48</v>
      </c>
      <c r="B184" s="604"/>
      <c r="C184" s="604"/>
      <c r="D184" s="604"/>
      <c r="E184" s="604"/>
      <c r="F184" s="604"/>
      <c r="G184" s="604"/>
      <c r="H184" s="604"/>
      <c r="I184" s="604"/>
      <c r="J184" s="604"/>
      <c r="K184" s="604"/>
      <c r="L184" s="604"/>
    </row>
    <row r="185" spans="1:14" ht="11.25" customHeight="1" x14ac:dyDescent="0.25">
      <c r="A185" s="604" t="s">
        <v>233</v>
      </c>
      <c r="B185" s="604"/>
      <c r="C185" s="604"/>
      <c r="D185" s="604"/>
      <c r="E185" s="604"/>
      <c r="F185" s="604"/>
      <c r="G185" s="604"/>
      <c r="H185" s="604"/>
      <c r="I185" s="604"/>
      <c r="J185" s="604"/>
      <c r="K185" s="604"/>
      <c r="L185" s="604"/>
    </row>
    <row r="186" spans="1:14" ht="11.25" customHeight="1" x14ac:dyDescent="0.25">
      <c r="A186" s="306"/>
      <c r="B186" s="306"/>
      <c r="C186" s="306"/>
      <c r="D186" s="306"/>
      <c r="E186" s="306"/>
      <c r="F186" s="306"/>
      <c r="G186" s="306"/>
      <c r="H186" s="306"/>
      <c r="I186" s="306"/>
      <c r="J186" s="306"/>
      <c r="K186" s="306"/>
      <c r="L186" s="306"/>
    </row>
    <row r="187" spans="1:14" ht="11.25" customHeight="1" x14ac:dyDescent="0.25">
      <c r="A187" s="306"/>
      <c r="B187" s="306"/>
      <c r="C187" s="306"/>
      <c r="D187" s="306"/>
      <c r="E187" s="306"/>
      <c r="F187" s="306"/>
      <c r="G187" s="306"/>
      <c r="H187" s="306"/>
      <c r="I187" s="306"/>
      <c r="J187" s="306"/>
      <c r="K187" s="306"/>
      <c r="L187" s="306"/>
    </row>
    <row r="188" spans="1:14" ht="11.25" customHeight="1" x14ac:dyDescent="0.25">
      <c r="A188" s="306"/>
      <c r="B188" s="306"/>
      <c r="C188" s="306"/>
      <c r="D188" s="306"/>
      <c r="E188" s="306"/>
      <c r="F188" s="306"/>
      <c r="G188" s="306"/>
      <c r="H188" s="306"/>
      <c r="I188" s="306"/>
      <c r="J188" s="306"/>
      <c r="K188" s="306"/>
      <c r="L188" s="306"/>
    </row>
    <row r="189" spans="1:14" ht="11.25" customHeight="1" x14ac:dyDescent="0.25">
      <c r="A189" s="306"/>
      <c r="B189" s="306"/>
      <c r="C189" s="306"/>
      <c r="D189" s="306"/>
      <c r="E189" s="306"/>
      <c r="F189" s="306"/>
      <c r="G189" s="306"/>
      <c r="H189" s="306"/>
      <c r="I189" s="306"/>
      <c r="J189" s="306"/>
      <c r="K189" s="306"/>
      <c r="L189" s="306"/>
    </row>
    <row r="190" spans="1:14" ht="11.25" customHeight="1" x14ac:dyDescent="0.25">
      <c r="A190" s="306"/>
      <c r="B190" s="306"/>
      <c r="C190" s="306"/>
      <c r="D190" s="306"/>
      <c r="E190" s="306"/>
      <c r="F190" s="306"/>
      <c r="G190" s="306"/>
      <c r="H190" s="306"/>
      <c r="I190" s="306"/>
      <c r="J190" s="306"/>
      <c r="K190" s="306"/>
      <c r="L190" s="306"/>
    </row>
    <row r="191" spans="1:14" ht="11.25" customHeight="1" x14ac:dyDescent="0.25">
      <c r="A191" s="383"/>
      <c r="B191" s="193"/>
      <c r="C191" s="193"/>
      <c r="D191" s="193"/>
      <c r="E191" s="193"/>
      <c r="F191" s="193"/>
      <c r="G191" s="193"/>
      <c r="H191" s="193"/>
      <c r="I191" s="193"/>
      <c r="J191" s="193"/>
      <c r="K191" s="193"/>
      <c r="L191" s="200"/>
    </row>
    <row r="192" spans="1:14" ht="11.25" customHeight="1" x14ac:dyDescent="0.25">
      <c r="A192" s="240"/>
      <c r="B192" s="242"/>
      <c r="C192" s="242"/>
      <c r="D192" s="242"/>
      <c r="E192" s="242"/>
      <c r="F192" s="242"/>
      <c r="G192" s="242"/>
      <c r="H192" s="242"/>
      <c r="I192" s="242"/>
      <c r="J192" s="242"/>
      <c r="K192" s="242"/>
      <c r="L192" s="241"/>
    </row>
    <row r="193" spans="1:12" ht="11.25" customHeight="1" x14ac:dyDescent="0.25">
      <c r="A193" s="383"/>
      <c r="B193" s="193"/>
      <c r="C193" s="193"/>
      <c r="D193" s="193"/>
      <c r="E193" s="193"/>
      <c r="F193" s="193"/>
      <c r="G193" s="193"/>
      <c r="H193" s="193"/>
      <c r="I193" s="193"/>
      <c r="J193" s="193"/>
      <c r="K193" s="193"/>
      <c r="L193" s="200"/>
    </row>
    <row r="194" spans="1:12" ht="11.25" customHeight="1" x14ac:dyDescent="0.25">
      <c r="A194" s="383"/>
      <c r="B194" s="193"/>
      <c r="C194" s="193"/>
      <c r="D194" s="193"/>
      <c r="E194" s="193"/>
      <c r="F194" s="193"/>
      <c r="G194" s="193"/>
      <c r="H194" s="193"/>
      <c r="I194" s="193"/>
      <c r="J194" s="193"/>
      <c r="K194" s="193"/>
      <c r="L194" s="200"/>
    </row>
    <row r="195" spans="1:12" ht="11.25" customHeight="1" x14ac:dyDescent="0.25">
      <c r="A195" s="383"/>
      <c r="B195" s="193"/>
      <c r="C195" s="193"/>
      <c r="D195" s="193"/>
      <c r="E195" s="193"/>
      <c r="F195" s="193"/>
      <c r="G195" s="193"/>
      <c r="H195" s="193"/>
      <c r="I195" s="193"/>
      <c r="J195" s="193"/>
      <c r="K195" s="193"/>
      <c r="L195" s="200"/>
    </row>
    <row r="196" spans="1:12" ht="11.25" customHeight="1" x14ac:dyDescent="0.25">
      <c r="A196" s="383"/>
      <c r="B196" s="193"/>
      <c r="C196" s="193"/>
      <c r="D196" s="193"/>
      <c r="E196" s="193"/>
      <c r="F196" s="193"/>
      <c r="G196" s="193"/>
      <c r="H196" s="193"/>
      <c r="I196" s="193"/>
      <c r="J196" s="193"/>
      <c r="K196" s="193"/>
      <c r="L196" s="200"/>
    </row>
    <row r="197" spans="1:12" ht="11.25" customHeight="1" x14ac:dyDescent="0.25">
      <c r="A197" s="603" t="s">
        <v>202</v>
      </c>
      <c r="B197" s="603"/>
      <c r="C197" s="603"/>
      <c r="D197" s="603"/>
      <c r="E197" s="603"/>
      <c r="F197" s="603"/>
      <c r="G197" s="603"/>
      <c r="H197" s="603"/>
      <c r="I197" s="603"/>
      <c r="J197" s="603"/>
      <c r="K197" s="603"/>
      <c r="L197" s="603"/>
    </row>
    <row r="198" spans="1:12" ht="11.25" customHeight="1" x14ac:dyDescent="0.25">
      <c r="A198" s="603"/>
      <c r="B198" s="603"/>
      <c r="C198" s="603"/>
      <c r="D198" s="603"/>
      <c r="E198" s="603"/>
      <c r="F198" s="603"/>
      <c r="G198" s="603"/>
      <c r="H198" s="603"/>
      <c r="I198" s="603"/>
      <c r="J198" s="603"/>
      <c r="K198" s="603"/>
      <c r="L198" s="603"/>
    </row>
    <row r="199" spans="1:12" ht="11.25" customHeight="1" x14ac:dyDescent="0.25">
      <c r="A199" s="389" t="s">
        <v>33</v>
      </c>
      <c r="B199" s="381" t="s">
        <v>43</v>
      </c>
      <c r="C199" s="381" t="s">
        <v>34</v>
      </c>
      <c r="D199" s="381" t="s">
        <v>35</v>
      </c>
      <c r="E199" s="381" t="s">
        <v>81</v>
      </c>
      <c r="F199" s="381" t="s">
        <v>82</v>
      </c>
      <c r="G199" s="381" t="s">
        <v>38</v>
      </c>
      <c r="H199" s="381" t="s">
        <v>39</v>
      </c>
      <c r="I199" s="381" t="s">
        <v>40</v>
      </c>
      <c r="J199" s="381" t="s">
        <v>44</v>
      </c>
      <c r="K199" s="381" t="s">
        <v>83</v>
      </c>
      <c r="L199" s="58" t="s">
        <v>84</v>
      </c>
    </row>
    <row r="200" spans="1:12" ht="14.25" customHeight="1" x14ac:dyDescent="0.25">
      <c r="A200" s="159" t="s">
        <v>301</v>
      </c>
      <c r="B200" s="197"/>
      <c r="C200" s="197"/>
      <c r="D200" s="197"/>
      <c r="E200" s="197"/>
      <c r="F200" s="197"/>
      <c r="G200" s="197"/>
      <c r="H200" s="197"/>
      <c r="I200" s="197"/>
      <c r="J200" s="197"/>
      <c r="K200" s="197"/>
      <c r="L200" s="203"/>
    </row>
    <row r="201" spans="1:12" ht="11.25" customHeight="1" x14ac:dyDescent="0.25">
      <c r="A201" s="402" t="s">
        <v>30</v>
      </c>
      <c r="B201" s="197" t="s">
        <v>29</v>
      </c>
      <c r="C201" s="197" t="s">
        <v>29</v>
      </c>
      <c r="D201" s="197">
        <f t="shared" ref="D201:L201" si="47">AVERAGE(D8:D12)</f>
        <v>1412.6</v>
      </c>
      <c r="E201" s="197">
        <f t="shared" si="47"/>
        <v>1011.4</v>
      </c>
      <c r="F201" s="197">
        <f t="shared" si="47"/>
        <v>10192.799999999999</v>
      </c>
      <c r="G201" s="197">
        <f t="shared" si="47"/>
        <v>5360</v>
      </c>
      <c r="H201" s="197">
        <f t="shared" si="47"/>
        <v>941.4</v>
      </c>
      <c r="I201" s="197">
        <f t="shared" si="47"/>
        <v>448.4</v>
      </c>
      <c r="J201" s="197">
        <f t="shared" si="47"/>
        <v>10</v>
      </c>
      <c r="K201" s="197" t="s">
        <v>29</v>
      </c>
      <c r="L201" s="203">
        <f t="shared" si="47"/>
        <v>19376.599999999999</v>
      </c>
    </row>
    <row r="202" spans="1:12" ht="11.25" customHeight="1" x14ac:dyDescent="0.25">
      <c r="A202" s="402" t="s">
        <v>87</v>
      </c>
      <c r="B202" s="197" t="s">
        <v>29</v>
      </c>
      <c r="C202" s="197" t="s">
        <v>29</v>
      </c>
      <c r="D202" s="197">
        <f t="shared" ref="D202:L202" si="48">AVERAGE(D13:D17)</f>
        <v>3745.4</v>
      </c>
      <c r="E202" s="197">
        <f t="shared" si="48"/>
        <v>4493.8</v>
      </c>
      <c r="F202" s="197">
        <f t="shared" si="48"/>
        <v>14032.6</v>
      </c>
      <c r="G202" s="197">
        <f t="shared" si="48"/>
        <v>8092.6</v>
      </c>
      <c r="H202" s="197">
        <f t="shared" si="48"/>
        <v>3213.8</v>
      </c>
      <c r="I202" s="197">
        <f t="shared" si="48"/>
        <v>2162</v>
      </c>
      <c r="J202" s="197">
        <f t="shared" si="48"/>
        <v>257</v>
      </c>
      <c r="K202" s="197" t="s">
        <v>29</v>
      </c>
      <c r="L202" s="203">
        <f t="shared" si="48"/>
        <v>35843</v>
      </c>
    </row>
    <row r="203" spans="1:12" ht="11.25" customHeight="1" x14ac:dyDescent="0.25">
      <c r="A203" s="402" t="s">
        <v>14</v>
      </c>
      <c r="B203" s="197" t="s">
        <v>29</v>
      </c>
      <c r="C203" s="197" t="s">
        <v>29</v>
      </c>
      <c r="D203" s="197">
        <f>AVERAGE(D18:D22)</f>
        <v>1234.2</v>
      </c>
      <c r="E203" s="197">
        <f t="shared" ref="E203:J203" si="49">AVERAGE(E18:E22)</f>
        <v>2027</v>
      </c>
      <c r="F203" s="197">
        <f t="shared" si="49"/>
        <v>2444</v>
      </c>
      <c r="G203" s="197">
        <f t="shared" si="49"/>
        <v>2053.5</v>
      </c>
      <c r="H203" s="197">
        <f t="shared" si="49"/>
        <v>1334.8</v>
      </c>
      <c r="I203" s="197">
        <f t="shared" si="49"/>
        <v>1321.4</v>
      </c>
      <c r="J203" s="197">
        <f t="shared" si="49"/>
        <v>88.333333333333329</v>
      </c>
      <c r="K203" s="197" t="s">
        <v>29</v>
      </c>
      <c r="L203" s="203">
        <f>AVERAGE(L18:L22)</f>
        <v>8674.2000000000007</v>
      </c>
    </row>
    <row r="204" spans="1:12" ht="11.25" customHeight="1" x14ac:dyDescent="0.25">
      <c r="A204" s="402" t="s">
        <v>207</v>
      </c>
      <c r="B204" s="197" t="s">
        <v>29</v>
      </c>
      <c r="C204" s="197" t="s">
        <v>29</v>
      </c>
      <c r="D204" s="197">
        <f>AVERAGE(D23:D27)</f>
        <v>1282</v>
      </c>
      <c r="E204" s="197">
        <f t="shared" ref="E204:J204" si="50">AVERAGE(E23:E27)</f>
        <v>1573.2</v>
      </c>
      <c r="F204" s="197">
        <f t="shared" si="50"/>
        <v>959.5</v>
      </c>
      <c r="G204" s="197">
        <f t="shared" si="50"/>
        <v>1531.8</v>
      </c>
      <c r="H204" s="197">
        <f t="shared" si="50"/>
        <v>972.8</v>
      </c>
      <c r="I204" s="197">
        <f t="shared" si="50"/>
        <v>635.6</v>
      </c>
      <c r="J204" s="197">
        <f t="shared" si="50"/>
        <v>114</v>
      </c>
      <c r="K204" s="197" t="s">
        <v>29</v>
      </c>
      <c r="L204" s="203">
        <f>AVERAGE(L23:L27)</f>
        <v>6814.8</v>
      </c>
    </row>
    <row r="205" spans="1:12" ht="11.25" customHeight="1" x14ac:dyDescent="0.25">
      <c r="A205" s="402" t="s">
        <v>238</v>
      </c>
      <c r="B205" s="197">
        <f>AVERAGE(B28:B32)</f>
        <v>686.5</v>
      </c>
      <c r="C205" s="197">
        <f>AVERAGE(C28:C32)</f>
        <v>1208.4000000000001</v>
      </c>
      <c r="D205" s="197">
        <f>AVERAGE(D28:D32)</f>
        <v>2309.8000000000002</v>
      </c>
      <c r="E205" s="197">
        <f t="shared" ref="E205:L205" si="51">AVERAGE(E28:E32)</f>
        <v>1993.6</v>
      </c>
      <c r="F205" s="197">
        <f t="shared" si="51"/>
        <v>941.75</v>
      </c>
      <c r="G205" s="197">
        <f t="shared" si="51"/>
        <v>1631</v>
      </c>
      <c r="H205" s="197">
        <f t="shared" si="51"/>
        <v>1672.8</v>
      </c>
      <c r="I205" s="197">
        <f t="shared" si="51"/>
        <v>1212.5999999999999</v>
      </c>
      <c r="J205" s="197">
        <f t="shared" si="51"/>
        <v>160.6</v>
      </c>
      <c r="K205" s="197">
        <f t="shared" si="51"/>
        <v>25.2</v>
      </c>
      <c r="L205" s="203">
        <f t="shared" si="51"/>
        <v>11118.75</v>
      </c>
    </row>
    <row r="206" spans="1:12" ht="11.25" customHeight="1" x14ac:dyDescent="0.25">
      <c r="A206" s="402">
        <v>2006</v>
      </c>
      <c r="B206" s="197" t="str">
        <f t="shared" ref="B206:L206" si="52">B33</f>
        <v>-</v>
      </c>
      <c r="C206" s="197" t="str">
        <f t="shared" si="52"/>
        <v>-</v>
      </c>
      <c r="D206" s="197" t="str">
        <f t="shared" si="52"/>
        <v>-</v>
      </c>
      <c r="E206" s="197">
        <f t="shared" si="52"/>
        <v>1017</v>
      </c>
      <c r="F206" s="197">
        <f t="shared" si="52"/>
        <v>483</v>
      </c>
      <c r="G206" s="197">
        <f t="shared" si="52"/>
        <v>185</v>
      </c>
      <c r="H206" s="197">
        <f t="shared" si="52"/>
        <v>621</v>
      </c>
      <c r="I206" s="197">
        <f t="shared" si="52"/>
        <v>723</v>
      </c>
      <c r="J206" s="197">
        <f t="shared" si="52"/>
        <v>279</v>
      </c>
      <c r="K206" s="197">
        <f t="shared" si="52"/>
        <v>26</v>
      </c>
      <c r="L206" s="203">
        <f t="shared" si="52"/>
        <v>3334</v>
      </c>
    </row>
    <row r="207" spans="1:12" ht="11.25" customHeight="1" x14ac:dyDescent="0.25">
      <c r="A207" s="402">
        <v>2007</v>
      </c>
      <c r="B207" s="197" t="str">
        <f t="shared" ref="B207:L207" si="53">B34</f>
        <v>-</v>
      </c>
      <c r="C207" s="197">
        <f t="shared" si="53"/>
        <v>342</v>
      </c>
      <c r="D207" s="197">
        <f t="shared" si="53"/>
        <v>1181</v>
      </c>
      <c r="E207" s="197">
        <f t="shared" si="53"/>
        <v>774</v>
      </c>
      <c r="F207" s="197">
        <f t="shared" si="53"/>
        <v>265</v>
      </c>
      <c r="G207" s="197">
        <f t="shared" si="53"/>
        <v>1151</v>
      </c>
      <c r="H207" s="197">
        <f t="shared" si="53"/>
        <v>303</v>
      </c>
      <c r="I207" s="197">
        <f t="shared" si="53"/>
        <v>244</v>
      </c>
      <c r="J207" s="197">
        <f t="shared" si="53"/>
        <v>162</v>
      </c>
      <c r="K207" s="197" t="str">
        <f t="shared" si="53"/>
        <v>-</v>
      </c>
      <c r="L207" s="203">
        <f t="shared" si="53"/>
        <v>4422</v>
      </c>
    </row>
    <row r="208" spans="1:12" ht="11.25" customHeight="1" x14ac:dyDescent="0.25">
      <c r="A208" s="402">
        <v>2008</v>
      </c>
      <c r="B208" s="197" t="str">
        <f t="shared" ref="B208:L208" si="54">B35</f>
        <v>-</v>
      </c>
      <c r="C208" s="197" t="str">
        <f t="shared" si="54"/>
        <v>-</v>
      </c>
      <c r="D208" s="197" t="str">
        <f t="shared" si="54"/>
        <v>-</v>
      </c>
      <c r="E208" s="197" t="str">
        <f t="shared" si="54"/>
        <v>-</v>
      </c>
      <c r="F208" s="197" t="str">
        <f t="shared" si="54"/>
        <v>-</v>
      </c>
      <c r="G208" s="197" t="str">
        <f t="shared" si="54"/>
        <v>-</v>
      </c>
      <c r="H208" s="197">
        <f t="shared" si="54"/>
        <v>37</v>
      </c>
      <c r="I208" s="197">
        <f t="shared" si="54"/>
        <v>12</v>
      </c>
      <c r="J208" s="197">
        <f t="shared" si="54"/>
        <v>48</v>
      </c>
      <c r="K208" s="197" t="str">
        <f t="shared" si="54"/>
        <v>-</v>
      </c>
      <c r="L208" s="203">
        <f t="shared" si="54"/>
        <v>97</v>
      </c>
    </row>
    <row r="209" spans="1:12" ht="11.25" customHeight="1" x14ac:dyDescent="0.25">
      <c r="A209" s="402">
        <v>2009</v>
      </c>
      <c r="B209" s="197" t="str">
        <f t="shared" ref="B209:L209" si="55">B36</f>
        <v>-</v>
      </c>
      <c r="C209" s="197" t="str">
        <f t="shared" si="55"/>
        <v>-</v>
      </c>
      <c r="D209" s="197" t="str">
        <f t="shared" si="55"/>
        <v>-</v>
      </c>
      <c r="E209" s="197" t="str">
        <f t="shared" si="55"/>
        <v>-</v>
      </c>
      <c r="F209" s="197" t="str">
        <f t="shared" si="55"/>
        <v>-</v>
      </c>
      <c r="G209" s="197" t="str">
        <f t="shared" si="55"/>
        <v>-</v>
      </c>
      <c r="H209" s="197">
        <f t="shared" si="55"/>
        <v>634</v>
      </c>
      <c r="I209" s="197">
        <f t="shared" si="55"/>
        <v>60</v>
      </c>
      <c r="J209" s="197" t="str">
        <f t="shared" si="55"/>
        <v>-</v>
      </c>
      <c r="K209" s="197" t="str">
        <f t="shared" si="55"/>
        <v>-</v>
      </c>
      <c r="L209" s="203">
        <f t="shared" si="55"/>
        <v>694</v>
      </c>
    </row>
    <row r="210" spans="1:12" ht="11.25" customHeight="1" x14ac:dyDescent="0.25">
      <c r="A210" s="402">
        <v>2010</v>
      </c>
      <c r="B210" s="197" t="str">
        <f t="shared" ref="B210:L210" si="56">B37</f>
        <v>-</v>
      </c>
      <c r="C210" s="197" t="str">
        <f t="shared" si="56"/>
        <v>-</v>
      </c>
      <c r="D210" s="197">
        <f t="shared" si="56"/>
        <v>1015</v>
      </c>
      <c r="E210" s="197">
        <f t="shared" si="56"/>
        <v>987</v>
      </c>
      <c r="F210" s="197">
        <f t="shared" si="56"/>
        <v>568</v>
      </c>
      <c r="G210" s="197">
        <f t="shared" si="56"/>
        <v>719</v>
      </c>
      <c r="H210" s="197">
        <f t="shared" si="56"/>
        <v>37</v>
      </c>
      <c r="I210" s="197">
        <f t="shared" si="56"/>
        <v>157</v>
      </c>
      <c r="J210" s="197" t="str">
        <f t="shared" si="56"/>
        <v>-</v>
      </c>
      <c r="K210" s="197" t="str">
        <f t="shared" si="56"/>
        <v>-</v>
      </c>
      <c r="L210" s="203">
        <f t="shared" si="56"/>
        <v>3483</v>
      </c>
    </row>
    <row r="211" spans="1:12" ht="11.25" customHeight="1" x14ac:dyDescent="0.25">
      <c r="A211" s="402">
        <v>2011</v>
      </c>
      <c r="B211" s="197" t="str">
        <f t="shared" ref="B211:L211" si="57">B38</f>
        <v>-</v>
      </c>
      <c r="C211" s="197">
        <f t="shared" si="57"/>
        <v>316</v>
      </c>
      <c r="D211" s="197">
        <f t="shared" si="57"/>
        <v>888</v>
      </c>
      <c r="E211" s="197">
        <f t="shared" si="57"/>
        <v>1080</v>
      </c>
      <c r="F211" s="197">
        <f t="shared" si="57"/>
        <v>100</v>
      </c>
      <c r="G211" s="197">
        <f t="shared" si="57"/>
        <v>207</v>
      </c>
      <c r="H211" s="197">
        <f t="shared" si="57"/>
        <v>122</v>
      </c>
      <c r="I211" s="197">
        <f t="shared" si="57"/>
        <v>226</v>
      </c>
      <c r="J211" s="197">
        <f t="shared" si="57"/>
        <v>235</v>
      </c>
      <c r="K211" s="197" t="str">
        <f t="shared" si="57"/>
        <v>-</v>
      </c>
      <c r="L211" s="203">
        <f t="shared" si="57"/>
        <v>3174</v>
      </c>
    </row>
    <row r="212" spans="1:12" ht="11.25" customHeight="1" x14ac:dyDescent="0.25">
      <c r="A212" s="402">
        <v>2012</v>
      </c>
      <c r="B212" s="197" t="str">
        <f t="shared" ref="B212:L212" si="58">B39</f>
        <v>-</v>
      </c>
      <c r="C212" s="197">
        <f t="shared" si="58"/>
        <v>522</v>
      </c>
      <c r="D212" s="197">
        <f t="shared" si="58"/>
        <v>1434</v>
      </c>
      <c r="E212" s="197">
        <f t="shared" si="58"/>
        <v>936</v>
      </c>
      <c r="F212" s="197">
        <f t="shared" si="58"/>
        <v>246</v>
      </c>
      <c r="G212" s="197">
        <f t="shared" si="58"/>
        <v>632</v>
      </c>
      <c r="H212" s="197">
        <f t="shared" si="58"/>
        <v>887</v>
      </c>
      <c r="I212" s="197">
        <f t="shared" si="58"/>
        <v>680</v>
      </c>
      <c r="J212" s="197">
        <f t="shared" si="58"/>
        <v>121</v>
      </c>
      <c r="K212" s="197" t="str">
        <f t="shared" si="58"/>
        <v>-</v>
      </c>
      <c r="L212" s="203">
        <f t="shared" si="58"/>
        <v>5458</v>
      </c>
    </row>
    <row r="213" spans="1:12" ht="11.25" customHeight="1" x14ac:dyDescent="0.25">
      <c r="A213" s="402">
        <v>2013</v>
      </c>
      <c r="B213" s="197" t="str">
        <f t="shared" ref="B213:L213" si="59">B40</f>
        <v>-</v>
      </c>
      <c r="C213" s="197">
        <f t="shared" si="59"/>
        <v>1029</v>
      </c>
      <c r="D213" s="197">
        <f t="shared" si="59"/>
        <v>1134</v>
      </c>
      <c r="E213" s="197">
        <f t="shared" si="59"/>
        <v>771</v>
      </c>
      <c r="F213" s="197">
        <f t="shared" si="59"/>
        <v>518</v>
      </c>
      <c r="G213" s="197">
        <f t="shared" si="59"/>
        <v>2147</v>
      </c>
      <c r="H213" s="197">
        <f t="shared" si="59"/>
        <v>1345</v>
      </c>
      <c r="I213" s="197">
        <f t="shared" si="59"/>
        <v>893</v>
      </c>
      <c r="J213" s="197">
        <f t="shared" si="59"/>
        <v>155</v>
      </c>
      <c r="K213" s="197" t="str">
        <f t="shared" si="59"/>
        <v>-</v>
      </c>
      <c r="L213" s="203">
        <f t="shared" si="59"/>
        <v>7992</v>
      </c>
    </row>
    <row r="214" spans="1:12" ht="11.25" customHeight="1" x14ac:dyDescent="0.25">
      <c r="A214" s="402">
        <v>2014</v>
      </c>
      <c r="B214" s="197" t="str">
        <f t="shared" ref="B214:L214" si="60">B41</f>
        <v>-</v>
      </c>
      <c r="C214" s="197">
        <f t="shared" si="60"/>
        <v>952</v>
      </c>
      <c r="D214" s="197">
        <f t="shared" si="60"/>
        <v>2101</v>
      </c>
      <c r="E214" s="197">
        <f t="shared" si="60"/>
        <v>1718</v>
      </c>
      <c r="F214" s="197">
        <f t="shared" si="60"/>
        <v>1062</v>
      </c>
      <c r="G214" s="197">
        <f t="shared" si="60"/>
        <v>2155</v>
      </c>
      <c r="H214" s="197">
        <f t="shared" si="60"/>
        <v>742</v>
      </c>
      <c r="I214" s="197">
        <f t="shared" si="60"/>
        <v>289</v>
      </c>
      <c r="J214" s="197">
        <f t="shared" si="60"/>
        <v>98</v>
      </c>
      <c r="K214" s="197" t="str">
        <f t="shared" si="60"/>
        <v>-</v>
      </c>
      <c r="L214" s="203">
        <f t="shared" si="60"/>
        <v>9117</v>
      </c>
    </row>
    <row r="215" spans="1:12" ht="11.25" customHeight="1" x14ac:dyDescent="0.25">
      <c r="A215" s="402">
        <v>2015</v>
      </c>
      <c r="B215" s="197" t="str">
        <f t="shared" ref="B215:L215" si="61">B42</f>
        <v>-</v>
      </c>
      <c r="C215" s="197">
        <f t="shared" si="61"/>
        <v>1755</v>
      </c>
      <c r="D215" s="197">
        <f t="shared" si="61"/>
        <v>1562</v>
      </c>
      <c r="E215" s="197">
        <f t="shared" si="61"/>
        <v>1249</v>
      </c>
      <c r="F215" s="197">
        <f t="shared" si="61"/>
        <v>1275</v>
      </c>
      <c r="G215" s="197">
        <f t="shared" si="61"/>
        <v>788</v>
      </c>
      <c r="H215" s="197">
        <f t="shared" si="61"/>
        <v>367</v>
      </c>
      <c r="I215" s="197">
        <f t="shared" si="61"/>
        <v>237</v>
      </c>
      <c r="J215" s="197">
        <f t="shared" si="61"/>
        <v>158</v>
      </c>
      <c r="K215" s="197" t="str">
        <f t="shared" si="61"/>
        <v>-</v>
      </c>
      <c r="L215" s="203">
        <f t="shared" si="61"/>
        <v>7391</v>
      </c>
    </row>
    <row r="216" spans="1:12" ht="11.25" customHeight="1" x14ac:dyDescent="0.25">
      <c r="A216" s="402">
        <v>2016</v>
      </c>
      <c r="B216" s="197" t="str">
        <f t="shared" ref="B216:L216" si="62">B43</f>
        <v>-</v>
      </c>
      <c r="C216" s="197">
        <f t="shared" si="62"/>
        <v>888</v>
      </c>
      <c r="D216" s="197">
        <f t="shared" si="62"/>
        <v>833</v>
      </c>
      <c r="E216" s="197">
        <f t="shared" si="62"/>
        <v>635</v>
      </c>
      <c r="F216" s="197">
        <f t="shared" si="62"/>
        <v>542</v>
      </c>
      <c r="G216" s="197">
        <f t="shared" si="62"/>
        <v>634</v>
      </c>
      <c r="H216" s="197">
        <f t="shared" si="62"/>
        <v>330</v>
      </c>
      <c r="I216" s="197">
        <f t="shared" si="62"/>
        <v>137</v>
      </c>
      <c r="J216" s="197">
        <f t="shared" si="62"/>
        <v>41</v>
      </c>
      <c r="K216" s="197" t="str">
        <f t="shared" si="62"/>
        <v>-</v>
      </c>
      <c r="L216" s="203">
        <f t="shared" si="62"/>
        <v>4040</v>
      </c>
    </row>
    <row r="217" spans="1:12" ht="11.25" customHeight="1" x14ac:dyDescent="0.25">
      <c r="A217" s="402">
        <v>2017</v>
      </c>
      <c r="B217" s="197" t="str">
        <f t="shared" ref="B217:L217" si="63">B44</f>
        <v>-</v>
      </c>
      <c r="C217" s="197">
        <f t="shared" si="63"/>
        <v>106</v>
      </c>
      <c r="D217" s="197">
        <f t="shared" si="63"/>
        <v>183</v>
      </c>
      <c r="E217" s="197">
        <f t="shared" si="63"/>
        <v>391</v>
      </c>
      <c r="F217" s="197">
        <f t="shared" si="63"/>
        <v>655</v>
      </c>
      <c r="G217" s="197" t="str">
        <f t="shared" si="63"/>
        <v>-</v>
      </c>
      <c r="H217" s="197">
        <f t="shared" si="63"/>
        <v>88</v>
      </c>
      <c r="I217" s="197">
        <f t="shared" si="63"/>
        <v>137</v>
      </c>
      <c r="J217" s="197">
        <f t="shared" si="63"/>
        <v>41</v>
      </c>
      <c r="K217" s="197" t="str">
        <f t="shared" si="63"/>
        <v>-</v>
      </c>
      <c r="L217" s="203">
        <f t="shared" si="63"/>
        <v>1601</v>
      </c>
    </row>
    <row r="218" spans="1:12" s="358" customFormat="1" ht="11.25" customHeight="1" x14ac:dyDescent="0.25">
      <c r="A218" s="402">
        <v>2018</v>
      </c>
      <c r="B218" s="197" t="str">
        <f t="shared" ref="B218:L218" si="64">B45</f>
        <v>-</v>
      </c>
      <c r="C218" s="197" t="str">
        <f t="shared" si="64"/>
        <v>-</v>
      </c>
      <c r="D218" s="197">
        <f t="shared" si="64"/>
        <v>348</v>
      </c>
      <c r="E218" s="197">
        <f t="shared" si="64"/>
        <v>433</v>
      </c>
      <c r="F218" s="197">
        <f t="shared" si="64"/>
        <v>287</v>
      </c>
      <c r="G218" s="197">
        <f t="shared" si="64"/>
        <v>667</v>
      </c>
      <c r="H218" s="197">
        <f t="shared" si="64"/>
        <v>80</v>
      </c>
      <c r="I218" s="197">
        <f t="shared" si="64"/>
        <v>102</v>
      </c>
      <c r="J218" s="197">
        <f t="shared" si="64"/>
        <v>83</v>
      </c>
      <c r="K218" s="197" t="str">
        <f t="shared" si="64"/>
        <v>-</v>
      </c>
      <c r="L218" s="203">
        <f t="shared" si="64"/>
        <v>2000</v>
      </c>
    </row>
    <row r="219" spans="1:12" s="358" customFormat="1" ht="11.25" customHeight="1" x14ac:dyDescent="0.25">
      <c r="A219" s="491">
        <v>2019</v>
      </c>
      <c r="B219" s="197" t="str">
        <f t="shared" ref="B219:L220" si="65">B46</f>
        <v>-</v>
      </c>
      <c r="C219" s="197">
        <f t="shared" si="65"/>
        <v>49</v>
      </c>
      <c r="D219" s="197">
        <f t="shared" si="65"/>
        <v>134</v>
      </c>
      <c r="E219" s="197">
        <f t="shared" si="65"/>
        <v>342</v>
      </c>
      <c r="F219" s="197">
        <f t="shared" si="65"/>
        <v>912</v>
      </c>
      <c r="G219" s="197">
        <f t="shared" si="65"/>
        <v>388</v>
      </c>
      <c r="H219" s="197">
        <f t="shared" si="65"/>
        <v>104</v>
      </c>
      <c r="I219" s="197">
        <f t="shared" si="65"/>
        <v>187</v>
      </c>
      <c r="J219" s="197" t="str">
        <f t="shared" si="65"/>
        <v>-</v>
      </c>
      <c r="K219" s="197" t="str">
        <f t="shared" si="65"/>
        <v>-</v>
      </c>
      <c r="L219" s="203">
        <f t="shared" si="65"/>
        <v>2116</v>
      </c>
    </row>
    <row r="220" spans="1:12" ht="11.25" customHeight="1" x14ac:dyDescent="0.25">
      <c r="A220" s="491" t="s">
        <v>393</v>
      </c>
      <c r="B220" s="197" t="str">
        <f t="shared" si="65"/>
        <v>-</v>
      </c>
      <c r="C220" s="197">
        <f t="shared" si="65"/>
        <v>140</v>
      </c>
      <c r="D220" s="197">
        <f t="shared" si="65"/>
        <v>97</v>
      </c>
      <c r="E220" s="197">
        <f t="shared" si="65"/>
        <v>379</v>
      </c>
      <c r="F220" s="197">
        <f t="shared" si="65"/>
        <v>571</v>
      </c>
      <c r="G220" s="197">
        <f t="shared" si="65"/>
        <v>269</v>
      </c>
      <c r="H220" s="197">
        <f t="shared" si="65"/>
        <v>174</v>
      </c>
      <c r="I220" s="197">
        <f t="shared" si="65"/>
        <v>212</v>
      </c>
      <c r="J220" s="197" t="str">
        <f t="shared" si="65"/>
        <v>-</v>
      </c>
      <c r="K220" s="197" t="str">
        <f t="shared" si="65"/>
        <v>-</v>
      </c>
      <c r="L220" s="203">
        <f t="shared" si="65"/>
        <v>1842</v>
      </c>
    </row>
    <row r="221" spans="1:12" ht="11.25" customHeight="1" x14ac:dyDescent="0.25">
      <c r="A221" s="402"/>
      <c r="B221" s="197"/>
      <c r="C221" s="197"/>
      <c r="D221" s="197"/>
      <c r="E221" s="197"/>
      <c r="F221" s="197"/>
      <c r="G221" s="197"/>
      <c r="H221" s="197"/>
      <c r="I221" s="197"/>
      <c r="J221" s="197"/>
      <c r="K221" s="197"/>
      <c r="L221" s="203"/>
    </row>
    <row r="222" spans="1:12" ht="11.25" customHeight="1" x14ac:dyDescent="0.25">
      <c r="A222" s="454" t="s">
        <v>302</v>
      </c>
      <c r="B222" s="197"/>
      <c r="C222" s="197"/>
      <c r="D222" s="197"/>
      <c r="E222" s="197"/>
      <c r="F222" s="197"/>
      <c r="G222" s="197"/>
      <c r="H222" s="197"/>
      <c r="I222" s="197"/>
      <c r="J222" s="197"/>
      <c r="K222" s="197"/>
      <c r="L222" s="203"/>
    </row>
    <row r="223" spans="1:12" ht="11.25" customHeight="1" x14ac:dyDescent="0.25">
      <c r="A223" s="402" t="s">
        <v>30</v>
      </c>
      <c r="B223" s="197" t="s">
        <v>29</v>
      </c>
      <c r="C223" s="197" t="s">
        <v>29</v>
      </c>
      <c r="D223" s="197">
        <f t="shared" ref="D223:L223" si="66">AVERAGE(D53:D57)</f>
        <v>2978.8</v>
      </c>
      <c r="E223" s="197">
        <f t="shared" si="66"/>
        <v>1817.2</v>
      </c>
      <c r="F223" s="197">
        <f t="shared" si="66"/>
        <v>5010.3999999999996</v>
      </c>
      <c r="G223" s="197">
        <f t="shared" si="66"/>
        <v>5260.2</v>
      </c>
      <c r="H223" s="197">
        <f t="shared" si="66"/>
        <v>1273.2</v>
      </c>
      <c r="I223" s="197">
        <f t="shared" si="66"/>
        <v>732</v>
      </c>
      <c r="J223" s="197">
        <f t="shared" si="66"/>
        <v>336.4</v>
      </c>
      <c r="K223" s="197" t="s">
        <v>29</v>
      </c>
      <c r="L223" s="203">
        <f t="shared" si="66"/>
        <v>17408.2</v>
      </c>
    </row>
    <row r="224" spans="1:12" ht="11.25" customHeight="1" x14ac:dyDescent="0.25">
      <c r="A224" s="402" t="s">
        <v>87</v>
      </c>
      <c r="B224" s="197" t="s">
        <v>29</v>
      </c>
      <c r="C224" s="197" t="s">
        <v>29</v>
      </c>
      <c r="D224" s="197">
        <f t="shared" ref="D224:J224" si="67">AVERAGE(D58:D62)</f>
        <v>326.39999999999998</v>
      </c>
      <c r="E224" s="197">
        <f t="shared" si="67"/>
        <v>1888.8325813096312</v>
      </c>
      <c r="F224" s="197">
        <f t="shared" si="67"/>
        <v>756.24994336060411</v>
      </c>
      <c r="G224" s="197">
        <f t="shared" si="67"/>
        <v>1406.4248428412764</v>
      </c>
      <c r="H224" s="197">
        <f t="shared" si="67"/>
        <v>551.18293927164189</v>
      </c>
      <c r="I224" s="197">
        <f t="shared" si="67"/>
        <v>160</v>
      </c>
      <c r="J224" s="197">
        <f t="shared" si="67"/>
        <v>217.33333333333334</v>
      </c>
      <c r="K224" s="197" t="s">
        <v>29</v>
      </c>
      <c r="L224" s="203">
        <f>AVERAGE(L58:L62)</f>
        <v>3825.4038873683544</v>
      </c>
    </row>
    <row r="225" spans="1:12" ht="11.25" customHeight="1" x14ac:dyDescent="0.25">
      <c r="A225" s="402" t="s">
        <v>14</v>
      </c>
      <c r="B225" s="197" t="s">
        <v>29</v>
      </c>
      <c r="C225" s="197" t="s">
        <v>29</v>
      </c>
      <c r="D225" s="197">
        <f>AVERAGE(D63:D67)</f>
        <v>45</v>
      </c>
      <c r="E225" s="197" t="s">
        <v>29</v>
      </c>
      <c r="F225" s="197" t="s">
        <v>29</v>
      </c>
      <c r="G225" s="197">
        <f>AVERAGE(G63:G67)</f>
        <v>56</v>
      </c>
      <c r="H225" s="197">
        <f>AVERAGE(H63:H67)</f>
        <v>522</v>
      </c>
      <c r="I225" s="197">
        <f>AVERAGE(I63:I67)</f>
        <v>157</v>
      </c>
      <c r="J225" s="197" t="s">
        <v>29</v>
      </c>
      <c r="K225" s="197" t="s">
        <v>29</v>
      </c>
      <c r="L225" s="203">
        <f>AVERAGE(L63:L67)</f>
        <v>395.66666666666669</v>
      </c>
    </row>
    <row r="226" spans="1:12" ht="11.25" customHeight="1" x14ac:dyDescent="0.25">
      <c r="A226" s="402" t="s">
        <v>207</v>
      </c>
      <c r="B226" s="197" t="s">
        <v>29</v>
      </c>
      <c r="C226" s="197" t="s">
        <v>29</v>
      </c>
      <c r="D226" s="197">
        <f>AVERAGE(D68:D72)</f>
        <v>55.4</v>
      </c>
      <c r="E226" s="197" t="s">
        <v>29</v>
      </c>
      <c r="F226" s="197" t="s">
        <v>29</v>
      </c>
      <c r="G226" s="197">
        <f>AVERAGE(G68:G72)</f>
        <v>107.4</v>
      </c>
      <c r="H226" s="197">
        <f>AVERAGE(H68:H72)</f>
        <v>208</v>
      </c>
      <c r="I226" s="197">
        <f>AVERAGE(I68:I72)</f>
        <v>150.4</v>
      </c>
      <c r="J226" s="197" t="s">
        <v>29</v>
      </c>
      <c r="K226" s="197" t="s">
        <v>29</v>
      </c>
      <c r="L226" s="203">
        <f>AVERAGE(L68:L72)</f>
        <v>533</v>
      </c>
    </row>
    <row r="227" spans="1:12" ht="11.25" customHeight="1" x14ac:dyDescent="0.25">
      <c r="A227" s="402" t="s">
        <v>238</v>
      </c>
      <c r="B227" s="197" t="s">
        <v>29</v>
      </c>
      <c r="C227" s="197">
        <f>AVERAGE(C73:C77)</f>
        <v>17</v>
      </c>
      <c r="D227" s="197">
        <f>AVERAGE(D73:D77)</f>
        <v>40.5</v>
      </c>
      <c r="E227" s="197">
        <f t="shared" ref="E227:J227" si="68">AVERAGE(E73:E77)</f>
        <v>82.25</v>
      </c>
      <c r="F227" s="197">
        <f t="shared" si="68"/>
        <v>109.66666666666667</v>
      </c>
      <c r="G227" s="197">
        <f t="shared" si="68"/>
        <v>166</v>
      </c>
      <c r="H227" s="197">
        <f t="shared" si="68"/>
        <v>388</v>
      </c>
      <c r="I227" s="197">
        <f t="shared" si="68"/>
        <v>110.4</v>
      </c>
      <c r="J227" s="197">
        <f t="shared" si="68"/>
        <v>12.666666666666666</v>
      </c>
      <c r="K227" s="197" t="str">
        <f>K73</f>
        <v>-</v>
      </c>
      <c r="L227" s="203">
        <f>AVERAGE(L73:L77)</f>
        <v>818.6</v>
      </c>
    </row>
    <row r="228" spans="1:12" ht="11.25" customHeight="1" x14ac:dyDescent="0.25">
      <c r="A228" s="402">
        <v>2006</v>
      </c>
      <c r="B228" s="197" t="str">
        <f t="shared" ref="B228:L228" si="69">B78</f>
        <v>-</v>
      </c>
      <c r="C228" s="197" t="str">
        <f t="shared" si="69"/>
        <v>-</v>
      </c>
      <c r="D228" s="197" t="str">
        <f t="shared" si="69"/>
        <v>-</v>
      </c>
      <c r="E228" s="197" t="str">
        <f t="shared" si="69"/>
        <v>-</v>
      </c>
      <c r="F228" s="197" t="str">
        <f t="shared" si="69"/>
        <v>-</v>
      </c>
      <c r="G228" s="197" t="str">
        <f t="shared" si="69"/>
        <v>-</v>
      </c>
      <c r="H228" s="197">
        <f t="shared" si="69"/>
        <v>6</v>
      </c>
      <c r="I228" s="197">
        <f t="shared" si="69"/>
        <v>151</v>
      </c>
      <c r="J228" s="197">
        <f t="shared" si="69"/>
        <v>27</v>
      </c>
      <c r="K228" s="197" t="str">
        <f t="shared" si="69"/>
        <v>-</v>
      </c>
      <c r="L228" s="203">
        <f t="shared" si="69"/>
        <v>184</v>
      </c>
    </row>
    <row r="229" spans="1:12" ht="11.25" customHeight="1" x14ac:dyDescent="0.25">
      <c r="A229" s="402">
        <v>2007</v>
      </c>
      <c r="B229" s="197" t="str">
        <f t="shared" ref="B229:L229" si="70">B79</f>
        <v>-</v>
      </c>
      <c r="C229" s="197">
        <f t="shared" si="70"/>
        <v>6</v>
      </c>
      <c r="D229" s="197">
        <f t="shared" si="70"/>
        <v>8</v>
      </c>
      <c r="E229" s="197">
        <f t="shared" si="70"/>
        <v>138</v>
      </c>
      <c r="F229" s="197">
        <f t="shared" si="70"/>
        <v>99</v>
      </c>
      <c r="G229" s="197">
        <f t="shared" si="70"/>
        <v>95</v>
      </c>
      <c r="H229" s="197">
        <f t="shared" si="70"/>
        <v>417</v>
      </c>
      <c r="I229" s="197">
        <f t="shared" si="70"/>
        <v>47</v>
      </c>
      <c r="J229" s="197">
        <f t="shared" si="70"/>
        <v>12</v>
      </c>
      <c r="K229" s="197" t="str">
        <f t="shared" si="70"/>
        <v>-</v>
      </c>
      <c r="L229" s="203">
        <f t="shared" si="70"/>
        <v>822</v>
      </c>
    </row>
    <row r="230" spans="1:12" ht="11.25" customHeight="1" x14ac:dyDescent="0.25">
      <c r="A230" s="402">
        <v>2008</v>
      </c>
      <c r="B230" s="197" t="str">
        <f t="shared" ref="B230:L230" si="71">B80</f>
        <v>-</v>
      </c>
      <c r="C230" s="197" t="str">
        <f t="shared" si="71"/>
        <v>-</v>
      </c>
      <c r="D230" s="197" t="str">
        <f t="shared" si="71"/>
        <v>-</v>
      </c>
      <c r="E230" s="197" t="str">
        <f t="shared" si="71"/>
        <v>-</v>
      </c>
      <c r="F230" s="197" t="str">
        <f t="shared" si="71"/>
        <v>-</v>
      </c>
      <c r="G230" s="197" t="str">
        <f t="shared" si="71"/>
        <v>-</v>
      </c>
      <c r="H230" s="197" t="str">
        <f t="shared" si="71"/>
        <v>-</v>
      </c>
      <c r="I230" s="197">
        <f t="shared" si="71"/>
        <v>51</v>
      </c>
      <c r="J230" s="197" t="str">
        <f t="shared" si="71"/>
        <v>-</v>
      </c>
      <c r="K230" s="197" t="str">
        <f t="shared" si="71"/>
        <v>-</v>
      </c>
      <c r="L230" s="203">
        <f t="shared" si="71"/>
        <v>51</v>
      </c>
    </row>
    <row r="231" spans="1:12" ht="11.25" customHeight="1" x14ac:dyDescent="0.25">
      <c r="A231" s="402">
        <v>2009</v>
      </c>
      <c r="B231" s="197" t="str">
        <f t="shared" ref="B231:L231" si="72">B81</f>
        <v>-</v>
      </c>
      <c r="C231" s="197" t="str">
        <f t="shared" si="72"/>
        <v>-</v>
      </c>
      <c r="D231" s="197" t="str">
        <f t="shared" si="72"/>
        <v>-</v>
      </c>
      <c r="E231" s="197" t="str">
        <f t="shared" si="72"/>
        <v>-</v>
      </c>
      <c r="F231" s="197" t="str">
        <f t="shared" si="72"/>
        <v>-</v>
      </c>
      <c r="G231" s="197" t="str">
        <f t="shared" si="72"/>
        <v>-</v>
      </c>
      <c r="H231" s="197" t="str">
        <f t="shared" si="72"/>
        <v>-</v>
      </c>
      <c r="I231" s="197" t="str">
        <f t="shared" si="72"/>
        <v>-</v>
      </c>
      <c r="J231" s="197" t="str">
        <f t="shared" si="72"/>
        <v>-</v>
      </c>
      <c r="K231" s="197" t="str">
        <f t="shared" si="72"/>
        <v>-</v>
      </c>
      <c r="L231" s="203" t="str">
        <f t="shared" si="72"/>
        <v>-</v>
      </c>
    </row>
    <row r="232" spans="1:12" ht="11.25" customHeight="1" x14ac:dyDescent="0.25">
      <c r="A232" s="402">
        <v>2010</v>
      </c>
      <c r="B232" s="197" t="str">
        <f t="shared" ref="B232:L232" si="73">B82</f>
        <v>-</v>
      </c>
      <c r="C232" s="197" t="str">
        <f t="shared" si="73"/>
        <v>-</v>
      </c>
      <c r="D232" s="197">
        <f t="shared" si="73"/>
        <v>43</v>
      </c>
      <c r="E232" s="197" t="str">
        <f t="shared" si="73"/>
        <v>-</v>
      </c>
      <c r="F232" s="197">
        <f t="shared" si="73"/>
        <v>26</v>
      </c>
      <c r="G232" s="197">
        <f t="shared" si="73"/>
        <v>40</v>
      </c>
      <c r="H232" s="197" t="str">
        <f t="shared" si="73"/>
        <v>-</v>
      </c>
      <c r="I232" s="197">
        <f t="shared" si="73"/>
        <v>72</v>
      </c>
      <c r="J232" s="197" t="str">
        <f t="shared" si="73"/>
        <v>-</v>
      </c>
      <c r="K232" s="197" t="str">
        <f t="shared" si="73"/>
        <v>-</v>
      </c>
      <c r="L232" s="203">
        <f t="shared" si="73"/>
        <v>181</v>
      </c>
    </row>
    <row r="233" spans="1:12" ht="11.25" customHeight="1" x14ac:dyDescent="0.25">
      <c r="A233" s="402">
        <v>2011</v>
      </c>
      <c r="B233" s="197" t="str">
        <f t="shared" ref="B233:L233" si="74">B83</f>
        <v>-</v>
      </c>
      <c r="C233" s="197" t="str">
        <f t="shared" si="74"/>
        <v>-</v>
      </c>
      <c r="D233" s="197">
        <f t="shared" si="74"/>
        <v>60</v>
      </c>
      <c r="E233" s="197">
        <f t="shared" si="74"/>
        <v>60</v>
      </c>
      <c r="F233" s="197">
        <f t="shared" si="74"/>
        <v>160</v>
      </c>
      <c r="G233" s="197">
        <f t="shared" si="74"/>
        <v>135</v>
      </c>
      <c r="H233" s="197" t="str">
        <f t="shared" si="74"/>
        <v>-</v>
      </c>
      <c r="I233" s="197">
        <f t="shared" si="74"/>
        <v>75</v>
      </c>
      <c r="J233" s="197" t="str">
        <f t="shared" si="74"/>
        <v>-</v>
      </c>
      <c r="K233" s="197" t="str">
        <f t="shared" si="74"/>
        <v>-</v>
      </c>
      <c r="L233" s="203">
        <f t="shared" si="74"/>
        <v>490</v>
      </c>
    </row>
    <row r="234" spans="1:12" ht="11.25" customHeight="1" x14ac:dyDescent="0.25">
      <c r="A234" s="402">
        <v>2012</v>
      </c>
      <c r="B234" s="197" t="str">
        <f t="shared" ref="B234:L234" si="75">B84</f>
        <v>-</v>
      </c>
      <c r="C234" s="197">
        <f t="shared" si="75"/>
        <v>0</v>
      </c>
      <c r="D234" s="197">
        <f t="shared" si="75"/>
        <v>23</v>
      </c>
      <c r="E234" s="197">
        <f t="shared" si="75"/>
        <v>118</v>
      </c>
      <c r="F234" s="197">
        <f t="shared" si="75"/>
        <v>90</v>
      </c>
      <c r="G234" s="197">
        <f t="shared" si="75"/>
        <v>67</v>
      </c>
      <c r="H234" s="197">
        <f t="shared" si="75"/>
        <v>348</v>
      </c>
      <c r="I234" s="197">
        <f t="shared" si="75"/>
        <v>41</v>
      </c>
      <c r="J234" s="197" t="str">
        <f t="shared" si="75"/>
        <v>-</v>
      </c>
      <c r="K234" s="197" t="str">
        <f t="shared" si="75"/>
        <v>-</v>
      </c>
      <c r="L234" s="203">
        <f t="shared" si="75"/>
        <v>687</v>
      </c>
    </row>
    <row r="235" spans="1:12" ht="11.25" customHeight="1" x14ac:dyDescent="0.25">
      <c r="A235" s="402">
        <v>2013</v>
      </c>
      <c r="B235" s="197" t="str">
        <f t="shared" ref="B235:L235" si="76">B85</f>
        <v>-</v>
      </c>
      <c r="C235" s="197">
        <f t="shared" si="76"/>
        <v>13</v>
      </c>
      <c r="D235" s="197">
        <f t="shared" si="76"/>
        <v>185</v>
      </c>
      <c r="E235" s="197">
        <f t="shared" si="76"/>
        <v>267</v>
      </c>
      <c r="F235" s="197">
        <f t="shared" si="76"/>
        <v>441</v>
      </c>
      <c r="G235" s="197">
        <f t="shared" si="76"/>
        <v>321</v>
      </c>
      <c r="H235" s="197">
        <f t="shared" si="76"/>
        <v>89</v>
      </c>
      <c r="I235" s="197">
        <f t="shared" si="76"/>
        <v>52</v>
      </c>
      <c r="J235" s="197" t="str">
        <f t="shared" si="76"/>
        <v>-</v>
      </c>
      <c r="K235" s="197" t="str">
        <f t="shared" si="76"/>
        <v>-</v>
      </c>
      <c r="L235" s="203">
        <f t="shared" si="76"/>
        <v>1368</v>
      </c>
    </row>
    <row r="236" spans="1:12" ht="11.25" customHeight="1" x14ac:dyDescent="0.25">
      <c r="A236" s="402">
        <v>2014</v>
      </c>
      <c r="B236" s="197" t="str">
        <f t="shared" ref="B236:L236" si="77">B86</f>
        <v>-</v>
      </c>
      <c r="C236" s="197">
        <f t="shared" si="77"/>
        <v>10</v>
      </c>
      <c r="D236" s="197">
        <f t="shared" si="77"/>
        <v>471</v>
      </c>
      <c r="E236" s="197">
        <f t="shared" si="77"/>
        <v>82</v>
      </c>
      <c r="F236" s="197">
        <f t="shared" si="77"/>
        <v>38</v>
      </c>
      <c r="G236" s="197">
        <f t="shared" si="77"/>
        <v>70</v>
      </c>
      <c r="H236" s="197">
        <f t="shared" si="77"/>
        <v>120</v>
      </c>
      <c r="I236" s="197">
        <f t="shared" si="77"/>
        <v>78</v>
      </c>
      <c r="J236" s="197" t="str">
        <f t="shared" si="77"/>
        <v>-</v>
      </c>
      <c r="K236" s="197" t="str">
        <f t="shared" si="77"/>
        <v>-</v>
      </c>
      <c r="L236" s="203">
        <f t="shared" si="77"/>
        <v>869</v>
      </c>
    </row>
    <row r="237" spans="1:12" ht="11.25" customHeight="1" x14ac:dyDescent="0.25">
      <c r="A237" s="402">
        <v>2015</v>
      </c>
      <c r="B237" s="197" t="str">
        <f t="shared" ref="B237:L237" si="78">B87</f>
        <v>-</v>
      </c>
      <c r="C237" s="197">
        <f t="shared" si="78"/>
        <v>12</v>
      </c>
      <c r="D237" s="197">
        <f t="shared" si="78"/>
        <v>150</v>
      </c>
      <c r="E237" s="197">
        <f t="shared" si="78"/>
        <v>100</v>
      </c>
      <c r="F237" s="197">
        <f t="shared" si="78"/>
        <v>90</v>
      </c>
      <c r="G237" s="197">
        <f t="shared" si="78"/>
        <v>24</v>
      </c>
      <c r="H237" s="197">
        <f t="shared" si="78"/>
        <v>32</v>
      </c>
      <c r="I237" s="197">
        <f t="shared" si="78"/>
        <v>144</v>
      </c>
      <c r="J237" s="197" t="str">
        <f t="shared" si="78"/>
        <v>-</v>
      </c>
      <c r="K237" s="197" t="str">
        <f t="shared" si="78"/>
        <v>-</v>
      </c>
      <c r="L237" s="203">
        <f t="shared" si="78"/>
        <v>552</v>
      </c>
    </row>
    <row r="238" spans="1:12" ht="11.25" customHeight="1" x14ac:dyDescent="0.25">
      <c r="A238" s="402">
        <v>2016</v>
      </c>
      <c r="B238" s="197" t="str">
        <f t="shared" ref="B238:L238" si="79">B88</f>
        <v>-</v>
      </c>
      <c r="C238" s="197">
        <f t="shared" si="79"/>
        <v>7</v>
      </c>
      <c r="D238" s="197">
        <f t="shared" si="79"/>
        <v>13</v>
      </c>
      <c r="E238" s="197">
        <f t="shared" si="79"/>
        <v>47</v>
      </c>
      <c r="F238" s="197">
        <f t="shared" si="79"/>
        <v>8</v>
      </c>
      <c r="G238" s="197" t="str">
        <f t="shared" si="79"/>
        <v>-</v>
      </c>
      <c r="H238" s="197">
        <f t="shared" si="79"/>
        <v>59</v>
      </c>
      <c r="I238" s="197">
        <f t="shared" si="79"/>
        <v>52</v>
      </c>
      <c r="J238" s="197" t="str">
        <f t="shared" si="79"/>
        <v>-</v>
      </c>
      <c r="K238" s="197" t="str">
        <f t="shared" si="79"/>
        <v>-</v>
      </c>
      <c r="L238" s="203">
        <f t="shared" si="79"/>
        <v>186</v>
      </c>
    </row>
    <row r="239" spans="1:12" ht="11.25" customHeight="1" x14ac:dyDescent="0.25">
      <c r="A239" s="402">
        <v>2017</v>
      </c>
      <c r="B239" s="197" t="str">
        <f t="shared" ref="B239:L239" si="80">B89</f>
        <v>-</v>
      </c>
      <c r="C239" s="197" t="str">
        <f t="shared" si="80"/>
        <v>-</v>
      </c>
      <c r="D239" s="197" t="str">
        <f t="shared" si="80"/>
        <v>-</v>
      </c>
      <c r="E239" s="197" t="str">
        <f t="shared" si="80"/>
        <v>-</v>
      </c>
      <c r="F239" s="197" t="str">
        <f t="shared" si="80"/>
        <v>-</v>
      </c>
      <c r="G239" s="197" t="str">
        <f t="shared" si="80"/>
        <v>-</v>
      </c>
      <c r="H239" s="197" t="str">
        <f t="shared" si="80"/>
        <v>-</v>
      </c>
      <c r="I239" s="197">
        <f t="shared" si="80"/>
        <v>109</v>
      </c>
      <c r="J239" s="197" t="str">
        <f t="shared" si="80"/>
        <v>-</v>
      </c>
      <c r="K239" s="197" t="str">
        <f t="shared" si="80"/>
        <v>-</v>
      </c>
      <c r="L239" s="203">
        <f t="shared" si="80"/>
        <v>109</v>
      </c>
    </row>
    <row r="240" spans="1:12" s="358" customFormat="1" ht="11.25" customHeight="1" x14ac:dyDescent="0.25">
      <c r="A240" s="402">
        <v>2018</v>
      </c>
      <c r="B240" s="197" t="str">
        <f t="shared" ref="B240:L240" si="81">B90</f>
        <v>-</v>
      </c>
      <c r="C240" s="197" t="str">
        <f t="shared" si="81"/>
        <v>-</v>
      </c>
      <c r="D240" s="197">
        <f t="shared" si="81"/>
        <v>167</v>
      </c>
      <c r="E240" s="197">
        <f t="shared" si="81"/>
        <v>351</v>
      </c>
      <c r="F240" s="197">
        <f t="shared" si="81"/>
        <v>286</v>
      </c>
      <c r="G240" s="197">
        <f t="shared" si="81"/>
        <v>255</v>
      </c>
      <c r="H240" s="197" t="str">
        <f t="shared" si="81"/>
        <v>-</v>
      </c>
      <c r="I240" s="197">
        <f t="shared" si="81"/>
        <v>115</v>
      </c>
      <c r="J240" s="197" t="str">
        <f t="shared" si="81"/>
        <v>-</v>
      </c>
      <c r="K240" s="197" t="str">
        <f t="shared" si="81"/>
        <v>-</v>
      </c>
      <c r="L240" s="203">
        <f t="shared" si="81"/>
        <v>1174</v>
      </c>
    </row>
    <row r="241" spans="1:12" s="358" customFormat="1" ht="11.25" customHeight="1" x14ac:dyDescent="0.25">
      <c r="A241" s="498" t="s">
        <v>403</v>
      </c>
      <c r="B241" s="197" t="str">
        <f t="shared" ref="B241:L242" si="82">B91</f>
        <v>-</v>
      </c>
      <c r="C241" s="197">
        <f t="shared" si="82"/>
        <v>2</v>
      </c>
      <c r="D241" s="197">
        <f t="shared" si="82"/>
        <v>7</v>
      </c>
      <c r="E241" s="197">
        <f t="shared" si="82"/>
        <v>108</v>
      </c>
      <c r="F241" s="197">
        <f t="shared" si="82"/>
        <v>140</v>
      </c>
      <c r="G241" s="197">
        <f t="shared" si="82"/>
        <v>283</v>
      </c>
      <c r="H241" s="197" t="str">
        <f t="shared" si="82"/>
        <v>-</v>
      </c>
      <c r="I241" s="197" t="str">
        <f t="shared" si="82"/>
        <v>-</v>
      </c>
      <c r="J241" s="197" t="str">
        <f t="shared" si="82"/>
        <v>-</v>
      </c>
      <c r="K241" s="197" t="str">
        <f t="shared" si="82"/>
        <v>-</v>
      </c>
      <c r="L241" s="203">
        <f t="shared" si="82"/>
        <v>540</v>
      </c>
    </row>
    <row r="242" spans="1:12" ht="11.25" customHeight="1" x14ac:dyDescent="0.25">
      <c r="A242" s="498" t="s">
        <v>393</v>
      </c>
      <c r="B242" s="197" t="str">
        <f t="shared" si="82"/>
        <v>-</v>
      </c>
      <c r="C242" s="197">
        <f t="shared" si="82"/>
        <v>1</v>
      </c>
      <c r="D242" s="197">
        <f t="shared" si="82"/>
        <v>3</v>
      </c>
      <c r="E242" s="197">
        <f t="shared" si="82"/>
        <v>46</v>
      </c>
      <c r="F242" s="197">
        <f t="shared" si="82"/>
        <v>72</v>
      </c>
      <c r="G242" s="197" t="str">
        <f t="shared" si="82"/>
        <v>-</v>
      </c>
      <c r="H242" s="197" t="str">
        <f t="shared" si="82"/>
        <v>-</v>
      </c>
      <c r="I242" s="197" t="str">
        <f t="shared" si="82"/>
        <v>-</v>
      </c>
      <c r="J242" s="197" t="str">
        <f t="shared" si="82"/>
        <v>-</v>
      </c>
      <c r="K242" s="197" t="str">
        <f t="shared" si="82"/>
        <v>-</v>
      </c>
      <c r="L242" s="203">
        <f t="shared" si="82"/>
        <v>122</v>
      </c>
    </row>
    <row r="243" spans="1:12" ht="11.25" customHeight="1" x14ac:dyDescent="0.25">
      <c r="A243" s="383"/>
      <c r="B243" s="193"/>
      <c r="C243" s="193"/>
      <c r="D243" s="193"/>
      <c r="E243" s="193"/>
      <c r="F243" s="193"/>
      <c r="G243" s="193"/>
      <c r="H243" s="193"/>
      <c r="I243" s="193"/>
      <c r="J243" s="193"/>
      <c r="K243" s="193"/>
      <c r="L243" s="200"/>
    </row>
    <row r="244" spans="1:12" ht="11.25" customHeight="1" x14ac:dyDescent="0.25">
      <c r="A244" s="603" t="s">
        <v>371</v>
      </c>
      <c r="B244" s="603"/>
      <c r="C244" s="603"/>
      <c r="D244" s="603"/>
      <c r="E244" s="603"/>
      <c r="F244" s="603"/>
      <c r="G244" s="603"/>
      <c r="H244" s="603"/>
      <c r="I244" s="603"/>
      <c r="J244" s="603"/>
      <c r="K244" s="603"/>
      <c r="L244" s="603"/>
    </row>
    <row r="245" spans="1:12" ht="11.25" customHeight="1" x14ac:dyDescent="0.25">
      <c r="A245" s="602" t="s">
        <v>223</v>
      </c>
      <c r="B245" s="602"/>
      <c r="C245" s="386"/>
      <c r="D245" s="386"/>
      <c r="E245" s="386"/>
      <c r="F245" s="386"/>
      <c r="G245" s="386"/>
      <c r="H245" s="386"/>
      <c r="I245" s="386"/>
      <c r="J245" s="386"/>
      <c r="K245" s="386"/>
      <c r="L245" s="386"/>
    </row>
    <row r="246" spans="1:12" ht="11.25" customHeight="1" x14ac:dyDescent="0.25">
      <c r="A246" s="119" t="s">
        <v>33</v>
      </c>
      <c r="B246" s="382" t="s">
        <v>43</v>
      </c>
      <c r="C246" s="382" t="s">
        <v>34</v>
      </c>
      <c r="D246" s="382" t="s">
        <v>35</v>
      </c>
      <c r="E246" s="382" t="s">
        <v>81</v>
      </c>
      <c r="F246" s="382" t="s">
        <v>82</v>
      </c>
      <c r="G246" s="382" t="s">
        <v>38</v>
      </c>
      <c r="H246" s="382" t="s">
        <v>39</v>
      </c>
      <c r="I246" s="382" t="s">
        <v>40</v>
      </c>
      <c r="J246" s="382" t="s">
        <v>44</v>
      </c>
      <c r="K246" s="382" t="s">
        <v>83</v>
      </c>
      <c r="L246" s="20" t="s">
        <v>84</v>
      </c>
    </row>
    <row r="247" spans="1:12" ht="11.25" customHeight="1" x14ac:dyDescent="0.25">
      <c r="A247" s="116" t="s">
        <v>88</v>
      </c>
      <c r="B247" s="193"/>
      <c r="C247" s="193"/>
      <c r="D247" s="193"/>
      <c r="E247" s="193"/>
      <c r="F247" s="193"/>
      <c r="G247" s="193"/>
      <c r="H247" s="193"/>
      <c r="I247" s="193"/>
      <c r="J247" s="193"/>
      <c r="K247" s="193"/>
      <c r="L247" s="200"/>
    </row>
    <row r="248" spans="1:12" ht="11.25" customHeight="1" x14ac:dyDescent="0.25">
      <c r="A248" s="383" t="s">
        <v>30</v>
      </c>
      <c r="B248" s="193" t="s">
        <v>29</v>
      </c>
      <c r="C248" s="193">
        <f t="shared" ref="C248:L248" si="83">AVERAGE(C98:C102)</f>
        <v>2037</v>
      </c>
      <c r="D248" s="193">
        <f t="shared" si="83"/>
        <v>10225.4</v>
      </c>
      <c r="E248" s="193">
        <f t="shared" si="83"/>
        <v>7880.6</v>
      </c>
      <c r="F248" s="193">
        <f t="shared" si="83"/>
        <v>15092.4</v>
      </c>
      <c r="G248" s="193">
        <f t="shared" si="83"/>
        <v>8601</v>
      </c>
      <c r="H248" s="193">
        <f t="shared" si="83"/>
        <v>4766.2</v>
      </c>
      <c r="I248" s="193" t="s">
        <v>29</v>
      </c>
      <c r="J248" s="193" t="s">
        <v>29</v>
      </c>
      <c r="K248" s="193" t="s">
        <v>29</v>
      </c>
      <c r="L248" s="200">
        <f t="shared" si="83"/>
        <v>47380.4</v>
      </c>
    </row>
    <row r="249" spans="1:12" ht="11.25" customHeight="1" x14ac:dyDescent="0.25">
      <c r="A249" s="383" t="s">
        <v>87</v>
      </c>
      <c r="B249" s="193" t="s">
        <v>29</v>
      </c>
      <c r="C249" s="193" t="s">
        <v>29</v>
      </c>
      <c r="D249" s="193">
        <f t="shared" ref="D249:L249" si="84">AVERAGE(D103:D107)</f>
        <v>14517.056447187928</v>
      </c>
      <c r="E249" s="193">
        <f t="shared" si="84"/>
        <v>15252.733934952295</v>
      </c>
      <c r="F249" s="193">
        <f t="shared" si="84"/>
        <v>14466.515754326878</v>
      </c>
      <c r="G249" s="193">
        <f t="shared" si="84"/>
        <v>9261.5450942952339</v>
      </c>
      <c r="H249" s="193">
        <f t="shared" si="84"/>
        <v>2839.4170607283581</v>
      </c>
      <c r="I249" s="193" t="s">
        <v>29</v>
      </c>
      <c r="J249" s="193" t="s">
        <v>29</v>
      </c>
      <c r="K249" s="193" t="s">
        <v>29</v>
      </c>
      <c r="L249" s="200">
        <f t="shared" si="84"/>
        <v>56337.268291490698</v>
      </c>
    </row>
    <row r="250" spans="1:12" ht="11.25" customHeight="1" x14ac:dyDescent="0.25">
      <c r="A250" s="383" t="s">
        <v>14</v>
      </c>
      <c r="B250" s="193" t="s">
        <v>29</v>
      </c>
      <c r="C250" s="193" t="s">
        <v>29</v>
      </c>
      <c r="D250" s="193">
        <f>AVERAGE(D108:D112)</f>
        <v>7860</v>
      </c>
      <c r="E250" s="193">
        <f t="shared" ref="E250:L250" si="85">AVERAGE(E108:E112)</f>
        <v>5620</v>
      </c>
      <c r="F250" s="193">
        <f t="shared" si="85"/>
        <v>5160</v>
      </c>
      <c r="G250" s="193">
        <f t="shared" si="85"/>
        <v>4320</v>
      </c>
      <c r="H250" s="193">
        <f t="shared" si="85"/>
        <v>2620</v>
      </c>
      <c r="I250" s="193" t="s">
        <v>29</v>
      </c>
      <c r="J250" s="193" t="s">
        <v>29</v>
      </c>
      <c r="K250" s="193" t="s">
        <v>29</v>
      </c>
      <c r="L250" s="200">
        <f t="shared" si="85"/>
        <v>25580</v>
      </c>
    </row>
    <row r="251" spans="1:12" ht="11.25" customHeight="1" x14ac:dyDescent="0.25">
      <c r="A251" s="383" t="s">
        <v>207</v>
      </c>
      <c r="B251" s="193" t="s">
        <v>29</v>
      </c>
      <c r="C251" s="193" t="s">
        <v>29</v>
      </c>
      <c r="D251" s="193">
        <f>AVERAGE(D113:D117)</f>
        <v>4642</v>
      </c>
      <c r="E251" s="193">
        <f t="shared" ref="E251:L251" si="86">AVERAGE(E113:E117)</f>
        <v>4172.6000000000004</v>
      </c>
      <c r="F251" s="193">
        <f t="shared" si="86"/>
        <v>4569.6000000000004</v>
      </c>
      <c r="G251" s="193">
        <f t="shared" si="86"/>
        <v>2318</v>
      </c>
      <c r="H251" s="193">
        <f t="shared" si="86"/>
        <v>2235</v>
      </c>
      <c r="I251" s="193" t="s">
        <v>29</v>
      </c>
      <c r="J251" s="193" t="s">
        <v>29</v>
      </c>
      <c r="K251" s="193" t="s">
        <v>29</v>
      </c>
      <c r="L251" s="200">
        <f t="shared" si="86"/>
        <v>18082.2</v>
      </c>
    </row>
    <row r="252" spans="1:12" ht="11.25" customHeight="1" x14ac:dyDescent="0.25">
      <c r="A252" s="383" t="s">
        <v>238</v>
      </c>
      <c r="B252" s="193" t="str">
        <f>B118</f>
        <v>-</v>
      </c>
      <c r="C252" s="193" t="str">
        <f>C118</f>
        <v>-</v>
      </c>
      <c r="D252" s="193">
        <f t="shared" ref="D252:I252" si="87">AVERAGE(D118:D122)</f>
        <v>4248.2</v>
      </c>
      <c r="E252" s="193">
        <f t="shared" si="87"/>
        <v>2366.6</v>
      </c>
      <c r="F252" s="193">
        <f t="shared" si="87"/>
        <v>4540.2</v>
      </c>
      <c r="G252" s="193">
        <f t="shared" si="87"/>
        <v>2963</v>
      </c>
      <c r="H252" s="193">
        <f t="shared" si="87"/>
        <v>2396</v>
      </c>
      <c r="I252" s="193">
        <f t="shared" si="87"/>
        <v>293.39999999999998</v>
      </c>
      <c r="J252" s="193" t="str">
        <f>J118</f>
        <v>-</v>
      </c>
      <c r="K252" s="193" t="str">
        <f>K118</f>
        <v>-</v>
      </c>
      <c r="L252" s="200">
        <f>AVERAGE(L118:L122)</f>
        <v>16807.400000000001</v>
      </c>
    </row>
    <row r="253" spans="1:12" ht="11.25" customHeight="1" x14ac:dyDescent="0.25">
      <c r="A253" s="383">
        <v>2006</v>
      </c>
      <c r="B253" s="193" t="str">
        <f t="shared" ref="B253:L253" si="88">B123</f>
        <v>-</v>
      </c>
      <c r="C253" s="193" t="str">
        <f t="shared" si="88"/>
        <v>-</v>
      </c>
      <c r="D253" s="193">
        <f t="shared" si="88"/>
        <v>2062</v>
      </c>
      <c r="E253" s="193">
        <f t="shared" si="88"/>
        <v>103</v>
      </c>
      <c r="F253" s="193">
        <f t="shared" si="88"/>
        <v>650</v>
      </c>
      <c r="G253" s="193">
        <f t="shared" si="88"/>
        <v>2593</v>
      </c>
      <c r="H253" s="193">
        <f t="shared" si="88"/>
        <v>2477</v>
      </c>
      <c r="I253" s="193">
        <f t="shared" si="88"/>
        <v>374</v>
      </c>
      <c r="J253" s="193" t="str">
        <f t="shared" si="88"/>
        <v>-</v>
      </c>
      <c r="K253" s="193" t="str">
        <f t="shared" si="88"/>
        <v>-</v>
      </c>
      <c r="L253" s="200">
        <f t="shared" si="88"/>
        <v>8259</v>
      </c>
    </row>
    <row r="254" spans="1:12" ht="11.25" customHeight="1" x14ac:dyDescent="0.25">
      <c r="A254" s="402">
        <v>2007</v>
      </c>
      <c r="B254" s="197" t="str">
        <f t="shared" ref="B254:L254" si="89">B124</f>
        <v>-</v>
      </c>
      <c r="C254" s="197">
        <f t="shared" si="89"/>
        <v>106</v>
      </c>
      <c r="D254" s="197">
        <f t="shared" si="89"/>
        <v>3132</v>
      </c>
      <c r="E254" s="197">
        <f t="shared" si="89"/>
        <v>29</v>
      </c>
      <c r="F254" s="197">
        <f t="shared" si="89"/>
        <v>3288</v>
      </c>
      <c r="G254" s="197">
        <f t="shared" si="89"/>
        <v>2659</v>
      </c>
      <c r="H254" s="197">
        <f t="shared" si="89"/>
        <v>932</v>
      </c>
      <c r="I254" s="197">
        <f t="shared" si="89"/>
        <v>168</v>
      </c>
      <c r="J254" s="197" t="str">
        <f t="shared" si="89"/>
        <v>-</v>
      </c>
      <c r="K254" s="197" t="str">
        <f t="shared" si="89"/>
        <v>-</v>
      </c>
      <c r="L254" s="203">
        <f t="shared" si="89"/>
        <v>10314</v>
      </c>
    </row>
    <row r="255" spans="1:12" ht="11.25" customHeight="1" x14ac:dyDescent="0.25">
      <c r="A255" s="402">
        <v>2008</v>
      </c>
      <c r="B255" s="197" t="str">
        <f t="shared" ref="B255:L255" si="90">B125</f>
        <v>-</v>
      </c>
      <c r="C255" s="197" t="str">
        <f t="shared" si="90"/>
        <v>-</v>
      </c>
      <c r="D255" s="197" t="str">
        <f t="shared" si="90"/>
        <v>-</v>
      </c>
      <c r="E255" s="197" t="str">
        <f t="shared" si="90"/>
        <v>-</v>
      </c>
      <c r="F255" s="197" t="str">
        <f t="shared" si="90"/>
        <v>-</v>
      </c>
      <c r="G255" s="197" t="str">
        <f t="shared" si="90"/>
        <v>-</v>
      </c>
      <c r="H255" s="197" t="str">
        <f t="shared" si="90"/>
        <v>-</v>
      </c>
      <c r="I255" s="197" t="str">
        <f t="shared" si="90"/>
        <v>-</v>
      </c>
      <c r="J255" s="197" t="str">
        <f t="shared" si="90"/>
        <v>-</v>
      </c>
      <c r="K255" s="197" t="str">
        <f t="shared" si="90"/>
        <v>-</v>
      </c>
      <c r="L255" s="203" t="str">
        <f t="shared" si="90"/>
        <v>-</v>
      </c>
    </row>
    <row r="256" spans="1:12" ht="11.25" customHeight="1" x14ac:dyDescent="0.25">
      <c r="A256" s="402">
        <v>2009</v>
      </c>
      <c r="B256" s="197" t="str">
        <f t="shared" ref="B256:L256" si="91">B126</f>
        <v>-</v>
      </c>
      <c r="C256" s="197" t="str">
        <f t="shared" si="91"/>
        <v>-</v>
      </c>
      <c r="D256" s="197" t="str">
        <f t="shared" si="91"/>
        <v>-</v>
      </c>
      <c r="E256" s="197" t="str">
        <f t="shared" si="91"/>
        <v>-</v>
      </c>
      <c r="F256" s="197" t="str">
        <f t="shared" si="91"/>
        <v>-</v>
      </c>
      <c r="G256" s="197" t="str">
        <f t="shared" si="91"/>
        <v>-</v>
      </c>
      <c r="H256" s="197" t="str">
        <f t="shared" si="91"/>
        <v>-</v>
      </c>
      <c r="I256" s="197" t="str">
        <f t="shared" si="91"/>
        <v>-</v>
      </c>
      <c r="J256" s="197" t="str">
        <f t="shared" si="91"/>
        <v>-</v>
      </c>
      <c r="K256" s="197" t="str">
        <f t="shared" si="91"/>
        <v>-</v>
      </c>
      <c r="L256" s="203" t="str">
        <f t="shared" si="91"/>
        <v>-</v>
      </c>
    </row>
    <row r="257" spans="1:22" ht="11.25" customHeight="1" x14ac:dyDescent="0.25">
      <c r="A257" s="402">
        <v>2010</v>
      </c>
      <c r="B257" s="197" t="str">
        <f t="shared" ref="B257:L257" si="92">B127</f>
        <v>-</v>
      </c>
      <c r="C257" s="197" t="str">
        <f t="shared" si="92"/>
        <v>-</v>
      </c>
      <c r="D257" s="197" t="str">
        <f t="shared" si="92"/>
        <v>-</v>
      </c>
      <c r="E257" s="197" t="str">
        <f t="shared" si="92"/>
        <v>-</v>
      </c>
      <c r="F257" s="197">
        <f t="shared" si="92"/>
        <v>1105</v>
      </c>
      <c r="G257" s="197">
        <f t="shared" si="92"/>
        <v>870</v>
      </c>
      <c r="H257" s="197" t="str">
        <f t="shared" si="92"/>
        <v>-</v>
      </c>
      <c r="I257" s="197" t="str">
        <f t="shared" si="92"/>
        <v>-</v>
      </c>
      <c r="J257" s="197" t="str">
        <f t="shared" si="92"/>
        <v>-</v>
      </c>
      <c r="K257" s="197" t="str">
        <f t="shared" si="92"/>
        <v>-</v>
      </c>
      <c r="L257" s="203">
        <f t="shared" si="92"/>
        <v>1975</v>
      </c>
    </row>
    <row r="258" spans="1:22" ht="11.25" customHeight="1" x14ac:dyDescent="0.25">
      <c r="A258" s="402">
        <v>2011</v>
      </c>
      <c r="B258" s="197" t="str">
        <f t="shared" ref="B258:L258" si="93">B128</f>
        <v>-</v>
      </c>
      <c r="C258" s="197" t="str">
        <f t="shared" si="93"/>
        <v>-</v>
      </c>
      <c r="D258" s="197">
        <f t="shared" si="93"/>
        <v>1879</v>
      </c>
      <c r="E258" s="197">
        <f t="shared" si="93"/>
        <v>504</v>
      </c>
      <c r="F258" s="197">
        <f t="shared" si="93"/>
        <v>1737</v>
      </c>
      <c r="G258" s="197">
        <f t="shared" si="93"/>
        <v>1897</v>
      </c>
      <c r="H258" s="197">
        <f t="shared" si="93"/>
        <v>638</v>
      </c>
      <c r="I258" s="197">
        <f t="shared" si="93"/>
        <v>117</v>
      </c>
      <c r="J258" s="197" t="str">
        <f t="shared" si="93"/>
        <v>-</v>
      </c>
      <c r="K258" s="197" t="str">
        <f t="shared" si="93"/>
        <v>-</v>
      </c>
      <c r="L258" s="203">
        <f t="shared" si="93"/>
        <v>6772</v>
      </c>
    </row>
    <row r="259" spans="1:22" ht="11.25" customHeight="1" x14ac:dyDescent="0.25">
      <c r="A259" s="402">
        <v>2012</v>
      </c>
      <c r="B259" s="197" t="str">
        <f t="shared" ref="B259:L259" si="94">B129</f>
        <v>-</v>
      </c>
      <c r="C259" s="197" t="str">
        <f t="shared" si="94"/>
        <v>-</v>
      </c>
      <c r="D259" s="197">
        <f t="shared" si="94"/>
        <v>3738</v>
      </c>
      <c r="E259" s="197">
        <f t="shared" si="94"/>
        <v>1593</v>
      </c>
      <c r="F259" s="197">
        <f t="shared" si="94"/>
        <v>4406</v>
      </c>
      <c r="G259" s="197">
        <f t="shared" si="94"/>
        <v>2650</v>
      </c>
      <c r="H259" s="197">
        <f t="shared" si="94"/>
        <v>1361</v>
      </c>
      <c r="I259" s="197">
        <f t="shared" si="94"/>
        <v>469</v>
      </c>
      <c r="J259" s="197" t="str">
        <f t="shared" si="94"/>
        <v>-</v>
      </c>
      <c r="K259" s="197" t="str">
        <f t="shared" si="94"/>
        <v>-</v>
      </c>
      <c r="L259" s="203">
        <f t="shared" si="94"/>
        <v>14217</v>
      </c>
    </row>
    <row r="260" spans="1:22" ht="11.25" customHeight="1" x14ac:dyDescent="0.25">
      <c r="A260" s="402">
        <v>2013</v>
      </c>
      <c r="B260" s="197" t="str">
        <f t="shared" ref="B260:L260" si="95">B130</f>
        <v>-</v>
      </c>
      <c r="C260" s="197" t="str">
        <f t="shared" si="95"/>
        <v>-</v>
      </c>
      <c r="D260" s="197">
        <f t="shared" ref="D260:D265" si="96">D130</f>
        <v>4268</v>
      </c>
      <c r="E260" s="197">
        <f t="shared" si="95"/>
        <v>3904</v>
      </c>
      <c r="F260" s="197">
        <f t="shared" si="95"/>
        <v>3979</v>
      </c>
      <c r="G260" s="197">
        <f t="shared" si="95"/>
        <v>2638</v>
      </c>
      <c r="H260" s="197">
        <f t="shared" si="95"/>
        <v>1620</v>
      </c>
      <c r="I260" s="197">
        <f t="shared" si="95"/>
        <v>223</v>
      </c>
      <c r="J260" s="197" t="str">
        <f t="shared" si="95"/>
        <v>-</v>
      </c>
      <c r="K260" s="197" t="str">
        <f t="shared" si="95"/>
        <v>-</v>
      </c>
      <c r="L260" s="203">
        <f t="shared" si="95"/>
        <v>16632</v>
      </c>
    </row>
    <row r="261" spans="1:22" ht="11.25" customHeight="1" x14ac:dyDescent="0.25">
      <c r="A261" s="402">
        <v>2014</v>
      </c>
      <c r="B261" s="197" t="str">
        <f t="shared" ref="B261:C265" si="97">B131</f>
        <v>-</v>
      </c>
      <c r="C261" s="197" t="str">
        <f t="shared" si="97"/>
        <v>-</v>
      </c>
      <c r="D261" s="197">
        <f t="shared" si="96"/>
        <v>3011</v>
      </c>
      <c r="E261" s="197">
        <f t="shared" ref="E261:L261" si="98">E131</f>
        <v>2682</v>
      </c>
      <c r="F261" s="197">
        <f t="shared" si="98"/>
        <v>3281</v>
      </c>
      <c r="G261" s="197">
        <f t="shared" si="98"/>
        <v>2987</v>
      </c>
      <c r="H261" s="197">
        <f t="shared" si="98"/>
        <v>1759</v>
      </c>
      <c r="I261" s="197">
        <f t="shared" si="98"/>
        <v>575</v>
      </c>
      <c r="J261" s="197" t="str">
        <f t="shared" si="98"/>
        <v>-</v>
      </c>
      <c r="K261" s="197" t="str">
        <f t="shared" si="98"/>
        <v>-</v>
      </c>
      <c r="L261" s="203">
        <f t="shared" si="98"/>
        <v>14295</v>
      </c>
    </row>
    <row r="262" spans="1:22" ht="11.25" customHeight="1" x14ac:dyDescent="0.25">
      <c r="A262" s="402">
        <v>2015</v>
      </c>
      <c r="B262" s="197" t="str">
        <f t="shared" si="97"/>
        <v>-</v>
      </c>
      <c r="C262" s="197" t="str">
        <f t="shared" si="97"/>
        <v>-</v>
      </c>
      <c r="D262" s="197">
        <f t="shared" si="96"/>
        <v>4434</v>
      </c>
      <c r="E262" s="197">
        <f t="shared" ref="E262:L262" si="99">E132</f>
        <v>2392</v>
      </c>
      <c r="F262" s="197">
        <f t="shared" si="99"/>
        <v>1943</v>
      </c>
      <c r="G262" s="197">
        <f t="shared" si="99"/>
        <v>2000</v>
      </c>
      <c r="H262" s="197">
        <f t="shared" si="99"/>
        <v>1695</v>
      </c>
      <c r="I262" s="197">
        <f t="shared" si="99"/>
        <v>515</v>
      </c>
      <c r="J262" s="197" t="str">
        <f t="shared" si="99"/>
        <v>-</v>
      </c>
      <c r="K262" s="197" t="str">
        <f t="shared" si="99"/>
        <v>-</v>
      </c>
      <c r="L262" s="203">
        <f t="shared" si="99"/>
        <v>12979</v>
      </c>
    </row>
    <row r="263" spans="1:22" ht="11.25" customHeight="1" x14ac:dyDescent="0.25">
      <c r="A263" s="402">
        <v>2016</v>
      </c>
      <c r="B263" s="197" t="str">
        <f t="shared" si="97"/>
        <v>-</v>
      </c>
      <c r="C263" s="197" t="str">
        <f t="shared" si="97"/>
        <v>-</v>
      </c>
      <c r="D263" s="197">
        <f t="shared" si="96"/>
        <v>1662</v>
      </c>
      <c r="E263" s="197">
        <f t="shared" ref="E263:L263" si="100">E133</f>
        <v>1290</v>
      </c>
      <c r="F263" s="197" t="str">
        <f t="shared" si="100"/>
        <v>-</v>
      </c>
      <c r="G263" s="197">
        <f t="shared" si="100"/>
        <v>2450</v>
      </c>
      <c r="H263" s="197">
        <f t="shared" si="100"/>
        <v>1563</v>
      </c>
      <c r="I263" s="197">
        <f t="shared" si="100"/>
        <v>174</v>
      </c>
      <c r="J263" s="197" t="str">
        <f t="shared" si="100"/>
        <v>-</v>
      </c>
      <c r="K263" s="197" t="str">
        <f t="shared" si="100"/>
        <v>-</v>
      </c>
      <c r="L263" s="203">
        <f t="shared" si="100"/>
        <v>7139</v>
      </c>
    </row>
    <row r="264" spans="1:22" ht="11.25" customHeight="1" x14ac:dyDescent="0.25">
      <c r="A264" s="402">
        <v>2017</v>
      </c>
      <c r="B264" s="197" t="str">
        <f t="shared" si="97"/>
        <v>-</v>
      </c>
      <c r="C264" s="197" t="str">
        <f t="shared" si="97"/>
        <v>-</v>
      </c>
      <c r="D264" s="197">
        <f t="shared" si="96"/>
        <v>874</v>
      </c>
      <c r="E264" s="197">
        <f t="shared" ref="E264:L264" si="101">E134</f>
        <v>1210</v>
      </c>
      <c r="F264" s="197" t="str">
        <f t="shared" si="101"/>
        <v>-</v>
      </c>
      <c r="G264" s="197">
        <f t="shared" si="101"/>
        <v>2610</v>
      </c>
      <c r="H264" s="197">
        <f t="shared" si="101"/>
        <v>1811</v>
      </c>
      <c r="I264" s="197">
        <f t="shared" si="101"/>
        <v>220</v>
      </c>
      <c r="J264" s="197" t="str">
        <f t="shared" si="101"/>
        <v>-</v>
      </c>
      <c r="K264" s="197" t="str">
        <f t="shared" si="101"/>
        <v>-</v>
      </c>
      <c r="L264" s="203">
        <f t="shared" si="101"/>
        <v>6725</v>
      </c>
    </row>
    <row r="265" spans="1:22" s="358" customFormat="1" ht="11.25" customHeight="1" x14ac:dyDescent="0.25">
      <c r="A265" s="402">
        <v>2018</v>
      </c>
      <c r="B265" s="197" t="str">
        <f t="shared" si="97"/>
        <v>-</v>
      </c>
      <c r="C265" s="197" t="str">
        <f t="shared" si="97"/>
        <v>-</v>
      </c>
      <c r="D265" s="197">
        <f t="shared" si="96"/>
        <v>473</v>
      </c>
      <c r="E265" s="197">
        <f t="shared" ref="E265:L265" si="102">E135</f>
        <v>839</v>
      </c>
      <c r="F265" s="197">
        <f t="shared" si="102"/>
        <v>823</v>
      </c>
      <c r="G265" s="197">
        <f t="shared" si="102"/>
        <v>2751</v>
      </c>
      <c r="H265" s="197">
        <f t="shared" si="102"/>
        <v>1551</v>
      </c>
      <c r="I265" s="197">
        <f t="shared" si="102"/>
        <v>441</v>
      </c>
      <c r="J265" s="197" t="str">
        <f t="shared" si="102"/>
        <v>-</v>
      </c>
      <c r="K265" s="197" t="str">
        <f t="shared" si="102"/>
        <v>-</v>
      </c>
      <c r="L265" s="203">
        <f t="shared" si="102"/>
        <v>6878</v>
      </c>
    </row>
    <row r="266" spans="1:22" s="358" customFormat="1" ht="11.25" customHeight="1" x14ac:dyDescent="0.25">
      <c r="A266" s="498" t="s">
        <v>403</v>
      </c>
      <c r="B266" s="197" t="str">
        <f t="shared" ref="B266:L267" si="103">B136</f>
        <v>-</v>
      </c>
      <c r="C266" s="197" t="str">
        <f t="shared" si="103"/>
        <v>-</v>
      </c>
      <c r="D266" s="197">
        <f t="shared" si="103"/>
        <v>3875</v>
      </c>
      <c r="E266" s="197">
        <f t="shared" si="103"/>
        <v>4372</v>
      </c>
      <c r="F266" s="197">
        <f t="shared" si="103"/>
        <v>3087</v>
      </c>
      <c r="G266" s="197">
        <f t="shared" si="103"/>
        <v>2785</v>
      </c>
      <c r="H266" s="197">
        <f t="shared" si="103"/>
        <v>1100</v>
      </c>
      <c r="I266" s="197">
        <f t="shared" si="103"/>
        <v>251</v>
      </c>
      <c r="J266" s="197" t="str">
        <f t="shared" si="103"/>
        <v>-</v>
      </c>
      <c r="K266" s="197" t="str">
        <f t="shared" si="103"/>
        <v>-</v>
      </c>
      <c r="L266" s="203">
        <f t="shared" si="103"/>
        <v>15470</v>
      </c>
    </row>
    <row r="267" spans="1:22" ht="11.25" customHeight="1" x14ac:dyDescent="0.25">
      <c r="A267" s="498" t="s">
        <v>393</v>
      </c>
      <c r="B267" s="193" t="str">
        <f t="shared" si="103"/>
        <v>-</v>
      </c>
      <c r="C267" s="193" t="str">
        <f t="shared" si="103"/>
        <v>-</v>
      </c>
      <c r="D267" s="193">
        <f t="shared" si="103"/>
        <v>2665</v>
      </c>
      <c r="E267" s="193">
        <f t="shared" si="103"/>
        <v>3357</v>
      </c>
      <c r="F267" s="193">
        <f t="shared" si="103"/>
        <v>2884</v>
      </c>
      <c r="G267" s="193">
        <f t="shared" si="103"/>
        <v>1713</v>
      </c>
      <c r="H267" s="193">
        <f t="shared" si="103"/>
        <v>1081</v>
      </c>
      <c r="I267" s="193">
        <f t="shared" si="103"/>
        <v>568</v>
      </c>
      <c r="J267" s="193" t="str">
        <f t="shared" si="103"/>
        <v>-</v>
      </c>
      <c r="K267" s="193" t="str">
        <f t="shared" si="103"/>
        <v>-</v>
      </c>
      <c r="L267" s="200">
        <f t="shared" si="103"/>
        <v>12268</v>
      </c>
    </row>
    <row r="268" spans="1:22" ht="11.25" customHeight="1" x14ac:dyDescent="0.25">
      <c r="A268" s="383"/>
      <c r="B268" s="193"/>
      <c r="C268" s="193"/>
      <c r="D268" s="193"/>
      <c r="E268" s="193"/>
      <c r="F268" s="193"/>
      <c r="G268" s="193"/>
      <c r="H268" s="193"/>
      <c r="I268" s="193"/>
      <c r="J268" s="193"/>
      <c r="K268" s="193"/>
      <c r="L268" s="200"/>
    </row>
    <row r="269" spans="1:22" ht="12.75" customHeight="1" x14ac:dyDescent="0.25">
      <c r="A269" s="120" t="s">
        <v>372</v>
      </c>
      <c r="B269" s="193"/>
      <c r="C269" s="193"/>
      <c r="D269" s="193"/>
      <c r="E269" s="193"/>
      <c r="F269" s="193"/>
      <c r="G269" s="193"/>
      <c r="H269" s="193"/>
      <c r="I269" s="193"/>
      <c r="J269" s="193"/>
      <c r="K269" s="193"/>
      <c r="L269" s="200"/>
    </row>
    <row r="270" spans="1:22" ht="11.25" customHeight="1" x14ac:dyDescent="0.25">
      <c r="A270" s="383" t="s">
        <v>30</v>
      </c>
      <c r="B270" s="193" t="s">
        <v>29</v>
      </c>
      <c r="C270" s="193">
        <f t="shared" ref="C270:L270" si="104">AVERAGE(C143:C147)</f>
        <v>2037</v>
      </c>
      <c r="D270" s="193">
        <f t="shared" si="104"/>
        <v>14616.8</v>
      </c>
      <c r="E270" s="193">
        <f t="shared" si="104"/>
        <v>10709.2</v>
      </c>
      <c r="F270" s="193">
        <f t="shared" si="104"/>
        <v>30295.599999999999</v>
      </c>
      <c r="G270" s="193">
        <f t="shared" si="104"/>
        <v>19221.2</v>
      </c>
      <c r="H270" s="193">
        <f t="shared" si="104"/>
        <v>6980.8</v>
      </c>
      <c r="I270" s="193">
        <f t="shared" si="104"/>
        <v>1180.4000000000001</v>
      </c>
      <c r="J270" s="193">
        <f t="shared" si="104"/>
        <v>346.4</v>
      </c>
      <c r="K270" s="193" t="s">
        <v>29</v>
      </c>
      <c r="L270" s="200">
        <f t="shared" si="104"/>
        <v>84165.2</v>
      </c>
    </row>
    <row r="271" spans="1:22" ht="11.25" customHeight="1" x14ac:dyDescent="0.25">
      <c r="A271" s="383" t="s">
        <v>87</v>
      </c>
      <c r="B271" s="193" t="s">
        <v>29</v>
      </c>
      <c r="C271" s="193" t="s">
        <v>29</v>
      </c>
      <c r="D271" s="193">
        <f t="shared" ref="D271:J271" si="105">AVERAGE(D148:D152)</f>
        <v>18588.856447187929</v>
      </c>
      <c r="E271" s="193">
        <f t="shared" si="105"/>
        <v>21257.599999999999</v>
      </c>
      <c r="F271" s="193">
        <f t="shared" si="105"/>
        <v>28801.615731671121</v>
      </c>
      <c r="G271" s="193">
        <f t="shared" si="105"/>
        <v>18198</v>
      </c>
      <c r="H271" s="193">
        <f t="shared" si="105"/>
        <v>6604.4</v>
      </c>
      <c r="I271" s="193">
        <f t="shared" si="105"/>
        <v>2322</v>
      </c>
      <c r="J271" s="193">
        <f t="shared" si="105"/>
        <v>291.5</v>
      </c>
      <c r="K271" s="193" t="s">
        <v>29</v>
      </c>
      <c r="L271" s="200">
        <f>AVERAGE(L148:L152)</f>
        <v>96005.672178859051</v>
      </c>
    </row>
    <row r="272" spans="1:22" ht="11.25" customHeight="1" x14ac:dyDescent="0.25">
      <c r="A272" s="383" t="s">
        <v>14</v>
      </c>
      <c r="B272" s="193" t="s">
        <v>29</v>
      </c>
      <c r="C272" s="193" t="s">
        <v>29</v>
      </c>
      <c r="D272" s="193">
        <f>AVERAGE(D153:D157)</f>
        <v>9112.2000000000007</v>
      </c>
      <c r="E272" s="193">
        <f t="shared" ref="E272:J272" si="106">AVERAGE(E153:E157)</f>
        <v>7241.6</v>
      </c>
      <c r="F272" s="193">
        <f t="shared" si="106"/>
        <v>6636</v>
      </c>
      <c r="G272" s="193">
        <f t="shared" si="106"/>
        <v>5974</v>
      </c>
      <c r="H272" s="193">
        <f t="shared" si="106"/>
        <v>4059.2</v>
      </c>
      <c r="I272" s="193">
        <f t="shared" si="106"/>
        <v>1415.6</v>
      </c>
      <c r="J272" s="193">
        <f t="shared" si="106"/>
        <v>88.333333333333329</v>
      </c>
      <c r="K272" s="193" t="s">
        <v>29</v>
      </c>
      <c r="L272" s="200">
        <f>AVERAGE(L153:L157)</f>
        <v>34491.599999999999</v>
      </c>
      <c r="M272" s="193"/>
      <c r="N272" s="193"/>
      <c r="O272" s="193"/>
      <c r="P272" s="193"/>
      <c r="Q272" s="193"/>
      <c r="R272" s="193"/>
      <c r="S272" s="193"/>
      <c r="T272" s="193"/>
      <c r="U272" s="193"/>
      <c r="V272" s="200"/>
    </row>
    <row r="273" spans="1:22" ht="11.25" customHeight="1" x14ac:dyDescent="0.25">
      <c r="A273" s="383" t="s">
        <v>207</v>
      </c>
      <c r="B273" s="193" t="s">
        <v>29</v>
      </c>
      <c r="C273" s="193" t="s">
        <v>29</v>
      </c>
      <c r="D273" s="193">
        <f>AVERAGE(D158:D162)</f>
        <v>5979.4</v>
      </c>
      <c r="E273" s="193">
        <f t="shared" ref="E273:J273" si="107">AVERAGE(E158:E162)</f>
        <v>5752</v>
      </c>
      <c r="F273" s="193">
        <f t="shared" si="107"/>
        <v>4953.3999999999996</v>
      </c>
      <c r="G273" s="193">
        <f t="shared" si="107"/>
        <v>3957.2</v>
      </c>
      <c r="H273" s="193">
        <f t="shared" si="107"/>
        <v>3415.8</v>
      </c>
      <c r="I273" s="193">
        <f t="shared" si="107"/>
        <v>786</v>
      </c>
      <c r="J273" s="193">
        <f t="shared" si="107"/>
        <v>115.8</v>
      </c>
      <c r="K273" s="193" t="s">
        <v>29</v>
      </c>
      <c r="L273" s="200">
        <f>AVERAGE(L158:L162)</f>
        <v>25430</v>
      </c>
      <c r="M273" s="193"/>
      <c r="N273" s="193"/>
      <c r="O273" s="193"/>
      <c r="P273" s="193"/>
      <c r="Q273" s="193"/>
      <c r="R273" s="193"/>
      <c r="S273" s="193"/>
      <c r="T273" s="193"/>
      <c r="U273" s="193"/>
      <c r="V273" s="200"/>
    </row>
    <row r="274" spans="1:22" ht="11.25" customHeight="1" x14ac:dyDescent="0.25">
      <c r="A274" s="383" t="s">
        <v>238</v>
      </c>
      <c r="B274" s="193">
        <f>AVERAGE(B163:B167)</f>
        <v>689.25</v>
      </c>
      <c r="C274" s="193">
        <f>AVERAGE(C163:C167)</f>
        <v>1222</v>
      </c>
      <c r="D274" s="193">
        <f>AVERAGE(D163:D167)</f>
        <v>6590.4</v>
      </c>
      <c r="E274" s="193">
        <f>AVERAGE(E163:E167)</f>
        <v>4426</v>
      </c>
      <c r="F274" s="193">
        <f>AVERAGE(F163:F167)</f>
        <v>5359.4</v>
      </c>
      <c r="G274" s="193">
        <f t="shared" ref="G274:L274" si="108">AVERAGE(G163:G167)</f>
        <v>4400.6000000000004</v>
      </c>
      <c r="H274" s="193">
        <f t="shared" si="108"/>
        <v>4456.8</v>
      </c>
      <c r="I274" s="193">
        <f t="shared" si="108"/>
        <v>1616.4</v>
      </c>
      <c r="J274" s="193">
        <f t="shared" si="108"/>
        <v>168.2</v>
      </c>
      <c r="K274" s="193">
        <f t="shared" si="108"/>
        <v>25.2</v>
      </c>
      <c r="L274" s="200">
        <f t="shared" si="108"/>
        <v>26521</v>
      </c>
    </row>
    <row r="275" spans="1:22" ht="11.25" customHeight="1" x14ac:dyDescent="0.25">
      <c r="A275" s="402">
        <v>2006</v>
      </c>
      <c r="B275" s="197" t="str">
        <f t="shared" ref="B275:L275" si="109">B168</f>
        <v>-</v>
      </c>
      <c r="C275" s="197" t="str">
        <f t="shared" si="109"/>
        <v>-</v>
      </c>
      <c r="D275" s="197">
        <f t="shared" si="109"/>
        <v>2062</v>
      </c>
      <c r="E275" s="197">
        <f t="shared" si="109"/>
        <v>1120</v>
      </c>
      <c r="F275" s="197">
        <f t="shared" si="109"/>
        <v>1133</v>
      </c>
      <c r="G275" s="197">
        <f t="shared" si="109"/>
        <v>2778</v>
      </c>
      <c r="H275" s="197">
        <f t="shared" si="109"/>
        <v>3104</v>
      </c>
      <c r="I275" s="197">
        <f t="shared" si="109"/>
        <v>1248</v>
      </c>
      <c r="J275" s="197">
        <f t="shared" si="109"/>
        <v>306</v>
      </c>
      <c r="K275" s="197">
        <f t="shared" si="109"/>
        <v>26</v>
      </c>
      <c r="L275" s="203">
        <f t="shared" si="109"/>
        <v>11777</v>
      </c>
    </row>
    <row r="276" spans="1:22" ht="11.25" customHeight="1" x14ac:dyDescent="0.25">
      <c r="A276" s="402">
        <v>2007</v>
      </c>
      <c r="B276" s="197" t="str">
        <f t="shared" ref="B276:L276" si="110">B169</f>
        <v>-</v>
      </c>
      <c r="C276" s="197">
        <f t="shared" si="110"/>
        <v>454</v>
      </c>
      <c r="D276" s="197">
        <f t="shared" si="110"/>
        <v>4321</v>
      </c>
      <c r="E276" s="197">
        <f t="shared" si="110"/>
        <v>941</v>
      </c>
      <c r="F276" s="197">
        <f t="shared" si="110"/>
        <v>3652</v>
      </c>
      <c r="G276" s="197">
        <f t="shared" si="110"/>
        <v>3905</v>
      </c>
      <c r="H276" s="197">
        <f t="shared" si="110"/>
        <v>1652</v>
      </c>
      <c r="I276" s="197">
        <f t="shared" si="110"/>
        <v>459</v>
      </c>
      <c r="J276" s="197">
        <f t="shared" si="110"/>
        <v>174</v>
      </c>
      <c r="K276" s="197" t="str">
        <f t="shared" si="110"/>
        <v>-</v>
      </c>
      <c r="L276" s="203">
        <f t="shared" si="110"/>
        <v>15558</v>
      </c>
    </row>
    <row r="277" spans="1:22" ht="11.25" customHeight="1" x14ac:dyDescent="0.25">
      <c r="A277" s="402">
        <v>2008</v>
      </c>
      <c r="B277" s="197" t="str">
        <f t="shared" ref="B277:L277" si="111">B170</f>
        <v>-</v>
      </c>
      <c r="C277" s="197" t="str">
        <f t="shared" si="111"/>
        <v>-</v>
      </c>
      <c r="D277" s="197" t="str">
        <f t="shared" si="111"/>
        <v>-</v>
      </c>
      <c r="E277" s="197" t="str">
        <f t="shared" si="111"/>
        <v>-</v>
      </c>
      <c r="F277" s="197" t="str">
        <f t="shared" si="111"/>
        <v>-</v>
      </c>
      <c r="G277" s="197" t="str">
        <f t="shared" si="111"/>
        <v>-</v>
      </c>
      <c r="H277" s="197">
        <f t="shared" si="111"/>
        <v>37</v>
      </c>
      <c r="I277" s="197">
        <f t="shared" si="111"/>
        <v>63</v>
      </c>
      <c r="J277" s="197">
        <f t="shared" si="111"/>
        <v>48</v>
      </c>
      <c r="K277" s="197" t="str">
        <f t="shared" si="111"/>
        <v>-</v>
      </c>
      <c r="L277" s="203">
        <f t="shared" si="111"/>
        <v>148</v>
      </c>
    </row>
    <row r="278" spans="1:22" ht="11.25" customHeight="1" x14ac:dyDescent="0.25">
      <c r="A278" s="402">
        <v>2009</v>
      </c>
      <c r="B278" s="197" t="str">
        <f t="shared" ref="B278:L278" si="112">B171</f>
        <v>-</v>
      </c>
      <c r="C278" s="197" t="str">
        <f t="shared" si="112"/>
        <v>-</v>
      </c>
      <c r="D278" s="197" t="str">
        <f t="shared" si="112"/>
        <v>-</v>
      </c>
      <c r="E278" s="197" t="str">
        <f t="shared" si="112"/>
        <v>-</v>
      </c>
      <c r="F278" s="197" t="str">
        <f t="shared" si="112"/>
        <v>-</v>
      </c>
      <c r="G278" s="197" t="str">
        <f t="shared" si="112"/>
        <v>-</v>
      </c>
      <c r="H278" s="197">
        <f t="shared" si="112"/>
        <v>634</v>
      </c>
      <c r="I278" s="197">
        <f t="shared" si="112"/>
        <v>60</v>
      </c>
      <c r="J278" s="197" t="str">
        <f t="shared" si="112"/>
        <v>-</v>
      </c>
      <c r="K278" s="197" t="str">
        <f t="shared" si="112"/>
        <v>-</v>
      </c>
      <c r="L278" s="203">
        <f t="shared" si="112"/>
        <v>694</v>
      </c>
    </row>
    <row r="279" spans="1:22" ht="11.25" customHeight="1" x14ac:dyDescent="0.25">
      <c r="A279" s="402">
        <v>2010</v>
      </c>
      <c r="B279" s="197" t="str">
        <f t="shared" ref="B279:L279" si="113">B172</f>
        <v>-</v>
      </c>
      <c r="C279" s="197" t="str">
        <f t="shared" si="113"/>
        <v>-</v>
      </c>
      <c r="D279" s="197">
        <f t="shared" si="113"/>
        <v>1058</v>
      </c>
      <c r="E279" s="197">
        <f t="shared" si="113"/>
        <v>987</v>
      </c>
      <c r="F279" s="197">
        <f t="shared" si="113"/>
        <v>1699</v>
      </c>
      <c r="G279" s="197">
        <f t="shared" si="113"/>
        <v>1629</v>
      </c>
      <c r="H279" s="197">
        <f t="shared" si="113"/>
        <v>37</v>
      </c>
      <c r="I279" s="197">
        <f t="shared" si="113"/>
        <v>229</v>
      </c>
      <c r="J279" s="197" t="str">
        <f t="shared" si="113"/>
        <v>-</v>
      </c>
      <c r="K279" s="197" t="str">
        <f t="shared" si="113"/>
        <v>-</v>
      </c>
      <c r="L279" s="203">
        <f t="shared" si="113"/>
        <v>5639</v>
      </c>
    </row>
    <row r="280" spans="1:22" ht="11.25" customHeight="1" x14ac:dyDescent="0.25">
      <c r="A280" s="402">
        <v>2011</v>
      </c>
      <c r="B280" s="197" t="str">
        <f t="shared" ref="B280:L280" si="114">B173</f>
        <v>-</v>
      </c>
      <c r="C280" s="197">
        <f t="shared" si="114"/>
        <v>316</v>
      </c>
      <c r="D280" s="197">
        <f t="shared" si="114"/>
        <v>2827</v>
      </c>
      <c r="E280" s="197">
        <f t="shared" si="114"/>
        <v>1644</v>
      </c>
      <c r="F280" s="197">
        <f t="shared" si="114"/>
        <v>1997</v>
      </c>
      <c r="G280" s="197">
        <f t="shared" si="114"/>
        <v>2239</v>
      </c>
      <c r="H280" s="197">
        <f t="shared" si="114"/>
        <v>760</v>
      </c>
      <c r="I280" s="197">
        <f t="shared" si="114"/>
        <v>418</v>
      </c>
      <c r="J280" s="197">
        <f t="shared" si="114"/>
        <v>235</v>
      </c>
      <c r="K280" s="197" t="str">
        <f t="shared" si="114"/>
        <v>-</v>
      </c>
      <c r="L280" s="203">
        <f t="shared" si="114"/>
        <v>10436</v>
      </c>
    </row>
    <row r="281" spans="1:22" ht="11.25" customHeight="1" x14ac:dyDescent="0.25">
      <c r="A281" s="402">
        <v>2012</v>
      </c>
      <c r="B281" s="197" t="str">
        <f t="shared" ref="B281:L281" si="115">B174</f>
        <v>-</v>
      </c>
      <c r="C281" s="197">
        <f t="shared" si="115"/>
        <v>522</v>
      </c>
      <c r="D281" s="197">
        <f t="shared" si="115"/>
        <v>5195</v>
      </c>
      <c r="E281" s="197">
        <f t="shared" si="115"/>
        <v>2647</v>
      </c>
      <c r="F281" s="197">
        <f t="shared" si="115"/>
        <v>4742</v>
      </c>
      <c r="G281" s="197">
        <f t="shared" si="115"/>
        <v>3349</v>
      </c>
      <c r="H281" s="197">
        <f t="shared" si="115"/>
        <v>2596</v>
      </c>
      <c r="I281" s="197">
        <f t="shared" si="115"/>
        <v>1190</v>
      </c>
      <c r="J281" s="197">
        <f t="shared" si="115"/>
        <v>121</v>
      </c>
      <c r="K281" s="197" t="str">
        <f t="shared" si="115"/>
        <v>-</v>
      </c>
      <c r="L281" s="203">
        <f t="shared" si="115"/>
        <v>20362</v>
      </c>
    </row>
    <row r="282" spans="1:22" ht="11.25" customHeight="1" x14ac:dyDescent="0.25">
      <c r="A282" s="402">
        <v>2013</v>
      </c>
      <c r="B282" s="197" t="str">
        <f t="shared" ref="B282:L282" si="116">B175</f>
        <v>-</v>
      </c>
      <c r="C282" s="197">
        <f t="shared" si="116"/>
        <v>1042</v>
      </c>
      <c r="D282" s="197">
        <f t="shared" si="116"/>
        <v>5587</v>
      </c>
      <c r="E282" s="197">
        <f t="shared" si="116"/>
        <v>4942</v>
      </c>
      <c r="F282" s="197">
        <f t="shared" si="116"/>
        <v>4938</v>
      </c>
      <c r="G282" s="197">
        <f t="shared" si="116"/>
        <v>5106</v>
      </c>
      <c r="H282" s="197">
        <f t="shared" si="116"/>
        <v>3054</v>
      </c>
      <c r="I282" s="197">
        <f t="shared" si="116"/>
        <v>1168</v>
      </c>
      <c r="J282" s="197">
        <f t="shared" si="116"/>
        <v>155</v>
      </c>
      <c r="K282" s="197" t="str">
        <f t="shared" si="116"/>
        <v>-</v>
      </c>
      <c r="L282" s="203">
        <f t="shared" si="116"/>
        <v>25992</v>
      </c>
    </row>
    <row r="283" spans="1:22" ht="11.25" customHeight="1" x14ac:dyDescent="0.25">
      <c r="A283" s="402">
        <v>2014</v>
      </c>
      <c r="B283" s="197" t="str">
        <f t="shared" ref="B283:L283" si="117">B176</f>
        <v>-</v>
      </c>
      <c r="C283" s="197">
        <f t="shared" si="117"/>
        <v>962</v>
      </c>
      <c r="D283" s="197">
        <f t="shared" si="117"/>
        <v>5583</v>
      </c>
      <c r="E283" s="197">
        <f t="shared" si="117"/>
        <v>4482</v>
      </c>
      <c r="F283" s="197">
        <f t="shared" si="117"/>
        <v>4381</v>
      </c>
      <c r="G283" s="197">
        <f t="shared" si="117"/>
        <v>5212</v>
      </c>
      <c r="H283" s="197">
        <f t="shared" si="117"/>
        <v>2621</v>
      </c>
      <c r="I283" s="197">
        <f t="shared" si="117"/>
        <v>942</v>
      </c>
      <c r="J283" s="197">
        <f t="shared" si="117"/>
        <v>98</v>
      </c>
      <c r="K283" s="197" t="str">
        <f t="shared" si="117"/>
        <v>-</v>
      </c>
      <c r="L283" s="203">
        <f t="shared" si="117"/>
        <v>24281</v>
      </c>
    </row>
    <row r="284" spans="1:22" ht="11.25" customHeight="1" x14ac:dyDescent="0.25">
      <c r="A284" s="402">
        <v>2015</v>
      </c>
      <c r="B284" s="197" t="str">
        <f t="shared" ref="B284:L284" si="118">B177</f>
        <v>-</v>
      </c>
      <c r="C284" s="197">
        <f t="shared" si="118"/>
        <v>1767</v>
      </c>
      <c r="D284" s="197">
        <f t="shared" si="118"/>
        <v>6146</v>
      </c>
      <c r="E284" s="197">
        <f t="shared" si="118"/>
        <v>3741</v>
      </c>
      <c r="F284" s="197">
        <f t="shared" si="118"/>
        <v>3308</v>
      </c>
      <c r="G284" s="197">
        <f t="shared" si="118"/>
        <v>2812</v>
      </c>
      <c r="H284" s="197">
        <f t="shared" si="118"/>
        <v>2094</v>
      </c>
      <c r="I284" s="197">
        <f t="shared" si="118"/>
        <v>896</v>
      </c>
      <c r="J284" s="197">
        <f t="shared" si="118"/>
        <v>158</v>
      </c>
      <c r="K284" s="197" t="str">
        <f t="shared" si="118"/>
        <v>-</v>
      </c>
      <c r="L284" s="203">
        <f t="shared" si="118"/>
        <v>20922</v>
      </c>
    </row>
    <row r="285" spans="1:22" ht="11.25" customHeight="1" x14ac:dyDescent="0.25">
      <c r="A285" s="402">
        <v>2016</v>
      </c>
      <c r="B285" s="197" t="str">
        <f t="shared" ref="B285:L285" si="119">B178</f>
        <v>-</v>
      </c>
      <c r="C285" s="197">
        <f t="shared" si="119"/>
        <v>895</v>
      </c>
      <c r="D285" s="197">
        <f t="shared" si="119"/>
        <v>2508</v>
      </c>
      <c r="E285" s="197">
        <f t="shared" si="119"/>
        <v>1972</v>
      </c>
      <c r="F285" s="197">
        <f t="shared" si="119"/>
        <v>550</v>
      </c>
      <c r="G285" s="197">
        <f t="shared" si="119"/>
        <v>3084</v>
      </c>
      <c r="H285" s="197">
        <f t="shared" si="119"/>
        <v>1952</v>
      </c>
      <c r="I285" s="197">
        <f t="shared" si="119"/>
        <v>363</v>
      </c>
      <c r="J285" s="197">
        <f t="shared" si="119"/>
        <v>41</v>
      </c>
      <c r="K285" s="197" t="str">
        <f t="shared" si="119"/>
        <v>-</v>
      </c>
      <c r="L285" s="203">
        <f t="shared" si="119"/>
        <v>11365</v>
      </c>
    </row>
    <row r="286" spans="1:22" ht="11.25" customHeight="1" x14ac:dyDescent="0.25">
      <c r="A286" s="402">
        <v>2017</v>
      </c>
      <c r="B286" s="197" t="str">
        <f t="shared" ref="B286:L286" si="120">B179</f>
        <v>-</v>
      </c>
      <c r="C286" s="197">
        <f t="shared" si="120"/>
        <v>106</v>
      </c>
      <c r="D286" s="197">
        <f t="shared" si="120"/>
        <v>1057</v>
      </c>
      <c r="E286" s="197">
        <f t="shared" si="120"/>
        <v>1601</v>
      </c>
      <c r="F286" s="197">
        <f t="shared" si="120"/>
        <v>655</v>
      </c>
      <c r="G286" s="197">
        <f t="shared" si="120"/>
        <v>2610</v>
      </c>
      <c r="H286" s="197">
        <f t="shared" si="120"/>
        <v>1899</v>
      </c>
      <c r="I286" s="197">
        <f t="shared" si="120"/>
        <v>466</v>
      </c>
      <c r="J286" s="197">
        <f t="shared" si="120"/>
        <v>41</v>
      </c>
      <c r="K286" s="197" t="str">
        <f t="shared" si="120"/>
        <v>-</v>
      </c>
      <c r="L286" s="203">
        <f t="shared" si="120"/>
        <v>8435</v>
      </c>
    </row>
    <row r="287" spans="1:22" s="358" customFormat="1" ht="11.25" customHeight="1" x14ac:dyDescent="0.25">
      <c r="A287" s="402">
        <v>2018</v>
      </c>
      <c r="B287" s="197" t="str">
        <f t="shared" ref="B287:L287" si="121">B180</f>
        <v>-</v>
      </c>
      <c r="C287" s="197" t="str">
        <f t="shared" si="121"/>
        <v>-</v>
      </c>
      <c r="D287" s="197">
        <f t="shared" si="121"/>
        <v>988</v>
      </c>
      <c r="E287" s="197">
        <f t="shared" si="121"/>
        <v>1623</v>
      </c>
      <c r="F287" s="197">
        <f t="shared" si="121"/>
        <v>1396</v>
      </c>
      <c r="G287" s="197">
        <f t="shared" si="121"/>
        <v>3673</v>
      </c>
      <c r="H287" s="197">
        <f t="shared" si="121"/>
        <v>1631</v>
      </c>
      <c r="I287" s="197">
        <f t="shared" si="121"/>
        <v>658</v>
      </c>
      <c r="J287" s="197">
        <f t="shared" si="121"/>
        <v>83</v>
      </c>
      <c r="K287" s="197" t="str">
        <f t="shared" si="121"/>
        <v>-</v>
      </c>
      <c r="L287" s="203">
        <f t="shared" si="121"/>
        <v>10052</v>
      </c>
    </row>
    <row r="288" spans="1:22" s="358" customFormat="1" ht="11.25" customHeight="1" x14ac:dyDescent="0.25">
      <c r="A288" s="498" t="s">
        <v>403</v>
      </c>
      <c r="B288" s="197" t="str">
        <f t="shared" ref="B288:L289" si="122">B181</f>
        <v>-</v>
      </c>
      <c r="C288" s="197">
        <f t="shared" si="122"/>
        <v>51</v>
      </c>
      <c r="D288" s="197">
        <f t="shared" si="122"/>
        <v>4016</v>
      </c>
      <c r="E288" s="197">
        <f t="shared" si="122"/>
        <v>4822</v>
      </c>
      <c r="F288" s="197">
        <f t="shared" si="122"/>
        <v>4139</v>
      </c>
      <c r="G288" s="197">
        <f t="shared" si="122"/>
        <v>3456</v>
      </c>
      <c r="H288" s="197">
        <f t="shared" si="122"/>
        <v>1204</v>
      </c>
      <c r="I288" s="197">
        <f t="shared" si="122"/>
        <v>438</v>
      </c>
      <c r="J288" s="197" t="str">
        <f t="shared" si="122"/>
        <v>-</v>
      </c>
      <c r="K288" s="197" t="str">
        <f t="shared" si="122"/>
        <v>-</v>
      </c>
      <c r="L288" s="203">
        <f t="shared" si="122"/>
        <v>18126</v>
      </c>
    </row>
    <row r="289" spans="1:12" ht="11.25" customHeight="1" x14ac:dyDescent="0.25">
      <c r="A289" s="498" t="s">
        <v>393</v>
      </c>
      <c r="B289" s="197" t="str">
        <f t="shared" si="122"/>
        <v>-</v>
      </c>
      <c r="C289" s="197">
        <f t="shared" si="122"/>
        <v>141</v>
      </c>
      <c r="D289" s="197">
        <f t="shared" si="122"/>
        <v>2765</v>
      </c>
      <c r="E289" s="197">
        <f t="shared" si="122"/>
        <v>3782</v>
      </c>
      <c r="F289" s="197">
        <f t="shared" si="122"/>
        <v>3527</v>
      </c>
      <c r="G289" s="197">
        <f t="shared" si="122"/>
        <v>1982</v>
      </c>
      <c r="H289" s="197">
        <f t="shared" si="122"/>
        <v>1255</v>
      </c>
      <c r="I289" s="197">
        <f t="shared" si="122"/>
        <v>780</v>
      </c>
      <c r="J289" s="197" t="str">
        <f t="shared" si="122"/>
        <v>-</v>
      </c>
      <c r="K289" s="197" t="str">
        <f t="shared" si="122"/>
        <v>-</v>
      </c>
      <c r="L289" s="203">
        <f t="shared" si="122"/>
        <v>14232</v>
      </c>
    </row>
    <row r="290" spans="1:12" ht="11.25" customHeight="1" x14ac:dyDescent="0.25">
      <c r="A290" s="455" t="str">
        <f>A183</f>
        <v>a/  Monthly totals for Oregon data are the sum of statistical weeks with closest fit to the calendar month.</v>
      </c>
      <c r="B290" s="455"/>
      <c r="C290" s="455"/>
      <c r="D290" s="455"/>
      <c r="E290" s="455"/>
      <c r="F290" s="455"/>
      <c r="G290" s="455"/>
      <c r="H290" s="455"/>
      <c r="I290" s="455"/>
      <c r="J290" s="455"/>
      <c r="K290" s="455"/>
      <c r="L290" s="455"/>
    </row>
    <row r="291" spans="1:12" ht="11.25" customHeight="1" x14ac:dyDescent="0.25">
      <c r="A291" s="456" t="str">
        <f>A184</f>
        <v>b/  Preliminary.</v>
      </c>
      <c r="B291" s="456"/>
      <c r="C291" s="456"/>
      <c r="D291" s="456"/>
      <c r="E291" s="456"/>
      <c r="F291" s="456"/>
      <c r="G291" s="456"/>
      <c r="H291" s="456"/>
      <c r="I291" s="456"/>
      <c r="J291" s="456"/>
      <c r="K291" s="456"/>
      <c r="L291" s="456"/>
    </row>
    <row r="292" spans="1:12" ht="11.25" customHeight="1" x14ac:dyDescent="0.25">
      <c r="A292" s="456" t="str">
        <f>A185</f>
        <v xml:space="preserve">c/  The current commercial KMZ boundaries are Humbug Mt. to Humboldt south jetty. </v>
      </c>
      <c r="B292" s="456"/>
      <c r="C292" s="456"/>
      <c r="D292" s="456"/>
      <c r="E292" s="456"/>
      <c r="F292" s="456"/>
      <c r="G292" s="456"/>
      <c r="H292" s="456"/>
      <c r="I292" s="456"/>
      <c r="J292" s="456"/>
      <c r="K292" s="456"/>
      <c r="L292" s="456"/>
    </row>
    <row r="296" spans="1:12" x14ac:dyDescent="0.25">
      <c r="F296" s="57"/>
    </row>
  </sheetData>
  <mergeCells count="7">
    <mergeCell ref="A244:L244"/>
    <mergeCell ref="A245:B245"/>
    <mergeCell ref="A1:L1"/>
    <mergeCell ref="A183:L183"/>
    <mergeCell ref="A184:L184"/>
    <mergeCell ref="A185:L185"/>
    <mergeCell ref="A197:L198"/>
  </mergeCells>
  <pageMargins left="0.7" right="0.7" top="0.75" bottom="0.75" header="0.3" footer="0.3"/>
  <pageSetup scale="78" orientation="portrait" r:id="rId1"/>
  <rowBreaks count="1" manualBreakCount="1">
    <brk id="243" max="11"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4"/>
  <dimension ref="A1:Z305"/>
  <sheetViews>
    <sheetView showGridLines="0" zoomScale="90" zoomScaleNormal="90" workbookViewId="0">
      <pane xSplit="1" ySplit="4" topLeftCell="B242" activePane="bottomRight" state="frozen"/>
      <selection sqref="A1:J2"/>
      <selection pane="topRight" sqref="A1:J2"/>
      <selection pane="bottomLeft" sqref="A1:J2"/>
      <selection pane="bottomRight" sqref="A1:J2"/>
    </sheetView>
  </sheetViews>
  <sheetFormatPr defaultRowHeight="15.75" x14ac:dyDescent="0.25"/>
  <cols>
    <col min="1" max="1" width="8.375" style="340" customWidth="1"/>
    <col min="2" max="2" width="6.875" style="340" bestFit="1" customWidth="1"/>
    <col min="3" max="3" width="5.25" style="340" customWidth="1"/>
    <col min="4" max="7" width="6.375" style="340" bestFit="1" customWidth="1"/>
    <col min="8" max="8" width="5.75" style="340" bestFit="1" customWidth="1"/>
    <col min="9" max="9" width="5.25" style="340" customWidth="1"/>
    <col min="10" max="10" width="4.25" style="340" customWidth="1"/>
    <col min="11" max="11" width="3.625" style="340" bestFit="1" customWidth="1"/>
    <col min="12" max="12" width="6.875" style="340" customWidth="1"/>
    <col min="13" max="13" width="2.25" style="340" customWidth="1"/>
    <col min="14" max="14" width="4.75" style="340" bestFit="1" customWidth="1"/>
    <col min="15" max="15" width="5" style="340" bestFit="1" customWidth="1"/>
    <col min="16" max="17" width="5.75" style="340" bestFit="1" customWidth="1"/>
    <col min="18" max="18" width="6.375" style="340" bestFit="1" customWidth="1"/>
    <col min="19" max="19" width="5.75" style="340" bestFit="1" customWidth="1"/>
    <col min="20" max="20" width="5.625" style="340" customWidth="1"/>
    <col min="21" max="21" width="4.25" style="340" bestFit="1" customWidth="1"/>
    <col min="22" max="23" width="3.625" style="340" bestFit="1" customWidth="1"/>
    <col min="24" max="24" width="6.875" style="340" bestFit="1" customWidth="1"/>
    <col min="25" max="25" width="9" style="340"/>
    <col min="26" max="26" width="3.875" style="340" bestFit="1" customWidth="1"/>
    <col min="27" max="16384" width="9" style="340"/>
  </cols>
  <sheetData>
    <row r="1" spans="1:26" ht="11.25" customHeight="1" x14ac:dyDescent="0.25">
      <c r="A1" s="384" t="s">
        <v>368</v>
      </c>
      <c r="B1" s="384"/>
      <c r="C1" s="384"/>
      <c r="D1" s="384"/>
      <c r="E1" s="384"/>
      <c r="F1" s="384"/>
      <c r="G1" s="384"/>
      <c r="H1" s="384"/>
      <c r="I1" s="384"/>
      <c r="J1" s="384"/>
      <c r="K1" s="384"/>
      <c r="L1" s="384"/>
      <c r="M1" s="384"/>
      <c r="N1" s="384"/>
      <c r="O1" s="384"/>
      <c r="P1" s="384"/>
      <c r="Q1" s="384"/>
      <c r="R1" s="384"/>
      <c r="S1" s="384"/>
      <c r="T1" s="384"/>
      <c r="U1" s="384"/>
      <c r="V1" s="384"/>
      <c r="W1" s="384"/>
      <c r="X1" s="384"/>
    </row>
    <row r="2" spans="1:26" ht="11.25" customHeight="1" x14ac:dyDescent="0.25">
      <c r="A2" s="145" t="s">
        <v>33</v>
      </c>
      <c r="B2" s="58" t="s">
        <v>43</v>
      </c>
      <c r="C2" s="58" t="s">
        <v>34</v>
      </c>
      <c r="D2" s="58" t="s">
        <v>35</v>
      </c>
      <c r="E2" s="58" t="s">
        <v>36</v>
      </c>
      <c r="F2" s="58" t="s">
        <v>37</v>
      </c>
      <c r="G2" s="58" t="s">
        <v>38</v>
      </c>
      <c r="H2" s="58" t="s">
        <v>39</v>
      </c>
      <c r="I2" s="58" t="s">
        <v>40</v>
      </c>
      <c r="J2" s="58" t="s">
        <v>44</v>
      </c>
      <c r="K2" s="58" t="s">
        <v>83</v>
      </c>
      <c r="L2" s="58" t="s">
        <v>28</v>
      </c>
      <c r="M2" s="59"/>
      <c r="N2" s="58" t="s">
        <v>43</v>
      </c>
      <c r="O2" s="58" t="s">
        <v>34</v>
      </c>
      <c r="P2" s="58" t="s">
        <v>35</v>
      </c>
      <c r="Q2" s="58" t="s">
        <v>36</v>
      </c>
      <c r="R2" s="58" t="s">
        <v>37</v>
      </c>
      <c r="S2" s="58" t="s">
        <v>38</v>
      </c>
      <c r="T2" s="58" t="s">
        <v>39</v>
      </c>
      <c r="U2" s="58" t="s">
        <v>40</v>
      </c>
      <c r="V2" s="58" t="s">
        <v>44</v>
      </c>
      <c r="W2" s="58" t="s">
        <v>83</v>
      </c>
      <c r="X2" s="58" t="s">
        <v>28</v>
      </c>
    </row>
    <row r="3" spans="1:26" ht="11.25" customHeight="1" x14ac:dyDescent="0.25">
      <c r="B3" s="385" t="s">
        <v>67</v>
      </c>
      <c r="C3" s="385"/>
      <c r="D3" s="385"/>
      <c r="E3" s="385"/>
      <c r="F3" s="385"/>
      <c r="G3" s="385"/>
      <c r="H3" s="385"/>
      <c r="I3" s="385"/>
      <c r="J3" s="385"/>
      <c r="K3" s="385"/>
      <c r="L3" s="385"/>
      <c r="M3" s="7"/>
      <c r="N3" s="385" t="s">
        <v>68</v>
      </c>
      <c r="O3" s="385"/>
      <c r="P3" s="385"/>
      <c r="Q3" s="385"/>
      <c r="R3" s="385"/>
      <c r="S3" s="385"/>
      <c r="T3" s="385"/>
      <c r="U3" s="385"/>
      <c r="V3" s="385"/>
      <c r="W3" s="385"/>
      <c r="X3" s="385"/>
      <c r="Z3" s="160" t="s">
        <v>198</v>
      </c>
    </row>
    <row r="4" spans="1:26" ht="11.25" customHeight="1" x14ac:dyDescent="0.25">
      <c r="A4" s="116" t="s">
        <v>301</v>
      </c>
    </row>
    <row r="5" spans="1:26" ht="11.25" customHeight="1" x14ac:dyDescent="0.25">
      <c r="A5" s="383">
        <v>1976</v>
      </c>
      <c r="B5" s="200" t="str">
        <f>IF(AND('A-8'!B100="-",'A-8'!B171="-",'A-8'!B242="-"),"-",SUM('A-8'!B100,'A-8'!B171,'A-8'!B242))</f>
        <v>-</v>
      </c>
      <c r="C5" s="200" t="str">
        <f>IF(AND('A-8'!C100="-",'A-8'!C171="-",'A-8'!C242="-"),"-",SUM('A-8'!C100,'A-8'!C171,'A-8'!C242))</f>
        <v>-</v>
      </c>
      <c r="D5" s="200">
        <f>IF(AND('A-8'!D100="-",'A-8'!D171="-",'A-8'!D242="-"),"-",SUM('A-8'!D100,'A-8'!D171,'A-8'!D242))</f>
        <v>3119</v>
      </c>
      <c r="E5" s="200">
        <f>IF(AND('A-8'!E100="-",'A-8'!E171="-",'A-8'!E242="-"),"-",SUM('A-8'!E100,'A-8'!E171,'A-8'!E242))</f>
        <v>22256</v>
      </c>
      <c r="F5" s="200">
        <f>IF(AND('A-8'!F100="-",'A-8'!F171="-",'A-8'!F242="-"),"-",SUM('A-8'!F100,'A-8'!F171,'A-8'!F242))</f>
        <v>34264</v>
      </c>
      <c r="G5" s="200">
        <f>IF(AND('A-8'!G100="-",'A-8'!G171="-",'A-8'!G242="-"),"-",SUM('A-8'!G100,'A-8'!G171,'A-8'!G242))</f>
        <v>39312</v>
      </c>
      <c r="H5" s="200">
        <f>IF(AND('A-8'!H100="-",'A-8'!H171="-",'A-8'!H242="-"),"-",SUM('A-8'!H100,'A-8'!H171,'A-8'!H242))</f>
        <v>11143</v>
      </c>
      <c r="I5" s="200">
        <f>IF(AND('A-8'!I100="-",'A-8'!I171="-",'A-8'!I242="-"),"-",SUM('A-8'!I100,'A-8'!I171,'A-8'!I242))</f>
        <v>3950</v>
      </c>
      <c r="J5" s="200">
        <f>IF(AND('A-8'!J100="-",'A-8'!J171="-",'A-8'!J242="-"),"-",SUM('A-8'!J100,'A-8'!J171,'A-8'!J242))</f>
        <v>0</v>
      </c>
      <c r="K5" s="200" t="str">
        <f>IF(AND('A-8'!K100="-",'A-8'!K171="-",'A-8'!K242="-"),"-",SUM('A-8'!K100,'A-8'!K171,'A-8'!K242))</f>
        <v>-</v>
      </c>
      <c r="L5" s="200">
        <f>IF(AND('A-8'!L100="-",'A-8'!L171="-",'A-8'!L242="-"),"-",SUM('A-8'!L100,'A-8'!L171,'A-8'!L242))</f>
        <v>114044</v>
      </c>
      <c r="M5" s="8"/>
      <c r="N5" s="200" t="s">
        <v>29</v>
      </c>
      <c r="O5" s="200" t="s">
        <v>29</v>
      </c>
      <c r="P5" s="200" t="s">
        <v>29</v>
      </c>
      <c r="Q5" s="200">
        <f>IF(AND('A-8'!N100="-",'A-8'!N171="-",'A-8'!N242="-"),"-",SUM('A-8'!N100,'A-8'!N171,'A-8'!N242))</f>
        <v>382652</v>
      </c>
      <c r="R5" s="200">
        <f>IF(AND('A-8'!O100="-",'A-8'!O171="-",'A-8'!O242="-"),"-",SUM('A-8'!O100,'A-8'!O171,'A-8'!O242))</f>
        <v>744382</v>
      </c>
      <c r="S5" s="200">
        <f>IF(AND('A-8'!P100="-",'A-8'!P171="-",'A-8'!P242="-"),"-",SUM('A-8'!P100,'A-8'!P171,'A-8'!P242))</f>
        <v>368159</v>
      </c>
      <c r="T5" s="200">
        <f>IF(AND('A-8'!Q100="-",'A-8'!Q171="-",'A-8'!Q242="-"),"-",SUM('A-8'!Q100,'A-8'!Q171,'A-8'!Q242))</f>
        <v>32139</v>
      </c>
      <c r="U5" s="200">
        <f>IF(AND('A-8'!R100="-",'A-8'!R171="-",'A-8'!R242="-"),"-",SUM('A-8'!R100,'A-8'!R171,'A-8'!R242))</f>
        <v>4296</v>
      </c>
      <c r="V5" s="200" t="s">
        <v>29</v>
      </c>
      <c r="W5" s="200" t="s">
        <v>29</v>
      </c>
      <c r="X5" s="200">
        <f>SUM(N5:W5)</f>
        <v>1531628</v>
      </c>
    </row>
    <row r="6" spans="1:26" ht="11.25" customHeight="1" x14ac:dyDescent="0.25">
      <c r="A6" s="383">
        <v>1977</v>
      </c>
      <c r="B6" s="200" t="str">
        <f>IF(AND('A-8'!B101="-",'A-8'!B172="-",'A-8'!B243="-"),"-",SUM('A-8'!B101,'A-8'!B172,'A-8'!B243))</f>
        <v>-</v>
      </c>
      <c r="C6" s="200" t="str">
        <f>IF(AND('A-8'!C101="-",'A-8'!C172="-",'A-8'!C243="-"),"-",SUM('A-8'!C101,'A-8'!C172,'A-8'!C243))</f>
        <v>-</v>
      </c>
      <c r="D6" s="200">
        <f>IF(AND('A-8'!D101="-",'A-8'!D172="-",'A-8'!D243="-"),"-",SUM('A-8'!D101,'A-8'!D172,'A-8'!D243))</f>
        <v>10851</v>
      </c>
      <c r="E6" s="200">
        <f>IF(AND('A-8'!E101="-",'A-8'!E172="-",'A-8'!E243="-"),"-",SUM('A-8'!E101,'A-8'!E172,'A-8'!E243))</f>
        <v>36732</v>
      </c>
      <c r="F6" s="200">
        <f>IF(AND('A-8'!F101="-",'A-8'!F172="-",'A-8'!F243="-"),"-",SUM('A-8'!F101,'A-8'!F172,'A-8'!F243))</f>
        <v>68377</v>
      </c>
      <c r="G6" s="200">
        <f>IF(AND('A-8'!G101="-",'A-8'!G172="-",'A-8'!G243="-"),"-",SUM('A-8'!G101,'A-8'!G172,'A-8'!G243))</f>
        <v>91790</v>
      </c>
      <c r="H6" s="200">
        <f>IF(AND('A-8'!H101="-",'A-8'!H172="-",'A-8'!H243="-"),"-",SUM('A-8'!H101,'A-8'!H172,'A-8'!H243))</f>
        <v>17677</v>
      </c>
      <c r="I6" s="200">
        <f>IF(AND('A-8'!I101="-",'A-8'!I172="-",'A-8'!I243="-"),"-",SUM('A-8'!I101,'A-8'!I172,'A-8'!I243))</f>
        <v>4856</v>
      </c>
      <c r="J6" s="200">
        <f>IF(AND('A-8'!J101="-",'A-8'!J172="-",'A-8'!J243="-"),"-",SUM('A-8'!J101,'A-8'!J172,'A-8'!J243))</f>
        <v>0</v>
      </c>
      <c r="K6" s="200" t="str">
        <f>IF(AND('A-8'!K101="-",'A-8'!K172="-",'A-8'!K243="-"),"-",SUM('A-8'!K101,'A-8'!K172,'A-8'!K243))</f>
        <v>-</v>
      </c>
      <c r="L6" s="200">
        <f>IF(AND('A-8'!L101="-",'A-8'!L172="-",'A-8'!L243="-"),"-",SUM('A-8'!L101,'A-8'!L172,'A-8'!L243))</f>
        <v>230283</v>
      </c>
      <c r="M6" s="8"/>
      <c r="N6" s="200" t="s">
        <v>29</v>
      </c>
      <c r="O6" s="200" t="s">
        <v>29</v>
      </c>
      <c r="P6" s="200" t="s">
        <v>29</v>
      </c>
      <c r="Q6" s="200">
        <f>IF(AND('A-8'!N101="-",'A-8'!N172="-",'A-8'!N243="-"),"-",SUM('A-8'!N101,'A-8'!N172,'A-8'!N243))</f>
        <v>64059</v>
      </c>
      <c r="R6" s="200">
        <f>IF(AND('A-8'!O101="-",'A-8'!O172="-",'A-8'!O243="-"),"-",SUM('A-8'!O101,'A-8'!O172,'A-8'!O243))</f>
        <v>206629</v>
      </c>
      <c r="S6" s="200">
        <f>IF(AND('A-8'!P101="-",'A-8'!P172="-",'A-8'!P243="-"),"-",SUM('A-8'!P101,'A-8'!P172,'A-8'!P243))</f>
        <v>71336</v>
      </c>
      <c r="T6" s="200">
        <f>IF(AND('A-8'!Q101="-",'A-8'!Q172="-",'A-8'!Q243="-"),"-",SUM('A-8'!Q101,'A-8'!Q172,'A-8'!Q243))</f>
        <v>7157</v>
      </c>
      <c r="U6" s="200">
        <f>IF(AND('A-8'!R101="-",'A-8'!R172="-",'A-8'!R243="-"),"-",SUM('A-8'!R101,'A-8'!R172,'A-8'!R243))</f>
        <v>562</v>
      </c>
      <c r="V6" s="200" t="s">
        <v>29</v>
      </c>
      <c r="W6" s="200" t="s">
        <v>29</v>
      </c>
      <c r="X6" s="200">
        <f t="shared" ref="X6:X25" si="0">SUM(N6:W6)</f>
        <v>349743</v>
      </c>
    </row>
    <row r="7" spans="1:26" ht="11.25" customHeight="1" x14ac:dyDescent="0.25">
      <c r="A7" s="383">
        <v>1978</v>
      </c>
      <c r="B7" s="200" t="str">
        <f>IF(AND('A-8'!B102="-",'A-8'!B173="-",'A-8'!B244="-"),"-",SUM('A-8'!B102,'A-8'!B173,'A-8'!B244))</f>
        <v>-</v>
      </c>
      <c r="C7" s="200">
        <f>IF(AND('A-8'!C102="-",'A-8'!C173="-",'A-8'!C244="-"),"-",SUM('A-8'!C102,'A-8'!C173,'A-8'!C244))</f>
        <v>17</v>
      </c>
      <c r="D7" s="200">
        <f>IF(AND('A-8'!D102="-",'A-8'!D173="-",'A-8'!D244="-"),"-",SUM('A-8'!D102,'A-8'!D173,'A-8'!D244))</f>
        <v>1359</v>
      </c>
      <c r="E7" s="200">
        <f>IF(AND('A-8'!E102="-",'A-8'!E173="-",'A-8'!E244="-"),"-",SUM('A-8'!E102,'A-8'!E173,'A-8'!E244))</f>
        <v>24237</v>
      </c>
      <c r="F7" s="200">
        <f>IF(AND('A-8'!F102="-",'A-8'!F173="-",'A-8'!F244="-"),"-",SUM('A-8'!F102,'A-8'!F173,'A-8'!F244))</f>
        <v>48226</v>
      </c>
      <c r="G7" s="200">
        <f>IF(AND('A-8'!G102="-",'A-8'!G173="-",'A-8'!G244="-"),"-",SUM('A-8'!G102,'A-8'!G173,'A-8'!G244))</f>
        <v>35370</v>
      </c>
      <c r="H7" s="200">
        <f>IF(AND('A-8'!H102="-",'A-8'!H173="-",'A-8'!H244="-"),"-",SUM('A-8'!H102,'A-8'!H173,'A-8'!H244))</f>
        <v>16525</v>
      </c>
      <c r="I7" s="200">
        <f>IF(AND('A-8'!I102="-",'A-8'!I173="-",'A-8'!I244="-"),"-",SUM('A-8'!I102,'A-8'!I173,'A-8'!I244))</f>
        <v>3107</v>
      </c>
      <c r="J7" s="200">
        <f>IF(AND('A-8'!J102="-",'A-8'!J173="-",'A-8'!J244="-"),"-",SUM('A-8'!J102,'A-8'!J173,'A-8'!J244))</f>
        <v>244</v>
      </c>
      <c r="K7" s="200" t="str">
        <f>IF(AND('A-8'!K102="-",'A-8'!K173="-",'A-8'!K244="-"),"-",SUM('A-8'!K102,'A-8'!K173,'A-8'!K244))</f>
        <v>-</v>
      </c>
      <c r="L7" s="200">
        <f>IF(AND('A-8'!L102="-",'A-8'!L173="-",'A-8'!L244="-"),"-",SUM('A-8'!L102,'A-8'!L173,'A-8'!L244))</f>
        <v>129085</v>
      </c>
      <c r="M7" s="8"/>
      <c r="N7" s="200" t="s">
        <v>29</v>
      </c>
      <c r="O7" s="200" t="s">
        <v>29</v>
      </c>
      <c r="P7" s="200" t="s">
        <v>29</v>
      </c>
      <c r="Q7" s="200">
        <f>IF(AND('A-8'!N102="-",'A-8'!N173="-",'A-8'!N244="-"),"-",SUM('A-8'!N102,'A-8'!N173,'A-8'!N244))</f>
        <v>234327</v>
      </c>
      <c r="R7" s="200">
        <f>IF(AND('A-8'!O102="-",'A-8'!O173="-",'A-8'!O244="-"),"-",SUM('A-8'!O102,'A-8'!O173,'A-8'!O244))</f>
        <v>182207</v>
      </c>
      <c r="S7" s="200">
        <f>IF(AND('A-8'!P102="-",'A-8'!P173="-",'A-8'!P244="-"),"-",SUM('A-8'!P102,'A-8'!P173,'A-8'!P244))</f>
        <v>74484</v>
      </c>
      <c r="T7" s="200">
        <f>IF(AND('A-8'!Q102="-",'A-8'!Q173="-",'A-8'!Q244="-"),"-",SUM('A-8'!Q102,'A-8'!Q173,'A-8'!Q244))</f>
        <v>5985</v>
      </c>
      <c r="U7" s="200">
        <f>IF(AND('A-8'!R102="-",'A-8'!R173="-",'A-8'!R244="-"),"-",SUM('A-8'!R102,'A-8'!R173,'A-8'!R244))</f>
        <v>323</v>
      </c>
      <c r="V7" s="200" t="s">
        <v>29</v>
      </c>
      <c r="W7" s="200" t="s">
        <v>29</v>
      </c>
      <c r="X7" s="200">
        <f t="shared" si="0"/>
        <v>497326</v>
      </c>
    </row>
    <row r="8" spans="1:26" ht="11.25" customHeight="1" x14ac:dyDescent="0.25">
      <c r="A8" s="383">
        <v>1979</v>
      </c>
      <c r="B8" s="200" t="str">
        <f>IF(AND('A-8'!B103="-",'A-8'!B174="-",'A-8'!B245="-"),"-",SUM('A-8'!B103,'A-8'!B174,'A-8'!B245))</f>
        <v>-</v>
      </c>
      <c r="C8" s="200" t="str">
        <f>IF(AND('A-8'!C103="-",'A-8'!C174="-",'A-8'!C245="-"),"-",SUM('A-8'!C103,'A-8'!C174,'A-8'!C245))</f>
        <v>-</v>
      </c>
      <c r="D8" s="200">
        <f>IF(AND('A-8'!D103="-",'A-8'!D174="-",'A-8'!D245="-"),"-",SUM('A-8'!D103,'A-8'!D174,'A-8'!D245))</f>
        <v>7939</v>
      </c>
      <c r="E8" s="200">
        <f>IF(AND('A-8'!E103="-",'A-8'!E174="-",'A-8'!E245="-"),"-",SUM('A-8'!E103,'A-8'!E174,'A-8'!E245))</f>
        <v>310</v>
      </c>
      <c r="F8" s="200">
        <f>IF(AND('A-8'!F103="-",'A-8'!F174="-",'A-8'!F245="-"),"-",SUM('A-8'!F103,'A-8'!F174,'A-8'!F245))</f>
        <v>46434</v>
      </c>
      <c r="G8" s="200">
        <f>IF(AND('A-8'!G103="-",'A-8'!G174="-",'A-8'!G245="-"),"-",SUM('A-8'!G103,'A-8'!G174,'A-8'!G245))</f>
        <v>39119</v>
      </c>
      <c r="H8" s="200">
        <f>IF(AND('A-8'!H103="-",'A-8'!H174="-",'A-8'!H245="-"),"-",SUM('A-8'!H103,'A-8'!H174,'A-8'!H245))</f>
        <v>8276</v>
      </c>
      <c r="I8" s="200">
        <f>IF(AND('A-8'!I103="-",'A-8'!I174="-",'A-8'!I245="-"),"-",SUM('A-8'!I103,'A-8'!I174,'A-8'!I245))</f>
        <v>10202</v>
      </c>
      <c r="J8" s="200">
        <f>IF(AND('A-8'!J103="-",'A-8'!J174="-",'A-8'!J245="-"),"-",SUM('A-8'!J103,'A-8'!J174,'A-8'!J245))</f>
        <v>0</v>
      </c>
      <c r="K8" s="200" t="str">
        <f>IF(AND('A-8'!K103="-",'A-8'!K174="-",'A-8'!K245="-"),"-",SUM('A-8'!K103,'A-8'!K174,'A-8'!K245))</f>
        <v>-</v>
      </c>
      <c r="L8" s="200">
        <f>IF(AND('A-8'!L103="-",'A-8'!L174="-",'A-8'!L245="-"),"-",SUM('A-8'!L103,'A-8'!L174,'A-8'!L245))</f>
        <v>112280</v>
      </c>
      <c r="M8" s="8"/>
      <c r="N8" s="200" t="s">
        <v>29</v>
      </c>
      <c r="O8" s="200" t="s">
        <v>29</v>
      </c>
      <c r="P8" s="200" t="s">
        <v>29</v>
      </c>
      <c r="Q8" s="200">
        <f>IF(AND('A-8'!N103="-",'A-8'!N174="-",'A-8'!N245="-"),"-",SUM('A-8'!N103,'A-8'!N174,'A-8'!N245))</f>
        <v>6453</v>
      </c>
      <c r="R8" s="200">
        <f>IF(AND('A-8'!O103="-",'A-8'!O174="-",'A-8'!O245="-"),"-",SUM('A-8'!O103,'A-8'!O174,'A-8'!O245))</f>
        <v>434609</v>
      </c>
      <c r="S8" s="200">
        <f>IF(AND('A-8'!P103="-",'A-8'!P174="-",'A-8'!P245="-"),"-",SUM('A-8'!P103,'A-8'!P174,'A-8'!P245))</f>
        <v>111127</v>
      </c>
      <c r="T8" s="200">
        <f>IF(AND('A-8'!Q103="-",'A-8'!Q174="-",'A-8'!Q245="-"),"-",SUM('A-8'!Q103,'A-8'!Q174,'A-8'!Q245))</f>
        <v>592</v>
      </c>
      <c r="U8" s="200" t="str">
        <f>IF(AND('A-8'!R103="-",'A-8'!R174="-",'A-8'!R245="-"),"-",SUM('A-8'!R103,'A-8'!R174,'A-8'!R245))</f>
        <v>-</v>
      </c>
      <c r="V8" s="200" t="s">
        <v>29</v>
      </c>
      <c r="W8" s="200" t="s">
        <v>29</v>
      </c>
      <c r="X8" s="200">
        <f t="shared" si="0"/>
        <v>552781</v>
      </c>
    </row>
    <row r="9" spans="1:26" ht="11.25" customHeight="1" x14ac:dyDescent="0.25">
      <c r="A9" s="383">
        <v>1980</v>
      </c>
      <c r="B9" s="200" t="str">
        <f>IF(AND('A-8'!B104="-",'A-8'!B175="-",'A-8'!B246="-"),"-",SUM('A-8'!B104,'A-8'!B175,'A-8'!B246))</f>
        <v>-</v>
      </c>
      <c r="C9" s="200" t="str">
        <f>IF(AND('A-8'!C104="-",'A-8'!C175="-",'A-8'!C246="-"),"-",SUM('A-8'!C104,'A-8'!C175,'A-8'!C246))</f>
        <v>-</v>
      </c>
      <c r="D9" s="200">
        <f>IF(AND('A-8'!D104="-",'A-8'!D175="-",'A-8'!D246="-"),"-",SUM('A-8'!D104,'A-8'!D175,'A-8'!D246))</f>
        <v>12921</v>
      </c>
      <c r="E9" s="200">
        <f>IF(AND('A-8'!E104="-",'A-8'!E175="-",'A-8'!E246="-"),"-",SUM('A-8'!E104,'A-8'!E175,'A-8'!E246))</f>
        <v>25039</v>
      </c>
      <c r="F9" s="200">
        <f>IF(AND('A-8'!F104="-",'A-8'!F175="-",'A-8'!F246="-"),"-",SUM('A-8'!F104,'A-8'!F175,'A-8'!F246))</f>
        <v>36524</v>
      </c>
      <c r="G9" s="200">
        <f>IF(AND('A-8'!G104="-",'A-8'!G175="-",'A-8'!G246="-"),"-",SUM('A-8'!G104,'A-8'!G175,'A-8'!G246))</f>
        <v>34266</v>
      </c>
      <c r="H9" s="200">
        <f>IF(AND('A-8'!H104="-",'A-8'!H175="-",'A-8'!H246="-"),"-",SUM('A-8'!H104,'A-8'!H175,'A-8'!H246))</f>
        <v>10257</v>
      </c>
      <c r="I9" s="200">
        <f>IF(AND('A-8'!I104="-",'A-8'!I175="-",'A-8'!I246="-"),"-",SUM('A-8'!I104,'A-8'!I175,'A-8'!I246))</f>
        <v>12286</v>
      </c>
      <c r="J9" s="200">
        <f>IF(AND('A-8'!J104="-",'A-8'!J175="-",'A-8'!J246="-"),"-",SUM('A-8'!J104,'A-8'!J175,'A-8'!J246))</f>
        <v>1</v>
      </c>
      <c r="K9" s="200" t="str">
        <f>IF(AND('A-8'!K104="-",'A-8'!K175="-",'A-8'!K246="-"),"-",SUM('A-8'!K104,'A-8'!K175,'A-8'!K246))</f>
        <v>-</v>
      </c>
      <c r="L9" s="200">
        <f>IF(AND('A-8'!L104="-",'A-8'!L175="-",'A-8'!L246="-"),"-",SUM('A-8'!L104,'A-8'!L175,'A-8'!L246))</f>
        <v>131294</v>
      </c>
      <c r="M9" s="8"/>
      <c r="N9" s="200" t="s">
        <v>29</v>
      </c>
      <c r="O9" s="200" t="s">
        <v>29</v>
      </c>
      <c r="P9" s="200" t="s">
        <v>29</v>
      </c>
      <c r="Q9" s="200" t="str">
        <f>IF(AND('A-8'!N104="-",'A-8'!N175="-",'A-8'!N246="-"),"-",SUM('A-8'!N104,'A-8'!N175,'A-8'!N246))</f>
        <v>-</v>
      </c>
      <c r="R9" s="200">
        <f>IF(AND('A-8'!O104="-",'A-8'!O175="-",'A-8'!O246="-"),"-",SUM('A-8'!O104,'A-8'!O175,'A-8'!O246))</f>
        <v>86488</v>
      </c>
      <c r="S9" s="200">
        <f>IF(AND('A-8'!P104="-",'A-8'!P175="-",'A-8'!P246="-"),"-",SUM('A-8'!P104,'A-8'!P175,'A-8'!P246))</f>
        <v>23709</v>
      </c>
      <c r="T9" s="200">
        <f>IF(AND('A-8'!Q104="-",'A-8'!Q175="-",'A-8'!Q246="-"),"-",SUM('A-8'!Q104,'A-8'!Q175,'A-8'!Q246))</f>
        <v>8</v>
      </c>
      <c r="U9" s="200" t="str">
        <f>IF(AND('A-8'!R104="-",'A-8'!R175="-",'A-8'!R246="-"),"-",SUM('A-8'!R104,'A-8'!R175,'A-8'!R246))</f>
        <v>-</v>
      </c>
      <c r="V9" s="200" t="s">
        <v>29</v>
      </c>
      <c r="W9" s="200" t="s">
        <v>29</v>
      </c>
      <c r="X9" s="200">
        <f t="shared" si="0"/>
        <v>110205</v>
      </c>
    </row>
    <row r="10" spans="1:26" ht="11.25" customHeight="1" x14ac:dyDescent="0.25">
      <c r="A10" s="383">
        <v>1981</v>
      </c>
      <c r="B10" s="200" t="str">
        <f>IF(AND('A-8'!B105="-",'A-8'!B176="-",'A-8'!B247="-"),"-",SUM('A-8'!B105,'A-8'!B176,'A-8'!B247))</f>
        <v>-</v>
      </c>
      <c r="C10" s="200" t="str">
        <f>IF(AND('A-8'!C105="-",'A-8'!C176="-",'A-8'!C247="-"),"-",SUM('A-8'!C105,'A-8'!C176,'A-8'!C247))</f>
        <v>-</v>
      </c>
      <c r="D10" s="200">
        <f>IF(AND('A-8'!D105="-",'A-8'!D176="-",'A-8'!D247="-"),"-",SUM('A-8'!D105,'A-8'!D176,'A-8'!D247))</f>
        <v>16390</v>
      </c>
      <c r="E10" s="200">
        <f>IF(AND('A-8'!E105="-",'A-8'!E176="-",'A-8'!E247="-"),"-",SUM('A-8'!E105,'A-8'!E176,'A-8'!E247))</f>
        <v>0</v>
      </c>
      <c r="F10" s="200">
        <f>IF(AND('A-8'!F105="-",'A-8'!F176="-",'A-8'!F247="-"),"-",SUM('A-8'!F105,'A-8'!F176,'A-8'!F247))</f>
        <v>23984</v>
      </c>
      <c r="G10" s="200">
        <f>IF(AND('A-8'!G105="-",'A-8'!G176="-",'A-8'!G247="-"),"-",SUM('A-8'!G105,'A-8'!G176,'A-8'!G247))</f>
        <v>20230</v>
      </c>
      <c r="H10" s="200">
        <f>IF(AND('A-8'!H105="-",'A-8'!H176="-",'A-8'!H247="-"),"-",SUM('A-8'!H105,'A-8'!H176,'A-8'!H247))</f>
        <v>1757</v>
      </c>
      <c r="I10" s="200">
        <f>IF(AND('A-8'!I105="-",'A-8'!I176="-",'A-8'!I247="-"),"-",SUM('A-8'!I105,'A-8'!I176,'A-8'!I247))</f>
        <v>1737</v>
      </c>
      <c r="J10" s="200">
        <f>IF(AND('A-8'!J105="-",'A-8'!J176="-",'A-8'!J247="-"),"-",SUM('A-8'!J105,'A-8'!J176,'A-8'!J247))</f>
        <v>4</v>
      </c>
      <c r="K10" s="200" t="str">
        <f>IF(AND('A-8'!K105="-",'A-8'!K176="-",'A-8'!K247="-"),"-",SUM('A-8'!K105,'A-8'!K176,'A-8'!K247))</f>
        <v>-</v>
      </c>
      <c r="L10" s="200">
        <f>IF(AND('A-8'!L105="-",'A-8'!L176="-",'A-8'!L247="-"),"-",SUM('A-8'!L105,'A-8'!L176,'A-8'!L247))</f>
        <v>64102</v>
      </c>
      <c r="M10" s="8"/>
      <c r="N10" s="200" t="s">
        <v>29</v>
      </c>
      <c r="O10" s="200" t="s">
        <v>29</v>
      </c>
      <c r="P10" s="200" t="s">
        <v>29</v>
      </c>
      <c r="Q10" s="200" t="str">
        <f>IF(AND('A-8'!N105="-",'A-8'!N176="-",'A-8'!N247="-"),"-",SUM('A-8'!N105,'A-8'!N176,'A-8'!N247))</f>
        <v>-</v>
      </c>
      <c r="R10" s="200">
        <f>IF(AND('A-8'!O105="-",'A-8'!O176="-",'A-8'!O247="-"),"-",SUM('A-8'!O105,'A-8'!O176,'A-8'!O247))</f>
        <v>287885</v>
      </c>
      <c r="S10" s="200">
        <f>IF(AND('A-8'!P105="-",'A-8'!P176="-",'A-8'!P247="-"),"-",SUM('A-8'!P105,'A-8'!P176,'A-8'!P247))</f>
        <v>223202</v>
      </c>
      <c r="T10" s="200" t="str">
        <f>IF(AND('A-8'!Q105="-",'A-8'!Q176="-",'A-8'!Q247="-"),"-",SUM('A-8'!Q105,'A-8'!Q176,'A-8'!Q247))</f>
        <v>-</v>
      </c>
      <c r="U10" s="200" t="str">
        <f>IF(AND('A-8'!R105="-",'A-8'!R176="-",'A-8'!R247="-"),"-",SUM('A-8'!R105,'A-8'!R176,'A-8'!R247))</f>
        <v>-</v>
      </c>
      <c r="V10" s="200" t="s">
        <v>29</v>
      </c>
      <c r="W10" s="200" t="s">
        <v>29</v>
      </c>
      <c r="X10" s="200">
        <f t="shared" si="0"/>
        <v>511087</v>
      </c>
    </row>
    <row r="11" spans="1:26" ht="11.25" customHeight="1" x14ac:dyDescent="0.25">
      <c r="A11" s="383">
        <v>1982</v>
      </c>
      <c r="B11" s="200" t="str">
        <f>IF(AND('A-8'!B106="-",'A-8'!B177="-",'A-8'!B248="-"),"-",SUM('A-8'!B106,'A-8'!B177,'A-8'!B248))</f>
        <v>-</v>
      </c>
      <c r="C11" s="200" t="str">
        <f>IF(AND('A-8'!C106="-",'A-8'!C177="-",'A-8'!C248="-"),"-",SUM('A-8'!C106,'A-8'!C177,'A-8'!C248))</f>
        <v>-</v>
      </c>
      <c r="D11" s="200">
        <f>IF(AND('A-8'!D106="-",'A-8'!D177="-",'A-8'!D248="-"),"-",SUM('A-8'!D106,'A-8'!D177,'A-8'!D248))</f>
        <v>12343</v>
      </c>
      <c r="E11" s="200">
        <f>IF(AND('A-8'!E106="-",'A-8'!E177="-",'A-8'!E248="-"),"-",SUM('A-8'!E106,'A-8'!E177,'A-8'!E248))</f>
        <v>11712</v>
      </c>
      <c r="F11" s="200">
        <f>IF(AND('A-8'!F106="-",'A-8'!F177="-",'A-8'!F248="-"),"-",SUM('A-8'!F106,'A-8'!F177,'A-8'!F248))</f>
        <v>90422</v>
      </c>
      <c r="G11" s="200">
        <f>IF(AND('A-8'!G106="-",'A-8'!G177="-",'A-8'!G248="-"),"-",SUM('A-8'!G106,'A-8'!G177,'A-8'!G248))</f>
        <v>16164</v>
      </c>
      <c r="H11" s="200">
        <f>IF(AND('A-8'!H106="-",'A-8'!H177="-",'A-8'!H248="-"),"-",SUM('A-8'!H106,'A-8'!H177,'A-8'!H248))</f>
        <v>9700</v>
      </c>
      <c r="I11" s="200">
        <f>IF(AND('A-8'!I106="-",'A-8'!I177="-",'A-8'!I248="-"),"-",SUM('A-8'!I106,'A-8'!I177,'A-8'!I248))</f>
        <v>4792</v>
      </c>
      <c r="J11" s="200">
        <f>IF(AND('A-8'!J106="-",'A-8'!J177="-",'A-8'!J248="-"),"-",SUM('A-8'!J106,'A-8'!J177,'A-8'!J248))</f>
        <v>15</v>
      </c>
      <c r="K11" s="200" t="str">
        <f>IF(AND('A-8'!K106="-",'A-8'!K177="-",'A-8'!K248="-"),"-",SUM('A-8'!K106,'A-8'!K177,'A-8'!K248))</f>
        <v>-</v>
      </c>
      <c r="L11" s="200">
        <f>IF(AND('A-8'!L106="-",'A-8'!L177="-",'A-8'!L248="-"),"-",SUM('A-8'!L106,'A-8'!L177,'A-8'!L248))</f>
        <v>145148</v>
      </c>
      <c r="M11" s="8"/>
      <c r="N11" s="200" t="s">
        <v>29</v>
      </c>
      <c r="O11" s="200" t="s">
        <v>29</v>
      </c>
      <c r="P11" s="200" t="s">
        <v>29</v>
      </c>
      <c r="Q11" s="200" t="str">
        <f>IF(AND('A-8'!N106="-",'A-8'!N177="-",'A-8'!N248="-"),"-",SUM('A-8'!N106,'A-8'!N177,'A-8'!N248))</f>
        <v>-</v>
      </c>
      <c r="R11" s="200">
        <f>IF(AND('A-8'!O106="-",'A-8'!O177="-",'A-8'!O248="-"),"-",SUM('A-8'!O106,'A-8'!O177,'A-8'!O248))</f>
        <v>458778</v>
      </c>
      <c r="S11" s="200" t="str">
        <f>IF(AND('A-8'!P106="-",'A-8'!P177="-",'A-8'!P248="-"),"-",SUM('A-8'!P106,'A-8'!P177,'A-8'!P248))</f>
        <v>-</v>
      </c>
      <c r="T11" s="200" t="str">
        <f>IF(AND('A-8'!Q106="-",'A-8'!Q177="-",'A-8'!Q248="-"),"-",SUM('A-8'!Q106,'A-8'!Q177,'A-8'!Q248))</f>
        <v>-</v>
      </c>
      <c r="U11" s="200" t="str">
        <f>IF(AND('A-8'!R106="-",'A-8'!R177="-",'A-8'!R248="-"),"-",SUM('A-8'!R106,'A-8'!R177,'A-8'!R248))</f>
        <v>-</v>
      </c>
      <c r="V11" s="200" t="s">
        <v>29</v>
      </c>
      <c r="W11" s="200" t="s">
        <v>29</v>
      </c>
      <c r="X11" s="200">
        <f t="shared" si="0"/>
        <v>458778</v>
      </c>
    </row>
    <row r="12" spans="1:26" ht="11.25" customHeight="1" x14ac:dyDescent="0.25">
      <c r="A12" s="383">
        <v>1983</v>
      </c>
      <c r="B12" s="200" t="str">
        <f>IF(AND('A-8'!B107="-",'A-8'!B178="-",'A-8'!B249="-"),"-",SUM('A-8'!B107,'A-8'!B178,'A-8'!B249))</f>
        <v>-</v>
      </c>
      <c r="C12" s="200" t="str">
        <f>IF(AND('A-8'!C107="-",'A-8'!C178="-",'A-8'!C249="-"),"-",SUM('A-8'!C107,'A-8'!C178,'A-8'!C249))</f>
        <v>-</v>
      </c>
      <c r="D12" s="200">
        <f>IF(AND('A-8'!D107="-",'A-8'!D178="-",'A-8'!D249="-"),"-",SUM('A-8'!D107,'A-8'!D178,'A-8'!D249))</f>
        <v>3863</v>
      </c>
      <c r="E12" s="200">
        <f>IF(AND('A-8'!E107="-",'A-8'!E178="-",'A-8'!E249="-"),"-",SUM('A-8'!E107,'A-8'!E178,'A-8'!E249))</f>
        <v>5223</v>
      </c>
      <c r="F12" s="200">
        <f>IF(AND('A-8'!F107="-",'A-8'!F178="-",'A-8'!F249="-"),"-",SUM('A-8'!F107,'A-8'!F178,'A-8'!F249))</f>
        <v>24843</v>
      </c>
      <c r="G12" s="200">
        <f>IF(AND('A-8'!G107="-",'A-8'!G178="-",'A-8'!G249="-"),"-",SUM('A-8'!G107,'A-8'!G178,'A-8'!G249))</f>
        <v>8382</v>
      </c>
      <c r="H12" s="200">
        <f>IF(AND('A-8'!H107="-",'A-8'!H178="-",'A-8'!H249="-"),"-",SUM('A-8'!H107,'A-8'!H178,'A-8'!H249))</f>
        <v>2169</v>
      </c>
      <c r="I12" s="200">
        <f>IF(AND('A-8'!I107="-",'A-8'!I178="-",'A-8'!I249="-"),"-",SUM('A-8'!I107,'A-8'!I178,'A-8'!I249))</f>
        <v>2923</v>
      </c>
      <c r="J12" s="200">
        <f>IF(AND('A-8'!J107="-",'A-8'!J178="-",'A-8'!J249="-"),"-",SUM('A-8'!J107,'A-8'!J178,'A-8'!J249))</f>
        <v>116</v>
      </c>
      <c r="K12" s="200" t="str">
        <f>IF(AND('A-8'!K107="-",'A-8'!K178="-",'A-8'!K249="-"),"-",SUM('A-8'!K107,'A-8'!K178,'A-8'!K249))</f>
        <v>-</v>
      </c>
      <c r="L12" s="200">
        <f>IF(AND('A-8'!L107="-",'A-8'!L178="-",'A-8'!L249="-"),"-",SUM('A-8'!L107,'A-8'!L178,'A-8'!L249))</f>
        <v>47519</v>
      </c>
      <c r="M12" s="8"/>
      <c r="N12" s="200" t="s">
        <v>29</v>
      </c>
      <c r="O12" s="200" t="s">
        <v>29</v>
      </c>
      <c r="P12" s="200" t="s">
        <v>29</v>
      </c>
      <c r="Q12" s="200" t="str">
        <f>IF(AND('A-8'!N107="-",'A-8'!N178="-",'A-8'!N249="-"),"-",SUM('A-8'!N107,'A-8'!N178,'A-8'!N249))</f>
        <v>-</v>
      </c>
      <c r="R12" s="200">
        <f>IF(AND('A-8'!O107="-",'A-8'!O178="-",'A-8'!O249="-"),"-",SUM('A-8'!O107,'A-8'!O178,'A-8'!O249))</f>
        <v>250985</v>
      </c>
      <c r="S12" s="200">
        <f>IF(AND('A-8'!P107="-",'A-8'!P178="-",'A-8'!P249="-"),"-",SUM('A-8'!P107,'A-8'!P178,'A-8'!P249))</f>
        <v>32531</v>
      </c>
      <c r="T12" s="200">
        <f>IF(AND('A-8'!Q107="-",'A-8'!Q178="-",'A-8'!Q249="-"),"-",SUM('A-8'!Q107,'A-8'!Q178,'A-8'!Q249))</f>
        <v>5803</v>
      </c>
      <c r="U12" s="200" t="str">
        <f>IF(AND('A-8'!R107="-",'A-8'!R178="-",'A-8'!R249="-"),"-",SUM('A-8'!R107,'A-8'!R178,'A-8'!R249))</f>
        <v>-</v>
      </c>
      <c r="V12" s="200" t="s">
        <v>29</v>
      </c>
      <c r="W12" s="200" t="s">
        <v>29</v>
      </c>
      <c r="X12" s="200">
        <f t="shared" si="0"/>
        <v>289319</v>
      </c>
    </row>
    <row r="13" spans="1:26" ht="11.25" customHeight="1" x14ac:dyDescent="0.25">
      <c r="A13" s="383">
        <v>1984</v>
      </c>
      <c r="B13" s="200" t="str">
        <f>IF(AND('A-8'!B108="-",'A-8'!B179="-",'A-8'!B250="-"),"-",SUM('A-8'!B108,'A-8'!B179,'A-8'!B250))</f>
        <v>-</v>
      </c>
      <c r="C13" s="200" t="str">
        <f>IF(AND('A-8'!C108="-",'A-8'!C179="-",'A-8'!C250="-"),"-",SUM('A-8'!C108,'A-8'!C179,'A-8'!C250))</f>
        <v>-</v>
      </c>
      <c r="D13" s="200">
        <f>IF(AND('A-8'!D108="-",'A-8'!D179="-",'A-8'!D250="-"),"-",SUM('A-8'!D108,'A-8'!D179,'A-8'!D250))</f>
        <v>595</v>
      </c>
      <c r="E13" s="200">
        <f>IF(AND('A-8'!E108="-",'A-8'!E179="-",'A-8'!E250="-"),"-",SUM('A-8'!E108,'A-8'!E179,'A-8'!E250))</f>
        <v>2410</v>
      </c>
      <c r="F13" s="200">
        <f>IF(AND('A-8'!F108="-",'A-8'!F179="-",'A-8'!F250="-"),"-",SUM('A-8'!F108,'A-8'!F179,'A-8'!F250))</f>
        <v>14310</v>
      </c>
      <c r="G13" s="200">
        <f>IF(AND('A-8'!G108="-",'A-8'!G179="-",'A-8'!G250="-"),"-",SUM('A-8'!G108,'A-8'!G179,'A-8'!G250))</f>
        <v>17940</v>
      </c>
      <c r="H13" s="200">
        <f>IF(AND('A-8'!H108="-",'A-8'!H179="-",'A-8'!H250="-"),"-",SUM('A-8'!H108,'A-8'!H179,'A-8'!H250))</f>
        <v>733</v>
      </c>
      <c r="I13" s="200">
        <f>IF(AND('A-8'!I108="-",'A-8'!I179="-",'A-8'!I250="-"),"-",SUM('A-8'!I108,'A-8'!I179,'A-8'!I250))</f>
        <v>85</v>
      </c>
      <c r="J13" s="200">
        <f>IF(AND('A-8'!J108="-",'A-8'!J179="-",'A-8'!J250="-"),"-",SUM('A-8'!J108,'A-8'!J179,'A-8'!J250))</f>
        <v>11</v>
      </c>
      <c r="K13" s="200" t="str">
        <f>IF(AND('A-8'!K108="-",'A-8'!K179="-",'A-8'!K250="-"),"-",SUM('A-8'!K108,'A-8'!K179,'A-8'!K250))</f>
        <v>-</v>
      </c>
      <c r="L13" s="200">
        <f>IF(AND('A-8'!L108="-",'A-8'!L179="-",'A-8'!L250="-"),"-",SUM('A-8'!L108,'A-8'!L179,'A-8'!L250))</f>
        <v>36084</v>
      </c>
      <c r="M13" s="8"/>
      <c r="N13" s="200" t="s">
        <v>29</v>
      </c>
      <c r="O13" s="200" t="s">
        <v>29</v>
      </c>
      <c r="P13" s="200" t="s">
        <v>29</v>
      </c>
      <c r="Q13" s="200" t="str">
        <f>IF(AND('A-8'!N108="-",'A-8'!N179="-",'A-8'!N250="-"),"-",SUM('A-8'!N108,'A-8'!N179,'A-8'!N250))</f>
        <v>-</v>
      </c>
      <c r="R13" s="200" t="str">
        <f>IF(AND('A-8'!O108="-",'A-8'!O179="-",'A-8'!O250="-"),"-",SUM('A-8'!O108,'A-8'!O179,'A-8'!O250))</f>
        <v>-</v>
      </c>
      <c r="S13" s="200" t="str">
        <f>IF(AND('A-8'!P108="-",'A-8'!P179="-",'A-8'!P250="-"),"-",SUM('A-8'!P108,'A-8'!P179,'A-8'!P250))</f>
        <v>-</v>
      </c>
      <c r="T13" s="200" t="str">
        <f>IF(AND('A-8'!Q108="-",'A-8'!Q179="-",'A-8'!Q250="-"),"-",SUM('A-8'!Q108,'A-8'!Q179,'A-8'!Q250))</f>
        <v>-</v>
      </c>
      <c r="U13" s="200" t="str">
        <f>IF(AND('A-8'!R108="-",'A-8'!R179="-",'A-8'!R250="-"),"-",SUM('A-8'!R108,'A-8'!R179,'A-8'!R250))</f>
        <v>-</v>
      </c>
      <c r="V13" s="200" t="s">
        <v>29</v>
      </c>
      <c r="W13" s="200" t="s">
        <v>29</v>
      </c>
      <c r="X13" s="200" t="s">
        <v>29</v>
      </c>
    </row>
    <row r="14" spans="1:26" ht="11.25" customHeight="1" x14ac:dyDescent="0.25">
      <c r="A14" s="383">
        <v>1985</v>
      </c>
      <c r="B14" s="200" t="str">
        <f>IF(AND('A-8'!B109="-",'A-8'!B180="-",'A-8'!B251="-"),"-",SUM('A-8'!B109,'A-8'!B180,'A-8'!B251))</f>
        <v>-</v>
      </c>
      <c r="C14" s="200" t="str">
        <f>IF(AND('A-8'!C109="-",'A-8'!C180="-",'A-8'!C251="-"),"-",SUM('A-8'!C109,'A-8'!C180,'A-8'!C251))</f>
        <v>-</v>
      </c>
      <c r="D14" s="200">
        <f>IF(AND('A-8'!D109="-",'A-8'!D180="-",'A-8'!D251="-"),"-",SUM('A-8'!D109,'A-8'!D180,'A-8'!D251))</f>
        <v>33575</v>
      </c>
      <c r="E14" s="200">
        <f>IF(AND('A-8'!E109="-",'A-8'!E180="-",'A-8'!E251="-"),"-",SUM('A-8'!E109,'A-8'!E180,'A-8'!E251))</f>
        <v>14852</v>
      </c>
      <c r="F14" s="200">
        <f>IF(AND('A-8'!F109="-",'A-8'!F180="-",'A-8'!F251="-"),"-",SUM('A-8'!F109,'A-8'!F180,'A-8'!F251))</f>
        <v>66382</v>
      </c>
      <c r="G14" s="200">
        <f>IF(AND('A-8'!G109="-",'A-8'!G180="-",'A-8'!G251="-"),"-",SUM('A-8'!G109,'A-8'!G180,'A-8'!G251))</f>
        <v>55505</v>
      </c>
      <c r="H14" s="200">
        <f>IF(AND('A-8'!H109="-",'A-8'!H180="-",'A-8'!H251="-"),"-",SUM('A-8'!H109,'A-8'!H180,'A-8'!H251))</f>
        <v>18939</v>
      </c>
      <c r="I14" s="200">
        <f>IF(AND('A-8'!I109="-",'A-8'!I180="-",'A-8'!I251="-"),"-",SUM('A-8'!I109,'A-8'!I180,'A-8'!I251))</f>
        <v>4484</v>
      </c>
      <c r="J14" s="200">
        <f>IF(AND('A-8'!J109="-",'A-8'!J180="-",'A-8'!J251="-"),"-",SUM('A-8'!J109,'A-8'!J180,'A-8'!J251))</f>
        <v>33</v>
      </c>
      <c r="K14" s="200" t="str">
        <f>IF(AND('A-8'!K109="-",'A-8'!K180="-",'A-8'!K251="-"),"-",SUM('A-8'!K109,'A-8'!K180,'A-8'!K251))</f>
        <v>-</v>
      </c>
      <c r="L14" s="200">
        <f>IF(AND('A-8'!L109="-",'A-8'!L180="-",'A-8'!L251="-"),"-",SUM('A-8'!L109,'A-8'!L180,'A-8'!L251))</f>
        <v>193770</v>
      </c>
      <c r="M14" s="8"/>
      <c r="N14" s="200" t="s">
        <v>29</v>
      </c>
      <c r="O14" s="200" t="s">
        <v>29</v>
      </c>
      <c r="P14" s="200" t="s">
        <v>29</v>
      </c>
      <c r="Q14" s="200" t="str">
        <f>IF(AND('A-8'!N109="-",'A-8'!N180="-",'A-8'!N251="-"),"-",SUM('A-8'!N109,'A-8'!N180,'A-8'!N251))</f>
        <v>-</v>
      </c>
      <c r="R14" s="200">
        <f>IF(AND('A-8'!O109="-",'A-8'!O180="-",'A-8'!O251="-"),"-",SUM('A-8'!O109,'A-8'!O180,'A-8'!O251))</f>
        <v>42859</v>
      </c>
      <c r="S14" s="200">
        <f>IF(AND('A-8'!P109="-",'A-8'!P180="-",'A-8'!P251="-"),"-",SUM('A-8'!P109,'A-8'!P180,'A-8'!P251))</f>
        <v>15</v>
      </c>
      <c r="T14" s="200" t="str">
        <f>IF(AND('A-8'!Q109="-",'A-8'!Q180="-",'A-8'!Q251="-"),"-",SUM('A-8'!Q109,'A-8'!Q180,'A-8'!Q251))</f>
        <v>-</v>
      </c>
      <c r="U14" s="200" t="str">
        <f>IF(AND('A-8'!R109="-",'A-8'!R180="-",'A-8'!R251="-"),"-",SUM('A-8'!R109,'A-8'!R180,'A-8'!R251))</f>
        <v>-</v>
      </c>
      <c r="V14" s="200" t="s">
        <v>29</v>
      </c>
      <c r="W14" s="200" t="s">
        <v>29</v>
      </c>
      <c r="X14" s="200">
        <f t="shared" si="0"/>
        <v>42874</v>
      </c>
    </row>
    <row r="15" spans="1:26" ht="11.25" customHeight="1" x14ac:dyDescent="0.25">
      <c r="A15" s="383">
        <v>1986</v>
      </c>
      <c r="B15" s="200" t="str">
        <f>IF(AND('A-8'!B110="-",'A-8'!B181="-",'A-8'!B252="-"),"-",SUM('A-8'!B110,'A-8'!B181,'A-8'!B252))</f>
        <v>-</v>
      </c>
      <c r="C15" s="200" t="str">
        <f>IF(AND('A-8'!C110="-",'A-8'!C181="-",'A-8'!C252="-"),"-",SUM('A-8'!C110,'A-8'!C181,'A-8'!C252))</f>
        <v>-</v>
      </c>
      <c r="D15" s="200">
        <f>IF(AND('A-8'!D110="-",'A-8'!D181="-",'A-8'!D252="-"),"-",SUM('A-8'!D110,'A-8'!D181,'A-8'!D252))</f>
        <v>28677</v>
      </c>
      <c r="E15" s="200">
        <f>IF(AND('A-8'!E110="-",'A-8'!E181="-",'A-8'!E252="-"),"-",SUM('A-8'!E110,'A-8'!E181,'A-8'!E252))</f>
        <v>33317</v>
      </c>
      <c r="F15" s="200">
        <f>IF(AND('A-8'!F110="-",'A-8'!F181="-",'A-8'!F252="-"),"-",SUM('A-8'!F110,'A-8'!F181,'A-8'!F252))</f>
        <v>128552</v>
      </c>
      <c r="G15" s="200">
        <f>IF(AND('A-8'!G110="-",'A-8'!G181="-",'A-8'!G252="-"),"-",SUM('A-8'!G110,'A-8'!G181,'A-8'!G252))</f>
        <v>91903</v>
      </c>
      <c r="H15" s="200">
        <f>IF(AND('A-8'!H110="-",'A-8'!H181="-",'A-8'!H252="-"),"-",SUM('A-8'!H110,'A-8'!H181,'A-8'!H252))</f>
        <v>33955</v>
      </c>
      <c r="I15" s="200">
        <f>IF(AND('A-8'!I110="-",'A-8'!I181="-",'A-8'!I252="-"),"-",SUM('A-8'!I110,'A-8'!I181,'A-8'!I252))</f>
        <v>25677</v>
      </c>
      <c r="J15" s="200">
        <f>IF(AND('A-8'!J110="-",'A-8'!J181="-",'A-8'!J252="-"),"-",SUM('A-8'!J110,'A-8'!J181,'A-8'!J252))</f>
        <v>11</v>
      </c>
      <c r="K15" s="200" t="str">
        <f>IF(AND('A-8'!K110="-",'A-8'!K181="-",'A-8'!K252="-"),"-",SUM('A-8'!K110,'A-8'!K181,'A-8'!K252))</f>
        <v>-</v>
      </c>
      <c r="L15" s="200">
        <f>IF(AND('A-8'!L110="-",'A-8'!L181="-",'A-8'!L252="-"),"-",SUM('A-8'!L110,'A-8'!L181,'A-8'!L252))</f>
        <v>342092</v>
      </c>
      <c r="M15" s="8"/>
      <c r="N15" s="200" t="s">
        <v>29</v>
      </c>
      <c r="O15" s="200" t="s">
        <v>29</v>
      </c>
      <c r="P15" s="200" t="s">
        <v>29</v>
      </c>
      <c r="Q15" s="200">
        <f>IF(AND('A-8'!N110="-",'A-8'!N181="-",'A-8'!N252="-"),"-",SUM('A-8'!N110,'A-8'!N181,'A-8'!N252))</f>
        <v>0</v>
      </c>
      <c r="R15" s="200">
        <f>IF(AND('A-8'!O110="-",'A-8'!O181="-",'A-8'!O252="-"),"-",SUM('A-8'!O110,'A-8'!O181,'A-8'!O252))</f>
        <v>375236</v>
      </c>
      <c r="S15" s="200" t="str">
        <f>IF(AND('A-8'!P110="-",'A-8'!P181="-",'A-8'!P252="-"),"-",SUM('A-8'!P110,'A-8'!P181,'A-8'!P252))</f>
        <v>-</v>
      </c>
      <c r="T15" s="200" t="str">
        <f>IF(AND('A-8'!Q110="-",'A-8'!Q181="-",'A-8'!Q252="-"),"-",SUM('A-8'!Q110,'A-8'!Q181,'A-8'!Q252))</f>
        <v>-</v>
      </c>
      <c r="U15" s="200" t="str">
        <f>IF(AND('A-8'!R110="-",'A-8'!R181="-",'A-8'!R252="-"),"-",SUM('A-8'!R110,'A-8'!R181,'A-8'!R252))</f>
        <v>-</v>
      </c>
      <c r="V15" s="200" t="s">
        <v>29</v>
      </c>
      <c r="W15" s="200" t="s">
        <v>29</v>
      </c>
      <c r="X15" s="200">
        <f t="shared" si="0"/>
        <v>375236</v>
      </c>
    </row>
    <row r="16" spans="1:26" ht="11.25" customHeight="1" x14ac:dyDescent="0.25">
      <c r="A16" s="383">
        <v>1987</v>
      </c>
      <c r="B16" s="200" t="str">
        <f>IF(AND('A-8'!B111="-",'A-8'!B182="-",'A-8'!B253="-"),"-",SUM('A-8'!B111,'A-8'!B182,'A-8'!B253))</f>
        <v>-</v>
      </c>
      <c r="C16" s="200" t="str">
        <f>IF(AND('A-8'!C111="-",'A-8'!C182="-",'A-8'!C253="-"),"-",SUM('A-8'!C111,'A-8'!C182,'A-8'!C253))</f>
        <v>-</v>
      </c>
      <c r="D16" s="200">
        <f>IF(AND('A-8'!D111="-",'A-8'!D182="-",'A-8'!D253="-"),"-",SUM('A-8'!D111,'A-8'!D182,'A-8'!D253))</f>
        <v>30081</v>
      </c>
      <c r="E16" s="200">
        <f>IF(AND('A-8'!E111="-",'A-8'!E182="-",'A-8'!E253="-"),"-",SUM('A-8'!E111,'A-8'!E182,'A-8'!E253))</f>
        <v>20551</v>
      </c>
      <c r="F16" s="200">
        <f>IF(AND('A-8'!F111="-",'A-8'!F182="-",'A-8'!F253="-"),"-",SUM('A-8'!F111,'A-8'!F182,'A-8'!F253))</f>
        <v>268821</v>
      </c>
      <c r="G16" s="200">
        <f>IF(AND('A-8'!G111="-",'A-8'!G182="-",'A-8'!G253="-"),"-",SUM('A-8'!G111,'A-8'!G182,'A-8'!G253))</f>
        <v>82750</v>
      </c>
      <c r="H16" s="200">
        <f>IF(AND('A-8'!H111="-",'A-8'!H182="-",'A-8'!H253="-"),"-",SUM('A-8'!H111,'A-8'!H182,'A-8'!H253))</f>
        <v>61039</v>
      </c>
      <c r="I16" s="200">
        <f>IF(AND('A-8'!I111="-",'A-8'!I182="-",'A-8'!I253="-"),"-",SUM('A-8'!I111,'A-8'!I182,'A-8'!I253))</f>
        <v>16185</v>
      </c>
      <c r="J16" s="200" t="str">
        <f>IF(AND('A-8'!J111="-",'A-8'!J182="-",'A-8'!J253="-"),"-",SUM('A-8'!J111,'A-8'!J182,'A-8'!J253))</f>
        <v>-</v>
      </c>
      <c r="K16" s="200" t="str">
        <f>IF(AND('A-8'!K111="-",'A-8'!K182="-",'A-8'!K253="-"),"-",SUM('A-8'!K111,'A-8'!K182,'A-8'!K253))</f>
        <v>-</v>
      </c>
      <c r="L16" s="200">
        <f>IF(AND('A-8'!L111="-",'A-8'!L182="-",'A-8'!L253="-"),"-",SUM('A-8'!L111,'A-8'!L182,'A-8'!L253))</f>
        <v>479427</v>
      </c>
      <c r="M16" s="8"/>
      <c r="N16" s="200" t="s">
        <v>29</v>
      </c>
      <c r="O16" s="200" t="s">
        <v>29</v>
      </c>
      <c r="P16" s="200" t="s">
        <v>29</v>
      </c>
      <c r="Q16" s="200">
        <f>IF(AND('A-8'!N111="-",'A-8'!N182="-",'A-8'!N253="-"),"-",SUM('A-8'!N111,'A-8'!N182,'A-8'!N253))</f>
        <v>22</v>
      </c>
      <c r="R16" s="200">
        <f>IF(AND('A-8'!O111="-",'A-8'!O182="-",'A-8'!O253="-"),"-",SUM('A-8'!O111,'A-8'!O182,'A-8'!O253))</f>
        <v>255215</v>
      </c>
      <c r="S16" s="200">
        <f>IF(AND('A-8'!P111="-",'A-8'!P182="-",'A-8'!P253="-"),"-",SUM('A-8'!P111,'A-8'!P182,'A-8'!P253))</f>
        <v>58754</v>
      </c>
      <c r="T16" s="200">
        <f>IF(AND('A-8'!Q111="-",'A-8'!Q182="-",'A-8'!Q253="-"),"-",SUM('A-8'!Q111,'A-8'!Q182,'A-8'!Q253))</f>
        <v>20776</v>
      </c>
      <c r="U16" s="200" t="str">
        <f>IF(AND('A-8'!R111="-",'A-8'!R182="-",'A-8'!R253="-"),"-",SUM('A-8'!R111,'A-8'!R182,'A-8'!R253))</f>
        <v>-</v>
      </c>
      <c r="V16" s="200" t="s">
        <v>29</v>
      </c>
      <c r="W16" s="200" t="s">
        <v>29</v>
      </c>
      <c r="X16" s="200">
        <f t="shared" si="0"/>
        <v>334767</v>
      </c>
    </row>
    <row r="17" spans="1:26" ht="11.25" customHeight="1" x14ac:dyDescent="0.25">
      <c r="A17" s="383">
        <v>1988</v>
      </c>
      <c r="B17" s="200" t="str">
        <f>IF(AND('A-8'!B112="-",'A-8'!B183="-",'A-8'!B254="-"),"-",SUM('A-8'!B112,'A-8'!B183,'A-8'!B254))</f>
        <v>-</v>
      </c>
      <c r="C17" s="200" t="str">
        <f>IF(AND('A-8'!C112="-",'A-8'!C183="-",'A-8'!C254="-"),"-",SUM('A-8'!C112,'A-8'!C183,'A-8'!C254))</f>
        <v>-</v>
      </c>
      <c r="D17" s="200">
        <f>IF(AND('A-8'!D112="-",'A-8'!D183="-",'A-8'!D254="-"),"-",SUM('A-8'!D112,'A-8'!D183,'A-8'!D254))</f>
        <v>48735</v>
      </c>
      <c r="E17" s="200">
        <f>IF(AND('A-8'!E112="-",'A-8'!E183="-",'A-8'!E254="-"),"-",SUM('A-8'!E112,'A-8'!E183,'A-8'!E254))</f>
        <v>68179</v>
      </c>
      <c r="F17" s="200">
        <f>IF(AND('A-8'!F112="-",'A-8'!F183="-",'A-8'!F254="-"),"-",SUM('A-8'!F112,'A-8'!F183,'A-8'!F254))</f>
        <v>110298</v>
      </c>
      <c r="G17" s="200">
        <f>IF(AND('A-8'!G112="-",'A-8'!G183="-",'A-8'!G254="-"),"-",SUM('A-8'!G112,'A-8'!G183,'A-8'!G254))</f>
        <v>128960</v>
      </c>
      <c r="H17" s="200">
        <f>IF(AND('A-8'!H112="-",'A-8'!H183="-",'A-8'!H254="-"),"-",SUM('A-8'!H112,'A-8'!H183,'A-8'!H254))</f>
        <v>31559</v>
      </c>
      <c r="I17" s="200">
        <f>IF(AND('A-8'!I112="-",'A-8'!I183="-",'A-8'!I254="-"),"-",SUM('A-8'!I112,'A-8'!I183,'A-8'!I254))</f>
        <v>42652</v>
      </c>
      <c r="J17" s="200" t="str">
        <f>IF(AND('A-8'!J112="-",'A-8'!J183="-",'A-8'!J254="-"),"-",SUM('A-8'!J112,'A-8'!J183,'A-8'!J254))</f>
        <v>-</v>
      </c>
      <c r="K17" s="200" t="str">
        <f>IF(AND('A-8'!K112="-",'A-8'!K183="-",'A-8'!K254="-"),"-",SUM('A-8'!K112,'A-8'!K183,'A-8'!K254))</f>
        <v>-</v>
      </c>
      <c r="L17" s="200">
        <f>IF(AND('A-8'!L112="-",'A-8'!L183="-",'A-8'!L254="-"),"-",SUM('A-8'!L112,'A-8'!L183,'A-8'!L254))</f>
        <v>430383</v>
      </c>
      <c r="M17" s="8"/>
      <c r="N17" s="200" t="s">
        <v>29</v>
      </c>
      <c r="O17" s="200" t="s">
        <v>29</v>
      </c>
      <c r="P17" s="200" t="s">
        <v>29</v>
      </c>
      <c r="Q17" s="200" t="str">
        <f>IF(AND('A-8'!N112="-",'A-8'!N183="-",'A-8'!N254="-"),"-",SUM('A-8'!N112,'A-8'!N183,'A-8'!N254))</f>
        <v>-</v>
      </c>
      <c r="R17" s="200">
        <f>IF(AND('A-8'!O112="-",'A-8'!O183="-",'A-8'!O254="-"),"-",SUM('A-8'!O112,'A-8'!O183,'A-8'!O254))</f>
        <v>387467</v>
      </c>
      <c r="S17" s="200">
        <f>IF(AND('A-8'!P112="-",'A-8'!P183="-",'A-8'!P254="-"),"-",SUM('A-8'!P112,'A-8'!P183,'A-8'!P254))</f>
        <v>233688</v>
      </c>
      <c r="T17" s="200" t="str">
        <f>IF(AND('A-8'!Q112="-",'A-8'!Q183="-",'A-8'!Q254="-"),"-",SUM('A-8'!Q112,'A-8'!Q183,'A-8'!Q254))</f>
        <v>-</v>
      </c>
      <c r="U17" s="200" t="str">
        <f>IF(AND('A-8'!R112="-",'A-8'!R183="-",'A-8'!R254="-"),"-",SUM('A-8'!R112,'A-8'!R183,'A-8'!R254))</f>
        <v>-</v>
      </c>
      <c r="V17" s="200" t="s">
        <v>29</v>
      </c>
      <c r="W17" s="200" t="s">
        <v>29</v>
      </c>
      <c r="X17" s="200">
        <f t="shared" si="0"/>
        <v>621155</v>
      </c>
    </row>
    <row r="18" spans="1:26" ht="11.25" customHeight="1" x14ac:dyDescent="0.25">
      <c r="A18" s="383">
        <v>1989</v>
      </c>
      <c r="B18" s="200" t="str">
        <f>IF(AND('A-8'!B113="-",'A-8'!B184="-",'A-8'!B255="-"),"-",SUM('A-8'!B113,'A-8'!B184,'A-8'!B255))</f>
        <v>-</v>
      </c>
      <c r="C18" s="200" t="str">
        <f>IF(AND('A-8'!C113="-",'A-8'!C184="-",'A-8'!C255="-"),"-",SUM('A-8'!C113,'A-8'!C184,'A-8'!C255))</f>
        <v>-</v>
      </c>
      <c r="D18" s="200">
        <f>IF(AND('A-8'!D113="-",'A-8'!D184="-",'A-8'!D255="-"),"-",SUM('A-8'!D113,'A-8'!D184,'A-8'!D255))</f>
        <v>82574</v>
      </c>
      <c r="E18" s="200">
        <f>IF(AND('A-8'!E113="-",'A-8'!E184="-",'A-8'!E255="-"),"-",SUM('A-8'!E113,'A-8'!E184,'A-8'!E255))</f>
        <v>72255</v>
      </c>
      <c r="F18" s="200">
        <f>IF(AND('A-8'!F113="-",'A-8'!F184="-",'A-8'!F255="-"),"-",SUM('A-8'!F113,'A-8'!F184,'A-8'!F255))</f>
        <v>70238</v>
      </c>
      <c r="G18" s="200">
        <f>IF(AND('A-8'!G113="-",'A-8'!G184="-",'A-8'!G255="-"),"-",SUM('A-8'!G113,'A-8'!G184,'A-8'!G255))</f>
        <v>73529</v>
      </c>
      <c r="H18" s="200">
        <f>IF(AND('A-8'!H113="-",'A-8'!H184="-",'A-8'!H255="-"),"-",SUM('A-8'!H113,'A-8'!H184,'A-8'!H255))</f>
        <v>15933</v>
      </c>
      <c r="I18" s="200">
        <f>IF(AND('A-8'!I113="-",'A-8'!I184="-",'A-8'!I255="-"),"-",SUM('A-8'!I113,'A-8'!I184,'A-8'!I255))</f>
        <v>16878</v>
      </c>
      <c r="J18" s="200">
        <f>IF(AND('A-8'!J113="-",'A-8'!J184="-",'A-8'!J255="-"),"-",SUM('A-8'!J113,'A-8'!J184,'A-8'!J255))</f>
        <v>2178</v>
      </c>
      <c r="K18" s="200" t="str">
        <f>IF(AND('A-8'!K113="-",'A-8'!K184="-",'A-8'!K255="-"),"-",SUM('A-8'!K113,'A-8'!K184,'A-8'!K255))</f>
        <v>-</v>
      </c>
      <c r="L18" s="200">
        <f>IF(AND('A-8'!L113="-",'A-8'!L184="-",'A-8'!L255="-"),"-",SUM('A-8'!L113,'A-8'!L184,'A-8'!L255))</f>
        <v>333585</v>
      </c>
      <c r="M18" s="8"/>
      <c r="N18" s="200" t="s">
        <v>29</v>
      </c>
      <c r="O18" s="200" t="s">
        <v>29</v>
      </c>
      <c r="P18" s="200" t="s">
        <v>29</v>
      </c>
      <c r="Q18" s="200" t="str">
        <f>IF(AND('A-8'!N113="-",'A-8'!N184="-",'A-8'!N255="-"),"-",SUM('A-8'!N113,'A-8'!N184,'A-8'!N255))</f>
        <v>-</v>
      </c>
      <c r="R18" s="200">
        <f>IF(AND('A-8'!O113="-",'A-8'!O184="-",'A-8'!O255="-"),"-",SUM('A-8'!O113,'A-8'!O184,'A-8'!O255))</f>
        <v>372173</v>
      </c>
      <c r="S18" s="200">
        <f>IF(AND('A-8'!P113="-",'A-8'!P184="-",'A-8'!P255="-"),"-",SUM('A-8'!P113,'A-8'!P184,'A-8'!P255))</f>
        <v>61423</v>
      </c>
      <c r="T18" s="200" t="str">
        <f>IF(AND('A-8'!Q113="-",'A-8'!Q184="-",'A-8'!Q255="-"),"-",SUM('A-8'!Q113,'A-8'!Q184,'A-8'!Q255))</f>
        <v>-</v>
      </c>
      <c r="U18" s="200" t="str">
        <f>IF(AND('A-8'!R113="-",'A-8'!R184="-",'A-8'!R255="-"),"-",SUM('A-8'!R113,'A-8'!R184,'A-8'!R255))</f>
        <v>-</v>
      </c>
      <c r="V18" s="200" t="s">
        <v>29</v>
      </c>
      <c r="W18" s="200" t="s">
        <v>29</v>
      </c>
      <c r="X18" s="200">
        <f t="shared" si="0"/>
        <v>433596</v>
      </c>
    </row>
    <row r="19" spans="1:26" ht="11.25" customHeight="1" x14ac:dyDescent="0.25">
      <c r="A19" s="383">
        <v>1990</v>
      </c>
      <c r="B19" s="200" t="str">
        <f>IF(AND('A-8'!B114="-",'A-8'!B185="-",'A-8'!B256="-"),"-",SUM('A-8'!B114,'A-8'!B185,'A-8'!B256))</f>
        <v>-</v>
      </c>
      <c r="C19" s="200" t="str">
        <f>IF(AND('A-8'!C114="-",'A-8'!C185="-",'A-8'!C256="-"),"-",SUM('A-8'!C114,'A-8'!C185,'A-8'!C256))</f>
        <v>-</v>
      </c>
      <c r="D19" s="200">
        <f>IF(AND('A-8'!D114="-",'A-8'!D185="-",'A-8'!D256="-"),"-",SUM('A-8'!D114,'A-8'!D185,'A-8'!D256))</f>
        <v>14994</v>
      </c>
      <c r="E19" s="200">
        <f>IF(AND('A-8'!E114="-",'A-8'!E185="-",'A-8'!E256="-"),"-",SUM('A-8'!E114,'A-8'!E185,'A-8'!E256))</f>
        <v>32580</v>
      </c>
      <c r="F19" s="200">
        <f>IF(AND('A-8'!F114="-",'A-8'!F185="-",'A-8'!F256="-"),"-",SUM('A-8'!F114,'A-8'!F185,'A-8'!F256))</f>
        <v>119364</v>
      </c>
      <c r="G19" s="200">
        <f>IF(AND('A-8'!G114="-",'A-8'!G185="-",'A-8'!G256="-"),"-",SUM('A-8'!G114,'A-8'!G185,'A-8'!G256))</f>
        <v>49516</v>
      </c>
      <c r="H19" s="200">
        <f>IF(AND('A-8'!H114="-",'A-8'!H185="-",'A-8'!H256="-"),"-",SUM('A-8'!H114,'A-8'!H185,'A-8'!H256))</f>
        <v>7018</v>
      </c>
      <c r="I19" s="200">
        <f>IF(AND('A-8'!I114="-",'A-8'!I185="-",'A-8'!I256="-"),"-",SUM('A-8'!I114,'A-8'!I185,'A-8'!I256))</f>
        <v>4165</v>
      </c>
      <c r="J19" s="200" t="str">
        <f>IF(AND('A-8'!J114="-",'A-8'!J185="-",'A-8'!J256="-"),"-",SUM('A-8'!J114,'A-8'!J185,'A-8'!J256))</f>
        <v>-</v>
      </c>
      <c r="K19" s="200" t="str">
        <f>IF(AND('A-8'!K114="-",'A-8'!K185="-",'A-8'!K256="-"),"-",SUM('A-8'!K114,'A-8'!K185,'A-8'!K256))</f>
        <v>-</v>
      </c>
      <c r="L19" s="200">
        <f>IF(AND('A-8'!L114="-",'A-8'!L185="-",'A-8'!L256="-"),"-",SUM('A-8'!L114,'A-8'!L185,'A-8'!L256))</f>
        <v>227637</v>
      </c>
      <c r="M19" s="8"/>
      <c r="N19" s="200" t="s">
        <v>29</v>
      </c>
      <c r="O19" s="200" t="s">
        <v>29</v>
      </c>
      <c r="P19" s="200" t="s">
        <v>29</v>
      </c>
      <c r="Q19" s="200">
        <f>IF(AND('A-8'!N114="-",'A-8'!N185="-",'A-8'!N256="-"),"-",SUM('A-8'!N114,'A-8'!N185,'A-8'!N256))</f>
        <v>99</v>
      </c>
      <c r="R19" s="200">
        <f>IF(AND('A-8'!O114="-",'A-8'!O185="-",'A-8'!O256="-"),"-",SUM('A-8'!O114,'A-8'!O185,'A-8'!O256))</f>
        <v>80281</v>
      </c>
      <c r="S19" s="200">
        <f>IF(AND('A-8'!P114="-",'A-8'!P185="-",'A-8'!P256="-"),"-",SUM('A-8'!P114,'A-8'!P185,'A-8'!P256))</f>
        <v>30129</v>
      </c>
      <c r="T19" s="200" t="str">
        <f>IF(AND('A-8'!Q114="-",'A-8'!Q185="-",'A-8'!Q256="-"),"-",SUM('A-8'!Q114,'A-8'!Q185,'A-8'!Q256))</f>
        <v>-</v>
      </c>
      <c r="U19" s="200" t="str">
        <f>IF(AND('A-8'!R114="-",'A-8'!R185="-",'A-8'!R256="-"),"-",SUM('A-8'!R114,'A-8'!R185,'A-8'!R256))</f>
        <v>-</v>
      </c>
      <c r="V19" s="200" t="s">
        <v>29</v>
      </c>
      <c r="W19" s="200" t="s">
        <v>29</v>
      </c>
      <c r="X19" s="200">
        <f t="shared" si="0"/>
        <v>110509</v>
      </c>
    </row>
    <row r="20" spans="1:26" ht="11.25" customHeight="1" x14ac:dyDescent="0.25">
      <c r="A20" s="383">
        <v>1991</v>
      </c>
      <c r="B20" s="200" t="str">
        <f>IF(AND('A-8'!B115="-",'A-8'!B186="-",'A-8'!B257="-"),"-",SUM('A-8'!B115,'A-8'!B186,'A-8'!B257))</f>
        <v>-</v>
      </c>
      <c r="C20" s="200" t="str">
        <f>IF(AND('A-8'!C115="-",'A-8'!C186="-",'A-8'!C257="-"),"-",SUM('A-8'!C115,'A-8'!C186,'A-8'!C257))</f>
        <v>-</v>
      </c>
      <c r="D20" s="200">
        <f>IF(AND('A-8'!D115="-",'A-8'!D186="-",'A-8'!D257="-"),"-",SUM('A-8'!D115,'A-8'!D186,'A-8'!D257))</f>
        <v>3276</v>
      </c>
      <c r="E20" s="200">
        <f>IF(AND('A-8'!E115="-",'A-8'!E186="-",'A-8'!E257="-"),"-",SUM('A-8'!E115,'A-8'!E186,'A-8'!E257))</f>
        <v>12570</v>
      </c>
      <c r="F20" s="200">
        <f>IF(AND('A-8'!F115="-",'A-8'!F186="-",'A-8'!F257="-"),"-",SUM('A-8'!F115,'A-8'!F186,'A-8'!F257))</f>
        <v>15428</v>
      </c>
      <c r="G20" s="200">
        <f>IF(AND('A-8'!G115="-",'A-8'!G186="-",'A-8'!G257="-"),"-",SUM('A-8'!G115,'A-8'!G186,'A-8'!G257))</f>
        <v>11596</v>
      </c>
      <c r="H20" s="200">
        <f>IF(AND('A-8'!H115="-",'A-8'!H186="-",'A-8'!H257="-"),"-",SUM('A-8'!H115,'A-8'!H186,'A-8'!H257))</f>
        <v>18014</v>
      </c>
      <c r="I20" s="200">
        <f>IF(AND('A-8'!I115="-",'A-8'!I186="-",'A-8'!I257="-"),"-",SUM('A-8'!I115,'A-8'!I186,'A-8'!I257))</f>
        <v>12439</v>
      </c>
      <c r="J20" s="200" t="str">
        <f>IF(AND('A-8'!J115="-",'A-8'!J186="-",'A-8'!J257="-"),"-",SUM('A-8'!J115,'A-8'!J186,'A-8'!J257))</f>
        <v>-</v>
      </c>
      <c r="K20" s="200" t="str">
        <f>IF(AND('A-8'!K115="-",'A-8'!K186="-",'A-8'!K257="-"),"-",SUM('A-8'!K115,'A-8'!K186,'A-8'!K257))</f>
        <v>-</v>
      </c>
      <c r="L20" s="200">
        <f>IF(AND('A-8'!L115="-",'A-8'!L186="-",'A-8'!L257="-"),"-",SUM('A-8'!L115,'A-8'!L186,'A-8'!L257))</f>
        <v>73323</v>
      </c>
      <c r="M20" s="8"/>
      <c r="N20" s="200" t="s">
        <v>29</v>
      </c>
      <c r="O20" s="200" t="s">
        <v>29</v>
      </c>
      <c r="P20" s="200" t="s">
        <v>29</v>
      </c>
      <c r="Q20" s="200">
        <f>IF(AND('A-8'!N115="-",'A-8'!N186="-",'A-8'!N257="-"),"-",SUM('A-8'!N115,'A-8'!N186,'A-8'!N257))</f>
        <v>91249</v>
      </c>
      <c r="R20" s="200">
        <f>IF(AND('A-8'!O115="-",'A-8'!O186="-",'A-8'!O257="-"),"-",SUM('A-8'!O115,'A-8'!O186,'A-8'!O257))</f>
        <v>188757</v>
      </c>
      <c r="S20" s="200">
        <f>IF(AND('A-8'!P115="-",'A-8'!P186="-",'A-8'!P257="-"),"-",SUM('A-8'!P115,'A-8'!P186,'A-8'!P257))</f>
        <v>11</v>
      </c>
      <c r="T20" s="200" t="str">
        <f>IF(AND('A-8'!Q115="-",'A-8'!Q186="-",'A-8'!Q257="-"),"-",SUM('A-8'!Q115,'A-8'!Q186,'A-8'!Q257))</f>
        <v>-</v>
      </c>
      <c r="U20" s="200" t="str">
        <f>IF(AND('A-8'!R115="-",'A-8'!R186="-",'A-8'!R257="-"),"-",SUM('A-8'!R115,'A-8'!R186,'A-8'!R257))</f>
        <v>-</v>
      </c>
      <c r="V20" s="200" t="s">
        <v>29</v>
      </c>
      <c r="W20" s="200" t="s">
        <v>29</v>
      </c>
      <c r="X20" s="200">
        <f t="shared" si="0"/>
        <v>280017</v>
      </c>
    </row>
    <row r="21" spans="1:26" ht="11.25" customHeight="1" x14ac:dyDescent="0.25">
      <c r="A21" s="383">
        <v>1992</v>
      </c>
      <c r="B21" s="200" t="str">
        <f>IF(AND('A-8'!B116="-",'A-8'!B187="-",'A-8'!B258="-"),"-",SUM('A-8'!B116,'A-8'!B187,'A-8'!B258))</f>
        <v>-</v>
      </c>
      <c r="C21" s="200" t="str">
        <f>IF(AND('A-8'!C116="-",'A-8'!C187="-",'A-8'!C258="-"),"-",SUM('A-8'!C116,'A-8'!C187,'A-8'!C258))</f>
        <v>-</v>
      </c>
      <c r="D21" s="200">
        <f>IF(AND('A-8'!D116="-",'A-8'!D187="-",'A-8'!D258="-"),"-",SUM('A-8'!D116,'A-8'!D187,'A-8'!D258))</f>
        <v>20644</v>
      </c>
      <c r="E21" s="200" t="str">
        <f>IF(AND('A-8'!E116="-",'A-8'!E187="-",'A-8'!E258="-"),"-",SUM('A-8'!E116,'A-8'!E187,'A-8'!E258))</f>
        <v>-</v>
      </c>
      <c r="F21" s="200">
        <f>IF(AND('A-8'!F116="-",'A-8'!F187="-",'A-8'!F258="-"),"-",SUM('A-8'!F116,'A-8'!F187,'A-8'!F258))</f>
        <v>31488</v>
      </c>
      <c r="G21" s="200">
        <f>IF(AND('A-8'!G116="-",'A-8'!G187="-",'A-8'!G258="-"),"-",SUM('A-8'!G116,'A-8'!G187,'A-8'!G258))</f>
        <v>26086</v>
      </c>
      <c r="H21" s="200">
        <f>IF(AND('A-8'!H116="-",'A-8'!H187="-",'A-8'!H258="-"),"-",SUM('A-8'!H116,'A-8'!H187,'A-8'!H258))</f>
        <v>10757</v>
      </c>
      <c r="I21" s="200">
        <f>IF(AND('A-8'!I116="-",'A-8'!I187="-",'A-8'!I258="-"),"-",SUM('A-8'!I116,'A-8'!I187,'A-8'!I258))</f>
        <v>19272</v>
      </c>
      <c r="J21" s="200" t="str">
        <f>IF(AND('A-8'!J116="-",'A-8'!J187="-",'A-8'!J258="-"),"-",SUM('A-8'!J116,'A-8'!J187,'A-8'!J258))</f>
        <v>-</v>
      </c>
      <c r="K21" s="200" t="str">
        <f>IF(AND('A-8'!K116="-",'A-8'!K187="-",'A-8'!K258="-"),"-",SUM('A-8'!K116,'A-8'!K187,'A-8'!K258))</f>
        <v>-</v>
      </c>
      <c r="L21" s="200">
        <f>IF(AND('A-8'!L116="-",'A-8'!L187="-",'A-8'!L258="-"),"-",SUM('A-8'!L116,'A-8'!L187,'A-8'!L258))</f>
        <v>108247</v>
      </c>
      <c r="M21" s="8"/>
      <c r="N21" s="200" t="s">
        <v>29</v>
      </c>
      <c r="O21" s="200" t="s">
        <v>29</v>
      </c>
      <c r="P21" s="200" t="s">
        <v>29</v>
      </c>
      <c r="Q21" s="200" t="str">
        <f>IF(AND('A-8'!N116="-",'A-8'!N187="-",'A-8'!N258="-"),"-",SUM('A-8'!N116,'A-8'!N187,'A-8'!N258))</f>
        <v>-</v>
      </c>
      <c r="R21" s="200">
        <f>IF(AND('A-8'!O116="-",'A-8'!O187="-",'A-8'!O258="-"),"-",SUM('A-8'!O116,'A-8'!O187,'A-8'!O258))</f>
        <v>23064</v>
      </c>
      <c r="S21" s="200">
        <f>IF(AND('A-8'!P116="-",'A-8'!P187="-",'A-8'!P258="-"),"-",SUM('A-8'!P116,'A-8'!P187,'A-8'!P258))</f>
        <v>25133</v>
      </c>
      <c r="T21" s="200" t="str">
        <f>IF(AND('A-8'!Q116="-",'A-8'!Q187="-",'A-8'!Q258="-"),"-",SUM('A-8'!Q116,'A-8'!Q187,'A-8'!Q258))</f>
        <v>-</v>
      </c>
      <c r="U21" s="200">
        <f>IF(AND('A-8'!R116="-",'A-8'!R187="-",'A-8'!R258="-"),"-",SUM('A-8'!R116,'A-8'!R187,'A-8'!R258))</f>
        <v>12</v>
      </c>
      <c r="V21" s="200" t="s">
        <v>29</v>
      </c>
      <c r="W21" s="200" t="s">
        <v>29</v>
      </c>
      <c r="X21" s="200">
        <f t="shared" si="0"/>
        <v>48209</v>
      </c>
    </row>
    <row r="22" spans="1:26" ht="11.25" customHeight="1" x14ac:dyDescent="0.25">
      <c r="A22" s="383">
        <v>1993</v>
      </c>
      <c r="B22" s="200" t="str">
        <f>IF(AND('A-8'!B117="-",'A-8'!B188="-",'A-8'!B259="-"),"-",SUM('A-8'!B117,'A-8'!B188,'A-8'!B259))</f>
        <v>-</v>
      </c>
      <c r="C22" s="200" t="str">
        <f>IF(AND('A-8'!C117="-",'A-8'!C188="-",'A-8'!C259="-"),"-",SUM('A-8'!C117,'A-8'!C188,'A-8'!C259))</f>
        <v>-</v>
      </c>
      <c r="D22" s="200">
        <f>IF(AND('A-8'!D117="-",'A-8'!D188="-",'A-8'!D259="-"),"-",SUM('A-8'!D117,'A-8'!D188,'A-8'!D259))</f>
        <v>20311</v>
      </c>
      <c r="E22" s="200">
        <f>IF(AND('A-8'!E117="-",'A-8'!E188="-",'A-8'!E259="-"),"-",SUM('A-8'!E117,'A-8'!E188,'A-8'!E259))</f>
        <v>14723</v>
      </c>
      <c r="F22" s="200">
        <f>IF(AND('A-8'!F117="-",'A-8'!F188="-",'A-8'!F259="-"),"-",SUM('A-8'!F117,'A-8'!F188,'A-8'!F259))</f>
        <v>12952</v>
      </c>
      <c r="G22" s="200">
        <f>IF(AND('A-8'!G117="-",'A-8'!G188="-",'A-8'!G259="-"),"-",SUM('A-8'!G117,'A-8'!G188,'A-8'!G259))</f>
        <v>10436</v>
      </c>
      <c r="H22" s="200">
        <f>IF(AND('A-8'!H117="-",'A-8'!H188="-",'A-8'!H259="-"),"-",SUM('A-8'!H117,'A-8'!H188,'A-8'!H259))</f>
        <v>15578</v>
      </c>
      <c r="I22" s="200">
        <f>IF(AND('A-8'!I117="-",'A-8'!I188="-",'A-8'!I259="-"),"-",SUM('A-8'!I117,'A-8'!I188,'A-8'!I259))</f>
        <v>6454</v>
      </c>
      <c r="J22" s="200">
        <f>IF(AND('A-8'!J117="-",'A-8'!J188="-",'A-8'!J259="-"),"-",SUM('A-8'!J117,'A-8'!J188,'A-8'!J259))</f>
        <v>658</v>
      </c>
      <c r="K22" s="200" t="str">
        <f>IF(AND('A-8'!K117="-",'A-8'!K188="-",'A-8'!K259="-"),"-",SUM('A-8'!K117,'A-8'!K188,'A-8'!K259))</f>
        <v>-</v>
      </c>
      <c r="L22" s="200">
        <f>IF(AND('A-8'!L117="-",'A-8'!L188="-",'A-8'!L259="-"),"-",SUM('A-8'!L117,'A-8'!L188,'A-8'!L259))</f>
        <v>81112</v>
      </c>
      <c r="M22" s="8"/>
      <c r="N22" s="200" t="s">
        <v>29</v>
      </c>
      <c r="O22" s="200" t="s">
        <v>29</v>
      </c>
      <c r="P22" s="200" t="s">
        <v>29</v>
      </c>
      <c r="Q22" s="200" t="str">
        <f>IF(AND('A-8'!N117="-",'A-8'!N188="-",'A-8'!N259="-"),"-",SUM('A-8'!N117,'A-8'!N188,'A-8'!N259))</f>
        <v>-</v>
      </c>
      <c r="R22" s="200" t="str">
        <f>IF(AND('A-8'!O117="-",'A-8'!O188="-",'A-8'!O259="-"),"-",SUM('A-8'!O117,'A-8'!O188,'A-8'!O259))</f>
        <v>-</v>
      </c>
      <c r="S22" s="200">
        <f>IF(AND('A-8'!P117="-",'A-8'!P188="-",'A-8'!P259="-"),"-",SUM('A-8'!P117,'A-8'!P188,'A-8'!P259))</f>
        <v>2</v>
      </c>
      <c r="T22" s="200" t="str">
        <f>IF(AND('A-8'!Q117="-",'A-8'!Q188="-",'A-8'!Q259="-"),"-",SUM('A-8'!Q117,'A-8'!Q188,'A-8'!Q259))</f>
        <v>-</v>
      </c>
      <c r="U22" s="200">
        <f>IF(AND('A-8'!R117="-",'A-8'!R188="-",'A-8'!R259="-"),"-",SUM('A-8'!R117,'A-8'!R188,'A-8'!R259))</f>
        <v>25</v>
      </c>
      <c r="V22" s="200" t="s">
        <v>29</v>
      </c>
      <c r="W22" s="200" t="s">
        <v>29</v>
      </c>
      <c r="X22" s="200">
        <f t="shared" si="0"/>
        <v>27</v>
      </c>
    </row>
    <row r="23" spans="1:26" ht="11.25" customHeight="1" x14ac:dyDescent="0.25">
      <c r="A23" s="383">
        <v>1994</v>
      </c>
      <c r="B23" s="200" t="str">
        <f>IF(AND('A-8'!B118="-",'A-8'!B189="-",'A-8'!B260="-"),"-",SUM('A-8'!B118,'A-8'!B189,'A-8'!B260))</f>
        <v>-</v>
      </c>
      <c r="C23" s="200" t="str">
        <f>IF(AND('A-8'!C118="-",'A-8'!C189="-",'A-8'!C260="-"),"-",SUM('A-8'!C118,'A-8'!C189,'A-8'!C260))</f>
        <v>-</v>
      </c>
      <c r="D23" s="200">
        <f>IF(AND('A-8'!D118="-",'A-8'!D189="-",'A-8'!D260="-"),"-",SUM('A-8'!D118,'A-8'!D189,'A-8'!D260))</f>
        <v>7661</v>
      </c>
      <c r="E23" s="200">
        <f>IF(AND('A-8'!E118="-",'A-8'!E189="-",'A-8'!E260="-"),"-",SUM('A-8'!E118,'A-8'!E189,'A-8'!E260))</f>
        <v>8906</v>
      </c>
      <c r="F23" s="200" t="str">
        <f>IF(AND('A-8'!F118="-",'A-8'!F189="-",'A-8'!F260="-"),"-",SUM('A-8'!F118,'A-8'!F189,'A-8'!F260))</f>
        <v>-</v>
      </c>
      <c r="G23" s="200" t="str">
        <f>IF(AND('A-8'!G118="-",'A-8'!G189="-",'A-8'!G260="-"),"-",SUM('A-8'!G118,'A-8'!G189,'A-8'!G260))</f>
        <v>-</v>
      </c>
      <c r="H23" s="200">
        <f>IF(AND('A-8'!H118="-",'A-8'!H189="-",'A-8'!H260="-"),"-",SUM('A-8'!H118,'A-8'!H189,'A-8'!H260))</f>
        <v>1239</v>
      </c>
      <c r="I23" s="200">
        <f>IF(AND('A-8'!I118="-",'A-8'!I189="-",'A-8'!I260="-"),"-",SUM('A-8'!I118,'A-8'!I189,'A-8'!I260))</f>
        <v>5545</v>
      </c>
      <c r="J23" s="200">
        <f>IF(AND('A-8'!J118="-",'A-8'!J189="-",'A-8'!J260="-"),"-",SUM('A-8'!J118,'A-8'!J189,'A-8'!J260))</f>
        <v>378</v>
      </c>
      <c r="K23" s="200" t="str">
        <f>IF(AND('A-8'!K118="-",'A-8'!K189="-",'A-8'!K260="-"),"-",SUM('A-8'!K118,'A-8'!K189,'A-8'!K260))</f>
        <v>-</v>
      </c>
      <c r="L23" s="200">
        <f>IF(AND('A-8'!L118="-",'A-8'!L189="-",'A-8'!L260="-"),"-",SUM('A-8'!L118,'A-8'!L189,'A-8'!L260))</f>
        <v>23729</v>
      </c>
      <c r="M23" s="8"/>
      <c r="N23" s="200" t="s">
        <v>29</v>
      </c>
      <c r="O23" s="200" t="s">
        <v>29</v>
      </c>
      <c r="P23" s="200" t="s">
        <v>29</v>
      </c>
      <c r="Q23" s="200" t="str">
        <f>IF(AND('A-8'!N118="-",'A-8'!N189="-",'A-8'!N260="-"),"-",SUM('A-8'!N118,'A-8'!N189,'A-8'!N260))</f>
        <v>-</v>
      </c>
      <c r="R23" s="200" t="str">
        <f>IF(AND('A-8'!O118="-",'A-8'!O189="-",'A-8'!O260="-"),"-",SUM('A-8'!O118,'A-8'!O189,'A-8'!O260))</f>
        <v>-</v>
      </c>
      <c r="S23" s="200" t="str">
        <f>IF(AND('A-8'!P118="-",'A-8'!P189="-",'A-8'!P260="-"),"-",SUM('A-8'!P118,'A-8'!P189,'A-8'!P260))</f>
        <v>-</v>
      </c>
      <c r="T23" s="200" t="str">
        <f>IF(AND('A-8'!Q118="-",'A-8'!Q189="-",'A-8'!Q260="-"),"-",SUM('A-8'!Q118,'A-8'!Q189,'A-8'!Q260))</f>
        <v>-</v>
      </c>
      <c r="U23" s="200" t="str">
        <f>IF(AND('A-8'!R118="-",'A-8'!R189="-",'A-8'!R260="-"),"-",SUM('A-8'!R118,'A-8'!R189,'A-8'!R260))</f>
        <v>-</v>
      </c>
      <c r="V23" s="200" t="s">
        <v>29</v>
      </c>
      <c r="W23" s="200" t="s">
        <v>29</v>
      </c>
      <c r="X23" s="200" t="s">
        <v>29</v>
      </c>
    </row>
    <row r="24" spans="1:26" ht="11.25" customHeight="1" x14ac:dyDescent="0.25">
      <c r="A24" s="383">
        <v>1995</v>
      </c>
      <c r="B24" s="200" t="str">
        <f>IF(AND('A-8'!B119="-",'A-8'!B190="-",'A-8'!B261="-"),"-",SUM('A-8'!B119,'A-8'!B190,'A-8'!B261))</f>
        <v>-</v>
      </c>
      <c r="C24" s="200" t="str">
        <f>IF(AND('A-8'!C119="-",'A-8'!C190="-",'A-8'!C261="-"),"-",SUM('A-8'!C119,'A-8'!C190,'A-8'!C261))</f>
        <v>-</v>
      </c>
      <c r="D24" s="200">
        <f>IF(AND('A-8'!D119="-",'A-8'!D190="-",'A-8'!D261="-"),"-",SUM('A-8'!D119,'A-8'!D190,'A-8'!D261))</f>
        <v>10602</v>
      </c>
      <c r="E24" s="200">
        <f>IF(AND('A-8'!E119="-",'A-8'!E190="-",'A-8'!E261="-"),"-",SUM('A-8'!E119,'A-8'!E190,'A-8'!E261))</f>
        <v>35866</v>
      </c>
      <c r="F24" s="200" t="str">
        <f>IF(AND('A-8'!F119="-",'A-8'!F190="-",'A-8'!F261="-"),"-",SUM('A-8'!F119,'A-8'!F190,'A-8'!F261))</f>
        <v>-</v>
      </c>
      <c r="G24" s="200">
        <f>IF(AND('A-8'!G119="-",'A-8'!G190="-",'A-8'!G261="-"),"-",SUM('A-8'!G119,'A-8'!G190,'A-8'!G261))</f>
        <v>97878</v>
      </c>
      <c r="H24" s="200">
        <f>IF(AND('A-8'!H119="-",'A-8'!H190="-",'A-8'!H261="-"),"-",SUM('A-8'!H119,'A-8'!H190,'A-8'!H261))</f>
        <v>38547</v>
      </c>
      <c r="I24" s="200">
        <f>IF(AND('A-8'!I119="-",'A-8'!I190="-",'A-8'!I261="-"),"-",SUM('A-8'!I119,'A-8'!I190,'A-8'!I261))</f>
        <v>27247</v>
      </c>
      <c r="J24" s="200">
        <f>IF(AND('A-8'!J119="-",'A-8'!J190="-",'A-8'!J261="-"),"-",SUM('A-8'!J119,'A-8'!J190,'A-8'!J261))</f>
        <v>324</v>
      </c>
      <c r="K24" s="200" t="str">
        <f>IF(AND('A-8'!K119="-",'A-8'!K190="-",'A-8'!K261="-"),"-",SUM('A-8'!K119,'A-8'!K190,'A-8'!K261))</f>
        <v>-</v>
      </c>
      <c r="L24" s="200">
        <f>IF(AND('A-8'!L119="-",'A-8'!L190="-",'A-8'!L261="-"),"-",SUM('A-8'!L119,'A-8'!L190,'A-8'!L261))</f>
        <v>210464</v>
      </c>
      <c r="M24" s="8"/>
      <c r="N24" s="200" t="s">
        <v>29</v>
      </c>
      <c r="O24" s="200" t="s">
        <v>29</v>
      </c>
      <c r="P24" s="200" t="s">
        <v>29</v>
      </c>
      <c r="Q24" s="200" t="str">
        <f>IF(AND('A-8'!N119="-",'A-8'!N190="-",'A-8'!N261="-"),"-",SUM('A-8'!N119,'A-8'!N190,'A-8'!N261))</f>
        <v>-</v>
      </c>
      <c r="R24" s="200" t="str">
        <f>IF(AND('A-8'!O119="-",'A-8'!O190="-",'A-8'!O261="-"),"-",SUM('A-8'!O119,'A-8'!O190,'A-8'!O261))</f>
        <v>-</v>
      </c>
      <c r="S24" s="200" t="str">
        <f>IF(AND('A-8'!P119="-",'A-8'!P190="-",'A-8'!P261="-"),"-",SUM('A-8'!P119,'A-8'!P190,'A-8'!P261))</f>
        <v>-</v>
      </c>
      <c r="T24" s="200" t="str">
        <f>IF(AND('A-8'!Q119="-",'A-8'!Q190="-",'A-8'!Q261="-"),"-",SUM('A-8'!Q119,'A-8'!Q190,'A-8'!Q261))</f>
        <v>-</v>
      </c>
      <c r="U24" s="200" t="str">
        <f>IF(AND('A-8'!R119="-",'A-8'!R190="-",'A-8'!R261="-"),"-",SUM('A-8'!R119,'A-8'!R190,'A-8'!R261))</f>
        <v>-</v>
      </c>
      <c r="V24" s="200" t="s">
        <v>29</v>
      </c>
      <c r="W24" s="200" t="s">
        <v>29</v>
      </c>
      <c r="X24" s="200" t="s">
        <v>29</v>
      </c>
    </row>
    <row r="25" spans="1:26" ht="11.25" customHeight="1" x14ac:dyDescent="0.25">
      <c r="A25" s="383">
        <v>1996</v>
      </c>
      <c r="B25" s="200" t="str">
        <f>IF(AND('A-8'!B120="-",'A-8'!B191="-",'A-8'!B262="-"),"-",SUM('A-8'!B120,'A-8'!B191,'A-8'!B262))</f>
        <v>-</v>
      </c>
      <c r="C25" s="200" t="str">
        <f>IF(AND('A-8'!C120="-",'A-8'!C191="-",'A-8'!C262="-"),"-",SUM('A-8'!C120,'A-8'!C191,'A-8'!C262))</f>
        <v>-</v>
      </c>
      <c r="D25" s="200">
        <f>IF(AND('A-8'!D120="-",'A-8'!D191="-",'A-8'!D262="-"),"-",SUM('A-8'!D120,'A-8'!D191,'A-8'!D262))</f>
        <v>25630</v>
      </c>
      <c r="E25" s="200">
        <f>IF(AND('A-8'!E120="-",'A-8'!E191="-",'A-8'!E262="-"),"-",SUM('A-8'!E120,'A-8'!E191,'A-8'!E262))</f>
        <v>39267</v>
      </c>
      <c r="F25" s="200" t="str">
        <f>IF(AND('A-8'!F120="-",'A-8'!F191="-",'A-8'!F262="-"),"-",SUM('A-8'!F120,'A-8'!F191,'A-8'!F262))</f>
        <v>-</v>
      </c>
      <c r="G25" s="200">
        <f>IF(AND('A-8'!G120="-",'A-8'!G191="-",'A-8'!G262="-"),"-",SUM('A-8'!G120,'A-8'!G191,'A-8'!G262))</f>
        <v>60797</v>
      </c>
      <c r="H25" s="200">
        <f>IF(AND('A-8'!H120="-",'A-8'!H191="-",'A-8'!H262="-"),"-",SUM('A-8'!H120,'A-8'!H191,'A-8'!H262))</f>
        <v>25967</v>
      </c>
      <c r="I25" s="200">
        <f>IF(AND('A-8'!I120="-",'A-8'!I191="-",'A-8'!I262="-"),"-",SUM('A-8'!I120,'A-8'!I191,'A-8'!I262))</f>
        <v>14139</v>
      </c>
      <c r="J25" s="200">
        <f>IF(AND('A-8'!J120="-",'A-8'!J191="-",'A-8'!J262="-"),"-",SUM('A-8'!J120,'A-8'!J191,'A-8'!J262))</f>
        <v>845</v>
      </c>
      <c r="K25" s="200" t="str">
        <f>IF(AND('A-8'!K120="-",'A-8'!K191="-",'A-8'!K262="-"),"-",SUM('A-8'!K120,'A-8'!K191,'A-8'!K262))</f>
        <v>-</v>
      </c>
      <c r="L25" s="200">
        <f>IF(AND('A-8'!L120="-",'A-8'!L191="-",'A-8'!L262="-"),"-",SUM('A-8'!L120,'A-8'!L191,'A-8'!L262))</f>
        <v>166645</v>
      </c>
      <c r="M25" s="8"/>
      <c r="N25" s="200" t="s">
        <v>29</v>
      </c>
      <c r="O25" s="200" t="s">
        <v>29</v>
      </c>
      <c r="P25" s="200" t="s">
        <v>29</v>
      </c>
      <c r="Q25" s="200">
        <f>IF(AND('A-8'!N120="-",'A-8'!N191="-",'A-8'!N262="-"),"-",SUM('A-8'!N120,'A-8'!N191,'A-8'!N262))</f>
        <v>8</v>
      </c>
      <c r="R25" s="200" t="str">
        <f>IF(AND('A-8'!O120="-",'A-8'!O191="-",'A-8'!O262="-"),"-",SUM('A-8'!O120,'A-8'!O191,'A-8'!O262))</f>
        <v>-</v>
      </c>
      <c r="S25" s="200" t="str">
        <f>IF(AND('A-8'!P120="-",'A-8'!P191="-",'A-8'!P262="-"),"-",SUM('A-8'!P120,'A-8'!P191,'A-8'!P262))</f>
        <v>-</v>
      </c>
      <c r="T25" s="200" t="str">
        <f>IF(AND('A-8'!Q120="-",'A-8'!Q191="-",'A-8'!Q262="-"),"-",SUM('A-8'!Q120,'A-8'!Q191,'A-8'!Q262))</f>
        <v>-</v>
      </c>
      <c r="U25" s="200" t="str">
        <f>IF(AND('A-8'!R120="-",'A-8'!R191="-",'A-8'!R262="-"),"-",SUM('A-8'!R120,'A-8'!R191,'A-8'!R262))</f>
        <v>-</v>
      </c>
      <c r="V25" s="200" t="s">
        <v>29</v>
      </c>
      <c r="W25" s="200" t="s">
        <v>29</v>
      </c>
      <c r="X25" s="200">
        <f t="shared" si="0"/>
        <v>8</v>
      </c>
    </row>
    <row r="26" spans="1:26" ht="11.25" customHeight="1" x14ac:dyDescent="0.25">
      <c r="A26" s="383">
        <v>1997</v>
      </c>
      <c r="B26" s="200" t="str">
        <f>IF(AND('A-8'!B121="-",'A-8'!B192="-",'A-8'!B263="-"),"-",SUM('A-8'!B121,'A-8'!B192,'A-8'!B263))</f>
        <v>-</v>
      </c>
      <c r="C26" s="200">
        <f>IF(AND('A-8'!C121="-",'A-8'!C192="-",'A-8'!C263="-"),"-",SUM('A-8'!C121,'A-8'!C192,'A-8'!C263))</f>
        <v>4392</v>
      </c>
      <c r="D26" s="200">
        <f>IF(AND('A-8'!D121="-",'A-8'!D192="-",'A-8'!D263="-"),"-",SUM('A-8'!D121,'A-8'!D192,'A-8'!D263))</f>
        <v>31018</v>
      </c>
      <c r="E26" s="200">
        <f>IF(AND('A-8'!E121="-",'A-8'!E192="-",'A-8'!E263="-"),"-",SUM('A-8'!E121,'A-8'!E192,'A-8'!E263))</f>
        <v>35381</v>
      </c>
      <c r="F26" s="200" t="str">
        <f>IF(AND('A-8'!F121="-",'A-8'!F192="-",'A-8'!F263="-"),"-",SUM('A-8'!F121,'A-8'!F192,'A-8'!F263))</f>
        <v>-</v>
      </c>
      <c r="G26" s="200">
        <f>IF(AND('A-8'!G121="-",'A-8'!G192="-",'A-8'!G263="-"),"-",SUM('A-8'!G121,'A-8'!G192,'A-8'!G263))</f>
        <v>44588</v>
      </c>
      <c r="H26" s="200">
        <f>IF(AND('A-8'!H121="-",'A-8'!H192="-",'A-8'!H263="-"),"-",SUM('A-8'!H121,'A-8'!H192,'A-8'!H263))</f>
        <v>25786</v>
      </c>
      <c r="I26" s="200">
        <f>IF(AND('A-8'!I121="-",'A-8'!I192="-",'A-8'!I263="-"),"-",SUM('A-8'!I121,'A-8'!I192,'A-8'!I263))</f>
        <v>4501</v>
      </c>
      <c r="J26" s="200">
        <f>IF(AND('A-8'!J121="-",'A-8'!J192="-",'A-8'!J263="-"),"-",SUM('A-8'!J121,'A-8'!J192,'A-8'!J263))</f>
        <v>492</v>
      </c>
      <c r="K26" s="200" t="str">
        <f>IF(AND('A-8'!K121="-",'A-8'!K192="-",'A-8'!K263="-"),"-",SUM('A-8'!K121,'A-8'!K192,'A-8'!K263))</f>
        <v>-</v>
      </c>
      <c r="L26" s="200">
        <f>IF(AND('A-8'!L121="-",'A-8'!L192="-",'A-8'!L263="-"),"-",SUM('A-8'!L121,'A-8'!L192,'A-8'!L263))</f>
        <v>146158</v>
      </c>
      <c r="M26" s="8"/>
      <c r="N26" s="200" t="s">
        <v>29</v>
      </c>
      <c r="O26" s="200" t="s">
        <v>29</v>
      </c>
      <c r="P26" s="200" t="s">
        <v>29</v>
      </c>
      <c r="Q26" s="200" t="str">
        <f>IF(AND('A-8'!N121="-",'A-8'!N192="-",'A-8'!N263="-"),"-",SUM('A-8'!N121,'A-8'!N192,'A-8'!N263))</f>
        <v>-</v>
      </c>
      <c r="R26" s="200" t="str">
        <f>IF(AND('A-8'!O121="-",'A-8'!O192="-",'A-8'!O263="-"),"-",SUM('A-8'!O121,'A-8'!O192,'A-8'!O263))</f>
        <v>-</v>
      </c>
      <c r="S26" s="200" t="str">
        <f>IF(AND('A-8'!P121="-",'A-8'!P192="-",'A-8'!P263="-"),"-",SUM('A-8'!P121,'A-8'!P192,'A-8'!P263))</f>
        <v>-</v>
      </c>
      <c r="T26" s="200" t="str">
        <f>IF(AND('A-8'!Q121="-",'A-8'!Q192="-",'A-8'!Q263="-"),"-",SUM('A-8'!Q121,'A-8'!Q192,'A-8'!Q263))</f>
        <v>-</v>
      </c>
      <c r="U26" s="200" t="str">
        <f>IF(AND('A-8'!R121="-",'A-8'!R192="-",'A-8'!R263="-"),"-",SUM('A-8'!R121,'A-8'!R192,'A-8'!R263))</f>
        <v>-</v>
      </c>
      <c r="V26" s="200" t="s">
        <v>29</v>
      </c>
      <c r="W26" s="200" t="s">
        <v>29</v>
      </c>
      <c r="X26" s="200" t="s">
        <v>29</v>
      </c>
    </row>
    <row r="27" spans="1:26" ht="11.25" customHeight="1" x14ac:dyDescent="0.25">
      <c r="A27" s="383">
        <v>1998</v>
      </c>
      <c r="B27" s="200" t="str">
        <f>IF(AND('A-8'!B122="-",'A-8'!B193="-",'A-8'!B264="-"),"-",SUM('A-8'!B122,'A-8'!B193,'A-8'!B264))</f>
        <v>-</v>
      </c>
      <c r="C27" s="200">
        <f>IF(AND('A-8'!C122="-",'A-8'!C193="-",'A-8'!C264="-"),"-",SUM('A-8'!C122,'A-8'!C193,'A-8'!C264))</f>
        <v>19953</v>
      </c>
      <c r="D27" s="200">
        <f>IF(AND('A-8'!D122="-",'A-8'!D193="-",'A-8'!D264="-"),"-",SUM('A-8'!D122,'A-8'!D193,'A-8'!D264))</f>
        <v>39671</v>
      </c>
      <c r="E27" s="200">
        <f>IF(AND('A-8'!E122="-",'A-8'!E193="-",'A-8'!E264="-"),"-",SUM('A-8'!E122,'A-8'!E193,'A-8'!E264))</f>
        <v>33749</v>
      </c>
      <c r="F27" s="200" t="str">
        <f>IF(AND('A-8'!F122="-",'A-8'!F193="-",'A-8'!F264="-"),"-",SUM('A-8'!F122,'A-8'!F193,'A-8'!F264))</f>
        <v>-</v>
      </c>
      <c r="G27" s="200">
        <f>IF(AND('A-8'!G122="-",'A-8'!G193="-",'A-8'!G264="-"),"-",SUM('A-8'!G122,'A-8'!G193,'A-8'!G264))</f>
        <v>20875</v>
      </c>
      <c r="H27" s="200">
        <f>IF(AND('A-8'!H122="-",'A-8'!H193="-",'A-8'!H264="-"),"-",SUM('A-8'!H122,'A-8'!H193,'A-8'!H264))</f>
        <v>4952</v>
      </c>
      <c r="I27" s="200">
        <f>IF(AND('A-8'!I122="-",'A-8'!I193="-",'A-8'!I264="-"),"-",SUM('A-8'!I122,'A-8'!I193,'A-8'!I264))</f>
        <v>3368</v>
      </c>
      <c r="J27" s="200">
        <f>IF(AND('A-8'!J122="-",'A-8'!J193="-",'A-8'!J264="-"),"-",SUM('A-8'!J122,'A-8'!J193,'A-8'!J264))</f>
        <v>900</v>
      </c>
      <c r="K27" s="200" t="str">
        <f>IF(AND('A-8'!K122="-",'A-8'!K193="-",'A-8'!K264="-"),"-",SUM('A-8'!K122,'A-8'!K193,'A-8'!K264))</f>
        <v>-</v>
      </c>
      <c r="L27" s="200">
        <f>IF(AND('A-8'!L122="-",'A-8'!L193="-",'A-8'!L264="-"),"-",SUM('A-8'!L122,'A-8'!L193,'A-8'!L264))</f>
        <v>123468</v>
      </c>
      <c r="M27" s="8"/>
      <c r="N27" s="200" t="s">
        <v>29</v>
      </c>
      <c r="O27" s="200" t="s">
        <v>29</v>
      </c>
      <c r="P27" s="200" t="s">
        <v>29</v>
      </c>
      <c r="Q27" s="200" t="str">
        <f>IF(AND('A-8'!N122="-",'A-8'!N193="-",'A-8'!N264="-"),"-",SUM('A-8'!N122,'A-8'!N193,'A-8'!N264))</f>
        <v>-</v>
      </c>
      <c r="R27" s="200" t="str">
        <f>IF(AND('A-8'!O122="-",'A-8'!O193="-",'A-8'!O264="-"),"-",SUM('A-8'!O122,'A-8'!O193,'A-8'!O264))</f>
        <v>-</v>
      </c>
      <c r="S27" s="200" t="str">
        <f>IF(AND('A-8'!P122="-",'A-8'!P193="-",'A-8'!P264="-"),"-",SUM('A-8'!P122,'A-8'!P193,'A-8'!P264))</f>
        <v>-</v>
      </c>
      <c r="T27" s="200" t="str">
        <f>IF(AND('A-8'!Q122="-",'A-8'!Q193="-",'A-8'!Q264="-"),"-",SUM('A-8'!Q122,'A-8'!Q193,'A-8'!Q264))</f>
        <v>-</v>
      </c>
      <c r="U27" s="200" t="str">
        <f>IF(AND('A-8'!R122="-",'A-8'!R193="-",'A-8'!R264="-"),"-",SUM('A-8'!R122,'A-8'!R193,'A-8'!R264))</f>
        <v>-</v>
      </c>
      <c r="V27" s="200" t="s">
        <v>29</v>
      </c>
      <c r="W27" s="200" t="s">
        <v>29</v>
      </c>
      <c r="X27" s="200" t="s">
        <v>29</v>
      </c>
    </row>
    <row r="28" spans="1:26" ht="11.25" customHeight="1" x14ac:dyDescent="0.25">
      <c r="A28" s="383">
        <v>1999</v>
      </c>
      <c r="B28" s="200" t="str">
        <f>IF(AND('A-8'!B123="-",'A-8'!B194="-",'A-8'!B265="-"),"-",SUM('A-8'!B123,'A-8'!B194,'A-8'!B265))</f>
        <v>-</v>
      </c>
      <c r="C28" s="200">
        <f>IF(AND('A-8'!C123="-",'A-8'!C194="-",'A-8'!C265="-"),"-",SUM('A-8'!C123,'A-8'!C194,'A-8'!C265))</f>
        <v>826</v>
      </c>
      <c r="D28" s="200">
        <f>IF(AND('A-8'!D123="-",'A-8'!D194="-",'A-8'!D265="-"),"-",SUM('A-8'!D123,'A-8'!D194,'A-8'!D265))</f>
        <v>6052</v>
      </c>
      <c r="E28" s="200">
        <f>IF(AND('A-8'!E123="-",'A-8'!E194="-",'A-8'!E265="-"),"-",SUM('A-8'!E123,'A-8'!E194,'A-8'!E265))</f>
        <v>23447</v>
      </c>
      <c r="F28" s="200">
        <f>IF(AND('A-8'!F123="-",'A-8'!F194="-",'A-8'!F265="-"),"-",SUM('A-8'!F123,'A-8'!F194,'A-8'!F265))</f>
        <v>8095</v>
      </c>
      <c r="G28" s="200">
        <f>IF(AND('A-8'!G123="-",'A-8'!G194="-",'A-8'!G265="-"),"-",SUM('A-8'!G123,'A-8'!G194,'A-8'!G265))</f>
        <v>17220</v>
      </c>
      <c r="H28" s="200">
        <f>IF(AND('A-8'!H123="-",'A-8'!H194="-",'A-8'!H265="-"),"-",SUM('A-8'!H123,'A-8'!H194,'A-8'!H265))</f>
        <v>1784</v>
      </c>
      <c r="I28" s="200">
        <f>IF(AND('A-8'!I123="-",'A-8'!I194="-",'A-8'!I265="-"),"-",SUM('A-8'!I123,'A-8'!I194,'A-8'!I265))</f>
        <v>2452</v>
      </c>
      <c r="J28" s="200">
        <f>IF(AND('A-8'!J123="-",'A-8'!J194="-",'A-8'!J265="-"),"-",SUM('A-8'!J123,'A-8'!J194,'A-8'!J265))</f>
        <v>1237</v>
      </c>
      <c r="K28" s="200">
        <f>IF(AND('A-8'!K123="-",'A-8'!K194="-",'A-8'!K265="-"),"-",SUM('A-8'!K123,'A-8'!K194,'A-8'!K265))</f>
        <v>43</v>
      </c>
      <c r="L28" s="200">
        <f>IF(AND('A-8'!L123="-",'A-8'!L194="-",'A-8'!L265="-"),"-",SUM('A-8'!L123,'A-8'!L194,'A-8'!L265))</f>
        <v>61156</v>
      </c>
      <c r="M28" s="8"/>
      <c r="N28" s="200" t="s">
        <v>29</v>
      </c>
      <c r="O28" s="200" t="s">
        <v>29</v>
      </c>
      <c r="P28" s="200" t="s">
        <v>29</v>
      </c>
      <c r="Q28" s="200" t="str">
        <f>IF(AND('A-8'!N123="-",'A-8'!N194="-",'A-8'!N265="-"),"-",SUM('A-8'!N123,'A-8'!N194,'A-8'!N265))</f>
        <v>-</v>
      </c>
      <c r="R28" s="200" t="str">
        <f>IF(AND('A-8'!O123="-",'A-8'!O194="-",'A-8'!O265="-"),"-",SUM('A-8'!O123,'A-8'!O194,'A-8'!O265))</f>
        <v>-</v>
      </c>
      <c r="S28" s="200" t="str">
        <f>IF(AND('A-8'!P123="-",'A-8'!P194="-",'A-8'!P265="-"),"-",SUM('A-8'!P123,'A-8'!P194,'A-8'!P265))</f>
        <v>-</v>
      </c>
      <c r="T28" s="200" t="str">
        <f>IF(AND('A-8'!Q123="-",'A-8'!Q194="-",'A-8'!Q265="-"),"-",SUM('A-8'!Q123,'A-8'!Q194,'A-8'!Q265))</f>
        <v>-</v>
      </c>
      <c r="U28" s="200" t="str">
        <f>IF(AND('A-8'!R123="-",'A-8'!R194="-",'A-8'!R265="-"),"-",SUM('A-8'!R123,'A-8'!R194,'A-8'!R265))</f>
        <v>-</v>
      </c>
      <c r="V28" s="200" t="s">
        <v>29</v>
      </c>
      <c r="W28" s="200" t="s">
        <v>29</v>
      </c>
      <c r="X28" s="200" t="s">
        <v>29</v>
      </c>
    </row>
    <row r="29" spans="1:26" ht="11.25" customHeight="1" x14ac:dyDescent="0.25">
      <c r="A29" s="383">
        <v>2000</v>
      </c>
      <c r="B29" s="200" t="str">
        <f>IF(AND('A-8'!B124="-",'A-8'!B195="-",'A-8'!B266="-"),"-",SUM('A-8'!B124,'A-8'!B195,'A-8'!B266))</f>
        <v>-</v>
      </c>
      <c r="C29" s="200">
        <f>IF(AND('A-8'!C124="-",'A-8'!C195="-",'A-8'!C266="-"),"-",SUM('A-8'!C124,'A-8'!C195,'A-8'!C266))</f>
        <v>1187</v>
      </c>
      <c r="D29" s="200">
        <f>IF(AND('A-8'!D124="-",'A-8'!D195="-",'A-8'!D266="-"),"-",SUM('A-8'!D124,'A-8'!D195,'A-8'!D266))</f>
        <v>6064</v>
      </c>
      <c r="E29" s="200">
        <f>IF(AND('A-8'!E124="-",'A-8'!E195="-",'A-8'!E266="-"),"-",SUM('A-8'!E124,'A-8'!E195,'A-8'!E266))</f>
        <v>11441</v>
      </c>
      <c r="F29" s="200">
        <f>IF(AND('A-8'!F124="-",'A-8'!F195="-",'A-8'!F266="-"),"-",SUM('A-8'!F124,'A-8'!F195,'A-8'!F266))</f>
        <v>19664</v>
      </c>
      <c r="G29" s="200">
        <f>IF(AND('A-8'!G124="-",'A-8'!G195="-",'A-8'!G266="-"),"-",SUM('A-8'!G124,'A-8'!G195,'A-8'!G266))</f>
        <v>47342</v>
      </c>
      <c r="H29" s="200">
        <f>IF(AND('A-8'!H124="-",'A-8'!H195="-",'A-8'!H266="-"),"-",SUM('A-8'!H124,'A-8'!H195,'A-8'!H266))</f>
        <v>30355</v>
      </c>
      <c r="I29" s="200">
        <f>IF(AND('A-8'!I124="-",'A-8'!I195="-",'A-8'!I266="-"),"-",SUM('A-8'!I124,'A-8'!I195,'A-8'!I266))</f>
        <v>12235</v>
      </c>
      <c r="J29" s="200">
        <f>IF(AND('A-8'!J124="-",'A-8'!J195="-",'A-8'!J266="-"),"-",SUM('A-8'!J124,'A-8'!J195,'A-8'!J266))</f>
        <v>1537</v>
      </c>
      <c r="K29" s="200">
        <f>IF(AND('A-8'!K124="-",'A-8'!K195="-",'A-8'!K266="-"),"-",SUM('A-8'!K124,'A-8'!K195,'A-8'!K266))</f>
        <v>367</v>
      </c>
      <c r="L29" s="200">
        <f>IF(AND('A-8'!L124="-",'A-8'!L195="-",'A-8'!L266="-"),"-",SUM('A-8'!L124,'A-8'!L195,'A-8'!L266))</f>
        <v>130192</v>
      </c>
      <c r="M29" s="8"/>
      <c r="N29" s="200" t="s">
        <v>29</v>
      </c>
      <c r="O29" s="200" t="s">
        <v>29</v>
      </c>
      <c r="P29" s="200" t="s">
        <v>29</v>
      </c>
      <c r="Q29" s="200" t="str">
        <f>IF(AND('A-8'!N124="-",'A-8'!N195="-",'A-8'!N266="-"),"-",SUM('A-8'!N124,'A-8'!N195,'A-8'!N266))</f>
        <v>-</v>
      </c>
      <c r="R29" s="200" t="str">
        <f>IF(AND('A-8'!O124="-",'A-8'!O195="-",'A-8'!O266="-"),"-",SUM('A-8'!O124,'A-8'!O195,'A-8'!O266))</f>
        <v>-</v>
      </c>
      <c r="S29" s="200" t="str">
        <f>IF(AND('A-8'!P124="-",'A-8'!P195="-",'A-8'!P266="-"),"-",SUM('A-8'!P124,'A-8'!P195,'A-8'!P266))</f>
        <v>-</v>
      </c>
      <c r="T29" s="200" t="str">
        <f>IF(AND('A-8'!Q124="-",'A-8'!Q195="-",'A-8'!Q266="-"),"-",SUM('A-8'!Q124,'A-8'!Q195,'A-8'!Q266))</f>
        <v>-</v>
      </c>
      <c r="U29" s="200" t="str">
        <f>IF(AND('A-8'!R124="-",'A-8'!R195="-",'A-8'!R266="-"),"-",SUM('A-8'!R124,'A-8'!R195,'A-8'!R266))</f>
        <v>-</v>
      </c>
      <c r="V29" s="200" t="s">
        <v>29</v>
      </c>
      <c r="W29" s="200" t="s">
        <v>29</v>
      </c>
      <c r="X29" s="200" t="s">
        <v>29</v>
      </c>
      <c r="Z29" s="1">
        <v>3</v>
      </c>
    </row>
    <row r="30" spans="1:26" ht="11.25" customHeight="1" x14ac:dyDescent="0.25">
      <c r="A30" s="383">
        <v>2001</v>
      </c>
      <c r="B30" s="200" t="str">
        <f>IF(AND('A-8'!B125="-",'A-8'!B196="-",'A-8'!B267="-"),"-",SUM('A-8'!B125,'A-8'!B196,'A-8'!B267))</f>
        <v>-</v>
      </c>
      <c r="C30" s="200">
        <f>IF(AND('A-8'!C125="-",'A-8'!C196="-",'A-8'!C267="-"),"-",SUM('A-8'!C125,'A-8'!C196,'A-8'!C267))</f>
        <v>18536</v>
      </c>
      <c r="D30" s="200">
        <f>IF(AND('A-8'!D125="-",'A-8'!D196="-",'A-8'!D267="-"),"-",SUM('A-8'!D125,'A-8'!D196,'A-8'!D267))</f>
        <v>60552</v>
      </c>
      <c r="E30" s="200">
        <f>IF(AND('A-8'!E125="-",'A-8'!E196="-",'A-8'!E267="-"),"-",SUM('A-8'!E125,'A-8'!E196,'A-8'!E267))</f>
        <v>42926</v>
      </c>
      <c r="F30" s="200">
        <f>IF(AND('A-8'!F125="-",'A-8'!F196="-",'A-8'!F267="-"),"-",SUM('A-8'!F125,'A-8'!F196,'A-8'!F267))</f>
        <v>37539</v>
      </c>
      <c r="G30" s="200">
        <f>IF(AND('A-8'!G125="-",'A-8'!G196="-",'A-8'!G267="-"),"-",SUM('A-8'!G125,'A-8'!G196,'A-8'!G267))</f>
        <v>60707</v>
      </c>
      <c r="H30" s="200">
        <f>IF(AND('A-8'!H125="-",'A-8'!H196="-",'A-8'!H267="-"),"-",SUM('A-8'!H125,'A-8'!H196,'A-8'!H267))</f>
        <v>30535</v>
      </c>
      <c r="I30" s="200">
        <f>IF(AND('A-8'!I125="-",'A-8'!I196="-",'A-8'!I267="-"),"-",SUM('A-8'!I125,'A-8'!I196,'A-8'!I267))</f>
        <v>15112</v>
      </c>
      <c r="J30" s="200">
        <f>IF(AND('A-8'!J125="-",'A-8'!J196="-",'A-8'!J267="-"),"-",SUM('A-8'!J125,'A-8'!J196,'A-8'!J267))</f>
        <v>1345</v>
      </c>
      <c r="K30" s="200">
        <f>IF(AND('A-8'!K125="-",'A-8'!K196="-",'A-8'!K267="-"),"-",SUM('A-8'!K125,'A-8'!K196,'A-8'!K267))</f>
        <v>21</v>
      </c>
      <c r="L30" s="200"/>
      <c r="M30" s="8"/>
      <c r="N30" s="200" t="s">
        <v>29</v>
      </c>
      <c r="O30" s="200" t="s">
        <v>29</v>
      </c>
      <c r="P30" s="200" t="s">
        <v>29</v>
      </c>
      <c r="Q30" s="200" t="str">
        <f>IF(AND('A-8'!N125="-",'A-8'!N196="-",'A-8'!N267="-"),"-",SUM('A-8'!N125,'A-8'!N196,'A-8'!N267))</f>
        <v>-</v>
      </c>
      <c r="R30" s="200" t="str">
        <f>IF(AND('A-8'!O125="-",'A-8'!O196="-",'A-8'!O267="-"),"-",SUM('A-8'!O125,'A-8'!O196,'A-8'!O267))</f>
        <v>-</v>
      </c>
      <c r="S30" s="200" t="str">
        <f>IF(AND('A-8'!P125="-",'A-8'!P196="-",'A-8'!P267="-"),"-",SUM('A-8'!P125,'A-8'!P196,'A-8'!P267))</f>
        <v>-</v>
      </c>
      <c r="T30" s="200" t="str">
        <f>IF(AND('A-8'!Q125="-",'A-8'!Q196="-",'A-8'!Q267="-"),"-",SUM('A-8'!Q125,'A-8'!Q196,'A-8'!Q267))</f>
        <v>-</v>
      </c>
      <c r="U30" s="200" t="str">
        <f>IF(AND('A-8'!R125="-",'A-8'!R196="-",'A-8'!R267="-"),"-",SUM('A-8'!R125,'A-8'!R196,'A-8'!R267))</f>
        <v>-</v>
      </c>
      <c r="V30" s="200" t="s">
        <v>29</v>
      </c>
      <c r="W30" s="200" t="s">
        <v>29</v>
      </c>
      <c r="X30" s="200" t="s">
        <v>29</v>
      </c>
      <c r="Z30" s="1">
        <v>344</v>
      </c>
    </row>
    <row r="31" spans="1:26" ht="11.25" customHeight="1" x14ac:dyDescent="0.25">
      <c r="A31" s="383">
        <v>2002</v>
      </c>
      <c r="B31" s="200">
        <f>IF(AND('A-8'!B126="-",'A-8'!B197="-",'A-8'!B268="-"),"-",SUM('A-8'!B126,'A-8'!B197,'A-8'!B268))</f>
        <v>6662</v>
      </c>
      <c r="C31" s="200">
        <f>IF(AND('A-8'!C126="-",'A-8'!C197="-",'A-8'!C268="-"),"-",SUM('A-8'!C126,'A-8'!C197,'A-8'!C268))</f>
        <v>10586</v>
      </c>
      <c r="D31" s="200">
        <f>IF(AND('A-8'!D126="-",'A-8'!D197="-",'A-8'!D268="-"),"-",SUM('A-8'!D126,'A-8'!D197,'A-8'!D268))</f>
        <v>23452</v>
      </c>
      <c r="E31" s="200">
        <f>IF(AND('A-8'!E126="-",'A-8'!E197="-",'A-8'!E268="-"),"-",SUM('A-8'!E126,'A-8'!E197,'A-8'!E268))</f>
        <v>59881</v>
      </c>
      <c r="F31" s="200">
        <f>IF(AND('A-8'!F126="-",'A-8'!F197="-",'A-8'!F268="-"),"-",SUM('A-8'!F126,'A-8'!F197,'A-8'!F268))</f>
        <v>12321</v>
      </c>
      <c r="G31" s="200">
        <f>IF(AND('A-8'!G126="-",'A-8'!G197="-",'A-8'!G268="-"),"-",SUM('A-8'!G126,'A-8'!G197,'A-8'!G268))</f>
        <v>28301</v>
      </c>
      <c r="H31" s="200">
        <f>IF(AND('A-8'!H126="-",'A-8'!H197="-",'A-8'!H268="-"),"-",SUM('A-8'!H126,'A-8'!H197,'A-8'!H268))</f>
        <v>58861</v>
      </c>
      <c r="I31" s="200">
        <f>IF(AND('A-8'!I126="-",'A-8'!I197="-",'A-8'!I268="-"),"-",SUM('A-8'!I126,'A-8'!I197,'A-8'!I268))</f>
        <v>83205</v>
      </c>
      <c r="J31" s="200">
        <f>IF(AND('A-8'!J126="-",'A-8'!J197="-",'A-8'!J268="-"),"-",SUM('A-8'!J126,'A-8'!J197,'A-8'!J268))</f>
        <v>1255</v>
      </c>
      <c r="K31" s="200">
        <f>IF(AND('A-8'!K126="-",'A-8'!K197="-",'A-8'!K268="-"),"-",SUM('A-8'!K126,'A-8'!K197,'A-8'!K268))</f>
        <v>65</v>
      </c>
      <c r="L31" s="200">
        <f>IF(AND('A-8'!L126="-",'A-8'!L197="-",'A-8'!L268="-"),"-",SUM('A-8'!L126,'A-8'!L197,'A-8'!L268))</f>
        <v>284589</v>
      </c>
      <c r="M31" s="8"/>
      <c r="N31" s="200" t="s">
        <v>29</v>
      </c>
      <c r="O31" s="200" t="s">
        <v>29</v>
      </c>
      <c r="P31" s="200" t="s">
        <v>29</v>
      </c>
      <c r="Q31" s="200" t="str">
        <f>IF(AND('A-8'!N126="-",'A-8'!N197="-",'A-8'!N268="-"),"-",SUM('A-8'!N126,'A-8'!N197,'A-8'!N268))</f>
        <v>-</v>
      </c>
      <c r="R31" s="200" t="str">
        <f>IF(AND('A-8'!O126="-",'A-8'!O197="-",'A-8'!O268="-"),"-",SUM('A-8'!O126,'A-8'!O197,'A-8'!O268))</f>
        <v>-</v>
      </c>
      <c r="S31" s="200" t="str">
        <f>IF(AND('A-8'!P126="-",'A-8'!P197="-",'A-8'!P268="-"),"-",SUM('A-8'!P126,'A-8'!P197,'A-8'!P268))</f>
        <v>-</v>
      </c>
      <c r="T31" s="200" t="str">
        <f>IF(AND('A-8'!Q126="-",'A-8'!Q197="-",'A-8'!Q268="-"),"-",SUM('A-8'!Q126,'A-8'!Q197,'A-8'!Q268))</f>
        <v>-</v>
      </c>
      <c r="U31" s="200" t="str">
        <f>IF(AND('A-8'!R126="-",'A-8'!R197="-",'A-8'!R268="-"),"-",SUM('A-8'!R126,'A-8'!R197,'A-8'!R268))</f>
        <v>-</v>
      </c>
      <c r="V31" s="200" t="s">
        <v>29</v>
      </c>
      <c r="W31" s="200" t="s">
        <v>29</v>
      </c>
      <c r="X31" s="200" t="s">
        <v>29</v>
      </c>
      <c r="Z31" s="1">
        <v>0</v>
      </c>
    </row>
    <row r="32" spans="1:26" ht="11.25" customHeight="1" x14ac:dyDescent="0.25">
      <c r="A32" s="383">
        <v>2003</v>
      </c>
      <c r="B32" s="200">
        <f>IF(AND('A-8'!B127="-",'A-8'!B198="-",'A-8'!B269="-"),"-",SUM('A-8'!B127,'A-8'!B198,'A-8'!B269))</f>
        <v>3192</v>
      </c>
      <c r="C32" s="200">
        <f>IF(AND('A-8'!C127="-",'A-8'!C198="-",'A-8'!C269="-"),"-",SUM('A-8'!C127,'A-8'!C198,'A-8'!C269))</f>
        <v>58899</v>
      </c>
      <c r="D32" s="200">
        <f>IF(AND('A-8'!D127="-",'A-8'!D198="-",'A-8'!D269="-"),"-",SUM('A-8'!D127,'A-8'!D198,'A-8'!D269))</f>
        <v>73522</v>
      </c>
      <c r="E32" s="200">
        <f>IF(AND('A-8'!E127="-",'A-8'!E198="-",'A-8'!E269="-"),"-",SUM('A-8'!E127,'A-8'!E198,'A-8'!E269))</f>
        <v>31841</v>
      </c>
      <c r="F32" s="200">
        <f>IF(AND('A-8'!F127="-",'A-8'!F198="-",'A-8'!F269="-"),"-",SUM('A-8'!F127,'A-8'!F198,'A-8'!F269))</f>
        <v>19579</v>
      </c>
      <c r="G32" s="200">
        <f>IF(AND('A-8'!G127="-",'A-8'!G198="-",'A-8'!G269="-"),"-",SUM('A-8'!G127,'A-8'!G198,'A-8'!G269))</f>
        <v>37321</v>
      </c>
      <c r="H32" s="200">
        <f>IF(AND('A-8'!H127="-",'A-8'!H198="-",'A-8'!H269="-"),"-",SUM('A-8'!H127,'A-8'!H198,'A-8'!H269))</f>
        <v>49646</v>
      </c>
      <c r="I32" s="200">
        <f>IF(AND('A-8'!I127="-",'A-8'!I198="-",'A-8'!I269="-"),"-",SUM('A-8'!I127,'A-8'!I198,'A-8'!I269))</f>
        <v>39089</v>
      </c>
      <c r="J32" s="200">
        <f>IF(AND('A-8'!J127="-",'A-8'!J198="-",'A-8'!J269="-"),"-",SUM('A-8'!J127,'A-8'!J198,'A-8'!J269))</f>
        <v>996</v>
      </c>
      <c r="K32" s="200">
        <f>IF(AND('A-8'!K127="-",'A-8'!K198="-",'A-8'!K269="-"),"-",SUM('A-8'!K127,'A-8'!K198,'A-8'!K269))</f>
        <v>137</v>
      </c>
      <c r="L32" s="200">
        <f>IF(AND('A-8'!L127="-",'A-8'!L198="-",'A-8'!L269="-"),"-",SUM('A-8'!L127,'A-8'!L198,'A-8'!L269))</f>
        <v>314222</v>
      </c>
      <c r="M32" s="8"/>
      <c r="N32" s="200" t="s">
        <v>29</v>
      </c>
      <c r="O32" s="200" t="s">
        <v>29</v>
      </c>
      <c r="P32" s="200" t="s">
        <v>29</v>
      </c>
      <c r="Q32" s="200" t="str">
        <f>IF(AND('A-8'!N127="-",'A-8'!N198="-",'A-8'!N269="-"),"-",SUM('A-8'!N127,'A-8'!N198,'A-8'!N269))</f>
        <v>-</v>
      </c>
      <c r="R32" s="200" t="str">
        <f>IF(AND('A-8'!O127="-",'A-8'!O198="-",'A-8'!O269="-"),"-",SUM('A-8'!O127,'A-8'!O198,'A-8'!O269))</f>
        <v>-</v>
      </c>
      <c r="S32" s="200" t="str">
        <f>IF(AND('A-8'!P127="-",'A-8'!P198="-",'A-8'!P269="-"),"-",SUM('A-8'!P127,'A-8'!P198,'A-8'!P269))</f>
        <v>-</v>
      </c>
      <c r="T32" s="200" t="str">
        <f>IF(AND('A-8'!Q127="-",'A-8'!Q198="-",'A-8'!Q269="-"),"-",SUM('A-8'!Q127,'A-8'!Q198,'A-8'!Q269))</f>
        <v>-</v>
      </c>
      <c r="U32" s="200" t="str">
        <f>IF(AND('A-8'!R127="-",'A-8'!R198="-",'A-8'!R269="-"),"-",SUM('A-8'!R127,'A-8'!R198,'A-8'!R269))</f>
        <v>-</v>
      </c>
      <c r="V32" s="200" t="s">
        <v>29</v>
      </c>
      <c r="W32" s="200" t="s">
        <v>29</v>
      </c>
      <c r="X32" s="200" t="s">
        <v>29</v>
      </c>
      <c r="Z32" s="1">
        <v>23</v>
      </c>
    </row>
    <row r="33" spans="1:26" ht="11.25" customHeight="1" x14ac:dyDescent="0.25">
      <c r="A33" s="383">
        <v>2004</v>
      </c>
      <c r="B33" s="200">
        <f>IF(AND('A-8'!B128="-",'A-8'!B199="-",'A-8'!B270="-"),"-",SUM('A-8'!B128,'A-8'!B199,'A-8'!B270))</f>
        <v>21043</v>
      </c>
      <c r="C33" s="200">
        <f>IF(AND('A-8'!C128="-",'A-8'!C199="-",'A-8'!C270="-"),"-",SUM('A-8'!C128,'A-8'!C199,'A-8'!C270))</f>
        <v>33989</v>
      </c>
      <c r="D33" s="200">
        <f>IF(AND('A-8'!D128="-",'A-8'!D199="-",'A-8'!D270="-"),"-",SUM('A-8'!D128,'A-8'!D199,'A-8'!D270))</f>
        <v>37270</v>
      </c>
      <c r="E33" s="200">
        <f>IF(AND('A-8'!E128="-",'A-8'!E199="-",'A-8'!E270="-"),"-",SUM('A-8'!E128,'A-8'!E199,'A-8'!E270))</f>
        <v>22899</v>
      </c>
      <c r="F33" s="200">
        <f>IF(AND('A-8'!F128="-",'A-8'!F199="-",'A-8'!F270="-"),"-",SUM('A-8'!F128,'A-8'!F199,'A-8'!F270))</f>
        <v>14068</v>
      </c>
      <c r="G33" s="200">
        <f>IF(AND('A-8'!G128="-",'A-8'!G199="-",'A-8'!G270="-"),"-",SUM('A-8'!G128,'A-8'!G199,'A-8'!G270))</f>
        <v>76652</v>
      </c>
      <c r="H33" s="200">
        <f>IF(AND('A-8'!H128="-",'A-8'!H199="-",'A-8'!H270="-"),"-",SUM('A-8'!H128,'A-8'!H199,'A-8'!H270))</f>
        <v>24531</v>
      </c>
      <c r="I33" s="200">
        <f>IF(AND('A-8'!I128="-",'A-8'!I199="-",'A-8'!I270="-"),"-",SUM('A-8'!I128,'A-8'!I199,'A-8'!I270))</f>
        <v>8322</v>
      </c>
      <c r="J33" s="200">
        <f>IF(AND('A-8'!J128="-",'A-8'!J199="-",'A-8'!J270="-"),"-",SUM('A-8'!J128,'A-8'!J199,'A-8'!J270))</f>
        <v>2151</v>
      </c>
      <c r="K33" s="200">
        <f>IF(AND('A-8'!K128="-",'A-8'!K199="-",'A-8'!K270="-"),"-",SUM('A-8'!K128,'A-8'!K199,'A-8'!K270))</f>
        <v>182</v>
      </c>
      <c r="L33" s="200">
        <f>IF(AND('A-8'!L128="-",'A-8'!L199="-",'A-8'!L270="-"),"-",SUM('A-8'!L128,'A-8'!L199,'A-8'!L270))</f>
        <v>241107</v>
      </c>
      <c r="M33" s="8"/>
      <c r="N33" s="200" t="s">
        <v>29</v>
      </c>
      <c r="O33" s="200" t="s">
        <v>29</v>
      </c>
      <c r="P33" s="200" t="s">
        <v>29</v>
      </c>
      <c r="Q33" s="200" t="str">
        <f>IF(AND('A-8'!N128="-",'A-8'!N199="-",'A-8'!N270="-"),"-",SUM('A-8'!N128,'A-8'!N199,'A-8'!N270))</f>
        <v>-</v>
      </c>
      <c r="R33" s="200" t="str">
        <f>IF(AND('A-8'!O128="-",'A-8'!O199="-",'A-8'!O270="-"),"-",SUM('A-8'!O128,'A-8'!O199,'A-8'!O270))</f>
        <v>-</v>
      </c>
      <c r="S33" s="200" t="str">
        <f>IF(AND('A-8'!P128="-",'A-8'!P199="-",'A-8'!P270="-"),"-",SUM('A-8'!P128,'A-8'!P199,'A-8'!P270))</f>
        <v>-</v>
      </c>
      <c r="T33" s="200" t="str">
        <f>IF(AND('A-8'!Q128="-",'A-8'!Q199="-",'A-8'!Q270="-"),"-",SUM('A-8'!Q128,'A-8'!Q199,'A-8'!Q270))</f>
        <v>-</v>
      </c>
      <c r="U33" s="200" t="str">
        <f>IF(AND('A-8'!R128="-",'A-8'!R199="-",'A-8'!R270="-"),"-",SUM('A-8'!R128,'A-8'!R199,'A-8'!R270))</f>
        <v>-</v>
      </c>
      <c r="V33" s="200" t="s">
        <v>29</v>
      </c>
      <c r="W33" s="200" t="s">
        <v>29</v>
      </c>
      <c r="X33" s="200" t="s">
        <v>29</v>
      </c>
      <c r="Z33" s="1">
        <v>0</v>
      </c>
    </row>
    <row r="34" spans="1:26" ht="11.25" customHeight="1" x14ac:dyDescent="0.25">
      <c r="A34" s="402">
        <v>2005</v>
      </c>
      <c r="B34" s="203">
        <f>IF(AND('A-8'!B129="-",'A-8'!B200="-",'A-8'!B271="-"),"-",SUM('A-8'!B129,'A-8'!B200,'A-8'!B271))</f>
        <v>28297</v>
      </c>
      <c r="C34" s="203">
        <f>IF(AND('A-8'!C129="-",'A-8'!C200="-",'A-8'!C271="-"),"-",SUM('A-8'!C129,'A-8'!C200,'A-8'!C271))</f>
        <v>4782</v>
      </c>
      <c r="D34" s="203">
        <f>IF(AND('A-8'!D129="-",'A-8'!D200="-",'A-8'!D271="-"),"-",SUM('A-8'!D129,'A-8'!D200,'A-8'!D271))</f>
        <v>55741</v>
      </c>
      <c r="E34" s="203">
        <f>IF(AND('A-8'!E129="-",'A-8'!E200="-",'A-8'!E271="-"),"-",SUM('A-8'!E129,'A-8'!E200,'A-8'!E271))</f>
        <v>49895</v>
      </c>
      <c r="F34" s="203" t="str">
        <f>IF(AND('A-8'!F129="-",'A-8'!F200="-",'A-8'!F271="-"),"-",SUM('A-8'!F129,'A-8'!F200,'A-8'!F271))</f>
        <v>-</v>
      </c>
      <c r="G34" s="203" t="str">
        <f>IF(AND('A-8'!G129="-",'A-8'!G200="-",'A-8'!G271="-"),"-",SUM('A-8'!G129,'A-8'!G200,'A-8'!G271))</f>
        <v>-</v>
      </c>
      <c r="H34" s="203">
        <f>IF(AND('A-8'!H129="-",'A-8'!H200="-",'A-8'!H271="-"),"-",SUM('A-8'!H129,'A-8'!H200,'A-8'!H271))</f>
        <v>81937</v>
      </c>
      <c r="I34" s="203">
        <f>IF(AND('A-8'!I129="-",'A-8'!I200="-",'A-8'!I271="-"),"-",SUM('A-8'!I129,'A-8'!I200,'A-8'!I271))</f>
        <v>17170</v>
      </c>
      <c r="J34" s="203">
        <f>IF(AND('A-8'!J129="-",'A-8'!J200="-",'A-8'!J271="-"),"-",SUM('A-8'!J129,'A-8'!J200,'A-8'!J271))</f>
        <v>787</v>
      </c>
      <c r="K34" s="203">
        <f>IF(AND('A-8'!K129="-",'A-8'!K200="-",'A-8'!K271="-"),"-",SUM('A-8'!K129,'A-8'!K200,'A-8'!K271))</f>
        <v>335</v>
      </c>
      <c r="L34" s="203">
        <f>IF(AND('A-8'!L129="-",'A-8'!L200="-",'A-8'!L271="-"),"-",SUM('A-8'!L129,'A-8'!L200,'A-8'!L271))</f>
        <v>238944</v>
      </c>
      <c r="M34" s="9"/>
      <c r="N34" s="203" t="s">
        <v>29</v>
      </c>
      <c r="O34" s="203" t="s">
        <v>29</v>
      </c>
      <c r="P34" s="203" t="s">
        <v>29</v>
      </c>
      <c r="Q34" s="203" t="str">
        <f>IF(AND('A-8'!N129="-",'A-8'!N200="-",'A-8'!N271="-"),"-",SUM('A-8'!N129,'A-8'!N200,'A-8'!N271))</f>
        <v>-</v>
      </c>
      <c r="R34" s="203" t="str">
        <f>IF(AND('A-8'!O129="-",'A-8'!O200="-",'A-8'!O271="-"),"-",SUM('A-8'!O129,'A-8'!O200,'A-8'!O271))</f>
        <v>-</v>
      </c>
      <c r="S34" s="203" t="str">
        <f>IF(AND('A-8'!P129="-",'A-8'!P200="-",'A-8'!P271="-"),"-",SUM('A-8'!P129,'A-8'!P200,'A-8'!P271))</f>
        <v>-</v>
      </c>
      <c r="T34" s="203" t="str">
        <f>IF(AND('A-8'!Q129="-",'A-8'!Q200="-",'A-8'!Q271="-"),"-",SUM('A-8'!Q129,'A-8'!Q200,'A-8'!Q271))</f>
        <v>-</v>
      </c>
      <c r="U34" s="203" t="str">
        <f>IF(AND('A-8'!R129="-",'A-8'!R200="-",'A-8'!R271="-"),"-",SUM('A-8'!R129,'A-8'!R200,'A-8'!R271))</f>
        <v>-</v>
      </c>
      <c r="V34" s="203" t="s">
        <v>29</v>
      </c>
      <c r="W34" s="203" t="s">
        <v>29</v>
      </c>
      <c r="X34" s="203" t="s">
        <v>29</v>
      </c>
      <c r="Z34" s="374">
        <v>1</v>
      </c>
    </row>
    <row r="35" spans="1:26" ht="11.25" customHeight="1" x14ac:dyDescent="0.25">
      <c r="A35" s="383">
        <v>2006</v>
      </c>
      <c r="B35" s="200" t="str">
        <f>IF(AND('A-8'!B130="-",'A-8'!B201="-",'A-8'!B272="-"),"-",SUM('A-8'!B130,'A-8'!B201,'A-8'!B272))</f>
        <v>-</v>
      </c>
      <c r="C35" s="200" t="str">
        <f>IF(AND('A-8'!C130="-",'A-8'!C201="-",'A-8'!C272="-"),"-",SUM('A-8'!C130,'A-8'!C201,'A-8'!C272))</f>
        <v>-</v>
      </c>
      <c r="D35" s="200" t="str">
        <f>IF(AND('A-8'!D130="-",'A-8'!D201="-",'A-8'!D272="-"),"-",SUM('A-8'!D130,'A-8'!D201,'A-8'!D272))</f>
        <v>-</v>
      </c>
      <c r="E35" s="200">
        <f>IF(AND('A-8'!E130="-",'A-8'!E201="-",'A-8'!E272="-"),"-",SUM('A-8'!E130,'A-8'!E201,'A-8'!E272))</f>
        <v>9550</v>
      </c>
      <c r="F35" s="200">
        <f>IF(AND('A-8'!F130="-",'A-8'!F201="-",'A-8'!F272="-"),"-",SUM('A-8'!F130,'A-8'!F201,'A-8'!F272))</f>
        <v>3616</v>
      </c>
      <c r="G35" s="200">
        <f>IF(AND('A-8'!G130="-",'A-8'!G201="-",'A-8'!G272="-"),"-",SUM('A-8'!G130,'A-8'!G201,'A-8'!G272))</f>
        <v>962</v>
      </c>
      <c r="H35" s="200">
        <f>IF(AND('A-8'!H130="-",'A-8'!H201="-",'A-8'!H272="-"),"-",SUM('A-8'!H130,'A-8'!H201,'A-8'!H272))</f>
        <v>4367</v>
      </c>
      <c r="I35" s="200">
        <f>IF(AND('A-8'!I130="-",'A-8'!I201="-",'A-8'!I272="-"),"-",SUM('A-8'!I130,'A-8'!I201,'A-8'!I272))</f>
        <v>3449</v>
      </c>
      <c r="J35" s="200">
        <f>IF(AND('A-8'!J130="-",'A-8'!J201="-",'A-8'!J272="-"),"-",SUM('A-8'!J130,'A-8'!J201,'A-8'!J272))</f>
        <v>1555</v>
      </c>
      <c r="K35" s="200">
        <f>IF(AND('A-8'!K130="-",'A-8'!K201="-",'A-8'!K272="-"),"-",SUM('A-8'!K130,'A-8'!K201,'A-8'!K272))</f>
        <v>131</v>
      </c>
      <c r="L35" s="200">
        <f>IF(AND('A-8'!L130="-",'A-8'!L201="-",'A-8'!L272="-"),"-",SUM('A-8'!L130,'A-8'!L201,'A-8'!L272))</f>
        <v>23630</v>
      </c>
      <c r="M35" s="8"/>
      <c r="N35" s="200" t="s">
        <v>29</v>
      </c>
      <c r="O35" s="200" t="s">
        <v>29</v>
      </c>
      <c r="P35" s="200" t="s">
        <v>29</v>
      </c>
      <c r="Q35" s="200" t="str">
        <f>IF(AND('A-8'!N130="-",'A-8'!N201="-",'A-8'!N272="-"),"-",SUM('A-8'!N130,'A-8'!N201,'A-8'!N272))</f>
        <v>-</v>
      </c>
      <c r="R35" s="200" t="str">
        <f>IF(AND('A-8'!O130="-",'A-8'!O201="-",'A-8'!O272="-"),"-",SUM('A-8'!O130,'A-8'!O201,'A-8'!O272))</f>
        <v>-</v>
      </c>
      <c r="S35" s="200" t="str">
        <f>IF(AND('A-8'!P130="-",'A-8'!P201="-",'A-8'!P272="-"),"-",SUM('A-8'!P130,'A-8'!P201,'A-8'!P272))</f>
        <v>-</v>
      </c>
      <c r="T35" s="200" t="str">
        <f>IF(AND('A-8'!Q130="-",'A-8'!Q201="-",'A-8'!Q272="-"),"-",SUM('A-8'!Q130,'A-8'!Q201,'A-8'!Q272))</f>
        <v>-</v>
      </c>
      <c r="U35" s="200" t="str">
        <f>IF(AND('A-8'!R130="-",'A-8'!R201="-",'A-8'!R272="-"),"-",SUM('A-8'!R130,'A-8'!R201,'A-8'!R272))</f>
        <v>-</v>
      </c>
      <c r="V35" s="200" t="s">
        <v>29</v>
      </c>
      <c r="W35" s="200" t="s">
        <v>29</v>
      </c>
      <c r="X35" s="200" t="s">
        <v>29</v>
      </c>
      <c r="Z35" s="1">
        <v>0</v>
      </c>
    </row>
    <row r="36" spans="1:26" ht="11.25" customHeight="1" x14ac:dyDescent="0.25">
      <c r="A36" s="402">
        <v>2007</v>
      </c>
      <c r="B36" s="203" t="str">
        <f>IF(AND('A-8'!B131="-",'A-8'!B202="-",'A-8'!B273="-"),"-",SUM('A-8'!B131,'A-8'!B202,'A-8'!B273))</f>
        <v>-</v>
      </c>
      <c r="C36" s="203">
        <f>IF(AND('A-8'!C131="-",'A-8'!C202="-",'A-8'!C273="-"),"-",SUM('A-8'!C131,'A-8'!C202,'A-8'!C273))</f>
        <v>1856</v>
      </c>
      <c r="D36" s="203">
        <f>IF(AND('A-8'!D131="-",'A-8'!D202="-",'A-8'!D273="-"),"-",SUM('A-8'!D131,'A-8'!D202,'A-8'!D273))</f>
        <v>7328</v>
      </c>
      <c r="E36" s="203">
        <f>IF(AND('A-8'!E131="-",'A-8'!E202="-",'A-8'!E273="-"),"-",SUM('A-8'!E131,'A-8'!E202,'A-8'!E273))</f>
        <v>4463</v>
      </c>
      <c r="F36" s="203">
        <f>IF(AND('A-8'!F131="-",'A-8'!F202="-",'A-8'!F273="-"),"-",SUM('A-8'!F131,'A-8'!F202,'A-8'!F273))</f>
        <v>1759</v>
      </c>
      <c r="G36" s="203">
        <f>IF(AND('A-8'!G131="-",'A-8'!G202="-",'A-8'!G273="-"),"-",SUM('A-8'!G131,'A-8'!G202,'A-8'!G273))</f>
        <v>12360</v>
      </c>
      <c r="H36" s="203">
        <f>IF(AND('A-8'!H131="-",'A-8'!H202="-",'A-8'!H273="-"),"-",SUM('A-8'!H131,'A-8'!H202,'A-8'!H273))</f>
        <v>713</v>
      </c>
      <c r="I36" s="203">
        <f>IF(AND('A-8'!I131="-",'A-8'!I202="-",'A-8'!I273="-"),"-",SUM('A-8'!I131,'A-8'!I202,'A-8'!I273))</f>
        <v>795</v>
      </c>
      <c r="J36" s="203">
        <f>IF(AND('A-8'!J131="-",'A-8'!J202="-",'A-8'!J273="-"),"-",SUM('A-8'!J131,'A-8'!J202,'A-8'!J273))</f>
        <v>670</v>
      </c>
      <c r="K36" s="203">
        <f>IF(AND('A-8'!K131="-",'A-8'!K202="-",'A-8'!K273="-"),"-",SUM('A-8'!K131,'A-8'!K202,'A-8'!K273))</f>
        <v>3</v>
      </c>
      <c r="L36" s="203">
        <f>IF(AND('A-8'!L131="-",'A-8'!L202="-",'A-8'!L273="-"),"-",SUM('A-8'!L131,'A-8'!L202,'A-8'!L273))</f>
        <v>29947</v>
      </c>
      <c r="M36" s="9"/>
      <c r="N36" s="203" t="s">
        <v>29</v>
      </c>
      <c r="O36" s="203" t="s">
        <v>29</v>
      </c>
      <c r="P36" s="203" t="s">
        <v>29</v>
      </c>
      <c r="Q36" s="203" t="str">
        <f>IF(AND('A-8'!N131="-",'A-8'!N202="-",'A-8'!N273="-"),"-",SUM('A-8'!N131,'A-8'!N202,'A-8'!N273))</f>
        <v>-</v>
      </c>
      <c r="R36" s="203" t="str">
        <f>IF(AND('A-8'!O131="-",'A-8'!O202="-",'A-8'!O273="-"),"-",SUM('A-8'!O131,'A-8'!O202,'A-8'!O273))</f>
        <v>-</v>
      </c>
      <c r="S36" s="203">
        <f>IF(AND('A-8'!P131="-",'A-8'!P202="-",'A-8'!P273="-"),"-",SUM('A-8'!P131,'A-8'!P202,'A-8'!P273))</f>
        <v>5036</v>
      </c>
      <c r="T36" s="203">
        <f>IF(AND('A-8'!Q131="-",'A-8'!Q202="-",'A-8'!Q273="-"),"-",SUM('A-8'!Q131,'A-8'!Q202,'A-8'!Q273))</f>
        <v>519</v>
      </c>
      <c r="U36" s="203" t="str">
        <f>IF(AND('A-8'!R131="-",'A-8'!R202="-",'A-8'!R273="-"),"-",SUM('A-8'!R131,'A-8'!R202,'A-8'!R273))</f>
        <v>-</v>
      </c>
      <c r="V36" s="203" t="s">
        <v>29</v>
      </c>
      <c r="W36" s="203" t="s">
        <v>29</v>
      </c>
      <c r="X36" s="203">
        <f>SUM(N36:W36)</f>
        <v>5555</v>
      </c>
      <c r="Z36" s="374">
        <v>73</v>
      </c>
    </row>
    <row r="37" spans="1:26" ht="11.25" customHeight="1" x14ac:dyDescent="0.25">
      <c r="A37" s="402">
        <v>2008</v>
      </c>
      <c r="B37" s="203" t="str">
        <f>IF(AND('A-8'!B132="-",'A-8'!B203="-",'A-8'!B274="-"),"-",SUM('A-8'!B132,'A-8'!B203,'A-8'!B274))</f>
        <v>-</v>
      </c>
      <c r="C37" s="203" t="str">
        <f>IF(AND('A-8'!C132="-",'A-8'!C203="-",'A-8'!C274="-"),"-",SUM('A-8'!C132,'A-8'!C203,'A-8'!C274))</f>
        <v>-</v>
      </c>
      <c r="D37" s="203" t="str">
        <f>IF(AND('A-8'!D132="-",'A-8'!D203="-",'A-8'!D274="-"),"-",SUM('A-8'!D132,'A-8'!D203,'A-8'!D274))</f>
        <v>-</v>
      </c>
      <c r="E37" s="203" t="str">
        <f>IF(AND('A-8'!E132="-",'A-8'!E203="-",'A-8'!E274="-"),"-",SUM('A-8'!E132,'A-8'!E203,'A-8'!E274))</f>
        <v>-</v>
      </c>
      <c r="F37" s="203" t="str">
        <f>IF(AND('A-8'!F132="-",'A-8'!F203="-",'A-8'!F274="-"),"-",SUM('A-8'!F132,'A-8'!F203,'A-8'!F274))</f>
        <v>-</v>
      </c>
      <c r="G37" s="203" t="str">
        <f>IF(AND('A-8'!G132="-",'A-8'!G203="-",'A-8'!G274="-"),"-",SUM('A-8'!G132,'A-8'!G203,'A-8'!G274))</f>
        <v>-</v>
      </c>
      <c r="H37" s="203">
        <f>IF(AND('A-8'!H132="-",'A-8'!H203="-",'A-8'!H274="-"),"-",SUM('A-8'!H132,'A-8'!H203,'A-8'!H274))</f>
        <v>64</v>
      </c>
      <c r="I37" s="203">
        <f>IF(AND('A-8'!I132="-",'A-8'!I203="-",'A-8'!I274="-"),"-",SUM('A-8'!I132,'A-8'!I203,'A-8'!I274))</f>
        <v>12</v>
      </c>
      <c r="J37" s="203">
        <f>IF(AND('A-8'!J132="-",'A-8'!J203="-",'A-8'!J274="-"),"-",SUM('A-8'!J132,'A-8'!J203,'A-8'!J274))</f>
        <v>208</v>
      </c>
      <c r="K37" s="203" t="str">
        <f>IF(AND('A-8'!K132="-",'A-8'!K203="-",'A-8'!K274="-"),"-",SUM('A-8'!K132,'A-8'!K203,'A-8'!K274))</f>
        <v>-</v>
      </c>
      <c r="L37" s="203">
        <f>IF(AND('A-8'!L132="-",'A-8'!L203="-",'A-8'!L274="-"),"-",SUM('A-8'!L132,'A-8'!L203,'A-8'!L274))</f>
        <v>284</v>
      </c>
      <c r="M37" s="9"/>
      <c r="N37" s="203" t="s">
        <v>29</v>
      </c>
      <c r="O37" s="203" t="s">
        <v>29</v>
      </c>
      <c r="P37" s="203" t="s">
        <v>29</v>
      </c>
      <c r="Q37" s="203" t="str">
        <f>IF(AND('A-8'!N132="-",'A-8'!N203="-",'A-8'!N274="-"),"-",SUM('A-8'!N132,'A-8'!N203,'A-8'!N274))</f>
        <v>-</v>
      </c>
      <c r="R37" s="203" t="str">
        <f>IF(AND('A-8'!O132="-",'A-8'!O203="-",'A-8'!O274="-"),"-",SUM('A-8'!O132,'A-8'!O203,'A-8'!O274))</f>
        <v>-</v>
      </c>
      <c r="S37" s="203" t="str">
        <f>IF(AND('A-8'!P132="-",'A-8'!P203="-",'A-8'!P274="-"),"-",SUM('A-8'!P132,'A-8'!P203,'A-8'!P274))</f>
        <v>-</v>
      </c>
      <c r="T37" s="203" t="str">
        <f>IF(AND('A-8'!Q132="-",'A-8'!Q203="-",'A-8'!Q274="-"),"-",SUM('A-8'!Q132,'A-8'!Q203,'A-8'!Q274))</f>
        <v>-</v>
      </c>
      <c r="U37" s="203" t="str">
        <f>IF(AND('A-8'!R132="-",'A-8'!R203="-",'A-8'!R274="-"),"-",SUM('A-8'!R132,'A-8'!R203,'A-8'!R274))</f>
        <v>-</v>
      </c>
      <c r="V37" s="203" t="s">
        <v>29</v>
      </c>
      <c r="W37" s="203" t="s">
        <v>29</v>
      </c>
      <c r="X37" s="203" t="s">
        <v>29</v>
      </c>
      <c r="Z37" s="374">
        <v>0</v>
      </c>
    </row>
    <row r="38" spans="1:26" ht="11.25" customHeight="1" x14ac:dyDescent="0.25">
      <c r="A38" s="402">
        <v>2009</v>
      </c>
      <c r="B38" s="203" t="str">
        <f>IF(AND('A-8'!B133="-",'A-8'!B204="-",'A-8'!B275="-"),"-",SUM('A-8'!B133,'A-8'!B204,'A-8'!B275))</f>
        <v>-</v>
      </c>
      <c r="C38" s="203" t="str">
        <f>IF(AND('A-8'!C133="-",'A-8'!C204="-",'A-8'!C275="-"),"-",SUM('A-8'!C133,'A-8'!C204,'A-8'!C275))</f>
        <v>-</v>
      </c>
      <c r="D38" s="203" t="str">
        <f>IF(AND('A-8'!D133="-",'A-8'!D204="-",'A-8'!D275="-"),"-",SUM('A-8'!D133,'A-8'!D204,'A-8'!D275))</f>
        <v>-</v>
      </c>
      <c r="E38" s="203" t="str">
        <f>IF(AND('A-8'!E133="-",'A-8'!E204="-",'A-8'!E275="-"),"-",SUM('A-8'!E133,'A-8'!E204,'A-8'!E275))</f>
        <v>-</v>
      </c>
      <c r="F38" s="203" t="str">
        <f>IF(AND('A-8'!F133="-",'A-8'!F204="-",'A-8'!F275="-"),"-",SUM('A-8'!F133,'A-8'!F204,'A-8'!F275))</f>
        <v>-</v>
      </c>
      <c r="G38" s="203" t="str">
        <f>IF(AND('A-8'!G133="-",'A-8'!G204="-",'A-8'!G275="-"),"-",SUM('A-8'!G133,'A-8'!G204,'A-8'!G275))</f>
        <v>-</v>
      </c>
      <c r="H38" s="203">
        <f>IF(AND('A-8'!H133="-",'A-8'!H204="-",'A-8'!H275="-"),"-",SUM('A-8'!H133,'A-8'!H204,'A-8'!H275))</f>
        <v>105</v>
      </c>
      <c r="I38" s="203">
        <f>IF(AND('A-8'!I133="-",'A-8'!I204="-",'A-8'!I275="-"),"-",SUM('A-8'!I133,'A-8'!I204,'A-8'!I275))</f>
        <v>332</v>
      </c>
      <c r="J38" s="203" t="str">
        <f>IF(AND('A-8'!J133="-",'A-8'!J204="-",'A-8'!J275="-"),"-",SUM('A-8'!J133,'A-8'!J204,'A-8'!J275))</f>
        <v>-</v>
      </c>
      <c r="K38" s="203" t="str">
        <f>IF(AND('A-8'!K133="-",'A-8'!K204="-",'A-8'!K275="-"),"-",SUM('A-8'!K133,'A-8'!K204,'A-8'!K275))</f>
        <v>-</v>
      </c>
      <c r="L38" s="203">
        <f>IF(AND('A-8'!L133="-",'A-8'!L204="-",'A-8'!L275="-"),"-",SUM('A-8'!L133,'A-8'!L204,'A-8'!L275))</f>
        <v>437</v>
      </c>
      <c r="M38" s="9"/>
      <c r="N38" s="203" t="s">
        <v>29</v>
      </c>
      <c r="O38" s="203" t="s">
        <v>29</v>
      </c>
      <c r="P38" s="203" t="s">
        <v>29</v>
      </c>
      <c r="Q38" s="203" t="str">
        <f>IF(AND('A-8'!N133="-",'A-8'!N204="-",'A-8'!N275="-"),"-",SUM('A-8'!N133,'A-8'!N204,'A-8'!N275))</f>
        <v>-</v>
      </c>
      <c r="R38" s="203" t="str">
        <f>IF(AND('A-8'!O133="-",'A-8'!O204="-",'A-8'!O275="-"),"-",SUM('A-8'!O133,'A-8'!O204,'A-8'!O275))</f>
        <v>-</v>
      </c>
      <c r="S38" s="203" t="str">
        <f>IF(AND('A-8'!P133="-",'A-8'!P204="-",'A-8'!P275="-"),"-",SUM('A-8'!P133,'A-8'!P204,'A-8'!P275))</f>
        <v>-</v>
      </c>
      <c r="T38" s="203">
        <f>IF(AND('A-8'!Q133="-",'A-8'!Q204="-",'A-8'!Q275="-"),"-",SUM('A-8'!Q133,'A-8'!Q204,'A-8'!Q275))</f>
        <v>9278</v>
      </c>
      <c r="U38" s="203" t="str">
        <f>IF(AND('A-8'!R133="-",'A-8'!R204="-",'A-8'!R275="-"),"-",SUM('A-8'!R133,'A-8'!R204,'A-8'!R275))</f>
        <v>-</v>
      </c>
      <c r="V38" s="203" t="s">
        <v>29</v>
      </c>
      <c r="W38" s="203" t="s">
        <v>29</v>
      </c>
      <c r="X38" s="203">
        <f>SUM(N38:W38)</f>
        <v>9278</v>
      </c>
      <c r="Z38" s="374">
        <v>0</v>
      </c>
    </row>
    <row r="39" spans="1:26" ht="11.25" customHeight="1" x14ac:dyDescent="0.25">
      <c r="A39" s="402">
        <v>2010</v>
      </c>
      <c r="B39" s="203" t="str">
        <f>IF(AND('A-8'!B134="-",'A-8'!B205="-",'A-8'!B276="-"),"-",SUM('A-8'!B134,'A-8'!B205,'A-8'!B276))</f>
        <v>-</v>
      </c>
      <c r="C39" s="203" t="str">
        <f>IF(AND('A-8'!C134="-",'A-8'!C205="-",'A-8'!C276="-"),"-",SUM('A-8'!C134,'A-8'!C205,'A-8'!C276))</f>
        <v>-</v>
      </c>
      <c r="D39" s="203">
        <f>IF(AND('A-8'!D134="-",'A-8'!D205="-",'A-8'!D276="-"),"-",SUM('A-8'!D134,'A-8'!D205,'A-8'!D276))</f>
        <v>9019</v>
      </c>
      <c r="E39" s="203">
        <f>IF(AND('A-8'!E134="-",'A-8'!E205="-",'A-8'!E276="-"),"-",SUM('A-8'!E134,'A-8'!E205,'A-8'!E276))</f>
        <v>8966</v>
      </c>
      <c r="F39" s="203">
        <f>IF(AND('A-8'!F134="-",'A-8'!F205="-",'A-8'!F276="-"),"-",SUM('A-8'!F134,'A-8'!F205,'A-8'!F276))</f>
        <v>4276</v>
      </c>
      <c r="G39" s="203">
        <f>IF(AND('A-8'!G134="-",'A-8'!G205="-",'A-8'!G276="-"),"-",SUM('A-8'!G134,'A-8'!G205,'A-8'!G276))</f>
        <v>3797</v>
      </c>
      <c r="H39" s="203">
        <f>IF(AND('A-8'!H134="-",'A-8'!H205="-",'A-8'!H276="-"),"-",SUM('A-8'!H134,'A-8'!H205,'A-8'!H276))</f>
        <v>56</v>
      </c>
      <c r="I39" s="203">
        <f>IF(AND('A-8'!I134="-",'A-8'!I205="-",'A-8'!I276="-"),"-",SUM('A-8'!I134,'A-8'!I205,'A-8'!I276))</f>
        <v>1330</v>
      </c>
      <c r="J39" s="203" t="str">
        <f>IF(AND('A-8'!J134="-",'A-8'!J205="-",'A-8'!J276="-"),"-",SUM('A-8'!J134,'A-8'!J205,'A-8'!J276))</f>
        <v>-</v>
      </c>
      <c r="K39" s="203" t="str">
        <f>IF(AND('A-8'!K134="-",'A-8'!K205="-",'A-8'!K276="-"),"-",SUM('A-8'!K134,'A-8'!K205,'A-8'!K276))</f>
        <v>-</v>
      </c>
      <c r="L39" s="203">
        <f>IF(AND('A-8'!L134="-",'A-8'!L205="-",'A-8'!L276="-"),"-",SUM('A-8'!L134,'A-8'!L205,'A-8'!L276))</f>
        <v>27444</v>
      </c>
      <c r="M39" s="9"/>
      <c r="N39" s="203" t="s">
        <v>29</v>
      </c>
      <c r="O39" s="203" t="s">
        <v>29</v>
      </c>
      <c r="P39" s="203" t="s">
        <v>29</v>
      </c>
      <c r="Q39" s="203" t="str">
        <f>IF(AND('A-8'!N134="-",'A-8'!N205="-",'A-8'!N276="-"),"-",SUM('A-8'!N134,'A-8'!N205,'A-8'!N276))</f>
        <v>-</v>
      </c>
      <c r="R39" s="203" t="str">
        <f>IF(AND('A-8'!O134="-",'A-8'!O205="-",'A-8'!O276="-"),"-",SUM('A-8'!O134,'A-8'!O205,'A-8'!O276))</f>
        <v>-</v>
      </c>
      <c r="S39" s="203" t="str">
        <f>IF(AND('A-8'!P134="-",'A-8'!P205="-",'A-8'!P276="-"),"-",SUM('A-8'!P134,'A-8'!P205,'A-8'!P276))</f>
        <v>-</v>
      </c>
      <c r="T39" s="203" t="str">
        <f>IF(AND('A-8'!Q134="-",'A-8'!Q205="-",'A-8'!Q276="-"),"-",SUM('A-8'!Q134,'A-8'!Q205,'A-8'!Q276))</f>
        <v>-</v>
      </c>
      <c r="U39" s="203" t="str">
        <f>IF(AND('A-8'!R134="-",'A-8'!R205="-",'A-8'!R276="-"),"-",SUM('A-8'!R134,'A-8'!R205,'A-8'!R276))</f>
        <v>-</v>
      </c>
      <c r="V39" s="203" t="s">
        <v>29</v>
      </c>
      <c r="W39" s="203" t="s">
        <v>29</v>
      </c>
      <c r="X39" s="203" t="s">
        <v>29</v>
      </c>
      <c r="Z39" s="374">
        <v>0</v>
      </c>
    </row>
    <row r="40" spans="1:26" ht="11.25" customHeight="1" x14ac:dyDescent="0.25">
      <c r="A40" s="402">
        <v>2011</v>
      </c>
      <c r="B40" s="203" t="str">
        <f>IF(AND('A-8'!B135="-",'A-8'!B206="-",'A-8'!B277="-"),"-",SUM('A-8'!B135,'A-8'!B206,'A-8'!B277))</f>
        <v>-</v>
      </c>
      <c r="C40" s="203">
        <f>IF(AND('A-8'!C135="-",'A-8'!C206="-",'A-8'!C277="-"),"-",SUM('A-8'!C135,'A-8'!C206,'A-8'!C277))</f>
        <v>4481</v>
      </c>
      <c r="D40" s="203">
        <f>IF(AND('A-8'!D135="-",'A-8'!D206="-",'A-8'!D277="-"),"-",SUM('A-8'!D135,'A-8'!D206,'A-8'!D277))</f>
        <v>7901</v>
      </c>
      <c r="E40" s="203">
        <f>IF(AND('A-8'!E135="-",'A-8'!E206="-",'A-8'!E277="-"),"-",SUM('A-8'!E135,'A-8'!E206,'A-8'!E277))</f>
        <v>10401</v>
      </c>
      <c r="F40" s="203">
        <f>IF(AND('A-8'!F135="-",'A-8'!F206="-",'A-8'!F277="-"),"-",SUM('A-8'!F135,'A-8'!F206,'A-8'!F277))</f>
        <v>699</v>
      </c>
      <c r="G40" s="203">
        <f>IF(AND('A-8'!G135="-",'A-8'!G206="-",'A-8'!G277="-"),"-",SUM('A-8'!G135,'A-8'!G206,'A-8'!G277))</f>
        <v>1012</v>
      </c>
      <c r="H40" s="203">
        <f>IF(AND('A-8'!H135="-",'A-8'!H206="-",'A-8'!H277="-"),"-",SUM('A-8'!H135,'A-8'!H206,'A-8'!H277))</f>
        <v>337</v>
      </c>
      <c r="I40" s="203">
        <f>IF(AND('A-8'!I135="-",'A-8'!I206="-",'A-8'!I277="-"),"-",SUM('A-8'!I135,'A-8'!I206,'A-8'!I277))</f>
        <v>1093</v>
      </c>
      <c r="J40" s="203">
        <f>IF(AND('A-8'!J135="-",'A-8'!J206="-",'A-8'!J277="-"),"-",SUM('A-8'!J135,'A-8'!J206,'A-8'!J277))</f>
        <v>1995</v>
      </c>
      <c r="K40" s="203" t="str">
        <f>IF(AND('A-8'!K135="-",'A-8'!K206="-",'A-8'!K277="-"),"-",SUM('A-8'!K135,'A-8'!K206,'A-8'!K277))</f>
        <v>-</v>
      </c>
      <c r="L40" s="203">
        <f>IF(AND('A-8'!L135="-",'A-8'!L206="-",'A-8'!L277="-"),"-",SUM('A-8'!L135,'A-8'!L206,'A-8'!L277))</f>
        <v>27919</v>
      </c>
      <c r="M40" s="9"/>
      <c r="N40" s="203" t="s">
        <v>29</v>
      </c>
      <c r="O40" s="203" t="s">
        <v>29</v>
      </c>
      <c r="P40" s="203" t="s">
        <v>29</v>
      </c>
      <c r="Q40" s="203" t="str">
        <f>IF(AND('A-8'!N135="-",'A-8'!N206="-",'A-8'!N277="-"),"-",SUM('A-8'!N135,'A-8'!N206,'A-8'!N277))</f>
        <v>-</v>
      </c>
      <c r="R40" s="203" t="str">
        <f>IF(AND('A-8'!O135="-",'A-8'!O206="-",'A-8'!O277="-"),"-",SUM('A-8'!O135,'A-8'!O206,'A-8'!O277))</f>
        <v>-</v>
      </c>
      <c r="S40" s="203" t="str">
        <f>IF(AND('A-8'!P135="-",'A-8'!P206="-",'A-8'!P277="-"),"-",SUM('A-8'!P135,'A-8'!P206,'A-8'!P277))</f>
        <v>-</v>
      </c>
      <c r="T40" s="203" t="str">
        <f>IF(AND('A-8'!Q135="-",'A-8'!Q206="-",'A-8'!Q277="-"),"-",SUM('A-8'!Q135,'A-8'!Q206,'A-8'!Q277))</f>
        <v>-</v>
      </c>
      <c r="U40" s="203" t="str">
        <f>IF(AND('A-8'!R135="-",'A-8'!R206="-",'A-8'!R277="-"),"-",SUM('A-8'!R135,'A-8'!R206,'A-8'!R277))</f>
        <v>-</v>
      </c>
      <c r="V40" s="203" t="s">
        <v>29</v>
      </c>
      <c r="W40" s="203" t="s">
        <v>29</v>
      </c>
      <c r="X40" s="203" t="s">
        <v>29</v>
      </c>
      <c r="Z40" s="374">
        <v>0</v>
      </c>
    </row>
    <row r="41" spans="1:26" ht="11.25" customHeight="1" x14ac:dyDescent="0.25">
      <c r="A41" s="402">
        <v>2012</v>
      </c>
      <c r="B41" s="203" t="str">
        <f>IF(AND('A-8'!B136="-",'A-8'!B207="-",'A-8'!B278="-"),"-",SUM('A-8'!B136,'A-8'!B207,'A-8'!B278))</f>
        <v>-</v>
      </c>
      <c r="C41" s="203">
        <f>IF(AND('A-8'!C136="-",'A-8'!C207="-",'A-8'!C278="-"),"-",SUM('A-8'!C136,'A-8'!C207,'A-8'!C278))</f>
        <v>3633</v>
      </c>
      <c r="D41" s="203">
        <f>IF(AND('A-8'!D136="-",'A-8'!D207="-",'A-8'!D278="-"),"-",SUM('A-8'!D136,'A-8'!D207,'A-8'!D278))</f>
        <v>14533</v>
      </c>
      <c r="E41" s="203">
        <f>IF(AND('A-8'!E136="-",'A-8'!E207="-",'A-8'!E278="-"),"-",SUM('A-8'!E136,'A-8'!E207,'A-8'!E278))</f>
        <v>7357</v>
      </c>
      <c r="F41" s="203">
        <f>IF(AND('A-8'!F136="-",'A-8'!F207="-",'A-8'!F278="-"),"-",SUM('A-8'!F136,'A-8'!F207,'A-8'!F278))</f>
        <v>1785</v>
      </c>
      <c r="G41" s="203">
        <f>IF(AND('A-8'!G136="-",'A-8'!G207="-",'A-8'!G278="-"),"-",SUM('A-8'!G136,'A-8'!G207,'A-8'!G278))</f>
        <v>8771</v>
      </c>
      <c r="H41" s="203">
        <f>IF(AND('A-8'!H136="-",'A-8'!H207="-",'A-8'!H278="-"),"-",SUM('A-8'!H136,'A-8'!H207,'A-8'!H278))</f>
        <v>13677</v>
      </c>
      <c r="I41" s="203">
        <f>IF(AND('A-8'!I136="-",'A-8'!I207="-",'A-8'!I278="-"),"-",SUM('A-8'!I136,'A-8'!I207,'A-8'!I278))</f>
        <v>8756</v>
      </c>
      <c r="J41" s="203">
        <f>IF(AND('A-8'!J136="-",'A-8'!J207="-",'A-8'!J278="-"),"-",SUM('A-8'!J136,'A-8'!J207,'A-8'!J278))</f>
        <v>701</v>
      </c>
      <c r="K41" s="203" t="str">
        <f>IF(AND('A-8'!K136="-",'A-8'!K207="-",'A-8'!K278="-"),"-",SUM('A-8'!K136,'A-8'!K207,'A-8'!K278))</f>
        <v>-</v>
      </c>
      <c r="L41" s="203">
        <f>IF(AND('A-8'!L136="-",'A-8'!L207="-",'A-8'!L278="-"),"-",SUM('A-8'!L136,'A-8'!L207,'A-8'!L278))</f>
        <v>59213</v>
      </c>
      <c r="M41" s="9"/>
      <c r="N41" s="203" t="s">
        <v>29</v>
      </c>
      <c r="O41" s="203" t="s">
        <v>29</v>
      </c>
      <c r="P41" s="203" t="s">
        <v>29</v>
      </c>
      <c r="Q41" s="203" t="str">
        <f>IF(AND('A-8'!N136="-",'A-8'!N207="-",'A-8'!N278="-"),"-",SUM('A-8'!N136,'A-8'!N207,'A-8'!N278))</f>
        <v>-</v>
      </c>
      <c r="R41" s="203" t="str">
        <f>IF(AND('A-8'!O136="-",'A-8'!O207="-",'A-8'!O278="-"),"-",SUM('A-8'!O136,'A-8'!O207,'A-8'!O278))</f>
        <v>-</v>
      </c>
      <c r="S41" s="203" t="str">
        <f>IF(AND('A-8'!P136="-",'A-8'!P207="-",'A-8'!P278="-"),"-",SUM('A-8'!P136,'A-8'!P207,'A-8'!P278))</f>
        <v>-</v>
      </c>
      <c r="T41" s="203" t="str">
        <f>IF(AND('A-8'!Q136="-",'A-8'!Q207="-",'A-8'!Q278="-"),"-",SUM('A-8'!Q136,'A-8'!Q207,'A-8'!Q278))</f>
        <v>-</v>
      </c>
      <c r="U41" s="203" t="str">
        <f>IF(AND('A-8'!R136="-",'A-8'!R207="-",'A-8'!R278="-"),"-",SUM('A-8'!R136,'A-8'!R207,'A-8'!R278))</f>
        <v>-</v>
      </c>
      <c r="V41" s="203" t="s">
        <v>29</v>
      </c>
      <c r="W41" s="203" t="s">
        <v>29</v>
      </c>
      <c r="X41" s="203" t="s">
        <v>29</v>
      </c>
      <c r="Z41" s="374">
        <v>0</v>
      </c>
    </row>
    <row r="42" spans="1:26" ht="11.25" customHeight="1" x14ac:dyDescent="0.25">
      <c r="A42" s="402">
        <v>2013</v>
      </c>
      <c r="B42" s="203" t="str">
        <f>IF(AND('A-8'!B137="-",'A-8'!B208="-",'A-8'!B279="-"),"-",SUM('A-8'!B137,'A-8'!B208,'A-8'!B279))</f>
        <v>-</v>
      </c>
      <c r="C42" s="203">
        <f>IF(AND('A-8'!C137="-",'A-8'!C208="-",'A-8'!C279="-"),"-",SUM('A-8'!C137,'A-8'!C208,'A-8'!C279))</f>
        <v>7373</v>
      </c>
      <c r="D42" s="203">
        <f>IF(AND('A-8'!D137="-",'A-8'!D208="-",'A-8'!D279="-"),"-",SUM('A-8'!D137,'A-8'!D208,'A-8'!D279))</f>
        <v>9093</v>
      </c>
      <c r="E42" s="203">
        <f>IF(AND('A-8'!E137="-",'A-8'!E208="-",'A-8'!E279="-"),"-",SUM('A-8'!E137,'A-8'!E208,'A-8'!E279))</f>
        <v>5987</v>
      </c>
      <c r="F42" s="203">
        <f>IF(AND('A-8'!F137="-",'A-8'!F208="-",'A-8'!F279="-"),"-",SUM('A-8'!F137,'A-8'!F208,'A-8'!F279))</f>
        <v>5331</v>
      </c>
      <c r="G42" s="203">
        <f>IF(AND('A-8'!G137="-",'A-8'!G208="-",'A-8'!G279="-"),"-",SUM('A-8'!G137,'A-8'!G208,'A-8'!G279))</f>
        <v>38535</v>
      </c>
      <c r="H42" s="203">
        <f>IF(AND('A-8'!H137="-",'A-8'!H208="-",'A-8'!H279="-"),"-",SUM('A-8'!H137,'A-8'!H208,'A-8'!H279))</f>
        <v>28251</v>
      </c>
      <c r="I42" s="203">
        <f>IF(AND('A-8'!I137="-",'A-8'!I208="-",'A-8'!I279="-"),"-",SUM('A-8'!I137,'A-8'!I208,'A-8'!I279))</f>
        <v>8424</v>
      </c>
      <c r="J42" s="203">
        <f>IF(AND('A-8'!J137="-",'A-8'!J208="-",'A-8'!J279="-"),"-",SUM('A-8'!J137,'A-8'!J208,'A-8'!J279))</f>
        <v>1002</v>
      </c>
      <c r="K42" s="203" t="str">
        <f>IF(AND('A-8'!K137="-",'A-8'!K208="-",'A-8'!K279="-"),"-",SUM('A-8'!K137,'A-8'!K208,'A-8'!K279))</f>
        <v>-</v>
      </c>
      <c r="L42" s="203">
        <f>IF(AND('A-8'!L137="-",'A-8'!L208="-",'A-8'!L279="-"),"-",SUM('A-8'!L137,'A-8'!L208,'A-8'!L279))</f>
        <v>103996</v>
      </c>
      <c r="M42" s="9"/>
      <c r="N42" s="203" t="s">
        <v>29</v>
      </c>
      <c r="O42" s="203" t="s">
        <v>29</v>
      </c>
      <c r="P42" s="203" t="s">
        <v>29</v>
      </c>
      <c r="Q42" s="203" t="str">
        <f>IF(AND('A-8'!N137="-",'A-8'!N208="-",'A-8'!N279="-"),"-",SUM('A-8'!N137,'A-8'!N208,'A-8'!N279))</f>
        <v>-</v>
      </c>
      <c r="R42" s="203" t="str">
        <f>IF(AND('A-8'!O137="-",'A-8'!O208="-",'A-8'!O279="-"),"-",SUM('A-8'!O137,'A-8'!O208,'A-8'!O279))</f>
        <v>-</v>
      </c>
      <c r="S42" s="203" t="str">
        <f>IF(AND('A-8'!P137="-",'A-8'!P208="-",'A-8'!P279="-"),"-",SUM('A-8'!P137,'A-8'!P208,'A-8'!P279))</f>
        <v>-</v>
      </c>
      <c r="T42" s="203" t="str">
        <f>IF(AND('A-8'!Q137="-",'A-8'!Q208="-",'A-8'!Q279="-"),"-",SUM('A-8'!Q137,'A-8'!Q208,'A-8'!Q279))</f>
        <v>-</v>
      </c>
      <c r="U42" s="203" t="str">
        <f>IF(AND('A-8'!R137="-",'A-8'!R208="-",'A-8'!R279="-"),"-",SUM('A-8'!R137,'A-8'!R208,'A-8'!R279))</f>
        <v>-</v>
      </c>
      <c r="V42" s="203" t="s">
        <v>29</v>
      </c>
      <c r="W42" s="203" t="s">
        <v>29</v>
      </c>
      <c r="X42" s="203" t="s">
        <v>29</v>
      </c>
      <c r="Z42" s="374">
        <v>0</v>
      </c>
    </row>
    <row r="43" spans="1:26" ht="11.25" customHeight="1" x14ac:dyDescent="0.25">
      <c r="A43" s="402">
        <v>2014</v>
      </c>
      <c r="B43" s="203" t="str">
        <f>IF(AND('A-8'!B138="-",'A-8'!B209="-",'A-8'!B280="-"),"-",SUM('A-8'!B138,'A-8'!B209,'A-8'!B280))</f>
        <v>-</v>
      </c>
      <c r="C43" s="203">
        <f>IF(AND('A-8'!C138="-",'A-8'!C209="-",'A-8'!C280="-"),"-",SUM('A-8'!C138,'A-8'!C209,'A-8'!C280))</f>
        <v>15501</v>
      </c>
      <c r="D43" s="203">
        <f>IF(AND('A-8'!D138="-",'A-8'!D209="-",'A-8'!D280="-"),"-",SUM('A-8'!D138,'A-8'!D209,'A-8'!D280))</f>
        <v>35389</v>
      </c>
      <c r="E43" s="203">
        <f>IF(AND('A-8'!E138="-",'A-8'!E209="-",'A-8'!E280="-"),"-",SUM('A-8'!E138,'A-8'!E209,'A-8'!E280))</f>
        <v>28560</v>
      </c>
      <c r="F43" s="203">
        <f>IF(AND('A-8'!F138="-",'A-8'!F209="-",'A-8'!F280="-"),"-",SUM('A-8'!F138,'A-8'!F209,'A-8'!F280))</f>
        <v>18326</v>
      </c>
      <c r="G43" s="203">
        <f>IF(AND('A-8'!G138="-",'A-8'!G209="-",'A-8'!G280="-"),"-",SUM('A-8'!G138,'A-8'!G209,'A-8'!G280))</f>
        <v>66600</v>
      </c>
      <c r="H43" s="203">
        <f>IF(AND('A-8'!H138="-",'A-8'!H209="-",'A-8'!H280="-"),"-",SUM('A-8'!H138,'A-8'!H209,'A-8'!H280))</f>
        <v>8851</v>
      </c>
      <c r="I43" s="203">
        <f>IF(AND('A-8'!I138="-",'A-8'!I209="-",'A-8'!I280="-"),"-",SUM('A-8'!I138,'A-8'!I209,'A-8'!I280))</f>
        <v>2072</v>
      </c>
      <c r="J43" s="203">
        <f>IF(AND('A-8'!J138="-",'A-8'!J209="-",'A-8'!J280="-"),"-",SUM('A-8'!J138,'A-8'!J209,'A-8'!J280))</f>
        <v>469</v>
      </c>
      <c r="K43" s="203" t="str">
        <f>IF(AND('A-8'!K138="-",'A-8'!K209="-",'A-8'!K280="-"),"-",SUM('A-8'!K138,'A-8'!K209,'A-8'!K280))</f>
        <v>-</v>
      </c>
      <c r="L43" s="203">
        <f>IF(AND('A-8'!L138="-",'A-8'!L209="-",'A-8'!L280="-"),"-",SUM('A-8'!L138,'A-8'!L209,'A-8'!L280))</f>
        <v>175768</v>
      </c>
      <c r="M43" s="9"/>
      <c r="N43" s="203" t="s">
        <v>29</v>
      </c>
      <c r="O43" s="203" t="s">
        <v>29</v>
      </c>
      <c r="P43" s="203" t="s">
        <v>29</v>
      </c>
      <c r="Q43" s="203" t="str">
        <f>IF(AND('A-8'!N138="-",'A-8'!N209="-",'A-8'!N280="-"),"-",SUM('A-8'!N138,'A-8'!N209,'A-8'!N280))</f>
        <v>-</v>
      </c>
      <c r="R43" s="203" t="str">
        <f>IF(AND('A-8'!O138="-",'A-8'!O209="-",'A-8'!O280="-"),"-",SUM('A-8'!O138,'A-8'!O209,'A-8'!O280))</f>
        <v>-</v>
      </c>
      <c r="S43" s="203" t="str">
        <f>IF(AND('A-8'!P138="-",'A-8'!P209="-",'A-8'!P280="-"),"-",SUM('A-8'!P138,'A-8'!P209,'A-8'!P280))</f>
        <v>-</v>
      </c>
      <c r="T43" s="203">
        <f>IF(AND('A-8'!Q138="-",'A-8'!Q209="-",'A-8'!Q280="-"),"-",SUM('A-8'!Q138,'A-8'!Q209,'A-8'!Q280))</f>
        <v>3296</v>
      </c>
      <c r="U43" s="203" t="str">
        <f>IF(AND('A-8'!R138="-",'A-8'!R209="-",'A-8'!R280="-"),"-",SUM('A-8'!R138,'A-8'!R209,'A-8'!R280))</f>
        <v>-</v>
      </c>
      <c r="V43" s="203" t="s">
        <v>29</v>
      </c>
      <c r="W43" s="203" t="s">
        <v>29</v>
      </c>
      <c r="X43" s="203">
        <f>SUM(N43:W43)</f>
        <v>3296</v>
      </c>
      <c r="Z43" s="374">
        <v>0</v>
      </c>
    </row>
    <row r="44" spans="1:26" ht="11.25" customHeight="1" x14ac:dyDescent="0.25">
      <c r="A44" s="402">
        <v>2015</v>
      </c>
      <c r="B44" s="203" t="str">
        <f>IF(AND('A-8'!B139="-",'A-8'!B210="-",'A-8'!B281="-"),"-",SUM('A-8'!B139,'A-8'!B210,'A-8'!B281))</f>
        <v>-</v>
      </c>
      <c r="C44" s="203">
        <f>IF(AND('A-8'!C139="-",'A-8'!C210="-",'A-8'!C281="-"),"-",SUM('A-8'!C139,'A-8'!C210,'A-8'!C281))</f>
        <v>16381</v>
      </c>
      <c r="D44" s="203">
        <f>IF(AND('A-8'!D139="-",'A-8'!D210="-",'A-8'!D281="-"),"-",SUM('A-8'!D139,'A-8'!D210,'A-8'!D281))</f>
        <v>13140</v>
      </c>
      <c r="E44" s="203">
        <f>IF(AND('A-8'!E139="-",'A-8'!E210="-",'A-8'!E281="-"),"-",SUM('A-8'!E139,'A-8'!E210,'A-8'!E281))</f>
        <v>19803</v>
      </c>
      <c r="F44" s="203">
        <f>IF(AND('A-8'!F139="-",'A-8'!F210="-",'A-8'!F281="-"),"-",SUM('A-8'!F139,'A-8'!F210,'A-8'!F281))</f>
        <v>27250</v>
      </c>
      <c r="G44" s="203">
        <f>IF(AND('A-8'!G139="-",'A-8'!G210="-",'A-8'!G281="-"),"-",SUM('A-8'!G139,'A-8'!G210,'A-8'!G281))</f>
        <v>7457</v>
      </c>
      <c r="H44" s="203">
        <f>IF(AND('A-8'!H139="-",'A-8'!H210="-",'A-8'!H281="-"),"-",SUM('A-8'!H139,'A-8'!H210,'A-8'!H281))</f>
        <v>2006</v>
      </c>
      <c r="I44" s="203">
        <f>IF(AND('A-8'!I139="-",'A-8'!I210="-",'A-8'!I281="-"),"-",SUM('A-8'!I139,'A-8'!I210,'A-8'!I281))</f>
        <v>1954</v>
      </c>
      <c r="J44" s="203">
        <f>IF(AND('A-8'!J139="-",'A-8'!J210="-",'A-8'!J281="-"),"-",SUM('A-8'!J139,'A-8'!J210,'A-8'!J281))</f>
        <v>1163</v>
      </c>
      <c r="K44" s="203" t="str">
        <f>IF(AND('A-8'!K139="-",'A-8'!K210="-",'A-8'!K281="-"),"-",SUM('A-8'!K139,'A-8'!K210,'A-8'!K281))</f>
        <v>-</v>
      </c>
      <c r="L44" s="203">
        <f>IF(AND('A-8'!L139="-",'A-8'!L210="-",'A-8'!L281="-"),"-",SUM('A-8'!L139,'A-8'!L210,'A-8'!L281))</f>
        <v>89154</v>
      </c>
      <c r="M44" s="9"/>
      <c r="N44" s="203" t="s">
        <v>29</v>
      </c>
      <c r="O44" s="203" t="s">
        <v>29</v>
      </c>
      <c r="P44" s="203" t="s">
        <v>29</v>
      </c>
      <c r="Q44" s="203" t="str">
        <f>IF(AND('A-8'!N139="-",'A-8'!N210="-",'A-8'!N281="-"),"-",SUM('A-8'!N139,'A-8'!N210,'A-8'!N281))</f>
        <v>-</v>
      </c>
      <c r="R44" s="203" t="str">
        <f>IF(AND('A-8'!O139="-",'A-8'!O210="-",'A-8'!O281="-"),"-",SUM('A-8'!O139,'A-8'!O210,'A-8'!O281))</f>
        <v>-</v>
      </c>
      <c r="S44" s="203" t="str">
        <f>IF(AND('A-8'!P139="-",'A-8'!P210="-",'A-8'!P281="-"),"-",SUM('A-8'!P139,'A-8'!P210,'A-8'!P281))</f>
        <v>-</v>
      </c>
      <c r="T44" s="203" t="str">
        <f>IF(AND('A-8'!Q139="-",'A-8'!Q210="-",'A-8'!Q281="-"),"-",SUM('A-8'!Q139,'A-8'!Q210,'A-8'!Q281))</f>
        <v>-</v>
      </c>
      <c r="U44" s="203" t="str">
        <f>IF(AND('A-8'!R139="-",'A-8'!R210="-",'A-8'!R281="-"),"-",SUM('A-8'!R139,'A-8'!R210,'A-8'!R281))</f>
        <v>-</v>
      </c>
      <c r="V44" s="203" t="s">
        <v>29</v>
      </c>
      <c r="W44" s="203" t="s">
        <v>29</v>
      </c>
      <c r="X44" s="203" t="s">
        <v>29</v>
      </c>
      <c r="Z44" s="374">
        <v>0</v>
      </c>
    </row>
    <row r="45" spans="1:26" ht="11.25" customHeight="1" x14ac:dyDescent="0.25">
      <c r="A45" s="402">
        <v>2016</v>
      </c>
      <c r="B45" s="203" t="str">
        <f>IF(AND('A-8'!B140="-",'A-8'!B211="-",'A-8'!B282="-"),"-",SUM('A-8'!B140,'A-8'!B211,'A-8'!B282))</f>
        <v>-</v>
      </c>
      <c r="C45" s="203">
        <f>IF(AND('A-8'!C140="-",'A-8'!C211="-",'A-8'!C282="-"),"-",SUM('A-8'!C140,'A-8'!C211,'A-8'!C282))</f>
        <v>6585</v>
      </c>
      <c r="D45" s="203">
        <f>IF(AND('A-8'!D140="-",'A-8'!D211="-",'A-8'!D282="-"),"-",SUM('A-8'!D140,'A-8'!D211,'A-8'!D282))</f>
        <v>5989</v>
      </c>
      <c r="E45" s="203">
        <f>IF(AND('A-8'!E140="-",'A-8'!E211="-",'A-8'!E282="-"),"-",SUM('A-8'!E140,'A-8'!E211,'A-8'!E282))</f>
        <v>4736</v>
      </c>
      <c r="F45" s="203">
        <f>IF(AND('A-8'!F140="-",'A-8'!F211="-",'A-8'!F282="-"),"-",SUM('A-8'!F140,'A-8'!F211,'A-8'!F282))</f>
        <v>11243</v>
      </c>
      <c r="G45" s="203">
        <f>IF(AND('A-8'!G140="-",'A-8'!G211="-",'A-8'!G282="-"),"-",SUM('A-8'!G140,'A-8'!G211,'A-8'!G282))</f>
        <v>8627</v>
      </c>
      <c r="H45" s="203">
        <f>IF(AND('A-8'!H140="-",'A-8'!H211="-",'A-8'!H282="-"),"-",SUM('A-8'!H140,'A-8'!H211,'A-8'!H282))</f>
        <v>1812</v>
      </c>
      <c r="I45" s="203">
        <f>IF(AND('A-8'!I140="-",'A-8'!I211="-",'A-8'!I282="-"),"-",SUM('A-8'!I140,'A-8'!I211,'A-8'!I282))</f>
        <v>717</v>
      </c>
      <c r="J45" s="203">
        <f>IF(AND('A-8'!J140="-",'A-8'!J211="-",'A-8'!J282="-"),"-",SUM('A-8'!J140,'A-8'!J211,'A-8'!J282))</f>
        <v>182</v>
      </c>
      <c r="K45" s="203" t="str">
        <f>IF(AND('A-8'!K140="-",'A-8'!K211="-",'A-8'!K282="-"),"-",SUM('A-8'!K140,'A-8'!K211,'A-8'!K282))</f>
        <v>-</v>
      </c>
      <c r="L45" s="203">
        <f>IF(AND('A-8'!L140="-",'A-8'!L211="-",'A-8'!L282="-"),"-",SUM('A-8'!L140,'A-8'!L211,'A-8'!L282))</f>
        <v>39891</v>
      </c>
      <c r="M45" s="9"/>
      <c r="N45" s="203" t="s">
        <v>29</v>
      </c>
      <c r="O45" s="203" t="s">
        <v>29</v>
      </c>
      <c r="P45" s="203" t="s">
        <v>29</v>
      </c>
      <c r="Q45" s="203" t="str">
        <f>IF(AND('A-8'!N140="-",'A-8'!N211="-",'A-8'!N282="-"),"-",SUM('A-8'!N140,'A-8'!N211,'A-8'!N282))</f>
        <v>-</v>
      </c>
      <c r="R45" s="203" t="str">
        <f>IF(AND('A-8'!O140="-",'A-8'!O211="-",'A-8'!O282="-"),"-",SUM('A-8'!O140,'A-8'!O211,'A-8'!O282))</f>
        <v>-</v>
      </c>
      <c r="S45" s="203" t="str">
        <f>IF(AND('A-8'!P140="-",'A-8'!P211="-",'A-8'!P282="-"),"-",SUM('A-8'!P140,'A-8'!P211,'A-8'!P282))</f>
        <v>-</v>
      </c>
      <c r="T45" s="203" t="str">
        <f>IF(AND('A-8'!Q140="-",'A-8'!Q211="-",'A-8'!Q282="-"),"-",SUM('A-8'!Q140,'A-8'!Q211,'A-8'!Q282))</f>
        <v>-</v>
      </c>
      <c r="U45" s="203" t="str">
        <f>IF(AND('A-8'!R140="-",'A-8'!R211="-",'A-8'!R282="-"),"-",SUM('A-8'!R140,'A-8'!R211,'A-8'!R282))</f>
        <v>-</v>
      </c>
      <c r="V45" s="203" t="s">
        <v>29</v>
      </c>
      <c r="W45" s="203" t="s">
        <v>29</v>
      </c>
      <c r="X45" s="203" t="s">
        <v>29</v>
      </c>
      <c r="Z45" s="374">
        <v>0</v>
      </c>
    </row>
    <row r="46" spans="1:26" ht="11.25" customHeight="1" x14ac:dyDescent="0.25">
      <c r="A46" s="402">
        <v>2017</v>
      </c>
      <c r="B46" s="203" t="str">
        <f>IF(AND('A-8'!B141="-",'A-8'!B212="-",'A-8'!B283="-"),"-",SUM('A-8'!B141,'A-8'!B212,'A-8'!B283))</f>
        <v>-</v>
      </c>
      <c r="C46" s="203">
        <f>IF(AND('A-8'!C141="-",'A-8'!C212="-",'A-8'!C283="-"),"-",SUM('A-8'!C141,'A-8'!C212,'A-8'!C283))</f>
        <v>553</v>
      </c>
      <c r="D46" s="203">
        <f>IF(AND('A-8'!D141="-",'A-8'!D212="-",'A-8'!D283="-"),"-",SUM('A-8'!D141,'A-8'!D212,'A-8'!D283))</f>
        <v>1229</v>
      </c>
      <c r="E46" s="203">
        <f>IF(AND('A-8'!E141="-",'A-8'!E212="-",'A-8'!E283="-"),"-",SUM('A-8'!E141,'A-8'!E212,'A-8'!E283))</f>
        <v>3174</v>
      </c>
      <c r="F46" s="203">
        <f>IF(AND('A-8'!F141="-",'A-8'!F212="-",'A-8'!F283="-"),"-",SUM('A-8'!F141,'A-8'!F212,'A-8'!F283))</f>
        <v>13019</v>
      </c>
      <c r="G46" s="203" t="str">
        <f>IF(AND('A-8'!G141="-",'A-8'!G212="-",'A-8'!G283="-"),"-",SUM('A-8'!G141,'A-8'!G212,'A-8'!G283))</f>
        <v>-</v>
      </c>
      <c r="H46" s="203">
        <f>IF(AND('A-8'!H141="-",'A-8'!H212="-",'A-8'!H283="-"),"-",SUM('A-8'!H141,'A-8'!H212,'A-8'!H283))</f>
        <v>137</v>
      </c>
      <c r="I46" s="203">
        <f>IF(AND('A-8'!I141="-",'A-8'!I212="-",'A-8'!I283="-"),"-",SUM('A-8'!I141,'A-8'!I212,'A-8'!I283))</f>
        <v>681</v>
      </c>
      <c r="J46" s="203">
        <f>IF(AND('A-8'!J141="-",'A-8'!J212="-",'A-8'!J283="-"),"-",SUM('A-8'!J141,'A-8'!J212,'A-8'!J283))</f>
        <v>96</v>
      </c>
      <c r="K46" s="203" t="str">
        <f>IF(AND('A-8'!K141="-",'A-8'!K212="-",'A-8'!K283="-"),"-",SUM('A-8'!K141,'A-8'!K212,'A-8'!K283))</f>
        <v>-</v>
      </c>
      <c r="L46" s="203">
        <f>IF(AND('A-8'!L141="-",'A-8'!L212="-",'A-8'!L283="-"),"-",SUM('A-8'!L141,'A-8'!L212,'A-8'!L283))</f>
        <v>18889</v>
      </c>
      <c r="M46" s="9"/>
      <c r="N46" s="203" t="s">
        <v>29</v>
      </c>
      <c r="O46" s="203" t="s">
        <v>29</v>
      </c>
      <c r="P46" s="203" t="s">
        <v>29</v>
      </c>
      <c r="Q46" s="203" t="str">
        <f>IF(AND('A-8'!N141="-",'A-8'!N212="-",'A-8'!N283="-"),"-",SUM('A-8'!N141,'A-8'!N212,'A-8'!N283))</f>
        <v>-</v>
      </c>
      <c r="R46" s="203" t="str">
        <f>IF(AND('A-8'!O141="-",'A-8'!O212="-",'A-8'!O283="-"),"-",SUM('A-8'!O141,'A-8'!O212,'A-8'!O283))</f>
        <v>-</v>
      </c>
      <c r="S46" s="203" t="str">
        <f>IF(AND('A-8'!P141="-",'A-8'!P212="-",'A-8'!P283="-"),"-",SUM('A-8'!P141,'A-8'!P212,'A-8'!P283))</f>
        <v>-</v>
      </c>
      <c r="T46" s="203" t="str">
        <f>IF(AND('A-8'!Q141="-",'A-8'!Q212="-",'A-8'!Q283="-"),"-",SUM('A-8'!Q141,'A-8'!Q212,'A-8'!Q283))</f>
        <v>-</v>
      </c>
      <c r="U46" s="203" t="str">
        <f>IF(AND('A-8'!R141="-",'A-8'!R212="-",'A-8'!R283="-"),"-",SUM('A-8'!R141,'A-8'!R212,'A-8'!R283))</f>
        <v>-</v>
      </c>
      <c r="V46" s="203" t="s">
        <v>29</v>
      </c>
      <c r="W46" s="203" t="s">
        <v>29</v>
      </c>
      <c r="X46" s="203" t="s">
        <v>29</v>
      </c>
      <c r="Z46" s="374">
        <v>0</v>
      </c>
    </row>
    <row r="47" spans="1:26" s="358" customFormat="1" ht="11.25" customHeight="1" x14ac:dyDescent="0.25">
      <c r="A47" s="402">
        <v>2018</v>
      </c>
      <c r="B47" s="203" t="str">
        <f>IF(AND('A-8'!B142="-",'A-8'!B213="-",'A-8'!B284="-"),"-",SUM('A-8'!B142,'A-8'!B213,'A-8'!B284))</f>
        <v>-</v>
      </c>
      <c r="C47" s="203" t="str">
        <f>IF(AND('A-8'!C142="-",'A-8'!C213="-",'A-8'!C284="-"),"-",SUM('A-8'!C142,'A-8'!C213,'A-8'!C284))</f>
        <v>-</v>
      </c>
      <c r="D47" s="203">
        <f>IF(AND('A-8'!D142="-",'A-8'!D213="-",'A-8'!D284="-"),"-",SUM('A-8'!D142,'A-8'!D213,'A-8'!D284))</f>
        <v>971</v>
      </c>
      <c r="E47" s="203">
        <f>IF(AND('A-8'!E142="-",'A-8'!E213="-",'A-8'!E284="-"),"-",SUM('A-8'!E142,'A-8'!E213,'A-8'!E284))</f>
        <v>2878</v>
      </c>
      <c r="F47" s="203">
        <f>IF(AND('A-8'!F142="-",'A-8'!F213="-",'A-8'!F284="-"),"-",SUM('A-8'!F142,'A-8'!F213,'A-8'!F284))</f>
        <v>2930</v>
      </c>
      <c r="G47" s="203">
        <f>IF(AND('A-8'!G142="-",'A-8'!G213="-",'A-8'!G284="-"),"-",SUM('A-8'!G142,'A-8'!G213,'A-8'!G284))</f>
        <v>12304</v>
      </c>
      <c r="H47" s="203">
        <f>IF(AND('A-8'!H142="-",'A-8'!H213="-",'A-8'!H284="-"),"-",SUM('A-8'!H142,'A-8'!H213,'A-8'!H284))</f>
        <v>225</v>
      </c>
      <c r="I47" s="203">
        <f>IF(AND('A-8'!I142="-",'A-8'!I213="-",'A-8'!I284="-"),"-",SUM('A-8'!I142,'A-8'!I213,'A-8'!I284))</f>
        <v>490</v>
      </c>
      <c r="J47" s="203">
        <f>IF(AND('A-8'!J142="-",'A-8'!J213="-",'A-8'!J284="-"),"-",SUM('A-8'!J142,'A-8'!J213,'A-8'!J284))</f>
        <v>431</v>
      </c>
      <c r="K47" s="203" t="str">
        <f>IF(AND('A-8'!K142="-",'A-8'!K213="-",'A-8'!K284="-"),"-",SUM('A-8'!K142,'A-8'!K213,'A-8'!K284))</f>
        <v>-</v>
      </c>
      <c r="L47" s="203">
        <f>IF(AND('A-8'!L142="-",'A-8'!L213="-",'A-8'!L284="-"),"-",SUM('A-8'!L142,'A-8'!L213,'A-8'!L284))</f>
        <v>20229</v>
      </c>
      <c r="M47" s="9"/>
      <c r="N47" s="203" t="s">
        <v>29</v>
      </c>
      <c r="O47" s="203" t="s">
        <v>29</v>
      </c>
      <c r="P47" s="203" t="s">
        <v>29</v>
      </c>
      <c r="Q47" s="203" t="str">
        <f>IF(AND('A-8'!N142="-",'A-8'!N213="-",'A-8'!N284="-"),"-",SUM('A-8'!N142,'A-8'!N213,'A-8'!N284))</f>
        <v>-</v>
      </c>
      <c r="R47" s="203" t="str">
        <f>IF(AND('A-8'!O142="-",'A-8'!O213="-",'A-8'!O284="-"),"-",SUM('A-8'!O142,'A-8'!O213,'A-8'!O284))</f>
        <v>-</v>
      </c>
      <c r="S47" s="203" t="str">
        <f>IF(AND('A-8'!P142="-",'A-8'!P213="-",'A-8'!P284="-"),"-",SUM('A-8'!P142,'A-8'!P213,'A-8'!P284))</f>
        <v>-</v>
      </c>
      <c r="T47" s="203" t="str">
        <f>IF(AND('A-8'!Q142="-",'A-8'!Q213="-",'A-8'!Q284="-"),"-",SUM('A-8'!Q142,'A-8'!Q213,'A-8'!Q284))</f>
        <v>-</v>
      </c>
      <c r="U47" s="203" t="str">
        <f>IF(AND('A-8'!R142="-",'A-8'!R213="-",'A-8'!R284="-"),"-",SUM('A-8'!R142,'A-8'!R213,'A-8'!R284))</f>
        <v>-</v>
      </c>
      <c r="V47" s="203" t="s">
        <v>29</v>
      </c>
      <c r="W47" s="203" t="s">
        <v>29</v>
      </c>
      <c r="X47" s="203" t="s">
        <v>29</v>
      </c>
      <c r="Z47" s="374">
        <v>0</v>
      </c>
    </row>
    <row r="48" spans="1:26" s="358" customFormat="1" ht="11.25" customHeight="1" x14ac:dyDescent="0.25">
      <c r="A48" s="491">
        <v>2019</v>
      </c>
      <c r="B48" s="203" t="str">
        <f>IF(AND('A-8'!B143="-",'A-8'!B214="-",'A-8'!B285="-"),"-",SUM('A-8'!B143,'A-8'!B214,'A-8'!B285))</f>
        <v>-</v>
      </c>
      <c r="C48" s="203">
        <f>IF(AND('A-8'!C143="-",'A-8'!C214="-",'A-8'!C285="-"),"-",SUM('A-8'!C143,'A-8'!C214,'A-8'!C285))</f>
        <v>150</v>
      </c>
      <c r="D48" s="203">
        <f>IF(AND('A-8'!D143="-",'A-8'!D214="-",'A-8'!D285="-"),"-",SUM('A-8'!D143,'A-8'!D214,'A-8'!D285))</f>
        <v>665</v>
      </c>
      <c r="E48" s="203">
        <f>IF(AND('A-8'!E143="-",'A-8'!E214="-",'A-8'!E285="-"),"-",SUM('A-8'!E143,'A-8'!E214,'A-8'!E285))</f>
        <v>3302</v>
      </c>
      <c r="F48" s="203">
        <f>IF(AND('A-8'!F143="-",'A-8'!F214="-",'A-8'!F285="-"),"-",SUM('A-8'!F143,'A-8'!F214,'A-8'!F285))</f>
        <v>16242</v>
      </c>
      <c r="G48" s="203">
        <f>IF(AND('A-8'!G143="-",'A-8'!G214="-",'A-8'!G285="-"),"-",SUM('A-8'!G143,'A-8'!G214,'A-8'!G285))</f>
        <v>4641</v>
      </c>
      <c r="H48" s="203">
        <f>IF(AND('A-8'!H143="-",'A-8'!H214="-",'A-8'!H285="-"),"-",SUM('A-8'!H143,'A-8'!H214,'A-8'!H285))</f>
        <v>632</v>
      </c>
      <c r="I48" s="203">
        <f>IF(AND('A-8'!I143="-",'A-8'!I214="-",'A-8'!I285="-"),"-",SUM('A-8'!I143,'A-8'!I214,'A-8'!I285))</f>
        <v>870</v>
      </c>
      <c r="J48" s="203" t="str">
        <f>IF(AND('A-8'!J143="-",'A-8'!J214="-",'A-8'!J285="-"),"-",SUM('A-8'!J143,'A-8'!J214,'A-8'!J285))</f>
        <v>-</v>
      </c>
      <c r="K48" s="203" t="str">
        <f>IF(AND('A-8'!K143="-",'A-8'!K214="-",'A-8'!K285="-"),"-",SUM('A-8'!K143,'A-8'!K214,'A-8'!K285))</f>
        <v>-</v>
      </c>
      <c r="L48" s="203">
        <f>IF(AND('A-8'!L143="-",'A-8'!L214="-",'A-8'!L285="-"),"-",SUM('A-8'!L143,'A-8'!L214,'A-8'!L285))</f>
        <v>26502</v>
      </c>
      <c r="M48" s="9"/>
      <c r="N48" s="203" t="s">
        <v>29</v>
      </c>
      <c r="O48" s="203" t="s">
        <v>29</v>
      </c>
      <c r="P48" s="203" t="s">
        <v>29</v>
      </c>
      <c r="Q48" s="203" t="str">
        <f>IF(AND('A-8'!N143="-",'A-8'!N214="-",'A-8'!N285="-"),"-",SUM('A-8'!N143,'A-8'!N214,'A-8'!N285))</f>
        <v>-</v>
      </c>
      <c r="R48" s="203" t="str">
        <f>IF(AND('A-8'!O143="-",'A-8'!O214="-",'A-8'!O285="-"),"-",SUM('A-8'!O143,'A-8'!O214,'A-8'!O285))</f>
        <v>-</v>
      </c>
      <c r="S48" s="203" t="str">
        <f>IF(AND('A-8'!P143="-",'A-8'!P214="-",'A-8'!P285="-"),"-",SUM('A-8'!P143,'A-8'!P214,'A-8'!P285))</f>
        <v>-</v>
      </c>
      <c r="T48" s="203" t="str">
        <f>IF(AND('A-8'!Q143="-",'A-8'!Q214="-",'A-8'!Q285="-"),"-",SUM('A-8'!Q143,'A-8'!Q214,'A-8'!Q285))</f>
        <v>-</v>
      </c>
      <c r="U48" s="203" t="str">
        <f>IF(AND('A-8'!R143="-",'A-8'!R214="-",'A-8'!R285="-"),"-",SUM('A-8'!R143,'A-8'!R214,'A-8'!R285))</f>
        <v>-</v>
      </c>
      <c r="V48" s="203" t="s">
        <v>29</v>
      </c>
      <c r="W48" s="203" t="s">
        <v>29</v>
      </c>
      <c r="X48" s="203" t="s">
        <v>29</v>
      </c>
      <c r="Z48" s="487">
        <v>0</v>
      </c>
    </row>
    <row r="49" spans="1:26" ht="11.25" customHeight="1" x14ac:dyDescent="0.25">
      <c r="A49" s="491" t="s">
        <v>393</v>
      </c>
      <c r="B49" s="200" t="str">
        <f>IF(AND('A-8'!B144="-",'A-8'!B215="-",'A-8'!B286="-"),"-",SUM('A-8'!B144,'A-8'!B215,'A-8'!B286))</f>
        <v>-</v>
      </c>
      <c r="C49" s="200">
        <f>IF(AND('A-8'!C144="-",'A-8'!C215="-",'A-8'!C286="-"),"-",SUM('A-8'!C144,'A-8'!C215,'A-8'!C286))</f>
        <v>799</v>
      </c>
      <c r="D49" s="200">
        <f>IF(AND('A-8'!D144="-",'A-8'!D215="-",'A-8'!D286="-"),"-",SUM('A-8'!D144,'A-8'!D215,'A-8'!D286))</f>
        <v>777</v>
      </c>
      <c r="E49" s="200">
        <f>IF(AND('A-8'!E144="-",'A-8'!E215="-",'A-8'!E286="-"),"-",SUM('A-8'!E144,'A-8'!E215,'A-8'!E286))</f>
        <v>2397</v>
      </c>
      <c r="F49" s="200">
        <f>IF(AND('A-8'!F144="-",'A-8'!F215="-",'A-8'!F286="-"),"-",SUM('A-8'!F144,'A-8'!F215,'A-8'!F286))</f>
        <v>4355</v>
      </c>
      <c r="G49" s="200">
        <f>IF(AND('A-8'!G144="-",'A-8'!G215="-",'A-8'!G286="-"),"-",SUM('A-8'!G144,'A-8'!G215,'A-8'!G286))</f>
        <v>1855</v>
      </c>
      <c r="H49" s="200">
        <f>IF(AND('A-8'!H144="-",'A-8'!H215="-",'A-8'!H286="-"),"-",SUM('A-8'!H144,'A-8'!H215,'A-8'!H286))</f>
        <v>560</v>
      </c>
      <c r="I49" s="200">
        <f>IF(AND('A-8'!I144="-",'A-8'!I215="-",'A-8'!I286="-"),"-",SUM('A-8'!I144,'A-8'!I215,'A-8'!I286))</f>
        <v>997</v>
      </c>
      <c r="J49" s="200" t="str">
        <f>IF(AND('A-8'!J144="-",'A-8'!J215="-",'A-8'!J286="-"),"-",SUM('A-8'!J144,'A-8'!J215,'A-8'!J286))</f>
        <v>-</v>
      </c>
      <c r="K49" s="200" t="str">
        <f>IF(AND('A-8'!K144="-",'A-8'!K215="-",'A-8'!K286="-"),"-",SUM('A-8'!K144,'A-8'!K215,'A-8'!K286))</f>
        <v>-</v>
      </c>
      <c r="L49" s="200">
        <f>IF(AND('A-8'!L144="-",'A-8'!L215="-",'A-8'!L286="-"),"-",SUM('A-8'!L144,'A-8'!L215,'A-8'!L286))</f>
        <v>11740</v>
      </c>
      <c r="M49" s="8"/>
      <c r="N49" s="200" t="s">
        <v>29</v>
      </c>
      <c r="O49" s="200" t="s">
        <v>29</v>
      </c>
      <c r="P49" s="200" t="s">
        <v>29</v>
      </c>
      <c r="Q49" s="203" t="str">
        <f>IF(AND('A-8'!N144="-",'A-8'!N215="-",'A-8'!N286="-"),"-",SUM('A-8'!N144,'A-8'!N215,'A-8'!N286))</f>
        <v>-</v>
      </c>
      <c r="R49" s="200" t="str">
        <f>IF(AND('A-8'!O144="-",'A-8'!O215="-",'A-8'!O286="-"),"-",SUM('A-8'!O144,'A-8'!O215,'A-8'!O286))</f>
        <v>-</v>
      </c>
      <c r="S49" s="200" t="str">
        <f>IF(AND('A-8'!P144="-",'A-8'!P215="-",'A-8'!P286="-"),"-",SUM('A-8'!P144,'A-8'!P215,'A-8'!P286))</f>
        <v>-</v>
      </c>
      <c r="T49" s="200" t="str">
        <f>IF(AND('A-8'!Q144="-",'A-8'!Q215="-",'A-8'!Q286="-"),"-",SUM('A-8'!Q144,'A-8'!Q215,'A-8'!Q286))</f>
        <v>-</v>
      </c>
      <c r="U49" s="200" t="str">
        <f>IF(AND('A-8'!R144="-",'A-8'!R215="-",'A-8'!R286="-"),"-",SUM('A-8'!R144,'A-8'!R215,'A-8'!R286))</f>
        <v>-</v>
      </c>
      <c r="V49" s="200" t="s">
        <v>29</v>
      </c>
      <c r="W49" s="200" t="s">
        <v>29</v>
      </c>
      <c r="X49" s="203" t="s">
        <v>29</v>
      </c>
      <c r="Z49" s="1">
        <v>0</v>
      </c>
    </row>
    <row r="50" spans="1:26" ht="11.25" customHeight="1" x14ac:dyDescent="0.25">
      <c r="A50" s="383"/>
      <c r="M50" s="8"/>
    </row>
    <row r="51" spans="1:26" ht="11.25" customHeight="1" x14ac:dyDescent="0.25">
      <c r="A51" s="116" t="s">
        <v>302</v>
      </c>
      <c r="M51" s="8"/>
    </row>
    <row r="52" spans="1:26" ht="11.25" customHeight="1" x14ac:dyDescent="0.25">
      <c r="A52" s="383">
        <v>1976</v>
      </c>
      <c r="B52" s="200" t="s">
        <v>29</v>
      </c>
      <c r="C52" s="200">
        <f>IF(AND('A-8'!C313="-",'A-3'!B5="-",'A-3'!B52="-"),"-",SUM('A-8'!C313,'A-3'!B5,'A-3'!B52))</f>
        <v>2663</v>
      </c>
      <c r="D52" s="200">
        <f>IF(AND('A-8'!D313="-",'A-3'!C5="-",'A-3'!C52="-"),"-",SUM('A-8'!D313,'A-3'!C5,'A-3'!C52))</f>
        <v>58189</v>
      </c>
      <c r="E52" s="200">
        <f>IF(AND('A-8'!E313="-",'A-3'!D5="-",'A-3'!D52="-"),"-",SUM('A-8'!E313,'A-3'!D5,'A-3'!D52))</f>
        <v>53962</v>
      </c>
      <c r="F52" s="200">
        <f>IF(AND('A-8'!F313="-",'A-3'!E5="-",'A-3'!E52="-"),"-",SUM('A-8'!F313,'A-3'!E5,'A-3'!E52))</f>
        <v>77446</v>
      </c>
      <c r="G52" s="200">
        <f>IF(AND('A-8'!G313="-",'A-3'!F5="-",'A-3'!F52="-"),"-",SUM('A-8'!G313,'A-3'!F5,'A-3'!F52))</f>
        <v>17444</v>
      </c>
      <c r="H52" s="200">
        <f>IF(AND('A-8'!H313="-",'A-3'!G5="-",'A-3'!G52="-"),"-",SUM('A-8'!H313,'A-3'!G5,'A-3'!G52))</f>
        <v>12732</v>
      </c>
      <c r="I52" s="200">
        <f>IF(AND('A-8'!I313="-",'A-3'!H5="-",'A-3'!H52="-"),"-",SUM('A-8'!I313,'A-3'!H5,'A-3'!H52))</f>
        <v>4299</v>
      </c>
      <c r="J52" s="200">
        <f>IF('A-8'!J313="-","-",('A-8'!J313))</f>
        <v>1854</v>
      </c>
      <c r="K52" s="200" t="str">
        <f>IF('A-8'!K313="-","-",('A-8'!K313))</f>
        <v>-</v>
      </c>
      <c r="L52" s="200">
        <f>IF(AND('A-8'!L313="-",'A-3'!I5="-",'A-3'!I52="-"),"-",SUM('A-8'!L313,'A-3'!I5,'A-3'!I52))</f>
        <v>228589</v>
      </c>
      <c r="M52" s="8"/>
      <c r="N52" s="200" t="s">
        <v>29</v>
      </c>
      <c r="O52" s="200">
        <f>SUM('A-8'!L313,'A-3'!K5,'A-3'!K52)</f>
        <v>42199</v>
      </c>
      <c r="P52" s="200">
        <f>SUM('A-8'!M313,'A-3'!L5,'A-3'!L52)</f>
        <v>130181</v>
      </c>
      <c r="Q52" s="200">
        <f>SUM('A-8'!N313,'A-3'!M5,'A-3'!M52)</f>
        <v>184797</v>
      </c>
      <c r="R52" s="200">
        <f>SUM('A-8'!O313,'A-3'!N5,'A-3'!N52)</f>
        <v>110197</v>
      </c>
      <c r="S52" s="200">
        <f>SUM('A-8'!P313,'A-3'!O5,'A-3'!O52)</f>
        <v>28547</v>
      </c>
      <c r="T52" s="200">
        <f>SUM('A-8'!Q313,'A-3'!P5,'A-3'!P52)</f>
        <v>2528</v>
      </c>
      <c r="U52" s="200">
        <f>SUM('A-8'!R313,'A-3'!Q5,'A-3'!Q52)</f>
        <v>306</v>
      </c>
      <c r="V52" s="200" t="s">
        <v>29</v>
      </c>
      <c r="W52" s="200" t="s">
        <v>29</v>
      </c>
      <c r="X52" s="200">
        <f>SUM(N52:W52)</f>
        <v>498755</v>
      </c>
    </row>
    <row r="53" spans="1:26" ht="11.25" customHeight="1" x14ac:dyDescent="0.25">
      <c r="A53" s="383">
        <v>1977</v>
      </c>
      <c r="B53" s="200" t="s">
        <v>29</v>
      </c>
      <c r="C53" s="200">
        <f>IF(AND('A-8'!C314="-",'A-3'!B6="-",'A-3'!B53="-"),"-",SUM('A-8'!C314,'A-3'!B6,'A-3'!B53))</f>
        <v>22668</v>
      </c>
      <c r="D53" s="200">
        <f>IF(AND('A-8'!D314="-",'A-3'!C6="-",'A-3'!C53="-"),"-",SUM('A-8'!D314,'A-3'!C6,'A-3'!C53))</f>
        <v>70586</v>
      </c>
      <c r="E53" s="200">
        <f>IF(AND('A-8'!E314="-",'A-3'!D6="-",'A-3'!D53="-"),"-",SUM('A-8'!E314,'A-3'!D6,'A-3'!D53))</f>
        <v>43261</v>
      </c>
      <c r="F53" s="200">
        <f>IF(AND('A-8'!F314="-",'A-3'!E6="-",'A-3'!E53="-"),"-",SUM('A-8'!F314,'A-3'!E6,'A-3'!E53))</f>
        <v>84720</v>
      </c>
      <c r="G53" s="200">
        <f>IF(AND('A-8'!G314="-",'A-3'!F6="-",'A-3'!F53="-"),"-",SUM('A-8'!G314,'A-3'!F6,'A-3'!F53))</f>
        <v>39426</v>
      </c>
      <c r="H53" s="200">
        <f>IF(AND('A-8'!H314="-",'A-3'!G6="-",'A-3'!G53="-"),"-",SUM('A-8'!H314,'A-3'!G6,'A-3'!G53))</f>
        <v>15595</v>
      </c>
      <c r="I53" s="200">
        <f>IF(AND('A-8'!I314="-",'A-3'!H6="-",'A-3'!H53="-"),"-",SUM('A-8'!I314,'A-3'!H6,'A-3'!H53))</f>
        <v>4910</v>
      </c>
      <c r="J53" s="200">
        <f>IF('A-8'!J314="-","-",('A-8'!J314))</f>
        <v>4141</v>
      </c>
      <c r="K53" s="200" t="str">
        <f>IF('A-8'!K314="-","-",('A-8'!K314))</f>
        <v>-</v>
      </c>
      <c r="L53" s="200">
        <f>IF(AND('A-8'!L314="-",'A-3'!I6="-",'A-3'!I53="-"),"-",SUM('A-8'!L314,'A-3'!I6,'A-3'!I53))</f>
        <v>285307</v>
      </c>
      <c r="M53" s="8"/>
      <c r="N53" s="200" t="s">
        <v>29</v>
      </c>
      <c r="O53" s="200">
        <f>SUM('A-8'!L314,'A-3'!K6,'A-3'!K53)</f>
        <v>87847</v>
      </c>
      <c r="P53" s="200">
        <f>SUM('A-8'!M314,'A-3'!L6,'A-3'!L53)</f>
        <v>10658</v>
      </c>
      <c r="Q53" s="200">
        <f>SUM('A-8'!N314,'A-3'!M6,'A-3'!M53)</f>
        <v>6458</v>
      </c>
      <c r="R53" s="200">
        <f>SUM('A-8'!O314,'A-3'!N6,'A-3'!N53)</f>
        <v>32052</v>
      </c>
      <c r="S53" s="200">
        <f>SUM('A-8'!P314,'A-3'!O6,'A-3'!O53)</f>
        <v>11504</v>
      </c>
      <c r="T53" s="200">
        <f>SUM('A-8'!Q314,'A-3'!P6,'A-3'!P53)</f>
        <v>434</v>
      </c>
      <c r="U53" s="200">
        <f>SUM('A-8'!R314,'A-3'!Q6,'A-3'!Q53)</f>
        <v>30</v>
      </c>
      <c r="V53" s="200" t="s">
        <v>29</v>
      </c>
      <c r="W53" s="200" t="s">
        <v>29</v>
      </c>
      <c r="X53" s="200">
        <f t="shared" ref="X53:X67" si="1">SUM(N53:W53)</f>
        <v>148983</v>
      </c>
    </row>
    <row r="54" spans="1:26" ht="11.25" customHeight="1" x14ac:dyDescent="0.25">
      <c r="A54" s="383">
        <v>1978</v>
      </c>
      <c r="B54" s="200" t="str">
        <f>IF('A-8'!B315="-","-",('A-8'!B315))</f>
        <v>-</v>
      </c>
      <c r="C54" s="200">
        <f>IF(AND('A-8'!C315="-",'A-3'!B7="-",'A-3'!B54="-"),"-",SUM('A-8'!C315,'A-3'!B7,'A-3'!B54))</f>
        <v>8787</v>
      </c>
      <c r="D54" s="200">
        <f>IF(AND('A-8'!D315="-",'A-3'!C7="-",'A-3'!C54="-"),"-",SUM('A-8'!D315,'A-3'!C7,'A-3'!C54))</f>
        <v>114656</v>
      </c>
      <c r="E54" s="200">
        <f>IF(AND('A-8'!E315="-",'A-3'!D7="-",'A-3'!D54="-"),"-",SUM('A-8'!E315,'A-3'!D7,'A-3'!D54))</f>
        <v>85715</v>
      </c>
      <c r="F54" s="200">
        <f>IF(AND('A-8'!F315="-",'A-3'!E7="-",'A-3'!E54="-"),"-",SUM('A-8'!F315,'A-3'!E7,'A-3'!E54))</f>
        <v>22568</v>
      </c>
      <c r="G54" s="200">
        <f>IF(AND('A-8'!G315="-",'A-3'!F7="-",'A-3'!F54="-"),"-",SUM('A-8'!G315,'A-3'!F7,'A-3'!F54))</f>
        <v>13387</v>
      </c>
      <c r="H54" s="200">
        <f>IF(AND('A-8'!H315="-",'A-3'!G7="-",'A-3'!G54="-"),"-",SUM('A-8'!H315,'A-3'!G7,'A-3'!G54))</f>
        <v>9520</v>
      </c>
      <c r="I54" s="200">
        <f>IF(AND('A-8'!I315="-",'A-3'!H7="-",'A-3'!H54="-"),"-",SUM('A-8'!I315,'A-3'!H7,'A-3'!H54))</f>
        <v>4215</v>
      </c>
      <c r="J54" s="200">
        <f>IF('A-8'!J315="-","-",('A-8'!J315))</f>
        <v>3207</v>
      </c>
      <c r="K54" s="200" t="str">
        <f>IF('A-8'!K315="-","-",('A-8'!K315))</f>
        <v>-</v>
      </c>
      <c r="L54" s="200">
        <f>IF(AND('A-8'!L315="-",'A-3'!I7="-",'A-3'!I54="-"),"-",SUM('A-8'!L315,'A-3'!I7,'A-3'!I54))</f>
        <v>262055</v>
      </c>
      <c r="M54" s="8"/>
      <c r="N54" s="200" t="s">
        <v>29</v>
      </c>
      <c r="O54" s="200">
        <f>SUM('A-3'!K7,'A-3'!K54)</f>
        <v>12</v>
      </c>
      <c r="P54" s="200">
        <f>SUM('A-3'!L7,'A-3'!L54)</f>
        <v>48473</v>
      </c>
      <c r="Q54" s="200">
        <f>SUM('A-8'!N315,'A-3'!M7,'A-3'!M54)</f>
        <v>199374</v>
      </c>
      <c r="R54" s="200">
        <f>SUM('A-8'!O315,'A-3'!N7,'A-3'!N54)</f>
        <v>49174</v>
      </c>
      <c r="S54" s="200">
        <f>SUM('A-8'!P315,'A-3'!O7,'A-3'!O54)</f>
        <v>14505</v>
      </c>
      <c r="T54" s="200">
        <f>SUM('A-8'!Q315,'A-3'!P7,'A-3'!P54)</f>
        <v>3035</v>
      </c>
      <c r="U54" s="200">
        <f>SUM('A-8'!R315,'A-3'!Q7,'A-3'!Q54)</f>
        <v>186</v>
      </c>
      <c r="V54" s="200" t="s">
        <v>29</v>
      </c>
      <c r="W54" s="200" t="s">
        <v>29</v>
      </c>
      <c r="X54" s="200">
        <f t="shared" si="1"/>
        <v>314759</v>
      </c>
    </row>
    <row r="55" spans="1:26" ht="11.25" customHeight="1" x14ac:dyDescent="0.25">
      <c r="A55" s="383">
        <v>1979</v>
      </c>
      <c r="B55" s="200" t="str">
        <f>IF('A-8'!B316="-","-",('A-8'!B316))</f>
        <v>-</v>
      </c>
      <c r="C55" s="200">
        <f>IF(AND('A-8'!C316="-",'A-3'!B8="-",'A-3'!B55="-"),"-",SUM('A-8'!C316,'A-3'!B8,'A-3'!B55))</f>
        <v>0</v>
      </c>
      <c r="D55" s="200">
        <f>IF(AND('A-8'!D316="-",'A-3'!C8="-",'A-3'!C55="-"),"-",SUM('A-8'!D316,'A-3'!C8,'A-3'!C55))</f>
        <v>113134</v>
      </c>
      <c r="E55" s="200">
        <f>IF(AND('A-8'!E316="-",'A-3'!D8="-",'A-3'!D55="-"),"-",SUM('A-8'!E316,'A-3'!D8,'A-3'!D55))</f>
        <v>34917</v>
      </c>
      <c r="F55" s="200">
        <f>IF(AND('A-8'!F316="-",'A-3'!E8="-",'A-3'!E55="-"),"-",SUM('A-8'!F316,'A-3'!E8,'A-3'!E55))</f>
        <v>107473</v>
      </c>
      <c r="G55" s="200">
        <f>IF(AND('A-8'!G316="-",'A-3'!F8="-",'A-3'!F55="-"),"-",SUM('A-8'!G316,'A-3'!F8,'A-3'!F55))</f>
        <v>118411</v>
      </c>
      <c r="H55" s="200">
        <f>IF(AND('A-8'!H316="-",'A-3'!G8="-",'A-3'!G55="-"),"-",SUM('A-8'!H316,'A-3'!G8,'A-3'!G55))</f>
        <v>22401</v>
      </c>
      <c r="I55" s="200">
        <f>IF(AND('A-8'!I316="-",'A-3'!H8="-",'A-3'!H55="-"),"-",SUM('A-8'!I316,'A-3'!H8,'A-3'!H55))</f>
        <v>15743</v>
      </c>
      <c r="J55" s="200">
        <f>IF('A-8'!J316="-","-",('A-8'!J316))</f>
        <v>1861</v>
      </c>
      <c r="K55" s="200" t="str">
        <f>IF('A-8'!K316="-","-",('A-8'!K316))</f>
        <v>-</v>
      </c>
      <c r="L55" s="200">
        <f>IF(AND('A-8'!L316="-",'A-3'!I8="-",'A-3'!I55="-"),"-",SUM('A-8'!L316,'A-3'!I8,'A-3'!I55))</f>
        <v>413940</v>
      </c>
      <c r="M55" s="8"/>
      <c r="N55" s="200" t="s">
        <v>29</v>
      </c>
      <c r="O55" s="200">
        <f>SUM('A-3'!K8,'A-3'!K55)</f>
        <v>0</v>
      </c>
      <c r="P55" s="200">
        <f>SUM('A-3'!L8,'A-3'!L55)</f>
        <v>14301</v>
      </c>
      <c r="Q55" s="200">
        <f>SUM('A-8'!N316,'A-3'!M8,'A-3'!M55)</f>
        <v>48965</v>
      </c>
      <c r="R55" s="200">
        <f>SUM('A-8'!O316,'A-3'!N8,'A-3'!N55)</f>
        <v>155914</v>
      </c>
      <c r="S55" s="200">
        <f>SUM('A-8'!P316,'A-3'!O8,'A-3'!O55)</f>
        <v>23795</v>
      </c>
      <c r="T55" s="200">
        <f>SUM('A-8'!Q316,'A-3'!P8,'A-3'!P55)</f>
        <v>394</v>
      </c>
      <c r="U55" s="200">
        <f>SUM('A-8'!R316,'A-3'!Q8,'A-3'!Q55)</f>
        <v>0</v>
      </c>
      <c r="V55" s="200" t="s">
        <v>29</v>
      </c>
      <c r="W55" s="200" t="s">
        <v>29</v>
      </c>
      <c r="X55" s="200">
        <f t="shared" si="1"/>
        <v>243369</v>
      </c>
    </row>
    <row r="56" spans="1:26" ht="11.25" customHeight="1" x14ac:dyDescent="0.25">
      <c r="A56" s="383">
        <v>1980</v>
      </c>
      <c r="B56" s="200" t="str">
        <f>IF('A-8'!B317="-","-",('A-8'!B317))</f>
        <v>-</v>
      </c>
      <c r="C56" s="200" t="str">
        <f>IF(AND('A-8'!C317="-",'A-3'!B9="-",'A-3'!B56="-"),"-",SUM('A-8'!C317,'A-3'!B9,'A-3'!B56))</f>
        <v>-</v>
      </c>
      <c r="D56" s="200">
        <f>IF(AND('A-8'!D317="-",'A-3'!C9="-",'A-3'!C56="-"),"-",SUM('A-8'!D317,'A-3'!C9,'A-3'!C56))</f>
        <v>112594</v>
      </c>
      <c r="E56" s="200">
        <f>IF(AND('A-8'!E317="-",'A-3'!D9="-",'A-3'!D56="-"),"-",SUM('A-8'!E317,'A-3'!D9,'A-3'!D56))</f>
        <v>2566</v>
      </c>
      <c r="F56" s="200">
        <f>IF(AND('A-8'!F317="-",'A-3'!E9="-",'A-3'!E56="-"),"-",SUM('A-8'!F317,'A-3'!E9,'A-3'!E56))</f>
        <v>37282</v>
      </c>
      <c r="G56" s="200">
        <f>IF(AND('A-8'!G317="-",'A-3'!F9="-",'A-3'!F56="-"),"-",SUM('A-8'!G317,'A-3'!F9,'A-3'!F56))</f>
        <v>44426</v>
      </c>
      <c r="H56" s="200">
        <f>IF(AND('A-8'!H317="-",'A-3'!G9="-",'A-3'!G56="-"),"-",SUM('A-8'!H317,'A-3'!G9,'A-3'!G56))</f>
        <v>30711</v>
      </c>
      <c r="I56" s="200">
        <f>IF(AND('A-8'!I317="-",'A-3'!H9="-",'A-3'!H56="-"),"-",SUM('A-8'!I317,'A-3'!H9,'A-3'!H56))</f>
        <v>3748</v>
      </c>
      <c r="J56" s="200">
        <f>IF('A-8'!J317="-","-",('A-8'!J317))</f>
        <v>983</v>
      </c>
      <c r="K56" s="200" t="str">
        <f>IF('A-8'!K317="-","-",('A-8'!K317))</f>
        <v>-</v>
      </c>
      <c r="L56" s="200">
        <f>IF(AND('A-8'!L317="-",'A-3'!I9="-",'A-3'!I56="-"),"-",SUM('A-8'!L317,'A-3'!I9,'A-3'!I56))</f>
        <v>232310</v>
      </c>
      <c r="M56" s="8"/>
      <c r="N56" s="200" t="s">
        <v>29</v>
      </c>
      <c r="O56" s="200">
        <f>SUM('A-3'!K9,'A-3'!K56)</f>
        <v>0</v>
      </c>
      <c r="P56" s="200">
        <f>SUM('A-3'!L9,'A-3'!L56)</f>
        <v>934</v>
      </c>
      <c r="Q56" s="200">
        <f>SUM('A-8'!N317,'A-3'!M9,'A-3'!M56)</f>
        <v>0</v>
      </c>
      <c r="R56" s="200">
        <f>SUM('A-8'!O317,'A-3'!N9,'A-3'!N56)</f>
        <v>21095</v>
      </c>
      <c r="S56" s="200">
        <f>SUM('A-8'!P317,'A-3'!O9,'A-3'!O56)</f>
        <v>8644</v>
      </c>
      <c r="T56" s="200">
        <f>SUM('A-8'!Q317,'A-3'!P9,'A-3'!P56)</f>
        <v>5463</v>
      </c>
      <c r="U56" s="200">
        <f>SUM('A-8'!R317,'A-3'!Q9,'A-3'!Q56)</f>
        <v>0</v>
      </c>
      <c r="V56" s="200" t="s">
        <v>29</v>
      </c>
      <c r="W56" s="200" t="s">
        <v>29</v>
      </c>
      <c r="X56" s="200">
        <f t="shared" si="1"/>
        <v>36136</v>
      </c>
    </row>
    <row r="57" spans="1:26" ht="11.25" customHeight="1" x14ac:dyDescent="0.25">
      <c r="A57" s="383">
        <v>1981</v>
      </c>
      <c r="B57" s="200" t="str">
        <f>IF('A-8'!B318="-","-",('A-8'!B318))</f>
        <v>-</v>
      </c>
      <c r="C57" s="200" t="str">
        <f>IF(AND('A-8'!C318="-",'A-3'!B10="-",'A-3'!B57="-"),"-",SUM('A-8'!C318,'A-3'!B10,'A-3'!B57))</f>
        <v>-</v>
      </c>
      <c r="D57" s="200">
        <f>IF(AND('A-8'!D318="-",'A-3'!C10="-",'A-3'!C57="-"),"-",SUM('A-8'!D318,'A-3'!C10,'A-3'!C57))</f>
        <v>81389</v>
      </c>
      <c r="E57" s="200">
        <f>IF(AND('A-8'!E318="-",'A-3'!D10="-",'A-3'!D57="-"),"-",SUM('A-8'!E318,'A-3'!D10,'A-3'!D57))</f>
        <v>6825</v>
      </c>
      <c r="F57" s="200">
        <f>IF(AND('A-8'!F318="-",'A-3'!E10="-",'A-3'!E57="-"),"-",SUM('A-8'!F318,'A-3'!E10,'A-3'!E57))</f>
        <v>26188</v>
      </c>
      <c r="G57" s="200">
        <f>IF(AND('A-8'!G318="-",'A-3'!F10="-",'A-3'!F57="-"),"-",SUM('A-8'!G318,'A-3'!F10,'A-3'!F57))</f>
        <v>104145</v>
      </c>
      <c r="H57" s="200">
        <f>IF(AND('A-8'!H318="-",'A-3'!G10="-",'A-3'!G57="-"),"-",SUM('A-8'!H318,'A-3'!G10,'A-3'!G57))</f>
        <v>33830</v>
      </c>
      <c r="I57" s="200">
        <f>IF(AND('A-8'!I318="-",'A-3'!H10="-",'A-3'!H57="-"),"-",SUM('A-8'!I318,'A-3'!H10,'A-3'!H57))</f>
        <v>11266</v>
      </c>
      <c r="J57" s="200">
        <f>IF('A-8'!J318="-","-",('A-8'!J318))</f>
        <v>1214</v>
      </c>
      <c r="K57" s="200" t="str">
        <f>IF('A-8'!K318="-","-",('A-8'!K318))</f>
        <v>-</v>
      </c>
      <c r="L57" s="200">
        <f>IF(AND('A-8'!L318="-",'A-3'!I10="-",'A-3'!I57="-"),"-",SUM('A-8'!L318,'A-3'!I10,'A-3'!I57))</f>
        <v>264857</v>
      </c>
      <c r="M57" s="8"/>
      <c r="N57" s="200" t="s">
        <v>29</v>
      </c>
      <c r="O57" s="200" t="s">
        <v>29</v>
      </c>
      <c r="P57" s="200">
        <f>SUM('A-3'!L10,'A-3'!L57)</f>
        <v>17088</v>
      </c>
      <c r="Q57" s="200">
        <f>SUM('A-8'!N318,'A-3'!M10,'A-3'!M57)</f>
        <v>5514</v>
      </c>
      <c r="R57" s="200">
        <f>SUM('A-8'!O318,'A-3'!N10,'A-3'!N57)</f>
        <v>35758</v>
      </c>
      <c r="S57" s="200">
        <f>SUM('A-8'!P318,'A-3'!O10,'A-3'!O57)</f>
        <v>63580</v>
      </c>
      <c r="T57" s="200">
        <f>SUM('A-8'!Q318,'A-3'!P10,'A-3'!P57)</f>
        <v>2776</v>
      </c>
      <c r="U57" s="200">
        <f>SUM('A-8'!R318,'A-3'!Q10,'A-3'!Q57)</f>
        <v>0</v>
      </c>
      <c r="V57" s="200" t="s">
        <v>29</v>
      </c>
      <c r="W57" s="200" t="s">
        <v>29</v>
      </c>
      <c r="X57" s="200">
        <f t="shared" si="1"/>
        <v>124716</v>
      </c>
    </row>
    <row r="58" spans="1:26" ht="11.25" customHeight="1" x14ac:dyDescent="0.25">
      <c r="A58" s="383">
        <v>1982</v>
      </c>
      <c r="B58" s="200" t="str">
        <f>IF('A-8'!B319="-","-",('A-8'!B319))</f>
        <v>-</v>
      </c>
      <c r="C58" s="200" t="str">
        <f>IF(AND('A-8'!C319="-",'A-3'!B11="-",'A-3'!B58="-"),"-",SUM('A-8'!C319,'A-3'!B11,'A-3'!B58))</f>
        <v>-</v>
      </c>
      <c r="D58" s="200">
        <f>IF(AND('A-8'!D319="-",'A-3'!C11="-",'A-3'!C58="-"),"-",SUM('A-8'!D319,'A-3'!C11,'A-3'!C58))</f>
        <v>51595</v>
      </c>
      <c r="E58" s="200">
        <f>IF(AND('A-8'!E319="-",'A-3'!D11="-",'A-3'!D58="-"),"-",SUM('A-8'!E319,'A-3'!D11,'A-3'!D58))</f>
        <v>17987</v>
      </c>
      <c r="F58" s="200">
        <f>IF(AND('A-8'!F319="-",'A-3'!E11="-",'A-3'!E58="-"),"-",SUM('A-8'!F319,'A-3'!E11,'A-3'!E58))</f>
        <v>71681</v>
      </c>
      <c r="G58" s="200">
        <f>IF(AND('A-8'!G319="-",'A-3'!F11="-",'A-3'!F58="-"),"-",SUM('A-8'!G319,'A-3'!F11,'A-3'!F58))</f>
        <v>77975</v>
      </c>
      <c r="H58" s="200">
        <f>IF(AND('A-8'!H319="-",'A-3'!G11="-",'A-3'!G58="-"),"-",SUM('A-8'!H319,'A-3'!G11,'A-3'!G58))</f>
        <v>13754</v>
      </c>
      <c r="I58" s="200">
        <f>IF(AND('A-8'!I319="-",'A-3'!H11="-",'A-3'!H58="-"),"-",SUM('A-8'!I319,'A-3'!H11,'A-3'!H58))</f>
        <v>3204</v>
      </c>
      <c r="J58" s="200">
        <f>IF('A-8'!J319="-","-",('A-8'!J319))</f>
        <v>1385</v>
      </c>
      <c r="K58" s="200" t="str">
        <f>IF('A-8'!K319="-","-",('A-8'!K319))</f>
        <v>-</v>
      </c>
      <c r="L58" s="200">
        <f>IF(AND('A-8'!L319="-",'A-3'!I11="-",'A-3'!I58="-"),"-",SUM('A-8'!L319,'A-3'!I11,'A-3'!I58))</f>
        <v>237581</v>
      </c>
      <c r="M58" s="8"/>
      <c r="N58" s="200" t="s">
        <v>29</v>
      </c>
      <c r="O58" s="200" t="s">
        <v>29</v>
      </c>
      <c r="P58" s="200">
        <f>SUM('A-3'!L11,'A-3'!L58)</f>
        <v>544</v>
      </c>
      <c r="Q58" s="200">
        <f>SUM('A-8'!N319,'A-3'!M11,'A-3'!M58)</f>
        <v>8117</v>
      </c>
      <c r="R58" s="200">
        <f>SUM('A-8'!O319,'A-3'!N11,'A-3'!N58)</f>
        <v>54394</v>
      </c>
      <c r="S58" s="200">
        <f>SUM('A-8'!P319,'A-3'!O11,'A-3'!O58)</f>
        <v>11178</v>
      </c>
      <c r="T58" s="200">
        <f>SUM('A-8'!Q319,'A-3'!P11,'A-3'!P58)</f>
        <v>1238</v>
      </c>
      <c r="U58" s="200">
        <f>SUM('A-8'!R319,'A-3'!Q11,'A-3'!Q58)</f>
        <v>0</v>
      </c>
      <c r="V58" s="200" t="s">
        <v>29</v>
      </c>
      <c r="W58" s="200" t="s">
        <v>29</v>
      </c>
      <c r="X58" s="200">
        <f t="shared" si="1"/>
        <v>75471</v>
      </c>
    </row>
    <row r="59" spans="1:26" ht="11.25" customHeight="1" x14ac:dyDescent="0.25">
      <c r="A59" s="383">
        <v>1983</v>
      </c>
      <c r="B59" s="200" t="str">
        <f>IF('A-8'!B320="-","-",('A-8'!B320))</f>
        <v>-</v>
      </c>
      <c r="C59" s="200" t="str">
        <f>IF(AND('A-8'!C320="-",'A-3'!B12="-",'A-3'!B59="-"),"-",SUM('A-8'!C320,'A-3'!B12,'A-3'!B59))</f>
        <v>-</v>
      </c>
      <c r="D59" s="200">
        <f>IF(AND('A-8'!D320="-",'A-3'!C12="-",'A-3'!C59="-"),"-",SUM('A-8'!D320,'A-3'!C12,'A-3'!C59))</f>
        <v>13106</v>
      </c>
      <c r="E59" s="200">
        <f>IF(AND('A-8'!E320="-",'A-3'!D12="-",'A-3'!D59="-"),"-",SUM('A-8'!E320,'A-3'!D12,'A-3'!D59))</f>
        <v>40854</v>
      </c>
      <c r="F59" s="200">
        <f>IF(AND('A-8'!F320="-",'A-3'!E12="-",'A-3'!E59="-"),"-",SUM('A-8'!F320,'A-3'!E12,'A-3'!E59))</f>
        <v>18797</v>
      </c>
      <c r="G59" s="200">
        <f>IF(AND('A-8'!G320="-",'A-3'!F12="-",'A-3'!F59="-"),"-",SUM('A-8'!G320,'A-3'!F12,'A-3'!F59))</f>
        <v>6911</v>
      </c>
      <c r="H59" s="200">
        <f>IF(AND('A-8'!H320="-",'A-3'!G12="-",'A-3'!G59="-"),"-",SUM('A-8'!H320,'A-3'!G12,'A-3'!G59))</f>
        <v>307</v>
      </c>
      <c r="I59" s="200">
        <f>IF(AND('A-8'!I320="-",'A-3'!H12="-",'A-3'!H59="-"),"-",SUM('A-8'!I320,'A-3'!H12,'A-3'!H59))</f>
        <v>1744</v>
      </c>
      <c r="J59" s="200">
        <f>IF('A-8'!J320="-","-",('A-8'!J320))</f>
        <v>753</v>
      </c>
      <c r="K59" s="200" t="str">
        <f>IF('A-8'!K320="-","-",('A-8'!K320))</f>
        <v>-</v>
      </c>
      <c r="L59" s="200">
        <f>IF(AND('A-8'!L320="-",'A-3'!I12="-",'A-3'!I59="-"),"-",SUM('A-8'!L320,'A-3'!I12,'A-3'!I59))</f>
        <v>82472</v>
      </c>
      <c r="M59" s="8"/>
      <c r="N59" s="200" t="s">
        <v>29</v>
      </c>
      <c r="O59" s="200" t="s">
        <v>29</v>
      </c>
      <c r="P59" s="200">
        <f>SUM('A-3'!L12,'A-3'!L59)</f>
        <v>1</v>
      </c>
      <c r="Q59" s="200">
        <f>SUM('A-8'!N320,'A-3'!M12,'A-3'!M59)</f>
        <v>22283</v>
      </c>
      <c r="R59" s="200">
        <f>SUM('A-8'!O320,'A-3'!N12,'A-3'!N59)</f>
        <v>37714</v>
      </c>
      <c r="S59" s="200">
        <f>SUM('A-8'!P320,'A-3'!O12,'A-3'!O59)</f>
        <v>6653</v>
      </c>
      <c r="T59" s="200">
        <f>SUM('A-8'!Q320,'A-3'!P12,'A-3'!P59)</f>
        <v>0</v>
      </c>
      <c r="U59" s="200">
        <f>SUM('A-8'!R320,'A-3'!Q12,'A-3'!Q59)</f>
        <v>0</v>
      </c>
      <c r="V59" s="200" t="s">
        <v>29</v>
      </c>
      <c r="W59" s="200" t="s">
        <v>29</v>
      </c>
      <c r="X59" s="200">
        <f t="shared" si="1"/>
        <v>66651</v>
      </c>
    </row>
    <row r="60" spans="1:26" ht="11.25" customHeight="1" x14ac:dyDescent="0.25">
      <c r="A60" s="383">
        <v>1984</v>
      </c>
      <c r="B60" s="200" t="str">
        <f>IF('A-8'!B321="-","-",('A-8'!B321))</f>
        <v>-</v>
      </c>
      <c r="C60" s="200" t="str">
        <f>IF(AND('A-8'!C321="-",'A-3'!B13="-",'A-3'!B60="-"),"-",SUM('A-8'!C321,'A-3'!B13,'A-3'!B60))</f>
        <v>-</v>
      </c>
      <c r="D60" s="200">
        <f>IF(AND('A-8'!D321="-",'A-3'!C13="-",'A-3'!C60="-"),"-",SUM('A-8'!D321,'A-3'!C13,'A-3'!C60))</f>
        <v>9954</v>
      </c>
      <c r="E60" s="200">
        <f>IF(AND('A-8'!E321="-",'A-3'!D13="-",'A-3'!D60="-"),"-",SUM('A-8'!E321,'A-3'!D13,'A-3'!D60))</f>
        <v>1110</v>
      </c>
      <c r="F60" s="200">
        <f>IF(AND('A-8'!F321="-",'A-3'!E13="-",'A-3'!E60="-"),"-",SUM('A-8'!F321,'A-3'!E13,'A-3'!E60))</f>
        <v>13826</v>
      </c>
      <c r="G60" s="200">
        <f>IF(AND('A-8'!G321="-",'A-3'!F13="-",'A-3'!F60="-"),"-",SUM('A-8'!G321,'A-3'!F13,'A-3'!F60))</f>
        <v>26266</v>
      </c>
      <c r="H60" s="200">
        <f>IF(AND('A-8'!H321="-",'A-3'!G13="-",'A-3'!G60="-"),"-",SUM('A-8'!H321,'A-3'!G13,'A-3'!G60))</f>
        <v>8</v>
      </c>
      <c r="I60" s="200">
        <f>IF(AND('A-8'!I321="-",'A-3'!H13="-",'A-3'!H60="-"),"-",SUM('A-8'!I321,'A-3'!H13,'A-3'!H60))</f>
        <v>871</v>
      </c>
      <c r="J60" s="200">
        <f>IF('A-8'!J321="-","-",('A-8'!J321))</f>
        <v>894</v>
      </c>
      <c r="K60" s="200" t="str">
        <f>IF('A-8'!K321="-","-",('A-8'!K321))</f>
        <v>-</v>
      </c>
      <c r="L60" s="200">
        <f>IF(AND('A-8'!L321="-",'A-3'!I13="-",'A-3'!I60="-"),"-",SUM('A-8'!L321,'A-3'!I13,'A-3'!I60))</f>
        <v>52929</v>
      </c>
      <c r="M60" s="8"/>
      <c r="N60" s="200" t="s">
        <v>29</v>
      </c>
      <c r="O60" s="200" t="s">
        <v>29</v>
      </c>
      <c r="P60" s="200">
        <f>SUM('A-3'!L13,'A-3'!L60)</f>
        <v>0</v>
      </c>
      <c r="Q60" s="200">
        <f>SUM('A-8'!N321,'A-3'!M13,'A-3'!M60)</f>
        <v>0</v>
      </c>
      <c r="R60" s="200">
        <f>SUM('A-8'!O321,'A-3'!N13,'A-3'!N60)</f>
        <v>699</v>
      </c>
      <c r="S60" s="200">
        <f>SUM('A-8'!P321,'A-3'!O13,'A-3'!O60)</f>
        <v>5437</v>
      </c>
      <c r="T60" s="200">
        <f>SUM('A-8'!Q321,'A-3'!P13,'A-3'!P60)</f>
        <v>0</v>
      </c>
      <c r="U60" s="200">
        <f>SUM('A-8'!R321,'A-3'!Q13,'A-3'!Q60)</f>
        <v>0</v>
      </c>
      <c r="V60" s="200" t="s">
        <v>29</v>
      </c>
      <c r="W60" s="200" t="s">
        <v>29</v>
      </c>
      <c r="X60" s="200">
        <f t="shared" si="1"/>
        <v>6136</v>
      </c>
    </row>
    <row r="61" spans="1:26" ht="11.25" customHeight="1" x14ac:dyDescent="0.25">
      <c r="A61" s="383">
        <v>1985</v>
      </c>
      <c r="B61" s="200" t="str">
        <f>IF('A-8'!B322="-","-",('A-8'!B322))</f>
        <v>-</v>
      </c>
      <c r="C61" s="200" t="str">
        <f>IF(AND('A-8'!C322="-",'A-3'!B14="-",'A-3'!B61="-"),"-",SUM('A-8'!C322,'A-3'!B14,'A-3'!B61))</f>
        <v>-</v>
      </c>
      <c r="D61" s="200">
        <f>IF(AND('A-8'!D322="-",'A-3'!C14="-",'A-3'!C61="-"),"-",SUM('A-8'!D322,'A-3'!C14,'A-3'!C61))</f>
        <v>259</v>
      </c>
      <c r="E61" s="200">
        <f>IF(AND('A-8'!E322="-",'A-3'!D14="-",'A-3'!D61="-"),"-",SUM('A-8'!E322,'A-3'!D14,'A-3'!D61))</f>
        <v>75</v>
      </c>
      <c r="F61" s="200">
        <f>IF(AND('A-8'!F322="-",'A-3'!E14="-",'A-3'!E61="-"),"-",SUM('A-8'!F322,'A-3'!E14,'A-3'!E61))</f>
        <v>2394</v>
      </c>
      <c r="G61" s="200">
        <f>IF(AND('A-8'!G322="-",'A-3'!F14="-",'A-3'!F61="-"),"-",SUM('A-8'!G322,'A-3'!F14,'A-3'!F61))</f>
        <v>7005</v>
      </c>
      <c r="H61" s="200">
        <f>IF(AND('A-8'!H322="-",'A-3'!G14="-",'A-3'!G61="-"),"-",SUM('A-8'!H322,'A-3'!G14,'A-3'!G61))</f>
        <v>2545</v>
      </c>
      <c r="I61" s="200">
        <f>IF(AND('A-8'!I322="-",'A-3'!H14="-",'A-3'!H61="-"),"-",SUM('A-8'!I322,'A-3'!H14,'A-3'!H61))</f>
        <v>388</v>
      </c>
      <c r="J61" s="200">
        <f>IF('A-8'!J322="-","-",('A-8'!J322))</f>
        <v>1320</v>
      </c>
      <c r="K61" s="200" t="str">
        <f>IF('A-8'!K322="-","-",('A-8'!K322))</f>
        <v>-</v>
      </c>
      <c r="L61" s="200">
        <f>IF(AND('A-8'!L322="-",'A-3'!I14="-",'A-3'!I61="-"),"-",SUM('A-8'!L322,'A-3'!I14,'A-3'!I61))</f>
        <v>13986</v>
      </c>
      <c r="M61" s="8"/>
      <c r="N61" s="200" t="s">
        <v>29</v>
      </c>
      <c r="O61" s="200" t="s">
        <v>29</v>
      </c>
      <c r="P61" s="200">
        <f>SUM('A-3'!L14,'A-3'!L61)</f>
        <v>0</v>
      </c>
      <c r="Q61" s="200">
        <f>SUM('A-8'!N322,'A-3'!M14,'A-3'!M61)</f>
        <v>0</v>
      </c>
      <c r="R61" s="200">
        <f>SUM('A-8'!O322,'A-3'!N14,'A-3'!N61)</f>
        <v>1011</v>
      </c>
      <c r="S61" s="200">
        <f>SUM('A-8'!P322,'A-3'!O14,'A-3'!O61)</f>
        <v>0</v>
      </c>
      <c r="T61" s="200">
        <f>SUM('A-8'!Q322,'A-3'!P14,'A-3'!P61)</f>
        <v>0</v>
      </c>
      <c r="U61" s="200">
        <f>SUM('A-8'!R322,'A-3'!Q14,'A-3'!Q61)</f>
        <v>0</v>
      </c>
      <c r="V61" s="200" t="s">
        <v>29</v>
      </c>
      <c r="W61" s="200" t="s">
        <v>29</v>
      </c>
      <c r="X61" s="200">
        <f t="shared" si="1"/>
        <v>1011</v>
      </c>
    </row>
    <row r="62" spans="1:26" ht="11.25" customHeight="1" x14ac:dyDescent="0.25">
      <c r="A62" s="383">
        <v>1986</v>
      </c>
      <c r="B62" s="200" t="str">
        <f>IF('A-8'!B323="-","-",('A-8'!B323))</f>
        <v>-</v>
      </c>
      <c r="C62" s="200" t="str">
        <f>IF(AND('A-8'!C323="-",'A-3'!B15="-",'A-3'!B62="-"),"-",SUM('A-8'!C323,'A-3'!B15,'A-3'!B62))</f>
        <v>-</v>
      </c>
      <c r="D62" s="200">
        <f>IF(AND('A-8'!D323="-",'A-3'!C15="-",'A-3'!C62="-"),"-",SUM('A-8'!D323,'A-3'!C15,'A-3'!C62))</f>
        <v>3894</v>
      </c>
      <c r="E62" s="200">
        <f>IF(AND('A-8'!E323="-",'A-3'!D15="-",'A-3'!D62="-"),"-",SUM('A-8'!E323,'A-3'!D15,'A-3'!D62))</f>
        <v>37059.32</v>
      </c>
      <c r="F62" s="200">
        <f>IF(AND('A-8'!F323="-",'A-3'!E15="-",'A-3'!E62="-"),"-",SUM('A-8'!F323,'A-3'!E15,'A-3'!E62))</f>
        <v>16701.04</v>
      </c>
      <c r="G62" s="200">
        <f>IF(AND('A-8'!G323="-",'A-3'!F15="-",'A-3'!F62="-"),"-",SUM('A-8'!G323,'A-3'!F15,'A-3'!F62))</f>
        <v>41513.26</v>
      </c>
      <c r="H62" s="200">
        <f>IF(AND('A-8'!H323="-",'A-3'!G15="-",'A-3'!G62="-"),"-",SUM('A-8'!H323,'A-3'!G15,'A-3'!G62))</f>
        <v>3569</v>
      </c>
      <c r="I62" s="200">
        <f>IF(AND('A-8'!I323="-",'A-3'!H15="-",'A-3'!H62="-"),"-",SUM('A-8'!I323,'A-3'!H15,'A-3'!H62))</f>
        <v>1045</v>
      </c>
      <c r="J62" s="200">
        <f>IF('A-8'!J323="-","-",('A-8'!J323))</f>
        <v>613</v>
      </c>
      <c r="K62" s="200" t="str">
        <f>IF('A-8'!K323="-","-",('A-8'!K323))</f>
        <v>-</v>
      </c>
      <c r="L62" s="200">
        <f>IF(AND('A-8'!L323="-",'A-3'!I15="-",'A-3'!I62="-"),"-",SUM('A-8'!L323,'A-3'!I15,'A-3'!I62))</f>
        <v>104394.62</v>
      </c>
      <c r="M62" s="8"/>
      <c r="N62" s="200" t="s">
        <v>29</v>
      </c>
      <c r="O62" s="200" t="s">
        <v>29</v>
      </c>
      <c r="P62" s="200" t="s">
        <v>29</v>
      </c>
      <c r="Q62" s="200">
        <f>SUM('A-8'!N323,'A-3'!M15,'A-3'!M62)</f>
        <v>18774.646773019871</v>
      </c>
      <c r="R62" s="200">
        <f>SUM('A-8'!O323,'A-3'!N15,'A-3'!N62)</f>
        <v>9206.5521510383896</v>
      </c>
      <c r="S62" s="200">
        <f>SUM('A-8'!P323,'A-3'!O15,'A-3'!O62)</f>
        <v>235.12255447283678</v>
      </c>
      <c r="T62" s="200">
        <f>SUM('A-8'!Q323,'A-3'!P15,'A-3'!P62)</f>
        <v>48</v>
      </c>
      <c r="U62" s="200">
        <f>SUM('A-8'!R323,'A-3'!Q15,'A-3'!Q62)</f>
        <v>0</v>
      </c>
      <c r="V62" s="200" t="s">
        <v>29</v>
      </c>
      <c r="W62" s="200" t="s">
        <v>29</v>
      </c>
      <c r="X62" s="200">
        <f t="shared" si="1"/>
        <v>28264.321478531099</v>
      </c>
    </row>
    <row r="63" spans="1:26" ht="11.25" customHeight="1" x14ac:dyDescent="0.25">
      <c r="A63" s="383">
        <v>1987</v>
      </c>
      <c r="B63" s="200" t="str">
        <f>IF('A-8'!B324="-","-",('A-8'!B324))</f>
        <v>-</v>
      </c>
      <c r="C63" s="200" t="str">
        <f>IF(AND('A-8'!C324="-",'A-3'!B16="-",'A-3'!B63="-"),"-",SUM('A-8'!C324,'A-3'!B16,'A-3'!B63))</f>
        <v>-</v>
      </c>
      <c r="D63" s="200">
        <f>IF(AND('A-8'!D324="-",'A-3'!C16="-",'A-3'!C63="-"),"-",SUM('A-8'!D324,'A-3'!C16,'A-3'!C63))</f>
        <v>9604</v>
      </c>
      <c r="E63" s="200">
        <f>IF(AND('A-8'!E324="-",'A-3'!D16="-",'A-3'!D63="-"),"-",SUM('A-8'!E324,'A-3'!D16,'A-3'!D63))</f>
        <v>107472</v>
      </c>
      <c r="F63" s="200">
        <f>IF(AND('A-8'!F324="-",'A-3'!E16="-",'A-3'!E63="-"),"-",SUM('A-8'!F324,'A-3'!E16,'A-3'!E63))</f>
        <v>3211</v>
      </c>
      <c r="G63" s="200" t="str">
        <f>IF(AND('A-8'!G324="-",'A-3'!F16="-",'A-3'!F63="-"),"-",SUM('A-8'!G324,'A-3'!F16,'A-3'!F63))</f>
        <v>-</v>
      </c>
      <c r="H63" s="200">
        <f>IF(AND('A-8'!H324="-",'A-3'!G16="-",'A-3'!G63="-"),"-",SUM('A-8'!H324,'A-3'!G16,'A-3'!G63))</f>
        <v>4836</v>
      </c>
      <c r="I63" s="200">
        <f>IF(AND('A-8'!I324="-",'A-3'!H16="-",'A-3'!H63="-"),"-",SUM('A-8'!I324,'A-3'!H16,'A-3'!H63))</f>
        <v>1070</v>
      </c>
      <c r="J63" s="200">
        <f>IF('A-8'!J324="-","-",('A-8'!J324))</f>
        <v>1916</v>
      </c>
      <c r="K63" s="200" t="str">
        <f>IF('A-8'!K324="-","-",('A-8'!K324))</f>
        <v>-</v>
      </c>
      <c r="L63" s="200">
        <f>IF(AND('A-8'!L324="-",'A-3'!I16="-",'A-3'!I63="-"),"-",SUM('A-8'!L324,'A-3'!I16,'A-3'!I63))</f>
        <v>128109</v>
      </c>
      <c r="M63" s="8"/>
      <c r="N63" s="200" t="s">
        <v>29</v>
      </c>
      <c r="O63" s="200" t="s">
        <v>29</v>
      </c>
      <c r="P63" s="200" t="s">
        <v>29</v>
      </c>
      <c r="Q63" s="200">
        <f>SUM('A-8'!N324,'A-3'!M16,'A-3'!M63)</f>
        <v>19164.676327387962</v>
      </c>
      <c r="R63" s="200">
        <f>SUM('A-8'!O324,'A-3'!N16,'A-3'!N63)</f>
        <v>193</v>
      </c>
      <c r="S63" s="200">
        <f>SUM('A-8'!P324,'A-3'!O16,'A-3'!O63)</f>
        <v>0</v>
      </c>
      <c r="T63" s="200">
        <f>SUM('A-8'!Q324,'A-3'!P16,'A-3'!P63)</f>
        <v>1257.3070607553366</v>
      </c>
      <c r="U63" s="200">
        <f>SUM('A-8'!R324,'A-3'!Q16,'A-3'!Q63)</f>
        <v>0</v>
      </c>
      <c r="V63" s="200" t="s">
        <v>29</v>
      </c>
      <c r="W63" s="200" t="s">
        <v>29</v>
      </c>
      <c r="X63" s="200">
        <f t="shared" si="1"/>
        <v>20614.983388143301</v>
      </c>
    </row>
    <row r="64" spans="1:26" ht="11.25" customHeight="1" x14ac:dyDescent="0.25">
      <c r="A64" s="383">
        <v>1988</v>
      </c>
      <c r="B64" s="200" t="str">
        <f>IF('A-8'!B325="-","-",('A-8'!B325))</f>
        <v>-</v>
      </c>
      <c r="C64" s="200" t="str">
        <f>IF(AND('A-8'!C325="-",'A-3'!B17="-",'A-3'!B64="-"),"-",SUM('A-8'!C325,'A-3'!B17,'A-3'!B64))</f>
        <v>-</v>
      </c>
      <c r="D64" s="200">
        <f>IF(AND('A-8'!D325="-",'A-3'!C17="-",'A-3'!C64="-"),"-",SUM('A-8'!D325,'A-3'!C17,'A-3'!C64))</f>
        <v>8926</v>
      </c>
      <c r="E64" s="200">
        <f>IF(AND('A-8'!E325="-",'A-3'!D17="-",'A-3'!D64="-"),"-",SUM('A-8'!E325,'A-3'!D17,'A-3'!D64))</f>
        <v>63217</v>
      </c>
      <c r="F64" s="200" t="str">
        <f>IF(AND('A-8'!F325="-",'A-3'!E17="-",'A-3'!E64="-"),"-",SUM('A-8'!F325,'A-3'!E17,'A-3'!E64))</f>
        <v>-</v>
      </c>
      <c r="G64" s="200" t="str">
        <f>IF(AND('A-8'!G325="-",'A-3'!F17="-",'A-3'!F64="-"),"-",SUM('A-8'!G325,'A-3'!F17,'A-3'!F64))</f>
        <v>-</v>
      </c>
      <c r="H64" s="200">
        <f>IF(AND('A-8'!H325="-",'A-3'!G17="-",'A-3'!G64="-"),"-",SUM('A-8'!H325,'A-3'!G17,'A-3'!G64))</f>
        <v>18853</v>
      </c>
      <c r="I64" s="200">
        <f>IF(AND('A-8'!I325="-",'A-3'!H17="-",'A-3'!H64="-"),"-",SUM('A-8'!I325,'A-3'!H17,'A-3'!H64))</f>
        <v>774</v>
      </c>
      <c r="J64" s="200">
        <f>IF('A-8'!J325="-","-",('A-8'!J325))</f>
        <v>1851</v>
      </c>
      <c r="K64" s="200" t="str">
        <f>IF('A-8'!K325="-","-",('A-8'!K325))</f>
        <v>-</v>
      </c>
      <c r="L64" s="200">
        <f>IF(AND('A-8'!L325="-",'A-3'!I17="-",'A-3'!I64="-"),"-",SUM('A-8'!L325,'A-3'!I17,'A-3'!I64))</f>
        <v>93621</v>
      </c>
      <c r="M64" s="8"/>
      <c r="N64" s="200" t="s">
        <v>29</v>
      </c>
      <c r="O64" s="200" t="s">
        <v>29</v>
      </c>
      <c r="P64" s="200" t="s">
        <v>29</v>
      </c>
      <c r="Q64" s="200">
        <f>SUM('A-8'!N325,'A-3'!M17,'A-3'!M64)</f>
        <v>12614.405148491469</v>
      </c>
      <c r="R64" s="200">
        <f>SUM('A-8'!O325,'A-3'!N17,'A-3'!N64)</f>
        <v>0</v>
      </c>
      <c r="S64" s="200">
        <f>SUM('A-8'!P325,'A-3'!O17,'A-3'!O64)</f>
        <v>0</v>
      </c>
      <c r="T64" s="200">
        <f>SUM('A-8'!Q325,'A-3'!P17,'A-3'!P64)</f>
        <v>1517.2144969556393</v>
      </c>
      <c r="U64" s="200">
        <f>SUM('A-8'!R325,'A-3'!Q17,'A-3'!Q64)</f>
        <v>0</v>
      </c>
      <c r="V64" s="200" t="s">
        <v>29</v>
      </c>
      <c r="W64" s="200" t="s">
        <v>29</v>
      </c>
      <c r="X64" s="200">
        <f t="shared" si="1"/>
        <v>14131.619645447108</v>
      </c>
    </row>
    <row r="65" spans="1:24" ht="11.25" customHeight="1" x14ac:dyDescent="0.25">
      <c r="A65" s="383">
        <v>1989</v>
      </c>
      <c r="B65" s="200" t="str">
        <f>IF('A-8'!B326="-","-",('A-8'!B326))</f>
        <v>-</v>
      </c>
      <c r="C65" s="200" t="str">
        <f>IF(AND('A-8'!C326="-",'A-3'!B18="-",'A-3'!B65="-"),"-",SUM('A-8'!C326,'A-3'!B18,'A-3'!B65))</f>
        <v>-</v>
      </c>
      <c r="D65" s="200">
        <f>IF(AND('A-8'!D326="-",'A-3'!C18="-",'A-3'!C65="-"),"-",SUM('A-8'!D326,'A-3'!C18,'A-3'!C65))</f>
        <v>5035</v>
      </c>
      <c r="E65" s="200">
        <f>IF(AND('A-8'!E326="-",'A-3'!D18="-",'A-3'!D65="-"),"-",SUM('A-8'!E326,'A-3'!D18,'A-3'!D65))</f>
        <v>16156</v>
      </c>
      <c r="F65" s="200" t="str">
        <f>IF(AND('A-8'!F326="-",'A-3'!E18="-",'A-3'!E65="-"),"-",SUM('A-8'!F326,'A-3'!E18,'A-3'!E65))</f>
        <v>-</v>
      </c>
      <c r="G65" s="200">
        <f>IF(AND('A-8'!G326="-",'A-3'!F18="-",'A-3'!F65="-"),"-",SUM('A-8'!G326,'A-3'!F18,'A-3'!F65))</f>
        <v>4579</v>
      </c>
      <c r="H65" s="200">
        <f>IF(AND('A-8'!H326="-",'A-3'!G18="-",'A-3'!G65="-"),"-",SUM('A-8'!H326,'A-3'!G18,'A-3'!G65))</f>
        <v>13059</v>
      </c>
      <c r="I65" s="200">
        <f>IF(AND('A-8'!I326="-",'A-3'!H18="-",'A-3'!H65="-"),"-",SUM('A-8'!I326,'A-3'!H18,'A-3'!H65))</f>
        <v>906</v>
      </c>
      <c r="J65" s="200" t="str">
        <f>IF('A-8'!J326="-","-",('A-8'!J326))</f>
        <v>-</v>
      </c>
      <c r="K65" s="200" t="str">
        <f>IF('A-8'!K326="-","-",('A-8'!K326))</f>
        <v>-</v>
      </c>
      <c r="L65" s="200">
        <f>IF(AND('A-8'!L326="-",'A-3'!I18="-",'A-3'!I65="-"),"-",SUM('A-8'!L326,'A-3'!I18,'A-3'!I65))</f>
        <v>39735</v>
      </c>
      <c r="M65" s="8"/>
      <c r="N65" s="200" t="s">
        <v>29</v>
      </c>
      <c r="O65" s="200" t="s">
        <v>29</v>
      </c>
      <c r="P65" s="200" t="s">
        <v>29</v>
      </c>
      <c r="Q65" s="200">
        <f>SUM('A-8'!N326,'A-3'!M18,'A-3'!M65)</f>
        <v>9247.6338525985084</v>
      </c>
      <c r="R65" s="200" t="s">
        <v>29</v>
      </c>
      <c r="S65" s="200">
        <v>17.399999999999999</v>
      </c>
      <c r="T65" s="200">
        <v>0.8</v>
      </c>
      <c r="U65" s="200" t="s">
        <v>29</v>
      </c>
      <c r="V65" s="200" t="s">
        <v>29</v>
      </c>
      <c r="W65" s="200" t="s">
        <v>29</v>
      </c>
      <c r="X65" s="200">
        <f t="shared" si="1"/>
        <v>9265.8338525985073</v>
      </c>
    </row>
    <row r="66" spans="1:24" ht="11.25" customHeight="1" x14ac:dyDescent="0.25">
      <c r="A66" s="383">
        <v>1990</v>
      </c>
      <c r="B66" s="200" t="str">
        <f>IF('A-8'!B327="-","-",('A-8'!B327))</f>
        <v>-</v>
      </c>
      <c r="C66" s="200" t="str">
        <f>IF(AND('A-8'!C327="-",'A-3'!B19="-",'A-3'!B66="-"),"-",SUM('A-8'!C327,'A-3'!B19,'A-3'!B66))</f>
        <v>-</v>
      </c>
      <c r="D66" s="200">
        <f>IF(AND('A-8'!D327="-",'A-3'!C19="-",'A-3'!C66="-"),"-",SUM('A-8'!D327,'A-3'!C19,'A-3'!C66))</f>
        <v>84</v>
      </c>
      <c r="E66" s="200" t="str">
        <f>IF(AND('A-8'!E327="-",'A-3'!D19="-",'A-3'!D66="-"),"-",SUM('A-8'!E327,'A-3'!D19,'A-3'!D66))</f>
        <v>-</v>
      </c>
      <c r="F66" s="200" t="str">
        <f>IF(AND('A-8'!F327="-",'A-3'!E19="-",'A-3'!E66="-"),"-",SUM('A-8'!F327,'A-3'!E19,'A-3'!E66))</f>
        <v>-</v>
      </c>
      <c r="G66" s="200">
        <f>IF(AND('A-8'!G327="-",'A-3'!F19="-",'A-3'!F66="-"),"-",SUM('A-8'!G327,'A-3'!F19,'A-3'!F66))</f>
        <v>7807</v>
      </c>
      <c r="H66" s="200">
        <f>IF(AND('A-8'!H327="-",'A-3'!G19="-",'A-3'!G66="-"),"-",SUM('A-8'!H327,'A-3'!G19,'A-3'!G66))</f>
        <v>1950</v>
      </c>
      <c r="I66" s="200">
        <f>IF(AND('A-8'!I327="-",'A-3'!H19="-",'A-3'!H66="-"),"-",SUM('A-8'!I327,'A-3'!H19,'A-3'!H66))</f>
        <v>53</v>
      </c>
      <c r="J66" s="200" t="str">
        <f>IF('A-8'!J327="-","-",('A-8'!J327))</f>
        <v>-</v>
      </c>
      <c r="K66" s="200" t="str">
        <f>IF('A-8'!K327="-","-",('A-8'!K327))</f>
        <v>-</v>
      </c>
      <c r="L66" s="200">
        <f>IF(AND('A-8'!L327="-",'A-3'!I19="-",'A-3'!I66="-"),"-",SUM('A-8'!L327,'A-3'!I19,'A-3'!I66))</f>
        <v>9894</v>
      </c>
      <c r="M66" s="8"/>
      <c r="N66" s="200" t="s">
        <v>29</v>
      </c>
      <c r="O66" s="200" t="s">
        <v>29</v>
      </c>
      <c r="P66" s="200" t="s">
        <v>29</v>
      </c>
      <c r="Q66" s="200">
        <f>SUM('A-8'!N327,'A-3'!M19,'A-3'!M66)</f>
        <v>0</v>
      </c>
      <c r="R66" s="200">
        <f>SUM('A-8'!O327,'A-3'!N19,'A-3'!N66)</f>
        <v>0</v>
      </c>
      <c r="S66" s="200">
        <v>0.1</v>
      </c>
      <c r="T66" s="200">
        <v>0.9</v>
      </c>
      <c r="U66" s="200">
        <v>0.1</v>
      </c>
      <c r="V66" s="200" t="s">
        <v>29</v>
      </c>
      <c r="W66" s="200" t="s">
        <v>29</v>
      </c>
      <c r="X66" s="200">
        <f t="shared" si="1"/>
        <v>1.1000000000000001</v>
      </c>
    </row>
    <row r="67" spans="1:24" ht="11.25" customHeight="1" x14ac:dyDescent="0.25">
      <c r="A67" s="383">
        <v>1991</v>
      </c>
      <c r="B67" s="200" t="str">
        <f>IF('A-8'!B328="-","-",('A-8'!B328))</f>
        <v>-</v>
      </c>
      <c r="C67" s="200" t="str">
        <f>IF(AND('A-8'!C328="-",'A-3'!B20="-",'A-3'!B67="-"),"-",SUM('A-8'!C328,'A-3'!B20,'A-3'!B67))</f>
        <v>-</v>
      </c>
      <c r="D67" s="200" t="str">
        <f>IF(AND('A-8'!D328="-",'A-3'!C20="-",'A-3'!C67="-"),"-",SUM('A-8'!D328,'A-3'!C20,'A-3'!C67))</f>
        <v>-</v>
      </c>
      <c r="E67" s="200" t="str">
        <f>IF(AND('A-8'!E328="-",'A-3'!D20="-",'A-3'!D67="-"),"-",SUM('A-8'!E328,'A-3'!D20,'A-3'!D67))</f>
        <v>-</v>
      </c>
      <c r="F67" s="200" t="str">
        <f>IF(AND('A-8'!F328="-",'A-3'!E20="-",'A-3'!E67="-"),"-",SUM('A-8'!F328,'A-3'!E20,'A-3'!E67))</f>
        <v>-</v>
      </c>
      <c r="G67" s="200" t="str">
        <f>IF(AND('A-8'!G328="-",'A-3'!F20="-",'A-3'!F67="-"),"-",SUM('A-8'!G328,'A-3'!F20,'A-3'!F67))</f>
        <v>-</v>
      </c>
      <c r="H67" s="200">
        <f>IF(AND('A-8'!H328="-",'A-3'!G20="-",'A-3'!G67="-"),"-",SUM('A-8'!H328,'A-3'!G20,'A-3'!G67))</f>
        <v>4510</v>
      </c>
      <c r="I67" s="200">
        <f>IF(AND('A-8'!I328="-",'A-3'!H20="-",'A-3'!H67="-"),"-",SUM('A-8'!I328,'A-3'!H20,'A-3'!H67))</f>
        <v>400</v>
      </c>
      <c r="J67" s="200" t="str">
        <f>IF('A-8'!J328="-","-",('A-8'!J328))</f>
        <v>-</v>
      </c>
      <c r="K67" s="200" t="str">
        <f>IF('A-8'!K328="-","-",('A-8'!K328))</f>
        <v>-</v>
      </c>
      <c r="L67" s="200">
        <f>IF(AND('A-8'!L328="-",'A-3'!I20="-",'A-3'!I67="-"),"-",SUM('A-8'!L328,'A-3'!I20,'A-3'!I67))</f>
        <v>4910</v>
      </c>
      <c r="M67" s="8"/>
      <c r="N67" s="200" t="s">
        <v>29</v>
      </c>
      <c r="O67" s="200" t="s">
        <v>29</v>
      </c>
      <c r="P67" s="200" t="s">
        <v>29</v>
      </c>
      <c r="Q67" s="200" t="s">
        <v>29</v>
      </c>
      <c r="R67" s="200" t="s">
        <v>29</v>
      </c>
      <c r="S67" s="200" t="s">
        <v>29</v>
      </c>
      <c r="T67" s="200">
        <v>3</v>
      </c>
      <c r="U67" s="200">
        <v>0.1</v>
      </c>
      <c r="V67" s="200" t="s">
        <v>29</v>
      </c>
      <c r="W67" s="200" t="s">
        <v>29</v>
      </c>
      <c r="X67" s="200">
        <f t="shared" si="1"/>
        <v>3.1</v>
      </c>
    </row>
    <row r="68" spans="1:24" ht="11.25" customHeight="1" x14ac:dyDescent="0.25">
      <c r="A68" s="383">
        <v>1992</v>
      </c>
      <c r="B68" s="200" t="str">
        <f>IF('A-8'!B329="-","-",('A-8'!B329))</f>
        <v>-</v>
      </c>
      <c r="C68" s="200" t="str">
        <f>IF(AND('A-8'!C329="-",'A-3'!B21="-",'A-3'!B68="-"),"-",SUM('A-8'!C329,'A-3'!B21,'A-3'!B68))</f>
        <v>-</v>
      </c>
      <c r="D68" s="200" t="str">
        <f>IF(AND('A-8'!D329="-",'A-3'!C21="-",'A-3'!C68="-"),"-",SUM('A-8'!D329,'A-3'!C21,'A-3'!C68))</f>
        <v>-</v>
      </c>
      <c r="E68" s="200" t="str">
        <f>IF(AND('A-8'!E329="-",'A-3'!D21="-",'A-3'!D68="-"),"-",SUM('A-8'!E329,'A-3'!D21,'A-3'!D68))</f>
        <v>-</v>
      </c>
      <c r="F68" s="200" t="str">
        <f>IF(AND('A-8'!F329="-",'A-3'!E21="-",'A-3'!E68="-"),"-",SUM('A-8'!F329,'A-3'!E21,'A-3'!E68))</f>
        <v>-</v>
      </c>
      <c r="G68" s="200" t="str">
        <f>IF(AND('A-8'!G329="-",'A-3'!F21="-",'A-3'!F68="-"),"-",SUM('A-8'!G329,'A-3'!F21,'A-3'!F68))</f>
        <v>-</v>
      </c>
      <c r="H68" s="200" t="str">
        <f>IF(AND('A-8'!H329="-",'A-3'!G21="-",'A-3'!G68="-"),"-",SUM('A-8'!H329,'A-3'!G21,'A-3'!G68))</f>
        <v>-</v>
      </c>
      <c r="I68" s="200" t="str">
        <f>IF(AND('A-8'!I329="-",'A-3'!H21="-",'A-3'!H68="-"),"-",SUM('A-8'!I329,'A-3'!H21,'A-3'!H68))</f>
        <v>-</v>
      </c>
      <c r="J68" s="200" t="str">
        <f>IF('A-8'!J329="-","-",('A-8'!J329))</f>
        <v>-</v>
      </c>
      <c r="K68" s="200" t="str">
        <f>IF('A-8'!K329="-","-",('A-8'!K329))</f>
        <v>-</v>
      </c>
      <c r="L68" s="200" t="str">
        <f>IF(AND('A-8'!L329="-",'A-3'!I21="-",'A-3'!I68="-"),"-",SUM('A-8'!L329,'A-3'!I21,'A-3'!I68))</f>
        <v>-</v>
      </c>
      <c r="M68" s="8"/>
      <c r="N68" s="200" t="s">
        <v>29</v>
      </c>
      <c r="O68" s="200" t="s">
        <v>29</v>
      </c>
      <c r="P68" s="200" t="s">
        <v>29</v>
      </c>
      <c r="Q68" s="200" t="s">
        <v>29</v>
      </c>
      <c r="R68" s="200" t="s">
        <v>29</v>
      </c>
      <c r="S68" s="200" t="s">
        <v>29</v>
      </c>
      <c r="T68" s="200" t="s">
        <v>29</v>
      </c>
      <c r="U68" s="200" t="s">
        <v>29</v>
      </c>
      <c r="V68" s="200" t="s">
        <v>29</v>
      </c>
      <c r="W68" s="200" t="s">
        <v>29</v>
      </c>
      <c r="X68" s="200" t="s">
        <v>29</v>
      </c>
    </row>
    <row r="69" spans="1:24" ht="11.25" customHeight="1" x14ac:dyDescent="0.25">
      <c r="A69" s="383">
        <v>1993</v>
      </c>
      <c r="B69" s="200" t="str">
        <f>IF('A-8'!B330="-","-",('A-8'!B330))</f>
        <v>-</v>
      </c>
      <c r="C69" s="200" t="str">
        <f>IF(AND('A-8'!C330="-",'A-3'!B22="-",'A-3'!B69="-"),"-",SUM('A-8'!C330,'A-3'!B22,'A-3'!B69))</f>
        <v>-</v>
      </c>
      <c r="D69" s="200" t="str">
        <f>IF(AND('A-8'!D330="-",'A-3'!C22="-",'A-3'!C69="-"),"-",SUM('A-8'!D330,'A-3'!C22,'A-3'!C69))</f>
        <v>-</v>
      </c>
      <c r="E69" s="200" t="str">
        <f>IF(AND('A-8'!E330="-",'A-3'!D22="-",'A-3'!D69="-"),"-",SUM('A-8'!E330,'A-3'!D22,'A-3'!D69))</f>
        <v>-</v>
      </c>
      <c r="F69" s="200" t="str">
        <f>IF(AND('A-8'!F330="-",'A-3'!E22="-",'A-3'!E69="-"),"-",SUM('A-8'!F330,'A-3'!E22,'A-3'!E69))</f>
        <v>-</v>
      </c>
      <c r="G69" s="200" t="str">
        <f>IF(AND('A-8'!G330="-",'A-3'!F22="-",'A-3'!F69="-"),"-",SUM('A-8'!G330,'A-3'!F22,'A-3'!F69))</f>
        <v>-</v>
      </c>
      <c r="H69" s="200" t="str">
        <f>IF(AND('A-8'!H330="-",'A-3'!G22="-",'A-3'!G69="-"),"-",SUM('A-8'!H330,'A-3'!G22,'A-3'!G69))</f>
        <v>-</v>
      </c>
      <c r="I69" s="200" t="str">
        <f>IF(AND('A-8'!I330="-",'A-3'!H22="-",'A-3'!H69="-"),"-",SUM('A-8'!I330,'A-3'!H22,'A-3'!H69))</f>
        <v>-</v>
      </c>
      <c r="J69" s="200" t="str">
        <f>IF('A-8'!J330="-","-",('A-8'!J330))</f>
        <v>-</v>
      </c>
      <c r="K69" s="200" t="str">
        <f>IF('A-8'!K330="-","-",('A-8'!K330))</f>
        <v>-</v>
      </c>
      <c r="L69" s="200" t="str">
        <f>IF(AND('A-8'!L330="-",'A-3'!I22="-",'A-3'!I69="-"),"-",SUM('A-8'!L330,'A-3'!I22,'A-3'!I69))</f>
        <v>-</v>
      </c>
      <c r="M69" s="8"/>
      <c r="N69" s="200" t="s">
        <v>29</v>
      </c>
      <c r="O69" s="200" t="s">
        <v>29</v>
      </c>
      <c r="P69" s="200" t="s">
        <v>29</v>
      </c>
      <c r="Q69" s="200" t="s">
        <v>29</v>
      </c>
      <c r="R69" s="200" t="s">
        <v>29</v>
      </c>
      <c r="S69" s="200" t="s">
        <v>29</v>
      </c>
      <c r="T69" s="200" t="s">
        <v>29</v>
      </c>
      <c r="U69" s="200" t="s">
        <v>29</v>
      </c>
      <c r="V69" s="200" t="s">
        <v>29</v>
      </c>
      <c r="W69" s="200" t="s">
        <v>29</v>
      </c>
      <c r="X69" s="200" t="s">
        <v>29</v>
      </c>
    </row>
    <row r="70" spans="1:24" ht="11.25" customHeight="1" x14ac:dyDescent="0.25">
      <c r="A70" s="383">
        <v>1994</v>
      </c>
      <c r="B70" s="200" t="str">
        <f>IF('A-8'!B331="-","-",('A-8'!B331))</f>
        <v>-</v>
      </c>
      <c r="C70" s="200" t="str">
        <f>IF(AND('A-8'!C331="-",'A-3'!B23="-",'A-3'!B70="-"),"-",SUM('A-8'!C331,'A-3'!B23,'A-3'!B70))</f>
        <v>-</v>
      </c>
      <c r="D70" s="200">
        <f>IF(AND('A-8'!D331="-",'A-3'!C23="-",'A-3'!C70="-"),"-",SUM('A-8'!D331,'A-3'!C23,'A-3'!C70))</f>
        <v>224</v>
      </c>
      <c r="E70" s="200" t="str">
        <f>IF(AND('A-8'!E331="-",'A-3'!D23="-",'A-3'!D70="-"),"-",SUM('A-8'!E331,'A-3'!D23,'A-3'!D70))</f>
        <v>-</v>
      </c>
      <c r="F70" s="200" t="str">
        <f>IF(AND('A-8'!F331="-",'A-3'!E23="-",'A-3'!E70="-"),"-",SUM('A-8'!F331,'A-3'!E23,'A-3'!E70))</f>
        <v>-</v>
      </c>
      <c r="G70" s="200">
        <f>IF(AND('A-8'!G331="-",'A-3'!F23="-",'A-3'!F70="-"),"-",SUM('A-8'!G331,'A-3'!F23,'A-3'!F70))</f>
        <v>234</v>
      </c>
      <c r="H70" s="200" t="str">
        <f>IF(AND('A-8'!H331="-",'A-3'!G23="-",'A-3'!G70="-"),"-",SUM('A-8'!H331,'A-3'!G23,'A-3'!G70))</f>
        <v>-</v>
      </c>
      <c r="I70" s="200">
        <f>IF(AND('A-8'!I331="-",'A-3'!H23="-",'A-3'!H70="-"),"-",SUM('A-8'!I331,'A-3'!H23,'A-3'!H70))</f>
        <v>1043</v>
      </c>
      <c r="J70" s="200" t="str">
        <f>IF('A-8'!J331="-","-",('A-8'!J331))</f>
        <v>-</v>
      </c>
      <c r="K70" s="200" t="str">
        <f>IF('A-8'!K331="-","-",('A-8'!K331))</f>
        <v>-</v>
      </c>
      <c r="L70" s="200">
        <f>IF(AND('A-8'!L331="-",'A-3'!I23="-",'A-3'!I70="-"),"-",SUM('A-8'!L331,'A-3'!I23,'A-3'!I70))</f>
        <v>1501</v>
      </c>
      <c r="M70" s="8"/>
      <c r="N70" s="200" t="s">
        <v>29</v>
      </c>
      <c r="O70" s="200" t="s">
        <v>29</v>
      </c>
      <c r="P70" s="200" t="s">
        <v>29</v>
      </c>
      <c r="Q70" s="200" t="s">
        <v>29</v>
      </c>
      <c r="R70" s="200" t="s">
        <v>29</v>
      </c>
      <c r="S70" s="200" t="s">
        <v>29</v>
      </c>
      <c r="T70" s="200" t="s">
        <v>29</v>
      </c>
      <c r="U70" s="200" t="s">
        <v>29</v>
      </c>
      <c r="V70" s="200" t="s">
        <v>29</v>
      </c>
      <c r="W70" s="200" t="s">
        <v>29</v>
      </c>
      <c r="X70" s="200" t="s">
        <v>29</v>
      </c>
    </row>
    <row r="71" spans="1:24" ht="11.25" customHeight="1" x14ac:dyDescent="0.25">
      <c r="A71" s="383">
        <v>1995</v>
      </c>
      <c r="B71" s="200" t="str">
        <f>IF('A-8'!B332="-","-",('A-8'!B332))</f>
        <v>-</v>
      </c>
      <c r="C71" s="200" t="str">
        <f>IF(AND('A-8'!C332="-",'A-3'!B24="-",'A-3'!B71="-"),"-",SUM('A-8'!C332,'A-3'!B24,'A-3'!B71))</f>
        <v>-</v>
      </c>
      <c r="D71" s="200">
        <f>IF(AND('A-8'!D332="-",'A-3'!C24="-",'A-3'!C71="-"),"-",SUM('A-8'!D332,'A-3'!C24,'A-3'!C71))</f>
        <v>305</v>
      </c>
      <c r="E71" s="200" t="str">
        <f>IF(AND('A-8'!E332="-",'A-3'!D24="-",'A-3'!D71="-"),"-",SUM('A-8'!E332,'A-3'!D24,'A-3'!D71))</f>
        <v>-</v>
      </c>
      <c r="F71" s="200">
        <f>IF(AND('A-8'!F332="-",'A-3'!E24="-",'A-3'!E71="-"),"-",SUM('A-8'!F332,'A-3'!E24,'A-3'!E71))</f>
        <v>1682</v>
      </c>
      <c r="G71" s="200" t="str">
        <f>IF(AND('A-8'!G332="-",'A-3'!F24="-",'A-3'!F71="-"),"-",SUM('A-8'!G332,'A-3'!F24,'A-3'!F71))</f>
        <v>-</v>
      </c>
      <c r="H71" s="200" t="str">
        <f>IF(AND('A-8'!H332="-",'A-3'!G24="-",'A-3'!G71="-"),"-",SUM('A-8'!H332,'A-3'!G24,'A-3'!G71))</f>
        <v>-</v>
      </c>
      <c r="I71" s="200">
        <f>IF(AND('A-8'!I332="-",'A-3'!H24="-",'A-3'!H71="-"),"-",SUM('A-8'!I332,'A-3'!H24,'A-3'!H71))</f>
        <v>1338</v>
      </c>
      <c r="J71" s="200" t="str">
        <f>IF('A-8'!J332="-","-",('A-8'!J332))</f>
        <v>-</v>
      </c>
      <c r="K71" s="200" t="str">
        <f>IF('A-8'!K332="-","-",('A-8'!K332))</f>
        <v>-</v>
      </c>
      <c r="L71" s="200">
        <f>IF(AND('A-8'!L332="-",'A-3'!I24="-",'A-3'!I71="-"),"-",SUM('A-8'!L332,'A-3'!I24,'A-3'!I71))</f>
        <v>3325</v>
      </c>
      <c r="M71" s="8"/>
      <c r="N71" s="200" t="s">
        <v>29</v>
      </c>
      <c r="O71" s="200" t="s">
        <v>29</v>
      </c>
      <c r="P71" s="200" t="s">
        <v>29</v>
      </c>
      <c r="Q71" s="200" t="s">
        <v>29</v>
      </c>
      <c r="R71" s="200" t="s">
        <v>29</v>
      </c>
      <c r="S71" s="200" t="s">
        <v>29</v>
      </c>
      <c r="T71" s="200" t="s">
        <v>29</v>
      </c>
      <c r="U71" s="200" t="s">
        <v>29</v>
      </c>
      <c r="V71" s="200" t="s">
        <v>29</v>
      </c>
      <c r="W71" s="200" t="s">
        <v>29</v>
      </c>
      <c r="X71" s="200" t="s">
        <v>29</v>
      </c>
    </row>
    <row r="72" spans="1:24" ht="11.25" customHeight="1" x14ac:dyDescent="0.25">
      <c r="A72" s="383">
        <v>1996</v>
      </c>
      <c r="B72" s="200" t="str">
        <f>IF('A-8'!B333="-","-",('A-8'!B333))</f>
        <v>-</v>
      </c>
      <c r="C72" s="200" t="str">
        <f>IF(AND('A-8'!C333="-",'A-3'!B25="-",'A-3'!B72="-"),"-",SUM('A-8'!C333,'A-3'!B25,'A-3'!B72))</f>
        <v>-</v>
      </c>
      <c r="D72" s="200">
        <f>IF(AND('A-8'!D333="-",'A-3'!C25="-",'A-3'!C72="-"),"-",SUM('A-8'!D333,'A-3'!C25,'A-3'!C72))</f>
        <v>2876</v>
      </c>
      <c r="E72" s="200">
        <f>IF(AND('A-8'!E333="-",'A-3'!D25="-",'A-3'!D72="-"),"-",SUM('A-8'!E333,'A-3'!D25,'A-3'!D72))</f>
        <v>2233</v>
      </c>
      <c r="F72" s="200" t="str">
        <f>IF(AND('A-8'!F333="-",'A-3'!E25="-",'A-3'!E72="-"),"-",SUM('A-8'!F333,'A-3'!E25,'A-3'!E72))</f>
        <v>-</v>
      </c>
      <c r="G72" s="200">
        <f>IF(AND('A-8'!G333="-",'A-3'!F25="-",'A-3'!F72="-"),"-",SUM('A-8'!G333,'A-3'!F25,'A-3'!F72))</f>
        <v>5364</v>
      </c>
      <c r="H72" s="200">
        <f>IF(AND('A-8'!H333="-",'A-3'!G25="-",'A-3'!G72="-"),"-",SUM('A-8'!H333,'A-3'!G25,'A-3'!G72))</f>
        <v>6378</v>
      </c>
      <c r="I72" s="200">
        <f>IF(AND('A-8'!I333="-",'A-3'!H25="-",'A-3'!H72="-"),"-",SUM('A-8'!I333,'A-3'!H25,'A-3'!H72))</f>
        <v>788</v>
      </c>
      <c r="J72" s="200" t="str">
        <f>IF('A-8'!J333="-","-",('A-8'!J333))</f>
        <v>-</v>
      </c>
      <c r="K72" s="200" t="str">
        <f>IF('A-8'!K333="-","-",('A-8'!K333))</f>
        <v>-</v>
      </c>
      <c r="L72" s="200">
        <f>IF(AND('A-8'!L333="-",'A-3'!I25="-",'A-3'!I72="-"),"-",SUM('A-8'!L333,'A-3'!I25,'A-3'!I72))</f>
        <v>17639</v>
      </c>
      <c r="M72" s="8"/>
      <c r="N72" s="200" t="s">
        <v>29</v>
      </c>
      <c r="O72" s="200" t="s">
        <v>29</v>
      </c>
      <c r="P72" s="200" t="s">
        <v>29</v>
      </c>
      <c r="Q72" s="200" t="s">
        <v>29</v>
      </c>
      <c r="R72" s="200" t="s">
        <v>29</v>
      </c>
      <c r="S72" s="200" t="s">
        <v>29</v>
      </c>
      <c r="T72" s="200" t="s">
        <v>29</v>
      </c>
      <c r="U72" s="200" t="s">
        <v>29</v>
      </c>
      <c r="V72" s="200" t="s">
        <v>29</v>
      </c>
      <c r="W72" s="200" t="s">
        <v>29</v>
      </c>
      <c r="X72" s="200" t="s">
        <v>29</v>
      </c>
    </row>
    <row r="73" spans="1:24" ht="11.25" customHeight="1" x14ac:dyDescent="0.25">
      <c r="A73" s="383">
        <v>1997</v>
      </c>
      <c r="B73" s="200" t="str">
        <f>IF('A-8'!B334="-","-",('A-8'!B334))</f>
        <v>-</v>
      </c>
      <c r="C73" s="200">
        <f>IF(AND('A-8'!C334="-",'A-3'!B26="-",'A-3'!B73="-"),"-",SUM('A-8'!C334,'A-3'!B26,'A-3'!B73))</f>
        <v>101</v>
      </c>
      <c r="D73" s="200">
        <f>IF(AND('A-8'!D334="-",'A-3'!C26="-",'A-3'!C73="-"),"-",SUM('A-8'!D334,'A-3'!C26,'A-3'!C73))</f>
        <v>2348</v>
      </c>
      <c r="E73" s="200" t="str">
        <f>IF(AND('A-8'!E334="-",'A-3'!D26="-",'A-3'!D73="-"),"-",SUM('A-8'!E334,'A-3'!D26,'A-3'!D73))</f>
        <v>-</v>
      </c>
      <c r="F73" s="200" t="str">
        <f>IF(AND('A-8'!F334="-",'A-3'!E26="-",'A-3'!E73="-"),"-",SUM('A-8'!F334,'A-3'!E26,'A-3'!E73))</f>
        <v>-</v>
      </c>
      <c r="G73" s="200">
        <f>IF(AND('A-8'!G334="-",'A-3'!F26="-",'A-3'!F73="-"),"-",SUM('A-8'!G334,'A-3'!F26,'A-3'!F73))</f>
        <v>255</v>
      </c>
      <c r="H73" s="200">
        <f>IF(AND('A-8'!H334="-",'A-3'!G26="-",'A-3'!G73="-"),"-",SUM('A-8'!H334,'A-3'!G26,'A-3'!G73))</f>
        <v>1424</v>
      </c>
      <c r="I73" s="200">
        <f>IF(AND('A-8'!I334="-",'A-3'!H26="-",'A-3'!H73="-"),"-",SUM('A-8'!I334,'A-3'!H26,'A-3'!H73))</f>
        <v>869</v>
      </c>
      <c r="J73" s="200" t="str">
        <f>IF('A-8'!J334="-","-",('A-8'!J334))</f>
        <v>-</v>
      </c>
      <c r="K73" s="200" t="str">
        <f>IF('A-8'!K334="-","-",('A-8'!K334))</f>
        <v>-</v>
      </c>
      <c r="L73" s="200">
        <f>IF(AND('A-8'!L334="-",'A-3'!I26="-",'A-3'!I73="-"),"-",SUM('A-8'!L334,'A-3'!I26,'A-3'!I73))</f>
        <v>4997</v>
      </c>
      <c r="M73" s="8"/>
      <c r="N73" s="200" t="s">
        <v>29</v>
      </c>
      <c r="O73" s="200" t="s">
        <v>29</v>
      </c>
      <c r="P73" s="200" t="s">
        <v>29</v>
      </c>
      <c r="Q73" s="200" t="s">
        <v>29</v>
      </c>
      <c r="R73" s="200" t="s">
        <v>29</v>
      </c>
      <c r="S73" s="200" t="s">
        <v>29</v>
      </c>
      <c r="T73" s="200" t="s">
        <v>29</v>
      </c>
      <c r="U73" s="200" t="s">
        <v>29</v>
      </c>
      <c r="V73" s="200" t="s">
        <v>29</v>
      </c>
      <c r="W73" s="200" t="s">
        <v>29</v>
      </c>
      <c r="X73" s="200" t="s">
        <v>29</v>
      </c>
    </row>
    <row r="74" spans="1:24" ht="11.25" customHeight="1" x14ac:dyDescent="0.25">
      <c r="A74" s="383">
        <v>1998</v>
      </c>
      <c r="B74" s="200" t="str">
        <f>IF('A-8'!B335="-","-",('A-8'!B335))</f>
        <v>-</v>
      </c>
      <c r="C74" s="200">
        <f>IF(AND('A-8'!C335="-",'A-3'!B27="-",'A-3'!B74="-"),"-",SUM('A-8'!C335,'A-3'!B27,'A-3'!B74))</f>
        <v>0</v>
      </c>
      <c r="D74" s="200">
        <f>IF(AND('A-8'!D335="-",'A-3'!C27="-",'A-3'!C74="-"),"-",SUM('A-8'!D335,'A-3'!C27,'A-3'!C74))</f>
        <v>69</v>
      </c>
      <c r="E74" s="200" t="str">
        <f>IF(AND('A-8'!E335="-",'A-3'!D27="-",'A-3'!D74="-"),"-",SUM('A-8'!E335,'A-3'!D27,'A-3'!D74))</f>
        <v>-</v>
      </c>
      <c r="F74" s="200" t="str">
        <f>IF(AND('A-8'!F335="-",'A-3'!E27="-",'A-3'!E74="-"),"-",SUM('A-8'!F335,'A-3'!E27,'A-3'!E74))</f>
        <v>-</v>
      </c>
      <c r="G74" s="200">
        <f>IF(AND('A-8'!G335="-",'A-3'!F27="-",'A-3'!F74="-"),"-",SUM('A-8'!G335,'A-3'!F27,'A-3'!F74))</f>
        <v>75</v>
      </c>
      <c r="H74" s="200">
        <f>IF(AND('A-8'!H335="-",'A-3'!G27="-",'A-3'!G74="-"),"-",SUM('A-8'!H335,'A-3'!G27,'A-3'!G74))</f>
        <v>2501</v>
      </c>
      <c r="I74" s="200">
        <f>IF(AND('A-8'!I335="-",'A-3'!H27="-",'A-3'!H74="-"),"-",SUM('A-8'!I335,'A-3'!H27,'A-3'!H74))</f>
        <v>599</v>
      </c>
      <c r="J74" s="200" t="str">
        <f>IF('A-8'!J335="-","-",('A-8'!J335))</f>
        <v>-</v>
      </c>
      <c r="K74" s="200" t="str">
        <f>IF('A-8'!K335="-","-",('A-8'!K335))</f>
        <v>-</v>
      </c>
      <c r="L74" s="200">
        <f>IF(AND('A-8'!L335="-",'A-3'!I27="-",'A-3'!I74="-"),"-",SUM('A-8'!L335,'A-3'!I27,'A-3'!I74))</f>
        <v>3244</v>
      </c>
      <c r="M74" s="8"/>
      <c r="N74" s="200" t="s">
        <v>29</v>
      </c>
      <c r="O74" s="200" t="s">
        <v>29</v>
      </c>
      <c r="P74" s="200" t="s">
        <v>29</v>
      </c>
      <c r="Q74" s="200" t="s">
        <v>29</v>
      </c>
      <c r="R74" s="200" t="s">
        <v>29</v>
      </c>
      <c r="S74" s="200" t="s">
        <v>29</v>
      </c>
      <c r="T74" s="200" t="s">
        <v>29</v>
      </c>
      <c r="U74" s="200" t="s">
        <v>29</v>
      </c>
      <c r="V74" s="200" t="s">
        <v>29</v>
      </c>
      <c r="W74" s="200" t="s">
        <v>29</v>
      </c>
      <c r="X74" s="200" t="s">
        <v>29</v>
      </c>
    </row>
    <row r="75" spans="1:24" ht="11.25" customHeight="1" x14ac:dyDescent="0.25">
      <c r="A75" s="383">
        <v>1999</v>
      </c>
      <c r="B75" s="200" t="str">
        <f>IF('A-8'!B336="-","-",('A-8'!B336))</f>
        <v>-</v>
      </c>
      <c r="C75" s="200" t="str">
        <f>IF(AND('A-8'!C336="-",'A-3'!B28="-",'A-3'!B75="-"),"-",SUM('A-8'!C336,'A-3'!B28,'A-3'!B75))</f>
        <v>-</v>
      </c>
      <c r="D75" s="200">
        <f>IF(AND('A-8'!D336="-",'A-3'!C28="-",'A-3'!C75="-"),"-",SUM('A-8'!D336,'A-3'!C28,'A-3'!C75))</f>
        <v>4</v>
      </c>
      <c r="E75" s="200" t="str">
        <f>IF(AND('A-8'!E336="-",'A-3'!D28="-",'A-3'!D75="-"),"-",SUM('A-8'!E336,'A-3'!D28,'A-3'!D75))</f>
        <v>-</v>
      </c>
      <c r="F75" s="200" t="str">
        <f>IF(AND('A-8'!F336="-",'A-3'!E28="-",'A-3'!E75="-"),"-",SUM('A-8'!F336,'A-3'!E28,'A-3'!E75))</f>
        <v>-</v>
      </c>
      <c r="G75" s="200">
        <f>IF(AND('A-8'!G336="-",'A-3'!F28="-",'A-3'!F75="-"),"-",SUM('A-8'!G336,'A-3'!F28,'A-3'!F75))</f>
        <v>844</v>
      </c>
      <c r="H75" s="200">
        <f>IF(AND('A-8'!H336="-",'A-3'!G28="-",'A-3'!G75="-"),"-",SUM('A-8'!H336,'A-3'!G28,'A-3'!G75))</f>
        <v>2650</v>
      </c>
      <c r="I75" s="200">
        <f>IF(AND('A-8'!I336="-",'A-3'!H28="-",'A-3'!H75="-"),"-",SUM('A-8'!I336,'A-3'!H28,'A-3'!H75))</f>
        <v>364</v>
      </c>
      <c r="J75" s="200" t="str">
        <f>IF('A-8'!J336="-","-",('A-8'!J336))</f>
        <v>-</v>
      </c>
      <c r="K75" s="200" t="str">
        <f>IF('A-8'!K336="-","-",('A-8'!K336))</f>
        <v>-</v>
      </c>
      <c r="L75" s="200">
        <f>IF(AND('A-8'!L336="-",'A-3'!I28="-",'A-3'!I75="-"),"-",SUM('A-8'!L336,'A-3'!I28,'A-3'!I75))</f>
        <v>3862</v>
      </c>
      <c r="M75" s="8"/>
      <c r="N75" s="200" t="s">
        <v>29</v>
      </c>
      <c r="O75" s="200" t="s">
        <v>29</v>
      </c>
      <c r="P75" s="200" t="s">
        <v>29</v>
      </c>
      <c r="Q75" s="200" t="s">
        <v>29</v>
      </c>
      <c r="R75" s="200" t="s">
        <v>29</v>
      </c>
      <c r="S75" s="200" t="s">
        <v>29</v>
      </c>
      <c r="T75" s="200" t="s">
        <v>29</v>
      </c>
      <c r="U75" s="200" t="s">
        <v>29</v>
      </c>
      <c r="V75" s="200" t="s">
        <v>29</v>
      </c>
      <c r="W75" s="200" t="s">
        <v>29</v>
      </c>
      <c r="X75" s="200" t="s">
        <v>29</v>
      </c>
    </row>
    <row r="76" spans="1:24" ht="11.25" customHeight="1" x14ac:dyDescent="0.25">
      <c r="A76" s="383">
        <v>2000</v>
      </c>
      <c r="B76" s="200" t="str">
        <f>IF('A-8'!B337="-","-",('A-8'!B337))</f>
        <v>-</v>
      </c>
      <c r="C76" s="200" t="str">
        <f>IF(AND('A-8'!C337="-",'A-3'!B29="-",'A-3'!B76="-"),"-",SUM('A-8'!C337,'A-3'!B29,'A-3'!B76))</f>
        <v>-</v>
      </c>
      <c r="D76" s="200">
        <f>IF(AND('A-8'!D337="-",'A-3'!C29="-",'A-3'!C76="-"),"-",SUM('A-8'!D337,'A-3'!C29,'A-3'!C76))</f>
        <v>21</v>
      </c>
      <c r="E76" s="200" t="str">
        <f>IF(AND('A-8'!E337="-",'A-3'!D29="-",'A-3'!D76="-"),"-",SUM('A-8'!E337,'A-3'!D29,'A-3'!D76))</f>
        <v>-</v>
      </c>
      <c r="F76" s="200" t="str">
        <f>IF(AND('A-8'!F337="-",'A-3'!E29="-",'A-3'!E76="-"),"-",SUM('A-8'!F337,'A-3'!E29,'A-3'!E76))</f>
        <v>-</v>
      </c>
      <c r="G76" s="200">
        <f>IF(AND('A-8'!G337="-",'A-3'!F29="-",'A-3'!F76="-"),"-",SUM('A-8'!G337,'A-3'!F29,'A-3'!F76))</f>
        <v>1405</v>
      </c>
      <c r="H76" s="200">
        <f>IF(AND('A-8'!H337="-",'A-3'!G29="-",'A-3'!G76="-"),"-",SUM('A-8'!H337,'A-3'!G29,'A-3'!G76))</f>
        <v>3206</v>
      </c>
      <c r="I76" s="200">
        <f>IF(AND('A-8'!I337="-",'A-3'!H29="-",'A-3'!H76="-"),"-",SUM('A-8'!I337,'A-3'!H29,'A-3'!H76))</f>
        <v>861</v>
      </c>
      <c r="J76" s="200" t="str">
        <f>IF('A-8'!J337="-","-",('A-8'!J337))</f>
        <v>-</v>
      </c>
      <c r="K76" s="200" t="str">
        <f>IF('A-8'!K337="-","-",('A-8'!K337))</f>
        <v>-</v>
      </c>
      <c r="L76" s="200">
        <f>IF(AND('A-8'!L337="-",'A-3'!I29="-",'A-3'!I76="-"),"-",SUM('A-8'!L337,'A-3'!I29,'A-3'!I76))</f>
        <v>5493</v>
      </c>
      <c r="M76" s="8"/>
      <c r="N76" s="200" t="s">
        <v>29</v>
      </c>
      <c r="O76" s="200" t="s">
        <v>29</v>
      </c>
      <c r="P76" s="200" t="s">
        <v>29</v>
      </c>
      <c r="Q76" s="200" t="s">
        <v>29</v>
      </c>
      <c r="R76" s="200" t="s">
        <v>29</v>
      </c>
      <c r="S76" s="200" t="s">
        <v>29</v>
      </c>
      <c r="T76" s="200" t="s">
        <v>29</v>
      </c>
      <c r="U76" s="200" t="s">
        <v>29</v>
      </c>
      <c r="V76" s="200" t="s">
        <v>29</v>
      </c>
      <c r="W76" s="200" t="s">
        <v>29</v>
      </c>
      <c r="X76" s="200" t="s">
        <v>29</v>
      </c>
    </row>
    <row r="77" spans="1:24" ht="11.25" customHeight="1" x14ac:dyDescent="0.25">
      <c r="A77" s="383">
        <v>2001</v>
      </c>
      <c r="B77" s="200" t="str">
        <f>IF('A-8'!B338="-","-",('A-8'!B338))</f>
        <v>-</v>
      </c>
      <c r="C77" s="200" t="str">
        <f>IF(AND('A-8'!C338="-",'A-3'!B30="-",'A-3'!B77="-"),"-",SUM('A-8'!C338,'A-3'!B30,'A-3'!B77))</f>
        <v>-</v>
      </c>
      <c r="D77" s="200">
        <f>IF(AND('A-8'!D338="-",'A-3'!C30="-",'A-3'!C77="-"),"-",SUM('A-8'!D338,'A-3'!C30,'A-3'!C77))</f>
        <v>233</v>
      </c>
      <c r="E77" s="200">
        <f>IF(AND('A-8'!E338="-",'A-3'!D30="-",'A-3'!D77="-"),"-",SUM('A-8'!E338,'A-3'!D30,'A-3'!D77))</f>
        <v>362</v>
      </c>
      <c r="F77" s="200" t="str">
        <f>IF(AND('A-8'!F338="-",'A-3'!E30="-",'A-3'!E77="-"),"-",SUM('A-8'!F338,'A-3'!E30,'A-3'!E77))</f>
        <v>-</v>
      </c>
      <c r="G77" s="200">
        <f>IF(AND('A-8'!G338="-",'A-3'!F30="-",'A-3'!F77="-"),"-",SUM('A-8'!G338,'A-3'!F30,'A-3'!F77))</f>
        <v>1290</v>
      </c>
      <c r="H77" s="200">
        <f>IF(AND('A-8'!H338="-",'A-3'!G30="-",'A-3'!G77="-"),"-",SUM('A-8'!H338,'A-3'!G30,'A-3'!G77))</f>
        <v>6509</v>
      </c>
      <c r="I77" s="200">
        <f>IF(AND('A-8'!I338="-",'A-3'!H30="-",'A-3'!H77="-"),"-",SUM('A-8'!I338,'A-3'!H30,'A-3'!H77))</f>
        <v>728</v>
      </c>
      <c r="J77" s="200" t="str">
        <f>IF('A-8'!J338="-","-",('A-8'!J338))</f>
        <v>-</v>
      </c>
      <c r="K77" s="200" t="str">
        <f>IF('A-8'!K338="-","-",('A-8'!K338))</f>
        <v>-</v>
      </c>
      <c r="L77" s="200">
        <f>IF(AND('A-8'!L338="-",'A-3'!I30="-",'A-3'!I77="-"),"-",SUM('A-8'!L338,'A-3'!I30,'A-3'!I77))</f>
        <v>9122</v>
      </c>
      <c r="M77" s="8"/>
      <c r="N77" s="200" t="s">
        <v>29</v>
      </c>
      <c r="O77" s="200" t="s">
        <v>29</v>
      </c>
      <c r="P77" s="200" t="s">
        <v>29</v>
      </c>
      <c r="Q77" s="200" t="s">
        <v>29</v>
      </c>
      <c r="R77" s="200" t="s">
        <v>29</v>
      </c>
      <c r="S77" s="200" t="s">
        <v>29</v>
      </c>
      <c r="T77" s="200" t="s">
        <v>29</v>
      </c>
      <c r="U77" s="200" t="s">
        <v>29</v>
      </c>
      <c r="V77" s="200" t="s">
        <v>29</v>
      </c>
      <c r="W77" s="200" t="s">
        <v>29</v>
      </c>
      <c r="X77" s="200" t="s">
        <v>29</v>
      </c>
    </row>
    <row r="78" spans="1:24" ht="11.25" customHeight="1" x14ac:dyDescent="0.25">
      <c r="A78" s="383">
        <v>2002</v>
      </c>
      <c r="B78" s="200">
        <f>IF('A-8'!B339="-","-",('A-8'!B339))</f>
        <v>5</v>
      </c>
      <c r="C78" s="200">
        <f>IF(AND('A-8'!C339="-",'A-3'!B31="-",'A-3'!B78="-"),"-",SUM('A-8'!C339,'A-3'!B31,'A-3'!B78))</f>
        <v>103</v>
      </c>
      <c r="D78" s="200">
        <f>IF(AND('A-8'!D339="-",'A-3'!C31="-",'A-3'!C78="-"),"-",SUM('A-8'!D339,'A-3'!C31,'A-3'!C78))</f>
        <v>118</v>
      </c>
      <c r="E78" s="200">
        <f>IF(AND('A-8'!E339="-",'A-3'!D31="-",'A-3'!D78="-"),"-",SUM('A-8'!E339,'A-3'!D31,'A-3'!D78))</f>
        <v>952</v>
      </c>
      <c r="F78" s="200">
        <f>IF(AND('A-8'!F339="-",'A-3'!E31="-",'A-3'!E78="-"),"-",SUM('A-8'!F339,'A-3'!E31,'A-3'!E78))</f>
        <v>1457</v>
      </c>
      <c r="G78" s="200">
        <f>IF(AND('A-8'!G339="-",'A-3'!F31="-",'A-3'!F78="-"),"-",SUM('A-8'!G339,'A-3'!F31,'A-3'!F78))</f>
        <v>3399</v>
      </c>
      <c r="H78" s="200">
        <f>IF(AND('A-8'!H339="-",'A-3'!G31="-",'A-3'!G78="-"),"-",SUM('A-8'!H339,'A-3'!G31,'A-3'!G78))</f>
        <v>13275</v>
      </c>
      <c r="I78" s="200">
        <f>IF(AND('A-8'!I339="-",'A-3'!H31="-",'A-3'!H78="-"),"-",SUM('A-8'!I339,'A-3'!H31,'A-3'!H78))</f>
        <v>961</v>
      </c>
      <c r="J78" s="200" t="str">
        <f>IF('A-8'!J339="-","-",('A-8'!J339))</f>
        <v>-</v>
      </c>
      <c r="K78" s="200" t="str">
        <f>IF('A-8'!K339="-","-",('A-8'!K339))</f>
        <v>-</v>
      </c>
      <c r="L78" s="200">
        <f>IF(AND('A-8'!L339="-",'A-3'!I31="-",'A-3'!I78="-"),"-",SUM('A-8'!L339,'A-3'!I31,'A-3'!I78))</f>
        <v>20270</v>
      </c>
      <c r="M78" s="8"/>
      <c r="N78" s="200" t="s">
        <v>29</v>
      </c>
      <c r="O78" s="200" t="s">
        <v>29</v>
      </c>
      <c r="P78" s="200" t="s">
        <v>29</v>
      </c>
      <c r="Q78" s="200" t="s">
        <v>29</v>
      </c>
      <c r="R78" s="200" t="s">
        <v>29</v>
      </c>
      <c r="S78" s="200" t="s">
        <v>29</v>
      </c>
      <c r="T78" s="200" t="s">
        <v>29</v>
      </c>
      <c r="U78" s="200" t="s">
        <v>29</v>
      </c>
      <c r="V78" s="200" t="s">
        <v>29</v>
      </c>
      <c r="W78" s="200" t="s">
        <v>29</v>
      </c>
      <c r="X78" s="200" t="s">
        <v>29</v>
      </c>
    </row>
    <row r="79" spans="1:24" ht="11.25" customHeight="1" x14ac:dyDescent="0.25">
      <c r="A79" s="383">
        <v>2003</v>
      </c>
      <c r="B79" s="200">
        <f>IF('A-8'!B340="-","-",('A-8'!B340))</f>
        <v>0</v>
      </c>
      <c r="C79" s="200">
        <f>IF(AND('A-8'!C340="-",'A-3'!B32="-",'A-3'!B79="-"),"-",SUM('A-8'!C340,'A-3'!B32,'A-3'!B79))</f>
        <v>1764</v>
      </c>
      <c r="D79" s="200">
        <f>IF(AND('A-8'!D340="-",'A-3'!C32="-",'A-3'!C79="-"),"-",SUM('A-8'!D340,'A-3'!C32,'A-3'!C79))</f>
        <v>659</v>
      </c>
      <c r="E79" s="200">
        <f>IF(AND('A-8'!E340="-",'A-3'!D32="-",'A-3'!D79="-"),"-",SUM('A-8'!E340,'A-3'!D32,'A-3'!D79))</f>
        <v>584</v>
      </c>
      <c r="F79" s="200">
        <f>IF(AND('A-8'!F340="-",'A-3'!E32="-",'A-3'!E79="-"),"-",SUM('A-8'!F340,'A-3'!E32,'A-3'!E79))</f>
        <v>1082</v>
      </c>
      <c r="G79" s="200">
        <f>IF(AND('A-8'!G340="-",'A-3'!F32="-",'A-3'!F79="-"),"-",SUM('A-8'!G340,'A-3'!F32,'A-3'!F79))</f>
        <v>1108</v>
      </c>
      <c r="H79" s="200">
        <f>IF(AND('A-8'!H340="-",'A-3'!G32="-",'A-3'!G79="-"),"-",SUM('A-8'!H340,'A-3'!G32,'A-3'!G79))</f>
        <v>3163</v>
      </c>
      <c r="I79" s="200">
        <f>IF(AND('A-8'!I340="-",'A-3'!H32="-",'A-3'!H79="-"),"-",SUM('A-8'!I340,'A-3'!H32,'A-3'!H79))</f>
        <v>753</v>
      </c>
      <c r="J79" s="200">
        <f>IF('A-8'!J340="-","-",('A-8'!J340))</f>
        <v>3</v>
      </c>
      <c r="K79" s="200" t="str">
        <f>IF('A-8'!K340="-","-",('A-8'!K340))</f>
        <v>-</v>
      </c>
      <c r="L79" s="200">
        <f>IF(AND('A-8'!L340="-",'A-3'!I32="-",'A-3'!I79="-"),"-",SUM('A-8'!L340,'A-3'!I32,'A-3'!I79))</f>
        <v>9116</v>
      </c>
      <c r="M79" s="8"/>
      <c r="N79" s="200" t="s">
        <v>29</v>
      </c>
      <c r="O79" s="200" t="s">
        <v>29</v>
      </c>
      <c r="P79" s="200" t="s">
        <v>29</v>
      </c>
      <c r="Q79" s="200" t="s">
        <v>29</v>
      </c>
      <c r="R79" s="200" t="s">
        <v>29</v>
      </c>
      <c r="S79" s="200" t="s">
        <v>29</v>
      </c>
      <c r="T79" s="200" t="s">
        <v>29</v>
      </c>
      <c r="U79" s="200" t="s">
        <v>29</v>
      </c>
      <c r="V79" s="200" t="s">
        <v>29</v>
      </c>
      <c r="W79" s="200" t="s">
        <v>29</v>
      </c>
      <c r="X79" s="200" t="s">
        <v>29</v>
      </c>
    </row>
    <row r="80" spans="1:24" ht="11.25" customHeight="1" x14ac:dyDescent="0.25">
      <c r="A80" s="383">
        <v>2004</v>
      </c>
      <c r="B80" s="200">
        <f>IF('A-8'!B341="-","-",('A-8'!B341))</f>
        <v>6</v>
      </c>
      <c r="C80" s="200">
        <f>IF(AND('A-8'!C341="-",'A-3'!B33="-",'A-3'!B80="-"),"-",SUM('A-8'!C341,'A-3'!B33,'A-3'!B80))</f>
        <v>750</v>
      </c>
      <c r="D80" s="200">
        <f>IF(AND('A-8'!D341="-",'A-3'!C33="-",'A-3'!C80="-"),"-",SUM('A-8'!D341,'A-3'!C33,'A-3'!C80))</f>
        <v>774</v>
      </c>
      <c r="E80" s="200">
        <f>IF(AND('A-8'!E341="-",'A-3'!D33="-",'A-3'!D80="-"),"-",SUM('A-8'!E341,'A-3'!D33,'A-3'!D80))</f>
        <v>2831</v>
      </c>
      <c r="F80" s="200">
        <f>IF(AND('A-8'!F341="-",'A-3'!E33="-",'A-3'!E80="-"),"-",SUM('A-8'!F341,'A-3'!E33,'A-3'!E80))</f>
        <v>7550</v>
      </c>
      <c r="G80" s="200">
        <f>IF(AND('A-8'!G341="-",'A-3'!F33="-",'A-3'!F80="-"),"-",SUM('A-8'!G341,'A-3'!F33,'A-3'!F80))</f>
        <v>21697</v>
      </c>
      <c r="H80" s="200">
        <f>IF(AND('A-8'!H341="-",'A-3'!G33="-",'A-3'!G80="-"),"-",SUM('A-8'!H341,'A-3'!G33,'A-3'!G80))</f>
        <v>6531</v>
      </c>
      <c r="I80" s="200">
        <f>IF(AND('A-8'!I341="-",'A-3'!H33="-",'A-3'!H80="-"),"-",SUM('A-8'!I341,'A-3'!H33,'A-3'!H80))</f>
        <v>220</v>
      </c>
      <c r="J80" s="200">
        <f>IF('A-8'!J341="-","-",('A-8'!J341))</f>
        <v>40</v>
      </c>
      <c r="K80" s="200" t="str">
        <f>IF('A-8'!K341="-","-",('A-8'!K341))</f>
        <v>-</v>
      </c>
      <c r="L80" s="200">
        <f>IF(AND('A-8'!L341="-",'A-3'!I33="-",'A-3'!I80="-"),"-",SUM('A-8'!L341,'A-3'!I33,'A-3'!I80))</f>
        <v>40399</v>
      </c>
      <c r="M80" s="8"/>
      <c r="N80" s="200" t="s">
        <v>29</v>
      </c>
      <c r="O80" s="200" t="s">
        <v>29</v>
      </c>
      <c r="P80" s="200" t="s">
        <v>29</v>
      </c>
      <c r="Q80" s="200" t="s">
        <v>29</v>
      </c>
      <c r="R80" s="200" t="s">
        <v>29</v>
      </c>
      <c r="S80" s="200" t="s">
        <v>29</v>
      </c>
      <c r="T80" s="200" t="s">
        <v>29</v>
      </c>
      <c r="U80" s="200" t="s">
        <v>29</v>
      </c>
      <c r="V80" s="200" t="s">
        <v>29</v>
      </c>
      <c r="W80" s="200" t="s">
        <v>29</v>
      </c>
      <c r="X80" s="200" t="s">
        <v>29</v>
      </c>
    </row>
    <row r="81" spans="1:24" ht="11.25" customHeight="1" x14ac:dyDescent="0.25">
      <c r="A81" s="402">
        <v>2005</v>
      </c>
      <c r="B81" s="203">
        <f>IF('A-8'!B342="-","-",('A-8'!B342))</f>
        <v>87</v>
      </c>
      <c r="C81" s="203">
        <f>IF(AND('A-8'!C342="-",'A-3'!B34="-",'A-3'!B81="-"),"-",SUM('A-8'!C342,'A-3'!B34,'A-3'!B81))</f>
        <v>6</v>
      </c>
      <c r="D81" s="203" t="str">
        <f>IF(AND('A-8'!D342="-",'A-3'!C34="-",'A-3'!C81="-"),"-",SUM('A-8'!D342,'A-3'!C34,'A-3'!C81))</f>
        <v>-</v>
      </c>
      <c r="E81" s="203" t="str">
        <f>IF(AND('A-8'!E342="-",'A-3'!D34="-",'A-3'!D81="-"),"-",SUM('A-8'!E342,'A-3'!D34,'A-3'!D81))</f>
        <v>-</v>
      </c>
      <c r="F81" s="203" t="str">
        <f>IF(AND('A-8'!F342="-",'A-3'!E34="-",'A-3'!E81="-"),"-",SUM('A-8'!F342,'A-3'!E34,'A-3'!E81))</f>
        <v>-</v>
      </c>
      <c r="G81" s="203" t="str">
        <f>IF(AND('A-8'!G342="-",'A-3'!F34="-",'A-3'!F81="-"),"-",SUM('A-8'!G342,'A-3'!F34,'A-3'!F81))</f>
        <v>-</v>
      </c>
      <c r="H81" s="203">
        <f>IF(AND('A-8'!H342="-",'A-3'!G34="-",'A-3'!G81="-"),"-",SUM('A-8'!H342,'A-3'!G34,'A-3'!G81))</f>
        <v>8430</v>
      </c>
      <c r="I81" s="203">
        <f>IF(AND('A-8'!I342="-",'A-3'!H34="-",'A-3'!H81="-"),"-",SUM('A-8'!I342,'A-3'!H34,'A-3'!H81))</f>
        <v>641</v>
      </c>
      <c r="J81" s="203">
        <f>IF('A-8'!J342="-","-",('A-8'!J342))</f>
        <v>156</v>
      </c>
      <c r="K81" s="203" t="str">
        <f>IF('A-8'!K342="-","-",('A-8'!K342))</f>
        <v>-</v>
      </c>
      <c r="L81" s="203">
        <f>IF(AND('A-8'!L342="-",'A-3'!I34="-",'A-3'!I81="-"),"-",SUM('A-8'!L342,'A-3'!I34,'A-3'!I81))</f>
        <v>9320</v>
      </c>
      <c r="M81" s="9"/>
      <c r="N81" s="203" t="s">
        <v>29</v>
      </c>
      <c r="O81" s="203" t="s">
        <v>29</v>
      </c>
      <c r="P81" s="203" t="s">
        <v>29</v>
      </c>
      <c r="Q81" s="203" t="s">
        <v>29</v>
      </c>
      <c r="R81" s="203" t="s">
        <v>29</v>
      </c>
      <c r="S81" s="203" t="s">
        <v>29</v>
      </c>
      <c r="T81" s="203" t="s">
        <v>29</v>
      </c>
      <c r="U81" s="203" t="s">
        <v>29</v>
      </c>
      <c r="V81" s="203" t="s">
        <v>29</v>
      </c>
      <c r="W81" s="203" t="s">
        <v>29</v>
      </c>
      <c r="X81" s="203" t="s">
        <v>29</v>
      </c>
    </row>
    <row r="82" spans="1:24" ht="11.25" customHeight="1" x14ac:dyDescent="0.25">
      <c r="A82" s="383">
        <v>2006</v>
      </c>
      <c r="B82" s="200" t="str">
        <f>IF('A-8'!B343="-","-",('A-8'!B343))</f>
        <v>-</v>
      </c>
      <c r="C82" s="200" t="str">
        <f>IF(AND('A-8'!C343="-",'A-3'!B35="-",'A-3'!B82="-"),"-",SUM('A-8'!C343,'A-3'!B35,'A-3'!B82))</f>
        <v>-</v>
      </c>
      <c r="D82" s="200" t="str">
        <f>IF(AND('A-8'!D343="-",'A-3'!C35="-",'A-3'!C82="-"),"-",SUM('A-8'!D343,'A-3'!C35,'A-3'!C82))</f>
        <v>-</v>
      </c>
      <c r="E82" s="200" t="str">
        <f>IF(AND('A-8'!E343="-",'A-3'!D35="-",'A-3'!D82="-"),"-",SUM('A-8'!E343,'A-3'!D35,'A-3'!D82))</f>
        <v>-</v>
      </c>
      <c r="F82" s="200" t="str">
        <f>IF(AND('A-8'!F343="-",'A-3'!E35="-",'A-3'!E82="-"),"-",SUM('A-8'!F343,'A-3'!E35,'A-3'!E82))</f>
        <v>-</v>
      </c>
      <c r="G82" s="200" t="str">
        <f>IF(AND('A-8'!G343="-",'A-3'!F35="-",'A-3'!F82="-"),"-",SUM('A-8'!G343,'A-3'!F35,'A-3'!F82))</f>
        <v>-</v>
      </c>
      <c r="H82" s="200">
        <f>IF(AND('A-8'!H343="-",'A-3'!G35="-",'A-3'!G82="-"),"-",SUM('A-8'!H343,'A-3'!G35,'A-3'!G82))</f>
        <v>12</v>
      </c>
      <c r="I82" s="200">
        <f>IF(AND('A-8'!I343="-",'A-3'!H35="-",'A-3'!H82="-"),"-",SUM('A-8'!I343,'A-3'!H35,'A-3'!H82))</f>
        <v>590</v>
      </c>
      <c r="J82" s="200">
        <f>IF('A-8'!J343="-","-",('A-8'!J343))</f>
        <v>136</v>
      </c>
      <c r="K82" s="200" t="str">
        <f>IF('A-8'!K343="-","-",('A-8'!K343))</f>
        <v>-</v>
      </c>
      <c r="L82" s="200">
        <f>IF(AND('A-8'!L343="-",'A-3'!I35="-",'A-3'!I82="-"),"-",SUM('A-8'!L343,'A-3'!I35,'A-3'!I82))</f>
        <v>738</v>
      </c>
      <c r="M82" s="8"/>
      <c r="N82" s="200" t="s">
        <v>29</v>
      </c>
      <c r="O82" s="200" t="s">
        <v>29</v>
      </c>
      <c r="P82" s="200" t="s">
        <v>29</v>
      </c>
      <c r="Q82" s="200" t="s">
        <v>29</v>
      </c>
      <c r="R82" s="200" t="s">
        <v>29</v>
      </c>
      <c r="S82" s="200" t="s">
        <v>29</v>
      </c>
      <c r="T82" s="200" t="s">
        <v>29</v>
      </c>
      <c r="U82" s="200" t="s">
        <v>29</v>
      </c>
      <c r="V82" s="200" t="s">
        <v>29</v>
      </c>
      <c r="W82" s="200" t="s">
        <v>29</v>
      </c>
      <c r="X82" s="200" t="s">
        <v>29</v>
      </c>
    </row>
    <row r="83" spans="1:24" ht="11.25" customHeight="1" x14ac:dyDescent="0.25">
      <c r="A83" s="402">
        <v>2007</v>
      </c>
      <c r="B83" s="203" t="str">
        <f>IF('A-8'!B344="-","-",('A-8'!B344))</f>
        <v>-</v>
      </c>
      <c r="C83" s="203">
        <f>IF(AND('A-8'!C344="-",'A-3'!B36="-",'A-3'!B83="-"),"-",SUM('A-8'!C344,'A-3'!B36,'A-3'!B83))</f>
        <v>15</v>
      </c>
      <c r="D83" s="203">
        <f>IF(AND('A-8'!D344="-",'A-3'!C36="-",'A-3'!C83="-"),"-",SUM('A-8'!D344,'A-3'!C36,'A-3'!C83))</f>
        <v>25</v>
      </c>
      <c r="E83" s="203">
        <f>IF(AND('A-8'!E344="-",'A-3'!D36="-",'A-3'!D83="-"),"-",SUM('A-8'!E344,'A-3'!D36,'A-3'!D83))</f>
        <v>727</v>
      </c>
      <c r="F83" s="203">
        <f>IF(AND('A-8'!F344="-",'A-3'!E36="-",'A-3'!E83="-"),"-",SUM('A-8'!F344,'A-3'!E36,'A-3'!E83))</f>
        <v>1150</v>
      </c>
      <c r="G83" s="203">
        <f>IF(AND('A-8'!G344="-",'A-3'!F36="-",'A-3'!F83="-"),"-",SUM('A-8'!G344,'A-3'!F36,'A-3'!F83))</f>
        <v>1524</v>
      </c>
      <c r="H83" s="203">
        <f>IF(AND('A-8'!H344="-",'A-3'!G36="-",'A-3'!G83="-"),"-",SUM('A-8'!H344,'A-3'!G36,'A-3'!G83))</f>
        <v>9162</v>
      </c>
      <c r="I83" s="203">
        <f>IF(AND('A-8'!I344="-",'A-3'!H36="-",'A-3'!H83="-"),"-",SUM('A-8'!I344,'A-3'!H36,'A-3'!H83))</f>
        <v>209</v>
      </c>
      <c r="J83" s="203">
        <f>IF('A-8'!J344="-","-",('A-8'!J344))</f>
        <v>47</v>
      </c>
      <c r="K83" s="203" t="str">
        <f>IF('A-8'!K344="-","-",('A-8'!K344))</f>
        <v>-</v>
      </c>
      <c r="L83" s="203">
        <f>IF(AND('A-8'!L344="-",'A-3'!I36="-",'A-3'!I83="-"),"-",SUM('A-8'!L344,'A-3'!I36,'A-3'!I83))</f>
        <v>12859</v>
      </c>
      <c r="M83" s="9"/>
      <c r="N83" s="203" t="s">
        <v>29</v>
      </c>
      <c r="O83" s="203" t="s">
        <v>29</v>
      </c>
      <c r="P83" s="203" t="s">
        <v>29</v>
      </c>
      <c r="Q83" s="203" t="s">
        <v>29</v>
      </c>
      <c r="R83" s="203" t="s">
        <v>29</v>
      </c>
      <c r="S83" s="203" t="s">
        <v>29</v>
      </c>
      <c r="T83" s="203" t="s">
        <v>29</v>
      </c>
      <c r="U83" s="203" t="s">
        <v>29</v>
      </c>
      <c r="V83" s="203" t="s">
        <v>29</v>
      </c>
      <c r="W83" s="203" t="s">
        <v>29</v>
      </c>
      <c r="X83" s="203" t="s">
        <v>29</v>
      </c>
    </row>
    <row r="84" spans="1:24" ht="11.25" customHeight="1" x14ac:dyDescent="0.25">
      <c r="A84" s="402">
        <v>2008</v>
      </c>
      <c r="B84" s="203" t="str">
        <f>IF('A-8'!B345="-","-",('A-8'!B345))</f>
        <v>-</v>
      </c>
      <c r="C84" s="203" t="str">
        <f>IF(AND('A-8'!C345="-",'A-3'!B37="-",'A-3'!B84="-"),"-",SUM('A-8'!C345,'A-3'!B37,'A-3'!B84))</f>
        <v>-</v>
      </c>
      <c r="D84" s="203" t="str">
        <f>IF(AND('A-8'!D345="-",'A-3'!C37="-",'A-3'!C84="-"),"-",SUM('A-8'!D345,'A-3'!C37,'A-3'!C84))</f>
        <v>-</v>
      </c>
      <c r="E84" s="203" t="str">
        <f>IF(AND('A-8'!E345="-",'A-3'!D37="-",'A-3'!D84="-"),"-",SUM('A-8'!E345,'A-3'!D37,'A-3'!D84))</f>
        <v>-</v>
      </c>
      <c r="F84" s="203" t="str">
        <f>IF(AND('A-8'!F345="-",'A-3'!E37="-",'A-3'!E84="-"),"-",SUM('A-8'!F345,'A-3'!E37,'A-3'!E84))</f>
        <v>-</v>
      </c>
      <c r="G84" s="203" t="str">
        <f>IF(AND('A-8'!G345="-",'A-3'!F37="-",'A-3'!F84="-"),"-",SUM('A-8'!G345,'A-3'!F37,'A-3'!F84))</f>
        <v>-</v>
      </c>
      <c r="H84" s="203" t="str">
        <f>IF(AND('A-8'!H345="-",'A-3'!G37="-",'A-3'!G84="-"),"-",SUM('A-8'!H345,'A-3'!G37,'A-3'!G84))</f>
        <v>-</v>
      </c>
      <c r="I84" s="203">
        <f>IF(AND('A-8'!I345="-",'A-3'!H37="-",'A-3'!H84="-"),"-",SUM('A-8'!I345,'A-3'!H37,'A-3'!H84))</f>
        <v>236</v>
      </c>
      <c r="J84" s="203" t="str">
        <f>IF('A-8'!J345="-","-",('A-8'!J345))</f>
        <v>-</v>
      </c>
      <c r="K84" s="203" t="str">
        <f>IF('A-8'!K345="-","-",('A-8'!K345))</f>
        <v>-</v>
      </c>
      <c r="L84" s="203">
        <f>IF(AND('A-8'!L345="-",'A-3'!I37="-",'A-3'!I84="-"),"-",SUM('A-8'!L345,'A-3'!I37,'A-3'!I84))</f>
        <v>236</v>
      </c>
      <c r="M84" s="9"/>
      <c r="N84" s="203" t="s">
        <v>29</v>
      </c>
      <c r="O84" s="203" t="s">
        <v>29</v>
      </c>
      <c r="P84" s="203" t="s">
        <v>29</v>
      </c>
      <c r="Q84" s="203" t="s">
        <v>29</v>
      </c>
      <c r="R84" s="203" t="s">
        <v>29</v>
      </c>
      <c r="S84" s="203" t="s">
        <v>29</v>
      </c>
      <c r="T84" s="203" t="s">
        <v>29</v>
      </c>
      <c r="U84" s="203" t="s">
        <v>29</v>
      </c>
      <c r="V84" s="203" t="s">
        <v>29</v>
      </c>
      <c r="W84" s="203" t="s">
        <v>29</v>
      </c>
      <c r="X84" s="203" t="s">
        <v>29</v>
      </c>
    </row>
    <row r="85" spans="1:24" ht="11.25" customHeight="1" x14ac:dyDescent="0.25">
      <c r="A85" s="402">
        <v>2009</v>
      </c>
      <c r="B85" s="203" t="str">
        <f>IF('A-8'!B346="-","-",('A-8'!B346))</f>
        <v>-</v>
      </c>
      <c r="C85" s="203" t="str">
        <f>IF(AND('A-8'!C346="-",'A-3'!B38="-",'A-3'!B85="-"),"-",SUM('A-8'!C346,'A-3'!B38,'A-3'!B85))</f>
        <v>-</v>
      </c>
      <c r="D85" s="203" t="str">
        <f>IF(AND('A-8'!D346="-",'A-3'!C38="-",'A-3'!C85="-"),"-",SUM('A-8'!D346,'A-3'!C38,'A-3'!C85))</f>
        <v>-</v>
      </c>
      <c r="E85" s="203" t="str">
        <f>IF(AND('A-8'!E346="-",'A-3'!D38="-",'A-3'!D85="-"),"-",SUM('A-8'!E346,'A-3'!D38,'A-3'!D85))</f>
        <v>-</v>
      </c>
      <c r="F85" s="203" t="str">
        <f>IF(AND('A-8'!F346="-",'A-3'!E38="-",'A-3'!E85="-"),"-",SUM('A-8'!F346,'A-3'!E38,'A-3'!E85))</f>
        <v>-</v>
      </c>
      <c r="G85" s="203" t="str">
        <f>IF(AND('A-8'!G346="-",'A-3'!F38="-",'A-3'!F85="-"),"-",SUM('A-8'!G346,'A-3'!F38,'A-3'!F85))</f>
        <v>-</v>
      </c>
      <c r="H85" s="203" t="str">
        <f>IF(AND('A-8'!H346="-",'A-3'!G38="-",'A-3'!G85="-"),"-",SUM('A-8'!H346,'A-3'!G38,'A-3'!G85))</f>
        <v>-</v>
      </c>
      <c r="I85" s="203" t="str">
        <f>IF(AND('A-8'!I346="-",'A-3'!H38="-",'A-3'!H85="-"),"-",SUM('A-8'!I346,'A-3'!H38,'A-3'!H85))</f>
        <v>-</v>
      </c>
      <c r="J85" s="203" t="str">
        <f>IF('A-8'!J346="-","-",('A-8'!J346))</f>
        <v>-</v>
      </c>
      <c r="K85" s="203" t="str">
        <f>IF('A-8'!K346="-","-",('A-8'!K346))</f>
        <v>-</v>
      </c>
      <c r="L85" s="203" t="str">
        <f>IF(AND('A-8'!L346="-",'A-3'!I38="-",'A-3'!I85="-"),"-",SUM('A-8'!L346,'A-3'!I38,'A-3'!I85))</f>
        <v>-</v>
      </c>
      <c r="M85" s="9"/>
      <c r="N85" s="203" t="s">
        <v>29</v>
      </c>
      <c r="O85" s="203" t="s">
        <v>29</v>
      </c>
      <c r="P85" s="203" t="s">
        <v>29</v>
      </c>
      <c r="Q85" s="203" t="s">
        <v>29</v>
      </c>
      <c r="R85" s="203" t="s">
        <v>29</v>
      </c>
      <c r="S85" s="203" t="s">
        <v>29</v>
      </c>
      <c r="T85" s="203" t="s">
        <v>29</v>
      </c>
      <c r="U85" s="203" t="s">
        <v>29</v>
      </c>
      <c r="V85" s="203" t="s">
        <v>29</v>
      </c>
      <c r="W85" s="203" t="s">
        <v>29</v>
      </c>
      <c r="X85" s="203" t="s">
        <v>29</v>
      </c>
    </row>
    <row r="86" spans="1:24" ht="11.25" customHeight="1" x14ac:dyDescent="0.25">
      <c r="A86" s="402">
        <v>2010</v>
      </c>
      <c r="B86" s="203" t="str">
        <f>IF('A-8'!B347="-","-",('A-8'!B347))</f>
        <v>-</v>
      </c>
      <c r="C86" s="203" t="str">
        <f>IF(AND('A-8'!C347="-",'A-3'!B39="-",'A-3'!B86="-"),"-",SUM('A-8'!C347,'A-3'!B39,'A-3'!B86))</f>
        <v>-</v>
      </c>
      <c r="D86" s="203">
        <f>IF(AND('A-8'!D347="-",'A-3'!C39="-",'A-3'!C86="-"),"-",SUM('A-8'!D347,'A-3'!C39,'A-3'!C86))</f>
        <v>164</v>
      </c>
      <c r="E86" s="203" t="str">
        <f>IF(AND('A-8'!E347="-",'A-3'!D39="-",'A-3'!D86="-"),"-",SUM('A-8'!E347,'A-3'!D39,'A-3'!D86))</f>
        <v>-</v>
      </c>
      <c r="F86" s="203">
        <f>IF(AND('A-8'!F347="-",'A-3'!E39="-",'A-3'!E86="-"),"-",SUM('A-8'!F347,'A-3'!E39,'A-3'!E86))</f>
        <v>51</v>
      </c>
      <c r="G86" s="203">
        <f>IF(AND('A-8'!G347="-",'A-3'!F39="-",'A-3'!F86="-"),"-",SUM('A-8'!G347,'A-3'!F39,'A-3'!F86))</f>
        <v>125</v>
      </c>
      <c r="H86" s="203" t="str">
        <f>IF(AND('A-8'!H347="-",'A-3'!G39="-",'A-3'!G86="-"),"-",SUM('A-8'!H347,'A-3'!G39,'A-3'!G86))</f>
        <v>-</v>
      </c>
      <c r="I86" s="203">
        <f>IF(AND('A-8'!I347="-",'A-3'!H39="-",'A-3'!H86="-"),"-",SUM('A-8'!I347,'A-3'!H39,'A-3'!H86))</f>
        <v>529</v>
      </c>
      <c r="J86" s="203" t="str">
        <f>IF('A-8'!J347="-","-",('A-8'!J347))</f>
        <v>-</v>
      </c>
      <c r="K86" s="203" t="str">
        <f>IF('A-8'!K347="-","-",('A-8'!K347))</f>
        <v>-</v>
      </c>
      <c r="L86" s="203">
        <f>IF(AND('A-8'!L347="-",'A-3'!I39="-",'A-3'!I86="-"),"-",SUM('A-8'!L347,'A-3'!I39,'A-3'!I86))</f>
        <v>869</v>
      </c>
      <c r="M86" s="9"/>
      <c r="N86" s="203" t="s">
        <v>29</v>
      </c>
      <c r="O86" s="203" t="s">
        <v>29</v>
      </c>
      <c r="P86" s="203" t="s">
        <v>29</v>
      </c>
      <c r="Q86" s="203" t="s">
        <v>29</v>
      </c>
      <c r="R86" s="203" t="s">
        <v>29</v>
      </c>
      <c r="S86" s="203" t="s">
        <v>29</v>
      </c>
      <c r="T86" s="203" t="s">
        <v>29</v>
      </c>
      <c r="U86" s="203" t="s">
        <v>29</v>
      </c>
      <c r="V86" s="203" t="s">
        <v>29</v>
      </c>
      <c r="W86" s="203" t="s">
        <v>29</v>
      </c>
      <c r="X86" s="203" t="s">
        <v>29</v>
      </c>
    </row>
    <row r="87" spans="1:24" ht="11.25" customHeight="1" x14ac:dyDescent="0.25">
      <c r="A87" s="402">
        <v>2011</v>
      </c>
      <c r="B87" s="203" t="str">
        <f>IF('A-8'!B348="-","-",('A-8'!B348))</f>
        <v>-</v>
      </c>
      <c r="C87" s="203" t="str">
        <f>IF(AND('A-8'!C348="-",'A-3'!B40="-",'A-3'!B87="-"),"-",SUM('A-8'!C348,'A-3'!B40,'A-3'!B87))</f>
        <v>-</v>
      </c>
      <c r="D87" s="203">
        <f>IF(AND('A-8'!D348="-",'A-3'!C40="-",'A-3'!C87="-"),"-",SUM('A-8'!D348,'A-3'!C40,'A-3'!C87))</f>
        <v>601</v>
      </c>
      <c r="E87" s="203">
        <f>IF(AND('A-8'!E348="-",'A-3'!D40="-",'A-3'!D87="-"),"-",SUM('A-8'!E348,'A-3'!D40,'A-3'!D87))</f>
        <v>254</v>
      </c>
      <c r="F87" s="203">
        <f>IF(AND('A-8'!F348="-",'A-3'!E40="-",'A-3'!E87="-"),"-",SUM('A-8'!F348,'A-3'!E40,'A-3'!E87))</f>
        <v>1611</v>
      </c>
      <c r="G87" s="203">
        <f>IF(AND('A-8'!G348="-",'A-3'!F40="-",'A-3'!F87="-"),"-",SUM('A-8'!G348,'A-3'!F40,'A-3'!F87))</f>
        <v>1144</v>
      </c>
      <c r="H87" s="203" t="str">
        <f>IF(AND('A-8'!H348="-",'A-3'!G40="-",'A-3'!G87="-"),"-",SUM('A-8'!H348,'A-3'!G40,'A-3'!G87))</f>
        <v>-</v>
      </c>
      <c r="I87" s="203">
        <f>IF(AND('A-8'!I348="-",'A-3'!H40="-",'A-3'!H87="-"),"-",SUM('A-8'!I348,'A-3'!H40,'A-3'!H87))</f>
        <v>107</v>
      </c>
      <c r="J87" s="203" t="str">
        <f>IF('A-8'!J348="-","-",('A-8'!J348))</f>
        <v>-</v>
      </c>
      <c r="K87" s="203" t="str">
        <f>IF('A-8'!K348="-","-",('A-8'!K348))</f>
        <v>-</v>
      </c>
      <c r="L87" s="203">
        <f>IF(AND('A-8'!L348="-",'A-3'!I40="-",'A-3'!I87="-"),"-",SUM('A-8'!L348,'A-3'!I40,'A-3'!I87))</f>
        <v>3717</v>
      </c>
      <c r="M87" s="9"/>
      <c r="N87" s="203" t="s">
        <v>29</v>
      </c>
      <c r="O87" s="203" t="s">
        <v>29</v>
      </c>
      <c r="P87" s="203" t="s">
        <v>29</v>
      </c>
      <c r="Q87" s="203" t="s">
        <v>29</v>
      </c>
      <c r="R87" s="203" t="s">
        <v>29</v>
      </c>
      <c r="S87" s="203" t="s">
        <v>29</v>
      </c>
      <c r="T87" s="203" t="s">
        <v>29</v>
      </c>
      <c r="U87" s="203" t="s">
        <v>29</v>
      </c>
      <c r="V87" s="203" t="s">
        <v>29</v>
      </c>
      <c r="W87" s="203" t="s">
        <v>29</v>
      </c>
      <c r="X87" s="203" t="s">
        <v>29</v>
      </c>
    </row>
    <row r="88" spans="1:24" ht="11.25" customHeight="1" x14ac:dyDescent="0.25">
      <c r="A88" s="402">
        <v>2012</v>
      </c>
      <c r="B88" s="203" t="str">
        <f>IF('A-8'!B349="-","-",('A-8'!B349))</f>
        <v>-</v>
      </c>
      <c r="C88" s="203">
        <f>IF(AND('A-8'!C349="-",'A-3'!B41="-",'A-3'!B88="-"),"-",SUM('A-8'!C349,'A-3'!B41,'A-3'!B88))</f>
        <v>0</v>
      </c>
      <c r="D88" s="203">
        <f>IF(AND('A-8'!D349="-",'A-3'!C41="-",'A-3'!C88="-"),"-",SUM('A-8'!D349,'A-3'!C41,'A-3'!C88))</f>
        <v>371</v>
      </c>
      <c r="E88" s="203">
        <f>IF(AND('A-8'!E349="-",'A-3'!D41="-",'A-3'!D88="-"),"-",SUM('A-8'!E349,'A-3'!D41,'A-3'!D88))</f>
        <v>1287</v>
      </c>
      <c r="F88" s="203">
        <f>IF(AND('A-8'!F349="-",'A-3'!E41="-",'A-3'!E88="-"),"-",SUM('A-8'!F349,'A-3'!E41,'A-3'!E88))</f>
        <v>1456</v>
      </c>
      <c r="G88" s="203">
        <f>IF(AND('A-8'!G349="-",'A-3'!F41="-",'A-3'!F88="-"),"-",SUM('A-8'!G349,'A-3'!F41,'A-3'!F88))</f>
        <v>1328</v>
      </c>
      <c r="H88" s="203">
        <f>IF(AND('A-8'!H349="-",'A-3'!G41="-",'A-3'!G88="-"),"-",SUM('A-8'!H349,'A-3'!G41,'A-3'!G88))</f>
        <v>6115</v>
      </c>
      <c r="I88" s="203">
        <f>IF(AND('A-8'!I349="-",'A-3'!H41="-",'A-3'!H88="-"),"-",SUM('A-8'!I349,'A-3'!H41,'A-3'!H88))</f>
        <v>118</v>
      </c>
      <c r="J88" s="203" t="str">
        <f>IF('A-8'!J349="-","-",('A-8'!J349))</f>
        <v>-</v>
      </c>
      <c r="K88" s="203" t="str">
        <f>IF('A-8'!K349="-","-",('A-8'!K349))</f>
        <v>-</v>
      </c>
      <c r="L88" s="203">
        <f>IF(AND('A-8'!L349="-",'A-3'!I41="-",'A-3'!I88="-"),"-",SUM('A-8'!L349,'A-3'!I41,'A-3'!I88))</f>
        <v>10675</v>
      </c>
      <c r="M88" s="9"/>
      <c r="N88" s="203" t="s">
        <v>29</v>
      </c>
      <c r="O88" s="203" t="s">
        <v>29</v>
      </c>
      <c r="P88" s="203" t="s">
        <v>29</v>
      </c>
      <c r="Q88" s="203" t="s">
        <v>29</v>
      </c>
      <c r="R88" s="203" t="s">
        <v>29</v>
      </c>
      <c r="S88" s="203" t="s">
        <v>29</v>
      </c>
      <c r="T88" s="203" t="s">
        <v>29</v>
      </c>
      <c r="U88" s="203" t="s">
        <v>29</v>
      </c>
      <c r="V88" s="203" t="s">
        <v>29</v>
      </c>
      <c r="W88" s="203" t="s">
        <v>29</v>
      </c>
      <c r="X88" s="203" t="s">
        <v>29</v>
      </c>
    </row>
    <row r="89" spans="1:24" ht="11.25" customHeight="1" x14ac:dyDescent="0.25">
      <c r="A89" s="402">
        <v>2013</v>
      </c>
      <c r="B89" s="203" t="str">
        <f>IF('A-8'!B350="-","-",('A-8'!B350))</f>
        <v>-</v>
      </c>
      <c r="C89" s="203">
        <f>IF(AND('A-8'!C350="-",'A-3'!B42="-",'A-3'!B89="-"),"-",SUM('A-8'!C350,'A-3'!B42,'A-3'!B89))</f>
        <v>50</v>
      </c>
      <c r="D89" s="203">
        <f>IF(AND('A-8'!D350="-",'A-3'!C42="-",'A-3'!C89="-"),"-",SUM('A-8'!D350,'A-3'!C42,'A-3'!C89))</f>
        <v>2695</v>
      </c>
      <c r="E89" s="203">
        <f>IF(AND('A-8'!E350="-",'A-3'!D42="-",'A-3'!D89="-"),"-",SUM('A-8'!E350,'A-3'!D42,'A-3'!D89))</f>
        <v>4374</v>
      </c>
      <c r="F89" s="203">
        <f>IF(AND('A-8'!F350="-",'A-3'!E42="-",'A-3'!E89="-"),"-",SUM('A-8'!F350,'A-3'!E42,'A-3'!E89))</f>
        <v>5545</v>
      </c>
      <c r="G89" s="203">
        <f>IF(AND('A-8'!G350="-",'A-3'!F42="-",'A-3'!F89="-"),"-",SUM('A-8'!G350,'A-3'!F42,'A-3'!F89))</f>
        <v>3856</v>
      </c>
      <c r="H89" s="203">
        <f>IF(AND('A-8'!H350="-",'A-3'!G42="-",'A-3'!G89="-"),"-",SUM('A-8'!H350,'A-3'!G42,'A-3'!G89))</f>
        <v>319</v>
      </c>
      <c r="I89" s="203">
        <f>IF(AND('A-8'!I350="-",'A-3'!H42="-",'A-3'!H89="-"),"-",SUM('A-8'!I350,'A-3'!H42,'A-3'!H89))</f>
        <v>155</v>
      </c>
      <c r="J89" s="203" t="str">
        <f>IF('A-8'!J350="-","-",('A-8'!J350))</f>
        <v>-</v>
      </c>
      <c r="K89" s="203" t="str">
        <f>IF('A-8'!K350="-","-",('A-8'!K350))</f>
        <v>-</v>
      </c>
      <c r="L89" s="203">
        <f>IF(AND('A-8'!L350="-",'A-3'!I42="-",'A-3'!I89="-"),"-",SUM('A-8'!L350,'A-3'!I42,'A-3'!I89))</f>
        <v>16994</v>
      </c>
      <c r="M89" s="9"/>
      <c r="N89" s="203" t="s">
        <v>29</v>
      </c>
      <c r="O89" s="203" t="s">
        <v>29</v>
      </c>
      <c r="P89" s="203" t="s">
        <v>29</v>
      </c>
      <c r="Q89" s="203" t="s">
        <v>29</v>
      </c>
      <c r="R89" s="203" t="s">
        <v>29</v>
      </c>
      <c r="S89" s="203" t="s">
        <v>29</v>
      </c>
      <c r="T89" s="203" t="s">
        <v>29</v>
      </c>
      <c r="U89" s="203" t="s">
        <v>29</v>
      </c>
      <c r="V89" s="203" t="s">
        <v>29</v>
      </c>
      <c r="W89" s="203" t="s">
        <v>29</v>
      </c>
      <c r="X89" s="203" t="s">
        <v>29</v>
      </c>
    </row>
    <row r="90" spans="1:24" ht="11.25" customHeight="1" x14ac:dyDescent="0.25">
      <c r="A90" s="402">
        <v>2014</v>
      </c>
      <c r="B90" s="203" t="str">
        <f>IF('A-8'!B351="-","-",('A-8'!B351))</f>
        <v>-</v>
      </c>
      <c r="C90" s="203">
        <f>IF(AND('A-8'!C351="-",'A-3'!B43="-",'A-3'!B90="-"),"-",SUM('A-8'!C351,'A-3'!B43,'A-3'!B90))</f>
        <v>53</v>
      </c>
      <c r="D90" s="203">
        <f>IF(AND('A-8'!D351="-",'A-3'!C43="-",'A-3'!C90="-"),"-",SUM('A-8'!D351,'A-3'!C43,'A-3'!C90))</f>
        <v>13352</v>
      </c>
      <c r="E90" s="203">
        <f>IF(AND('A-8'!E351="-",'A-3'!D43="-",'A-3'!D90="-"),"-",SUM('A-8'!E351,'A-3'!D43,'A-3'!D90))</f>
        <v>1349</v>
      </c>
      <c r="F90" s="203">
        <f>IF(AND('A-8'!F351="-",'A-3'!E43="-",'A-3'!E90="-"),"-",SUM('A-8'!F351,'A-3'!E43,'A-3'!E90))</f>
        <v>492</v>
      </c>
      <c r="G90" s="203">
        <f>IF(AND('A-8'!G351="-",'A-3'!F43="-",'A-3'!F90="-"),"-",SUM('A-8'!G351,'A-3'!F43,'A-3'!F90))</f>
        <v>403</v>
      </c>
      <c r="H90" s="203">
        <f>IF(AND('A-8'!H351="-",'A-3'!G43="-",'A-3'!G90="-"),"-",SUM('A-8'!H351,'A-3'!G43,'A-3'!G90))</f>
        <v>674</v>
      </c>
      <c r="I90" s="203">
        <f>IF(AND('A-8'!I351="-",'A-3'!H43="-",'A-3'!H90="-"),"-",SUM('A-8'!I351,'A-3'!H43,'A-3'!H90))</f>
        <v>443</v>
      </c>
      <c r="J90" s="203" t="str">
        <f>IF('A-8'!J351="-","-",('A-8'!J351))</f>
        <v>-</v>
      </c>
      <c r="K90" s="203" t="str">
        <f>IF('A-8'!K351="-","-",('A-8'!K351))</f>
        <v>-</v>
      </c>
      <c r="L90" s="203">
        <f>IF(AND('A-8'!L351="-",'A-3'!I43="-",'A-3'!I90="-"),"-",SUM('A-8'!L351,'A-3'!I43,'A-3'!I90))</f>
        <v>16766</v>
      </c>
      <c r="M90" s="9"/>
      <c r="N90" s="203" t="s">
        <v>29</v>
      </c>
      <c r="O90" s="203" t="s">
        <v>29</v>
      </c>
      <c r="P90" s="203" t="s">
        <v>29</v>
      </c>
      <c r="Q90" s="203" t="s">
        <v>29</v>
      </c>
      <c r="R90" s="203" t="s">
        <v>29</v>
      </c>
      <c r="S90" s="203" t="s">
        <v>29</v>
      </c>
      <c r="T90" s="203" t="s">
        <v>29</v>
      </c>
      <c r="U90" s="203" t="s">
        <v>29</v>
      </c>
      <c r="V90" s="203" t="s">
        <v>29</v>
      </c>
      <c r="W90" s="203" t="s">
        <v>29</v>
      </c>
      <c r="X90" s="203" t="s">
        <v>29</v>
      </c>
    </row>
    <row r="91" spans="1:24" ht="11.25" customHeight="1" x14ac:dyDescent="0.25">
      <c r="A91" s="402">
        <v>2015</v>
      </c>
      <c r="B91" s="203" t="str">
        <f>IF('A-8'!B352="-","-",('A-8'!B352))</f>
        <v>-</v>
      </c>
      <c r="C91" s="203">
        <f>IF(AND('A-8'!C352="-",'A-3'!B44="-",'A-3'!B91="-"),"-",SUM('A-8'!C352,'A-3'!B44,'A-3'!B91))</f>
        <v>39</v>
      </c>
      <c r="D91" s="203">
        <f>IF(AND('A-8'!D352="-",'A-3'!C44="-",'A-3'!C91="-"),"-",SUM('A-8'!D352,'A-3'!C44,'A-3'!C91))</f>
        <v>1146</v>
      </c>
      <c r="E91" s="203">
        <f>IF(AND('A-8'!E352="-",'A-3'!D44="-",'A-3'!D91="-"),"-",SUM('A-8'!E352,'A-3'!D44,'A-3'!D91))</f>
        <v>1528</v>
      </c>
      <c r="F91" s="203">
        <f>IF(AND('A-8'!F352="-",'A-3'!E44="-",'A-3'!E91="-"),"-",SUM('A-8'!F352,'A-3'!E44,'A-3'!E91))</f>
        <v>779</v>
      </c>
      <c r="G91" s="203">
        <f>IF(AND('A-8'!G352="-",'A-3'!F44="-",'A-3'!F91="-"),"-",SUM('A-8'!G352,'A-3'!F44,'A-3'!F91))</f>
        <v>92</v>
      </c>
      <c r="H91" s="203">
        <f>IF(AND('A-8'!H352="-",'A-3'!G44="-",'A-3'!G91="-"),"-",SUM('A-8'!H352,'A-3'!G44,'A-3'!G91))</f>
        <v>46</v>
      </c>
      <c r="I91" s="203">
        <f>IF(AND('A-8'!I352="-",'A-3'!H44="-",'A-3'!H91="-"),"-",SUM('A-8'!I352,'A-3'!H44,'A-3'!H91))</f>
        <v>639</v>
      </c>
      <c r="J91" s="203" t="str">
        <f>IF('A-8'!J352="-","-",('A-8'!J352))</f>
        <v>-</v>
      </c>
      <c r="K91" s="203" t="str">
        <f>IF('A-8'!K352="-","-",('A-8'!K352))</f>
        <v>-</v>
      </c>
      <c r="L91" s="203">
        <f>IF(AND('A-8'!L352="-",'A-3'!I44="-",'A-3'!I91="-"),"-",SUM('A-8'!L352,'A-3'!I44,'A-3'!I91))</f>
        <v>4269</v>
      </c>
      <c r="M91" s="9"/>
      <c r="N91" s="203" t="s">
        <v>29</v>
      </c>
      <c r="O91" s="203" t="s">
        <v>29</v>
      </c>
      <c r="P91" s="203" t="s">
        <v>29</v>
      </c>
      <c r="Q91" s="203" t="s">
        <v>29</v>
      </c>
      <c r="R91" s="203" t="s">
        <v>29</v>
      </c>
      <c r="S91" s="203" t="s">
        <v>29</v>
      </c>
      <c r="T91" s="203" t="s">
        <v>29</v>
      </c>
      <c r="U91" s="203" t="s">
        <v>29</v>
      </c>
      <c r="V91" s="203" t="s">
        <v>29</v>
      </c>
      <c r="W91" s="203" t="s">
        <v>29</v>
      </c>
      <c r="X91" s="203" t="s">
        <v>29</v>
      </c>
    </row>
    <row r="92" spans="1:24" ht="11.25" customHeight="1" x14ac:dyDescent="0.25">
      <c r="A92" s="402">
        <v>2016</v>
      </c>
      <c r="B92" s="203" t="str">
        <f>IF('A-8'!B353="-","-",('A-8'!B353))</f>
        <v>-</v>
      </c>
      <c r="C92" s="203">
        <f>IF(AND('A-8'!C353="-",'A-3'!B45="-",'A-3'!B92="-"),"-",SUM('A-8'!C353,'A-3'!B45,'A-3'!B92))</f>
        <v>12</v>
      </c>
      <c r="D92" s="203">
        <f>IF(AND('A-8'!D353="-",'A-3'!C45="-",'A-3'!C92="-"),"-",SUM('A-8'!D353,'A-3'!C45,'A-3'!C92))</f>
        <v>34</v>
      </c>
      <c r="E92" s="203">
        <f>IF(AND('A-8'!E353="-",'A-3'!D45="-",'A-3'!D92="-"),"-",SUM('A-8'!E353,'A-3'!D45,'A-3'!D92))</f>
        <v>179</v>
      </c>
      <c r="F92" s="203">
        <f>IF(AND('A-8'!F353="-",'A-3'!E45="-",'A-3'!E92="-"),"-",SUM('A-8'!F353,'A-3'!E45,'A-3'!E92))</f>
        <v>21</v>
      </c>
      <c r="G92" s="203" t="str">
        <f>IF(AND('A-8'!G353="-",'A-3'!F45="-",'A-3'!F92="-"),"-",SUM('A-8'!G353,'A-3'!F45,'A-3'!F92))</f>
        <v>-</v>
      </c>
      <c r="H92" s="203">
        <f>IF(AND('A-8'!H353="-",'A-3'!G45="-",'A-3'!G92="-"),"-",SUM('A-8'!H353,'A-3'!G45,'A-3'!G92))</f>
        <v>196</v>
      </c>
      <c r="I92" s="203">
        <f>IF(AND('A-8'!I353="-",'A-3'!H45="-",'A-3'!H92="-"),"-",SUM('A-8'!I353,'A-3'!H45,'A-3'!H92))</f>
        <v>152</v>
      </c>
      <c r="J92" s="203" t="str">
        <f>IF('A-8'!J353="-","-",('A-8'!J353))</f>
        <v>-</v>
      </c>
      <c r="K92" s="203" t="str">
        <f>IF('A-8'!K353="-","-",('A-8'!K353))</f>
        <v>-</v>
      </c>
      <c r="L92" s="203">
        <f>IF(AND('A-8'!L353="-",'A-3'!I45="-",'A-3'!I92="-"),"-",SUM('A-8'!L353,'A-3'!I45,'A-3'!I92))</f>
        <v>594</v>
      </c>
      <c r="M92" s="9"/>
      <c r="N92" s="203" t="s">
        <v>29</v>
      </c>
      <c r="O92" s="203" t="s">
        <v>29</v>
      </c>
      <c r="P92" s="203" t="s">
        <v>29</v>
      </c>
      <c r="Q92" s="203" t="s">
        <v>29</v>
      </c>
      <c r="R92" s="203" t="s">
        <v>29</v>
      </c>
      <c r="S92" s="203" t="s">
        <v>29</v>
      </c>
      <c r="T92" s="203" t="s">
        <v>29</v>
      </c>
      <c r="U92" s="203" t="s">
        <v>29</v>
      </c>
      <c r="V92" s="203" t="s">
        <v>29</v>
      </c>
      <c r="W92" s="203" t="s">
        <v>29</v>
      </c>
      <c r="X92" s="203" t="s">
        <v>29</v>
      </c>
    </row>
    <row r="93" spans="1:24" ht="11.25" customHeight="1" x14ac:dyDescent="0.25">
      <c r="A93" s="402">
        <v>2017</v>
      </c>
      <c r="B93" s="203" t="str">
        <f>IF('A-8'!B354="-","-",('A-8'!B354))</f>
        <v>-</v>
      </c>
      <c r="C93" s="203" t="str">
        <f>IF(AND('A-8'!C354="-",'A-3'!B46="-",'A-3'!B93="-"),"-",SUM('A-8'!C354,'A-3'!B46,'A-3'!B93))</f>
        <v>-</v>
      </c>
      <c r="D93" s="203" t="str">
        <f>IF(AND('A-8'!D354="-",'A-3'!C46="-",'A-3'!C93="-"),"-",SUM('A-8'!D354,'A-3'!C46,'A-3'!C93))</f>
        <v>-</v>
      </c>
      <c r="E93" s="203" t="str">
        <f>IF(AND('A-8'!E354="-",'A-3'!D46="-",'A-3'!D93="-"),"-",SUM('A-8'!E354,'A-3'!D46,'A-3'!D93))</f>
        <v>-</v>
      </c>
      <c r="F93" s="203" t="str">
        <f>IF(AND('A-8'!F354="-",'A-3'!E46="-",'A-3'!E93="-"),"-",SUM('A-8'!F354,'A-3'!E46,'A-3'!E93))</f>
        <v>-</v>
      </c>
      <c r="G93" s="203" t="str">
        <f>IF(AND('A-8'!G354="-",'A-3'!F46="-",'A-3'!F93="-"),"-",SUM('A-8'!G354,'A-3'!F46,'A-3'!F93))</f>
        <v>-</v>
      </c>
      <c r="H93" s="203" t="str">
        <f>IF(AND('A-8'!H354="-",'A-3'!G46="-",'A-3'!G93="-"),"-",SUM('A-8'!H354,'A-3'!G46,'A-3'!G93))</f>
        <v>-</v>
      </c>
      <c r="I93" s="203">
        <f>IF(AND('A-8'!I354="-",'A-3'!H46="-",'A-3'!H93="-"),"-",SUM('A-8'!I354,'A-3'!H46,'A-3'!H93))</f>
        <v>329</v>
      </c>
      <c r="J93" s="203" t="str">
        <f>IF('A-8'!J354="-","-",('A-8'!J354))</f>
        <v>-</v>
      </c>
      <c r="K93" s="203" t="str">
        <f>IF('A-8'!K354="-","-",('A-8'!K354))</f>
        <v>-</v>
      </c>
      <c r="L93" s="203">
        <f>IF(AND('A-8'!L354="-",'A-3'!I46="-",'A-3'!I93="-"),"-",SUM('A-8'!L354,'A-3'!I46,'A-3'!I93))</f>
        <v>329</v>
      </c>
      <c r="M93" s="9"/>
      <c r="N93" s="203" t="s">
        <v>29</v>
      </c>
      <c r="O93" s="203" t="s">
        <v>29</v>
      </c>
      <c r="P93" s="203" t="s">
        <v>29</v>
      </c>
      <c r="Q93" s="203" t="s">
        <v>29</v>
      </c>
      <c r="R93" s="203" t="s">
        <v>29</v>
      </c>
      <c r="S93" s="203" t="s">
        <v>29</v>
      </c>
      <c r="T93" s="203" t="s">
        <v>29</v>
      </c>
      <c r="U93" s="203" t="s">
        <v>29</v>
      </c>
      <c r="V93" s="203" t="s">
        <v>29</v>
      </c>
      <c r="W93" s="203" t="s">
        <v>29</v>
      </c>
      <c r="X93" s="203" t="s">
        <v>29</v>
      </c>
    </row>
    <row r="94" spans="1:24" s="358" customFormat="1" ht="11.25" customHeight="1" x14ac:dyDescent="0.25">
      <c r="A94" s="402">
        <v>2018</v>
      </c>
      <c r="B94" s="203" t="str">
        <f>IF('A-8'!B355="-","-",('A-8'!B355))</f>
        <v>-</v>
      </c>
      <c r="C94" s="203" t="str">
        <f>IF(AND('A-8'!C355="-",'A-3'!B47="-",'A-3'!B94="-"),"-",SUM('A-8'!C355,'A-3'!B47,'A-3'!B94))</f>
        <v>-</v>
      </c>
      <c r="D94" s="203">
        <f>IF(AND('A-8'!D355="-",'A-3'!C47="-",'A-3'!C94="-"),"-",SUM('A-8'!D355,'A-3'!C47,'A-3'!C94))</f>
        <v>1209</v>
      </c>
      <c r="E94" s="203">
        <f>IF(AND('A-8'!E355="-",'A-3'!D47="-",'A-3'!D94="-"),"-",SUM('A-8'!E355,'A-3'!D47,'A-3'!D94))</f>
        <v>4006</v>
      </c>
      <c r="F94" s="203">
        <f>IF(AND('A-8'!F355="-",'A-3'!E47="-",'A-3'!E94="-"),"-",SUM('A-8'!F355,'A-3'!E47,'A-3'!E94))</f>
        <v>2988</v>
      </c>
      <c r="G94" s="203">
        <f>IF(AND('A-8'!G355="-",'A-3'!F47="-",'A-3'!F94="-"),"-",SUM('A-8'!G355,'A-3'!F47,'A-3'!F94))</f>
        <v>4391</v>
      </c>
      <c r="H94" s="203" t="str">
        <f>IF(AND('A-8'!H355="-",'A-3'!G47="-",'A-3'!G94="-"),"-",SUM('A-8'!H355,'A-3'!G47,'A-3'!G94))</f>
        <v>-</v>
      </c>
      <c r="I94" s="203">
        <f>IF(AND('A-8'!I355="-",'A-3'!H47="-",'A-3'!H94="-"),"-",SUM('A-8'!I355,'A-3'!H47,'A-3'!H94))</f>
        <v>316</v>
      </c>
      <c r="J94" s="203" t="str">
        <f>IF('A-8'!J355="-","-",('A-8'!J355))</f>
        <v>-</v>
      </c>
      <c r="K94" s="203" t="str">
        <f>IF('A-8'!K355="-","-",('A-8'!K355))</f>
        <v>-</v>
      </c>
      <c r="L94" s="203">
        <f>IF(AND('A-8'!L355="-",'A-3'!I47="-",'A-3'!I94="-"),"-",SUM('A-8'!L355,'A-3'!I47,'A-3'!I94))</f>
        <v>12910</v>
      </c>
      <c r="M94" s="9"/>
      <c r="N94" s="203" t="s">
        <v>29</v>
      </c>
      <c r="O94" s="203" t="s">
        <v>29</v>
      </c>
      <c r="P94" s="203" t="s">
        <v>29</v>
      </c>
      <c r="Q94" s="203" t="s">
        <v>29</v>
      </c>
      <c r="R94" s="203" t="s">
        <v>29</v>
      </c>
      <c r="S94" s="203" t="s">
        <v>29</v>
      </c>
      <c r="T94" s="203" t="s">
        <v>29</v>
      </c>
      <c r="U94" s="203" t="s">
        <v>29</v>
      </c>
      <c r="V94" s="203" t="s">
        <v>29</v>
      </c>
      <c r="W94" s="203" t="s">
        <v>29</v>
      </c>
      <c r="X94" s="203" t="s">
        <v>29</v>
      </c>
    </row>
    <row r="95" spans="1:24" s="358" customFormat="1" ht="11.25" customHeight="1" x14ac:dyDescent="0.25">
      <c r="A95" s="498" t="s">
        <v>403</v>
      </c>
      <c r="B95" s="203" t="str">
        <f>IF('A-8'!B356="-","-",('A-8'!B356))</f>
        <v>-</v>
      </c>
      <c r="C95" s="203">
        <f>IF(AND('A-8'!C356="-",'A-3'!B48="-",'A-3'!B95="-"),"-",SUM('A-8'!C356,'A-3'!B48,'A-3'!B95))</f>
        <v>12</v>
      </c>
      <c r="D95" s="203">
        <f>IF(AND('A-8'!D356="-",'A-3'!C48="-",'A-3'!C95="-"),"-",SUM('A-8'!D356,'A-3'!C48,'A-3'!C95))</f>
        <v>16</v>
      </c>
      <c r="E95" s="203">
        <f>IF(AND('A-8'!E356="-",'A-3'!D48="-",'A-3'!D95="-"),"-",SUM('A-8'!E356,'A-3'!D48,'A-3'!D95))</f>
        <v>799</v>
      </c>
      <c r="F95" s="203">
        <f>IF(AND('A-8'!F356="-",'A-3'!E48="-",'A-3'!E95="-"),"-",SUM('A-8'!F356,'A-3'!E48,'A-3'!E95))</f>
        <v>1945</v>
      </c>
      <c r="G95" s="203">
        <f>IF(AND('A-8'!G356="-",'A-3'!F48="-",'A-3'!F95="-"),"-",SUM('A-8'!G356,'A-3'!F48,'A-3'!F95))</f>
        <v>4957</v>
      </c>
      <c r="H95" s="203" t="str">
        <f>IF(AND('A-8'!H356="-",'A-3'!G48="-",'A-3'!G95="-"),"-",SUM('A-8'!H356,'A-3'!G48,'A-3'!G95))</f>
        <v>-</v>
      </c>
      <c r="I95" s="203" t="str">
        <f>IF(AND('A-8'!I356="-",'A-3'!H48="-",'A-3'!H95="-"),"-",SUM('A-8'!I356,'A-3'!H48,'A-3'!H95))</f>
        <v>-</v>
      </c>
      <c r="J95" s="203" t="str">
        <f>IF('A-8'!J356="-","-",('A-8'!J356))</f>
        <v>-</v>
      </c>
      <c r="K95" s="203" t="str">
        <f>IF('A-8'!K356="-","-",('A-8'!K356))</f>
        <v>-</v>
      </c>
      <c r="L95" s="203">
        <f>IF(AND('A-8'!L356="-",'A-3'!I48="-",'A-3'!I95="-"),"-",SUM('A-8'!L356,'A-3'!I48,'A-3'!I95))</f>
        <v>7729</v>
      </c>
      <c r="M95" s="9"/>
      <c r="N95" s="203" t="s">
        <v>29</v>
      </c>
      <c r="O95" s="203" t="s">
        <v>29</v>
      </c>
      <c r="P95" s="203" t="s">
        <v>29</v>
      </c>
      <c r="Q95" s="203" t="s">
        <v>29</v>
      </c>
      <c r="R95" s="203" t="s">
        <v>29</v>
      </c>
      <c r="S95" s="203" t="s">
        <v>29</v>
      </c>
      <c r="T95" s="203" t="s">
        <v>29</v>
      </c>
      <c r="U95" s="203" t="s">
        <v>29</v>
      </c>
      <c r="V95" s="203" t="s">
        <v>29</v>
      </c>
      <c r="W95" s="203" t="s">
        <v>29</v>
      </c>
      <c r="X95" s="203" t="s">
        <v>29</v>
      </c>
    </row>
    <row r="96" spans="1:24" ht="11.25" customHeight="1" x14ac:dyDescent="0.25">
      <c r="A96" s="498" t="s">
        <v>393</v>
      </c>
      <c r="B96" s="200" t="str">
        <f>IF('A-8'!B357="-","-",('A-8'!B357))</f>
        <v>-</v>
      </c>
      <c r="C96" s="200">
        <f>IF(AND('A-8'!C357="-",'A-3'!B49="-",'A-3'!B96="-"),"-",SUM('A-8'!C357,'A-3'!B49,'A-3'!B96))</f>
        <v>1</v>
      </c>
      <c r="D96" s="200">
        <f>IF(AND('A-8'!D357="-",'A-3'!C49="-",'A-3'!C96="-"),"-",SUM('A-8'!D357,'A-3'!C49,'A-3'!C96))</f>
        <v>5</v>
      </c>
      <c r="E96" s="200">
        <f>IF(AND('A-8'!E357="-",'A-3'!D49="-",'A-3'!D96="-"),"-",SUM('A-8'!E357,'A-3'!D49,'A-3'!D96))</f>
        <v>168</v>
      </c>
      <c r="F96" s="200">
        <f>IF(AND('A-8'!F357="-",'A-3'!E49="-",'A-3'!E96="-"),"-",SUM('A-8'!F357,'A-3'!E49,'A-3'!E96))</f>
        <v>651</v>
      </c>
      <c r="G96" s="200" t="str">
        <f>IF(AND('A-8'!G357="-",'A-3'!F49="-",'A-3'!F96="-"),"-",SUM('A-8'!G357,'A-3'!F49,'A-3'!F96))</f>
        <v>-</v>
      </c>
      <c r="H96" s="200" t="str">
        <f>IF(AND('A-8'!H357="-",'A-3'!G49="-",'A-3'!G96="-"),"-",SUM('A-8'!H357,'A-3'!G49,'A-3'!G96))</f>
        <v>-</v>
      </c>
      <c r="I96" s="200" t="str">
        <f>IF(AND('A-8'!I357="-",'A-3'!H49="-",'A-3'!H96="-"),"-",SUM('A-8'!I357,'A-3'!H49,'A-3'!H96))</f>
        <v>-</v>
      </c>
      <c r="J96" s="200" t="str">
        <f>IF('A-8'!J357="-","-",('A-8'!J357))</f>
        <v>-</v>
      </c>
      <c r="K96" s="200" t="str">
        <f>IF('A-8'!K357="-","-",('A-8'!K357))</f>
        <v>-</v>
      </c>
      <c r="L96" s="200">
        <f>IF(AND('A-8'!L357="-",'A-3'!I49="-",'A-3'!I96="-"),"-",SUM('A-8'!L357,'A-3'!I49,'A-3'!I96))</f>
        <v>825</v>
      </c>
      <c r="M96" s="8"/>
      <c r="N96" s="200" t="s">
        <v>29</v>
      </c>
      <c r="O96" s="200" t="s">
        <v>29</v>
      </c>
      <c r="P96" s="200" t="s">
        <v>29</v>
      </c>
      <c r="Q96" s="200" t="s">
        <v>29</v>
      </c>
      <c r="R96" s="200" t="s">
        <v>29</v>
      </c>
      <c r="S96" s="200" t="s">
        <v>29</v>
      </c>
      <c r="T96" s="200" t="s">
        <v>29</v>
      </c>
      <c r="U96" s="200" t="s">
        <v>29</v>
      </c>
      <c r="V96" s="200" t="s">
        <v>29</v>
      </c>
      <c r="W96" s="200" t="s">
        <v>29</v>
      </c>
      <c r="X96" s="200" t="s">
        <v>29</v>
      </c>
    </row>
    <row r="97" spans="1:24" ht="11.25" customHeight="1" x14ac:dyDescent="0.25">
      <c r="A97" s="383"/>
      <c r="M97" s="8"/>
    </row>
    <row r="98" spans="1:24" ht="11.25" customHeight="1" x14ac:dyDescent="0.25">
      <c r="A98" s="116" t="s">
        <v>85</v>
      </c>
      <c r="M98" s="8"/>
    </row>
    <row r="99" spans="1:24" ht="11.25" customHeight="1" x14ac:dyDescent="0.25">
      <c r="A99" s="383">
        <v>1976</v>
      </c>
      <c r="B99" s="200" t="s">
        <v>29</v>
      </c>
      <c r="C99" s="200">
        <f>IF(AND('A-3'!B99="-",'A-3'!B146="-",'A-3'!B193="-"),"-",SUM('A-3'!B99,'A-3'!B146,'A-3'!B193))</f>
        <v>54031</v>
      </c>
      <c r="D99" s="200">
        <f>IF(AND('A-3'!C99="-",'A-3'!C146="-",'A-3'!C193="-"),"-",SUM('A-3'!C99,'A-3'!C146,'A-3'!C193))</f>
        <v>86207</v>
      </c>
      <c r="E99" s="200">
        <f>IF(AND('A-3'!D99="-",'A-3'!D146="-",'A-3'!D193="-"),"-",SUM('A-3'!D99,'A-3'!D146,'A-3'!D193))</f>
        <v>81508</v>
      </c>
      <c r="F99" s="200">
        <f>IF(AND('A-3'!E99="-",'A-3'!E146="-",'A-3'!E193="-"),"-",SUM('A-3'!E99,'A-3'!E146,'A-3'!E193))</f>
        <v>80514</v>
      </c>
      <c r="G99" s="200">
        <f>IF(AND('A-3'!F99="-",'A-3'!F146="-",'A-3'!F193="-"),"-",SUM('A-3'!F99,'A-3'!F146,'A-3'!F193))</f>
        <v>32372</v>
      </c>
      <c r="H99" s="200">
        <f>IF(AND('A-3'!G99="-",'A-3'!G146="-",'A-3'!G193="-"),"-",SUM('A-3'!G99,'A-3'!G146,'A-3'!G193))</f>
        <v>18908</v>
      </c>
      <c r="I99" s="200" t="str">
        <f>IF(AND('A-3'!H99="-",'A-3'!H146="-",'A-3'!H193="-"),"-",SUM('A-3'!H99,'A-3'!H146,'A-3'!H193))</f>
        <v>-</v>
      </c>
      <c r="J99" s="200" t="s">
        <v>29</v>
      </c>
      <c r="K99" s="200" t="s">
        <v>29</v>
      </c>
      <c r="L99" s="200">
        <f>IF(AND('A-3'!I99="-",'A-3'!I146="-",'A-3'!I193="-"),"-",SUM('A-3'!I99,'A-3'!I146,'A-3'!I193))</f>
        <v>353540</v>
      </c>
      <c r="M99" s="8"/>
      <c r="N99" s="200" t="s">
        <v>29</v>
      </c>
      <c r="O99" s="200">
        <f>SUM('A-3'!K99,'A-3'!K146,'A-3'!K193)</f>
        <v>0</v>
      </c>
      <c r="P99" s="200">
        <f>SUM('A-3'!L99,'A-3'!L146,'A-3'!L193)</f>
        <v>62976</v>
      </c>
      <c r="Q99" s="200">
        <f>SUM('A-3'!M99,'A-3'!M146,'A-3'!M193)</f>
        <v>162868</v>
      </c>
      <c r="R99" s="200">
        <f>SUM('A-3'!N99,'A-3'!N146,'A-3'!N193)</f>
        <v>47074</v>
      </c>
      <c r="S99" s="200">
        <f>SUM('A-3'!O99,'A-3'!O146,'A-3'!O193)</f>
        <v>9830</v>
      </c>
      <c r="T99" s="200">
        <f>SUM('A-3'!P99,'A-3'!P146,'A-3'!P193)</f>
        <v>1141</v>
      </c>
      <c r="U99" s="200" t="s">
        <v>29</v>
      </c>
      <c r="V99" s="198" t="s">
        <v>29</v>
      </c>
      <c r="W99" s="200" t="s">
        <v>29</v>
      </c>
      <c r="X99" s="200">
        <f t="shared" ref="X99:X115" si="2">SUM(N99:W99)</f>
        <v>283889</v>
      </c>
    </row>
    <row r="100" spans="1:24" ht="11.25" customHeight="1" x14ac:dyDescent="0.25">
      <c r="A100" s="383">
        <v>1977</v>
      </c>
      <c r="B100" s="200" t="s">
        <v>29</v>
      </c>
      <c r="C100" s="200">
        <f>IF(AND('A-3'!B100="-",'A-3'!B147="-",'A-3'!B194="-"),"-",SUM('A-3'!B100,'A-3'!B147,'A-3'!B194))</f>
        <v>59973</v>
      </c>
      <c r="D100" s="200">
        <f>IF(AND('A-3'!C100="-",'A-3'!C147="-",'A-3'!C194="-"),"-",SUM('A-3'!C100,'A-3'!C147,'A-3'!C194))</f>
        <v>100695</v>
      </c>
      <c r="E100" s="200">
        <f>IF(AND('A-3'!D100="-",'A-3'!D147="-",'A-3'!D194="-"),"-",SUM('A-3'!D100,'A-3'!D147,'A-3'!D194))</f>
        <v>63249</v>
      </c>
      <c r="F100" s="200">
        <f>IF(AND('A-3'!E100="-",'A-3'!E147="-",'A-3'!E194="-"),"-",SUM('A-3'!E100,'A-3'!E147,'A-3'!E194))</f>
        <v>90788</v>
      </c>
      <c r="G100" s="200">
        <f>IF(AND('A-3'!F100="-",'A-3'!F147="-",'A-3'!F194="-"),"-",SUM('A-3'!F100,'A-3'!F147,'A-3'!F194))</f>
        <v>62062</v>
      </c>
      <c r="H100" s="200">
        <f>IF(AND('A-3'!G100="-",'A-3'!G147="-",'A-3'!G194="-"),"-",SUM('A-3'!G100,'A-3'!G147,'A-3'!G194))</f>
        <v>25958</v>
      </c>
      <c r="I100" s="200" t="str">
        <f>IF(AND('A-3'!H100="-",'A-3'!H147="-",'A-3'!H194="-"),"-",SUM('A-3'!H100,'A-3'!H147,'A-3'!H194))</f>
        <v>-</v>
      </c>
      <c r="J100" s="200" t="s">
        <v>29</v>
      </c>
      <c r="K100" s="200" t="s">
        <v>29</v>
      </c>
      <c r="L100" s="200">
        <f>IF(AND('A-3'!I100="-",'A-3'!I147="-",'A-3'!I194="-"),"-",SUM('A-3'!I100,'A-3'!I147,'A-3'!I194))</f>
        <v>402725</v>
      </c>
      <c r="M100" s="8"/>
      <c r="N100" s="200" t="s">
        <v>29</v>
      </c>
      <c r="O100" s="200">
        <f>SUM('A-3'!K100,'A-3'!K147,'A-3'!K194)</f>
        <v>0</v>
      </c>
      <c r="P100" s="200">
        <f>SUM('A-3'!L100,'A-3'!L147,'A-3'!L194)</f>
        <v>1032</v>
      </c>
      <c r="Q100" s="200">
        <f>SUM('A-3'!M100,'A-3'!M147,'A-3'!M194)</f>
        <v>3949</v>
      </c>
      <c r="R100" s="200">
        <f>SUM('A-3'!N100,'A-3'!N147,'A-3'!N194)</f>
        <v>1246</v>
      </c>
      <c r="S100" s="200">
        <f>SUM('A-3'!O100,'A-3'!O147,'A-3'!O194)</f>
        <v>881</v>
      </c>
      <c r="T100" s="200">
        <f>SUM('A-3'!P100,'A-3'!P147,'A-3'!P194)</f>
        <v>59</v>
      </c>
      <c r="U100" s="200">
        <f>SUM('A-3'!Q100,'A-3'!Q147,'A-3'!Q194)</f>
        <v>0</v>
      </c>
      <c r="V100" s="198" t="s">
        <v>29</v>
      </c>
      <c r="W100" s="200" t="s">
        <v>29</v>
      </c>
      <c r="X100" s="200">
        <f t="shared" si="2"/>
        <v>7167</v>
      </c>
    </row>
    <row r="101" spans="1:24" ht="11.25" customHeight="1" x14ac:dyDescent="0.25">
      <c r="A101" s="383">
        <v>1978</v>
      </c>
      <c r="B101" s="200" t="s">
        <v>29</v>
      </c>
      <c r="C101" s="200">
        <f>IF(AND('A-3'!B101="-",'A-3'!B148="-",'A-3'!B195="-"),"-",SUM('A-3'!B101,'A-3'!B148,'A-3'!B195))</f>
        <v>22735</v>
      </c>
      <c r="D101" s="200">
        <f>IF(AND('A-3'!C101="-",'A-3'!C148="-",'A-3'!C195="-"),"-",SUM('A-3'!C101,'A-3'!C148,'A-3'!C195))</f>
        <v>118026</v>
      </c>
      <c r="E101" s="200">
        <f>IF(AND('A-3'!D101="-",'A-3'!D148="-",'A-3'!D195="-"),"-",SUM('A-3'!D101,'A-3'!D148,'A-3'!D195))</f>
        <v>142906</v>
      </c>
      <c r="F101" s="200">
        <f>IF(AND('A-3'!E101="-",'A-3'!E148="-",'A-3'!E195="-"),"-",SUM('A-3'!E101,'A-3'!E148,'A-3'!E195))</f>
        <v>89046</v>
      </c>
      <c r="G101" s="200">
        <f>IF(AND('A-3'!F101="-",'A-3'!F148="-",'A-3'!F195="-"),"-",SUM('A-3'!F101,'A-3'!F148,'A-3'!F195))</f>
        <v>31012</v>
      </c>
      <c r="H101" s="200">
        <f>IF(AND('A-3'!G101="-",'A-3'!G148="-",'A-3'!G195="-"),"-",SUM('A-3'!G101,'A-3'!G148,'A-3'!G195))</f>
        <v>19129</v>
      </c>
      <c r="I101" s="200" t="str">
        <f>IF(AND('A-3'!H101="-",'A-3'!H148="-",'A-3'!H195="-"),"-",SUM('A-3'!H101,'A-3'!H148,'A-3'!H195))</f>
        <v>-</v>
      </c>
      <c r="J101" s="200" t="s">
        <v>29</v>
      </c>
      <c r="K101" s="200" t="s">
        <v>29</v>
      </c>
      <c r="L101" s="200">
        <f>IF(AND('A-3'!I101="-",'A-3'!I148="-",'A-3'!I195="-"),"-",SUM('A-3'!I101,'A-3'!I148,'A-3'!I195))</f>
        <v>422854</v>
      </c>
      <c r="M101" s="8"/>
      <c r="N101" s="200" t="s">
        <v>29</v>
      </c>
      <c r="O101" s="200">
        <f>SUM('A-3'!K101,'A-3'!K148,'A-3'!K195)</f>
        <v>51</v>
      </c>
      <c r="P101" s="200">
        <f>SUM('A-3'!L101,'A-3'!L148,'A-3'!L195)</f>
        <v>4015</v>
      </c>
      <c r="Q101" s="200">
        <f>SUM('A-3'!M101,'A-3'!M148,'A-3'!M195)</f>
        <v>37739</v>
      </c>
      <c r="R101" s="200">
        <f>SUM('A-3'!N101,'A-3'!N148,'A-3'!N195)</f>
        <v>15302</v>
      </c>
      <c r="S101" s="200">
        <f>SUM('A-3'!O101,'A-3'!O148,'A-3'!O195)</f>
        <v>1681</v>
      </c>
      <c r="T101" s="200">
        <f>SUM('A-3'!P101,'A-3'!P148,'A-3'!P195)</f>
        <v>370</v>
      </c>
      <c r="U101" s="200">
        <f>SUM('A-3'!Q101,'A-3'!Q148,'A-3'!Q195)</f>
        <v>0</v>
      </c>
      <c r="V101" s="198" t="s">
        <v>29</v>
      </c>
      <c r="W101" s="200" t="s">
        <v>29</v>
      </c>
      <c r="X101" s="200">
        <f t="shared" si="2"/>
        <v>59158</v>
      </c>
    </row>
    <row r="102" spans="1:24" ht="11.25" customHeight="1" x14ac:dyDescent="0.25">
      <c r="A102" s="383">
        <v>1979</v>
      </c>
      <c r="B102" s="200" t="s">
        <v>29</v>
      </c>
      <c r="C102" s="200">
        <f>IF(AND('A-3'!B102="-",'A-3'!B149="-",'A-3'!B196="-"),"-",SUM('A-3'!B102,'A-3'!B149,'A-3'!B196))</f>
        <v>38</v>
      </c>
      <c r="D102" s="200">
        <f>IF(AND('A-3'!C102="-",'A-3'!C149="-",'A-3'!C196="-"),"-",SUM('A-3'!C102,'A-3'!C149,'A-3'!C196))</f>
        <v>107286</v>
      </c>
      <c r="E102" s="200">
        <f>IF(AND('A-3'!D102="-",'A-3'!D149="-",'A-3'!D196="-"),"-",SUM('A-3'!D102,'A-3'!D149,'A-3'!D196))</f>
        <v>61047</v>
      </c>
      <c r="F102" s="200">
        <f>IF(AND('A-3'!E102="-",'A-3'!E149="-",'A-3'!E196="-"),"-",SUM('A-3'!E102,'A-3'!E149,'A-3'!E196))</f>
        <v>149849</v>
      </c>
      <c r="G102" s="200">
        <f>IF(AND('A-3'!F102="-",'A-3'!F149="-",'A-3'!F196="-"),"-",SUM('A-3'!F102,'A-3'!F149,'A-3'!F196))</f>
        <v>77455</v>
      </c>
      <c r="H102" s="200">
        <f>IF(AND('A-3'!G102="-",'A-3'!G149="-",'A-3'!G196="-"),"-",SUM('A-3'!G102,'A-3'!G149,'A-3'!G196))</f>
        <v>40939</v>
      </c>
      <c r="I102" s="200" t="str">
        <f>IF(AND('A-3'!H102="-",'A-3'!H149="-",'A-3'!H196="-"),"-",SUM('A-3'!H102,'A-3'!H149,'A-3'!H196))</f>
        <v>-</v>
      </c>
      <c r="J102" s="200" t="s">
        <v>29</v>
      </c>
      <c r="K102" s="200" t="s">
        <v>29</v>
      </c>
      <c r="L102" s="200">
        <f>IF(AND('A-3'!I102="-",'A-3'!I149="-",'A-3'!I196="-"),"-",SUM('A-3'!I102,'A-3'!I149,'A-3'!I196))</f>
        <v>436614</v>
      </c>
      <c r="M102" s="8"/>
      <c r="N102" s="200" t="s">
        <v>29</v>
      </c>
      <c r="O102" s="200">
        <f>SUM('A-3'!K102,'A-3'!K149,'A-3'!K196)</f>
        <v>12</v>
      </c>
      <c r="P102" s="200">
        <f>SUM('A-3'!L102,'A-3'!L149,'A-3'!L196)</f>
        <v>1503</v>
      </c>
      <c r="Q102" s="200">
        <f>SUM('A-3'!M102,'A-3'!M149,'A-3'!M196)</f>
        <v>8013</v>
      </c>
      <c r="R102" s="200">
        <f>SUM('A-3'!N102,'A-3'!N149,'A-3'!N196)</f>
        <v>25865</v>
      </c>
      <c r="S102" s="200">
        <f>SUM('A-3'!O102,'A-3'!O149,'A-3'!O196)</f>
        <v>6432</v>
      </c>
      <c r="T102" s="200">
        <f>SUM('A-3'!P102,'A-3'!P149,'A-3'!P196)</f>
        <v>411</v>
      </c>
      <c r="U102" s="200">
        <f>SUM('A-3'!Q102,'A-3'!Q149,'A-3'!Q196)</f>
        <v>0</v>
      </c>
      <c r="V102" s="198" t="s">
        <v>29</v>
      </c>
      <c r="W102" s="200" t="s">
        <v>29</v>
      </c>
      <c r="X102" s="200">
        <f t="shared" si="2"/>
        <v>42236</v>
      </c>
    </row>
    <row r="103" spans="1:24" ht="11.25" customHeight="1" x14ac:dyDescent="0.25">
      <c r="A103" s="383">
        <v>1980</v>
      </c>
      <c r="B103" s="200" t="s">
        <v>29</v>
      </c>
      <c r="C103" s="200" t="str">
        <f>IF(AND('A-3'!B103="-",'A-3'!B150="-",'A-3'!B197="-"),"-",SUM('A-3'!B103,'A-3'!B150,'A-3'!B197))</f>
        <v>-</v>
      </c>
      <c r="D103" s="200">
        <f>IF(AND('A-3'!C103="-",'A-3'!C150="-",'A-3'!C197="-"),"-",SUM('A-3'!C103,'A-3'!C150,'A-3'!C197))</f>
        <v>127872</v>
      </c>
      <c r="E103" s="200" t="str">
        <f>IF(AND('A-3'!D103="-",'A-3'!D150="-",'A-3'!D197="-"),"-",SUM('A-3'!D103,'A-3'!D150,'A-3'!D197))</f>
        <v>-</v>
      </c>
      <c r="F103" s="200">
        <f>IF(AND('A-3'!E103="-",'A-3'!E150="-",'A-3'!E197="-"),"-",SUM('A-3'!E103,'A-3'!E150,'A-3'!E197))</f>
        <v>232273</v>
      </c>
      <c r="G103" s="200">
        <f>IF(AND('A-3'!F103="-",'A-3'!F150="-",'A-3'!F197="-"),"-",SUM('A-3'!F103,'A-3'!F150,'A-3'!F197))</f>
        <v>38840</v>
      </c>
      <c r="H103" s="200">
        <f>IF(AND('A-3'!G103="-",'A-3'!G150="-",'A-3'!G197="-"),"-",SUM('A-3'!G103,'A-3'!G150,'A-3'!G197))</f>
        <v>25760</v>
      </c>
      <c r="I103" s="200" t="str">
        <f>IF(AND('A-3'!H103="-",'A-3'!H150="-",'A-3'!H197="-"),"-",SUM('A-3'!H103,'A-3'!H150,'A-3'!H197))</f>
        <v>-</v>
      </c>
      <c r="J103" s="200" t="s">
        <v>29</v>
      </c>
      <c r="K103" s="200" t="s">
        <v>29</v>
      </c>
      <c r="L103" s="200">
        <f>IF(AND('A-3'!I103="-",'A-3'!I150="-",'A-3'!I197="-"),"-",SUM('A-3'!I103,'A-3'!I150,'A-3'!I197))</f>
        <v>424745</v>
      </c>
      <c r="M103" s="8"/>
      <c r="N103" s="200" t="s">
        <v>29</v>
      </c>
      <c r="O103" s="200">
        <f>SUM('A-3'!K103,'A-3'!K150,'A-3'!K197)</f>
        <v>0</v>
      </c>
      <c r="P103" s="200">
        <f>SUM('A-3'!L103,'A-3'!L150,'A-3'!L197)</f>
        <v>413</v>
      </c>
      <c r="Q103" s="200">
        <f>SUM('A-3'!M103,'A-3'!M150,'A-3'!M197)</f>
        <v>0</v>
      </c>
      <c r="R103" s="200">
        <f>SUM('A-3'!N103,'A-3'!N150,'A-3'!N197)</f>
        <v>9835</v>
      </c>
      <c r="S103" s="200">
        <f>SUM('A-3'!O103,'A-3'!O150,'A-3'!O197)</f>
        <v>2709</v>
      </c>
      <c r="T103" s="200">
        <f>SUM('A-3'!P103,'A-3'!P150,'A-3'!P197)</f>
        <v>718</v>
      </c>
      <c r="U103" s="200">
        <f>SUM('A-3'!Q103,'A-3'!Q150,'A-3'!Q197)</f>
        <v>0</v>
      </c>
      <c r="V103" s="198" t="s">
        <v>29</v>
      </c>
      <c r="W103" s="200" t="s">
        <v>29</v>
      </c>
      <c r="X103" s="200">
        <f t="shared" si="2"/>
        <v>13675</v>
      </c>
    </row>
    <row r="104" spans="1:24" ht="11.25" customHeight="1" x14ac:dyDescent="0.25">
      <c r="A104" s="383">
        <v>1981</v>
      </c>
      <c r="B104" s="200" t="s">
        <v>29</v>
      </c>
      <c r="C104" s="200" t="str">
        <f>IF(AND('A-3'!B104="-",'A-3'!B151="-",'A-3'!B198="-"),"-",SUM('A-3'!B104,'A-3'!B151,'A-3'!B198))</f>
        <v>-</v>
      </c>
      <c r="D104" s="200">
        <f>IF(AND('A-3'!C104="-",'A-3'!C151="-",'A-3'!C198="-"),"-",SUM('A-3'!C104,'A-3'!C151,'A-3'!C198))</f>
        <v>125875</v>
      </c>
      <c r="E104" s="200">
        <f>IF(AND('A-3'!D104="-",'A-3'!D151="-",'A-3'!D198="-"),"-",SUM('A-3'!D104,'A-3'!D151,'A-3'!D198))</f>
        <v>52237</v>
      </c>
      <c r="F104" s="200">
        <f>IF(AND('A-3'!E104="-",'A-3'!E151="-",'A-3'!E198="-"),"-",SUM('A-3'!E104,'A-3'!E151,'A-3'!E198))</f>
        <v>157779</v>
      </c>
      <c r="G104" s="200">
        <f>IF(AND('A-3'!F104="-",'A-3'!F151="-",'A-3'!F198="-"),"-",SUM('A-3'!F104,'A-3'!F151,'A-3'!F198))</f>
        <v>51646</v>
      </c>
      <c r="H104" s="200">
        <f>IF(AND('A-3'!G104="-",'A-3'!G151="-",'A-3'!G198="-"),"-",SUM('A-3'!G104,'A-3'!G151,'A-3'!G198))</f>
        <v>18992</v>
      </c>
      <c r="I104" s="200" t="str">
        <f>IF(AND('A-3'!H104="-",'A-3'!H151="-",'A-3'!H198="-"),"-",SUM('A-3'!H104,'A-3'!H151,'A-3'!H198))</f>
        <v>-</v>
      </c>
      <c r="J104" s="200" t="s">
        <v>29</v>
      </c>
      <c r="K104" s="200" t="s">
        <v>29</v>
      </c>
      <c r="L104" s="200">
        <f>IF(AND('A-3'!I104="-",'A-3'!I151="-",'A-3'!I198="-"),"-",SUM('A-3'!I104,'A-3'!I151,'A-3'!I198))</f>
        <v>406529</v>
      </c>
      <c r="M104" s="8"/>
      <c r="N104" s="200" t="s">
        <v>29</v>
      </c>
      <c r="O104" s="200">
        <f>SUM('A-3'!K104,'A-3'!K151,'A-3'!K198)</f>
        <v>0</v>
      </c>
      <c r="P104" s="200">
        <f>SUM('A-3'!L104,'A-3'!L151,'A-3'!L198)</f>
        <v>875</v>
      </c>
      <c r="Q104" s="200">
        <f>SUM('A-3'!M104,'A-3'!M151,'A-3'!M198)</f>
        <v>2546</v>
      </c>
      <c r="R104" s="200">
        <f>SUM('A-3'!N104,'A-3'!N151,'A-3'!N198)</f>
        <v>6491</v>
      </c>
      <c r="S104" s="200">
        <f>SUM('A-3'!O104,'A-3'!O151,'A-3'!O198)</f>
        <v>2432</v>
      </c>
      <c r="T104" s="200">
        <f>SUM('A-3'!P104,'A-3'!P151,'A-3'!P198)</f>
        <v>285</v>
      </c>
      <c r="U104" s="200">
        <f>SUM('A-3'!Q104,'A-3'!Q151,'A-3'!Q198)</f>
        <v>0</v>
      </c>
      <c r="V104" s="198" t="s">
        <v>29</v>
      </c>
      <c r="W104" s="200" t="s">
        <v>29</v>
      </c>
      <c r="X104" s="200">
        <f t="shared" si="2"/>
        <v>12629</v>
      </c>
    </row>
    <row r="105" spans="1:24" ht="11.25" customHeight="1" x14ac:dyDescent="0.25">
      <c r="A105" s="383">
        <v>1982</v>
      </c>
      <c r="B105" s="200" t="s">
        <v>29</v>
      </c>
      <c r="C105" s="200">
        <f>IF(AND('A-3'!B105="-",'A-3'!B152="-",'A-3'!B199="-"),"-",SUM('A-3'!B105,'A-3'!B152,'A-3'!B199))</f>
        <v>59844</v>
      </c>
      <c r="D105" s="200">
        <f>IF(AND('A-3'!C105="-",'A-3'!C152="-",'A-3'!C199="-"),"-",SUM('A-3'!C105,'A-3'!C152,'A-3'!C199))</f>
        <v>151906</v>
      </c>
      <c r="E105" s="200">
        <f>IF(AND('A-3'!D105="-",'A-3'!D152="-",'A-3'!D199="-"),"-",SUM('A-3'!D105,'A-3'!D152,'A-3'!D199))</f>
        <v>66745</v>
      </c>
      <c r="F105" s="200">
        <f>IF(AND('A-3'!E105="-",'A-3'!E152="-",'A-3'!E199="-"),"-",SUM('A-3'!E105,'A-3'!E152,'A-3'!E199))</f>
        <v>204259</v>
      </c>
      <c r="G105" s="200">
        <f>IF(AND('A-3'!F105="-",'A-3'!F152="-",'A-3'!F199="-"),"-",SUM('A-3'!F105,'A-3'!F152,'A-3'!F199))</f>
        <v>90377</v>
      </c>
      <c r="H105" s="200">
        <f>IF(AND('A-3'!G105="-",'A-3'!G152="-",'A-3'!G199="-"),"-",SUM('A-3'!G105,'A-3'!G152,'A-3'!G199))</f>
        <v>23058</v>
      </c>
      <c r="I105" s="200" t="str">
        <f>IF(AND('A-3'!H105="-",'A-3'!H152="-",'A-3'!H199="-"),"-",SUM('A-3'!H105,'A-3'!H152,'A-3'!H199))</f>
        <v>-</v>
      </c>
      <c r="J105" s="200" t="s">
        <v>29</v>
      </c>
      <c r="K105" s="200" t="s">
        <v>29</v>
      </c>
      <c r="L105" s="200">
        <f>IF(AND('A-3'!I105="-",'A-3'!I152="-",'A-3'!I199="-"),"-",SUM('A-3'!I105,'A-3'!I152,'A-3'!I199))</f>
        <v>596189</v>
      </c>
      <c r="M105" s="8"/>
      <c r="N105" s="200" t="s">
        <v>29</v>
      </c>
      <c r="O105" s="200">
        <f>SUM('A-3'!K105,'A-3'!K152,'A-3'!K199)</f>
        <v>115</v>
      </c>
      <c r="P105" s="200">
        <f>SUM('A-3'!L105,'A-3'!L152,'A-3'!L199)</f>
        <v>1260</v>
      </c>
      <c r="Q105" s="200">
        <f>SUM('A-3'!M105,'A-3'!M152,'A-3'!M199)</f>
        <v>4780</v>
      </c>
      <c r="R105" s="200">
        <f>SUM('A-3'!N105,'A-3'!N152,'A-3'!N199)</f>
        <v>26269</v>
      </c>
      <c r="S105" s="200">
        <f>SUM('A-3'!O105,'A-3'!O152,'A-3'!O199)</f>
        <v>3837</v>
      </c>
      <c r="T105" s="200">
        <f>SUM('A-3'!P105,'A-3'!P152,'A-3'!P199)</f>
        <v>562</v>
      </c>
      <c r="U105" s="200">
        <f>SUM('A-3'!Q105,'A-3'!Q152,'A-3'!Q199)</f>
        <v>0</v>
      </c>
      <c r="V105" s="198" t="s">
        <v>29</v>
      </c>
      <c r="W105" s="200" t="s">
        <v>29</v>
      </c>
      <c r="X105" s="200">
        <f t="shared" si="2"/>
        <v>36823</v>
      </c>
    </row>
    <row r="106" spans="1:24" ht="11.25" customHeight="1" x14ac:dyDescent="0.25">
      <c r="A106" s="383">
        <v>1983</v>
      </c>
      <c r="B106" s="200" t="s">
        <v>29</v>
      </c>
      <c r="C106" s="200">
        <f>IF(AND('A-3'!B106="-",'A-3'!B153="-",'A-3'!B200="-"),"-",SUM('A-3'!B106,'A-3'!B153,'A-3'!B200))</f>
        <v>2187</v>
      </c>
      <c r="D106" s="200">
        <f>IF(AND('A-3'!C106="-",'A-3'!C153="-",'A-3'!C200="-"),"-",SUM('A-3'!C106,'A-3'!C153,'A-3'!C200))</f>
        <v>81541</v>
      </c>
      <c r="E106" s="200">
        <f>IF(AND('A-3'!D106="-",'A-3'!D153="-",'A-3'!D200="-"),"-",SUM('A-3'!D106,'A-3'!D153,'A-3'!D200))</f>
        <v>51786</v>
      </c>
      <c r="F106" s="200">
        <f>IF(AND('A-3'!E106="-",'A-3'!E153="-",'A-3'!E200="-"),"-",SUM('A-3'!E106,'A-3'!E153,'A-3'!E200))</f>
        <v>73680</v>
      </c>
      <c r="G106" s="200">
        <f>IF(AND('A-3'!F106="-",'A-3'!F153="-",'A-3'!F200="-"),"-",SUM('A-3'!F106,'A-3'!F153,'A-3'!F200))</f>
        <v>21114</v>
      </c>
      <c r="H106" s="200">
        <f>IF(AND('A-3'!G106="-",'A-3'!G153="-",'A-3'!G200="-"),"-",SUM('A-3'!G106,'A-3'!G153,'A-3'!G200))</f>
        <v>3812</v>
      </c>
      <c r="I106" s="200" t="str">
        <f>IF(AND('A-3'!H106="-",'A-3'!H153="-",'A-3'!H200="-"),"-",SUM('A-3'!H106,'A-3'!H153,'A-3'!H200))</f>
        <v>-</v>
      </c>
      <c r="J106" s="200" t="s">
        <v>29</v>
      </c>
      <c r="K106" s="200" t="s">
        <v>29</v>
      </c>
      <c r="L106" s="200">
        <f>IF(AND('A-3'!I106="-",'A-3'!I153="-",'A-3'!I200="-"),"-",SUM('A-3'!I106,'A-3'!I153,'A-3'!I200))</f>
        <v>234120</v>
      </c>
      <c r="M106" s="8"/>
      <c r="N106" s="200" t="s">
        <v>29</v>
      </c>
      <c r="O106" s="200">
        <f>SUM('A-3'!K106,'A-3'!K153,'A-3'!K200)</f>
        <v>68</v>
      </c>
      <c r="P106" s="200">
        <f>SUM('A-3'!L106,'A-3'!L153,'A-3'!L200)</f>
        <v>364</v>
      </c>
      <c r="Q106" s="200">
        <f>SUM('A-3'!M106,'A-3'!M153,'A-3'!M200)</f>
        <v>7310</v>
      </c>
      <c r="R106" s="200">
        <f>SUM('A-3'!N106,'A-3'!N153,'A-3'!N200)</f>
        <v>6701</v>
      </c>
      <c r="S106" s="200">
        <f>SUM('A-3'!O106,'A-3'!O153,'A-3'!O200)</f>
        <v>2689</v>
      </c>
      <c r="T106" s="200">
        <f>SUM('A-3'!P106,'A-3'!P153,'A-3'!P200)</f>
        <v>136</v>
      </c>
      <c r="U106" s="200">
        <f>SUM('A-3'!Q106,'A-3'!Q153,'A-3'!Q200)</f>
        <v>0</v>
      </c>
      <c r="V106" s="198" t="s">
        <v>29</v>
      </c>
      <c r="W106" s="200" t="s">
        <v>29</v>
      </c>
      <c r="X106" s="200">
        <f t="shared" si="2"/>
        <v>17268</v>
      </c>
    </row>
    <row r="107" spans="1:24" ht="11.25" customHeight="1" x14ac:dyDescent="0.25">
      <c r="A107" s="383">
        <v>1984</v>
      </c>
      <c r="B107" s="200" t="s">
        <v>29</v>
      </c>
      <c r="C107" s="200" t="str">
        <f>IF(AND('A-3'!B107="-",'A-3'!B154="-",'A-3'!B201="-"),"-",SUM('A-3'!B107,'A-3'!B154,'A-3'!B201))</f>
        <v>-</v>
      </c>
      <c r="D107" s="200">
        <f>IF(AND('A-3'!C107="-",'A-3'!C154="-",'A-3'!C201="-"),"-",SUM('A-3'!C107,'A-3'!C154,'A-3'!C201))</f>
        <v>23779</v>
      </c>
      <c r="E107" s="200">
        <f>IF(AND('A-3'!D107="-",'A-3'!D154="-",'A-3'!D201="-"),"-",SUM('A-3'!D107,'A-3'!D154,'A-3'!D201))</f>
        <v>56452</v>
      </c>
      <c r="F107" s="200">
        <f>IF(AND('A-3'!E107="-",'A-3'!E154="-",'A-3'!E201="-"),"-",SUM('A-3'!E107,'A-3'!E154,'A-3'!E201))</f>
        <v>102685</v>
      </c>
      <c r="G107" s="200">
        <f>IF(AND('A-3'!F107="-",'A-3'!F154="-",'A-3'!F201="-"),"-",SUM('A-3'!F107,'A-3'!F154,'A-3'!F201))</f>
        <v>66451</v>
      </c>
      <c r="H107" s="200">
        <f>IF(AND('A-3'!G107="-",'A-3'!G154="-",'A-3'!G201="-"),"-",SUM('A-3'!G107,'A-3'!G154,'A-3'!G201))</f>
        <v>22044</v>
      </c>
      <c r="I107" s="200" t="str">
        <f>IF(AND('A-3'!H107="-",'A-3'!H154="-",'A-3'!H201="-"),"-",SUM('A-3'!H107,'A-3'!H154,'A-3'!H201))</f>
        <v>-</v>
      </c>
      <c r="J107" s="200" t="s">
        <v>29</v>
      </c>
      <c r="K107" s="200" t="s">
        <v>29</v>
      </c>
      <c r="L107" s="200">
        <f>IF(AND('A-3'!I107="-",'A-3'!I154="-",'A-3'!I201="-"),"-",SUM('A-3'!I107,'A-3'!I154,'A-3'!I201))</f>
        <v>271411</v>
      </c>
      <c r="M107" s="8"/>
      <c r="N107" s="200" t="s">
        <v>29</v>
      </c>
      <c r="O107" s="200">
        <f>SUM('A-3'!K107,'A-3'!K154,'A-3'!K201)</f>
        <v>0</v>
      </c>
      <c r="P107" s="200">
        <f>SUM('A-3'!L107,'A-3'!L154,'A-3'!L201)</f>
        <v>0</v>
      </c>
      <c r="Q107" s="200">
        <f>SUM('A-3'!M107,'A-3'!M154,'A-3'!M201)</f>
        <v>11232</v>
      </c>
      <c r="R107" s="200">
        <f>SUM('A-3'!N107,'A-3'!N154,'A-3'!N201)</f>
        <v>28472</v>
      </c>
      <c r="S107" s="200">
        <f>SUM('A-3'!O107,'A-3'!O154,'A-3'!O201)</f>
        <v>849</v>
      </c>
      <c r="T107" s="200">
        <f>SUM('A-3'!P107,'A-3'!P154,'A-3'!P201)</f>
        <v>333</v>
      </c>
      <c r="U107" s="200">
        <f>SUM('A-3'!Q107,'A-3'!Q154,'A-3'!Q201)</f>
        <v>0</v>
      </c>
      <c r="V107" s="198" t="s">
        <v>29</v>
      </c>
      <c r="W107" s="200" t="s">
        <v>29</v>
      </c>
      <c r="X107" s="200">
        <f t="shared" si="2"/>
        <v>40886</v>
      </c>
    </row>
    <row r="108" spans="1:24" ht="11.25" customHeight="1" x14ac:dyDescent="0.25">
      <c r="A108" s="383">
        <v>1985</v>
      </c>
      <c r="B108" s="200" t="s">
        <v>29</v>
      </c>
      <c r="C108" s="200" t="str">
        <f>IF(AND('A-3'!B108="-",'A-3'!B155="-",'A-3'!B202="-"),"-",SUM('A-3'!B108,'A-3'!B155,'A-3'!B202))</f>
        <v>-</v>
      </c>
      <c r="D108" s="200">
        <f>IF(AND('A-3'!C108="-",'A-3'!C155="-",'A-3'!C202="-"),"-",SUM('A-3'!C108,'A-3'!C155,'A-3'!C202))</f>
        <v>92449</v>
      </c>
      <c r="E108" s="200">
        <f>IF(AND('A-3'!D108="-",'A-3'!D155="-",'A-3'!D202="-"),"-",SUM('A-3'!D108,'A-3'!D155,'A-3'!D202))</f>
        <v>88766</v>
      </c>
      <c r="F108" s="200">
        <f>IF(AND('A-3'!E108="-",'A-3'!E155="-",'A-3'!E202="-"),"-",SUM('A-3'!E108,'A-3'!E155,'A-3'!E202))</f>
        <v>106144</v>
      </c>
      <c r="G108" s="200">
        <f>IF(AND('A-3'!F108="-",'A-3'!F155="-",'A-3'!F202="-"),"-",SUM('A-3'!F108,'A-3'!F155,'A-3'!F202))</f>
        <v>59166</v>
      </c>
      <c r="H108" s="200">
        <f>IF(AND('A-3'!G108="-",'A-3'!G155="-",'A-3'!G202="-"),"-",SUM('A-3'!G108,'A-3'!G155,'A-3'!G202))</f>
        <v>19773</v>
      </c>
      <c r="I108" s="200" t="str">
        <f>IF(AND('A-3'!H108="-",'A-3'!H155="-",'A-3'!H202="-"),"-",SUM('A-3'!H108,'A-3'!H155,'A-3'!H202))</f>
        <v>-</v>
      </c>
      <c r="J108" s="200" t="s">
        <v>29</v>
      </c>
      <c r="K108" s="200" t="s">
        <v>29</v>
      </c>
      <c r="L108" s="200">
        <f>IF(AND('A-3'!I108="-",'A-3'!I155="-",'A-3'!I202="-"),"-",SUM('A-3'!I108,'A-3'!I155,'A-3'!I202))</f>
        <v>366298</v>
      </c>
      <c r="M108" s="8"/>
      <c r="N108" s="200" t="s">
        <v>29</v>
      </c>
      <c r="O108" s="200">
        <f>SUM('A-3'!K108,'A-3'!K155,'A-3'!K202)</f>
        <v>0</v>
      </c>
      <c r="P108" s="200">
        <f>SUM('A-3'!L108,'A-3'!L155,'A-3'!L202)</f>
        <v>15</v>
      </c>
      <c r="Q108" s="200">
        <f>SUM('A-3'!M108,'A-3'!M155,'A-3'!M202)</f>
        <v>2957</v>
      </c>
      <c r="R108" s="200">
        <f>SUM('A-3'!N108,'A-3'!N155,'A-3'!N202)</f>
        <v>6630</v>
      </c>
      <c r="S108" s="200">
        <f>SUM('A-3'!O108,'A-3'!O155,'A-3'!O202)</f>
        <v>1286</v>
      </c>
      <c r="T108" s="200">
        <f>SUM('A-3'!P108,'A-3'!P155,'A-3'!P202)</f>
        <v>66</v>
      </c>
      <c r="U108" s="200">
        <f>SUM('A-3'!Q108,'A-3'!Q155,'A-3'!Q202)</f>
        <v>0</v>
      </c>
      <c r="V108" s="198" t="s">
        <v>29</v>
      </c>
      <c r="W108" s="200" t="s">
        <v>29</v>
      </c>
      <c r="X108" s="200">
        <f t="shared" si="2"/>
        <v>10954</v>
      </c>
    </row>
    <row r="109" spans="1:24" ht="11.25" customHeight="1" x14ac:dyDescent="0.25">
      <c r="A109" s="383">
        <v>1986</v>
      </c>
      <c r="B109" s="200" t="s">
        <v>29</v>
      </c>
      <c r="C109" s="200" t="str">
        <f>IF(AND('A-3'!B109="-",'A-3'!B156="-",'A-3'!B203="-"),"-",SUM('A-3'!B109,'A-3'!B156,'A-3'!B203))</f>
        <v>-</v>
      </c>
      <c r="D109" s="200">
        <f>IF(AND('A-3'!C109="-",'A-3'!C156="-",'A-3'!C203="-"),"-",SUM('A-3'!C109,'A-3'!C156,'A-3'!C203))</f>
        <v>223413</v>
      </c>
      <c r="E109" s="200">
        <f>IF(AND('A-3'!D109="-",'A-3'!D156="-",'A-3'!D203="-"),"-",SUM('A-3'!D109,'A-3'!D156,'A-3'!D203))</f>
        <v>272788.68</v>
      </c>
      <c r="F109" s="200">
        <f>IF(AND('A-3'!E109="-",'A-3'!E156="-",'A-3'!E203="-"),"-",SUM('A-3'!E109,'A-3'!E156,'A-3'!E203))</f>
        <v>207993.96000000002</v>
      </c>
      <c r="G109" s="200">
        <f>IF(AND('A-3'!F109="-",'A-3'!F156="-",'A-3'!F203="-"),"-",SUM('A-3'!F109,'A-3'!F156,'A-3'!F203))</f>
        <v>65146.740000000005</v>
      </c>
      <c r="H109" s="200">
        <f>IF(AND('A-3'!G109="-",'A-3'!G156="-",'A-3'!G203="-"),"-",SUM('A-3'!G109,'A-3'!G156,'A-3'!G203))</f>
        <v>5532</v>
      </c>
      <c r="I109" s="200" t="str">
        <f>IF(AND('A-3'!H109="-",'A-3'!H156="-",'A-3'!H203="-"),"-",SUM('A-3'!H109,'A-3'!H156,'A-3'!H203))</f>
        <v>-</v>
      </c>
      <c r="J109" s="200" t="s">
        <v>29</v>
      </c>
      <c r="K109" s="200" t="s">
        <v>29</v>
      </c>
      <c r="L109" s="200">
        <f>IF(AND('A-3'!I109="-",'A-3'!I156="-",'A-3'!I203="-"),"-",SUM('A-3'!I109,'A-3'!I156,'A-3'!I203))</f>
        <v>774874.38</v>
      </c>
      <c r="M109" s="8"/>
      <c r="N109" s="200" t="s">
        <v>29</v>
      </c>
      <c r="O109" s="200" t="s">
        <v>29</v>
      </c>
      <c r="P109" s="200" t="s">
        <v>29</v>
      </c>
      <c r="Q109" s="200">
        <f>SUM('A-3'!M109,'A-3'!M156,'A-3'!M203)</f>
        <v>9208.353226980129</v>
      </c>
      <c r="R109" s="200">
        <f>SUM('A-3'!N109,'A-3'!N156,'A-3'!N203)</f>
        <v>16108.44784896161</v>
      </c>
      <c r="S109" s="200">
        <f>SUM('A-3'!O109,'A-3'!O156,'A-3'!O203)</f>
        <v>1841.8774455271632</v>
      </c>
      <c r="T109" s="200">
        <f>SUM('A-3'!P109,'A-3'!P156,'A-3'!P203)</f>
        <v>81</v>
      </c>
      <c r="U109" s="200">
        <f>SUM('A-3'!Q109,'A-3'!Q156,'A-3'!Q203)</f>
        <v>0</v>
      </c>
      <c r="V109" s="200" t="s">
        <v>29</v>
      </c>
      <c r="W109" s="200" t="s">
        <v>29</v>
      </c>
      <c r="X109" s="200">
        <f t="shared" si="2"/>
        <v>27239.678521468901</v>
      </c>
    </row>
    <row r="110" spans="1:24" ht="11.25" customHeight="1" x14ac:dyDescent="0.25">
      <c r="A110" s="383">
        <v>1987</v>
      </c>
      <c r="B110" s="200" t="s">
        <v>29</v>
      </c>
      <c r="C110" s="200" t="str">
        <f>IF(AND('A-3'!B110="-",'A-3'!B157="-",'A-3'!B204="-"),"-",SUM('A-3'!B110,'A-3'!B157,'A-3'!B204))</f>
        <v>-</v>
      </c>
      <c r="D110" s="200">
        <f>IF(AND('A-3'!C110="-",'A-3'!C157="-",'A-3'!C204="-"),"-",SUM('A-3'!C110,'A-3'!C157,'A-3'!C204))</f>
        <v>264142</v>
      </c>
      <c r="E110" s="200">
        <f>IF(AND('A-3'!D110="-",'A-3'!D157="-",'A-3'!D204="-"),"-",SUM('A-3'!D110,'A-3'!D157,'A-3'!D204))</f>
        <v>222190</v>
      </c>
      <c r="F110" s="200">
        <f>IF(AND('A-3'!E110="-",'A-3'!E157="-",'A-3'!E204="-"),"-",SUM('A-3'!E110,'A-3'!E157,'A-3'!E204))</f>
        <v>202194</v>
      </c>
      <c r="G110" s="200">
        <f>IF(AND('A-3'!F110="-",'A-3'!F157="-",'A-3'!F204="-"),"-",SUM('A-3'!F110,'A-3'!F157,'A-3'!F204))</f>
        <v>84142</v>
      </c>
      <c r="H110" s="200">
        <f>IF(AND('A-3'!G110="-",'A-3'!G157="-",'A-3'!G204="-"),"-",SUM('A-3'!G110,'A-3'!G157,'A-3'!G204))</f>
        <v>15394</v>
      </c>
      <c r="I110" s="200" t="str">
        <f>IF(AND('A-3'!H110="-",'A-3'!H157="-",'A-3'!H204="-"),"-",SUM('A-3'!H110,'A-3'!H157,'A-3'!H204))</f>
        <v>-</v>
      </c>
      <c r="J110" s="200" t="s">
        <v>29</v>
      </c>
      <c r="K110" s="200" t="s">
        <v>29</v>
      </c>
      <c r="L110" s="200">
        <f>IF(AND('A-3'!I110="-",'A-3'!I157="-",'A-3'!I204="-"),"-",SUM('A-3'!I110,'A-3'!I157,'A-3'!I204))</f>
        <v>788062</v>
      </c>
      <c r="M110" s="8"/>
      <c r="N110" s="200" t="s">
        <v>29</v>
      </c>
      <c r="O110" s="200" t="s">
        <v>29</v>
      </c>
      <c r="P110" s="200" t="s">
        <v>29</v>
      </c>
      <c r="Q110" s="200">
        <f>SUM('A-3'!M110,'A-3'!M157,'A-3'!M204)</f>
        <v>9853.3236726120376</v>
      </c>
      <c r="R110" s="200">
        <f>SUM('A-3'!N110,'A-3'!N157,'A-3'!N204)</f>
        <v>17115.473434253487</v>
      </c>
      <c r="S110" s="200">
        <f>SUM('A-3'!O110,'A-3'!O157,'A-3'!O204)</f>
        <v>0</v>
      </c>
      <c r="T110" s="200">
        <f>SUM('A-3'!P110,'A-3'!P157,'A-3'!P204)</f>
        <v>184.69293924466345</v>
      </c>
      <c r="U110" s="200">
        <f>SUM('A-3'!Q110,'A-3'!Q157,'A-3'!Q204)</f>
        <v>0</v>
      </c>
      <c r="V110" s="200" t="s">
        <v>29</v>
      </c>
      <c r="W110" s="200" t="s">
        <v>29</v>
      </c>
      <c r="X110" s="200">
        <f t="shared" si="2"/>
        <v>27153.490046110186</v>
      </c>
    </row>
    <row r="111" spans="1:24" ht="11.25" customHeight="1" x14ac:dyDescent="0.25">
      <c r="A111" s="383">
        <v>1988</v>
      </c>
      <c r="B111" s="200" t="s">
        <v>29</v>
      </c>
      <c r="C111" s="200" t="str">
        <f>IF(AND('A-3'!B111="-",'A-3'!B158="-",'A-3'!B205="-"),"-",SUM('A-3'!B111,'A-3'!B158,'A-3'!B205))</f>
        <v>-</v>
      </c>
      <c r="D111" s="200">
        <f>IF(AND('A-3'!C111="-",'A-3'!C158="-",'A-3'!C205="-"),"-",SUM('A-3'!C111,'A-3'!C158,'A-3'!C205))</f>
        <v>390057</v>
      </c>
      <c r="E111" s="200">
        <f>IF(AND('A-3'!D111="-",'A-3'!D158="-",'A-3'!D205="-"),"-",SUM('A-3'!D111,'A-3'!D158,'A-3'!D205))</f>
        <v>340221</v>
      </c>
      <c r="F111" s="200">
        <f>IF(AND('A-3'!E111="-",'A-3'!E158="-",'A-3'!E205="-"),"-",SUM('A-3'!E111,'A-3'!E158,'A-3'!E205))</f>
        <v>370942</v>
      </c>
      <c r="G111" s="200">
        <f>IF(AND('A-3'!F111="-",'A-3'!F158="-",'A-3'!F205="-"),"-",SUM('A-3'!F111,'A-3'!F158,'A-3'!F205))</f>
        <v>111881</v>
      </c>
      <c r="H111" s="200">
        <f>IF(AND('A-3'!G111="-",'A-3'!G158="-",'A-3'!G205="-"),"-",SUM('A-3'!G111,'A-3'!G158,'A-3'!G205))</f>
        <v>42073</v>
      </c>
      <c r="I111" s="200" t="str">
        <f>IF(AND('A-3'!H111="-",'A-3'!H158="-",'A-3'!H205="-"),"-",SUM('A-3'!H111,'A-3'!H158,'A-3'!H205))</f>
        <v>-</v>
      </c>
      <c r="J111" s="200" t="s">
        <v>29</v>
      </c>
      <c r="K111" s="200" t="s">
        <v>29</v>
      </c>
      <c r="L111" s="200">
        <f>IF(AND('A-3'!I111="-",'A-3'!I158="-",'A-3'!I205="-"),"-",SUM('A-3'!I111,'A-3'!I158,'A-3'!I205))</f>
        <v>1255174</v>
      </c>
      <c r="M111" s="8"/>
      <c r="N111" s="200" t="s">
        <v>29</v>
      </c>
      <c r="O111" s="200" t="s">
        <v>29</v>
      </c>
      <c r="P111" s="200" t="s">
        <v>29</v>
      </c>
      <c r="Q111" s="200">
        <f>SUM('A-3'!M111,'A-3'!M158,'A-3'!M205)</f>
        <v>12083.594851508531</v>
      </c>
      <c r="R111" s="200">
        <f>SUM('A-3'!N111,'A-3'!N158,'A-3'!N205)</f>
        <v>23612</v>
      </c>
      <c r="S111" s="200">
        <f>SUM('A-3'!O111,'A-3'!O158,'A-3'!O205)</f>
        <v>2294</v>
      </c>
      <c r="T111" s="200">
        <f>SUM('A-3'!P111,'A-3'!P158,'A-3'!P205)</f>
        <v>89.785503044360695</v>
      </c>
      <c r="U111" s="200">
        <f>SUM('A-3'!Q111,'A-3'!Q158,'A-3'!Q205)</f>
        <v>0</v>
      </c>
      <c r="V111" s="200" t="s">
        <v>29</v>
      </c>
      <c r="W111" s="200" t="s">
        <v>29</v>
      </c>
      <c r="X111" s="200">
        <f t="shared" si="2"/>
        <v>38079.380354552894</v>
      </c>
    </row>
    <row r="112" spans="1:24" ht="11.25" customHeight="1" x14ac:dyDescent="0.25">
      <c r="A112" s="383">
        <v>1989</v>
      </c>
      <c r="B112" s="200" t="s">
        <v>29</v>
      </c>
      <c r="C112" s="200" t="str">
        <f>IF(AND('A-3'!B112="-",'A-3'!B159="-",'A-3'!B206="-"),"-",SUM('A-3'!B112,'A-3'!B159,'A-3'!B206))</f>
        <v>-</v>
      </c>
      <c r="D112" s="200">
        <f>IF(AND('A-3'!C112="-",'A-3'!C159="-",'A-3'!C206="-"),"-",SUM('A-3'!C112,'A-3'!C159,'A-3'!C206))</f>
        <v>175760</v>
      </c>
      <c r="E112" s="200">
        <f>IF(AND('A-3'!D112="-",'A-3'!D159="-",'A-3'!D206="-"),"-",SUM('A-3'!D112,'A-3'!D159,'A-3'!D206))</f>
        <v>123305</v>
      </c>
      <c r="F112" s="200">
        <f>IF(AND('A-3'!E112="-",'A-3'!E159="-",'A-3'!E206="-"),"-",SUM('A-3'!E112,'A-3'!E159,'A-3'!E206))</f>
        <v>112466</v>
      </c>
      <c r="G112" s="200">
        <f>IF(AND('A-3'!F112="-",'A-3'!F159="-",'A-3'!F206="-"),"-",SUM('A-3'!F112,'A-3'!F159,'A-3'!F206))</f>
        <v>77855</v>
      </c>
      <c r="H112" s="200">
        <f>IF(AND('A-3'!G112="-",'A-3'!G159="-",'A-3'!G206="-"),"-",SUM('A-3'!G112,'A-3'!G159,'A-3'!G206))</f>
        <v>18615</v>
      </c>
      <c r="I112" s="200" t="str">
        <f>IF(AND('A-3'!H112="-",'A-3'!H159="-",'A-3'!H206="-"),"-",SUM('A-3'!H112,'A-3'!H159,'A-3'!H206))</f>
        <v>-</v>
      </c>
      <c r="J112" s="200" t="s">
        <v>29</v>
      </c>
      <c r="K112" s="200" t="s">
        <v>29</v>
      </c>
      <c r="L112" s="200">
        <f>IF(AND('A-3'!I112="-",'A-3'!I159="-",'A-3'!I206="-"),"-",SUM('A-3'!I112,'A-3'!I159,'A-3'!I206))</f>
        <v>508001</v>
      </c>
      <c r="M112" s="8"/>
      <c r="N112" s="200" t="s">
        <v>29</v>
      </c>
      <c r="O112" s="200" t="s">
        <v>29</v>
      </c>
      <c r="P112" s="200" t="s">
        <v>29</v>
      </c>
      <c r="Q112" s="200">
        <f>SUM('A-3'!M112,'A-3'!M159,'A-3'!M206)</f>
        <v>7792.3661474014916</v>
      </c>
      <c r="R112" s="200">
        <f>SUM('A-3'!N112,'A-3'!N159,'A-3'!N206)</f>
        <v>15913</v>
      </c>
      <c r="S112" s="200">
        <f>SUM('A-3'!O112,'A-3'!O159,'A-3'!O206)</f>
        <v>8583.2571381416074</v>
      </c>
      <c r="T112" s="200">
        <f>SUM('A-3'!P112,'A-3'!P159,'A-3'!P206)</f>
        <v>458</v>
      </c>
      <c r="U112" s="200" t="s">
        <v>29</v>
      </c>
      <c r="V112" s="200" t="s">
        <v>29</v>
      </c>
      <c r="W112" s="200" t="s">
        <v>29</v>
      </c>
      <c r="X112" s="200">
        <f t="shared" si="2"/>
        <v>32746.623285543101</v>
      </c>
    </row>
    <row r="113" spans="1:24" ht="11.25" customHeight="1" x14ac:dyDescent="0.25">
      <c r="A113" s="383">
        <v>1990</v>
      </c>
      <c r="B113" s="200" t="s">
        <v>29</v>
      </c>
      <c r="C113" s="200" t="str">
        <f>IF(AND('A-3'!B113="-",'A-3'!B160="-",'A-3'!B207="-"),"-",SUM('A-3'!B113,'A-3'!B160,'A-3'!B207))</f>
        <v>-</v>
      </c>
      <c r="D113" s="200">
        <f>IF(AND('A-3'!C113="-",'A-3'!C160="-",'A-3'!C207="-"),"-",SUM('A-3'!C113,'A-3'!C160,'A-3'!C207))</f>
        <v>145197</v>
      </c>
      <c r="E113" s="200">
        <f>IF(AND('A-3'!D113="-",'A-3'!D160="-",'A-3'!D207="-"),"-",SUM('A-3'!D113,'A-3'!D160,'A-3'!D207))</f>
        <v>173971</v>
      </c>
      <c r="F113" s="200">
        <f>IF(AND('A-3'!E113="-",'A-3'!E160="-",'A-3'!E207="-"),"-",SUM('A-3'!E113,'A-3'!E160,'A-3'!E207))</f>
        <v>71743</v>
      </c>
      <c r="G113" s="200">
        <f>IF(AND('A-3'!F113="-",'A-3'!F160="-",'A-3'!F207="-"),"-",SUM('A-3'!F113,'A-3'!F160,'A-3'!F207))</f>
        <v>19649</v>
      </c>
      <c r="H113" s="200">
        <f>IF(AND('A-3'!G113="-",'A-3'!G160="-",'A-3'!G207="-"),"-",SUM('A-3'!G113,'A-3'!G160,'A-3'!G207))</f>
        <v>5212</v>
      </c>
      <c r="I113" s="200" t="str">
        <f>IF(AND('A-3'!H113="-",'A-3'!H160="-",'A-3'!H207="-"),"-",SUM('A-3'!H113,'A-3'!H160,'A-3'!H207))</f>
        <v>-</v>
      </c>
      <c r="J113" s="200" t="s">
        <v>29</v>
      </c>
      <c r="K113" s="200" t="s">
        <v>29</v>
      </c>
      <c r="L113" s="200">
        <f>IF(AND('A-3'!I113="-",'A-3'!I160="-",'A-3'!I207="-"),"-",SUM('A-3'!I113,'A-3'!I160,'A-3'!I207))</f>
        <v>415772</v>
      </c>
      <c r="M113" s="8"/>
      <c r="N113" s="200" t="s">
        <v>29</v>
      </c>
      <c r="O113" s="200" t="s">
        <v>29</v>
      </c>
      <c r="P113" s="200" t="s">
        <v>29</v>
      </c>
      <c r="Q113" s="200">
        <f>SUM('A-3'!M113,'A-3'!M160,'A-3'!M207)</f>
        <v>38588</v>
      </c>
      <c r="R113" s="200">
        <f>SUM('A-3'!N113,'A-3'!N160,'A-3'!N207)</f>
        <v>16260</v>
      </c>
      <c r="S113" s="200">
        <f>SUM('A-3'!O113,'A-3'!O160,'A-3'!O207)</f>
        <v>4418</v>
      </c>
      <c r="T113" s="200">
        <v>0.3</v>
      </c>
      <c r="U113" s="200" t="s">
        <v>29</v>
      </c>
      <c r="V113" s="200" t="s">
        <v>29</v>
      </c>
      <c r="W113" s="200" t="s">
        <v>29</v>
      </c>
      <c r="X113" s="200">
        <f t="shared" si="2"/>
        <v>59266.3</v>
      </c>
    </row>
    <row r="114" spans="1:24" ht="11.25" customHeight="1" x14ac:dyDescent="0.25">
      <c r="A114" s="383">
        <v>1991</v>
      </c>
      <c r="B114" s="200" t="s">
        <v>29</v>
      </c>
      <c r="C114" s="200" t="str">
        <f>IF(AND('A-3'!B114="-",'A-3'!B161="-",'A-3'!B208="-"),"-",SUM('A-3'!B114,'A-3'!B161,'A-3'!B208))</f>
        <v>-</v>
      </c>
      <c r="D114" s="200">
        <f>IF(AND('A-3'!C114="-",'A-3'!C161="-",'A-3'!C208="-"),"-",SUM('A-3'!C114,'A-3'!C161,'A-3'!C208))</f>
        <v>80100</v>
      </c>
      <c r="E114" s="200">
        <f>IF(AND('A-3'!D114="-",'A-3'!D161="-",'A-3'!D208="-"),"-",SUM('A-3'!D114,'A-3'!D161,'A-3'!D208))</f>
        <v>87100</v>
      </c>
      <c r="F114" s="200">
        <f>IF(AND('A-3'!E114="-",'A-3'!E161="-",'A-3'!E208="-"),"-",SUM('A-3'!E114,'A-3'!E161,'A-3'!E208))</f>
        <v>49600</v>
      </c>
      <c r="G114" s="200">
        <f>IF(AND('A-3'!F114="-",'A-3'!F161="-",'A-3'!F208="-"),"-",SUM('A-3'!F114,'A-3'!F161,'A-3'!F208))</f>
        <v>65600</v>
      </c>
      <c r="H114" s="200">
        <f>IF(AND('A-3'!G114="-",'A-3'!G161="-",'A-3'!G208="-"),"-",SUM('A-3'!G114,'A-3'!G161,'A-3'!G208))</f>
        <v>7800</v>
      </c>
      <c r="I114" s="200" t="str">
        <f>IF(AND('A-3'!H114="-",'A-3'!H161="-",'A-3'!H208="-"),"-",SUM('A-3'!H114,'A-3'!H161,'A-3'!H208))</f>
        <v>-</v>
      </c>
      <c r="J114" s="200" t="s">
        <v>29</v>
      </c>
      <c r="K114" s="200" t="s">
        <v>29</v>
      </c>
      <c r="L114" s="200">
        <f>IF(AND('A-3'!I114="-",'A-3'!I161="-",'A-3'!I208="-"),"-",SUM('A-3'!I114,'A-3'!I161,'A-3'!I208))</f>
        <v>290200</v>
      </c>
      <c r="M114" s="8"/>
      <c r="N114" s="200" t="s">
        <v>29</v>
      </c>
      <c r="O114" s="200" t="s">
        <v>29</v>
      </c>
      <c r="P114" s="200" t="s">
        <v>29</v>
      </c>
      <c r="Q114" s="200">
        <f>SUM('A-3'!M114,'A-3'!M161,'A-3'!M208)</f>
        <v>50200</v>
      </c>
      <c r="R114" s="200">
        <f>SUM('A-3'!N114,'A-3'!N161,'A-3'!N208)</f>
        <v>24000</v>
      </c>
      <c r="S114" s="200">
        <f>SUM('A-3'!O114,'A-3'!O161,'A-3'!O208)</f>
        <v>5200</v>
      </c>
      <c r="T114" s="200" t="s">
        <v>29</v>
      </c>
      <c r="U114" s="200" t="s">
        <v>29</v>
      </c>
      <c r="V114" s="200" t="s">
        <v>29</v>
      </c>
      <c r="W114" s="200" t="s">
        <v>29</v>
      </c>
      <c r="X114" s="200">
        <f t="shared" si="2"/>
        <v>79400</v>
      </c>
    </row>
    <row r="115" spans="1:24" ht="11.25" customHeight="1" x14ac:dyDescent="0.25">
      <c r="A115" s="383">
        <v>1992</v>
      </c>
      <c r="B115" s="200" t="s">
        <v>29</v>
      </c>
      <c r="C115" s="200" t="str">
        <f>IF(AND('A-3'!B115="-",'A-3'!B162="-",'A-3'!B209="-"),"-",SUM('A-3'!B115,'A-3'!B162,'A-3'!B209))</f>
        <v>-</v>
      </c>
      <c r="D115" s="200">
        <f>IF(AND('A-3'!C115="-",'A-3'!C162="-",'A-3'!C209="-"),"-",SUM('A-3'!C115,'A-3'!C162,'A-3'!C209))</f>
        <v>51400</v>
      </c>
      <c r="E115" s="200">
        <f>IF(AND('A-3'!D115="-",'A-3'!D162="-",'A-3'!D209="-"),"-",SUM('A-3'!D115,'A-3'!D162,'A-3'!D209))</f>
        <v>18900</v>
      </c>
      <c r="F115" s="200">
        <f>IF(AND('A-3'!E115="-",'A-3'!E162="-",'A-3'!E209="-"),"-",SUM('A-3'!E115,'A-3'!E162,'A-3'!E209))</f>
        <v>20600</v>
      </c>
      <c r="G115" s="200">
        <f>IF(AND('A-3'!F115="-",'A-3'!F162="-",'A-3'!F209="-"),"-",SUM('A-3'!F115,'A-3'!F162,'A-3'!F209))</f>
        <v>41300</v>
      </c>
      <c r="H115" s="200">
        <f>IF(AND('A-3'!G115="-",'A-3'!G162="-",'A-3'!G209="-"),"-",SUM('A-3'!G115,'A-3'!G162,'A-3'!G209))</f>
        <v>28100</v>
      </c>
      <c r="I115" s="200" t="str">
        <f>IF(AND('A-3'!H115="-",'A-3'!H162="-",'A-3'!H209="-"),"-",SUM('A-3'!H115,'A-3'!H162,'A-3'!H209))</f>
        <v>-</v>
      </c>
      <c r="J115" s="200" t="s">
        <v>29</v>
      </c>
      <c r="K115" s="200" t="s">
        <v>29</v>
      </c>
      <c r="L115" s="200">
        <f>IF(AND('A-3'!I115="-",'A-3'!I162="-",'A-3'!I209="-"),"-",SUM('A-3'!I115,'A-3'!I162,'A-3'!I209))</f>
        <v>160300</v>
      </c>
      <c r="M115" s="8"/>
      <c r="N115" s="200" t="s">
        <v>29</v>
      </c>
      <c r="O115" s="200" t="s">
        <v>29</v>
      </c>
      <c r="P115" s="200" t="s">
        <v>29</v>
      </c>
      <c r="Q115" s="200">
        <f>SUM('A-3'!M115,'A-3'!M162,'A-3'!M209)</f>
        <v>1500</v>
      </c>
      <c r="R115" s="200">
        <f>SUM('A-3'!N115,'A-3'!N162,'A-3'!N209)</f>
        <v>500</v>
      </c>
      <c r="S115" s="200">
        <f>SUM('A-3'!O115,'A-3'!O162,'A-3'!O209)</f>
        <v>450</v>
      </c>
      <c r="T115" s="200" t="s">
        <v>29</v>
      </c>
      <c r="U115" s="200" t="s">
        <v>29</v>
      </c>
      <c r="V115" s="200" t="s">
        <v>29</v>
      </c>
      <c r="W115" s="200" t="s">
        <v>29</v>
      </c>
      <c r="X115" s="200">
        <f t="shared" si="2"/>
        <v>2450</v>
      </c>
    </row>
    <row r="116" spans="1:24" ht="11.25" customHeight="1" x14ac:dyDescent="0.25">
      <c r="A116" s="383">
        <v>1993</v>
      </c>
      <c r="B116" s="200" t="s">
        <v>29</v>
      </c>
      <c r="C116" s="200" t="str">
        <f>IF(AND('A-3'!B116="-",'A-3'!B163="-",'A-3'!B210="-"),"-",SUM('A-3'!B116,'A-3'!B163,'A-3'!B210))</f>
        <v>-</v>
      </c>
      <c r="D116" s="200">
        <f>IF(AND('A-3'!C116="-",'A-3'!C163="-",'A-3'!C210="-"),"-",SUM('A-3'!C116,'A-3'!C163,'A-3'!C210))</f>
        <v>111078</v>
      </c>
      <c r="E116" s="200">
        <f>IF(AND('A-3'!D116="-",'A-3'!D163="-",'A-3'!D210="-"),"-",SUM('A-3'!D116,'A-3'!D163,'A-3'!D210))</f>
        <v>40353</v>
      </c>
      <c r="F116" s="200">
        <f>IF(AND('A-3'!E116="-",'A-3'!E163="-",'A-3'!E210="-"),"-",SUM('A-3'!E116,'A-3'!E163,'A-3'!E210))</f>
        <v>55755</v>
      </c>
      <c r="G116" s="200">
        <f>IF(AND('A-3'!F116="-",'A-3'!F163="-",'A-3'!F210="-"),"-",SUM('A-3'!F116,'A-3'!F163,'A-3'!F210))</f>
        <v>48377</v>
      </c>
      <c r="H116" s="200">
        <f>IF(AND('A-3'!G116="-",'A-3'!G163="-",'A-3'!G210="-"),"-",SUM('A-3'!G116,'A-3'!G163,'A-3'!G210))</f>
        <v>23990</v>
      </c>
      <c r="I116" s="200" t="str">
        <f>IF(AND('A-3'!H116="-",'A-3'!H163="-",'A-3'!H210="-"),"-",SUM('A-3'!H116,'A-3'!H163,'A-3'!H210))</f>
        <v>-</v>
      </c>
      <c r="J116" s="200" t="s">
        <v>29</v>
      </c>
      <c r="K116" s="200" t="s">
        <v>29</v>
      </c>
      <c r="L116" s="200">
        <f>IF(AND('A-3'!I116="-",'A-3'!I163="-",'A-3'!I210="-"),"-",SUM('A-3'!I116,'A-3'!I163,'A-3'!I210))</f>
        <v>279553</v>
      </c>
      <c r="M116" s="8"/>
      <c r="N116" s="200" t="s">
        <v>29</v>
      </c>
      <c r="O116" s="200" t="s">
        <v>29</v>
      </c>
      <c r="P116" s="200" t="s">
        <v>29</v>
      </c>
      <c r="Q116" s="200" t="s">
        <v>29</v>
      </c>
      <c r="R116" s="200" t="s">
        <v>29</v>
      </c>
      <c r="S116" s="200" t="s">
        <v>29</v>
      </c>
      <c r="T116" s="200" t="s">
        <v>29</v>
      </c>
      <c r="U116" s="200" t="s">
        <v>29</v>
      </c>
      <c r="V116" s="200" t="s">
        <v>29</v>
      </c>
      <c r="W116" s="200" t="s">
        <v>29</v>
      </c>
      <c r="X116" s="200" t="s">
        <v>29</v>
      </c>
    </row>
    <row r="117" spans="1:24" ht="11.25" customHeight="1" x14ac:dyDescent="0.25">
      <c r="A117" s="383">
        <v>1994</v>
      </c>
      <c r="B117" s="200" t="s">
        <v>29</v>
      </c>
      <c r="C117" s="200" t="str">
        <f>IF(AND('A-3'!B117="-",'A-3'!B164="-",'A-3'!B211="-"),"-",SUM('A-3'!B117,'A-3'!B164,'A-3'!B211))</f>
        <v>-</v>
      </c>
      <c r="D117" s="200">
        <f>IF(AND('A-3'!C117="-",'A-3'!C164="-",'A-3'!C211="-"),"-",SUM('A-3'!C117,'A-3'!C164,'A-3'!C211))</f>
        <v>78829</v>
      </c>
      <c r="E117" s="200">
        <f>IF(AND('A-3'!D117="-",'A-3'!D164="-",'A-3'!D211="-"),"-",SUM('A-3'!D117,'A-3'!D164,'A-3'!D211))</f>
        <v>81119</v>
      </c>
      <c r="F117" s="200">
        <f>IF(AND('A-3'!E117="-",'A-3'!E164="-",'A-3'!E211="-"),"-",SUM('A-3'!E117,'A-3'!E164,'A-3'!E211))</f>
        <v>89175</v>
      </c>
      <c r="G117" s="200">
        <f>IF(AND('A-3'!F117="-",'A-3'!F164="-",'A-3'!F211="-"),"-",SUM('A-3'!F117,'A-3'!F164,'A-3'!F211))</f>
        <v>27379</v>
      </c>
      <c r="H117" s="200">
        <f>IF(AND('A-3'!G117="-",'A-3'!G164="-",'A-3'!G211="-"),"-",SUM('A-3'!G117,'A-3'!G164,'A-3'!G211))</f>
        <v>19072</v>
      </c>
      <c r="I117" s="200" t="str">
        <f>IF(AND('A-3'!H117="-",'A-3'!H164="-",'A-3'!H211="-"),"-",SUM('A-3'!H117,'A-3'!H164,'A-3'!H211))</f>
        <v>-</v>
      </c>
      <c r="J117" s="200" t="s">
        <v>29</v>
      </c>
      <c r="K117" s="200" t="s">
        <v>29</v>
      </c>
      <c r="L117" s="200">
        <f>IF(AND('A-3'!I117="-",'A-3'!I164="-",'A-3'!I211="-"),"-",SUM('A-3'!I117,'A-3'!I164,'A-3'!I211))</f>
        <v>295574</v>
      </c>
      <c r="M117" s="8"/>
      <c r="N117" s="200" t="s">
        <v>29</v>
      </c>
      <c r="O117" s="200" t="s">
        <v>29</v>
      </c>
      <c r="P117" s="200" t="s">
        <v>29</v>
      </c>
      <c r="Q117" s="200" t="s">
        <v>29</v>
      </c>
      <c r="R117" s="200" t="s">
        <v>29</v>
      </c>
      <c r="S117" s="200" t="s">
        <v>29</v>
      </c>
      <c r="T117" s="200" t="s">
        <v>29</v>
      </c>
      <c r="U117" s="200" t="s">
        <v>29</v>
      </c>
      <c r="V117" s="200" t="s">
        <v>29</v>
      </c>
      <c r="W117" s="200" t="s">
        <v>29</v>
      </c>
      <c r="X117" s="200" t="s">
        <v>29</v>
      </c>
    </row>
    <row r="118" spans="1:24" ht="11.25" customHeight="1" x14ac:dyDescent="0.25">
      <c r="A118" s="383">
        <v>1995</v>
      </c>
      <c r="B118" s="200" t="s">
        <v>29</v>
      </c>
      <c r="C118" s="200" t="str">
        <f>IF(AND('A-3'!B118="-",'A-3'!B165="-",'A-3'!B212="-"),"-",SUM('A-3'!B118,'A-3'!B165,'A-3'!B212))</f>
        <v>-</v>
      </c>
      <c r="D118" s="200">
        <f>IF(AND('A-3'!C118="-",'A-3'!C165="-",'A-3'!C212="-"),"-",SUM('A-3'!C118,'A-3'!C165,'A-3'!C212))</f>
        <v>285457</v>
      </c>
      <c r="E118" s="200">
        <f>IF(AND('A-3'!D118="-",'A-3'!D165="-",'A-3'!D212="-"),"-",SUM('A-3'!D118,'A-3'!D165,'A-3'!D212))</f>
        <v>142227</v>
      </c>
      <c r="F118" s="200">
        <f>IF(AND('A-3'!E118="-",'A-3'!E165="-",'A-3'!E212="-"),"-",SUM('A-3'!E118,'A-3'!E165,'A-3'!E212))</f>
        <v>189622</v>
      </c>
      <c r="G118" s="200">
        <f>IF(AND('A-3'!F118="-",'A-3'!F165="-",'A-3'!F212="-"),"-",SUM('A-3'!F118,'A-3'!F165,'A-3'!F212))</f>
        <v>30880</v>
      </c>
      <c r="H118" s="200">
        <f>IF(AND('A-3'!G118="-",'A-3'!G165="-",'A-3'!G212="-"),"-",SUM('A-3'!G118,'A-3'!G165,'A-3'!G212))</f>
        <v>31126</v>
      </c>
      <c r="I118" s="200" t="str">
        <f>IF(AND('A-3'!H118="-",'A-3'!H165="-",'A-3'!H212="-"),"-",SUM('A-3'!H118,'A-3'!H165,'A-3'!H212))</f>
        <v>-</v>
      </c>
      <c r="J118" s="200" t="s">
        <v>29</v>
      </c>
      <c r="K118" s="200" t="s">
        <v>29</v>
      </c>
      <c r="L118" s="200">
        <f>IF(AND('A-3'!I118="-",'A-3'!I165="-",'A-3'!I212="-"),"-",SUM('A-3'!I118,'A-3'!I165,'A-3'!I212))</f>
        <v>679312</v>
      </c>
      <c r="M118" s="8"/>
      <c r="N118" s="200" t="s">
        <v>29</v>
      </c>
      <c r="O118" s="200" t="s">
        <v>29</v>
      </c>
      <c r="P118" s="200" t="s">
        <v>29</v>
      </c>
      <c r="Q118" s="200" t="s">
        <v>29</v>
      </c>
      <c r="R118" s="200" t="s">
        <v>29</v>
      </c>
      <c r="S118" s="200" t="s">
        <v>29</v>
      </c>
      <c r="T118" s="200" t="s">
        <v>29</v>
      </c>
      <c r="U118" s="200" t="s">
        <v>29</v>
      </c>
      <c r="V118" s="200" t="s">
        <v>29</v>
      </c>
      <c r="W118" s="200" t="s">
        <v>29</v>
      </c>
      <c r="X118" s="200" t="s">
        <v>29</v>
      </c>
    </row>
    <row r="119" spans="1:24" ht="11.25" customHeight="1" x14ac:dyDescent="0.25">
      <c r="A119" s="383">
        <v>1996</v>
      </c>
      <c r="B119" s="200" t="s">
        <v>29</v>
      </c>
      <c r="C119" s="200" t="str">
        <f>IF(AND('A-3'!B119="-",'A-3'!B166="-",'A-3'!B213="-"),"-",SUM('A-3'!B119,'A-3'!B166,'A-3'!B213))</f>
        <v>-</v>
      </c>
      <c r="D119" s="200">
        <f>IF(AND('A-3'!C119="-",'A-3'!C166="-",'A-3'!C213="-"),"-",SUM('A-3'!C119,'A-3'!C166,'A-3'!C213))</f>
        <v>97075</v>
      </c>
      <c r="E119" s="200">
        <f>IF(AND('A-3'!D119="-",'A-3'!D166="-",'A-3'!D213="-"),"-",SUM('A-3'!D119,'A-3'!D166,'A-3'!D213))</f>
        <v>130284</v>
      </c>
      <c r="F119" s="200">
        <f>IF(AND('A-3'!E119="-",'A-3'!E166="-",'A-3'!E213="-"),"-",SUM('A-3'!E119,'A-3'!E166,'A-3'!E213))</f>
        <v>95417</v>
      </c>
      <c r="G119" s="200">
        <f>IF(AND('A-3'!F119="-",'A-3'!F166="-",'A-3'!F213="-"),"-",SUM('A-3'!F119,'A-3'!F166,'A-3'!F213))</f>
        <v>28581</v>
      </c>
      <c r="H119" s="200">
        <f>IF(AND('A-3'!G119="-",'A-3'!G166="-",'A-3'!G213="-"),"-",SUM('A-3'!G119,'A-3'!G166,'A-3'!G213))</f>
        <v>20419</v>
      </c>
      <c r="I119" s="200" t="str">
        <f>IF(AND('A-3'!H119="-",'A-3'!H166="-",'A-3'!H213="-"),"-",SUM('A-3'!H119,'A-3'!H166,'A-3'!H213))</f>
        <v>-</v>
      </c>
      <c r="J119" s="200" t="s">
        <v>29</v>
      </c>
      <c r="K119" s="200" t="s">
        <v>29</v>
      </c>
      <c r="L119" s="200">
        <f>IF(AND('A-3'!I119="-",'A-3'!I166="-",'A-3'!I213="-"),"-",SUM('A-3'!I119,'A-3'!I166,'A-3'!I213))</f>
        <v>371776</v>
      </c>
      <c r="M119" s="8"/>
      <c r="N119" s="200" t="s">
        <v>29</v>
      </c>
      <c r="O119" s="200" t="s">
        <v>29</v>
      </c>
      <c r="P119" s="200" t="s">
        <v>29</v>
      </c>
      <c r="Q119" s="200" t="s">
        <v>29</v>
      </c>
      <c r="R119" s="200" t="s">
        <v>29</v>
      </c>
      <c r="S119" s="200" t="s">
        <v>29</v>
      </c>
      <c r="T119" s="200" t="s">
        <v>29</v>
      </c>
      <c r="U119" s="200" t="s">
        <v>29</v>
      </c>
      <c r="V119" s="200" t="s">
        <v>29</v>
      </c>
      <c r="W119" s="200" t="s">
        <v>29</v>
      </c>
      <c r="X119" s="200" t="s">
        <v>29</v>
      </c>
    </row>
    <row r="120" spans="1:24" ht="11.25" customHeight="1" x14ac:dyDescent="0.25">
      <c r="A120" s="383">
        <v>1997</v>
      </c>
      <c r="B120" s="200" t="s">
        <v>29</v>
      </c>
      <c r="C120" s="200">
        <f>IF(AND('A-3'!B120="-",'A-3'!B167="-",'A-3'!B214="-"),"-",SUM('A-3'!B120,'A-3'!B167,'A-3'!B214))</f>
        <v>11891</v>
      </c>
      <c r="D120" s="200">
        <f>IF(AND('A-3'!C120="-",'A-3'!C167="-",'A-3'!C214="-"),"-",SUM('A-3'!C120,'A-3'!C167,'A-3'!C214))</f>
        <v>199057</v>
      </c>
      <c r="E120" s="200">
        <f>IF(AND('A-3'!D120="-",'A-3'!D167="-",'A-3'!D214="-"),"-",SUM('A-3'!D120,'A-3'!D167,'A-3'!D214))</f>
        <v>74576</v>
      </c>
      <c r="F120" s="200">
        <f>IF(AND('A-3'!E120="-",'A-3'!E167="-",'A-3'!E214="-"),"-",SUM('A-3'!E120,'A-3'!E167,'A-3'!E214))</f>
        <v>153940</v>
      </c>
      <c r="G120" s="200">
        <f>IF(AND('A-3'!F120="-",'A-3'!F167="-",'A-3'!F214="-"),"-",SUM('A-3'!F120,'A-3'!F167,'A-3'!F214))</f>
        <v>24737</v>
      </c>
      <c r="H120" s="200">
        <f>IF(AND('A-3'!G120="-",'A-3'!G167="-",'A-3'!G214="-"),"-",SUM('A-3'!G120,'A-3'!G167,'A-3'!G214))</f>
        <v>21790</v>
      </c>
      <c r="I120" s="200" t="str">
        <f>IF(AND('A-3'!H120="-",'A-3'!H167="-",'A-3'!H214="-"),"-",SUM('A-3'!H120,'A-3'!H167,'A-3'!H214))</f>
        <v>-</v>
      </c>
      <c r="J120" s="200" t="s">
        <v>29</v>
      </c>
      <c r="K120" s="200" t="s">
        <v>29</v>
      </c>
      <c r="L120" s="200">
        <f>IF(AND('A-3'!I120="-",'A-3'!I167="-",'A-3'!I214="-"),"-",SUM('A-3'!I120,'A-3'!I167,'A-3'!I214))</f>
        <v>485991</v>
      </c>
      <c r="M120" s="8"/>
      <c r="N120" s="200" t="s">
        <v>29</v>
      </c>
      <c r="O120" s="200" t="s">
        <v>29</v>
      </c>
      <c r="P120" s="200" t="s">
        <v>29</v>
      </c>
      <c r="Q120" s="200" t="s">
        <v>29</v>
      </c>
      <c r="R120" s="200" t="s">
        <v>29</v>
      </c>
      <c r="S120" s="200" t="s">
        <v>29</v>
      </c>
      <c r="T120" s="200" t="s">
        <v>29</v>
      </c>
      <c r="U120" s="200" t="s">
        <v>29</v>
      </c>
      <c r="V120" s="200" t="s">
        <v>29</v>
      </c>
      <c r="W120" s="200" t="s">
        <v>29</v>
      </c>
      <c r="X120" s="200" t="s">
        <v>29</v>
      </c>
    </row>
    <row r="121" spans="1:24" ht="11.25" customHeight="1" x14ac:dyDescent="0.25">
      <c r="A121" s="383">
        <v>1998</v>
      </c>
      <c r="B121" s="200" t="s">
        <v>29</v>
      </c>
      <c r="C121" s="200" t="str">
        <f>IF(AND('A-3'!B121="-",'A-3'!B168="-",'A-3'!B215="-"),"-",SUM('A-3'!B121,'A-3'!B168,'A-3'!B215))</f>
        <v>-</v>
      </c>
      <c r="D121" s="200">
        <f>IF(AND('A-3'!C121="-",'A-3'!C168="-",'A-3'!C215="-"),"-",SUM('A-3'!C121,'A-3'!C168,'A-3'!C215))</f>
        <v>76266</v>
      </c>
      <c r="E121" s="200">
        <f>IF(AND('A-3'!D121="-",'A-3'!D168="-",'A-3'!D215="-"),"-",SUM('A-3'!D121,'A-3'!D168,'A-3'!D215))</f>
        <v>39438</v>
      </c>
      <c r="F121" s="200">
        <f>IF(AND('A-3'!E121="-",'A-3'!E168="-",'A-3'!E215="-"),"-",SUM('A-3'!E121,'A-3'!E168,'A-3'!E215))</f>
        <v>74931</v>
      </c>
      <c r="G121" s="200">
        <f>IF(AND('A-3'!F121="-",'A-3'!F168="-",'A-3'!F215="-"),"-",SUM('A-3'!F121,'A-3'!F168,'A-3'!F215))</f>
        <v>15900</v>
      </c>
      <c r="H121" s="200">
        <f>IF(AND('A-3'!G121="-",'A-3'!G168="-",'A-3'!G215="-"),"-",SUM('A-3'!G121,'A-3'!G168,'A-3'!G215))</f>
        <v>17900</v>
      </c>
      <c r="I121" s="200" t="str">
        <f>IF(AND('A-3'!H121="-",'A-3'!H168="-",'A-3'!H215="-"),"-",SUM('A-3'!H121,'A-3'!H168,'A-3'!H215))</f>
        <v>-</v>
      </c>
      <c r="J121" s="200" t="s">
        <v>29</v>
      </c>
      <c r="K121" s="200" t="s">
        <v>29</v>
      </c>
      <c r="L121" s="200">
        <f>IF(AND('A-3'!I121="-",'A-3'!I168="-",'A-3'!I215="-"),"-",SUM('A-3'!I121,'A-3'!I168,'A-3'!I215))</f>
        <v>224435</v>
      </c>
      <c r="M121" s="8"/>
      <c r="N121" s="200" t="s">
        <v>29</v>
      </c>
      <c r="O121" s="200" t="s">
        <v>29</v>
      </c>
      <c r="P121" s="200" t="s">
        <v>29</v>
      </c>
      <c r="Q121" s="200" t="s">
        <v>29</v>
      </c>
      <c r="R121" s="200" t="s">
        <v>29</v>
      </c>
      <c r="S121" s="200" t="s">
        <v>29</v>
      </c>
      <c r="T121" s="200" t="s">
        <v>29</v>
      </c>
      <c r="U121" s="200" t="s">
        <v>29</v>
      </c>
      <c r="V121" s="200" t="s">
        <v>29</v>
      </c>
      <c r="W121" s="200" t="s">
        <v>29</v>
      </c>
      <c r="X121" s="200" t="s">
        <v>29</v>
      </c>
    </row>
    <row r="122" spans="1:24" ht="11.25" customHeight="1" x14ac:dyDescent="0.25">
      <c r="A122" s="383">
        <v>1999</v>
      </c>
      <c r="B122" s="200" t="s">
        <v>29</v>
      </c>
      <c r="C122" s="200">
        <f>IF(AND('A-3'!B122="-",'A-3'!B169="-",'A-3'!B216="-"),"-",SUM('A-3'!B122,'A-3'!B169,'A-3'!B216))</f>
        <v>3268</v>
      </c>
      <c r="D122" s="200">
        <f>IF(AND('A-3'!C122="-",'A-3'!C169="-",'A-3'!C216="-"),"-",SUM('A-3'!C122,'A-3'!C169,'A-3'!C216))</f>
        <v>30554</v>
      </c>
      <c r="E122" s="200">
        <f>IF(AND('A-3'!D122="-",'A-3'!D169="-",'A-3'!D216="-"),"-",SUM('A-3'!D122,'A-3'!D169,'A-3'!D216))</f>
        <v>125629</v>
      </c>
      <c r="F122" s="200">
        <f>IF(AND('A-3'!E122="-",'A-3'!E169="-",'A-3'!E216="-"),"-",SUM('A-3'!E122,'A-3'!E169,'A-3'!E216))</f>
        <v>71469</v>
      </c>
      <c r="G122" s="200">
        <f>IF(AND('A-3'!F122="-",'A-3'!F169="-",'A-3'!F216="-"),"-",SUM('A-3'!F122,'A-3'!F169,'A-3'!F216))</f>
        <v>24035</v>
      </c>
      <c r="H122" s="200">
        <f>IF(AND('A-3'!G122="-",'A-3'!G169="-",'A-3'!G216="-"),"-",SUM('A-3'!G122,'A-3'!G169,'A-3'!G216))</f>
        <v>6997</v>
      </c>
      <c r="I122" s="200" t="str">
        <f>IF(AND('A-3'!H122="-",'A-3'!H169="-",'A-3'!H216="-"),"-",SUM('A-3'!H122,'A-3'!H169,'A-3'!H216))</f>
        <v>-</v>
      </c>
      <c r="J122" s="200" t="s">
        <v>29</v>
      </c>
      <c r="K122" s="200" t="s">
        <v>29</v>
      </c>
      <c r="L122" s="200">
        <f>IF(AND('A-3'!I122="-",'A-3'!I169="-",'A-3'!I216="-"),"-",SUM('A-3'!I122,'A-3'!I169,'A-3'!I216))</f>
        <v>261952</v>
      </c>
      <c r="M122" s="8"/>
      <c r="N122" s="200" t="s">
        <v>29</v>
      </c>
      <c r="O122" s="200" t="s">
        <v>29</v>
      </c>
      <c r="P122" s="200" t="s">
        <v>29</v>
      </c>
      <c r="Q122" s="200" t="s">
        <v>29</v>
      </c>
      <c r="R122" s="200" t="s">
        <v>29</v>
      </c>
      <c r="S122" s="200" t="s">
        <v>29</v>
      </c>
      <c r="T122" s="200" t="s">
        <v>29</v>
      </c>
      <c r="U122" s="200" t="s">
        <v>29</v>
      </c>
      <c r="V122" s="200" t="s">
        <v>29</v>
      </c>
      <c r="W122" s="200" t="s">
        <v>29</v>
      </c>
      <c r="X122" s="200" t="s">
        <v>29</v>
      </c>
    </row>
    <row r="123" spans="1:24" ht="11.25" customHeight="1" x14ac:dyDescent="0.25">
      <c r="A123" s="383">
        <v>2000</v>
      </c>
      <c r="B123" s="200" t="s">
        <v>29</v>
      </c>
      <c r="C123" s="200" t="str">
        <f>IF(AND('A-3'!B123="-",'A-3'!B170="-",'A-3'!B217="-"),"-",SUM('A-3'!B123,'A-3'!B170,'A-3'!B217))</f>
        <v>-</v>
      </c>
      <c r="D123" s="200">
        <f>IF(AND('A-3'!C123="-",'A-3'!C170="-",'A-3'!C217="-"),"-",SUM('A-3'!C123,'A-3'!C170,'A-3'!C217))</f>
        <v>205634</v>
      </c>
      <c r="E123" s="200">
        <f>IF(AND('A-3'!D123="-",'A-3'!D170="-",'A-3'!D217="-"),"-",SUM('A-3'!D123,'A-3'!D170,'A-3'!D217))</f>
        <v>138470</v>
      </c>
      <c r="F123" s="200">
        <f>IF(AND('A-3'!E123="-",'A-3'!E170="-",'A-3'!E217="-"),"-",SUM('A-3'!E123,'A-3'!E170,'A-3'!E217))</f>
        <v>47403</v>
      </c>
      <c r="G123" s="200">
        <f>IF(AND('A-3'!F123="-",'A-3'!F170="-",'A-3'!F217="-"),"-",SUM('A-3'!F123,'A-3'!F170,'A-3'!F217))</f>
        <v>27033</v>
      </c>
      <c r="H123" s="200">
        <f>IF(AND('A-3'!G123="-",'A-3'!G170="-",'A-3'!G217="-"),"-",SUM('A-3'!G123,'A-3'!G170,'A-3'!G217))</f>
        <v>59785</v>
      </c>
      <c r="I123" s="200" t="str">
        <f>IF(AND('A-3'!H123="-",'A-3'!H170="-",'A-3'!H217="-"),"-",SUM('A-3'!H123,'A-3'!H170,'A-3'!H217))</f>
        <v>-</v>
      </c>
      <c r="J123" s="200" t="s">
        <v>29</v>
      </c>
      <c r="K123" s="200" t="s">
        <v>29</v>
      </c>
      <c r="L123" s="200">
        <f>IF(AND('A-3'!I123="-",'A-3'!I170="-",'A-3'!I217="-"),"-",SUM('A-3'!I123,'A-3'!I170,'A-3'!I217))</f>
        <v>478325</v>
      </c>
      <c r="M123" s="8"/>
      <c r="N123" s="200" t="s">
        <v>29</v>
      </c>
      <c r="O123" s="200" t="s">
        <v>29</v>
      </c>
      <c r="P123" s="200" t="s">
        <v>29</v>
      </c>
      <c r="Q123" s="200" t="s">
        <v>29</v>
      </c>
      <c r="R123" s="200" t="s">
        <v>29</v>
      </c>
      <c r="S123" s="200" t="s">
        <v>29</v>
      </c>
      <c r="T123" s="200" t="s">
        <v>29</v>
      </c>
      <c r="U123" s="200" t="s">
        <v>29</v>
      </c>
      <c r="V123" s="200" t="s">
        <v>29</v>
      </c>
      <c r="W123" s="200" t="s">
        <v>29</v>
      </c>
      <c r="X123" s="200" t="s">
        <v>29</v>
      </c>
    </row>
    <row r="124" spans="1:24" ht="11.25" customHeight="1" x14ac:dyDescent="0.25">
      <c r="A124" s="383">
        <v>2001</v>
      </c>
      <c r="B124" s="200" t="s">
        <v>29</v>
      </c>
      <c r="C124" s="200" t="str">
        <f>IF(AND('A-3'!B124="-",'A-3'!B171="-",'A-3'!B218="-"),"-",SUM('A-3'!B124,'A-3'!B171,'A-3'!B218))</f>
        <v>-</v>
      </c>
      <c r="D124" s="200">
        <f>IF(AND('A-3'!C124="-",'A-3'!C171="-",'A-3'!C218="-"),"-",SUM('A-3'!C124,'A-3'!C171,'A-3'!C218))</f>
        <v>73044</v>
      </c>
      <c r="E124" s="200">
        <f>IF(AND('A-3'!D124="-",'A-3'!D171="-",'A-3'!D218="-"),"-",SUM('A-3'!D124,'A-3'!D171,'A-3'!D218))</f>
        <v>11497</v>
      </c>
      <c r="F124" s="200">
        <f>IF(AND('A-3'!E124="-",'A-3'!E171="-",'A-3'!E218="-"),"-",SUM('A-3'!E124,'A-3'!E171,'A-3'!E218))</f>
        <v>63084</v>
      </c>
      <c r="G124" s="200">
        <f>IF(AND('A-3'!F124="-",'A-3'!F171="-",'A-3'!F218="-"),"-",SUM('A-3'!F124,'A-3'!F171,'A-3'!F218))</f>
        <v>14172</v>
      </c>
      <c r="H124" s="200">
        <f>IF(AND('A-3'!G124="-",'A-3'!G171="-",'A-3'!G218="-"),"-",SUM('A-3'!G124,'A-3'!G171,'A-3'!G218))</f>
        <v>22111</v>
      </c>
      <c r="I124" s="200">
        <f>IF(AND('A-3'!H124="-",'A-3'!H171="-",'A-3'!H218="-"),"-",SUM('A-3'!H124,'A-3'!H171,'A-3'!H218))</f>
        <v>3655</v>
      </c>
      <c r="J124" s="200" t="s">
        <v>29</v>
      </c>
      <c r="K124" s="200" t="s">
        <v>29</v>
      </c>
      <c r="L124" s="200">
        <f>IF(AND('A-3'!I124="-",'A-3'!I171="-",'A-3'!I218="-"),"-",SUM('A-3'!I124,'A-3'!I171,'A-3'!I218))</f>
        <v>187563</v>
      </c>
      <c r="M124" s="8"/>
      <c r="N124" s="200" t="s">
        <v>29</v>
      </c>
      <c r="O124" s="200" t="s">
        <v>29</v>
      </c>
      <c r="P124" s="200" t="s">
        <v>29</v>
      </c>
      <c r="Q124" s="200" t="s">
        <v>29</v>
      </c>
      <c r="R124" s="200" t="s">
        <v>29</v>
      </c>
      <c r="S124" s="200" t="s">
        <v>29</v>
      </c>
      <c r="T124" s="200" t="s">
        <v>29</v>
      </c>
      <c r="U124" s="200" t="s">
        <v>29</v>
      </c>
      <c r="V124" s="200" t="s">
        <v>29</v>
      </c>
      <c r="W124" s="200" t="s">
        <v>29</v>
      </c>
      <c r="X124" s="200" t="s">
        <v>29</v>
      </c>
    </row>
    <row r="125" spans="1:24" ht="11.25" customHeight="1" x14ac:dyDescent="0.25">
      <c r="A125" s="383">
        <v>2002</v>
      </c>
      <c r="B125" s="200" t="s">
        <v>29</v>
      </c>
      <c r="C125" s="200" t="str">
        <f>IF(AND('A-3'!B125="-",'A-3'!B172="-",'A-3'!B219="-"),"-",SUM('A-3'!B125,'A-3'!B172,'A-3'!B219))</f>
        <v>-</v>
      </c>
      <c r="D125" s="200">
        <f>IF(AND('A-3'!C125="-",'A-3'!C172="-",'A-3'!C219="-"),"-",SUM('A-3'!C125,'A-3'!C172,'A-3'!C219))</f>
        <v>86120</v>
      </c>
      <c r="E125" s="200">
        <f>IF(AND('A-3'!D125="-",'A-3'!D172="-",'A-3'!D219="-"),"-",SUM('A-3'!D125,'A-3'!D172,'A-3'!D219))</f>
        <v>93214</v>
      </c>
      <c r="F125" s="200">
        <f>IF(AND('A-3'!E125="-",'A-3'!E172="-",'A-3'!E219="-"),"-",SUM('A-3'!E125,'A-3'!E172,'A-3'!E219))</f>
        <v>128032</v>
      </c>
      <c r="G125" s="200">
        <f>IF(AND('A-3'!F125="-",'A-3'!F172="-",'A-3'!F219="-"),"-",SUM('A-3'!F125,'A-3'!F172,'A-3'!F219))</f>
        <v>56896</v>
      </c>
      <c r="H125" s="200">
        <f>IF(AND('A-3'!G125="-",'A-3'!G172="-",'A-3'!G219="-"),"-",SUM('A-3'!G125,'A-3'!G172,'A-3'!G219))</f>
        <v>13456</v>
      </c>
      <c r="I125" s="200">
        <f>IF(AND('A-3'!H125="-",'A-3'!H172="-",'A-3'!H219="-"),"-",SUM('A-3'!H125,'A-3'!H172,'A-3'!H219))</f>
        <v>470</v>
      </c>
      <c r="J125" s="200" t="s">
        <v>29</v>
      </c>
      <c r="K125" s="200" t="s">
        <v>29</v>
      </c>
      <c r="L125" s="200">
        <f>IF(AND('A-3'!I125="-",'A-3'!I172="-",'A-3'!I219="-"),"-",SUM('A-3'!I125,'A-3'!I172,'A-3'!I219))</f>
        <v>378188</v>
      </c>
      <c r="M125" s="8"/>
      <c r="N125" s="200" t="s">
        <v>29</v>
      </c>
      <c r="O125" s="200" t="s">
        <v>29</v>
      </c>
      <c r="P125" s="200" t="s">
        <v>29</v>
      </c>
      <c r="Q125" s="200" t="s">
        <v>29</v>
      </c>
      <c r="R125" s="200" t="s">
        <v>29</v>
      </c>
      <c r="S125" s="200" t="s">
        <v>29</v>
      </c>
      <c r="T125" s="200" t="s">
        <v>29</v>
      </c>
      <c r="U125" s="200" t="s">
        <v>29</v>
      </c>
      <c r="V125" s="200" t="s">
        <v>29</v>
      </c>
      <c r="W125" s="200" t="s">
        <v>29</v>
      </c>
      <c r="X125" s="200" t="s">
        <v>29</v>
      </c>
    </row>
    <row r="126" spans="1:24" ht="11.25" customHeight="1" x14ac:dyDescent="0.25">
      <c r="A126" s="383">
        <v>2003</v>
      </c>
      <c r="B126" s="200" t="s">
        <v>29</v>
      </c>
      <c r="C126" s="200" t="str">
        <f>IF(AND('A-3'!B126="-",'A-3'!B173="-",'A-3'!B220="-"),"-",SUM('A-3'!B126,'A-3'!B173,'A-3'!B220))</f>
        <v>-</v>
      </c>
      <c r="D126" s="200">
        <f>IF(AND('A-3'!C126="-",'A-3'!C173="-",'A-3'!C220="-"),"-",SUM('A-3'!C126,'A-3'!C173,'A-3'!C220))</f>
        <v>73234</v>
      </c>
      <c r="E126" s="200">
        <f>IF(AND('A-3'!D126="-",'A-3'!D173="-",'A-3'!D220="-"),"-",SUM('A-3'!D126,'A-3'!D173,'A-3'!D220))</f>
        <v>104201</v>
      </c>
      <c r="F126" s="200">
        <f>IF(AND('A-3'!E126="-",'A-3'!E173="-",'A-3'!E220="-"),"-",SUM('A-3'!E126,'A-3'!E173,'A-3'!E220))</f>
        <v>123712</v>
      </c>
      <c r="G126" s="200">
        <f>IF(AND('A-3'!F126="-",'A-3'!F173="-",'A-3'!F220="-"),"-",SUM('A-3'!F126,'A-3'!F173,'A-3'!F220))</f>
        <v>111086</v>
      </c>
      <c r="H126" s="200">
        <f>IF(AND('A-3'!G126="-",'A-3'!G173="-",'A-3'!G220="-"),"-",SUM('A-3'!G126,'A-3'!G173,'A-3'!G220))</f>
        <v>73735</v>
      </c>
      <c r="I126" s="200">
        <f>IF(AND('A-3'!H126="-",'A-3'!H173="-",'A-3'!H220="-"),"-",SUM('A-3'!H126,'A-3'!H173,'A-3'!H220))</f>
        <v>1882</v>
      </c>
      <c r="J126" s="200" t="s">
        <v>29</v>
      </c>
      <c r="K126" s="200" t="s">
        <v>29</v>
      </c>
      <c r="L126" s="200">
        <f>IF(AND('A-3'!I126="-",'A-3'!I173="-",'A-3'!I220="-"),"-",SUM('A-3'!I126,'A-3'!I173,'A-3'!I220))</f>
        <v>487850</v>
      </c>
      <c r="M126" s="8"/>
      <c r="N126" s="200" t="s">
        <v>29</v>
      </c>
      <c r="O126" s="200" t="s">
        <v>29</v>
      </c>
      <c r="P126" s="200" t="s">
        <v>29</v>
      </c>
      <c r="Q126" s="200" t="s">
        <v>29</v>
      </c>
      <c r="R126" s="200" t="s">
        <v>29</v>
      </c>
      <c r="S126" s="200" t="s">
        <v>29</v>
      </c>
      <c r="T126" s="200" t="s">
        <v>29</v>
      </c>
      <c r="U126" s="200" t="s">
        <v>29</v>
      </c>
      <c r="V126" s="200" t="s">
        <v>29</v>
      </c>
      <c r="W126" s="200" t="s">
        <v>29</v>
      </c>
      <c r="X126" s="200" t="s">
        <v>29</v>
      </c>
    </row>
    <row r="127" spans="1:24" ht="11.25" customHeight="1" x14ac:dyDescent="0.25">
      <c r="A127" s="383">
        <v>2004</v>
      </c>
      <c r="B127" s="200" t="s">
        <v>29</v>
      </c>
      <c r="C127" s="200" t="str">
        <f>IF(AND('A-3'!B127="-",'A-3'!B174="-",'A-3'!B221="-"),"-",SUM('A-3'!B127,'A-3'!B174,'A-3'!B221))</f>
        <v>-</v>
      </c>
      <c r="D127" s="200">
        <f>IF(AND('A-3'!C127="-",'A-3'!C174="-",'A-3'!C221="-"),"-",SUM('A-3'!C127,'A-3'!C174,'A-3'!C221))</f>
        <v>97596</v>
      </c>
      <c r="E127" s="200">
        <f>IF(AND('A-3'!D127="-",'A-3'!D174="-",'A-3'!D221="-"),"-",SUM('A-3'!D127,'A-3'!D174,'A-3'!D221))</f>
        <v>154175</v>
      </c>
      <c r="F127" s="200">
        <f>IF(AND('A-3'!E127="-",'A-3'!E174="-",'A-3'!E221="-"),"-",SUM('A-3'!E127,'A-3'!E174,'A-3'!E221))</f>
        <v>157237</v>
      </c>
      <c r="G127" s="200">
        <f>IF(AND('A-3'!F127="-",'A-3'!F174="-",'A-3'!F221="-"),"-",SUM('A-3'!F127,'A-3'!F174,'A-3'!F221))</f>
        <v>44525</v>
      </c>
      <c r="H127" s="200">
        <f>IF(AND('A-3'!G127="-",'A-3'!G174="-",'A-3'!G221="-"),"-",SUM('A-3'!G127,'A-3'!G174,'A-3'!G221))</f>
        <v>15451</v>
      </c>
      <c r="I127" s="200">
        <f>IF(AND('A-3'!H127="-",'A-3'!H174="-",'A-3'!H221="-"),"-",SUM('A-3'!H127,'A-3'!H174,'A-3'!H221))</f>
        <v>1211</v>
      </c>
      <c r="J127" s="200" t="s">
        <v>29</v>
      </c>
      <c r="K127" s="200" t="s">
        <v>29</v>
      </c>
      <c r="L127" s="200">
        <f>IF(AND('A-3'!I127="-",'A-3'!I174="-",'A-3'!I221="-"),"-",SUM('A-3'!I127,'A-3'!I174,'A-3'!I221))</f>
        <v>470195</v>
      </c>
      <c r="M127" s="8"/>
      <c r="N127" s="200" t="s">
        <v>29</v>
      </c>
      <c r="O127" s="200" t="s">
        <v>29</v>
      </c>
      <c r="P127" s="200" t="s">
        <v>29</v>
      </c>
      <c r="Q127" s="200" t="s">
        <v>29</v>
      </c>
      <c r="R127" s="200" t="s">
        <v>29</v>
      </c>
      <c r="S127" s="200" t="s">
        <v>29</v>
      </c>
      <c r="T127" s="200" t="s">
        <v>29</v>
      </c>
      <c r="U127" s="200" t="s">
        <v>29</v>
      </c>
      <c r="V127" s="200" t="s">
        <v>29</v>
      </c>
      <c r="W127" s="200" t="s">
        <v>29</v>
      </c>
      <c r="X127" s="200" t="s">
        <v>29</v>
      </c>
    </row>
    <row r="128" spans="1:24" ht="11.25" customHeight="1" x14ac:dyDescent="0.25">
      <c r="A128" s="402">
        <v>2005</v>
      </c>
      <c r="B128" s="203" t="s">
        <v>29</v>
      </c>
      <c r="C128" s="203" t="str">
        <f>IF(AND('A-3'!B128="-",'A-3'!B175="-",'A-3'!B222="-"),"-",SUM('A-3'!B128,'A-3'!B175,'A-3'!B222))</f>
        <v>-</v>
      </c>
      <c r="D128" s="203">
        <f>IF(AND('A-3'!C128="-",'A-3'!C175="-",'A-3'!C222="-"),"-",SUM('A-3'!C128,'A-3'!C175,'A-3'!C222))</f>
        <v>76855</v>
      </c>
      <c r="E128" s="203">
        <f>IF(AND('A-3'!D128="-",'A-3'!D175="-",'A-3'!D222="-"),"-",SUM('A-3'!D128,'A-3'!D175,'A-3'!D222))</f>
        <v>5001</v>
      </c>
      <c r="F128" s="203">
        <f>IF(AND('A-3'!E128="-",'A-3'!E175="-",'A-3'!E222="-"),"-",SUM('A-3'!E128,'A-3'!E175,'A-3'!E222))</f>
        <v>139928</v>
      </c>
      <c r="G128" s="203">
        <f>IF(AND('A-3'!F128="-",'A-3'!F175="-",'A-3'!F222="-"),"-",SUM('A-3'!F128,'A-3'!F175,'A-3'!F222))</f>
        <v>35046</v>
      </c>
      <c r="H128" s="203">
        <f>IF(AND('A-3'!G128="-",'A-3'!G175="-",'A-3'!G222="-"),"-",SUM('A-3'!G128,'A-3'!G175,'A-3'!G222))</f>
        <v>74673</v>
      </c>
      <c r="I128" s="203">
        <f>IF(AND('A-3'!H128="-",'A-3'!H175="-",'A-3'!H222="-"),"-",SUM('A-3'!H128,'A-3'!H175,'A-3'!H222))</f>
        <v>2305</v>
      </c>
      <c r="J128" s="203" t="s">
        <v>29</v>
      </c>
      <c r="K128" s="203" t="s">
        <v>29</v>
      </c>
      <c r="L128" s="203">
        <f>IF(AND('A-3'!I128="-",'A-3'!I175="-",'A-3'!I222="-"),"-",SUM('A-3'!I128,'A-3'!I175,'A-3'!I222))</f>
        <v>333808</v>
      </c>
      <c r="M128" s="9"/>
      <c r="N128" s="203" t="s">
        <v>29</v>
      </c>
      <c r="O128" s="203" t="s">
        <v>29</v>
      </c>
      <c r="P128" s="203" t="s">
        <v>29</v>
      </c>
      <c r="Q128" s="203" t="s">
        <v>29</v>
      </c>
      <c r="R128" s="203" t="s">
        <v>29</v>
      </c>
      <c r="S128" s="203" t="s">
        <v>29</v>
      </c>
      <c r="T128" s="203" t="s">
        <v>29</v>
      </c>
      <c r="U128" s="203" t="s">
        <v>29</v>
      </c>
      <c r="V128" s="203" t="s">
        <v>29</v>
      </c>
      <c r="W128" s="203" t="s">
        <v>29</v>
      </c>
      <c r="X128" s="203" t="s">
        <v>29</v>
      </c>
    </row>
    <row r="129" spans="1:24" ht="11.25" customHeight="1" x14ac:dyDescent="0.25">
      <c r="A129" s="383">
        <v>2006</v>
      </c>
      <c r="B129" s="200" t="s">
        <v>29</v>
      </c>
      <c r="C129" s="200" t="str">
        <f>IF(AND('A-3'!B129="-",'A-3'!B176="-",'A-3'!B223="-"),"-",SUM('A-3'!B129,'A-3'!B176,'A-3'!B223))</f>
        <v>-</v>
      </c>
      <c r="D129" s="200">
        <f>IF(AND('A-3'!C129="-",'A-3'!C176="-",'A-3'!C223="-"),"-",SUM('A-3'!C129,'A-3'!C176,'A-3'!C223))</f>
        <v>9911</v>
      </c>
      <c r="E129" s="200">
        <f>IF(AND('A-3'!D129="-",'A-3'!D176="-",'A-3'!D223="-"),"-",SUM('A-3'!D129,'A-3'!D176,'A-3'!D223))</f>
        <v>391</v>
      </c>
      <c r="F129" s="200">
        <f>IF(AND('A-3'!E129="-",'A-3'!E176="-",'A-3'!E223="-"),"-",SUM('A-3'!E129,'A-3'!E176,'A-3'!E223))</f>
        <v>16783</v>
      </c>
      <c r="G129" s="200">
        <f>IF(AND('A-3'!F129="-",'A-3'!F176="-",'A-3'!F223="-"),"-",SUM('A-3'!F129,'A-3'!F176,'A-3'!F223))</f>
        <v>18589</v>
      </c>
      <c r="H129" s="200">
        <f>IF(AND('A-3'!G129="-",'A-3'!G176="-",'A-3'!G223="-"),"-",SUM('A-3'!G129,'A-3'!G176,'A-3'!G223))</f>
        <v>22982</v>
      </c>
      <c r="I129" s="200">
        <f>IF(AND('A-3'!H129="-",'A-3'!H176="-",'A-3'!H223="-"),"-",SUM('A-3'!H129,'A-3'!H176,'A-3'!H223))</f>
        <v>1072</v>
      </c>
      <c r="J129" s="200" t="s">
        <v>29</v>
      </c>
      <c r="K129" s="200" t="s">
        <v>29</v>
      </c>
      <c r="L129" s="200">
        <f>IF(AND('A-3'!I129="-",'A-3'!I176="-",'A-3'!I223="-"),"-",SUM('A-3'!I129,'A-3'!I176,'A-3'!I223))</f>
        <v>69728</v>
      </c>
      <c r="M129" s="8"/>
      <c r="N129" s="200" t="s">
        <v>29</v>
      </c>
      <c r="O129" s="200" t="s">
        <v>29</v>
      </c>
      <c r="P129" s="200" t="s">
        <v>29</v>
      </c>
      <c r="Q129" s="200" t="s">
        <v>29</v>
      </c>
      <c r="R129" s="200" t="s">
        <v>29</v>
      </c>
      <c r="S129" s="200" t="s">
        <v>29</v>
      </c>
      <c r="T129" s="200" t="s">
        <v>29</v>
      </c>
      <c r="U129" s="200" t="s">
        <v>29</v>
      </c>
      <c r="V129" s="200" t="s">
        <v>29</v>
      </c>
      <c r="W129" s="200" t="s">
        <v>29</v>
      </c>
      <c r="X129" s="200" t="s">
        <v>29</v>
      </c>
    </row>
    <row r="130" spans="1:24" ht="11.25" customHeight="1" x14ac:dyDescent="0.25">
      <c r="A130" s="402">
        <v>2007</v>
      </c>
      <c r="B130" s="203" t="s">
        <v>29</v>
      </c>
      <c r="C130" s="203">
        <f>IF(AND('A-3'!B130="-",'A-3'!B177="-",'A-3'!B224="-"),"-",SUM('A-3'!B130,'A-3'!B177,'A-3'!B224))</f>
        <v>748</v>
      </c>
      <c r="D130" s="203">
        <f>IF(AND('A-3'!C130="-",'A-3'!C177="-",'A-3'!C224="-"),"-",SUM('A-3'!C130,'A-3'!C177,'A-3'!C224))</f>
        <v>36598</v>
      </c>
      <c r="E130" s="203">
        <f>IF(AND('A-3'!D130="-",'A-3'!D177="-",'A-3'!D224="-"),"-",SUM('A-3'!D130,'A-3'!D177,'A-3'!D224))</f>
        <v>156</v>
      </c>
      <c r="F130" s="203">
        <f>IF(AND('A-3'!E130="-",'A-3'!E177="-",'A-3'!E224="-"),"-",SUM('A-3'!E130,'A-3'!E177,'A-3'!E224))</f>
        <v>41808</v>
      </c>
      <c r="G130" s="203">
        <f>IF(AND('A-3'!F130="-",'A-3'!F177="-",'A-3'!F224="-"),"-",SUM('A-3'!F130,'A-3'!F177,'A-3'!F224))</f>
        <v>23212</v>
      </c>
      <c r="H130" s="203">
        <f>IF(AND('A-3'!G130="-",'A-3'!G177="-",'A-3'!G224="-"),"-",SUM('A-3'!G130,'A-3'!G177,'A-3'!G224))</f>
        <v>2505</v>
      </c>
      <c r="I130" s="203">
        <f>IF(AND('A-3'!H130="-",'A-3'!H177="-",'A-3'!H224="-"),"-",SUM('A-3'!H130,'A-3'!H177,'A-3'!H224))</f>
        <v>352</v>
      </c>
      <c r="J130" s="203" t="s">
        <v>29</v>
      </c>
      <c r="K130" s="203" t="s">
        <v>29</v>
      </c>
      <c r="L130" s="203">
        <f>IF(AND('A-3'!I130="-",'A-3'!I177="-",'A-3'!I224="-"),"-",SUM('A-3'!I130,'A-3'!I177,'A-3'!I224))</f>
        <v>105379</v>
      </c>
      <c r="M130" s="9"/>
      <c r="N130" s="203" t="s">
        <v>29</v>
      </c>
      <c r="O130" s="203" t="s">
        <v>29</v>
      </c>
      <c r="P130" s="203" t="s">
        <v>29</v>
      </c>
      <c r="Q130" s="203" t="s">
        <v>29</v>
      </c>
      <c r="R130" s="203" t="s">
        <v>29</v>
      </c>
      <c r="S130" s="203" t="s">
        <v>29</v>
      </c>
      <c r="T130" s="203" t="s">
        <v>29</v>
      </c>
      <c r="U130" s="203" t="s">
        <v>29</v>
      </c>
      <c r="V130" s="203" t="s">
        <v>29</v>
      </c>
      <c r="W130" s="203" t="s">
        <v>29</v>
      </c>
      <c r="X130" s="203" t="s">
        <v>29</v>
      </c>
    </row>
    <row r="131" spans="1:24" ht="11.25" customHeight="1" x14ac:dyDescent="0.25">
      <c r="A131" s="402">
        <v>2009</v>
      </c>
      <c r="B131" s="203" t="s">
        <v>29</v>
      </c>
      <c r="C131" s="203" t="str">
        <f>IF(AND('A-3'!B131="-",'A-3'!B178="-",'A-3'!B225="-"),"-",SUM('A-3'!B131,'A-3'!B178,'A-3'!B225))</f>
        <v>-</v>
      </c>
      <c r="D131" s="203" t="str">
        <f>IF(AND('A-3'!C131="-",'A-3'!C178="-",'A-3'!C225="-"),"-",SUM('A-3'!C131,'A-3'!C178,'A-3'!C225))</f>
        <v>-</v>
      </c>
      <c r="E131" s="203" t="str">
        <f>IF(AND('A-3'!D131="-",'A-3'!D178="-",'A-3'!D225="-"),"-",SUM('A-3'!D131,'A-3'!D178,'A-3'!D225))</f>
        <v>-</v>
      </c>
      <c r="F131" s="203" t="str">
        <f>IF(AND('A-3'!E131="-",'A-3'!E178="-",'A-3'!E225="-"),"-",SUM('A-3'!E131,'A-3'!E178,'A-3'!E225))</f>
        <v>-</v>
      </c>
      <c r="G131" s="203" t="str">
        <f>IF(AND('A-3'!F131="-",'A-3'!F178="-",'A-3'!F225="-"),"-",SUM('A-3'!F131,'A-3'!F178,'A-3'!F225))</f>
        <v>-</v>
      </c>
      <c r="H131" s="203" t="str">
        <f>IF(AND('A-3'!G131="-",'A-3'!G178="-",'A-3'!G225="-"),"-",SUM('A-3'!G131,'A-3'!G178,'A-3'!G225))</f>
        <v>-</v>
      </c>
      <c r="I131" s="203" t="str">
        <f>IF(AND('A-3'!H131="-",'A-3'!H178="-",'A-3'!H225="-"),"-",SUM('A-3'!H131,'A-3'!H178,'A-3'!H225))</f>
        <v>-</v>
      </c>
      <c r="J131" s="203" t="s">
        <v>29</v>
      </c>
      <c r="K131" s="203" t="s">
        <v>29</v>
      </c>
      <c r="L131" s="203" t="str">
        <f>IF(AND('A-3'!I131="-",'A-3'!I178="-",'A-3'!I225="-"),"-",SUM('A-3'!I131,'A-3'!I178,'A-3'!I225))</f>
        <v>-</v>
      </c>
      <c r="M131" s="9"/>
      <c r="N131" s="203" t="s">
        <v>29</v>
      </c>
      <c r="O131" s="203" t="s">
        <v>29</v>
      </c>
      <c r="P131" s="203" t="s">
        <v>29</v>
      </c>
      <c r="Q131" s="203" t="s">
        <v>29</v>
      </c>
      <c r="R131" s="203" t="s">
        <v>29</v>
      </c>
      <c r="S131" s="203" t="s">
        <v>29</v>
      </c>
      <c r="T131" s="203" t="s">
        <v>29</v>
      </c>
      <c r="U131" s="203" t="s">
        <v>29</v>
      </c>
      <c r="V131" s="203" t="s">
        <v>29</v>
      </c>
      <c r="W131" s="203" t="s">
        <v>29</v>
      </c>
      <c r="X131" s="203" t="s">
        <v>29</v>
      </c>
    </row>
    <row r="132" spans="1:24" ht="11.25" customHeight="1" x14ac:dyDescent="0.25">
      <c r="A132" s="402">
        <v>2009</v>
      </c>
      <c r="B132" s="203" t="s">
        <v>29</v>
      </c>
      <c r="C132" s="203" t="str">
        <f>IF(AND('A-3'!B132="-",'A-3'!B179="-",'A-3'!B226="-"),"-",SUM('A-3'!B132,'A-3'!B179,'A-3'!B226))</f>
        <v>-</v>
      </c>
      <c r="D132" s="203" t="str">
        <f>IF(AND('A-3'!C132="-",'A-3'!C179="-",'A-3'!C226="-"),"-",SUM('A-3'!C132,'A-3'!C179,'A-3'!C226))</f>
        <v>-</v>
      </c>
      <c r="E132" s="203" t="str">
        <f>IF(AND('A-3'!D132="-",'A-3'!D179="-",'A-3'!D226="-"),"-",SUM('A-3'!D132,'A-3'!D179,'A-3'!D226))</f>
        <v>-</v>
      </c>
      <c r="F132" s="203" t="str">
        <f>IF(AND('A-3'!E132="-",'A-3'!E179="-",'A-3'!E226="-"),"-",SUM('A-3'!E132,'A-3'!E179,'A-3'!E226))</f>
        <v>-</v>
      </c>
      <c r="G132" s="203" t="str">
        <f>IF(AND('A-3'!F132="-",'A-3'!F179="-",'A-3'!F226="-"),"-",SUM('A-3'!F132,'A-3'!F179,'A-3'!F226))</f>
        <v>-</v>
      </c>
      <c r="H132" s="203" t="str">
        <f>IF(AND('A-3'!G132="-",'A-3'!G179="-",'A-3'!G226="-"),"-",SUM('A-3'!G132,'A-3'!G179,'A-3'!G226))</f>
        <v>-</v>
      </c>
      <c r="I132" s="203" t="str">
        <f>IF(AND('A-3'!H132="-",'A-3'!H179="-",'A-3'!H226="-"),"-",SUM('A-3'!H132,'A-3'!H179,'A-3'!H226))</f>
        <v>-</v>
      </c>
      <c r="J132" s="203" t="s">
        <v>29</v>
      </c>
      <c r="K132" s="203" t="s">
        <v>29</v>
      </c>
      <c r="L132" s="203" t="str">
        <f>IF(AND('A-3'!I132="-",'A-3'!I179="-",'A-3'!I226="-"),"-",SUM('A-3'!I132,'A-3'!I179,'A-3'!I226))</f>
        <v>-</v>
      </c>
      <c r="M132" s="9"/>
      <c r="N132" s="203" t="s">
        <v>29</v>
      </c>
      <c r="O132" s="203" t="s">
        <v>29</v>
      </c>
      <c r="P132" s="203" t="s">
        <v>29</v>
      </c>
      <c r="Q132" s="203" t="s">
        <v>29</v>
      </c>
      <c r="R132" s="203" t="s">
        <v>29</v>
      </c>
      <c r="S132" s="203" t="s">
        <v>29</v>
      </c>
      <c r="T132" s="203" t="s">
        <v>29</v>
      </c>
      <c r="U132" s="203" t="s">
        <v>29</v>
      </c>
      <c r="V132" s="203" t="s">
        <v>29</v>
      </c>
      <c r="W132" s="203" t="s">
        <v>29</v>
      </c>
      <c r="X132" s="203" t="s">
        <v>29</v>
      </c>
    </row>
    <row r="133" spans="1:24" ht="11.25" customHeight="1" x14ac:dyDescent="0.25">
      <c r="A133" s="402">
        <v>2010</v>
      </c>
      <c r="B133" s="203" t="s">
        <v>29</v>
      </c>
      <c r="C133" s="203" t="str">
        <f>IF(AND('A-3'!B133="-",'A-3'!B180="-",'A-3'!B227="-"),"-",SUM('A-3'!B133,'A-3'!B180,'A-3'!B227))</f>
        <v>-</v>
      </c>
      <c r="D133" s="203" t="str">
        <f>IF(AND('A-3'!C133="-",'A-3'!C180="-",'A-3'!C227="-"),"-",SUM('A-3'!C133,'A-3'!C180,'A-3'!C227))</f>
        <v>-</v>
      </c>
      <c r="E133" s="203" t="str">
        <f>IF(AND('A-3'!D133="-",'A-3'!D180="-",'A-3'!D227="-"),"-",SUM('A-3'!D133,'A-3'!D180,'A-3'!D227))</f>
        <v>-</v>
      </c>
      <c r="F133" s="203">
        <f>IF(AND('A-3'!E133="-",'A-3'!E180="-",'A-3'!E227="-"),"-",SUM('A-3'!E133,'A-3'!E180,'A-3'!E227))</f>
        <v>8906</v>
      </c>
      <c r="G133" s="203">
        <f>IF(AND('A-3'!F133="-",'A-3'!F180="-",'A-3'!F227="-"),"-",SUM('A-3'!F133,'A-3'!F180,'A-3'!F227))</f>
        <v>6182</v>
      </c>
      <c r="H133" s="203" t="str">
        <f>IF(AND('A-3'!G133="-",'A-3'!G180="-",'A-3'!G227="-"),"-",SUM('A-3'!G133,'A-3'!G180,'A-3'!G227))</f>
        <v>-</v>
      </c>
      <c r="I133" s="203" t="str">
        <f>IF(AND('A-3'!H133="-",'A-3'!H180="-",'A-3'!H227="-"),"-",SUM('A-3'!H133,'A-3'!H180,'A-3'!H227))</f>
        <v>-</v>
      </c>
      <c r="J133" s="203" t="s">
        <v>29</v>
      </c>
      <c r="K133" s="203" t="s">
        <v>29</v>
      </c>
      <c r="L133" s="203">
        <f>IF(AND('A-3'!I133="-",'A-3'!I180="-",'A-3'!I227="-"),"-",SUM('A-3'!I133,'A-3'!I180,'A-3'!I227))</f>
        <v>15088</v>
      </c>
      <c r="M133" s="9"/>
      <c r="N133" s="203" t="s">
        <v>29</v>
      </c>
      <c r="O133" s="203" t="s">
        <v>29</v>
      </c>
      <c r="P133" s="203" t="s">
        <v>29</v>
      </c>
      <c r="Q133" s="203" t="s">
        <v>29</v>
      </c>
      <c r="R133" s="203" t="s">
        <v>29</v>
      </c>
      <c r="S133" s="203" t="s">
        <v>29</v>
      </c>
      <c r="T133" s="203" t="s">
        <v>29</v>
      </c>
      <c r="U133" s="203" t="s">
        <v>29</v>
      </c>
      <c r="V133" s="203" t="s">
        <v>29</v>
      </c>
      <c r="W133" s="203" t="s">
        <v>29</v>
      </c>
      <c r="X133" s="203" t="s">
        <v>29</v>
      </c>
    </row>
    <row r="134" spans="1:24" ht="11.25" customHeight="1" x14ac:dyDescent="0.25">
      <c r="A134" s="402">
        <v>2011</v>
      </c>
      <c r="B134" s="203" t="s">
        <v>29</v>
      </c>
      <c r="C134" s="203" t="str">
        <f>IF(AND('A-3'!B134="-",'A-3'!B181="-",'A-3'!B228="-"),"-",SUM('A-3'!B134,'A-3'!B181,'A-3'!B228))</f>
        <v>-</v>
      </c>
      <c r="D134" s="203">
        <f>IF(AND('A-3'!C134="-",'A-3'!C181="-",'A-3'!C228="-"),"-",SUM('A-3'!C134,'A-3'!C181,'A-3'!C228))</f>
        <v>11732</v>
      </c>
      <c r="E134" s="203">
        <f>IF(AND('A-3'!D134="-",'A-3'!D181="-",'A-3'!D228="-"),"-",SUM('A-3'!D134,'A-3'!D181,'A-3'!D228))</f>
        <v>4189</v>
      </c>
      <c r="F134" s="203">
        <f>IF(AND('A-3'!E134="-",'A-3'!E181="-",'A-3'!E228="-"),"-",SUM('A-3'!E134,'A-3'!E181,'A-3'!E228))</f>
        <v>30085</v>
      </c>
      <c r="G134" s="203">
        <f>IF(AND('A-3'!F134="-",'A-3'!F181="-",'A-3'!F228="-"),"-",SUM('A-3'!F134,'A-3'!F181,'A-3'!F228))</f>
        <v>19494</v>
      </c>
      <c r="H134" s="203">
        <f>IF(AND('A-3'!G134="-",'A-3'!G181="-",'A-3'!G228="-"),"-",SUM('A-3'!G134,'A-3'!G181,'A-3'!G228))</f>
        <v>1820</v>
      </c>
      <c r="I134" s="203">
        <f>IF(AND('A-3'!H134="-",'A-3'!H181="-",'A-3'!H228="-"),"-",SUM('A-3'!H134,'A-3'!H181,'A-3'!H228))</f>
        <v>317</v>
      </c>
      <c r="J134" s="203" t="s">
        <v>29</v>
      </c>
      <c r="K134" s="203" t="s">
        <v>29</v>
      </c>
      <c r="L134" s="203">
        <f>IF(AND('A-3'!I134="-",'A-3'!I181="-",'A-3'!I228="-"),"-",SUM('A-3'!I134,'A-3'!I181,'A-3'!I228))</f>
        <v>67637</v>
      </c>
      <c r="M134" s="9"/>
      <c r="N134" s="203" t="s">
        <v>29</v>
      </c>
      <c r="O134" s="203" t="s">
        <v>29</v>
      </c>
      <c r="P134" s="203" t="s">
        <v>29</v>
      </c>
      <c r="Q134" s="203" t="s">
        <v>29</v>
      </c>
      <c r="R134" s="203" t="s">
        <v>29</v>
      </c>
      <c r="S134" s="203" t="s">
        <v>29</v>
      </c>
      <c r="T134" s="203" t="s">
        <v>29</v>
      </c>
      <c r="U134" s="203" t="s">
        <v>29</v>
      </c>
      <c r="V134" s="203" t="s">
        <v>29</v>
      </c>
      <c r="W134" s="203" t="s">
        <v>29</v>
      </c>
      <c r="X134" s="203" t="s">
        <v>29</v>
      </c>
    </row>
    <row r="135" spans="1:24" ht="11.25" customHeight="1" x14ac:dyDescent="0.25">
      <c r="A135" s="402">
        <v>2012</v>
      </c>
      <c r="B135" s="203" t="s">
        <v>29</v>
      </c>
      <c r="C135" s="203" t="str">
        <f>IF(AND('A-3'!B135="-",'A-3'!B182="-",'A-3'!B229="-"),"-",SUM('A-3'!B135,'A-3'!B182,'A-3'!B229))</f>
        <v>-</v>
      </c>
      <c r="D135" s="203">
        <f>IF(AND('A-3'!C135="-",'A-3'!C182="-",'A-3'!C229="-"),"-",SUM('A-3'!C135,'A-3'!C182,'A-3'!C229))</f>
        <v>58857</v>
      </c>
      <c r="E135" s="203">
        <f>IF(AND('A-3'!D135="-",'A-3'!D182="-",'A-3'!D229="-"),"-",SUM('A-3'!D135,'A-3'!D182,'A-3'!D229))</f>
        <v>19385</v>
      </c>
      <c r="F135" s="203">
        <f>IF(AND('A-3'!E135="-",'A-3'!E182="-",'A-3'!E229="-"),"-",SUM('A-3'!E135,'A-3'!E182,'A-3'!E229))</f>
        <v>92842</v>
      </c>
      <c r="G135" s="203">
        <f>IF(AND('A-3'!F135="-",'A-3'!F182="-",'A-3'!F229="-"),"-",SUM('A-3'!F135,'A-3'!F182,'A-3'!F229))</f>
        <v>28266</v>
      </c>
      <c r="H135" s="203">
        <f>IF(AND('A-3'!G135="-",'A-3'!G182="-",'A-3'!G229="-"),"-",SUM('A-3'!G135,'A-3'!G182,'A-3'!G229))</f>
        <v>7691</v>
      </c>
      <c r="I135" s="203">
        <f>IF(AND('A-3'!H135="-",'A-3'!H182="-",'A-3'!H229="-"),"-",SUM('A-3'!H135,'A-3'!H182,'A-3'!H229))</f>
        <v>3313</v>
      </c>
      <c r="J135" s="203" t="s">
        <v>29</v>
      </c>
      <c r="K135" s="203" t="s">
        <v>29</v>
      </c>
      <c r="L135" s="203">
        <f>IF(AND('A-3'!I135="-",'A-3'!I182="-",'A-3'!I229="-"),"-",SUM('A-3'!I135,'A-3'!I182,'A-3'!I229))</f>
        <v>210354</v>
      </c>
      <c r="M135" s="9"/>
      <c r="N135" s="203" t="s">
        <v>29</v>
      </c>
      <c r="O135" s="203" t="s">
        <v>29</v>
      </c>
      <c r="P135" s="203" t="s">
        <v>29</v>
      </c>
      <c r="Q135" s="203" t="s">
        <v>29</v>
      </c>
      <c r="R135" s="203" t="s">
        <v>29</v>
      </c>
      <c r="S135" s="203" t="s">
        <v>29</v>
      </c>
      <c r="T135" s="203" t="s">
        <v>29</v>
      </c>
      <c r="U135" s="203" t="s">
        <v>29</v>
      </c>
      <c r="V135" s="203" t="s">
        <v>29</v>
      </c>
      <c r="W135" s="203" t="s">
        <v>29</v>
      </c>
      <c r="X135" s="203" t="s">
        <v>29</v>
      </c>
    </row>
    <row r="136" spans="1:24" ht="11.25" customHeight="1" x14ac:dyDescent="0.25">
      <c r="A136" s="402">
        <v>2013</v>
      </c>
      <c r="B136" s="203" t="s">
        <v>29</v>
      </c>
      <c r="C136" s="203" t="str">
        <f>IF(AND('A-3'!B136="-",'A-3'!B183="-",'A-3'!B230="-"),"-",SUM('A-3'!B136,'A-3'!B183,'A-3'!B230))</f>
        <v>-</v>
      </c>
      <c r="D136" s="203">
        <f>IF(AND('A-3'!C136="-",'A-3'!C183="-",'A-3'!C230="-"),"-",SUM('A-3'!C136,'A-3'!C183,'A-3'!C230))</f>
        <v>74828</v>
      </c>
      <c r="E136" s="203">
        <f>IF(AND('A-3'!D136="-",'A-3'!D183="-",'A-3'!D230="-"),"-",SUM('A-3'!D136,'A-3'!D183,'A-3'!D230))</f>
        <v>81625</v>
      </c>
      <c r="F136" s="203">
        <f>IF(AND('A-3'!E136="-",'A-3'!E183="-",'A-3'!E230="-"),"-",SUM('A-3'!E136,'A-3'!E183,'A-3'!E230))</f>
        <v>95896</v>
      </c>
      <c r="G136" s="203">
        <f>IF(AND('A-3'!F136="-",'A-3'!F183="-",'A-3'!F230="-"),"-",SUM('A-3'!F136,'A-3'!F183,'A-3'!F230))</f>
        <v>23249</v>
      </c>
      <c r="H136" s="203">
        <f>IF(AND('A-3'!G136="-",'A-3'!G183="-",'A-3'!G230="-"),"-",SUM('A-3'!G136,'A-3'!G183,'A-3'!G230))</f>
        <v>10910</v>
      </c>
      <c r="I136" s="203">
        <f>IF(AND('A-3'!H136="-",'A-3'!H183="-",'A-3'!H230="-"),"-",SUM('A-3'!H136,'A-3'!H183,'A-3'!H230))</f>
        <v>941</v>
      </c>
      <c r="J136" s="203" t="s">
        <v>29</v>
      </c>
      <c r="K136" s="203" t="s">
        <v>29</v>
      </c>
      <c r="L136" s="203">
        <f>IF(AND('A-3'!I136="-",'A-3'!I183="-",'A-3'!I230="-"),"-",SUM('A-3'!I136,'A-3'!I183,'A-3'!I230))</f>
        <v>287449</v>
      </c>
      <c r="M136" s="9"/>
      <c r="N136" s="203" t="s">
        <v>29</v>
      </c>
      <c r="O136" s="203" t="s">
        <v>29</v>
      </c>
      <c r="P136" s="203" t="s">
        <v>29</v>
      </c>
      <c r="Q136" s="203" t="s">
        <v>29</v>
      </c>
      <c r="R136" s="203" t="s">
        <v>29</v>
      </c>
      <c r="S136" s="203" t="s">
        <v>29</v>
      </c>
      <c r="T136" s="203" t="s">
        <v>29</v>
      </c>
      <c r="U136" s="203" t="s">
        <v>29</v>
      </c>
      <c r="V136" s="203" t="s">
        <v>29</v>
      </c>
      <c r="W136" s="203" t="s">
        <v>29</v>
      </c>
      <c r="X136" s="203" t="s">
        <v>29</v>
      </c>
    </row>
    <row r="137" spans="1:24" ht="11.25" customHeight="1" x14ac:dyDescent="0.25">
      <c r="A137" s="402">
        <v>2014</v>
      </c>
      <c r="B137" s="203" t="s">
        <v>29</v>
      </c>
      <c r="C137" s="203" t="str">
        <f>IF(AND('A-3'!B137="-",'A-3'!B184="-",'A-3'!B231="-"),"-",SUM('A-3'!B137,'A-3'!B184,'A-3'!B231))</f>
        <v>-</v>
      </c>
      <c r="D137" s="203">
        <f>IF(AND('A-3'!C137="-",'A-3'!C184="-",'A-3'!C231="-"),"-",SUM('A-3'!C137,'A-3'!C184,'A-3'!C231))</f>
        <v>34946</v>
      </c>
      <c r="E137" s="203">
        <f>IF(AND('A-3'!D137="-",'A-3'!D184="-",'A-3'!D231="-"),"-",SUM('A-3'!D137,'A-3'!D184,'A-3'!D231))</f>
        <v>39581</v>
      </c>
      <c r="F137" s="203">
        <f>IF(AND('A-3'!E137="-",'A-3'!E184="-",'A-3'!E231="-"),"-",SUM('A-3'!E137,'A-3'!E184,'A-3'!E231))</f>
        <v>54568</v>
      </c>
      <c r="G137" s="203">
        <f>IF(AND('A-3'!F137="-",'A-3'!F184="-",'A-3'!F231="-"),"-",SUM('A-3'!F137,'A-3'!F184,'A-3'!F231))</f>
        <v>24085</v>
      </c>
      <c r="H137" s="203">
        <f>IF(AND('A-3'!G137="-",'A-3'!G184="-",'A-3'!G231="-"),"-",SUM('A-3'!G137,'A-3'!G184,'A-3'!G231))</f>
        <v>11498</v>
      </c>
      <c r="I137" s="203">
        <f>IF(AND('A-3'!H137="-",'A-3'!H184="-",'A-3'!H231="-"),"-",SUM('A-3'!H137,'A-3'!H184,'A-3'!H231))</f>
        <v>2985</v>
      </c>
      <c r="J137" s="203" t="s">
        <v>29</v>
      </c>
      <c r="K137" s="203" t="s">
        <v>29</v>
      </c>
      <c r="L137" s="203">
        <f>IF(AND('A-3'!I137="-",'A-3'!I184="-",'A-3'!I231="-"),"-",SUM('A-3'!I137,'A-3'!I184,'A-3'!I231))</f>
        <v>167663</v>
      </c>
      <c r="M137" s="9"/>
      <c r="N137" s="203" t="s">
        <v>29</v>
      </c>
      <c r="O137" s="203" t="s">
        <v>29</v>
      </c>
      <c r="P137" s="203" t="s">
        <v>29</v>
      </c>
      <c r="Q137" s="203" t="s">
        <v>29</v>
      </c>
      <c r="R137" s="203" t="s">
        <v>29</v>
      </c>
      <c r="S137" s="203" t="s">
        <v>29</v>
      </c>
      <c r="T137" s="203" t="s">
        <v>29</v>
      </c>
      <c r="U137" s="203" t="s">
        <v>29</v>
      </c>
      <c r="V137" s="203" t="s">
        <v>29</v>
      </c>
      <c r="W137" s="203" t="s">
        <v>29</v>
      </c>
      <c r="X137" s="203" t="s">
        <v>29</v>
      </c>
    </row>
    <row r="138" spans="1:24" ht="11.25" customHeight="1" x14ac:dyDescent="0.25">
      <c r="A138" s="402">
        <v>2015</v>
      </c>
      <c r="B138" s="203" t="s">
        <v>29</v>
      </c>
      <c r="C138" s="203" t="str">
        <f>IF(AND('A-3'!B138="-",'A-3'!B185="-",'A-3'!B232="-"),"-",SUM('A-3'!B138,'A-3'!B185,'A-3'!B232))</f>
        <v>-</v>
      </c>
      <c r="D138" s="203">
        <f>IF(AND('A-3'!C138="-",'A-3'!C185="-",'A-3'!C232="-"),"-",SUM('A-3'!C138,'A-3'!C185,'A-3'!C232))</f>
        <v>53561</v>
      </c>
      <c r="E138" s="203">
        <f>IF(AND('A-3'!D138="-",'A-3'!D185="-",'A-3'!D232="-"),"-",SUM('A-3'!D138,'A-3'!D185,'A-3'!D232))</f>
        <v>19489</v>
      </c>
      <c r="F138" s="203">
        <f>IF(AND('A-3'!E138="-",'A-3'!E185="-",'A-3'!E232="-"),"-",SUM('A-3'!E138,'A-3'!E185,'A-3'!E232))</f>
        <v>12920</v>
      </c>
      <c r="G138" s="203">
        <f>IF(AND('A-3'!F138="-",'A-3'!F185="-",'A-3'!F232="-"),"-",SUM('A-3'!F138,'A-3'!F185,'A-3'!F232))</f>
        <v>11467</v>
      </c>
      <c r="H138" s="203">
        <f>IF(AND('A-3'!G138="-",'A-3'!G185="-",'A-3'!G232="-"),"-",SUM('A-3'!G138,'A-3'!G185,'A-3'!G232))</f>
        <v>10407</v>
      </c>
      <c r="I138" s="203">
        <f>IF(AND('A-3'!H138="-",'A-3'!H185="-",'A-3'!H232="-"),"-",SUM('A-3'!H138,'A-3'!H185,'A-3'!H232))</f>
        <v>2617</v>
      </c>
      <c r="J138" s="203" t="s">
        <v>29</v>
      </c>
      <c r="K138" s="203" t="s">
        <v>29</v>
      </c>
      <c r="L138" s="203">
        <f>IF(AND('A-3'!I138="-",'A-3'!I185="-",'A-3'!I232="-"),"-",SUM('A-3'!I138,'A-3'!I185,'A-3'!I232))</f>
        <v>110461</v>
      </c>
      <c r="M138" s="9"/>
      <c r="N138" s="203" t="s">
        <v>29</v>
      </c>
      <c r="O138" s="203" t="s">
        <v>29</v>
      </c>
      <c r="P138" s="203" t="s">
        <v>29</v>
      </c>
      <c r="Q138" s="203" t="s">
        <v>29</v>
      </c>
      <c r="R138" s="203" t="s">
        <v>29</v>
      </c>
      <c r="S138" s="203" t="s">
        <v>29</v>
      </c>
      <c r="T138" s="203" t="s">
        <v>29</v>
      </c>
      <c r="U138" s="203" t="s">
        <v>29</v>
      </c>
      <c r="V138" s="203" t="s">
        <v>29</v>
      </c>
      <c r="W138" s="203" t="s">
        <v>29</v>
      </c>
      <c r="X138" s="203" t="s">
        <v>29</v>
      </c>
    </row>
    <row r="139" spans="1:24" ht="11.25" customHeight="1" x14ac:dyDescent="0.25">
      <c r="A139" s="402">
        <v>2016</v>
      </c>
      <c r="B139" s="203" t="s">
        <v>29</v>
      </c>
      <c r="C139" s="203" t="str">
        <f>IF(AND('A-3'!B139="-",'A-3'!B186="-",'A-3'!B233="-"),"-",SUM('A-3'!B139,'A-3'!B186,'A-3'!B233))</f>
        <v>-</v>
      </c>
      <c r="D139" s="203">
        <f>IF(AND('A-3'!C139="-",'A-3'!C186="-",'A-3'!C233="-"),"-",SUM('A-3'!C139,'A-3'!C186,'A-3'!C233))</f>
        <v>13367</v>
      </c>
      <c r="E139" s="203">
        <f>IF(AND('A-3'!D139="-",'A-3'!D186="-",'A-3'!D233="-"),"-",SUM('A-3'!D139,'A-3'!D186,'A-3'!D233))</f>
        <v>13428</v>
      </c>
      <c r="F139" s="203" t="str">
        <f>IF(AND('A-3'!E139="-",'A-3'!E186="-",'A-3'!E233="-"),"-",SUM('A-3'!E139,'A-3'!E186,'A-3'!E233))</f>
        <v>-</v>
      </c>
      <c r="G139" s="203">
        <f>IF(AND('A-3'!F139="-",'A-3'!F186="-",'A-3'!F233="-"),"-",SUM('A-3'!F139,'A-3'!F186,'A-3'!F233))</f>
        <v>18334</v>
      </c>
      <c r="H139" s="203">
        <f>IF(AND('A-3'!G139="-",'A-3'!G186="-",'A-3'!G233="-"),"-",SUM('A-3'!G139,'A-3'!G186,'A-3'!G233))</f>
        <v>9271</v>
      </c>
      <c r="I139" s="203">
        <f>IF(AND('A-3'!H139="-",'A-3'!H186="-",'A-3'!H233="-"),"-",SUM('A-3'!H139,'A-3'!H186,'A-3'!H233))</f>
        <v>589</v>
      </c>
      <c r="J139" s="203" t="s">
        <v>29</v>
      </c>
      <c r="K139" s="203" t="s">
        <v>29</v>
      </c>
      <c r="L139" s="203">
        <f>IF(AND('A-3'!I139="-",'A-3'!I186="-",'A-3'!I233="-"),"-",SUM('A-3'!I139,'A-3'!I186,'A-3'!I233))</f>
        <v>54989</v>
      </c>
      <c r="M139" s="9"/>
      <c r="N139" s="203" t="s">
        <v>29</v>
      </c>
      <c r="O139" s="203" t="s">
        <v>29</v>
      </c>
      <c r="P139" s="203" t="s">
        <v>29</v>
      </c>
      <c r="Q139" s="203" t="s">
        <v>29</v>
      </c>
      <c r="R139" s="203" t="s">
        <v>29</v>
      </c>
      <c r="S139" s="203" t="s">
        <v>29</v>
      </c>
      <c r="T139" s="203" t="s">
        <v>29</v>
      </c>
      <c r="U139" s="203" t="s">
        <v>29</v>
      </c>
      <c r="V139" s="203" t="s">
        <v>29</v>
      </c>
      <c r="W139" s="203" t="s">
        <v>29</v>
      </c>
      <c r="X139" s="203" t="s">
        <v>29</v>
      </c>
    </row>
    <row r="140" spans="1:24" ht="11.25" customHeight="1" x14ac:dyDescent="0.25">
      <c r="A140" s="402">
        <v>2017</v>
      </c>
      <c r="B140" s="203" t="s">
        <v>29</v>
      </c>
      <c r="C140" s="203" t="str">
        <f>IF(AND('A-3'!B140="-",'A-3'!B187="-",'A-3'!B234="-"),"-",SUM('A-3'!B140,'A-3'!B187,'A-3'!B234))</f>
        <v>-</v>
      </c>
      <c r="D140" s="203">
        <f>IF(AND('A-3'!C140="-",'A-3'!C187="-",'A-3'!C234="-"),"-",SUM('A-3'!C140,'A-3'!C187,'A-3'!C234))</f>
        <v>5588</v>
      </c>
      <c r="E140" s="203">
        <f>IF(AND('A-3'!D140="-",'A-3'!D187="-",'A-3'!D234="-"),"-",SUM('A-3'!D140,'A-3'!D187,'A-3'!D234))</f>
        <v>6891</v>
      </c>
      <c r="F140" s="203" t="str">
        <f>IF(AND('A-3'!E140="-",'A-3'!E187="-",'A-3'!E234="-"),"-",SUM('A-3'!E140,'A-3'!E187,'A-3'!E234))</f>
        <v>-</v>
      </c>
      <c r="G140" s="203">
        <f>IF(AND('A-3'!F140="-",'A-3'!F187="-",'A-3'!F234="-"),"-",SUM('A-3'!F140,'A-3'!F187,'A-3'!F234))</f>
        <v>18336</v>
      </c>
      <c r="H140" s="203">
        <f>IF(AND('A-3'!G140="-",'A-3'!G187="-",'A-3'!G234="-"),"-",SUM('A-3'!G140,'A-3'!G187,'A-3'!G234))</f>
        <v>10232</v>
      </c>
      <c r="I140" s="203">
        <f>IF(AND('A-3'!H140="-",'A-3'!H187="-",'A-3'!H234="-"),"-",SUM('A-3'!H140,'A-3'!H187,'A-3'!H234))</f>
        <v>1279</v>
      </c>
      <c r="J140" s="203" t="s">
        <v>29</v>
      </c>
      <c r="K140" s="203" t="s">
        <v>29</v>
      </c>
      <c r="L140" s="203">
        <f>IF(AND('A-3'!I140="-",'A-3'!I187="-",'A-3'!I234="-"),"-",SUM('A-3'!I140,'A-3'!I187,'A-3'!I234))</f>
        <v>42326</v>
      </c>
      <c r="M140" s="9"/>
      <c r="N140" s="203" t="s">
        <v>29</v>
      </c>
      <c r="O140" s="203" t="s">
        <v>29</v>
      </c>
      <c r="P140" s="203" t="s">
        <v>29</v>
      </c>
      <c r="Q140" s="203" t="s">
        <v>29</v>
      </c>
      <c r="R140" s="203" t="s">
        <v>29</v>
      </c>
      <c r="S140" s="203" t="s">
        <v>29</v>
      </c>
      <c r="T140" s="203" t="s">
        <v>29</v>
      </c>
      <c r="U140" s="203" t="s">
        <v>29</v>
      </c>
      <c r="V140" s="203" t="s">
        <v>29</v>
      </c>
      <c r="W140" s="203" t="s">
        <v>29</v>
      </c>
      <c r="X140" s="203" t="s">
        <v>29</v>
      </c>
    </row>
    <row r="141" spans="1:24" s="358" customFormat="1" ht="11.25" customHeight="1" x14ac:dyDescent="0.25">
      <c r="A141" s="402">
        <v>2018</v>
      </c>
      <c r="B141" s="203" t="s">
        <v>29</v>
      </c>
      <c r="C141" s="203" t="str">
        <f>IF(AND('A-3'!B141="-",'A-3'!B188="-",'A-3'!B235="-"),"-",SUM('A-3'!B141,'A-3'!B188,'A-3'!B235))</f>
        <v>-</v>
      </c>
      <c r="D141" s="203">
        <f>IF(AND('A-3'!C141="-",'A-3'!C188="-",'A-3'!C235="-"),"-",SUM('A-3'!C141,'A-3'!C188,'A-3'!C235))</f>
        <v>4566</v>
      </c>
      <c r="E141" s="203">
        <f>IF(AND('A-3'!D141="-",'A-3'!D188="-",'A-3'!D235="-"),"-",SUM('A-3'!D141,'A-3'!D188,'A-3'!D235))</f>
        <v>14859</v>
      </c>
      <c r="F141" s="203">
        <f>IF(AND('A-3'!E141="-",'A-3'!E188="-",'A-3'!E235="-"),"-",SUM('A-3'!E141,'A-3'!E188,'A-3'!E235))</f>
        <v>13096</v>
      </c>
      <c r="G141" s="203">
        <f>IF(AND('A-3'!F141="-",'A-3'!F188="-",'A-3'!F235="-"),"-",SUM('A-3'!F141,'A-3'!F188,'A-3'!F235))</f>
        <v>23927</v>
      </c>
      <c r="H141" s="203">
        <f>IF(AND('A-3'!G141="-",'A-3'!G188="-",'A-3'!G235="-"),"-",SUM('A-3'!G141,'A-3'!G188,'A-3'!G235))</f>
        <v>10926</v>
      </c>
      <c r="I141" s="203">
        <f>IF(AND('A-3'!H141="-",'A-3'!H188="-",'A-3'!H235="-"),"-",SUM('A-3'!H141,'A-3'!H188,'A-3'!H235))</f>
        <v>2031</v>
      </c>
      <c r="J141" s="203" t="s">
        <v>29</v>
      </c>
      <c r="K141" s="203" t="s">
        <v>29</v>
      </c>
      <c r="L141" s="203">
        <f>IF(AND('A-3'!I141="-",'A-3'!I188="-",'A-3'!I235="-"),"-",SUM('A-3'!I141,'A-3'!I188,'A-3'!I235))</f>
        <v>69405</v>
      </c>
      <c r="M141" s="9"/>
      <c r="N141" s="203" t="s">
        <v>29</v>
      </c>
      <c r="O141" s="203" t="s">
        <v>29</v>
      </c>
      <c r="P141" s="203" t="s">
        <v>29</v>
      </c>
      <c r="Q141" s="203" t="s">
        <v>29</v>
      </c>
      <c r="R141" s="203" t="s">
        <v>29</v>
      </c>
      <c r="S141" s="203" t="s">
        <v>29</v>
      </c>
      <c r="T141" s="203" t="s">
        <v>29</v>
      </c>
      <c r="U141" s="203" t="s">
        <v>29</v>
      </c>
      <c r="V141" s="203" t="s">
        <v>29</v>
      </c>
      <c r="W141" s="203" t="s">
        <v>29</v>
      </c>
      <c r="X141" s="203" t="s">
        <v>29</v>
      </c>
    </row>
    <row r="142" spans="1:24" s="358" customFormat="1" ht="11.25" customHeight="1" x14ac:dyDescent="0.25">
      <c r="A142" s="498" t="s">
        <v>403</v>
      </c>
      <c r="B142" s="203" t="s">
        <v>29</v>
      </c>
      <c r="C142" s="203" t="str">
        <f>IF(AND('A-3'!B142="-",'A-3'!B189="-",'A-3'!B236="-"),"-",SUM('A-3'!B142,'A-3'!B189,'A-3'!B236))</f>
        <v>-</v>
      </c>
      <c r="D142" s="203">
        <f>IF(AND('A-3'!C142="-",'A-3'!C189="-",'A-3'!C236="-"),"-",SUM('A-3'!C142,'A-3'!C189,'A-3'!C236))</f>
        <v>71002</v>
      </c>
      <c r="E142" s="203">
        <f>IF(AND('A-3'!D142="-",'A-3'!D189="-",'A-3'!D236="-"),"-",SUM('A-3'!D142,'A-3'!D189,'A-3'!D236))</f>
        <v>97422</v>
      </c>
      <c r="F142" s="203">
        <f>IF(AND('A-3'!E142="-",'A-3'!E189="-",'A-3'!E236="-"),"-",SUM('A-3'!E142,'A-3'!E189,'A-3'!E236))</f>
        <v>37346</v>
      </c>
      <c r="G142" s="203">
        <f>IF(AND('A-3'!F142="-",'A-3'!F189="-",'A-3'!F236="-"),"-",SUM('A-3'!F142,'A-3'!F189,'A-3'!F236))</f>
        <v>53211</v>
      </c>
      <c r="H142" s="203">
        <f>IF(AND('A-3'!G142="-",'A-3'!G189="-",'A-3'!G236="-"),"-",SUM('A-3'!G142,'A-3'!G189,'A-3'!G236))</f>
        <v>6058</v>
      </c>
      <c r="I142" s="203">
        <f>IF(AND('A-3'!H142="-",'A-3'!H189="-",'A-3'!H236="-"),"-",SUM('A-3'!H142,'A-3'!H189,'A-3'!H236))</f>
        <v>801</v>
      </c>
      <c r="J142" s="203" t="s">
        <v>29</v>
      </c>
      <c r="K142" s="203" t="s">
        <v>29</v>
      </c>
      <c r="L142" s="203">
        <f>IF(AND('A-3'!I142="-",'A-3'!I189="-",'A-3'!I236="-"),"-",SUM('A-3'!I142,'A-3'!I189,'A-3'!I236))</f>
        <v>265840</v>
      </c>
      <c r="M142" s="9"/>
      <c r="N142" s="203" t="s">
        <v>29</v>
      </c>
      <c r="O142" s="203" t="s">
        <v>29</v>
      </c>
      <c r="P142" s="203" t="s">
        <v>29</v>
      </c>
      <c r="Q142" s="203" t="s">
        <v>29</v>
      </c>
      <c r="R142" s="203" t="s">
        <v>29</v>
      </c>
      <c r="S142" s="203" t="s">
        <v>29</v>
      </c>
      <c r="T142" s="203" t="s">
        <v>29</v>
      </c>
      <c r="U142" s="203" t="s">
        <v>29</v>
      </c>
      <c r="V142" s="203" t="s">
        <v>29</v>
      </c>
      <c r="W142" s="203" t="s">
        <v>29</v>
      </c>
      <c r="X142" s="203" t="s">
        <v>29</v>
      </c>
    </row>
    <row r="143" spans="1:24" ht="11.25" customHeight="1" x14ac:dyDescent="0.25">
      <c r="A143" s="498" t="s">
        <v>393</v>
      </c>
      <c r="B143" s="200" t="s">
        <v>29</v>
      </c>
      <c r="C143" s="200" t="str">
        <f>IF(AND('A-3'!B143="-",'A-3'!B190="-",'A-3'!B237="-"),"-",SUM('A-3'!B143,'A-3'!B190,'A-3'!B237))</f>
        <v>-</v>
      </c>
      <c r="D143" s="200">
        <f>IF(AND('A-3'!C143="-",'A-3'!C190="-",'A-3'!C237="-"),"-",SUM('A-3'!C143,'A-3'!C190,'A-3'!C237))</f>
        <v>32516</v>
      </c>
      <c r="E143" s="200">
        <f>IF(AND('A-3'!D143="-",'A-3'!D190="-",'A-3'!D237="-"),"-",SUM('A-3'!D143,'A-3'!D190,'A-3'!D237))</f>
        <v>49223</v>
      </c>
      <c r="F143" s="200">
        <f>IF(AND('A-3'!E143="-",'A-3'!E190="-",'A-3'!E237="-"),"-",SUM('A-3'!E143,'A-3'!E190,'A-3'!E237))</f>
        <v>65100</v>
      </c>
      <c r="G143" s="200">
        <f>IF(AND('A-3'!F143="-",'A-3'!F190="-",'A-3'!F237="-"),"-",SUM('A-3'!F143,'A-3'!F190,'A-3'!F237))</f>
        <v>19615</v>
      </c>
      <c r="H143" s="200">
        <f>IF(AND('A-3'!G143="-",'A-3'!G190="-",'A-3'!G237="-"),"-",SUM('A-3'!G143,'A-3'!G190,'A-3'!G237))</f>
        <v>8445</v>
      </c>
      <c r="I143" s="200">
        <f>IF(AND('A-3'!H143="-",'A-3'!H190="-",'A-3'!H237="-"),"-",SUM('A-3'!H143,'A-3'!H190,'A-3'!H237))</f>
        <v>2435</v>
      </c>
      <c r="J143" s="200" t="s">
        <v>29</v>
      </c>
      <c r="K143" s="200" t="s">
        <v>29</v>
      </c>
      <c r="L143" s="200">
        <f>IF(AND('A-3'!I143="-",'A-3'!I190="-",'A-3'!I237="-"),"-",SUM('A-3'!I143,'A-3'!I190,'A-3'!I237))</f>
        <v>177334</v>
      </c>
      <c r="M143" s="8"/>
      <c r="N143" s="200" t="s">
        <v>29</v>
      </c>
      <c r="O143" s="200" t="s">
        <v>29</v>
      </c>
      <c r="P143" s="200" t="s">
        <v>29</v>
      </c>
      <c r="Q143" s="200" t="s">
        <v>29</v>
      </c>
      <c r="R143" s="200" t="s">
        <v>29</v>
      </c>
      <c r="S143" s="200" t="s">
        <v>29</v>
      </c>
      <c r="T143" s="200" t="s">
        <v>29</v>
      </c>
      <c r="U143" s="200" t="s">
        <v>29</v>
      </c>
      <c r="V143" s="200" t="s">
        <v>29</v>
      </c>
      <c r="W143" s="200" t="s">
        <v>29</v>
      </c>
      <c r="X143" s="200" t="s">
        <v>29</v>
      </c>
    </row>
    <row r="144" spans="1:24" ht="11.25" customHeight="1" x14ac:dyDescent="0.25">
      <c r="A144" s="383"/>
      <c r="M144" s="8"/>
    </row>
    <row r="145" spans="1:24" ht="11.25" customHeight="1" x14ac:dyDescent="0.25">
      <c r="A145" s="120" t="s">
        <v>303</v>
      </c>
      <c r="M145" s="8"/>
    </row>
    <row r="146" spans="1:24" ht="11.25" customHeight="1" x14ac:dyDescent="0.25">
      <c r="A146" s="383">
        <v>1976</v>
      </c>
      <c r="B146" s="200" t="str">
        <f t="shared" ref="B146:L146" si="3">IF(AND(B99="-",B52="-",B5="-"),"-",SUM(B99,B52,B5))</f>
        <v>-</v>
      </c>
      <c r="C146" s="200">
        <f t="shared" si="3"/>
        <v>56694</v>
      </c>
      <c r="D146" s="200">
        <f t="shared" si="3"/>
        <v>147515</v>
      </c>
      <c r="E146" s="200">
        <f t="shared" si="3"/>
        <v>157726</v>
      </c>
      <c r="F146" s="200">
        <f t="shared" si="3"/>
        <v>192224</v>
      </c>
      <c r="G146" s="200">
        <f t="shared" si="3"/>
        <v>89128</v>
      </c>
      <c r="H146" s="200">
        <f t="shared" si="3"/>
        <v>42783</v>
      </c>
      <c r="I146" s="200">
        <f t="shared" si="3"/>
        <v>8249</v>
      </c>
      <c r="J146" s="200">
        <f t="shared" si="3"/>
        <v>1854</v>
      </c>
      <c r="K146" s="200" t="str">
        <f t="shared" si="3"/>
        <v>-</v>
      </c>
      <c r="L146" s="200">
        <f t="shared" si="3"/>
        <v>696173</v>
      </c>
      <c r="M146" s="8"/>
      <c r="N146" s="200" t="str">
        <f t="shared" ref="N146:X146" si="4">IF(AND(N99="-",N52="-",N5="-"),"-",SUM(N99,N52,N5))</f>
        <v>-</v>
      </c>
      <c r="O146" s="200">
        <f t="shared" si="4"/>
        <v>42199</v>
      </c>
      <c r="P146" s="200">
        <f t="shared" si="4"/>
        <v>193157</v>
      </c>
      <c r="Q146" s="200">
        <f t="shared" si="4"/>
        <v>730317</v>
      </c>
      <c r="R146" s="200">
        <f t="shared" si="4"/>
        <v>901653</v>
      </c>
      <c r="S146" s="200">
        <f t="shared" si="4"/>
        <v>406536</v>
      </c>
      <c r="T146" s="200">
        <f t="shared" si="4"/>
        <v>35808</v>
      </c>
      <c r="U146" s="200">
        <f t="shared" si="4"/>
        <v>4602</v>
      </c>
      <c r="V146" s="200" t="str">
        <f t="shared" si="4"/>
        <v>-</v>
      </c>
      <c r="W146" s="200" t="str">
        <f t="shared" si="4"/>
        <v>-</v>
      </c>
      <c r="X146" s="200">
        <f t="shared" si="4"/>
        <v>2314272</v>
      </c>
    </row>
    <row r="147" spans="1:24" ht="11.25" customHeight="1" x14ac:dyDescent="0.25">
      <c r="A147" s="383">
        <v>1977</v>
      </c>
      <c r="B147" s="200" t="str">
        <f t="shared" ref="B147:L147" si="5">IF(AND(B100="-",B53="-",B6="-"),"-",SUM(B100,B53,B6))</f>
        <v>-</v>
      </c>
      <c r="C147" s="200">
        <f t="shared" si="5"/>
        <v>82641</v>
      </c>
      <c r="D147" s="200">
        <f t="shared" si="5"/>
        <v>182132</v>
      </c>
      <c r="E147" s="200">
        <f t="shared" si="5"/>
        <v>143242</v>
      </c>
      <c r="F147" s="200">
        <f t="shared" si="5"/>
        <v>243885</v>
      </c>
      <c r="G147" s="200">
        <f t="shared" si="5"/>
        <v>193278</v>
      </c>
      <c r="H147" s="200">
        <f t="shared" si="5"/>
        <v>59230</v>
      </c>
      <c r="I147" s="200">
        <f t="shared" si="5"/>
        <v>9766</v>
      </c>
      <c r="J147" s="200">
        <f t="shared" si="5"/>
        <v>4141</v>
      </c>
      <c r="K147" s="200" t="str">
        <f t="shared" si="5"/>
        <v>-</v>
      </c>
      <c r="L147" s="200">
        <f t="shared" si="5"/>
        <v>918315</v>
      </c>
      <c r="M147" s="8"/>
      <c r="N147" s="200" t="str">
        <f t="shared" ref="N147:X147" si="6">IF(AND(N100="-",N53="-",N6="-"),"-",SUM(N100,N53,N6))</f>
        <v>-</v>
      </c>
      <c r="O147" s="200">
        <f t="shared" si="6"/>
        <v>87847</v>
      </c>
      <c r="P147" s="200">
        <f t="shared" si="6"/>
        <v>11690</v>
      </c>
      <c r="Q147" s="200">
        <f t="shared" si="6"/>
        <v>74466</v>
      </c>
      <c r="R147" s="200">
        <f t="shared" si="6"/>
        <v>239927</v>
      </c>
      <c r="S147" s="200">
        <f t="shared" si="6"/>
        <v>83721</v>
      </c>
      <c r="T147" s="200">
        <f t="shared" si="6"/>
        <v>7650</v>
      </c>
      <c r="U147" s="200">
        <f t="shared" si="6"/>
        <v>592</v>
      </c>
      <c r="V147" s="200" t="str">
        <f t="shared" si="6"/>
        <v>-</v>
      </c>
      <c r="W147" s="200" t="str">
        <f t="shared" si="6"/>
        <v>-</v>
      </c>
      <c r="X147" s="200">
        <f t="shared" si="6"/>
        <v>505893</v>
      </c>
    </row>
    <row r="148" spans="1:24" ht="11.25" customHeight="1" x14ac:dyDescent="0.25">
      <c r="A148" s="383">
        <v>1978</v>
      </c>
      <c r="B148" s="200" t="str">
        <f>IF(AND(B101="-",B54="-",B7="-"),"-",SUM(B101,B54,B7))</f>
        <v>-</v>
      </c>
      <c r="C148" s="200">
        <f>IF(AND(C101="-",C54="-",C7="-"),"-",SUM(C101,C54,C7))</f>
        <v>31539</v>
      </c>
      <c r="D148" s="200">
        <f t="shared" ref="D148:L148" si="7">IF(AND(D101="-",D54="-",D7="-"),"-",SUM(D101,D54,D7))</f>
        <v>234041</v>
      </c>
      <c r="E148" s="200">
        <f t="shared" si="7"/>
        <v>252858</v>
      </c>
      <c r="F148" s="200">
        <f t="shared" si="7"/>
        <v>159840</v>
      </c>
      <c r="G148" s="200">
        <f t="shared" si="7"/>
        <v>79769</v>
      </c>
      <c r="H148" s="200">
        <f t="shared" si="7"/>
        <v>45174</v>
      </c>
      <c r="I148" s="200">
        <f t="shared" si="7"/>
        <v>7322</v>
      </c>
      <c r="J148" s="200">
        <f t="shared" si="7"/>
        <v>3451</v>
      </c>
      <c r="K148" s="200" t="str">
        <f t="shared" si="7"/>
        <v>-</v>
      </c>
      <c r="L148" s="200">
        <f t="shared" si="7"/>
        <v>813994</v>
      </c>
      <c r="M148" s="8"/>
      <c r="N148" s="200" t="str">
        <f t="shared" ref="N148:X148" si="8">IF(AND(N101="-",N54="-",N7="-"),"-",SUM(N101,N54,N7))</f>
        <v>-</v>
      </c>
      <c r="O148" s="200">
        <f t="shared" si="8"/>
        <v>63</v>
      </c>
      <c r="P148" s="200">
        <f t="shared" si="8"/>
        <v>52488</v>
      </c>
      <c r="Q148" s="200">
        <f t="shared" si="8"/>
        <v>471440</v>
      </c>
      <c r="R148" s="200">
        <f t="shared" si="8"/>
        <v>246683</v>
      </c>
      <c r="S148" s="200">
        <f t="shared" si="8"/>
        <v>90670</v>
      </c>
      <c r="T148" s="200">
        <f t="shared" si="8"/>
        <v>9390</v>
      </c>
      <c r="U148" s="200">
        <f t="shared" si="8"/>
        <v>509</v>
      </c>
      <c r="V148" s="200" t="str">
        <f t="shared" si="8"/>
        <v>-</v>
      </c>
      <c r="W148" s="200" t="str">
        <f t="shared" si="8"/>
        <v>-</v>
      </c>
      <c r="X148" s="200">
        <f t="shared" si="8"/>
        <v>871243</v>
      </c>
    </row>
    <row r="149" spans="1:24" ht="11.25" customHeight="1" x14ac:dyDescent="0.25">
      <c r="A149" s="383">
        <v>1979</v>
      </c>
      <c r="B149" s="200" t="str">
        <f t="shared" ref="B149:L149" si="9">IF(AND(B102="-",B55="-",B8="-"),"-",SUM(B102,B55,B8))</f>
        <v>-</v>
      </c>
      <c r="C149" s="200">
        <f t="shared" si="9"/>
        <v>38</v>
      </c>
      <c r="D149" s="200">
        <f t="shared" si="9"/>
        <v>228359</v>
      </c>
      <c r="E149" s="200">
        <f t="shared" si="9"/>
        <v>96274</v>
      </c>
      <c r="F149" s="200">
        <f t="shared" si="9"/>
        <v>303756</v>
      </c>
      <c r="G149" s="200">
        <f t="shared" si="9"/>
        <v>234985</v>
      </c>
      <c r="H149" s="200">
        <f t="shared" si="9"/>
        <v>71616</v>
      </c>
      <c r="I149" s="200">
        <f t="shared" si="9"/>
        <v>25945</v>
      </c>
      <c r="J149" s="200">
        <f t="shared" si="9"/>
        <v>1861</v>
      </c>
      <c r="K149" s="200" t="str">
        <f t="shared" si="9"/>
        <v>-</v>
      </c>
      <c r="L149" s="200">
        <f t="shared" si="9"/>
        <v>962834</v>
      </c>
      <c r="M149" s="8"/>
      <c r="N149" s="200" t="str">
        <f t="shared" ref="N149:X149" si="10">IF(AND(N102="-",N55="-",N8="-"),"-",SUM(N102,N55,N8))</f>
        <v>-</v>
      </c>
      <c r="O149" s="200">
        <f t="shared" si="10"/>
        <v>12</v>
      </c>
      <c r="P149" s="200">
        <f t="shared" si="10"/>
        <v>15804</v>
      </c>
      <c r="Q149" s="200">
        <f t="shared" si="10"/>
        <v>63431</v>
      </c>
      <c r="R149" s="200">
        <f t="shared" si="10"/>
        <v>616388</v>
      </c>
      <c r="S149" s="200">
        <f t="shared" si="10"/>
        <v>141354</v>
      </c>
      <c r="T149" s="200">
        <f t="shared" si="10"/>
        <v>1397</v>
      </c>
      <c r="U149" s="200">
        <f t="shared" si="10"/>
        <v>0</v>
      </c>
      <c r="V149" s="200" t="str">
        <f t="shared" si="10"/>
        <v>-</v>
      </c>
      <c r="W149" s="200" t="str">
        <f t="shared" si="10"/>
        <v>-</v>
      </c>
      <c r="X149" s="200">
        <f t="shared" si="10"/>
        <v>838386</v>
      </c>
    </row>
    <row r="150" spans="1:24" ht="11.25" customHeight="1" x14ac:dyDescent="0.25">
      <c r="A150" s="383">
        <v>1980</v>
      </c>
      <c r="B150" s="200" t="str">
        <f t="shared" ref="B150:L150" si="11">IF(AND(B103="-",B56="-",B9="-"),"-",SUM(B103,B56,B9))</f>
        <v>-</v>
      </c>
      <c r="C150" s="200" t="str">
        <f t="shared" si="11"/>
        <v>-</v>
      </c>
      <c r="D150" s="200">
        <f t="shared" si="11"/>
        <v>253387</v>
      </c>
      <c r="E150" s="200">
        <f t="shared" si="11"/>
        <v>27605</v>
      </c>
      <c r="F150" s="200">
        <f t="shared" si="11"/>
        <v>306079</v>
      </c>
      <c r="G150" s="200">
        <f t="shared" si="11"/>
        <v>117532</v>
      </c>
      <c r="H150" s="200">
        <f t="shared" si="11"/>
        <v>66728</v>
      </c>
      <c r="I150" s="200">
        <f t="shared" si="11"/>
        <v>16034</v>
      </c>
      <c r="J150" s="200">
        <f t="shared" si="11"/>
        <v>984</v>
      </c>
      <c r="K150" s="200" t="str">
        <f t="shared" si="11"/>
        <v>-</v>
      </c>
      <c r="L150" s="200">
        <f t="shared" si="11"/>
        <v>788349</v>
      </c>
      <c r="M150" s="8"/>
      <c r="N150" s="200" t="str">
        <f t="shared" ref="N150:X150" si="12">IF(AND(N103="-",N56="-",N9="-"),"-",SUM(N103,N56,N9))</f>
        <v>-</v>
      </c>
      <c r="O150" s="200">
        <f t="shared" si="12"/>
        <v>0</v>
      </c>
      <c r="P150" s="200">
        <f t="shared" si="12"/>
        <v>1347</v>
      </c>
      <c r="Q150" s="200">
        <f t="shared" si="12"/>
        <v>0</v>
      </c>
      <c r="R150" s="200">
        <f t="shared" si="12"/>
        <v>117418</v>
      </c>
      <c r="S150" s="200">
        <f t="shared" si="12"/>
        <v>35062</v>
      </c>
      <c r="T150" s="200">
        <f t="shared" si="12"/>
        <v>6189</v>
      </c>
      <c r="U150" s="200">
        <f t="shared" si="12"/>
        <v>0</v>
      </c>
      <c r="V150" s="200" t="str">
        <f t="shared" si="12"/>
        <v>-</v>
      </c>
      <c r="W150" s="200" t="str">
        <f t="shared" si="12"/>
        <v>-</v>
      </c>
      <c r="X150" s="200">
        <f t="shared" si="12"/>
        <v>160016</v>
      </c>
    </row>
    <row r="151" spans="1:24" ht="11.25" customHeight="1" x14ac:dyDescent="0.25">
      <c r="A151" s="383">
        <v>1981</v>
      </c>
      <c r="B151" s="200" t="str">
        <f t="shared" ref="B151:L151" si="13">IF(AND(B104="-",B57="-",B10="-"),"-",SUM(B104,B57,B10))</f>
        <v>-</v>
      </c>
      <c r="C151" s="200" t="str">
        <f t="shared" si="13"/>
        <v>-</v>
      </c>
      <c r="D151" s="200">
        <f t="shared" si="13"/>
        <v>223654</v>
      </c>
      <c r="E151" s="200">
        <f t="shared" si="13"/>
        <v>59062</v>
      </c>
      <c r="F151" s="200">
        <f t="shared" si="13"/>
        <v>207951</v>
      </c>
      <c r="G151" s="200">
        <f t="shared" si="13"/>
        <v>176021</v>
      </c>
      <c r="H151" s="200">
        <f t="shared" si="13"/>
        <v>54579</v>
      </c>
      <c r="I151" s="200">
        <f t="shared" si="13"/>
        <v>13003</v>
      </c>
      <c r="J151" s="200">
        <f t="shared" si="13"/>
        <v>1218</v>
      </c>
      <c r="K151" s="200" t="str">
        <f t="shared" si="13"/>
        <v>-</v>
      </c>
      <c r="L151" s="200">
        <f t="shared" si="13"/>
        <v>735488</v>
      </c>
      <c r="M151" s="8"/>
      <c r="N151" s="200" t="str">
        <f t="shared" ref="N151:X151" si="14">IF(AND(N104="-",N57="-",N10="-"),"-",SUM(N104,N57,N10))</f>
        <v>-</v>
      </c>
      <c r="O151" s="200">
        <f t="shared" si="14"/>
        <v>0</v>
      </c>
      <c r="P151" s="200">
        <f t="shared" si="14"/>
        <v>17963</v>
      </c>
      <c r="Q151" s="200">
        <f t="shared" si="14"/>
        <v>8060</v>
      </c>
      <c r="R151" s="200">
        <f t="shared" si="14"/>
        <v>330134</v>
      </c>
      <c r="S151" s="200">
        <f t="shared" si="14"/>
        <v>289214</v>
      </c>
      <c r="T151" s="200">
        <f t="shared" si="14"/>
        <v>3061</v>
      </c>
      <c r="U151" s="200">
        <f t="shared" si="14"/>
        <v>0</v>
      </c>
      <c r="V151" s="200" t="str">
        <f t="shared" si="14"/>
        <v>-</v>
      </c>
      <c r="W151" s="200" t="str">
        <f t="shared" si="14"/>
        <v>-</v>
      </c>
      <c r="X151" s="200">
        <f t="shared" si="14"/>
        <v>648432</v>
      </c>
    </row>
    <row r="152" spans="1:24" ht="11.25" customHeight="1" x14ac:dyDescent="0.25">
      <c r="A152" s="383">
        <v>1982</v>
      </c>
      <c r="B152" s="200" t="str">
        <f t="shared" ref="B152:L152" si="15">IF(AND(B105="-",B58="-",B11="-"),"-",SUM(B105,B58,B11))</f>
        <v>-</v>
      </c>
      <c r="C152" s="200">
        <f t="shared" si="15"/>
        <v>59844</v>
      </c>
      <c r="D152" s="200">
        <f t="shared" si="15"/>
        <v>215844</v>
      </c>
      <c r="E152" s="200">
        <f t="shared" si="15"/>
        <v>96444</v>
      </c>
      <c r="F152" s="200">
        <f t="shared" si="15"/>
        <v>366362</v>
      </c>
      <c r="G152" s="200">
        <f t="shared" si="15"/>
        <v>184516</v>
      </c>
      <c r="H152" s="200">
        <f t="shared" si="15"/>
        <v>46512</v>
      </c>
      <c r="I152" s="200">
        <f t="shared" si="15"/>
        <v>7996</v>
      </c>
      <c r="J152" s="200">
        <f t="shared" si="15"/>
        <v>1400</v>
      </c>
      <c r="K152" s="200" t="str">
        <f t="shared" si="15"/>
        <v>-</v>
      </c>
      <c r="L152" s="200">
        <f t="shared" si="15"/>
        <v>978918</v>
      </c>
      <c r="M152" s="8"/>
      <c r="N152" s="200" t="str">
        <f t="shared" ref="N152:X152" si="16">IF(AND(N105="-",N58="-",N11="-"),"-",SUM(N105,N58,N11))</f>
        <v>-</v>
      </c>
      <c r="O152" s="200">
        <f t="shared" si="16"/>
        <v>115</v>
      </c>
      <c r="P152" s="200">
        <f t="shared" si="16"/>
        <v>1804</v>
      </c>
      <c r="Q152" s="200">
        <f t="shared" si="16"/>
        <v>12897</v>
      </c>
      <c r="R152" s="200">
        <f t="shared" si="16"/>
        <v>539441</v>
      </c>
      <c r="S152" s="200">
        <f t="shared" si="16"/>
        <v>15015</v>
      </c>
      <c r="T152" s="200">
        <f t="shared" si="16"/>
        <v>1800</v>
      </c>
      <c r="U152" s="200">
        <f t="shared" si="16"/>
        <v>0</v>
      </c>
      <c r="V152" s="200" t="str">
        <f t="shared" si="16"/>
        <v>-</v>
      </c>
      <c r="W152" s="200" t="str">
        <f t="shared" si="16"/>
        <v>-</v>
      </c>
      <c r="X152" s="200">
        <f t="shared" si="16"/>
        <v>571072</v>
      </c>
    </row>
    <row r="153" spans="1:24" ht="11.25" customHeight="1" x14ac:dyDescent="0.25">
      <c r="A153" s="383">
        <v>1983</v>
      </c>
      <c r="B153" s="200" t="str">
        <f t="shared" ref="B153:L153" si="17">IF(AND(B106="-",B59="-",B12="-"),"-",SUM(B106,B59,B12))</f>
        <v>-</v>
      </c>
      <c r="C153" s="200">
        <f t="shared" si="17"/>
        <v>2187</v>
      </c>
      <c r="D153" s="200">
        <f t="shared" si="17"/>
        <v>98510</v>
      </c>
      <c r="E153" s="200">
        <f t="shared" si="17"/>
        <v>97863</v>
      </c>
      <c r="F153" s="200">
        <f t="shared" si="17"/>
        <v>117320</v>
      </c>
      <c r="G153" s="200">
        <f t="shared" si="17"/>
        <v>36407</v>
      </c>
      <c r="H153" s="200">
        <f t="shared" si="17"/>
        <v>6288</v>
      </c>
      <c r="I153" s="200">
        <f t="shared" si="17"/>
        <v>4667</v>
      </c>
      <c r="J153" s="200">
        <f t="shared" si="17"/>
        <v>869</v>
      </c>
      <c r="K153" s="200" t="str">
        <f t="shared" si="17"/>
        <v>-</v>
      </c>
      <c r="L153" s="200">
        <f t="shared" si="17"/>
        <v>364111</v>
      </c>
      <c r="M153" s="8"/>
      <c r="N153" s="200" t="str">
        <f t="shared" ref="N153:X153" si="18">IF(AND(N106="-",N59="-",N12="-"),"-",SUM(N106,N59,N12))</f>
        <v>-</v>
      </c>
      <c r="O153" s="200">
        <f t="shared" si="18"/>
        <v>68</v>
      </c>
      <c r="P153" s="200">
        <f t="shared" si="18"/>
        <v>365</v>
      </c>
      <c r="Q153" s="200">
        <f t="shared" si="18"/>
        <v>29593</v>
      </c>
      <c r="R153" s="200">
        <f t="shared" si="18"/>
        <v>295400</v>
      </c>
      <c r="S153" s="200">
        <f t="shared" si="18"/>
        <v>41873</v>
      </c>
      <c r="T153" s="200">
        <f t="shared" si="18"/>
        <v>5939</v>
      </c>
      <c r="U153" s="200">
        <f t="shared" si="18"/>
        <v>0</v>
      </c>
      <c r="V153" s="200" t="str">
        <f t="shared" si="18"/>
        <v>-</v>
      </c>
      <c r="W153" s="200" t="str">
        <f t="shared" si="18"/>
        <v>-</v>
      </c>
      <c r="X153" s="200">
        <f t="shared" si="18"/>
        <v>373238</v>
      </c>
    </row>
    <row r="154" spans="1:24" ht="11.25" customHeight="1" x14ac:dyDescent="0.25">
      <c r="A154" s="383">
        <v>1984</v>
      </c>
      <c r="B154" s="200" t="str">
        <f t="shared" ref="B154:L154" si="19">IF(AND(B107="-",B60="-",B13="-"),"-",SUM(B107,B60,B13))</f>
        <v>-</v>
      </c>
      <c r="C154" s="200" t="str">
        <f t="shared" si="19"/>
        <v>-</v>
      </c>
      <c r="D154" s="200">
        <f t="shared" si="19"/>
        <v>34328</v>
      </c>
      <c r="E154" s="200">
        <f t="shared" si="19"/>
        <v>59972</v>
      </c>
      <c r="F154" s="200">
        <f t="shared" si="19"/>
        <v>130821</v>
      </c>
      <c r="G154" s="200">
        <f t="shared" si="19"/>
        <v>110657</v>
      </c>
      <c r="H154" s="200">
        <f t="shared" si="19"/>
        <v>22785</v>
      </c>
      <c r="I154" s="200">
        <f t="shared" si="19"/>
        <v>956</v>
      </c>
      <c r="J154" s="200">
        <f t="shared" si="19"/>
        <v>905</v>
      </c>
      <c r="K154" s="200" t="str">
        <f t="shared" si="19"/>
        <v>-</v>
      </c>
      <c r="L154" s="200">
        <f t="shared" si="19"/>
        <v>360424</v>
      </c>
      <c r="M154" s="8"/>
      <c r="N154" s="200" t="str">
        <f t="shared" ref="N154:X154" si="20">IF(AND(N107="-",N60="-",N13="-"),"-",SUM(N107,N60,N13))</f>
        <v>-</v>
      </c>
      <c r="O154" s="200">
        <f t="shared" si="20"/>
        <v>0</v>
      </c>
      <c r="P154" s="200">
        <f t="shared" si="20"/>
        <v>0</v>
      </c>
      <c r="Q154" s="200">
        <f t="shared" si="20"/>
        <v>11232</v>
      </c>
      <c r="R154" s="200">
        <f t="shared" si="20"/>
        <v>29171</v>
      </c>
      <c r="S154" s="200">
        <f t="shared" si="20"/>
        <v>6286</v>
      </c>
      <c r="T154" s="200">
        <f t="shared" si="20"/>
        <v>333</v>
      </c>
      <c r="U154" s="200">
        <f t="shared" si="20"/>
        <v>0</v>
      </c>
      <c r="V154" s="200" t="str">
        <f t="shared" si="20"/>
        <v>-</v>
      </c>
      <c r="W154" s="200" t="str">
        <f t="shared" si="20"/>
        <v>-</v>
      </c>
      <c r="X154" s="200">
        <f t="shared" si="20"/>
        <v>47022</v>
      </c>
    </row>
    <row r="155" spans="1:24" ht="11.25" customHeight="1" x14ac:dyDescent="0.25">
      <c r="A155" s="383">
        <v>1985</v>
      </c>
      <c r="B155" s="200" t="str">
        <f t="shared" ref="B155:L155" si="21">IF(AND(B108="-",B61="-",B14="-"),"-",SUM(B108,B61,B14))</f>
        <v>-</v>
      </c>
      <c r="C155" s="200" t="str">
        <f t="shared" si="21"/>
        <v>-</v>
      </c>
      <c r="D155" s="200">
        <f t="shared" si="21"/>
        <v>126283</v>
      </c>
      <c r="E155" s="200">
        <f t="shared" si="21"/>
        <v>103693</v>
      </c>
      <c r="F155" s="200">
        <f t="shared" si="21"/>
        <v>174920</v>
      </c>
      <c r="G155" s="200">
        <f t="shared" si="21"/>
        <v>121676</v>
      </c>
      <c r="H155" s="200">
        <f t="shared" si="21"/>
        <v>41257</v>
      </c>
      <c r="I155" s="200">
        <f t="shared" si="21"/>
        <v>4872</v>
      </c>
      <c r="J155" s="200">
        <f t="shared" si="21"/>
        <v>1353</v>
      </c>
      <c r="K155" s="200" t="str">
        <f t="shared" si="21"/>
        <v>-</v>
      </c>
      <c r="L155" s="200">
        <f t="shared" si="21"/>
        <v>574054</v>
      </c>
      <c r="M155" s="8"/>
      <c r="N155" s="200" t="str">
        <f t="shared" ref="N155:X155" si="22">IF(AND(N108="-",N61="-",N14="-"),"-",SUM(N108,N61,N14))</f>
        <v>-</v>
      </c>
      <c r="O155" s="200">
        <f t="shared" si="22"/>
        <v>0</v>
      </c>
      <c r="P155" s="200">
        <f t="shared" si="22"/>
        <v>15</v>
      </c>
      <c r="Q155" s="200">
        <f t="shared" si="22"/>
        <v>2957</v>
      </c>
      <c r="R155" s="200">
        <f t="shared" si="22"/>
        <v>50500</v>
      </c>
      <c r="S155" s="200">
        <f t="shared" si="22"/>
        <v>1301</v>
      </c>
      <c r="T155" s="200">
        <f t="shared" si="22"/>
        <v>66</v>
      </c>
      <c r="U155" s="200">
        <f t="shared" si="22"/>
        <v>0</v>
      </c>
      <c r="V155" s="200" t="str">
        <f t="shared" si="22"/>
        <v>-</v>
      </c>
      <c r="W155" s="200" t="str">
        <f t="shared" si="22"/>
        <v>-</v>
      </c>
      <c r="X155" s="200">
        <f t="shared" si="22"/>
        <v>54839</v>
      </c>
    </row>
    <row r="156" spans="1:24" ht="11.25" customHeight="1" x14ac:dyDescent="0.25">
      <c r="A156" s="383">
        <v>1986</v>
      </c>
      <c r="B156" s="200" t="str">
        <f t="shared" ref="B156:L156" si="23">IF(AND(B109="-",B62="-",B15="-"),"-",SUM(B109,B62,B15))</f>
        <v>-</v>
      </c>
      <c r="C156" s="200" t="str">
        <f t="shared" si="23"/>
        <v>-</v>
      </c>
      <c r="D156" s="200">
        <f t="shared" si="23"/>
        <v>255984</v>
      </c>
      <c r="E156" s="200">
        <f t="shared" si="23"/>
        <v>343165</v>
      </c>
      <c r="F156" s="200">
        <f t="shared" si="23"/>
        <v>353247</v>
      </c>
      <c r="G156" s="200">
        <f t="shared" si="23"/>
        <v>198563</v>
      </c>
      <c r="H156" s="200">
        <f t="shared" si="23"/>
        <v>43056</v>
      </c>
      <c r="I156" s="200">
        <f t="shared" si="23"/>
        <v>26722</v>
      </c>
      <c r="J156" s="200">
        <f t="shared" si="23"/>
        <v>624</v>
      </c>
      <c r="K156" s="200" t="str">
        <f t="shared" si="23"/>
        <v>-</v>
      </c>
      <c r="L156" s="200">
        <f t="shared" si="23"/>
        <v>1221361</v>
      </c>
      <c r="M156" s="8"/>
      <c r="N156" s="200" t="str">
        <f t="shared" ref="N156:X156" si="24">IF(AND(N109="-",N62="-",N15="-"),"-",SUM(N109,N62,N15))</f>
        <v>-</v>
      </c>
      <c r="O156" s="200" t="str">
        <f t="shared" si="24"/>
        <v>-</v>
      </c>
      <c r="P156" s="200" t="str">
        <f t="shared" si="24"/>
        <v>-</v>
      </c>
      <c r="Q156" s="200">
        <f t="shared" si="24"/>
        <v>27983</v>
      </c>
      <c r="R156" s="200">
        <f t="shared" si="24"/>
        <v>400551</v>
      </c>
      <c r="S156" s="200">
        <f t="shared" si="24"/>
        <v>2077</v>
      </c>
      <c r="T156" s="200">
        <f t="shared" si="24"/>
        <v>129</v>
      </c>
      <c r="U156" s="200">
        <f t="shared" si="24"/>
        <v>0</v>
      </c>
      <c r="V156" s="200" t="str">
        <f t="shared" si="24"/>
        <v>-</v>
      </c>
      <c r="W156" s="200" t="str">
        <f t="shared" si="24"/>
        <v>-</v>
      </c>
      <c r="X156" s="200">
        <f t="shared" si="24"/>
        <v>430740</v>
      </c>
    </row>
    <row r="157" spans="1:24" ht="11.25" customHeight="1" x14ac:dyDescent="0.25">
      <c r="A157" s="383">
        <v>1987</v>
      </c>
      <c r="B157" s="200" t="str">
        <f t="shared" ref="B157:L157" si="25">IF(AND(B110="-",B63="-",B16="-"),"-",SUM(B110,B63,B16))</f>
        <v>-</v>
      </c>
      <c r="C157" s="200" t="str">
        <f t="shared" si="25"/>
        <v>-</v>
      </c>
      <c r="D157" s="200">
        <f t="shared" si="25"/>
        <v>303827</v>
      </c>
      <c r="E157" s="200">
        <f t="shared" si="25"/>
        <v>350213</v>
      </c>
      <c r="F157" s="200">
        <f t="shared" si="25"/>
        <v>474226</v>
      </c>
      <c r="G157" s="200">
        <f t="shared" si="25"/>
        <v>166892</v>
      </c>
      <c r="H157" s="200">
        <f t="shared" si="25"/>
        <v>81269</v>
      </c>
      <c r="I157" s="200">
        <f t="shared" si="25"/>
        <v>17255</v>
      </c>
      <c r="J157" s="200">
        <f t="shared" si="25"/>
        <v>1916</v>
      </c>
      <c r="K157" s="200" t="str">
        <f t="shared" si="25"/>
        <v>-</v>
      </c>
      <c r="L157" s="200">
        <f t="shared" si="25"/>
        <v>1395598</v>
      </c>
      <c r="M157" s="8"/>
      <c r="N157" s="200" t="str">
        <f t="shared" ref="N157:X157" si="26">IF(AND(N110="-",N63="-",N16="-"),"-",SUM(N110,N63,N16))</f>
        <v>-</v>
      </c>
      <c r="O157" s="200" t="str">
        <f t="shared" si="26"/>
        <v>-</v>
      </c>
      <c r="P157" s="200" t="str">
        <f t="shared" si="26"/>
        <v>-</v>
      </c>
      <c r="Q157" s="200">
        <f t="shared" si="26"/>
        <v>29040</v>
      </c>
      <c r="R157" s="200">
        <f t="shared" si="26"/>
        <v>272523.47343425348</v>
      </c>
      <c r="S157" s="200">
        <f t="shared" si="26"/>
        <v>58754</v>
      </c>
      <c r="T157" s="200">
        <f t="shared" si="26"/>
        <v>22218</v>
      </c>
      <c r="U157" s="200">
        <f t="shared" si="26"/>
        <v>0</v>
      </c>
      <c r="V157" s="200" t="str">
        <f t="shared" si="26"/>
        <v>-</v>
      </c>
      <c r="W157" s="200" t="str">
        <f t="shared" si="26"/>
        <v>-</v>
      </c>
      <c r="X157" s="200">
        <f t="shared" si="26"/>
        <v>382535.47343425348</v>
      </c>
    </row>
    <row r="158" spans="1:24" ht="11.25" customHeight="1" x14ac:dyDescent="0.25">
      <c r="A158" s="383">
        <v>1988</v>
      </c>
      <c r="B158" s="200" t="str">
        <f t="shared" ref="B158:L158" si="27">IF(AND(B111="-",B64="-",B17="-"),"-",SUM(B111,B64,B17))</f>
        <v>-</v>
      </c>
      <c r="C158" s="200" t="str">
        <f t="shared" si="27"/>
        <v>-</v>
      </c>
      <c r="D158" s="200">
        <f t="shared" si="27"/>
        <v>447718</v>
      </c>
      <c r="E158" s="200">
        <f t="shared" si="27"/>
        <v>471617</v>
      </c>
      <c r="F158" s="200">
        <f t="shared" si="27"/>
        <v>481240</v>
      </c>
      <c r="G158" s="200">
        <f t="shared" si="27"/>
        <v>240841</v>
      </c>
      <c r="H158" s="200">
        <f t="shared" si="27"/>
        <v>92485</v>
      </c>
      <c r="I158" s="200">
        <f t="shared" si="27"/>
        <v>43426</v>
      </c>
      <c r="J158" s="200">
        <f t="shared" si="27"/>
        <v>1851</v>
      </c>
      <c r="K158" s="200" t="str">
        <f t="shared" si="27"/>
        <v>-</v>
      </c>
      <c r="L158" s="200">
        <f t="shared" si="27"/>
        <v>1779178</v>
      </c>
      <c r="M158" s="8"/>
      <c r="N158" s="200" t="str">
        <f t="shared" ref="N158:X158" si="28">IF(AND(N111="-",N64="-",N17="-"),"-",SUM(N111,N64,N17))</f>
        <v>-</v>
      </c>
      <c r="O158" s="200" t="str">
        <f t="shared" si="28"/>
        <v>-</v>
      </c>
      <c r="P158" s="200" t="str">
        <f t="shared" si="28"/>
        <v>-</v>
      </c>
      <c r="Q158" s="200">
        <f t="shared" si="28"/>
        <v>24698</v>
      </c>
      <c r="R158" s="200">
        <f t="shared" si="28"/>
        <v>411079</v>
      </c>
      <c r="S158" s="200">
        <f t="shared" si="28"/>
        <v>235982</v>
      </c>
      <c r="T158" s="200">
        <f t="shared" si="28"/>
        <v>1607</v>
      </c>
      <c r="U158" s="200">
        <f t="shared" si="28"/>
        <v>0</v>
      </c>
      <c r="V158" s="200" t="str">
        <f t="shared" si="28"/>
        <v>-</v>
      </c>
      <c r="W158" s="200" t="str">
        <f t="shared" si="28"/>
        <v>-</v>
      </c>
      <c r="X158" s="200">
        <f t="shared" si="28"/>
        <v>673366</v>
      </c>
    </row>
    <row r="159" spans="1:24" ht="11.25" customHeight="1" x14ac:dyDescent="0.25">
      <c r="A159" s="383">
        <v>1989</v>
      </c>
      <c r="B159" s="200" t="str">
        <f t="shared" ref="B159:L159" si="29">IF(AND(B112="-",B65="-",B18="-"),"-",SUM(B112,B65,B18))</f>
        <v>-</v>
      </c>
      <c r="C159" s="200" t="str">
        <f t="shared" si="29"/>
        <v>-</v>
      </c>
      <c r="D159" s="200">
        <f t="shared" si="29"/>
        <v>263369</v>
      </c>
      <c r="E159" s="200">
        <f t="shared" si="29"/>
        <v>211716</v>
      </c>
      <c r="F159" s="200">
        <f t="shared" si="29"/>
        <v>182704</v>
      </c>
      <c r="G159" s="200">
        <f t="shared" si="29"/>
        <v>155963</v>
      </c>
      <c r="H159" s="200">
        <f t="shared" si="29"/>
        <v>47607</v>
      </c>
      <c r="I159" s="200">
        <f t="shared" si="29"/>
        <v>17784</v>
      </c>
      <c r="J159" s="200">
        <f t="shared" si="29"/>
        <v>2178</v>
      </c>
      <c r="K159" s="200" t="str">
        <f t="shared" si="29"/>
        <v>-</v>
      </c>
      <c r="L159" s="200">
        <f t="shared" si="29"/>
        <v>881321</v>
      </c>
      <c r="M159" s="8"/>
      <c r="N159" s="200" t="str">
        <f t="shared" ref="N159:X159" si="30">IF(AND(N112="-",N65="-",N18="-"),"-",SUM(N112,N65,N18))</f>
        <v>-</v>
      </c>
      <c r="O159" s="200" t="str">
        <f t="shared" si="30"/>
        <v>-</v>
      </c>
      <c r="P159" s="200" t="str">
        <f t="shared" si="30"/>
        <v>-</v>
      </c>
      <c r="Q159" s="200">
        <f t="shared" si="30"/>
        <v>17040</v>
      </c>
      <c r="R159" s="200">
        <f t="shared" si="30"/>
        <v>388086</v>
      </c>
      <c r="S159" s="200">
        <f t="shared" si="30"/>
        <v>70023.6571381416</v>
      </c>
      <c r="T159" s="200">
        <f t="shared" si="30"/>
        <v>458.8</v>
      </c>
      <c r="U159" s="200" t="str">
        <f t="shared" si="30"/>
        <v>-</v>
      </c>
      <c r="V159" s="200" t="str">
        <f t="shared" si="30"/>
        <v>-</v>
      </c>
      <c r="W159" s="200" t="str">
        <f t="shared" si="30"/>
        <v>-</v>
      </c>
      <c r="X159" s="200">
        <f t="shared" si="30"/>
        <v>475608.45713814162</v>
      </c>
    </row>
    <row r="160" spans="1:24" ht="11.25" customHeight="1" x14ac:dyDescent="0.25">
      <c r="A160" s="383">
        <v>1990</v>
      </c>
      <c r="B160" s="200" t="str">
        <f t="shared" ref="B160:L160" si="31">IF(AND(B113="-",B66="-",B19="-"),"-",SUM(B113,B66,B19))</f>
        <v>-</v>
      </c>
      <c r="C160" s="200" t="str">
        <f t="shared" si="31"/>
        <v>-</v>
      </c>
      <c r="D160" s="200">
        <f t="shared" si="31"/>
        <v>160275</v>
      </c>
      <c r="E160" s="200">
        <f t="shared" si="31"/>
        <v>206551</v>
      </c>
      <c r="F160" s="200">
        <f t="shared" si="31"/>
        <v>191107</v>
      </c>
      <c r="G160" s="200">
        <f t="shared" si="31"/>
        <v>76972</v>
      </c>
      <c r="H160" s="200">
        <f t="shared" si="31"/>
        <v>14180</v>
      </c>
      <c r="I160" s="200">
        <f t="shared" si="31"/>
        <v>4218</v>
      </c>
      <c r="J160" s="200" t="str">
        <f t="shared" si="31"/>
        <v>-</v>
      </c>
      <c r="K160" s="200" t="str">
        <f t="shared" si="31"/>
        <v>-</v>
      </c>
      <c r="L160" s="200">
        <f t="shared" si="31"/>
        <v>653303</v>
      </c>
      <c r="M160" s="8"/>
      <c r="N160" s="200" t="str">
        <f t="shared" ref="N160:X160" si="32">IF(AND(N113="-",N66="-",N19="-"),"-",SUM(N113,N66,N19))</f>
        <v>-</v>
      </c>
      <c r="O160" s="200" t="str">
        <f t="shared" si="32"/>
        <v>-</v>
      </c>
      <c r="P160" s="200" t="str">
        <f t="shared" si="32"/>
        <v>-</v>
      </c>
      <c r="Q160" s="200">
        <f t="shared" si="32"/>
        <v>38687</v>
      </c>
      <c r="R160" s="200">
        <f t="shared" si="32"/>
        <v>96541</v>
      </c>
      <c r="S160" s="200">
        <f t="shared" si="32"/>
        <v>34547.1</v>
      </c>
      <c r="T160" s="200">
        <f t="shared" si="32"/>
        <v>1.2</v>
      </c>
      <c r="U160" s="200">
        <f t="shared" si="32"/>
        <v>0.1</v>
      </c>
      <c r="V160" s="200" t="str">
        <f t="shared" si="32"/>
        <v>-</v>
      </c>
      <c r="W160" s="200" t="str">
        <f t="shared" si="32"/>
        <v>-</v>
      </c>
      <c r="X160" s="200">
        <f t="shared" si="32"/>
        <v>169776.4</v>
      </c>
    </row>
    <row r="161" spans="1:24" ht="11.25" customHeight="1" x14ac:dyDescent="0.25">
      <c r="A161" s="383">
        <v>1991</v>
      </c>
      <c r="B161" s="200" t="str">
        <f t="shared" ref="B161:L161" si="33">IF(AND(B114="-",B67="-",B20="-"),"-",SUM(B114,B67,B20))</f>
        <v>-</v>
      </c>
      <c r="C161" s="200" t="str">
        <f t="shared" si="33"/>
        <v>-</v>
      </c>
      <c r="D161" s="200">
        <f t="shared" si="33"/>
        <v>83376</v>
      </c>
      <c r="E161" s="200">
        <f t="shared" si="33"/>
        <v>99670</v>
      </c>
      <c r="F161" s="200">
        <f t="shared" si="33"/>
        <v>65028</v>
      </c>
      <c r="G161" s="200">
        <f t="shared" si="33"/>
        <v>77196</v>
      </c>
      <c r="H161" s="200">
        <f t="shared" si="33"/>
        <v>30324</v>
      </c>
      <c r="I161" s="200">
        <f t="shared" si="33"/>
        <v>12839</v>
      </c>
      <c r="J161" s="200" t="str">
        <f t="shared" si="33"/>
        <v>-</v>
      </c>
      <c r="K161" s="200" t="str">
        <f t="shared" si="33"/>
        <v>-</v>
      </c>
      <c r="L161" s="200">
        <f t="shared" si="33"/>
        <v>368433</v>
      </c>
      <c r="M161" s="8"/>
      <c r="N161" s="200" t="str">
        <f t="shared" ref="N161:X161" si="34">IF(AND(N114="-",N67="-",N20="-"),"-",SUM(N114,N67,N20))</f>
        <v>-</v>
      </c>
      <c r="O161" s="200" t="str">
        <f t="shared" si="34"/>
        <v>-</v>
      </c>
      <c r="P161" s="200" t="str">
        <f t="shared" si="34"/>
        <v>-</v>
      </c>
      <c r="Q161" s="200">
        <f t="shared" si="34"/>
        <v>141449</v>
      </c>
      <c r="R161" s="200">
        <f t="shared" si="34"/>
        <v>212757</v>
      </c>
      <c r="S161" s="200">
        <f t="shared" si="34"/>
        <v>5211</v>
      </c>
      <c r="T161" s="200">
        <f t="shared" si="34"/>
        <v>3</v>
      </c>
      <c r="U161" s="200">
        <f t="shared" si="34"/>
        <v>0.1</v>
      </c>
      <c r="V161" s="200" t="str">
        <f t="shared" si="34"/>
        <v>-</v>
      </c>
      <c r="W161" s="200" t="str">
        <f t="shared" si="34"/>
        <v>-</v>
      </c>
      <c r="X161" s="200">
        <f t="shared" si="34"/>
        <v>359420.1</v>
      </c>
    </row>
    <row r="162" spans="1:24" ht="11.25" customHeight="1" x14ac:dyDescent="0.25">
      <c r="A162" s="383">
        <v>1992</v>
      </c>
      <c r="B162" s="200" t="str">
        <f t="shared" ref="B162:L162" si="35">IF(AND(B115="-",B68="-",B21="-"),"-",SUM(B115,B68,B21))</f>
        <v>-</v>
      </c>
      <c r="C162" s="200" t="str">
        <f t="shared" si="35"/>
        <v>-</v>
      </c>
      <c r="D162" s="200">
        <f t="shared" si="35"/>
        <v>72044</v>
      </c>
      <c r="E162" s="200">
        <f t="shared" si="35"/>
        <v>18900</v>
      </c>
      <c r="F162" s="200">
        <f t="shared" si="35"/>
        <v>52088</v>
      </c>
      <c r="G162" s="200">
        <f t="shared" si="35"/>
        <v>67386</v>
      </c>
      <c r="H162" s="200">
        <f t="shared" si="35"/>
        <v>38857</v>
      </c>
      <c r="I162" s="200">
        <f t="shared" si="35"/>
        <v>19272</v>
      </c>
      <c r="J162" s="200" t="str">
        <f t="shared" si="35"/>
        <v>-</v>
      </c>
      <c r="K162" s="200" t="str">
        <f t="shared" si="35"/>
        <v>-</v>
      </c>
      <c r="L162" s="200">
        <f t="shared" si="35"/>
        <v>268547</v>
      </c>
      <c r="M162" s="8"/>
      <c r="N162" s="200" t="str">
        <f t="shared" ref="N162:X162" si="36">IF(AND(N115="-",N68="-",N21="-"),"-",SUM(N115,N68,N21))</f>
        <v>-</v>
      </c>
      <c r="O162" s="200" t="str">
        <f t="shared" si="36"/>
        <v>-</v>
      </c>
      <c r="P162" s="200" t="str">
        <f t="shared" si="36"/>
        <v>-</v>
      </c>
      <c r="Q162" s="200">
        <f t="shared" si="36"/>
        <v>1500</v>
      </c>
      <c r="R162" s="200">
        <f t="shared" si="36"/>
        <v>23564</v>
      </c>
      <c r="S162" s="200">
        <f t="shared" si="36"/>
        <v>25583</v>
      </c>
      <c r="T162" s="200" t="str">
        <f t="shared" si="36"/>
        <v>-</v>
      </c>
      <c r="U162" s="200">
        <f t="shared" si="36"/>
        <v>12</v>
      </c>
      <c r="V162" s="200" t="str">
        <f t="shared" si="36"/>
        <v>-</v>
      </c>
      <c r="W162" s="200" t="str">
        <f t="shared" si="36"/>
        <v>-</v>
      </c>
      <c r="X162" s="200">
        <f t="shared" si="36"/>
        <v>50659</v>
      </c>
    </row>
    <row r="163" spans="1:24" ht="11.25" customHeight="1" x14ac:dyDescent="0.25">
      <c r="A163" s="383">
        <v>1993</v>
      </c>
      <c r="B163" s="200" t="str">
        <f t="shared" ref="B163:L163" si="37">IF(AND(B116="-",B69="-",B22="-"),"-",SUM(B116,B69,B22))</f>
        <v>-</v>
      </c>
      <c r="C163" s="200" t="str">
        <f t="shared" si="37"/>
        <v>-</v>
      </c>
      <c r="D163" s="200">
        <f t="shared" si="37"/>
        <v>131389</v>
      </c>
      <c r="E163" s="200">
        <f t="shared" si="37"/>
        <v>55076</v>
      </c>
      <c r="F163" s="200">
        <f t="shared" si="37"/>
        <v>68707</v>
      </c>
      <c r="G163" s="200">
        <f t="shared" si="37"/>
        <v>58813</v>
      </c>
      <c r="H163" s="200">
        <f t="shared" si="37"/>
        <v>39568</v>
      </c>
      <c r="I163" s="200">
        <f t="shared" si="37"/>
        <v>6454</v>
      </c>
      <c r="J163" s="200">
        <f t="shared" si="37"/>
        <v>658</v>
      </c>
      <c r="K163" s="200" t="str">
        <f t="shared" si="37"/>
        <v>-</v>
      </c>
      <c r="L163" s="200">
        <f t="shared" si="37"/>
        <v>360665</v>
      </c>
      <c r="M163" s="8"/>
      <c r="N163" s="200" t="str">
        <f t="shared" ref="N163:X163" si="38">IF(AND(N116="-",N69="-",N22="-"),"-",SUM(N116,N69,N22))</f>
        <v>-</v>
      </c>
      <c r="O163" s="200" t="str">
        <f t="shared" si="38"/>
        <v>-</v>
      </c>
      <c r="P163" s="200" t="str">
        <f t="shared" si="38"/>
        <v>-</v>
      </c>
      <c r="Q163" s="200" t="str">
        <f t="shared" si="38"/>
        <v>-</v>
      </c>
      <c r="R163" s="200" t="str">
        <f t="shared" si="38"/>
        <v>-</v>
      </c>
      <c r="S163" s="200">
        <f t="shared" si="38"/>
        <v>2</v>
      </c>
      <c r="T163" s="200" t="str">
        <f t="shared" si="38"/>
        <v>-</v>
      </c>
      <c r="U163" s="200">
        <f t="shared" si="38"/>
        <v>25</v>
      </c>
      <c r="V163" s="200" t="str">
        <f t="shared" si="38"/>
        <v>-</v>
      </c>
      <c r="W163" s="200" t="str">
        <f t="shared" si="38"/>
        <v>-</v>
      </c>
      <c r="X163" s="200">
        <f t="shared" si="38"/>
        <v>27</v>
      </c>
    </row>
    <row r="164" spans="1:24" ht="11.25" customHeight="1" x14ac:dyDescent="0.25">
      <c r="A164" s="383">
        <v>1994</v>
      </c>
      <c r="B164" s="200" t="str">
        <f t="shared" ref="B164:L164" si="39">IF(AND(B117="-",B70="-",B23="-"),"-",SUM(B117,B70,B23))</f>
        <v>-</v>
      </c>
      <c r="C164" s="200" t="str">
        <f t="shared" si="39"/>
        <v>-</v>
      </c>
      <c r="D164" s="200">
        <f t="shared" si="39"/>
        <v>86714</v>
      </c>
      <c r="E164" s="200">
        <f t="shared" si="39"/>
        <v>90025</v>
      </c>
      <c r="F164" s="200">
        <f t="shared" si="39"/>
        <v>89175</v>
      </c>
      <c r="G164" s="200">
        <f t="shared" si="39"/>
        <v>27613</v>
      </c>
      <c r="H164" s="200">
        <f t="shared" si="39"/>
        <v>20311</v>
      </c>
      <c r="I164" s="200">
        <f t="shared" si="39"/>
        <v>6588</v>
      </c>
      <c r="J164" s="200">
        <f t="shared" si="39"/>
        <v>378</v>
      </c>
      <c r="K164" s="200" t="str">
        <f t="shared" si="39"/>
        <v>-</v>
      </c>
      <c r="L164" s="200">
        <f t="shared" si="39"/>
        <v>320804</v>
      </c>
      <c r="M164" s="8"/>
      <c r="N164" s="200" t="str">
        <f t="shared" ref="N164:X164" si="40">IF(AND(N117="-",N70="-",N23="-"),"-",SUM(N117,N70,N23))</f>
        <v>-</v>
      </c>
      <c r="O164" s="200" t="str">
        <f t="shared" si="40"/>
        <v>-</v>
      </c>
      <c r="P164" s="200" t="str">
        <f t="shared" si="40"/>
        <v>-</v>
      </c>
      <c r="Q164" s="200" t="str">
        <f t="shared" si="40"/>
        <v>-</v>
      </c>
      <c r="R164" s="200" t="str">
        <f t="shared" si="40"/>
        <v>-</v>
      </c>
      <c r="S164" s="200" t="str">
        <f t="shared" si="40"/>
        <v>-</v>
      </c>
      <c r="T164" s="200" t="str">
        <f t="shared" si="40"/>
        <v>-</v>
      </c>
      <c r="U164" s="200" t="str">
        <f t="shared" si="40"/>
        <v>-</v>
      </c>
      <c r="V164" s="200" t="str">
        <f t="shared" si="40"/>
        <v>-</v>
      </c>
      <c r="W164" s="200" t="str">
        <f t="shared" si="40"/>
        <v>-</v>
      </c>
      <c r="X164" s="200" t="str">
        <f t="shared" si="40"/>
        <v>-</v>
      </c>
    </row>
    <row r="165" spans="1:24" ht="11.25" customHeight="1" x14ac:dyDescent="0.25">
      <c r="A165" s="383">
        <v>1995</v>
      </c>
      <c r="B165" s="200" t="str">
        <f t="shared" ref="B165:L165" si="41">IF(AND(B118="-",B71="-",B24="-"),"-",SUM(B118,B71,B24))</f>
        <v>-</v>
      </c>
      <c r="C165" s="200" t="str">
        <f t="shared" si="41"/>
        <v>-</v>
      </c>
      <c r="D165" s="200">
        <f t="shared" si="41"/>
        <v>296364</v>
      </c>
      <c r="E165" s="200">
        <f t="shared" si="41"/>
        <v>178093</v>
      </c>
      <c r="F165" s="200">
        <f t="shared" si="41"/>
        <v>191304</v>
      </c>
      <c r="G165" s="200">
        <f t="shared" si="41"/>
        <v>128758</v>
      </c>
      <c r="H165" s="200">
        <f t="shared" si="41"/>
        <v>69673</v>
      </c>
      <c r="I165" s="200">
        <f t="shared" si="41"/>
        <v>28585</v>
      </c>
      <c r="J165" s="200">
        <f t="shared" si="41"/>
        <v>324</v>
      </c>
      <c r="K165" s="200" t="str">
        <f t="shared" si="41"/>
        <v>-</v>
      </c>
      <c r="L165" s="200">
        <f t="shared" si="41"/>
        <v>893101</v>
      </c>
      <c r="M165" s="8"/>
      <c r="N165" s="200" t="str">
        <f t="shared" ref="N165:X165" si="42">IF(AND(N118="-",N71="-",N24="-"),"-",SUM(N118,N71,N24))</f>
        <v>-</v>
      </c>
      <c r="O165" s="200" t="str">
        <f t="shared" si="42"/>
        <v>-</v>
      </c>
      <c r="P165" s="200" t="str">
        <f t="shared" si="42"/>
        <v>-</v>
      </c>
      <c r="Q165" s="200" t="str">
        <f t="shared" si="42"/>
        <v>-</v>
      </c>
      <c r="R165" s="200" t="str">
        <f t="shared" si="42"/>
        <v>-</v>
      </c>
      <c r="S165" s="200" t="str">
        <f t="shared" si="42"/>
        <v>-</v>
      </c>
      <c r="T165" s="200" t="str">
        <f t="shared" si="42"/>
        <v>-</v>
      </c>
      <c r="U165" s="200" t="str">
        <f t="shared" si="42"/>
        <v>-</v>
      </c>
      <c r="V165" s="200" t="str">
        <f t="shared" si="42"/>
        <v>-</v>
      </c>
      <c r="W165" s="200" t="str">
        <f t="shared" si="42"/>
        <v>-</v>
      </c>
      <c r="X165" s="200" t="str">
        <f t="shared" si="42"/>
        <v>-</v>
      </c>
    </row>
    <row r="166" spans="1:24" ht="11.25" customHeight="1" x14ac:dyDescent="0.25">
      <c r="A166" s="383">
        <v>1996</v>
      </c>
      <c r="B166" s="200" t="str">
        <f t="shared" ref="B166:L166" si="43">IF(AND(B119="-",B72="-",B25="-"),"-",SUM(B119,B72,B25))</f>
        <v>-</v>
      </c>
      <c r="C166" s="200" t="str">
        <f t="shared" si="43"/>
        <v>-</v>
      </c>
      <c r="D166" s="200">
        <f t="shared" si="43"/>
        <v>125581</v>
      </c>
      <c r="E166" s="200">
        <f t="shared" si="43"/>
        <v>171784</v>
      </c>
      <c r="F166" s="200">
        <f t="shared" si="43"/>
        <v>95417</v>
      </c>
      <c r="G166" s="200">
        <f t="shared" si="43"/>
        <v>94742</v>
      </c>
      <c r="H166" s="200">
        <f t="shared" si="43"/>
        <v>52764</v>
      </c>
      <c r="I166" s="200">
        <f t="shared" si="43"/>
        <v>14927</v>
      </c>
      <c r="J166" s="200">
        <f t="shared" si="43"/>
        <v>845</v>
      </c>
      <c r="K166" s="200" t="str">
        <f t="shared" si="43"/>
        <v>-</v>
      </c>
      <c r="L166" s="200">
        <f t="shared" si="43"/>
        <v>556060</v>
      </c>
      <c r="M166" s="8"/>
      <c r="N166" s="200" t="str">
        <f t="shared" ref="N166:X166" si="44">IF(AND(N119="-",N72="-",N25="-"),"-",SUM(N119,N72,N25))</f>
        <v>-</v>
      </c>
      <c r="O166" s="200" t="str">
        <f t="shared" si="44"/>
        <v>-</v>
      </c>
      <c r="P166" s="200" t="str">
        <f t="shared" si="44"/>
        <v>-</v>
      </c>
      <c r="Q166" s="200">
        <f t="shared" si="44"/>
        <v>8</v>
      </c>
      <c r="R166" s="200" t="str">
        <f t="shared" si="44"/>
        <v>-</v>
      </c>
      <c r="S166" s="200" t="str">
        <f t="shared" si="44"/>
        <v>-</v>
      </c>
      <c r="T166" s="200" t="str">
        <f t="shared" si="44"/>
        <v>-</v>
      </c>
      <c r="U166" s="200" t="str">
        <f t="shared" si="44"/>
        <v>-</v>
      </c>
      <c r="V166" s="200" t="str">
        <f t="shared" si="44"/>
        <v>-</v>
      </c>
      <c r="W166" s="200" t="str">
        <f t="shared" si="44"/>
        <v>-</v>
      </c>
      <c r="X166" s="200">
        <f t="shared" si="44"/>
        <v>8</v>
      </c>
    </row>
    <row r="167" spans="1:24" ht="11.25" customHeight="1" x14ac:dyDescent="0.25">
      <c r="A167" s="383">
        <v>1997</v>
      </c>
      <c r="B167" s="200" t="str">
        <f t="shared" ref="B167:L167" si="45">IF(AND(B120="-",B73="-",B26="-"),"-",SUM(B120,B73,B26))</f>
        <v>-</v>
      </c>
      <c r="C167" s="200">
        <f t="shared" si="45"/>
        <v>16384</v>
      </c>
      <c r="D167" s="200">
        <f t="shared" si="45"/>
        <v>232423</v>
      </c>
      <c r="E167" s="200">
        <f t="shared" si="45"/>
        <v>109957</v>
      </c>
      <c r="F167" s="200">
        <f t="shared" si="45"/>
        <v>153940</v>
      </c>
      <c r="G167" s="200">
        <f t="shared" si="45"/>
        <v>69580</v>
      </c>
      <c r="H167" s="200">
        <f t="shared" si="45"/>
        <v>49000</v>
      </c>
      <c r="I167" s="200">
        <f t="shared" si="45"/>
        <v>5370</v>
      </c>
      <c r="J167" s="200">
        <f t="shared" si="45"/>
        <v>492</v>
      </c>
      <c r="K167" s="200" t="str">
        <f t="shared" si="45"/>
        <v>-</v>
      </c>
      <c r="L167" s="200">
        <f t="shared" si="45"/>
        <v>637146</v>
      </c>
      <c r="M167" s="8"/>
      <c r="N167" s="200" t="str">
        <f t="shared" ref="N167:X167" si="46">IF(AND(N120="-",N73="-",N26="-"),"-",SUM(N120,N73,N26))</f>
        <v>-</v>
      </c>
      <c r="O167" s="200" t="str">
        <f t="shared" si="46"/>
        <v>-</v>
      </c>
      <c r="P167" s="200" t="str">
        <f t="shared" si="46"/>
        <v>-</v>
      </c>
      <c r="Q167" s="200" t="str">
        <f t="shared" si="46"/>
        <v>-</v>
      </c>
      <c r="R167" s="200" t="str">
        <f t="shared" si="46"/>
        <v>-</v>
      </c>
      <c r="S167" s="200" t="str">
        <f t="shared" si="46"/>
        <v>-</v>
      </c>
      <c r="T167" s="200" t="str">
        <f t="shared" si="46"/>
        <v>-</v>
      </c>
      <c r="U167" s="200" t="str">
        <f t="shared" si="46"/>
        <v>-</v>
      </c>
      <c r="V167" s="200" t="str">
        <f t="shared" si="46"/>
        <v>-</v>
      </c>
      <c r="W167" s="200" t="str">
        <f t="shared" si="46"/>
        <v>-</v>
      </c>
      <c r="X167" s="200" t="str">
        <f t="shared" si="46"/>
        <v>-</v>
      </c>
    </row>
    <row r="168" spans="1:24" ht="11.25" customHeight="1" x14ac:dyDescent="0.25">
      <c r="A168" s="383">
        <v>1998</v>
      </c>
      <c r="B168" s="200" t="str">
        <f t="shared" ref="B168:L168" si="47">IF(AND(B121="-",B74="-",B27="-"),"-",SUM(B121,B74,B27))</f>
        <v>-</v>
      </c>
      <c r="C168" s="200">
        <f t="shared" si="47"/>
        <v>19953</v>
      </c>
      <c r="D168" s="200">
        <f t="shared" si="47"/>
        <v>116006</v>
      </c>
      <c r="E168" s="200">
        <f t="shared" si="47"/>
        <v>73187</v>
      </c>
      <c r="F168" s="200">
        <f t="shared" si="47"/>
        <v>74931</v>
      </c>
      <c r="G168" s="200">
        <f t="shared" si="47"/>
        <v>36850</v>
      </c>
      <c r="H168" s="200">
        <f t="shared" si="47"/>
        <v>25353</v>
      </c>
      <c r="I168" s="200">
        <f t="shared" si="47"/>
        <v>3967</v>
      </c>
      <c r="J168" s="200">
        <f t="shared" si="47"/>
        <v>900</v>
      </c>
      <c r="K168" s="200" t="str">
        <f t="shared" si="47"/>
        <v>-</v>
      </c>
      <c r="L168" s="200">
        <f t="shared" si="47"/>
        <v>351147</v>
      </c>
      <c r="M168" s="8"/>
      <c r="N168" s="200" t="str">
        <f t="shared" ref="N168:X168" si="48">IF(AND(N121="-",N74="-",N27="-"),"-",SUM(N121,N74,N27))</f>
        <v>-</v>
      </c>
      <c r="O168" s="200" t="str">
        <f t="shared" si="48"/>
        <v>-</v>
      </c>
      <c r="P168" s="200" t="str">
        <f t="shared" si="48"/>
        <v>-</v>
      </c>
      <c r="Q168" s="200" t="str">
        <f t="shared" si="48"/>
        <v>-</v>
      </c>
      <c r="R168" s="200" t="str">
        <f t="shared" si="48"/>
        <v>-</v>
      </c>
      <c r="S168" s="200" t="str">
        <f t="shared" si="48"/>
        <v>-</v>
      </c>
      <c r="T168" s="200" t="str">
        <f t="shared" si="48"/>
        <v>-</v>
      </c>
      <c r="U168" s="200" t="str">
        <f t="shared" si="48"/>
        <v>-</v>
      </c>
      <c r="V168" s="200" t="str">
        <f t="shared" si="48"/>
        <v>-</v>
      </c>
      <c r="W168" s="200" t="str">
        <f t="shared" si="48"/>
        <v>-</v>
      </c>
      <c r="X168" s="200" t="str">
        <f t="shared" si="48"/>
        <v>-</v>
      </c>
    </row>
    <row r="169" spans="1:24" ht="11.25" customHeight="1" x14ac:dyDescent="0.25">
      <c r="A169" s="383">
        <v>1999</v>
      </c>
      <c r="B169" s="200" t="str">
        <f t="shared" ref="B169:L169" si="49">IF(AND(B122="-",B75="-",B28="-"),"-",SUM(B122,B75,B28))</f>
        <v>-</v>
      </c>
      <c r="C169" s="200">
        <f t="shared" si="49"/>
        <v>4094</v>
      </c>
      <c r="D169" s="200">
        <f t="shared" si="49"/>
        <v>36610</v>
      </c>
      <c r="E169" s="200">
        <f t="shared" si="49"/>
        <v>149076</v>
      </c>
      <c r="F169" s="200">
        <f t="shared" si="49"/>
        <v>79564</v>
      </c>
      <c r="G169" s="200">
        <f t="shared" si="49"/>
        <v>42099</v>
      </c>
      <c r="H169" s="200">
        <f t="shared" si="49"/>
        <v>11431</v>
      </c>
      <c r="I169" s="200">
        <f t="shared" si="49"/>
        <v>2816</v>
      </c>
      <c r="J169" s="200">
        <f t="shared" si="49"/>
        <v>1237</v>
      </c>
      <c r="K169" s="200">
        <f t="shared" si="49"/>
        <v>43</v>
      </c>
      <c r="L169" s="200">
        <f t="shared" si="49"/>
        <v>326970</v>
      </c>
      <c r="M169" s="8"/>
      <c r="N169" s="200" t="str">
        <f t="shared" ref="N169:X169" si="50">IF(AND(N122="-",N75="-",N28="-"),"-",SUM(N122,N75,N28))</f>
        <v>-</v>
      </c>
      <c r="O169" s="200" t="str">
        <f t="shared" si="50"/>
        <v>-</v>
      </c>
      <c r="P169" s="200" t="str">
        <f t="shared" si="50"/>
        <v>-</v>
      </c>
      <c r="Q169" s="200" t="str">
        <f t="shared" si="50"/>
        <v>-</v>
      </c>
      <c r="R169" s="200" t="str">
        <f t="shared" si="50"/>
        <v>-</v>
      </c>
      <c r="S169" s="200" t="str">
        <f t="shared" si="50"/>
        <v>-</v>
      </c>
      <c r="T169" s="200" t="str">
        <f t="shared" si="50"/>
        <v>-</v>
      </c>
      <c r="U169" s="200" t="str">
        <f t="shared" si="50"/>
        <v>-</v>
      </c>
      <c r="V169" s="200" t="str">
        <f t="shared" si="50"/>
        <v>-</v>
      </c>
      <c r="W169" s="200" t="str">
        <f t="shared" si="50"/>
        <v>-</v>
      </c>
      <c r="X169" s="200" t="str">
        <f t="shared" si="50"/>
        <v>-</v>
      </c>
    </row>
    <row r="170" spans="1:24" ht="11.25" customHeight="1" x14ac:dyDescent="0.25">
      <c r="A170" s="383">
        <v>2000</v>
      </c>
      <c r="B170" s="200" t="str">
        <f t="shared" ref="B170:L170" si="51">IF(AND(B123="-",B76="-",B29="-"),"-",SUM(B123,B76,B29))</f>
        <v>-</v>
      </c>
      <c r="C170" s="200">
        <f t="shared" si="51"/>
        <v>1187</v>
      </c>
      <c r="D170" s="200">
        <f t="shared" si="51"/>
        <v>211719</v>
      </c>
      <c r="E170" s="200">
        <f t="shared" si="51"/>
        <v>149911</v>
      </c>
      <c r="F170" s="200">
        <f t="shared" si="51"/>
        <v>67067</v>
      </c>
      <c r="G170" s="200">
        <f t="shared" si="51"/>
        <v>75780</v>
      </c>
      <c r="H170" s="200">
        <f t="shared" si="51"/>
        <v>93346</v>
      </c>
      <c r="I170" s="200">
        <f t="shared" si="51"/>
        <v>13096</v>
      </c>
      <c r="J170" s="200">
        <f t="shared" si="51"/>
        <v>1537</v>
      </c>
      <c r="K170" s="200">
        <f t="shared" si="51"/>
        <v>367</v>
      </c>
      <c r="L170" s="200">
        <f t="shared" si="51"/>
        <v>614010</v>
      </c>
      <c r="M170" s="8"/>
      <c r="N170" s="200" t="str">
        <f t="shared" ref="N170:X170" si="52">IF(AND(N123="-",N76="-",N29="-"),"-",SUM(N123,N76,N29))</f>
        <v>-</v>
      </c>
      <c r="O170" s="200" t="str">
        <f t="shared" si="52"/>
        <v>-</v>
      </c>
      <c r="P170" s="200" t="str">
        <f t="shared" si="52"/>
        <v>-</v>
      </c>
      <c r="Q170" s="200" t="str">
        <f t="shared" si="52"/>
        <v>-</v>
      </c>
      <c r="R170" s="200" t="str">
        <f t="shared" si="52"/>
        <v>-</v>
      </c>
      <c r="S170" s="200" t="str">
        <f t="shared" si="52"/>
        <v>-</v>
      </c>
      <c r="T170" s="200" t="str">
        <f t="shared" si="52"/>
        <v>-</v>
      </c>
      <c r="U170" s="200" t="str">
        <f t="shared" si="52"/>
        <v>-</v>
      </c>
      <c r="V170" s="200" t="str">
        <f t="shared" si="52"/>
        <v>-</v>
      </c>
      <c r="W170" s="200" t="str">
        <f t="shared" si="52"/>
        <v>-</v>
      </c>
      <c r="X170" s="200" t="str">
        <f t="shared" si="52"/>
        <v>-</v>
      </c>
    </row>
    <row r="171" spans="1:24" ht="11.25" customHeight="1" x14ac:dyDescent="0.25">
      <c r="A171" s="383">
        <v>2001</v>
      </c>
      <c r="B171" s="200" t="str">
        <f t="shared" ref="B171:L171" si="53">IF(AND(B124="-",B77="-",B30="-"),"-",SUM(B124,B77,B30))</f>
        <v>-</v>
      </c>
      <c r="C171" s="200">
        <f t="shared" si="53"/>
        <v>18536</v>
      </c>
      <c r="D171" s="200">
        <f t="shared" si="53"/>
        <v>133829</v>
      </c>
      <c r="E171" s="200">
        <f t="shared" si="53"/>
        <v>54785</v>
      </c>
      <c r="F171" s="200">
        <f t="shared" si="53"/>
        <v>100623</v>
      </c>
      <c r="G171" s="200">
        <f t="shared" si="53"/>
        <v>76169</v>
      </c>
      <c r="H171" s="200">
        <f t="shared" si="53"/>
        <v>59155</v>
      </c>
      <c r="I171" s="200">
        <f t="shared" si="53"/>
        <v>19495</v>
      </c>
      <c r="J171" s="200">
        <f t="shared" si="53"/>
        <v>1345</v>
      </c>
      <c r="K171" s="200">
        <f t="shared" si="53"/>
        <v>21</v>
      </c>
      <c r="L171" s="200">
        <f t="shared" si="53"/>
        <v>196685</v>
      </c>
      <c r="M171" s="8"/>
      <c r="N171" s="200" t="str">
        <f t="shared" ref="N171:X171" si="54">IF(AND(N124="-",N77="-",N30="-"),"-",SUM(N124,N77,N30))</f>
        <v>-</v>
      </c>
      <c r="O171" s="200" t="str">
        <f t="shared" si="54"/>
        <v>-</v>
      </c>
      <c r="P171" s="200" t="str">
        <f t="shared" si="54"/>
        <v>-</v>
      </c>
      <c r="Q171" s="200" t="str">
        <f t="shared" si="54"/>
        <v>-</v>
      </c>
      <c r="R171" s="200" t="str">
        <f t="shared" si="54"/>
        <v>-</v>
      </c>
      <c r="S171" s="200" t="str">
        <f t="shared" si="54"/>
        <v>-</v>
      </c>
      <c r="T171" s="200" t="str">
        <f t="shared" si="54"/>
        <v>-</v>
      </c>
      <c r="U171" s="200" t="str">
        <f t="shared" si="54"/>
        <v>-</v>
      </c>
      <c r="V171" s="200" t="str">
        <f t="shared" si="54"/>
        <v>-</v>
      </c>
      <c r="W171" s="200" t="str">
        <f t="shared" si="54"/>
        <v>-</v>
      </c>
      <c r="X171" s="200" t="str">
        <f t="shared" si="54"/>
        <v>-</v>
      </c>
    </row>
    <row r="172" spans="1:24" ht="11.25" customHeight="1" x14ac:dyDescent="0.25">
      <c r="A172" s="383">
        <v>2002</v>
      </c>
      <c r="B172" s="200">
        <f t="shared" ref="B172:L172" si="55">IF(AND(B125="-",B78="-",B31="-"),"-",SUM(B125,B78,B31))</f>
        <v>6667</v>
      </c>
      <c r="C172" s="200">
        <f t="shared" si="55"/>
        <v>10689</v>
      </c>
      <c r="D172" s="200">
        <f t="shared" si="55"/>
        <v>109690</v>
      </c>
      <c r="E172" s="200">
        <f t="shared" si="55"/>
        <v>154047</v>
      </c>
      <c r="F172" s="200">
        <f t="shared" si="55"/>
        <v>141810</v>
      </c>
      <c r="G172" s="200">
        <f t="shared" si="55"/>
        <v>88596</v>
      </c>
      <c r="H172" s="200">
        <f t="shared" si="55"/>
        <v>85592</v>
      </c>
      <c r="I172" s="200">
        <f t="shared" si="55"/>
        <v>84636</v>
      </c>
      <c r="J172" s="200">
        <f t="shared" si="55"/>
        <v>1255</v>
      </c>
      <c r="K172" s="200">
        <f t="shared" si="55"/>
        <v>65</v>
      </c>
      <c r="L172" s="200">
        <f t="shared" si="55"/>
        <v>683047</v>
      </c>
      <c r="M172" s="8"/>
      <c r="N172" s="200" t="str">
        <f t="shared" ref="N172:X172" si="56">IF(AND(N125="-",N78="-",N31="-"),"-",SUM(N125,N78,N31))</f>
        <v>-</v>
      </c>
      <c r="O172" s="200" t="str">
        <f t="shared" si="56"/>
        <v>-</v>
      </c>
      <c r="P172" s="200" t="str">
        <f t="shared" si="56"/>
        <v>-</v>
      </c>
      <c r="Q172" s="200" t="str">
        <f t="shared" si="56"/>
        <v>-</v>
      </c>
      <c r="R172" s="200" t="str">
        <f t="shared" si="56"/>
        <v>-</v>
      </c>
      <c r="S172" s="200" t="str">
        <f t="shared" si="56"/>
        <v>-</v>
      </c>
      <c r="T172" s="200" t="str">
        <f t="shared" si="56"/>
        <v>-</v>
      </c>
      <c r="U172" s="200" t="str">
        <f t="shared" si="56"/>
        <v>-</v>
      </c>
      <c r="V172" s="200" t="str">
        <f t="shared" si="56"/>
        <v>-</v>
      </c>
      <c r="W172" s="200" t="str">
        <f t="shared" si="56"/>
        <v>-</v>
      </c>
      <c r="X172" s="200" t="str">
        <f t="shared" si="56"/>
        <v>-</v>
      </c>
    </row>
    <row r="173" spans="1:24" ht="11.25" customHeight="1" x14ac:dyDescent="0.25">
      <c r="A173" s="383">
        <v>2003</v>
      </c>
      <c r="B173" s="200">
        <f t="shared" ref="B173:L173" si="57">IF(AND(B126="-",B79="-",B32="-"),"-",SUM(B126,B79,B32))</f>
        <v>3192</v>
      </c>
      <c r="C173" s="200">
        <f t="shared" si="57"/>
        <v>60663</v>
      </c>
      <c r="D173" s="200">
        <f t="shared" si="57"/>
        <v>147415</v>
      </c>
      <c r="E173" s="200">
        <f t="shared" si="57"/>
        <v>136626</v>
      </c>
      <c r="F173" s="200">
        <f t="shared" si="57"/>
        <v>144373</v>
      </c>
      <c r="G173" s="200">
        <f t="shared" si="57"/>
        <v>149515</v>
      </c>
      <c r="H173" s="200">
        <f t="shared" si="57"/>
        <v>126544</v>
      </c>
      <c r="I173" s="200">
        <f t="shared" si="57"/>
        <v>41724</v>
      </c>
      <c r="J173" s="200">
        <f t="shared" si="57"/>
        <v>999</v>
      </c>
      <c r="K173" s="200">
        <f t="shared" si="57"/>
        <v>137</v>
      </c>
      <c r="L173" s="200">
        <f t="shared" si="57"/>
        <v>811188</v>
      </c>
      <c r="M173" s="9"/>
      <c r="N173" s="200" t="str">
        <f t="shared" ref="N173:X173" si="58">IF(AND(N126="-",N79="-",N32="-"),"-",SUM(N126,N79,N32))</f>
        <v>-</v>
      </c>
      <c r="O173" s="200" t="str">
        <f t="shared" si="58"/>
        <v>-</v>
      </c>
      <c r="P173" s="200" t="str">
        <f t="shared" si="58"/>
        <v>-</v>
      </c>
      <c r="Q173" s="200" t="str">
        <f t="shared" si="58"/>
        <v>-</v>
      </c>
      <c r="R173" s="200" t="str">
        <f t="shared" si="58"/>
        <v>-</v>
      </c>
      <c r="S173" s="200" t="str">
        <f t="shared" si="58"/>
        <v>-</v>
      </c>
      <c r="T173" s="200" t="str">
        <f t="shared" si="58"/>
        <v>-</v>
      </c>
      <c r="U173" s="200" t="str">
        <f t="shared" si="58"/>
        <v>-</v>
      </c>
      <c r="V173" s="200" t="str">
        <f t="shared" si="58"/>
        <v>-</v>
      </c>
      <c r="W173" s="200" t="str">
        <f t="shared" si="58"/>
        <v>-</v>
      </c>
      <c r="X173" s="200" t="str">
        <f t="shared" si="58"/>
        <v>-</v>
      </c>
    </row>
    <row r="174" spans="1:24" ht="11.25" customHeight="1" x14ac:dyDescent="0.25">
      <c r="A174" s="402">
        <v>2004</v>
      </c>
      <c r="B174" s="200">
        <f t="shared" ref="B174:L174" si="59">IF(AND(B127="-",B80="-",B33="-"),"-",SUM(B127,B80,B33))</f>
        <v>21049</v>
      </c>
      <c r="C174" s="200">
        <f t="shared" si="59"/>
        <v>34739</v>
      </c>
      <c r="D174" s="200">
        <f t="shared" si="59"/>
        <v>135640</v>
      </c>
      <c r="E174" s="200">
        <f t="shared" si="59"/>
        <v>179905</v>
      </c>
      <c r="F174" s="200">
        <f t="shared" si="59"/>
        <v>178855</v>
      </c>
      <c r="G174" s="200">
        <f t="shared" si="59"/>
        <v>142874</v>
      </c>
      <c r="H174" s="200">
        <f t="shared" si="59"/>
        <v>46513</v>
      </c>
      <c r="I174" s="200">
        <f t="shared" si="59"/>
        <v>9753</v>
      </c>
      <c r="J174" s="200">
        <f t="shared" si="59"/>
        <v>2191</v>
      </c>
      <c r="K174" s="200">
        <f t="shared" si="59"/>
        <v>182</v>
      </c>
      <c r="L174" s="200">
        <f t="shared" si="59"/>
        <v>751701</v>
      </c>
      <c r="M174" s="9"/>
      <c r="N174" s="200" t="str">
        <f t="shared" ref="N174:X174" si="60">IF(AND(N127="-",N80="-",N33="-"),"-",SUM(N127,N80,N33))</f>
        <v>-</v>
      </c>
      <c r="O174" s="200" t="str">
        <f t="shared" si="60"/>
        <v>-</v>
      </c>
      <c r="P174" s="200" t="str">
        <f t="shared" si="60"/>
        <v>-</v>
      </c>
      <c r="Q174" s="200" t="str">
        <f t="shared" si="60"/>
        <v>-</v>
      </c>
      <c r="R174" s="200" t="str">
        <f t="shared" si="60"/>
        <v>-</v>
      </c>
      <c r="S174" s="200" t="str">
        <f t="shared" si="60"/>
        <v>-</v>
      </c>
      <c r="T174" s="200" t="str">
        <f t="shared" si="60"/>
        <v>-</v>
      </c>
      <c r="U174" s="200" t="str">
        <f t="shared" si="60"/>
        <v>-</v>
      </c>
      <c r="V174" s="200" t="str">
        <f t="shared" si="60"/>
        <v>-</v>
      </c>
      <c r="W174" s="200" t="str">
        <f t="shared" si="60"/>
        <v>-</v>
      </c>
      <c r="X174" s="200" t="str">
        <f t="shared" si="60"/>
        <v>-</v>
      </c>
    </row>
    <row r="175" spans="1:24" ht="11.25" customHeight="1" x14ac:dyDescent="0.25">
      <c r="A175" s="402">
        <v>2005</v>
      </c>
      <c r="B175" s="203">
        <f t="shared" ref="B175:L175" si="61">IF(AND(B128="-",B81="-",B34="-"),"-",SUM(B128,B81,B34))</f>
        <v>28384</v>
      </c>
      <c r="C175" s="203">
        <f t="shared" si="61"/>
        <v>4788</v>
      </c>
      <c r="D175" s="203">
        <f t="shared" si="61"/>
        <v>132596</v>
      </c>
      <c r="E175" s="203">
        <f t="shared" si="61"/>
        <v>54896</v>
      </c>
      <c r="F175" s="203">
        <f t="shared" si="61"/>
        <v>139928</v>
      </c>
      <c r="G175" s="203">
        <f t="shared" si="61"/>
        <v>35046</v>
      </c>
      <c r="H175" s="203">
        <f t="shared" si="61"/>
        <v>165040</v>
      </c>
      <c r="I175" s="203">
        <f t="shared" si="61"/>
        <v>20116</v>
      </c>
      <c r="J175" s="203">
        <f t="shared" si="61"/>
        <v>943</v>
      </c>
      <c r="K175" s="203">
        <f t="shared" si="61"/>
        <v>335</v>
      </c>
      <c r="L175" s="203">
        <f t="shared" si="61"/>
        <v>582072</v>
      </c>
      <c r="M175" s="9"/>
      <c r="N175" s="203" t="str">
        <f t="shared" ref="N175:X175" si="62">IF(AND(N128="-",N81="-",N34="-"),"-",SUM(N128,N81,N34))</f>
        <v>-</v>
      </c>
      <c r="O175" s="203" t="str">
        <f t="shared" si="62"/>
        <v>-</v>
      </c>
      <c r="P175" s="203" t="str">
        <f t="shared" si="62"/>
        <v>-</v>
      </c>
      <c r="Q175" s="203" t="str">
        <f t="shared" si="62"/>
        <v>-</v>
      </c>
      <c r="R175" s="203" t="str">
        <f t="shared" si="62"/>
        <v>-</v>
      </c>
      <c r="S175" s="203" t="str">
        <f t="shared" si="62"/>
        <v>-</v>
      </c>
      <c r="T175" s="203" t="str">
        <f t="shared" si="62"/>
        <v>-</v>
      </c>
      <c r="U175" s="203" t="str">
        <f t="shared" si="62"/>
        <v>-</v>
      </c>
      <c r="V175" s="203" t="str">
        <f t="shared" si="62"/>
        <v>-</v>
      </c>
      <c r="W175" s="203" t="str">
        <f t="shared" si="62"/>
        <v>-</v>
      </c>
      <c r="X175" s="203" t="str">
        <f t="shared" si="62"/>
        <v>-</v>
      </c>
    </row>
    <row r="176" spans="1:24" ht="11.25" customHeight="1" x14ac:dyDescent="0.25">
      <c r="A176" s="402">
        <v>2006</v>
      </c>
      <c r="B176" s="200" t="str">
        <f t="shared" ref="B176:L176" si="63">IF(AND(B129="-",B82="-",B35="-"),"-",SUM(B129,B82,B35))</f>
        <v>-</v>
      </c>
      <c r="C176" s="200" t="str">
        <f t="shared" si="63"/>
        <v>-</v>
      </c>
      <c r="D176" s="200">
        <f t="shared" si="63"/>
        <v>9911</v>
      </c>
      <c r="E176" s="200">
        <f t="shared" si="63"/>
        <v>9941</v>
      </c>
      <c r="F176" s="200">
        <f t="shared" si="63"/>
        <v>20399</v>
      </c>
      <c r="G176" s="200">
        <f t="shared" si="63"/>
        <v>19551</v>
      </c>
      <c r="H176" s="200">
        <f t="shared" si="63"/>
        <v>27361</v>
      </c>
      <c r="I176" s="200">
        <f t="shared" si="63"/>
        <v>5111</v>
      </c>
      <c r="J176" s="200">
        <f t="shared" si="63"/>
        <v>1691</v>
      </c>
      <c r="K176" s="200">
        <f t="shared" si="63"/>
        <v>131</v>
      </c>
      <c r="L176" s="200">
        <f t="shared" si="63"/>
        <v>94096</v>
      </c>
      <c r="M176" s="9"/>
      <c r="N176" s="200" t="str">
        <f t="shared" ref="N176:X176" si="64">IF(AND(N129="-",N82="-",N35="-"),"-",SUM(N129,N82,N35))</f>
        <v>-</v>
      </c>
      <c r="O176" s="200" t="str">
        <f t="shared" si="64"/>
        <v>-</v>
      </c>
      <c r="P176" s="200" t="str">
        <f t="shared" si="64"/>
        <v>-</v>
      </c>
      <c r="Q176" s="200" t="str">
        <f t="shared" si="64"/>
        <v>-</v>
      </c>
      <c r="R176" s="200" t="str">
        <f t="shared" si="64"/>
        <v>-</v>
      </c>
      <c r="S176" s="200" t="str">
        <f t="shared" si="64"/>
        <v>-</v>
      </c>
      <c r="T176" s="200" t="str">
        <f t="shared" si="64"/>
        <v>-</v>
      </c>
      <c r="U176" s="200" t="str">
        <f t="shared" si="64"/>
        <v>-</v>
      </c>
      <c r="V176" s="200" t="str">
        <f t="shared" si="64"/>
        <v>-</v>
      </c>
      <c r="W176" s="200" t="str">
        <f t="shared" si="64"/>
        <v>-</v>
      </c>
      <c r="X176" s="200" t="str">
        <f t="shared" si="64"/>
        <v>-</v>
      </c>
    </row>
    <row r="177" spans="1:24" ht="11.25" customHeight="1" x14ac:dyDescent="0.25">
      <c r="A177" s="402">
        <v>2007</v>
      </c>
      <c r="B177" s="203" t="str">
        <f t="shared" ref="B177:L177" si="65">IF(AND(B130="-",B83="-",B36="-"),"-",SUM(B130,B83,B36))</f>
        <v>-</v>
      </c>
      <c r="C177" s="203">
        <f t="shared" si="65"/>
        <v>2619</v>
      </c>
      <c r="D177" s="203">
        <f t="shared" si="65"/>
        <v>43951</v>
      </c>
      <c r="E177" s="203">
        <f t="shared" si="65"/>
        <v>5346</v>
      </c>
      <c r="F177" s="203">
        <f t="shared" si="65"/>
        <v>44717</v>
      </c>
      <c r="G177" s="203">
        <f t="shared" si="65"/>
        <v>37096</v>
      </c>
      <c r="H177" s="203">
        <f t="shared" si="65"/>
        <v>12380</v>
      </c>
      <c r="I177" s="203">
        <f t="shared" si="65"/>
        <v>1356</v>
      </c>
      <c r="J177" s="203">
        <f t="shared" si="65"/>
        <v>717</v>
      </c>
      <c r="K177" s="203">
        <f t="shared" si="65"/>
        <v>3</v>
      </c>
      <c r="L177" s="203">
        <f t="shared" si="65"/>
        <v>148185</v>
      </c>
      <c r="M177" s="9"/>
      <c r="N177" s="203" t="str">
        <f t="shared" ref="N177:X177" si="66">IF(AND(N130="-",N83="-",N36="-"),"-",SUM(N130,N83,N36))</f>
        <v>-</v>
      </c>
      <c r="O177" s="203" t="str">
        <f t="shared" si="66"/>
        <v>-</v>
      </c>
      <c r="P177" s="203" t="str">
        <f t="shared" si="66"/>
        <v>-</v>
      </c>
      <c r="Q177" s="203" t="str">
        <f t="shared" si="66"/>
        <v>-</v>
      </c>
      <c r="R177" s="203" t="str">
        <f t="shared" si="66"/>
        <v>-</v>
      </c>
      <c r="S177" s="203">
        <f t="shared" si="66"/>
        <v>5036</v>
      </c>
      <c r="T177" s="203">
        <f t="shared" si="66"/>
        <v>519</v>
      </c>
      <c r="U177" s="203" t="str">
        <f t="shared" si="66"/>
        <v>-</v>
      </c>
      <c r="V177" s="203" t="str">
        <f t="shared" si="66"/>
        <v>-</v>
      </c>
      <c r="W177" s="203" t="str">
        <f t="shared" si="66"/>
        <v>-</v>
      </c>
      <c r="X177" s="203">
        <f t="shared" si="66"/>
        <v>5555</v>
      </c>
    </row>
    <row r="178" spans="1:24" ht="11.25" customHeight="1" x14ac:dyDescent="0.25">
      <c r="A178" s="402">
        <v>2008</v>
      </c>
      <c r="B178" s="203" t="str">
        <f t="shared" ref="B178:L178" si="67">IF(AND(B131="-",B84="-",B37="-"),"-",SUM(B131,B84,B37))</f>
        <v>-</v>
      </c>
      <c r="C178" s="203" t="str">
        <f t="shared" si="67"/>
        <v>-</v>
      </c>
      <c r="D178" s="203" t="str">
        <f t="shared" si="67"/>
        <v>-</v>
      </c>
      <c r="E178" s="203" t="str">
        <f t="shared" si="67"/>
        <v>-</v>
      </c>
      <c r="F178" s="203" t="str">
        <f t="shared" si="67"/>
        <v>-</v>
      </c>
      <c r="G178" s="203" t="str">
        <f t="shared" si="67"/>
        <v>-</v>
      </c>
      <c r="H178" s="203">
        <f t="shared" si="67"/>
        <v>64</v>
      </c>
      <c r="I178" s="203">
        <f t="shared" si="67"/>
        <v>248</v>
      </c>
      <c r="J178" s="203">
        <f t="shared" si="67"/>
        <v>208</v>
      </c>
      <c r="K178" s="203" t="str">
        <f t="shared" si="67"/>
        <v>-</v>
      </c>
      <c r="L178" s="203">
        <f t="shared" si="67"/>
        <v>520</v>
      </c>
      <c r="M178" s="9"/>
      <c r="N178" s="203" t="str">
        <f t="shared" ref="N178:X178" si="68">IF(AND(N131="-",N84="-",N37="-"),"-",SUM(N131,N84,N37))</f>
        <v>-</v>
      </c>
      <c r="O178" s="203" t="str">
        <f t="shared" si="68"/>
        <v>-</v>
      </c>
      <c r="P178" s="203" t="str">
        <f t="shared" si="68"/>
        <v>-</v>
      </c>
      <c r="Q178" s="203" t="str">
        <f t="shared" si="68"/>
        <v>-</v>
      </c>
      <c r="R178" s="203" t="str">
        <f t="shared" si="68"/>
        <v>-</v>
      </c>
      <c r="S178" s="203" t="str">
        <f t="shared" si="68"/>
        <v>-</v>
      </c>
      <c r="T178" s="203" t="str">
        <f t="shared" si="68"/>
        <v>-</v>
      </c>
      <c r="U178" s="203" t="str">
        <f t="shared" si="68"/>
        <v>-</v>
      </c>
      <c r="V178" s="203" t="str">
        <f t="shared" si="68"/>
        <v>-</v>
      </c>
      <c r="W178" s="203" t="str">
        <f t="shared" si="68"/>
        <v>-</v>
      </c>
      <c r="X178" s="203" t="str">
        <f t="shared" si="68"/>
        <v>-</v>
      </c>
    </row>
    <row r="179" spans="1:24" ht="11.25" customHeight="1" x14ac:dyDescent="0.25">
      <c r="A179" s="402">
        <v>2009</v>
      </c>
      <c r="B179" s="203" t="str">
        <f t="shared" ref="B179:L179" si="69">IF(AND(B132="-",B85="-",B38="-"),"-",SUM(B132,B85,B38))</f>
        <v>-</v>
      </c>
      <c r="C179" s="203" t="str">
        <f t="shared" si="69"/>
        <v>-</v>
      </c>
      <c r="D179" s="203" t="str">
        <f t="shared" si="69"/>
        <v>-</v>
      </c>
      <c r="E179" s="203" t="str">
        <f t="shared" si="69"/>
        <v>-</v>
      </c>
      <c r="F179" s="203" t="str">
        <f t="shared" si="69"/>
        <v>-</v>
      </c>
      <c r="G179" s="203" t="str">
        <f t="shared" si="69"/>
        <v>-</v>
      </c>
      <c r="H179" s="203">
        <f t="shared" si="69"/>
        <v>105</v>
      </c>
      <c r="I179" s="203">
        <f t="shared" si="69"/>
        <v>332</v>
      </c>
      <c r="J179" s="203" t="str">
        <f t="shared" si="69"/>
        <v>-</v>
      </c>
      <c r="K179" s="203" t="str">
        <f t="shared" si="69"/>
        <v>-</v>
      </c>
      <c r="L179" s="203">
        <f t="shared" si="69"/>
        <v>437</v>
      </c>
      <c r="M179" s="9"/>
      <c r="N179" s="203" t="str">
        <f t="shared" ref="N179:X179" si="70">IF(AND(N132="-",N85="-",N38="-"),"-",SUM(N132,N85,N38))</f>
        <v>-</v>
      </c>
      <c r="O179" s="203" t="str">
        <f t="shared" si="70"/>
        <v>-</v>
      </c>
      <c r="P179" s="203" t="str">
        <f t="shared" si="70"/>
        <v>-</v>
      </c>
      <c r="Q179" s="203" t="str">
        <f t="shared" si="70"/>
        <v>-</v>
      </c>
      <c r="R179" s="203" t="str">
        <f t="shared" si="70"/>
        <v>-</v>
      </c>
      <c r="S179" s="203" t="str">
        <f t="shared" si="70"/>
        <v>-</v>
      </c>
      <c r="T179" s="203">
        <f t="shared" si="70"/>
        <v>9278</v>
      </c>
      <c r="U179" s="203" t="str">
        <f t="shared" si="70"/>
        <v>-</v>
      </c>
      <c r="V179" s="203" t="str">
        <f t="shared" si="70"/>
        <v>-</v>
      </c>
      <c r="W179" s="203" t="str">
        <f t="shared" si="70"/>
        <v>-</v>
      </c>
      <c r="X179" s="203">
        <f t="shared" si="70"/>
        <v>9278</v>
      </c>
    </row>
    <row r="180" spans="1:24" ht="11.25" customHeight="1" x14ac:dyDescent="0.25">
      <c r="A180" s="402">
        <v>2010</v>
      </c>
      <c r="B180" s="203" t="str">
        <f t="shared" ref="B180:L180" si="71">IF(AND(B133="-",B86="-",B39="-"),"-",SUM(B133,B86,B39))</f>
        <v>-</v>
      </c>
      <c r="C180" s="203" t="str">
        <f t="shared" si="71"/>
        <v>-</v>
      </c>
      <c r="D180" s="203">
        <f t="shared" si="71"/>
        <v>9183</v>
      </c>
      <c r="E180" s="203">
        <f t="shared" si="71"/>
        <v>8966</v>
      </c>
      <c r="F180" s="203">
        <f t="shared" si="71"/>
        <v>13233</v>
      </c>
      <c r="G180" s="203">
        <f t="shared" si="71"/>
        <v>10104</v>
      </c>
      <c r="H180" s="203">
        <f t="shared" si="71"/>
        <v>56</v>
      </c>
      <c r="I180" s="203">
        <f t="shared" si="71"/>
        <v>1859</v>
      </c>
      <c r="J180" s="203" t="str">
        <f t="shared" si="71"/>
        <v>-</v>
      </c>
      <c r="K180" s="203" t="str">
        <f t="shared" si="71"/>
        <v>-</v>
      </c>
      <c r="L180" s="203">
        <f t="shared" si="71"/>
        <v>43401</v>
      </c>
      <c r="M180" s="9"/>
      <c r="N180" s="203" t="str">
        <f t="shared" ref="N180:X180" si="72">IF(AND(N133="-",N86="-",N39="-"),"-",SUM(N133,N86,N39))</f>
        <v>-</v>
      </c>
      <c r="O180" s="203" t="str">
        <f t="shared" si="72"/>
        <v>-</v>
      </c>
      <c r="P180" s="203" t="str">
        <f t="shared" si="72"/>
        <v>-</v>
      </c>
      <c r="Q180" s="203" t="str">
        <f t="shared" si="72"/>
        <v>-</v>
      </c>
      <c r="R180" s="203" t="str">
        <f t="shared" si="72"/>
        <v>-</v>
      </c>
      <c r="S180" s="203" t="str">
        <f t="shared" si="72"/>
        <v>-</v>
      </c>
      <c r="T180" s="203" t="str">
        <f t="shared" si="72"/>
        <v>-</v>
      </c>
      <c r="U180" s="203" t="str">
        <f t="shared" si="72"/>
        <v>-</v>
      </c>
      <c r="V180" s="203" t="str">
        <f t="shared" si="72"/>
        <v>-</v>
      </c>
      <c r="W180" s="203" t="str">
        <f t="shared" si="72"/>
        <v>-</v>
      </c>
      <c r="X180" s="203" t="str">
        <f t="shared" si="72"/>
        <v>-</v>
      </c>
    </row>
    <row r="181" spans="1:24" ht="11.25" customHeight="1" x14ac:dyDescent="0.25">
      <c r="A181" s="402">
        <v>2011</v>
      </c>
      <c r="B181" s="203" t="str">
        <f t="shared" ref="B181:L181" si="73">IF(AND(B134="-",B87="-",B40="-"),"-",SUM(B134,B87,B40))</f>
        <v>-</v>
      </c>
      <c r="C181" s="203">
        <f t="shared" si="73"/>
        <v>4481</v>
      </c>
      <c r="D181" s="203">
        <f t="shared" si="73"/>
        <v>20234</v>
      </c>
      <c r="E181" s="203">
        <f t="shared" si="73"/>
        <v>14844</v>
      </c>
      <c r="F181" s="203">
        <f t="shared" si="73"/>
        <v>32395</v>
      </c>
      <c r="G181" s="203">
        <f t="shared" si="73"/>
        <v>21650</v>
      </c>
      <c r="H181" s="203">
        <f t="shared" si="73"/>
        <v>2157</v>
      </c>
      <c r="I181" s="203">
        <f t="shared" si="73"/>
        <v>1517</v>
      </c>
      <c r="J181" s="203">
        <f t="shared" si="73"/>
        <v>1995</v>
      </c>
      <c r="K181" s="203" t="str">
        <f t="shared" si="73"/>
        <v>-</v>
      </c>
      <c r="L181" s="203">
        <f t="shared" si="73"/>
        <v>99273</v>
      </c>
      <c r="M181" s="9"/>
      <c r="N181" s="203" t="str">
        <f t="shared" ref="N181:X181" si="74">IF(AND(N134="-",N87="-",N40="-"),"-",SUM(N134,N87,N40))</f>
        <v>-</v>
      </c>
      <c r="O181" s="203" t="str">
        <f t="shared" si="74"/>
        <v>-</v>
      </c>
      <c r="P181" s="203" t="str">
        <f t="shared" si="74"/>
        <v>-</v>
      </c>
      <c r="Q181" s="203" t="str">
        <f t="shared" si="74"/>
        <v>-</v>
      </c>
      <c r="R181" s="203" t="str">
        <f t="shared" si="74"/>
        <v>-</v>
      </c>
      <c r="S181" s="203" t="str">
        <f t="shared" si="74"/>
        <v>-</v>
      </c>
      <c r="T181" s="203" t="str">
        <f t="shared" si="74"/>
        <v>-</v>
      </c>
      <c r="U181" s="203" t="str">
        <f t="shared" si="74"/>
        <v>-</v>
      </c>
      <c r="V181" s="203" t="str">
        <f t="shared" si="74"/>
        <v>-</v>
      </c>
      <c r="W181" s="203" t="str">
        <f t="shared" si="74"/>
        <v>-</v>
      </c>
      <c r="X181" s="203" t="str">
        <f t="shared" si="74"/>
        <v>-</v>
      </c>
    </row>
    <row r="182" spans="1:24" ht="11.25" customHeight="1" x14ac:dyDescent="0.25">
      <c r="A182" s="402">
        <v>2012</v>
      </c>
      <c r="B182" s="203" t="str">
        <f t="shared" ref="B182:L182" si="75">IF(AND(B135="-",B88="-",B41="-"),"-",SUM(B135,B88,B41))</f>
        <v>-</v>
      </c>
      <c r="C182" s="203">
        <f t="shared" si="75"/>
        <v>3633</v>
      </c>
      <c r="D182" s="203">
        <f t="shared" si="75"/>
        <v>73761</v>
      </c>
      <c r="E182" s="203">
        <f t="shared" si="75"/>
        <v>28029</v>
      </c>
      <c r="F182" s="203">
        <f t="shared" si="75"/>
        <v>96083</v>
      </c>
      <c r="G182" s="203">
        <f t="shared" si="75"/>
        <v>38365</v>
      </c>
      <c r="H182" s="203">
        <f t="shared" si="75"/>
        <v>27483</v>
      </c>
      <c r="I182" s="203">
        <f t="shared" si="75"/>
        <v>12187</v>
      </c>
      <c r="J182" s="203">
        <f t="shared" si="75"/>
        <v>701</v>
      </c>
      <c r="K182" s="203" t="str">
        <f t="shared" si="75"/>
        <v>-</v>
      </c>
      <c r="L182" s="203">
        <f t="shared" si="75"/>
        <v>280242</v>
      </c>
      <c r="M182" s="9"/>
      <c r="N182" s="203" t="str">
        <f t="shared" ref="N182:X182" si="76">IF(AND(N135="-",N88="-",N41="-"),"-",SUM(N135,N88,N41))</f>
        <v>-</v>
      </c>
      <c r="O182" s="203" t="str">
        <f t="shared" si="76"/>
        <v>-</v>
      </c>
      <c r="P182" s="203" t="str">
        <f t="shared" si="76"/>
        <v>-</v>
      </c>
      <c r="Q182" s="203" t="str">
        <f t="shared" si="76"/>
        <v>-</v>
      </c>
      <c r="R182" s="203" t="str">
        <f t="shared" si="76"/>
        <v>-</v>
      </c>
      <c r="S182" s="203" t="str">
        <f t="shared" si="76"/>
        <v>-</v>
      </c>
      <c r="T182" s="203" t="str">
        <f t="shared" si="76"/>
        <v>-</v>
      </c>
      <c r="U182" s="203" t="str">
        <f t="shared" si="76"/>
        <v>-</v>
      </c>
      <c r="V182" s="203" t="str">
        <f t="shared" si="76"/>
        <v>-</v>
      </c>
      <c r="W182" s="203" t="str">
        <f t="shared" si="76"/>
        <v>-</v>
      </c>
      <c r="X182" s="203" t="str">
        <f t="shared" si="76"/>
        <v>-</v>
      </c>
    </row>
    <row r="183" spans="1:24" ht="11.25" customHeight="1" x14ac:dyDescent="0.25">
      <c r="A183" s="402">
        <v>2013</v>
      </c>
      <c r="B183" s="203" t="str">
        <f t="shared" ref="B183:L183" si="77">IF(AND(B136="-",B89="-",B42="-"),"-",SUM(B136,B89,B42))</f>
        <v>-</v>
      </c>
      <c r="C183" s="203">
        <f t="shared" si="77"/>
        <v>7423</v>
      </c>
      <c r="D183" s="203">
        <f t="shared" si="77"/>
        <v>86616</v>
      </c>
      <c r="E183" s="203">
        <f t="shared" si="77"/>
        <v>91986</v>
      </c>
      <c r="F183" s="203">
        <f t="shared" si="77"/>
        <v>106772</v>
      </c>
      <c r="G183" s="203">
        <f t="shared" si="77"/>
        <v>65640</v>
      </c>
      <c r="H183" s="203">
        <f t="shared" si="77"/>
        <v>39480</v>
      </c>
      <c r="I183" s="203">
        <f t="shared" si="77"/>
        <v>9520</v>
      </c>
      <c r="J183" s="203">
        <f t="shared" si="77"/>
        <v>1002</v>
      </c>
      <c r="K183" s="203" t="str">
        <f t="shared" si="77"/>
        <v>-</v>
      </c>
      <c r="L183" s="203">
        <f t="shared" si="77"/>
        <v>408439</v>
      </c>
      <c r="M183" s="9"/>
      <c r="N183" s="203" t="str">
        <f t="shared" ref="N183:X183" si="78">IF(AND(N136="-",N89="-",N42="-"),"-",SUM(N136,N89,N42))</f>
        <v>-</v>
      </c>
      <c r="O183" s="203" t="str">
        <f t="shared" si="78"/>
        <v>-</v>
      </c>
      <c r="P183" s="203" t="str">
        <f t="shared" si="78"/>
        <v>-</v>
      </c>
      <c r="Q183" s="203" t="str">
        <f t="shared" si="78"/>
        <v>-</v>
      </c>
      <c r="R183" s="203" t="str">
        <f t="shared" si="78"/>
        <v>-</v>
      </c>
      <c r="S183" s="203" t="str">
        <f t="shared" si="78"/>
        <v>-</v>
      </c>
      <c r="T183" s="203" t="str">
        <f t="shared" si="78"/>
        <v>-</v>
      </c>
      <c r="U183" s="203" t="str">
        <f t="shared" si="78"/>
        <v>-</v>
      </c>
      <c r="V183" s="203" t="str">
        <f t="shared" si="78"/>
        <v>-</v>
      </c>
      <c r="W183" s="203" t="str">
        <f t="shared" si="78"/>
        <v>-</v>
      </c>
      <c r="X183" s="203" t="str">
        <f t="shared" si="78"/>
        <v>-</v>
      </c>
    </row>
    <row r="184" spans="1:24" ht="11.25" customHeight="1" x14ac:dyDescent="0.25">
      <c r="A184" s="402">
        <v>2014</v>
      </c>
      <c r="B184" s="203" t="str">
        <f t="shared" ref="B184:L184" si="79">IF(AND(B137="-",B90="-",B43="-"),"-",SUM(B137,B90,B43))</f>
        <v>-</v>
      </c>
      <c r="C184" s="203">
        <f t="shared" si="79"/>
        <v>15554</v>
      </c>
      <c r="D184" s="203">
        <f t="shared" si="79"/>
        <v>83687</v>
      </c>
      <c r="E184" s="203">
        <f t="shared" si="79"/>
        <v>69490</v>
      </c>
      <c r="F184" s="203">
        <f t="shared" si="79"/>
        <v>73386</v>
      </c>
      <c r="G184" s="203">
        <f t="shared" si="79"/>
        <v>91088</v>
      </c>
      <c r="H184" s="203">
        <f t="shared" si="79"/>
        <v>21023</v>
      </c>
      <c r="I184" s="203">
        <f t="shared" si="79"/>
        <v>5500</v>
      </c>
      <c r="J184" s="203">
        <f t="shared" si="79"/>
        <v>469</v>
      </c>
      <c r="K184" s="203" t="str">
        <f t="shared" si="79"/>
        <v>-</v>
      </c>
      <c r="L184" s="203">
        <f t="shared" si="79"/>
        <v>360197</v>
      </c>
      <c r="M184" s="9"/>
      <c r="N184" s="203" t="str">
        <f t="shared" ref="N184:X184" si="80">IF(AND(N137="-",N90="-",N43="-"),"-",SUM(N137,N90,N43))</f>
        <v>-</v>
      </c>
      <c r="O184" s="203" t="str">
        <f t="shared" si="80"/>
        <v>-</v>
      </c>
      <c r="P184" s="203" t="str">
        <f t="shared" si="80"/>
        <v>-</v>
      </c>
      <c r="Q184" s="203" t="str">
        <f t="shared" si="80"/>
        <v>-</v>
      </c>
      <c r="R184" s="203" t="str">
        <f t="shared" si="80"/>
        <v>-</v>
      </c>
      <c r="S184" s="203" t="str">
        <f t="shared" si="80"/>
        <v>-</v>
      </c>
      <c r="T184" s="203">
        <f t="shared" si="80"/>
        <v>3296</v>
      </c>
      <c r="U184" s="203" t="str">
        <f t="shared" si="80"/>
        <v>-</v>
      </c>
      <c r="V184" s="203" t="str">
        <f t="shared" si="80"/>
        <v>-</v>
      </c>
      <c r="W184" s="203" t="str">
        <f t="shared" si="80"/>
        <v>-</v>
      </c>
      <c r="X184" s="203">
        <f t="shared" si="80"/>
        <v>3296</v>
      </c>
    </row>
    <row r="185" spans="1:24" ht="11.25" customHeight="1" x14ac:dyDescent="0.25">
      <c r="A185" s="402">
        <v>2015</v>
      </c>
      <c r="B185" s="203" t="str">
        <f t="shared" ref="B185:L185" si="81">IF(AND(B138="-",B91="-",B44="-"),"-",SUM(B138,B91,B44))</f>
        <v>-</v>
      </c>
      <c r="C185" s="203">
        <f t="shared" si="81"/>
        <v>16420</v>
      </c>
      <c r="D185" s="203">
        <f t="shared" si="81"/>
        <v>67847</v>
      </c>
      <c r="E185" s="203">
        <f t="shared" si="81"/>
        <v>40820</v>
      </c>
      <c r="F185" s="203">
        <f t="shared" si="81"/>
        <v>40949</v>
      </c>
      <c r="G185" s="203">
        <f t="shared" si="81"/>
        <v>19016</v>
      </c>
      <c r="H185" s="203">
        <f t="shared" si="81"/>
        <v>12459</v>
      </c>
      <c r="I185" s="203">
        <f t="shared" si="81"/>
        <v>5210</v>
      </c>
      <c r="J185" s="203">
        <f t="shared" si="81"/>
        <v>1163</v>
      </c>
      <c r="K185" s="203" t="str">
        <f t="shared" si="81"/>
        <v>-</v>
      </c>
      <c r="L185" s="203">
        <f t="shared" si="81"/>
        <v>203884</v>
      </c>
      <c r="M185" s="9"/>
      <c r="N185" s="203" t="str">
        <f t="shared" ref="N185:X185" si="82">IF(AND(N138="-",N91="-",N44="-"),"-",SUM(N138,N91,N44))</f>
        <v>-</v>
      </c>
      <c r="O185" s="203" t="str">
        <f t="shared" si="82"/>
        <v>-</v>
      </c>
      <c r="P185" s="203" t="str">
        <f t="shared" si="82"/>
        <v>-</v>
      </c>
      <c r="Q185" s="203" t="str">
        <f t="shared" si="82"/>
        <v>-</v>
      </c>
      <c r="R185" s="203" t="str">
        <f t="shared" si="82"/>
        <v>-</v>
      </c>
      <c r="S185" s="203" t="str">
        <f t="shared" si="82"/>
        <v>-</v>
      </c>
      <c r="T185" s="203" t="str">
        <f t="shared" si="82"/>
        <v>-</v>
      </c>
      <c r="U185" s="203" t="str">
        <f t="shared" si="82"/>
        <v>-</v>
      </c>
      <c r="V185" s="203" t="str">
        <f t="shared" si="82"/>
        <v>-</v>
      </c>
      <c r="W185" s="203" t="str">
        <f t="shared" si="82"/>
        <v>-</v>
      </c>
      <c r="X185" s="203" t="str">
        <f t="shared" si="82"/>
        <v>-</v>
      </c>
    </row>
    <row r="186" spans="1:24" ht="11.25" customHeight="1" x14ac:dyDescent="0.25">
      <c r="A186" s="402">
        <v>2016</v>
      </c>
      <c r="B186" s="203" t="str">
        <f t="shared" ref="B186:L186" si="83">IF(AND(B139="-",B92="-",B45="-"),"-",SUM(B139,B92,B45))</f>
        <v>-</v>
      </c>
      <c r="C186" s="203">
        <f t="shared" si="83"/>
        <v>6597</v>
      </c>
      <c r="D186" s="203">
        <f t="shared" si="83"/>
        <v>19390</v>
      </c>
      <c r="E186" s="203">
        <f t="shared" si="83"/>
        <v>18343</v>
      </c>
      <c r="F186" s="203">
        <f t="shared" si="83"/>
        <v>11264</v>
      </c>
      <c r="G186" s="203">
        <f t="shared" si="83"/>
        <v>26961</v>
      </c>
      <c r="H186" s="203">
        <f t="shared" si="83"/>
        <v>11279</v>
      </c>
      <c r="I186" s="203">
        <f t="shared" si="83"/>
        <v>1458</v>
      </c>
      <c r="J186" s="203">
        <f t="shared" si="83"/>
        <v>182</v>
      </c>
      <c r="K186" s="203" t="str">
        <f t="shared" si="83"/>
        <v>-</v>
      </c>
      <c r="L186" s="203">
        <f t="shared" si="83"/>
        <v>95474</v>
      </c>
      <c r="M186" s="9"/>
      <c r="N186" s="203" t="str">
        <f t="shared" ref="N186:X186" si="84">IF(AND(N139="-",N92="-",N45="-"),"-",SUM(N139,N92,N45))</f>
        <v>-</v>
      </c>
      <c r="O186" s="203" t="str">
        <f t="shared" si="84"/>
        <v>-</v>
      </c>
      <c r="P186" s="203" t="str">
        <f t="shared" si="84"/>
        <v>-</v>
      </c>
      <c r="Q186" s="203" t="str">
        <f t="shared" si="84"/>
        <v>-</v>
      </c>
      <c r="R186" s="203" t="str">
        <f t="shared" si="84"/>
        <v>-</v>
      </c>
      <c r="S186" s="203" t="str">
        <f t="shared" si="84"/>
        <v>-</v>
      </c>
      <c r="T186" s="203" t="str">
        <f t="shared" si="84"/>
        <v>-</v>
      </c>
      <c r="U186" s="203" t="str">
        <f t="shared" si="84"/>
        <v>-</v>
      </c>
      <c r="V186" s="203" t="str">
        <f t="shared" si="84"/>
        <v>-</v>
      </c>
      <c r="W186" s="203" t="str">
        <f t="shared" si="84"/>
        <v>-</v>
      </c>
      <c r="X186" s="203" t="str">
        <f t="shared" si="84"/>
        <v>-</v>
      </c>
    </row>
    <row r="187" spans="1:24" ht="11.25" customHeight="1" x14ac:dyDescent="0.25">
      <c r="A187" s="402">
        <v>2017</v>
      </c>
      <c r="B187" s="203" t="str">
        <f t="shared" ref="B187:L187" si="85">IF(AND(B140="-",B93="-",B46="-"),"-",SUM(B140,B93,B46))</f>
        <v>-</v>
      </c>
      <c r="C187" s="203">
        <f t="shared" si="85"/>
        <v>553</v>
      </c>
      <c r="D187" s="203">
        <f t="shared" si="85"/>
        <v>6817</v>
      </c>
      <c r="E187" s="203">
        <f t="shared" si="85"/>
        <v>10065</v>
      </c>
      <c r="F187" s="203">
        <f t="shared" si="85"/>
        <v>13019</v>
      </c>
      <c r="G187" s="203">
        <f t="shared" si="85"/>
        <v>18336</v>
      </c>
      <c r="H187" s="203">
        <f t="shared" si="85"/>
        <v>10369</v>
      </c>
      <c r="I187" s="203">
        <f t="shared" si="85"/>
        <v>2289</v>
      </c>
      <c r="J187" s="203">
        <f t="shared" si="85"/>
        <v>96</v>
      </c>
      <c r="K187" s="203" t="str">
        <f t="shared" si="85"/>
        <v>-</v>
      </c>
      <c r="L187" s="203">
        <f t="shared" si="85"/>
        <v>61544</v>
      </c>
      <c r="M187" s="9"/>
      <c r="N187" s="203" t="str">
        <f t="shared" ref="N187:X187" si="86">IF(AND(N140="-",N93="-",N46="-"),"-",SUM(N140,N93,N46))</f>
        <v>-</v>
      </c>
      <c r="O187" s="203" t="str">
        <f t="shared" si="86"/>
        <v>-</v>
      </c>
      <c r="P187" s="203" t="str">
        <f t="shared" si="86"/>
        <v>-</v>
      </c>
      <c r="Q187" s="203" t="str">
        <f t="shared" si="86"/>
        <v>-</v>
      </c>
      <c r="R187" s="203" t="str">
        <f t="shared" si="86"/>
        <v>-</v>
      </c>
      <c r="S187" s="203" t="str">
        <f t="shared" si="86"/>
        <v>-</v>
      </c>
      <c r="T187" s="203" t="str">
        <f t="shared" si="86"/>
        <v>-</v>
      </c>
      <c r="U187" s="203" t="str">
        <f t="shared" si="86"/>
        <v>-</v>
      </c>
      <c r="V187" s="203" t="str">
        <f t="shared" si="86"/>
        <v>-</v>
      </c>
      <c r="W187" s="203" t="str">
        <f t="shared" si="86"/>
        <v>-</v>
      </c>
      <c r="X187" s="203" t="str">
        <f t="shared" si="86"/>
        <v>-</v>
      </c>
    </row>
    <row r="188" spans="1:24" s="358" customFormat="1" ht="11.25" customHeight="1" x14ac:dyDescent="0.25">
      <c r="A188" s="402">
        <v>2018</v>
      </c>
      <c r="B188" s="203" t="str">
        <f t="shared" ref="B188:L188" si="87">IF(AND(B141="-",B94="-",B47="-"),"-",SUM(B141,B94,B47))</f>
        <v>-</v>
      </c>
      <c r="C188" s="203" t="str">
        <f t="shared" si="87"/>
        <v>-</v>
      </c>
      <c r="D188" s="203">
        <f t="shared" si="87"/>
        <v>6746</v>
      </c>
      <c r="E188" s="203">
        <f t="shared" si="87"/>
        <v>21743</v>
      </c>
      <c r="F188" s="203">
        <f t="shared" si="87"/>
        <v>19014</v>
      </c>
      <c r="G188" s="203">
        <f t="shared" si="87"/>
        <v>40622</v>
      </c>
      <c r="H188" s="203">
        <f t="shared" si="87"/>
        <v>11151</v>
      </c>
      <c r="I188" s="203">
        <f t="shared" si="87"/>
        <v>2837</v>
      </c>
      <c r="J188" s="203">
        <f t="shared" si="87"/>
        <v>431</v>
      </c>
      <c r="K188" s="203" t="str">
        <f t="shared" si="87"/>
        <v>-</v>
      </c>
      <c r="L188" s="203">
        <f t="shared" si="87"/>
        <v>102544</v>
      </c>
      <c r="M188" s="9"/>
      <c r="N188" s="203" t="str">
        <f t="shared" ref="N188:X188" si="88">IF(AND(N141="-",N94="-",N47="-"),"-",SUM(N141,N94,N47))</f>
        <v>-</v>
      </c>
      <c r="O188" s="203" t="str">
        <f t="shared" si="88"/>
        <v>-</v>
      </c>
      <c r="P188" s="203" t="str">
        <f t="shared" si="88"/>
        <v>-</v>
      </c>
      <c r="Q188" s="203" t="str">
        <f t="shared" si="88"/>
        <v>-</v>
      </c>
      <c r="R188" s="203" t="str">
        <f t="shared" si="88"/>
        <v>-</v>
      </c>
      <c r="S188" s="203" t="str">
        <f t="shared" si="88"/>
        <v>-</v>
      </c>
      <c r="T188" s="203" t="str">
        <f t="shared" si="88"/>
        <v>-</v>
      </c>
      <c r="U188" s="203" t="str">
        <f t="shared" si="88"/>
        <v>-</v>
      </c>
      <c r="V188" s="203" t="str">
        <f t="shared" si="88"/>
        <v>-</v>
      </c>
      <c r="W188" s="203" t="str">
        <f t="shared" si="88"/>
        <v>-</v>
      </c>
      <c r="X188" s="203" t="str">
        <f t="shared" si="88"/>
        <v>-</v>
      </c>
    </row>
    <row r="189" spans="1:24" s="358" customFormat="1" ht="11.25" customHeight="1" x14ac:dyDescent="0.25">
      <c r="A189" s="498" t="s">
        <v>403</v>
      </c>
      <c r="B189" s="203" t="str">
        <f t="shared" ref="B189:K190" si="89">IF(AND(B142="-",B95="-",B48="-"),"-",SUM(B142,B95,B48))</f>
        <v>-</v>
      </c>
      <c r="C189" s="203">
        <f t="shared" si="89"/>
        <v>162</v>
      </c>
      <c r="D189" s="203">
        <f t="shared" si="89"/>
        <v>71683</v>
      </c>
      <c r="E189" s="203">
        <f t="shared" si="89"/>
        <v>101523</v>
      </c>
      <c r="F189" s="203">
        <f t="shared" si="89"/>
        <v>55533</v>
      </c>
      <c r="G189" s="203">
        <f t="shared" si="89"/>
        <v>62809</v>
      </c>
      <c r="H189" s="203">
        <f t="shared" si="89"/>
        <v>6690</v>
      </c>
      <c r="I189" s="203">
        <f t="shared" si="89"/>
        <v>1671</v>
      </c>
      <c r="J189" s="203" t="str">
        <f t="shared" si="89"/>
        <v>-</v>
      </c>
      <c r="K189" s="203" t="str">
        <f t="shared" si="89"/>
        <v>-</v>
      </c>
      <c r="L189" s="203">
        <f>IF(AND(L142="-",L95="-",L48="-"),"-",SUM(L142,L95,L48))</f>
        <v>300071</v>
      </c>
      <c r="M189" s="9"/>
      <c r="N189" s="203" t="str">
        <f t="shared" ref="N189:X190" si="90">IF(AND(N142="-",N95="-",N48="-"),"-",SUM(N142,N95,N48))</f>
        <v>-</v>
      </c>
      <c r="O189" s="203" t="str">
        <f t="shared" si="90"/>
        <v>-</v>
      </c>
      <c r="P189" s="203" t="str">
        <f t="shared" si="90"/>
        <v>-</v>
      </c>
      <c r="Q189" s="203" t="str">
        <f t="shared" si="90"/>
        <v>-</v>
      </c>
      <c r="R189" s="203" t="str">
        <f t="shared" si="90"/>
        <v>-</v>
      </c>
      <c r="S189" s="203" t="str">
        <f t="shared" si="90"/>
        <v>-</v>
      </c>
      <c r="T189" s="203" t="str">
        <f t="shared" si="90"/>
        <v>-</v>
      </c>
      <c r="U189" s="203" t="str">
        <f t="shared" si="90"/>
        <v>-</v>
      </c>
      <c r="V189" s="203" t="str">
        <f t="shared" si="90"/>
        <v>-</v>
      </c>
      <c r="W189" s="203" t="str">
        <f t="shared" si="90"/>
        <v>-</v>
      </c>
      <c r="X189" s="203" t="str">
        <f t="shared" si="90"/>
        <v>-</v>
      </c>
    </row>
    <row r="190" spans="1:24" ht="11.25" customHeight="1" x14ac:dyDescent="0.25">
      <c r="A190" s="498" t="s">
        <v>393</v>
      </c>
      <c r="B190" s="203" t="str">
        <f t="shared" si="89"/>
        <v>-</v>
      </c>
      <c r="C190" s="203">
        <f t="shared" si="89"/>
        <v>800</v>
      </c>
      <c r="D190" s="203">
        <f t="shared" si="89"/>
        <v>33298</v>
      </c>
      <c r="E190" s="203">
        <f t="shared" si="89"/>
        <v>51788</v>
      </c>
      <c r="F190" s="203">
        <f t="shared" si="89"/>
        <v>70106</v>
      </c>
      <c r="G190" s="203">
        <f t="shared" si="89"/>
        <v>21470</v>
      </c>
      <c r="H190" s="203">
        <f t="shared" si="89"/>
        <v>9005</v>
      </c>
      <c r="I190" s="203">
        <f t="shared" si="89"/>
        <v>3432</v>
      </c>
      <c r="J190" s="203" t="str">
        <f t="shared" si="89"/>
        <v>-</v>
      </c>
      <c r="K190" s="203" t="str">
        <f t="shared" si="89"/>
        <v>-</v>
      </c>
      <c r="L190" s="203">
        <f>IF(AND(L143="-",L96="-",L49="-"),"-",SUM(L143,L96,L49))</f>
        <v>189899</v>
      </c>
      <c r="M190" s="9"/>
      <c r="N190" s="203" t="str">
        <f t="shared" si="90"/>
        <v>-</v>
      </c>
      <c r="O190" s="203" t="str">
        <f t="shared" si="90"/>
        <v>-</v>
      </c>
      <c r="P190" s="203" t="str">
        <f t="shared" si="90"/>
        <v>-</v>
      </c>
      <c r="Q190" s="203" t="str">
        <f t="shared" si="90"/>
        <v>-</v>
      </c>
      <c r="R190" s="203" t="str">
        <f t="shared" si="90"/>
        <v>-</v>
      </c>
      <c r="S190" s="203" t="str">
        <f t="shared" si="90"/>
        <v>-</v>
      </c>
      <c r="T190" s="203" t="str">
        <f t="shared" si="90"/>
        <v>-</v>
      </c>
      <c r="U190" s="203" t="str">
        <f t="shared" si="90"/>
        <v>-</v>
      </c>
      <c r="V190" s="203" t="str">
        <f t="shared" si="90"/>
        <v>-</v>
      </c>
      <c r="W190" s="203" t="str">
        <f t="shared" si="90"/>
        <v>-</v>
      </c>
      <c r="X190" s="203" t="str">
        <f t="shared" si="90"/>
        <v>-</v>
      </c>
    </row>
    <row r="191" spans="1:24" ht="11.25" customHeight="1" x14ac:dyDescent="0.25">
      <c r="A191" s="606" t="s">
        <v>218</v>
      </c>
      <c r="B191" s="606"/>
      <c r="C191" s="606"/>
      <c r="D191" s="606"/>
      <c r="E191" s="606"/>
      <c r="F191" s="606"/>
      <c r="G191" s="606"/>
      <c r="H191" s="606"/>
      <c r="I191" s="606"/>
      <c r="J191" s="606"/>
      <c r="K191" s="606"/>
      <c r="L191" s="606"/>
      <c r="M191" s="606"/>
      <c r="N191" s="606"/>
      <c r="O191" s="606"/>
      <c r="P191" s="606"/>
      <c r="Q191" s="606"/>
      <c r="R191" s="606"/>
      <c r="S191" s="606"/>
      <c r="T191" s="606"/>
      <c r="U191" s="606"/>
      <c r="V191" s="606"/>
      <c r="W191" s="606"/>
      <c r="X191" s="606"/>
    </row>
    <row r="192" spans="1:24" ht="11.25" customHeight="1" x14ac:dyDescent="0.25">
      <c r="A192" s="607" t="s">
        <v>48</v>
      </c>
      <c r="B192" s="607"/>
      <c r="C192" s="607"/>
      <c r="D192" s="607"/>
      <c r="E192" s="607"/>
      <c r="F192" s="607"/>
      <c r="G192" s="607"/>
      <c r="H192" s="607"/>
      <c r="I192" s="607"/>
      <c r="J192" s="607"/>
      <c r="K192" s="607"/>
      <c r="L192" s="607"/>
      <c r="M192" s="607"/>
      <c r="N192" s="607"/>
      <c r="O192" s="607"/>
      <c r="P192" s="607"/>
      <c r="Q192" s="607"/>
      <c r="R192" s="607"/>
      <c r="S192" s="607"/>
      <c r="T192" s="607"/>
      <c r="U192" s="607"/>
      <c r="V192" s="607"/>
      <c r="W192" s="607"/>
      <c r="X192" s="607"/>
    </row>
    <row r="193" spans="1:24" ht="11.25" customHeight="1" x14ac:dyDescent="0.25">
      <c r="A193" s="607" t="s">
        <v>233</v>
      </c>
      <c r="B193" s="607"/>
      <c r="C193" s="607"/>
      <c r="D193" s="607"/>
      <c r="E193" s="607"/>
      <c r="F193" s="607"/>
      <c r="G193" s="607"/>
      <c r="H193" s="607"/>
      <c r="I193" s="607"/>
      <c r="J193" s="607"/>
      <c r="K193" s="607"/>
      <c r="L193" s="607"/>
      <c r="M193" s="607"/>
      <c r="N193" s="607"/>
      <c r="O193" s="607"/>
      <c r="P193" s="607"/>
      <c r="Q193" s="607"/>
      <c r="R193" s="607"/>
      <c r="S193" s="607"/>
      <c r="T193" s="607"/>
      <c r="U193" s="607"/>
      <c r="V193" s="607"/>
      <c r="W193" s="607"/>
      <c r="X193" s="607"/>
    </row>
    <row r="194" spans="1:24" ht="11.25" customHeight="1" x14ac:dyDescent="0.25">
      <c r="A194" s="402"/>
      <c r="B194" s="203"/>
      <c r="C194" s="203"/>
      <c r="D194" s="203"/>
      <c r="E194" s="203"/>
      <c r="F194" s="203"/>
      <c r="G194" s="203"/>
      <c r="H194" s="203"/>
      <c r="I194" s="203"/>
      <c r="J194" s="203"/>
      <c r="K194" s="203"/>
      <c r="L194" s="203"/>
      <c r="M194" s="374"/>
      <c r="N194" s="203"/>
      <c r="O194" s="203"/>
      <c r="P194" s="203"/>
      <c r="Q194" s="203"/>
      <c r="R194" s="203"/>
      <c r="S194" s="203"/>
      <c r="T194" s="203"/>
      <c r="U194" s="203"/>
      <c r="V194" s="203"/>
      <c r="W194" s="203"/>
      <c r="X194" s="203"/>
    </row>
    <row r="195" spans="1:24" ht="11.25" customHeight="1" x14ac:dyDescent="0.25">
      <c r="A195" s="307"/>
      <c r="B195" s="307"/>
      <c r="C195" s="307"/>
      <c r="D195" s="307"/>
      <c r="E195" s="307"/>
      <c r="F195" s="307"/>
      <c r="G195" s="307"/>
      <c r="H195" s="307"/>
      <c r="I195" s="307"/>
      <c r="J195" s="307"/>
      <c r="K195" s="307"/>
      <c r="L195" s="307"/>
      <c r="M195" s="307"/>
      <c r="N195" s="307"/>
      <c r="O195" s="307"/>
      <c r="P195" s="307"/>
      <c r="Q195" s="307"/>
      <c r="R195" s="307"/>
      <c r="S195" s="307"/>
      <c r="T195" s="307"/>
      <c r="U195" s="307"/>
      <c r="V195" s="307"/>
      <c r="W195" s="307"/>
      <c r="X195" s="307"/>
    </row>
    <row r="196" spans="1:24" ht="11.25" customHeight="1" x14ac:dyDescent="0.25"/>
    <row r="197" spans="1:24" ht="11.25" customHeight="1" x14ac:dyDescent="0.25">
      <c r="A197" s="374" t="s">
        <v>203</v>
      </c>
      <c r="B197" s="374"/>
      <c r="C197" s="374"/>
      <c r="D197" s="374"/>
      <c r="E197" s="374"/>
      <c r="F197" s="374"/>
      <c r="G197" s="374"/>
      <c r="H197" s="374"/>
      <c r="I197" s="374"/>
      <c r="J197" s="374"/>
      <c r="K197" s="374"/>
      <c r="L197" s="374"/>
      <c r="M197" s="374"/>
      <c r="N197" s="374"/>
      <c r="O197" s="374"/>
      <c r="P197" s="374"/>
      <c r="Q197" s="374"/>
      <c r="R197" s="374"/>
      <c r="S197" s="374"/>
      <c r="T197" s="374"/>
      <c r="U197" s="374"/>
      <c r="V197" s="374"/>
      <c r="W197" s="374"/>
      <c r="X197" s="374"/>
    </row>
    <row r="198" spans="1:24" ht="11.25" customHeight="1" x14ac:dyDescent="0.25">
      <c r="A198" s="393" t="s">
        <v>33</v>
      </c>
      <c r="B198" s="58" t="s">
        <v>43</v>
      </c>
      <c r="C198" s="58" t="s">
        <v>34</v>
      </c>
      <c r="D198" s="58" t="s">
        <v>35</v>
      </c>
      <c r="E198" s="58" t="s">
        <v>36</v>
      </c>
      <c r="F198" s="58" t="s">
        <v>37</v>
      </c>
      <c r="G198" s="58" t="s">
        <v>38</v>
      </c>
      <c r="H198" s="58" t="s">
        <v>39</v>
      </c>
      <c r="I198" s="58" t="s">
        <v>40</v>
      </c>
      <c r="J198" s="58" t="s">
        <v>44</v>
      </c>
      <c r="K198" s="58" t="s">
        <v>83</v>
      </c>
      <c r="L198" s="58" t="s">
        <v>28</v>
      </c>
      <c r="M198" s="59"/>
      <c r="N198" s="58" t="s">
        <v>43</v>
      </c>
      <c r="O198" s="58" t="s">
        <v>34</v>
      </c>
      <c r="P198" s="58" t="s">
        <v>35</v>
      </c>
      <c r="Q198" s="58" t="s">
        <v>36</v>
      </c>
      <c r="R198" s="58" t="s">
        <v>37</v>
      </c>
      <c r="S198" s="58" t="s">
        <v>38</v>
      </c>
      <c r="T198" s="58" t="s">
        <v>39</v>
      </c>
      <c r="U198" s="58" t="s">
        <v>40</v>
      </c>
      <c r="V198" s="58" t="s">
        <v>44</v>
      </c>
      <c r="W198" s="58" t="s">
        <v>83</v>
      </c>
      <c r="X198" s="58" t="s">
        <v>28</v>
      </c>
    </row>
    <row r="199" spans="1:24" ht="11.25" customHeight="1" x14ac:dyDescent="0.25">
      <c r="A199" s="402"/>
      <c r="B199" s="583" t="s">
        <v>67</v>
      </c>
      <c r="C199" s="583"/>
      <c r="D199" s="583"/>
      <c r="E199" s="583"/>
      <c r="F199" s="583"/>
      <c r="G199" s="583"/>
      <c r="H199" s="583"/>
      <c r="I199" s="583"/>
      <c r="J199" s="583"/>
      <c r="K199" s="583"/>
      <c r="L199" s="583"/>
      <c r="M199" s="68"/>
      <c r="N199" s="583" t="s">
        <v>68</v>
      </c>
      <c r="O199" s="583"/>
      <c r="P199" s="583"/>
      <c r="Q199" s="583"/>
      <c r="R199" s="583"/>
      <c r="S199" s="583"/>
      <c r="T199" s="583"/>
      <c r="U199" s="583"/>
      <c r="V199" s="583"/>
      <c r="W199" s="583"/>
      <c r="X199" s="583"/>
    </row>
    <row r="200" spans="1:24" ht="12" customHeight="1" x14ac:dyDescent="0.25">
      <c r="A200" s="388" t="s">
        <v>301</v>
      </c>
      <c r="B200" s="203"/>
      <c r="C200" s="203"/>
      <c r="D200" s="203"/>
      <c r="E200" s="203"/>
      <c r="F200" s="203"/>
      <c r="G200" s="203"/>
      <c r="H200" s="203"/>
      <c r="I200" s="203"/>
      <c r="J200" s="203"/>
      <c r="K200" s="203"/>
      <c r="L200" s="203"/>
      <c r="M200" s="150"/>
      <c r="N200" s="203"/>
      <c r="O200" s="203"/>
      <c r="P200" s="203"/>
      <c r="Q200" s="203"/>
      <c r="R200" s="203"/>
      <c r="S200" s="203"/>
      <c r="T200" s="203"/>
      <c r="U200" s="203"/>
      <c r="V200" s="203"/>
      <c r="W200" s="203"/>
      <c r="X200" s="203"/>
    </row>
    <row r="201" spans="1:24" ht="11.25" customHeight="1" x14ac:dyDescent="0.25">
      <c r="A201" s="402" t="s">
        <v>30</v>
      </c>
      <c r="B201" s="203" t="s">
        <v>29</v>
      </c>
      <c r="C201" s="203" t="s">
        <v>29</v>
      </c>
      <c r="D201" s="203">
        <f t="shared" ref="D201:J201" si="91">AVERAGE(D10:D14)</f>
        <v>13353.2</v>
      </c>
      <c r="E201" s="203">
        <f t="shared" si="91"/>
        <v>6839.4</v>
      </c>
      <c r="F201" s="203">
        <f t="shared" si="91"/>
        <v>43988.2</v>
      </c>
      <c r="G201" s="203">
        <f t="shared" si="91"/>
        <v>23644.2</v>
      </c>
      <c r="H201" s="203">
        <f t="shared" si="91"/>
        <v>6659.6</v>
      </c>
      <c r="I201" s="203">
        <f t="shared" si="91"/>
        <v>2804.2</v>
      </c>
      <c r="J201" s="203">
        <f t="shared" si="91"/>
        <v>35.799999999999997</v>
      </c>
      <c r="K201" s="203" t="s">
        <v>29</v>
      </c>
      <c r="L201" s="203">
        <f>SUM(C201:K201)</f>
        <v>97324.6</v>
      </c>
      <c r="M201" s="150"/>
      <c r="N201" s="203" t="s">
        <v>29</v>
      </c>
      <c r="O201" s="203" t="s">
        <v>29</v>
      </c>
      <c r="P201" s="203" t="s">
        <v>29</v>
      </c>
      <c r="Q201" s="203" t="s">
        <v>29</v>
      </c>
      <c r="R201" s="203">
        <f>AVERAGE(R10:R14)</f>
        <v>260126.75</v>
      </c>
      <c r="S201" s="203">
        <f>AVERAGE(S10:S14)</f>
        <v>85249.333333333328</v>
      </c>
      <c r="T201" s="203">
        <f>AVERAGE(T10:T14)</f>
        <v>5803</v>
      </c>
      <c r="U201" s="203" t="s">
        <v>29</v>
      </c>
      <c r="V201" s="203" t="s">
        <v>29</v>
      </c>
      <c r="W201" s="203" t="s">
        <v>29</v>
      </c>
      <c r="X201" s="203">
        <f>SUM(Q201:W201)</f>
        <v>351179.08333333331</v>
      </c>
    </row>
    <row r="202" spans="1:24" ht="11.25" customHeight="1" x14ac:dyDescent="0.25">
      <c r="A202" s="402" t="s">
        <v>87</v>
      </c>
      <c r="B202" s="203" t="s">
        <v>29</v>
      </c>
      <c r="C202" s="203" t="s">
        <v>29</v>
      </c>
      <c r="D202" s="203">
        <f t="shared" ref="D202:J202" si="92">AVERAGE(D15:D19)</f>
        <v>41012.199999999997</v>
      </c>
      <c r="E202" s="203">
        <f t="shared" si="92"/>
        <v>45376.4</v>
      </c>
      <c r="F202" s="203">
        <f t="shared" si="92"/>
        <v>139454.6</v>
      </c>
      <c r="G202" s="203">
        <f t="shared" si="92"/>
        <v>85331.6</v>
      </c>
      <c r="H202" s="203">
        <f t="shared" si="92"/>
        <v>29900.799999999999</v>
      </c>
      <c r="I202" s="203">
        <f t="shared" si="92"/>
        <v>21111.4</v>
      </c>
      <c r="J202" s="203">
        <f t="shared" si="92"/>
        <v>1094.5</v>
      </c>
      <c r="K202" s="203" t="s">
        <v>29</v>
      </c>
      <c r="L202" s="203">
        <f>SUM(C202:K202)</f>
        <v>363281.50000000006</v>
      </c>
      <c r="M202" s="150"/>
      <c r="N202" s="203" t="s">
        <v>29</v>
      </c>
      <c r="O202" s="203" t="s">
        <v>29</v>
      </c>
      <c r="P202" s="203" t="s">
        <v>29</v>
      </c>
      <c r="Q202" s="203">
        <f>AVERAGE(Q15:Q19)</f>
        <v>40.333333333333336</v>
      </c>
      <c r="R202" s="203">
        <f>AVERAGE(R15:R19)</f>
        <v>294074.40000000002</v>
      </c>
      <c r="S202" s="203">
        <f>AVERAGE(S15:S19)</f>
        <v>95998.5</v>
      </c>
      <c r="T202" s="203">
        <f>AVERAGE(T15:T19)</f>
        <v>20776</v>
      </c>
      <c r="U202" s="203" t="s">
        <v>29</v>
      </c>
      <c r="V202" s="203" t="s">
        <v>29</v>
      </c>
      <c r="W202" s="203" t="s">
        <v>29</v>
      </c>
      <c r="X202" s="203">
        <f>SUM(Q202:W202)</f>
        <v>410889.23333333334</v>
      </c>
    </row>
    <row r="203" spans="1:24" ht="11.25" customHeight="1" x14ac:dyDescent="0.25">
      <c r="A203" s="402" t="s">
        <v>14</v>
      </c>
      <c r="B203" s="203" t="s">
        <v>29</v>
      </c>
      <c r="C203" s="203" t="s">
        <v>29</v>
      </c>
      <c r="D203" s="203">
        <f>AVERAGE(D20:D24)</f>
        <v>12498.8</v>
      </c>
      <c r="E203" s="203">
        <f t="shared" ref="E203:U203" si="93">AVERAGE(E20:E24)</f>
        <v>18016.25</v>
      </c>
      <c r="F203" s="203">
        <f t="shared" si="93"/>
        <v>19956</v>
      </c>
      <c r="G203" s="203">
        <f t="shared" si="93"/>
        <v>36499</v>
      </c>
      <c r="H203" s="203">
        <f t="shared" si="93"/>
        <v>16827</v>
      </c>
      <c r="I203" s="203">
        <f t="shared" si="93"/>
        <v>14191.4</v>
      </c>
      <c r="J203" s="203">
        <f t="shared" si="93"/>
        <v>453.33333333333331</v>
      </c>
      <c r="K203" s="203" t="s">
        <v>29</v>
      </c>
      <c r="L203" s="203">
        <f>SUM(C203:K203)</f>
        <v>118441.78333333333</v>
      </c>
      <c r="M203" s="150"/>
      <c r="N203" s="203" t="s">
        <v>29</v>
      </c>
      <c r="O203" s="203" t="s">
        <v>29</v>
      </c>
      <c r="P203" s="203" t="s">
        <v>29</v>
      </c>
      <c r="Q203" s="203">
        <f t="shared" si="93"/>
        <v>91249</v>
      </c>
      <c r="R203" s="203">
        <f t="shared" si="93"/>
        <v>105910.5</v>
      </c>
      <c r="S203" s="203">
        <f t="shared" si="93"/>
        <v>8382</v>
      </c>
      <c r="T203" s="203" t="s">
        <v>29</v>
      </c>
      <c r="U203" s="203">
        <f t="shared" si="93"/>
        <v>18.5</v>
      </c>
      <c r="V203" s="203" t="s">
        <v>29</v>
      </c>
      <c r="W203" s="203" t="s">
        <v>29</v>
      </c>
      <c r="X203" s="203">
        <f>SUM(Q203:W203)</f>
        <v>205560</v>
      </c>
    </row>
    <row r="204" spans="1:24" ht="11.25" customHeight="1" x14ac:dyDescent="0.25">
      <c r="A204" s="402" t="s">
        <v>207</v>
      </c>
      <c r="B204" s="203" t="s">
        <v>29</v>
      </c>
      <c r="C204" s="203" t="s">
        <v>29</v>
      </c>
      <c r="D204" s="203">
        <f>AVERAGE(D25:D29)</f>
        <v>21687</v>
      </c>
      <c r="E204" s="203">
        <f t="shared" ref="E204:Q204" si="94">AVERAGE(E25:E29)</f>
        <v>28657</v>
      </c>
      <c r="F204" s="203">
        <f t="shared" si="94"/>
        <v>13879.5</v>
      </c>
      <c r="G204" s="203">
        <f t="shared" si="94"/>
        <v>38164.400000000001</v>
      </c>
      <c r="H204" s="203">
        <f t="shared" si="94"/>
        <v>17768.8</v>
      </c>
      <c r="I204" s="203">
        <f t="shared" si="94"/>
        <v>7339</v>
      </c>
      <c r="J204" s="203">
        <f t="shared" si="94"/>
        <v>1002.2</v>
      </c>
      <c r="K204" s="203" t="s">
        <v>29</v>
      </c>
      <c r="L204" s="203">
        <f>SUM(C204:K204)</f>
        <v>128497.9</v>
      </c>
      <c r="M204" s="150"/>
      <c r="N204" s="203" t="s">
        <v>29</v>
      </c>
      <c r="O204" s="203" t="s">
        <v>29</v>
      </c>
      <c r="P204" s="203" t="s">
        <v>29</v>
      </c>
      <c r="Q204" s="203">
        <f t="shared" si="94"/>
        <v>8</v>
      </c>
      <c r="R204" s="203" t="s">
        <v>29</v>
      </c>
      <c r="S204" s="203" t="s">
        <v>29</v>
      </c>
      <c r="T204" s="203" t="s">
        <v>29</v>
      </c>
      <c r="U204" s="203" t="s">
        <v>29</v>
      </c>
      <c r="V204" s="203" t="s">
        <v>29</v>
      </c>
      <c r="W204" s="203" t="s">
        <v>29</v>
      </c>
      <c r="X204" s="203">
        <f>SUM(Q204:W204)</f>
        <v>8</v>
      </c>
    </row>
    <row r="205" spans="1:24" ht="11.25" customHeight="1" x14ac:dyDescent="0.25">
      <c r="A205" s="402" t="s">
        <v>238</v>
      </c>
      <c r="B205" s="203">
        <f>AVERAGE(B30:B34)</f>
        <v>14798.5</v>
      </c>
      <c r="C205" s="203">
        <f>AVERAGE(C30:C34)</f>
        <v>25358.400000000001</v>
      </c>
      <c r="D205" s="203">
        <f>AVERAGE(D30:D34)</f>
        <v>50107.4</v>
      </c>
      <c r="E205" s="203">
        <f t="shared" ref="E205:L205" si="95">AVERAGE(E30:E34)</f>
        <v>41488.400000000001</v>
      </c>
      <c r="F205" s="203">
        <f t="shared" si="95"/>
        <v>20876.75</v>
      </c>
      <c r="G205" s="203">
        <f t="shared" si="95"/>
        <v>50745.25</v>
      </c>
      <c r="H205" s="203">
        <f t="shared" si="95"/>
        <v>49102</v>
      </c>
      <c r="I205" s="203">
        <f t="shared" si="95"/>
        <v>32579.599999999999</v>
      </c>
      <c r="J205" s="203">
        <f t="shared" si="95"/>
        <v>1306.8</v>
      </c>
      <c r="K205" s="203">
        <f t="shared" si="95"/>
        <v>148</v>
      </c>
      <c r="L205" s="203">
        <f t="shared" si="95"/>
        <v>269715.5</v>
      </c>
      <c r="M205" s="150"/>
      <c r="N205" s="203" t="str">
        <f t="shared" ref="N205:X205" si="96">N30</f>
        <v>-</v>
      </c>
      <c r="O205" s="203" t="str">
        <f t="shared" si="96"/>
        <v>-</v>
      </c>
      <c r="P205" s="203" t="str">
        <f t="shared" si="96"/>
        <v>-</v>
      </c>
      <c r="Q205" s="203" t="str">
        <f t="shared" si="96"/>
        <v>-</v>
      </c>
      <c r="R205" s="203" t="str">
        <f t="shared" si="96"/>
        <v>-</v>
      </c>
      <c r="S205" s="203" t="str">
        <f t="shared" si="96"/>
        <v>-</v>
      </c>
      <c r="T205" s="203" t="str">
        <f t="shared" si="96"/>
        <v>-</v>
      </c>
      <c r="U205" s="203" t="str">
        <f t="shared" si="96"/>
        <v>-</v>
      </c>
      <c r="V205" s="203" t="str">
        <f t="shared" si="96"/>
        <v>-</v>
      </c>
      <c r="W205" s="203" t="str">
        <f t="shared" si="96"/>
        <v>-</v>
      </c>
      <c r="X205" s="203" t="str">
        <f t="shared" si="96"/>
        <v>-</v>
      </c>
    </row>
    <row r="206" spans="1:24" ht="11.25" customHeight="1" x14ac:dyDescent="0.25">
      <c r="A206" s="402">
        <v>2006</v>
      </c>
      <c r="B206" s="203" t="str">
        <f>B35</f>
        <v>-</v>
      </c>
      <c r="C206" s="203" t="str">
        <f t="shared" ref="C206:L206" si="97">C35</f>
        <v>-</v>
      </c>
      <c r="D206" s="203" t="str">
        <f t="shared" si="97"/>
        <v>-</v>
      </c>
      <c r="E206" s="203">
        <f t="shared" si="97"/>
        <v>9550</v>
      </c>
      <c r="F206" s="203">
        <f t="shared" si="97"/>
        <v>3616</v>
      </c>
      <c r="G206" s="203">
        <f t="shared" si="97"/>
        <v>962</v>
      </c>
      <c r="H206" s="203">
        <f t="shared" si="97"/>
        <v>4367</v>
      </c>
      <c r="I206" s="203">
        <f t="shared" si="97"/>
        <v>3449</v>
      </c>
      <c r="J206" s="203">
        <f t="shared" si="97"/>
        <v>1555</v>
      </c>
      <c r="K206" s="203">
        <f t="shared" si="97"/>
        <v>131</v>
      </c>
      <c r="L206" s="203">
        <f t="shared" si="97"/>
        <v>23630</v>
      </c>
      <c r="M206" s="150"/>
      <c r="N206" s="203" t="str">
        <f t="shared" ref="N206:X206" si="98">N35</f>
        <v>-</v>
      </c>
      <c r="O206" s="203" t="str">
        <f t="shared" si="98"/>
        <v>-</v>
      </c>
      <c r="P206" s="203" t="str">
        <f t="shared" si="98"/>
        <v>-</v>
      </c>
      <c r="Q206" s="203" t="str">
        <f t="shared" si="98"/>
        <v>-</v>
      </c>
      <c r="R206" s="203" t="str">
        <f t="shared" si="98"/>
        <v>-</v>
      </c>
      <c r="S206" s="203" t="str">
        <f t="shared" si="98"/>
        <v>-</v>
      </c>
      <c r="T206" s="203" t="str">
        <f t="shared" si="98"/>
        <v>-</v>
      </c>
      <c r="U206" s="203" t="str">
        <f t="shared" si="98"/>
        <v>-</v>
      </c>
      <c r="V206" s="203" t="str">
        <f t="shared" si="98"/>
        <v>-</v>
      </c>
      <c r="W206" s="203" t="str">
        <f t="shared" si="98"/>
        <v>-</v>
      </c>
      <c r="X206" s="203" t="str">
        <f t="shared" si="98"/>
        <v>-</v>
      </c>
    </row>
    <row r="207" spans="1:24" ht="11.25" customHeight="1" x14ac:dyDescent="0.25">
      <c r="A207" s="402">
        <v>2007</v>
      </c>
      <c r="B207" s="203" t="str">
        <f>B36</f>
        <v>-</v>
      </c>
      <c r="C207" s="203">
        <f t="shared" ref="C207:L207" si="99">C36</f>
        <v>1856</v>
      </c>
      <c r="D207" s="203">
        <f t="shared" si="99"/>
        <v>7328</v>
      </c>
      <c r="E207" s="203">
        <f t="shared" si="99"/>
        <v>4463</v>
      </c>
      <c r="F207" s="203">
        <f t="shared" si="99"/>
        <v>1759</v>
      </c>
      <c r="G207" s="203">
        <f t="shared" si="99"/>
        <v>12360</v>
      </c>
      <c r="H207" s="203">
        <f t="shared" si="99"/>
        <v>713</v>
      </c>
      <c r="I207" s="203">
        <f t="shared" si="99"/>
        <v>795</v>
      </c>
      <c r="J207" s="203">
        <f t="shared" si="99"/>
        <v>670</v>
      </c>
      <c r="K207" s="203">
        <f t="shared" si="99"/>
        <v>3</v>
      </c>
      <c r="L207" s="203">
        <f t="shared" si="99"/>
        <v>29947</v>
      </c>
      <c r="M207" s="150"/>
      <c r="N207" s="203" t="str">
        <f t="shared" ref="N207:X207" si="100">N36</f>
        <v>-</v>
      </c>
      <c r="O207" s="203" t="str">
        <f t="shared" si="100"/>
        <v>-</v>
      </c>
      <c r="P207" s="203" t="str">
        <f t="shared" si="100"/>
        <v>-</v>
      </c>
      <c r="Q207" s="203" t="str">
        <f t="shared" si="100"/>
        <v>-</v>
      </c>
      <c r="R207" s="203" t="str">
        <f t="shared" si="100"/>
        <v>-</v>
      </c>
      <c r="S207" s="203">
        <f t="shared" si="100"/>
        <v>5036</v>
      </c>
      <c r="T207" s="203">
        <f t="shared" si="100"/>
        <v>519</v>
      </c>
      <c r="U207" s="203" t="str">
        <f t="shared" si="100"/>
        <v>-</v>
      </c>
      <c r="V207" s="203" t="str">
        <f t="shared" si="100"/>
        <v>-</v>
      </c>
      <c r="W207" s="203" t="str">
        <f t="shared" si="100"/>
        <v>-</v>
      </c>
      <c r="X207" s="203">
        <f t="shared" si="100"/>
        <v>5555</v>
      </c>
    </row>
    <row r="208" spans="1:24" ht="11.25" customHeight="1" x14ac:dyDescent="0.25">
      <c r="A208" s="402">
        <v>2008</v>
      </c>
      <c r="B208" s="203" t="str">
        <f>B37</f>
        <v>-</v>
      </c>
      <c r="C208" s="203" t="str">
        <f t="shared" ref="C208:L208" si="101">C37</f>
        <v>-</v>
      </c>
      <c r="D208" s="203" t="str">
        <f t="shared" si="101"/>
        <v>-</v>
      </c>
      <c r="E208" s="203" t="str">
        <f t="shared" si="101"/>
        <v>-</v>
      </c>
      <c r="F208" s="203" t="str">
        <f t="shared" si="101"/>
        <v>-</v>
      </c>
      <c r="G208" s="203" t="str">
        <f t="shared" si="101"/>
        <v>-</v>
      </c>
      <c r="H208" s="203">
        <f t="shared" si="101"/>
        <v>64</v>
      </c>
      <c r="I208" s="203">
        <f t="shared" si="101"/>
        <v>12</v>
      </c>
      <c r="J208" s="203">
        <f t="shared" si="101"/>
        <v>208</v>
      </c>
      <c r="K208" s="203" t="str">
        <f t="shared" si="101"/>
        <v>-</v>
      </c>
      <c r="L208" s="203">
        <f t="shared" si="101"/>
        <v>284</v>
      </c>
      <c r="M208" s="150"/>
      <c r="N208" s="203" t="str">
        <f t="shared" ref="N208:X208" si="102">N37</f>
        <v>-</v>
      </c>
      <c r="O208" s="203" t="str">
        <f t="shared" si="102"/>
        <v>-</v>
      </c>
      <c r="P208" s="203" t="str">
        <f t="shared" si="102"/>
        <v>-</v>
      </c>
      <c r="Q208" s="203" t="str">
        <f t="shared" si="102"/>
        <v>-</v>
      </c>
      <c r="R208" s="203" t="str">
        <f t="shared" si="102"/>
        <v>-</v>
      </c>
      <c r="S208" s="203" t="str">
        <f t="shared" si="102"/>
        <v>-</v>
      </c>
      <c r="T208" s="203" t="str">
        <f t="shared" si="102"/>
        <v>-</v>
      </c>
      <c r="U208" s="203" t="str">
        <f t="shared" si="102"/>
        <v>-</v>
      </c>
      <c r="V208" s="203" t="str">
        <f t="shared" si="102"/>
        <v>-</v>
      </c>
      <c r="W208" s="203" t="str">
        <f t="shared" si="102"/>
        <v>-</v>
      </c>
      <c r="X208" s="203" t="str">
        <f t="shared" si="102"/>
        <v>-</v>
      </c>
    </row>
    <row r="209" spans="1:24" ht="11.25" customHeight="1" x14ac:dyDescent="0.25">
      <c r="A209" s="402">
        <v>2009</v>
      </c>
      <c r="B209" s="203" t="str">
        <f t="shared" ref="B209:L209" si="103">B38</f>
        <v>-</v>
      </c>
      <c r="C209" s="203" t="str">
        <f t="shared" si="103"/>
        <v>-</v>
      </c>
      <c r="D209" s="203" t="str">
        <f t="shared" si="103"/>
        <v>-</v>
      </c>
      <c r="E209" s="203" t="str">
        <f t="shared" si="103"/>
        <v>-</v>
      </c>
      <c r="F209" s="203" t="str">
        <f t="shared" si="103"/>
        <v>-</v>
      </c>
      <c r="G209" s="203" t="str">
        <f t="shared" si="103"/>
        <v>-</v>
      </c>
      <c r="H209" s="203">
        <f t="shared" si="103"/>
        <v>105</v>
      </c>
      <c r="I209" s="203">
        <f t="shared" si="103"/>
        <v>332</v>
      </c>
      <c r="J209" s="203" t="str">
        <f t="shared" si="103"/>
        <v>-</v>
      </c>
      <c r="K209" s="203" t="str">
        <f t="shared" si="103"/>
        <v>-</v>
      </c>
      <c r="L209" s="203">
        <f t="shared" si="103"/>
        <v>437</v>
      </c>
      <c r="M209" s="150"/>
      <c r="N209" s="203" t="str">
        <f t="shared" ref="N209:X209" si="104">N38</f>
        <v>-</v>
      </c>
      <c r="O209" s="203" t="str">
        <f t="shared" si="104"/>
        <v>-</v>
      </c>
      <c r="P209" s="203" t="str">
        <f t="shared" si="104"/>
        <v>-</v>
      </c>
      <c r="Q209" s="203" t="str">
        <f t="shared" si="104"/>
        <v>-</v>
      </c>
      <c r="R209" s="203" t="str">
        <f t="shared" si="104"/>
        <v>-</v>
      </c>
      <c r="S209" s="203" t="str">
        <f t="shared" si="104"/>
        <v>-</v>
      </c>
      <c r="T209" s="203">
        <f t="shared" si="104"/>
        <v>9278</v>
      </c>
      <c r="U209" s="203" t="str">
        <f t="shared" si="104"/>
        <v>-</v>
      </c>
      <c r="V209" s="203" t="str">
        <f t="shared" si="104"/>
        <v>-</v>
      </c>
      <c r="W209" s="203" t="str">
        <f t="shared" si="104"/>
        <v>-</v>
      </c>
      <c r="X209" s="203">
        <f t="shared" si="104"/>
        <v>9278</v>
      </c>
    </row>
    <row r="210" spans="1:24" ht="11.25" customHeight="1" x14ac:dyDescent="0.25">
      <c r="A210" s="402">
        <v>2010</v>
      </c>
      <c r="B210" s="203" t="str">
        <f t="shared" ref="B210:L210" si="105">B39</f>
        <v>-</v>
      </c>
      <c r="C210" s="203" t="str">
        <f t="shared" si="105"/>
        <v>-</v>
      </c>
      <c r="D210" s="203">
        <f t="shared" si="105"/>
        <v>9019</v>
      </c>
      <c r="E210" s="203">
        <f t="shared" si="105"/>
        <v>8966</v>
      </c>
      <c r="F210" s="203">
        <f t="shared" si="105"/>
        <v>4276</v>
      </c>
      <c r="G210" s="203">
        <f t="shared" si="105"/>
        <v>3797</v>
      </c>
      <c r="H210" s="203">
        <f t="shared" si="105"/>
        <v>56</v>
      </c>
      <c r="I210" s="203">
        <f t="shared" si="105"/>
        <v>1330</v>
      </c>
      <c r="J210" s="203" t="str">
        <f t="shared" si="105"/>
        <v>-</v>
      </c>
      <c r="K210" s="203" t="str">
        <f t="shared" si="105"/>
        <v>-</v>
      </c>
      <c r="L210" s="203">
        <f t="shared" si="105"/>
        <v>27444</v>
      </c>
      <c r="M210" s="150"/>
      <c r="N210" s="203" t="str">
        <f t="shared" ref="N210:X210" si="106">N39</f>
        <v>-</v>
      </c>
      <c r="O210" s="203" t="str">
        <f t="shared" si="106"/>
        <v>-</v>
      </c>
      <c r="P210" s="203" t="str">
        <f t="shared" si="106"/>
        <v>-</v>
      </c>
      <c r="Q210" s="203" t="str">
        <f t="shared" si="106"/>
        <v>-</v>
      </c>
      <c r="R210" s="203" t="str">
        <f t="shared" si="106"/>
        <v>-</v>
      </c>
      <c r="S210" s="203" t="str">
        <f t="shared" si="106"/>
        <v>-</v>
      </c>
      <c r="T210" s="203" t="str">
        <f t="shared" si="106"/>
        <v>-</v>
      </c>
      <c r="U210" s="203" t="str">
        <f t="shared" si="106"/>
        <v>-</v>
      </c>
      <c r="V210" s="203" t="str">
        <f t="shared" si="106"/>
        <v>-</v>
      </c>
      <c r="W210" s="203" t="str">
        <f t="shared" si="106"/>
        <v>-</v>
      </c>
      <c r="X210" s="203" t="str">
        <f t="shared" si="106"/>
        <v>-</v>
      </c>
    </row>
    <row r="211" spans="1:24" ht="11.25" customHeight="1" x14ac:dyDescent="0.25">
      <c r="A211" s="402">
        <v>2011</v>
      </c>
      <c r="B211" s="203" t="str">
        <f t="shared" ref="B211:L211" si="107">B40</f>
        <v>-</v>
      </c>
      <c r="C211" s="203">
        <f t="shared" si="107"/>
        <v>4481</v>
      </c>
      <c r="D211" s="203">
        <f t="shared" si="107"/>
        <v>7901</v>
      </c>
      <c r="E211" s="203">
        <f t="shared" si="107"/>
        <v>10401</v>
      </c>
      <c r="F211" s="203">
        <f t="shared" si="107"/>
        <v>699</v>
      </c>
      <c r="G211" s="203">
        <f t="shared" si="107"/>
        <v>1012</v>
      </c>
      <c r="H211" s="203">
        <f t="shared" si="107"/>
        <v>337</v>
      </c>
      <c r="I211" s="203">
        <f t="shared" si="107"/>
        <v>1093</v>
      </c>
      <c r="J211" s="203">
        <f t="shared" si="107"/>
        <v>1995</v>
      </c>
      <c r="K211" s="203" t="str">
        <f t="shared" si="107"/>
        <v>-</v>
      </c>
      <c r="L211" s="203">
        <f t="shared" si="107"/>
        <v>27919</v>
      </c>
      <c r="M211" s="150"/>
      <c r="N211" s="203" t="str">
        <f t="shared" ref="N211:X211" si="108">N40</f>
        <v>-</v>
      </c>
      <c r="O211" s="203" t="str">
        <f t="shared" si="108"/>
        <v>-</v>
      </c>
      <c r="P211" s="203" t="str">
        <f t="shared" si="108"/>
        <v>-</v>
      </c>
      <c r="Q211" s="203" t="str">
        <f t="shared" si="108"/>
        <v>-</v>
      </c>
      <c r="R211" s="203" t="str">
        <f t="shared" si="108"/>
        <v>-</v>
      </c>
      <c r="S211" s="203" t="str">
        <f t="shared" si="108"/>
        <v>-</v>
      </c>
      <c r="T211" s="203" t="str">
        <f t="shared" si="108"/>
        <v>-</v>
      </c>
      <c r="U211" s="203" t="str">
        <f t="shared" si="108"/>
        <v>-</v>
      </c>
      <c r="V211" s="203" t="str">
        <f t="shared" si="108"/>
        <v>-</v>
      </c>
      <c r="W211" s="203" t="str">
        <f t="shared" si="108"/>
        <v>-</v>
      </c>
      <c r="X211" s="203" t="str">
        <f t="shared" si="108"/>
        <v>-</v>
      </c>
    </row>
    <row r="212" spans="1:24" ht="11.25" customHeight="1" x14ac:dyDescent="0.25">
      <c r="A212" s="402">
        <v>2012</v>
      </c>
      <c r="B212" s="203" t="str">
        <f t="shared" ref="B212:L212" si="109">B41</f>
        <v>-</v>
      </c>
      <c r="C212" s="203">
        <f t="shared" si="109"/>
        <v>3633</v>
      </c>
      <c r="D212" s="203">
        <f t="shared" si="109"/>
        <v>14533</v>
      </c>
      <c r="E212" s="203">
        <f t="shared" si="109"/>
        <v>7357</v>
      </c>
      <c r="F212" s="203">
        <f t="shared" si="109"/>
        <v>1785</v>
      </c>
      <c r="G212" s="203">
        <f t="shared" si="109"/>
        <v>8771</v>
      </c>
      <c r="H212" s="203">
        <f t="shared" si="109"/>
        <v>13677</v>
      </c>
      <c r="I212" s="203">
        <f t="shared" si="109"/>
        <v>8756</v>
      </c>
      <c r="J212" s="203">
        <f t="shared" si="109"/>
        <v>701</v>
      </c>
      <c r="K212" s="203" t="str">
        <f t="shared" si="109"/>
        <v>-</v>
      </c>
      <c r="L212" s="203">
        <f t="shared" si="109"/>
        <v>59213</v>
      </c>
      <c r="M212" s="150"/>
      <c r="N212" s="203" t="str">
        <f t="shared" ref="N212:X212" si="110">N41</f>
        <v>-</v>
      </c>
      <c r="O212" s="203" t="str">
        <f t="shared" si="110"/>
        <v>-</v>
      </c>
      <c r="P212" s="203" t="str">
        <f t="shared" si="110"/>
        <v>-</v>
      </c>
      <c r="Q212" s="203" t="str">
        <f t="shared" si="110"/>
        <v>-</v>
      </c>
      <c r="R212" s="203" t="str">
        <f t="shared" si="110"/>
        <v>-</v>
      </c>
      <c r="S212" s="203" t="str">
        <f t="shared" si="110"/>
        <v>-</v>
      </c>
      <c r="T212" s="203" t="str">
        <f t="shared" si="110"/>
        <v>-</v>
      </c>
      <c r="U212" s="203" t="str">
        <f t="shared" si="110"/>
        <v>-</v>
      </c>
      <c r="V212" s="203" t="str">
        <f t="shared" si="110"/>
        <v>-</v>
      </c>
      <c r="W212" s="203" t="str">
        <f t="shared" si="110"/>
        <v>-</v>
      </c>
      <c r="X212" s="203" t="str">
        <f t="shared" si="110"/>
        <v>-</v>
      </c>
    </row>
    <row r="213" spans="1:24" ht="11.25" customHeight="1" x14ac:dyDescent="0.25">
      <c r="A213" s="402">
        <v>2013</v>
      </c>
      <c r="B213" s="203" t="str">
        <f t="shared" ref="B213:L213" si="111">B42</f>
        <v>-</v>
      </c>
      <c r="C213" s="203">
        <f t="shared" si="111"/>
        <v>7373</v>
      </c>
      <c r="D213" s="203">
        <f t="shared" si="111"/>
        <v>9093</v>
      </c>
      <c r="E213" s="203">
        <f t="shared" si="111"/>
        <v>5987</v>
      </c>
      <c r="F213" s="203">
        <f t="shared" si="111"/>
        <v>5331</v>
      </c>
      <c r="G213" s="203">
        <f t="shared" si="111"/>
        <v>38535</v>
      </c>
      <c r="H213" s="203">
        <f t="shared" si="111"/>
        <v>28251</v>
      </c>
      <c r="I213" s="203">
        <f t="shared" si="111"/>
        <v>8424</v>
      </c>
      <c r="J213" s="203">
        <f t="shared" si="111"/>
        <v>1002</v>
      </c>
      <c r="K213" s="203" t="str">
        <f t="shared" si="111"/>
        <v>-</v>
      </c>
      <c r="L213" s="203">
        <f t="shared" si="111"/>
        <v>103996</v>
      </c>
      <c r="M213" s="150"/>
      <c r="N213" s="203" t="str">
        <f t="shared" ref="N213:X213" si="112">N42</f>
        <v>-</v>
      </c>
      <c r="O213" s="203" t="str">
        <f t="shared" si="112"/>
        <v>-</v>
      </c>
      <c r="P213" s="203" t="str">
        <f t="shared" si="112"/>
        <v>-</v>
      </c>
      <c r="Q213" s="203" t="str">
        <f t="shared" si="112"/>
        <v>-</v>
      </c>
      <c r="R213" s="203" t="str">
        <f t="shared" si="112"/>
        <v>-</v>
      </c>
      <c r="S213" s="203" t="str">
        <f t="shared" si="112"/>
        <v>-</v>
      </c>
      <c r="T213" s="203" t="str">
        <f t="shared" si="112"/>
        <v>-</v>
      </c>
      <c r="U213" s="203" t="str">
        <f t="shared" si="112"/>
        <v>-</v>
      </c>
      <c r="V213" s="203" t="str">
        <f t="shared" si="112"/>
        <v>-</v>
      </c>
      <c r="W213" s="203" t="str">
        <f t="shared" si="112"/>
        <v>-</v>
      </c>
      <c r="X213" s="203" t="str">
        <f t="shared" si="112"/>
        <v>-</v>
      </c>
    </row>
    <row r="214" spans="1:24" ht="11.25" customHeight="1" x14ac:dyDescent="0.25">
      <c r="A214" s="402">
        <v>2014</v>
      </c>
      <c r="B214" s="203" t="str">
        <f t="shared" ref="B214:L214" si="113">B43</f>
        <v>-</v>
      </c>
      <c r="C214" s="203">
        <f t="shared" si="113"/>
        <v>15501</v>
      </c>
      <c r="D214" s="203">
        <f t="shared" si="113"/>
        <v>35389</v>
      </c>
      <c r="E214" s="203">
        <f t="shared" si="113"/>
        <v>28560</v>
      </c>
      <c r="F214" s="203">
        <f t="shared" si="113"/>
        <v>18326</v>
      </c>
      <c r="G214" s="203">
        <f t="shared" si="113"/>
        <v>66600</v>
      </c>
      <c r="H214" s="203">
        <f t="shared" si="113"/>
        <v>8851</v>
      </c>
      <c r="I214" s="203">
        <f t="shared" si="113"/>
        <v>2072</v>
      </c>
      <c r="J214" s="203">
        <f t="shared" si="113"/>
        <v>469</v>
      </c>
      <c r="K214" s="203" t="str">
        <f t="shared" si="113"/>
        <v>-</v>
      </c>
      <c r="L214" s="203">
        <f t="shared" si="113"/>
        <v>175768</v>
      </c>
      <c r="M214" s="150"/>
      <c r="N214" s="203" t="str">
        <f t="shared" ref="N214:X214" si="114">N43</f>
        <v>-</v>
      </c>
      <c r="O214" s="203" t="str">
        <f t="shared" si="114"/>
        <v>-</v>
      </c>
      <c r="P214" s="203" t="str">
        <f t="shared" si="114"/>
        <v>-</v>
      </c>
      <c r="Q214" s="203" t="str">
        <f t="shared" si="114"/>
        <v>-</v>
      </c>
      <c r="R214" s="203" t="str">
        <f t="shared" si="114"/>
        <v>-</v>
      </c>
      <c r="S214" s="203" t="str">
        <f t="shared" si="114"/>
        <v>-</v>
      </c>
      <c r="T214" s="203">
        <f t="shared" si="114"/>
        <v>3296</v>
      </c>
      <c r="U214" s="203" t="str">
        <f t="shared" si="114"/>
        <v>-</v>
      </c>
      <c r="V214" s="203" t="str">
        <f t="shared" si="114"/>
        <v>-</v>
      </c>
      <c r="W214" s="203" t="str">
        <f t="shared" si="114"/>
        <v>-</v>
      </c>
      <c r="X214" s="203">
        <f t="shared" si="114"/>
        <v>3296</v>
      </c>
    </row>
    <row r="215" spans="1:24" ht="11.25" customHeight="1" x14ac:dyDescent="0.25">
      <c r="A215" s="402">
        <v>2015</v>
      </c>
      <c r="B215" s="203" t="str">
        <f t="shared" ref="B215:L215" si="115">B44</f>
        <v>-</v>
      </c>
      <c r="C215" s="203">
        <f t="shared" si="115"/>
        <v>16381</v>
      </c>
      <c r="D215" s="203">
        <f t="shared" si="115"/>
        <v>13140</v>
      </c>
      <c r="E215" s="203">
        <f t="shared" si="115"/>
        <v>19803</v>
      </c>
      <c r="F215" s="203">
        <f t="shared" si="115"/>
        <v>27250</v>
      </c>
      <c r="G215" s="203">
        <f t="shared" si="115"/>
        <v>7457</v>
      </c>
      <c r="H215" s="203">
        <f t="shared" si="115"/>
        <v>2006</v>
      </c>
      <c r="I215" s="203">
        <f t="shared" si="115"/>
        <v>1954</v>
      </c>
      <c r="J215" s="203">
        <f t="shared" si="115"/>
        <v>1163</v>
      </c>
      <c r="K215" s="203" t="str">
        <f t="shared" si="115"/>
        <v>-</v>
      </c>
      <c r="L215" s="203">
        <f t="shared" si="115"/>
        <v>89154</v>
      </c>
      <c r="M215" s="150"/>
      <c r="N215" s="203" t="str">
        <f t="shared" ref="N215:X215" si="116">N44</f>
        <v>-</v>
      </c>
      <c r="O215" s="203" t="str">
        <f t="shared" si="116"/>
        <v>-</v>
      </c>
      <c r="P215" s="203" t="str">
        <f t="shared" si="116"/>
        <v>-</v>
      </c>
      <c r="Q215" s="203" t="str">
        <f t="shared" si="116"/>
        <v>-</v>
      </c>
      <c r="R215" s="203" t="str">
        <f t="shared" si="116"/>
        <v>-</v>
      </c>
      <c r="S215" s="203" t="str">
        <f t="shared" si="116"/>
        <v>-</v>
      </c>
      <c r="T215" s="203" t="str">
        <f t="shared" si="116"/>
        <v>-</v>
      </c>
      <c r="U215" s="203" t="str">
        <f t="shared" si="116"/>
        <v>-</v>
      </c>
      <c r="V215" s="203" t="str">
        <f t="shared" si="116"/>
        <v>-</v>
      </c>
      <c r="W215" s="203" t="str">
        <f t="shared" si="116"/>
        <v>-</v>
      </c>
      <c r="X215" s="203" t="str">
        <f t="shared" si="116"/>
        <v>-</v>
      </c>
    </row>
    <row r="216" spans="1:24" ht="11.25" customHeight="1" x14ac:dyDescent="0.25">
      <c r="A216" s="402">
        <v>2016</v>
      </c>
      <c r="B216" s="203" t="str">
        <f t="shared" ref="B216:L216" si="117">B45</f>
        <v>-</v>
      </c>
      <c r="C216" s="203">
        <f t="shared" si="117"/>
        <v>6585</v>
      </c>
      <c r="D216" s="203">
        <f t="shared" si="117"/>
        <v>5989</v>
      </c>
      <c r="E216" s="203">
        <f t="shared" si="117"/>
        <v>4736</v>
      </c>
      <c r="F216" s="203">
        <f t="shared" si="117"/>
        <v>11243</v>
      </c>
      <c r="G216" s="203">
        <f t="shared" si="117"/>
        <v>8627</v>
      </c>
      <c r="H216" s="203">
        <f t="shared" si="117"/>
        <v>1812</v>
      </c>
      <c r="I216" s="203">
        <f t="shared" si="117"/>
        <v>717</v>
      </c>
      <c r="J216" s="203">
        <f t="shared" si="117"/>
        <v>182</v>
      </c>
      <c r="K216" s="203" t="str">
        <f t="shared" si="117"/>
        <v>-</v>
      </c>
      <c r="L216" s="203">
        <f t="shared" si="117"/>
        <v>39891</v>
      </c>
      <c r="M216" s="150"/>
      <c r="N216" s="203" t="str">
        <f t="shared" ref="N216:X216" si="118">N45</f>
        <v>-</v>
      </c>
      <c r="O216" s="203" t="str">
        <f t="shared" si="118"/>
        <v>-</v>
      </c>
      <c r="P216" s="203" t="str">
        <f t="shared" si="118"/>
        <v>-</v>
      </c>
      <c r="Q216" s="203" t="str">
        <f t="shared" si="118"/>
        <v>-</v>
      </c>
      <c r="R216" s="203" t="str">
        <f t="shared" si="118"/>
        <v>-</v>
      </c>
      <c r="S216" s="203" t="str">
        <f t="shared" si="118"/>
        <v>-</v>
      </c>
      <c r="T216" s="203" t="str">
        <f t="shared" si="118"/>
        <v>-</v>
      </c>
      <c r="U216" s="203" t="str">
        <f t="shared" si="118"/>
        <v>-</v>
      </c>
      <c r="V216" s="203" t="str">
        <f t="shared" si="118"/>
        <v>-</v>
      </c>
      <c r="W216" s="203" t="str">
        <f t="shared" si="118"/>
        <v>-</v>
      </c>
      <c r="X216" s="203" t="str">
        <f t="shared" si="118"/>
        <v>-</v>
      </c>
    </row>
    <row r="217" spans="1:24" ht="11.25" customHeight="1" x14ac:dyDescent="0.25">
      <c r="A217" s="402">
        <v>2017</v>
      </c>
      <c r="B217" s="203" t="str">
        <f t="shared" ref="B217:L217" si="119">B46</f>
        <v>-</v>
      </c>
      <c r="C217" s="203">
        <f t="shared" si="119"/>
        <v>553</v>
      </c>
      <c r="D217" s="203">
        <f t="shared" si="119"/>
        <v>1229</v>
      </c>
      <c r="E217" s="203">
        <f t="shared" si="119"/>
        <v>3174</v>
      </c>
      <c r="F217" s="203">
        <f t="shared" si="119"/>
        <v>13019</v>
      </c>
      <c r="G217" s="203" t="str">
        <f t="shared" si="119"/>
        <v>-</v>
      </c>
      <c r="H217" s="203">
        <f t="shared" si="119"/>
        <v>137</v>
      </c>
      <c r="I217" s="203">
        <f t="shared" si="119"/>
        <v>681</v>
      </c>
      <c r="J217" s="203">
        <f t="shared" si="119"/>
        <v>96</v>
      </c>
      <c r="K217" s="203" t="str">
        <f t="shared" si="119"/>
        <v>-</v>
      </c>
      <c r="L217" s="203">
        <f t="shared" si="119"/>
        <v>18889</v>
      </c>
      <c r="M217" s="150"/>
      <c r="N217" s="203" t="str">
        <f t="shared" ref="N217:X217" si="120">N46</f>
        <v>-</v>
      </c>
      <c r="O217" s="203" t="str">
        <f t="shared" si="120"/>
        <v>-</v>
      </c>
      <c r="P217" s="203" t="str">
        <f t="shared" si="120"/>
        <v>-</v>
      </c>
      <c r="Q217" s="203" t="str">
        <f t="shared" si="120"/>
        <v>-</v>
      </c>
      <c r="R217" s="203" t="str">
        <f t="shared" si="120"/>
        <v>-</v>
      </c>
      <c r="S217" s="203" t="str">
        <f t="shared" si="120"/>
        <v>-</v>
      </c>
      <c r="T217" s="203" t="str">
        <f t="shared" si="120"/>
        <v>-</v>
      </c>
      <c r="U217" s="203" t="str">
        <f t="shared" si="120"/>
        <v>-</v>
      </c>
      <c r="V217" s="203" t="str">
        <f t="shared" si="120"/>
        <v>-</v>
      </c>
      <c r="W217" s="203" t="str">
        <f t="shared" si="120"/>
        <v>-</v>
      </c>
      <c r="X217" s="203" t="str">
        <f t="shared" si="120"/>
        <v>-</v>
      </c>
    </row>
    <row r="218" spans="1:24" s="358" customFormat="1" ht="11.25" customHeight="1" x14ac:dyDescent="0.25">
      <c r="A218" s="402">
        <v>2018</v>
      </c>
      <c r="B218" s="203" t="str">
        <f t="shared" ref="B218:L218" si="121">B47</f>
        <v>-</v>
      </c>
      <c r="C218" s="203" t="str">
        <f t="shared" si="121"/>
        <v>-</v>
      </c>
      <c r="D218" s="203">
        <f t="shared" si="121"/>
        <v>971</v>
      </c>
      <c r="E218" s="203">
        <f t="shared" si="121"/>
        <v>2878</v>
      </c>
      <c r="F218" s="203">
        <f t="shared" si="121"/>
        <v>2930</v>
      </c>
      <c r="G218" s="203">
        <f t="shared" si="121"/>
        <v>12304</v>
      </c>
      <c r="H218" s="203">
        <f t="shared" si="121"/>
        <v>225</v>
      </c>
      <c r="I218" s="203">
        <f t="shared" si="121"/>
        <v>490</v>
      </c>
      <c r="J218" s="203">
        <f t="shared" si="121"/>
        <v>431</v>
      </c>
      <c r="K218" s="203" t="str">
        <f t="shared" si="121"/>
        <v>-</v>
      </c>
      <c r="L218" s="203">
        <f t="shared" si="121"/>
        <v>20229</v>
      </c>
      <c r="M218" s="150"/>
      <c r="N218" s="203" t="str">
        <f t="shared" ref="N218:X218" si="122">N47</f>
        <v>-</v>
      </c>
      <c r="O218" s="203" t="str">
        <f t="shared" si="122"/>
        <v>-</v>
      </c>
      <c r="P218" s="203" t="str">
        <f t="shared" si="122"/>
        <v>-</v>
      </c>
      <c r="Q218" s="203" t="str">
        <f t="shared" si="122"/>
        <v>-</v>
      </c>
      <c r="R218" s="203" t="str">
        <f t="shared" si="122"/>
        <v>-</v>
      </c>
      <c r="S218" s="203" t="str">
        <f t="shared" si="122"/>
        <v>-</v>
      </c>
      <c r="T218" s="203" t="str">
        <f t="shared" si="122"/>
        <v>-</v>
      </c>
      <c r="U218" s="203" t="str">
        <f t="shared" si="122"/>
        <v>-</v>
      </c>
      <c r="V218" s="203" t="str">
        <f t="shared" si="122"/>
        <v>-</v>
      </c>
      <c r="W218" s="203" t="str">
        <f t="shared" si="122"/>
        <v>-</v>
      </c>
      <c r="X218" s="203" t="str">
        <f t="shared" si="122"/>
        <v>-</v>
      </c>
    </row>
    <row r="219" spans="1:24" s="358" customFormat="1" ht="11.25" customHeight="1" x14ac:dyDescent="0.25">
      <c r="A219" s="491">
        <v>2019</v>
      </c>
      <c r="B219" s="203" t="str">
        <f>B48</f>
        <v>-</v>
      </c>
      <c r="C219" s="203">
        <f t="shared" ref="C219:L220" si="123">C48</f>
        <v>150</v>
      </c>
      <c r="D219" s="203">
        <f t="shared" si="123"/>
        <v>665</v>
      </c>
      <c r="E219" s="203">
        <f t="shared" si="123"/>
        <v>3302</v>
      </c>
      <c r="F219" s="203">
        <f t="shared" si="123"/>
        <v>16242</v>
      </c>
      <c r="G219" s="203">
        <f t="shared" si="123"/>
        <v>4641</v>
      </c>
      <c r="H219" s="203">
        <f t="shared" si="123"/>
        <v>632</v>
      </c>
      <c r="I219" s="203">
        <f t="shared" si="123"/>
        <v>870</v>
      </c>
      <c r="J219" s="203" t="str">
        <f t="shared" si="123"/>
        <v>-</v>
      </c>
      <c r="K219" s="203" t="str">
        <f t="shared" si="123"/>
        <v>-</v>
      </c>
      <c r="L219" s="203">
        <f t="shared" si="123"/>
        <v>26502</v>
      </c>
      <c r="M219" s="150"/>
      <c r="N219" s="203" t="str">
        <f t="shared" ref="N219:X220" si="124">N48</f>
        <v>-</v>
      </c>
      <c r="O219" s="203" t="str">
        <f t="shared" si="124"/>
        <v>-</v>
      </c>
      <c r="P219" s="203" t="str">
        <f t="shared" si="124"/>
        <v>-</v>
      </c>
      <c r="Q219" s="203" t="str">
        <f t="shared" si="124"/>
        <v>-</v>
      </c>
      <c r="R219" s="203" t="str">
        <f t="shared" si="124"/>
        <v>-</v>
      </c>
      <c r="S219" s="203" t="str">
        <f t="shared" si="124"/>
        <v>-</v>
      </c>
      <c r="T219" s="203" t="str">
        <f t="shared" si="124"/>
        <v>-</v>
      </c>
      <c r="U219" s="203" t="str">
        <f t="shared" si="124"/>
        <v>-</v>
      </c>
      <c r="V219" s="203" t="str">
        <f t="shared" si="124"/>
        <v>-</v>
      </c>
      <c r="W219" s="203" t="str">
        <f t="shared" si="124"/>
        <v>-</v>
      </c>
      <c r="X219" s="203" t="str">
        <f t="shared" si="124"/>
        <v>-</v>
      </c>
    </row>
    <row r="220" spans="1:24" ht="11.25" customHeight="1" x14ac:dyDescent="0.25">
      <c r="A220" s="491" t="s">
        <v>393</v>
      </c>
      <c r="B220" s="203" t="str">
        <f>B49</f>
        <v>-</v>
      </c>
      <c r="C220" s="203">
        <f t="shared" si="123"/>
        <v>799</v>
      </c>
      <c r="D220" s="203">
        <f t="shared" si="123"/>
        <v>777</v>
      </c>
      <c r="E220" s="203">
        <f t="shared" si="123"/>
        <v>2397</v>
      </c>
      <c r="F220" s="203">
        <f t="shared" si="123"/>
        <v>4355</v>
      </c>
      <c r="G220" s="203">
        <f t="shared" si="123"/>
        <v>1855</v>
      </c>
      <c r="H220" s="203">
        <f t="shared" si="123"/>
        <v>560</v>
      </c>
      <c r="I220" s="203">
        <f t="shared" si="123"/>
        <v>997</v>
      </c>
      <c r="J220" s="203" t="str">
        <f t="shared" si="123"/>
        <v>-</v>
      </c>
      <c r="K220" s="203" t="str">
        <f t="shared" si="123"/>
        <v>-</v>
      </c>
      <c r="L220" s="203">
        <f t="shared" si="123"/>
        <v>11740</v>
      </c>
      <c r="M220" s="150"/>
      <c r="N220" s="203" t="str">
        <f t="shared" si="124"/>
        <v>-</v>
      </c>
      <c r="O220" s="203" t="str">
        <f t="shared" si="124"/>
        <v>-</v>
      </c>
      <c r="P220" s="203" t="str">
        <f t="shared" si="124"/>
        <v>-</v>
      </c>
      <c r="Q220" s="203" t="str">
        <f t="shared" si="124"/>
        <v>-</v>
      </c>
      <c r="R220" s="203" t="str">
        <f t="shared" si="124"/>
        <v>-</v>
      </c>
      <c r="S220" s="203" t="str">
        <f t="shared" si="124"/>
        <v>-</v>
      </c>
      <c r="T220" s="203" t="str">
        <f t="shared" si="124"/>
        <v>-</v>
      </c>
      <c r="U220" s="203" t="str">
        <f t="shared" si="124"/>
        <v>-</v>
      </c>
      <c r="V220" s="203" t="str">
        <f t="shared" si="124"/>
        <v>-</v>
      </c>
      <c r="W220" s="203" t="str">
        <f t="shared" si="124"/>
        <v>-</v>
      </c>
      <c r="X220" s="203" t="str">
        <f t="shared" si="124"/>
        <v>-</v>
      </c>
    </row>
    <row r="221" spans="1:24" ht="11.25" customHeight="1" x14ac:dyDescent="0.25">
      <c r="A221" s="402"/>
      <c r="B221" s="203"/>
      <c r="C221" s="203"/>
      <c r="D221" s="203"/>
      <c r="E221" s="203"/>
      <c r="F221" s="203"/>
      <c r="G221" s="203"/>
      <c r="H221" s="203"/>
      <c r="I221" s="203"/>
      <c r="J221" s="203"/>
      <c r="K221" s="203"/>
      <c r="L221" s="203"/>
      <c r="M221" s="150"/>
      <c r="N221" s="203"/>
      <c r="O221" s="203"/>
      <c r="P221" s="203"/>
      <c r="Q221" s="203"/>
      <c r="R221" s="203"/>
      <c r="S221" s="203"/>
      <c r="T221" s="203"/>
      <c r="U221" s="203"/>
      <c r="V221" s="203"/>
      <c r="W221" s="203"/>
      <c r="X221" s="203"/>
    </row>
    <row r="222" spans="1:24" ht="11.25" customHeight="1" x14ac:dyDescent="0.25">
      <c r="A222" s="454" t="s">
        <v>302</v>
      </c>
      <c r="B222" s="203"/>
      <c r="C222" s="203"/>
      <c r="D222" s="203"/>
      <c r="E222" s="203"/>
      <c r="F222" s="203"/>
      <c r="G222" s="203"/>
      <c r="H222" s="203"/>
      <c r="I222" s="203"/>
      <c r="J222" s="203"/>
      <c r="K222" s="203"/>
      <c r="L222" s="203"/>
      <c r="M222" s="150"/>
      <c r="N222" s="203"/>
      <c r="O222" s="203"/>
      <c r="P222" s="203"/>
      <c r="Q222" s="203"/>
      <c r="R222" s="203"/>
      <c r="S222" s="203"/>
      <c r="T222" s="203"/>
      <c r="U222" s="203"/>
      <c r="V222" s="203"/>
      <c r="W222" s="203"/>
      <c r="X222" s="203"/>
    </row>
    <row r="223" spans="1:24" ht="11.25" customHeight="1" x14ac:dyDescent="0.25">
      <c r="A223" s="402" t="s">
        <v>30</v>
      </c>
      <c r="B223" s="203" t="s">
        <v>29</v>
      </c>
      <c r="C223" s="203" t="s">
        <v>29</v>
      </c>
      <c r="D223" s="203">
        <f t="shared" ref="D223:J223" si="125">AVERAGE(D57:D61)</f>
        <v>31260.6</v>
      </c>
      <c r="E223" s="203">
        <f t="shared" si="125"/>
        <v>13370.2</v>
      </c>
      <c r="F223" s="203">
        <f t="shared" si="125"/>
        <v>26577.200000000001</v>
      </c>
      <c r="G223" s="203">
        <f t="shared" si="125"/>
        <v>44460.4</v>
      </c>
      <c r="H223" s="203">
        <f t="shared" si="125"/>
        <v>10088.799999999999</v>
      </c>
      <c r="I223" s="203">
        <f t="shared" si="125"/>
        <v>3494.6</v>
      </c>
      <c r="J223" s="203">
        <f t="shared" si="125"/>
        <v>1113.2</v>
      </c>
      <c r="K223" s="203" t="s">
        <v>29</v>
      </c>
      <c r="L223" s="203">
        <f>SUM(C223:K223)</f>
        <v>130365</v>
      </c>
      <c r="M223" s="150"/>
      <c r="N223" s="203" t="s">
        <v>29</v>
      </c>
      <c r="O223" s="203" t="s">
        <v>29</v>
      </c>
      <c r="P223" s="203">
        <f t="shared" ref="P223:U223" si="126">AVERAGE(P57:P61)</f>
        <v>3526.6</v>
      </c>
      <c r="Q223" s="203">
        <f t="shared" si="126"/>
        <v>7182.8</v>
      </c>
      <c r="R223" s="203">
        <f t="shared" si="126"/>
        <v>25915.200000000001</v>
      </c>
      <c r="S223" s="203">
        <f t="shared" si="126"/>
        <v>17369.599999999999</v>
      </c>
      <c r="T223" s="203">
        <f t="shared" si="126"/>
        <v>802.8</v>
      </c>
      <c r="U223" s="203">
        <f t="shared" si="126"/>
        <v>0</v>
      </c>
      <c r="V223" s="203" t="s">
        <v>29</v>
      </c>
      <c r="W223" s="203" t="s">
        <v>29</v>
      </c>
      <c r="X223" s="203">
        <f>SUM(Q223:W223)</f>
        <v>51270.400000000001</v>
      </c>
    </row>
    <row r="224" spans="1:24" ht="11.25" customHeight="1" x14ac:dyDescent="0.25">
      <c r="A224" s="402" t="s">
        <v>87</v>
      </c>
      <c r="B224" s="203" t="s">
        <v>29</v>
      </c>
      <c r="C224" s="203" t="s">
        <v>29</v>
      </c>
      <c r="D224" s="203">
        <f t="shared" ref="D224:J224" si="127">AVERAGE(D62:D66)</f>
        <v>5508.6</v>
      </c>
      <c r="E224" s="203">
        <f t="shared" si="127"/>
        <v>55976.08</v>
      </c>
      <c r="F224" s="203">
        <f t="shared" si="127"/>
        <v>9956.02</v>
      </c>
      <c r="G224" s="203">
        <f t="shared" si="127"/>
        <v>17966.420000000002</v>
      </c>
      <c r="H224" s="203">
        <f t="shared" si="127"/>
        <v>8453.4</v>
      </c>
      <c r="I224" s="203">
        <f t="shared" si="127"/>
        <v>769.6</v>
      </c>
      <c r="J224" s="203">
        <f t="shared" si="127"/>
        <v>1460</v>
      </c>
      <c r="K224" s="203" t="s">
        <v>29</v>
      </c>
      <c r="L224" s="203">
        <f>SUM(C224:K224)</f>
        <v>100090.12</v>
      </c>
      <c r="M224" s="150"/>
      <c r="N224" s="203" t="s">
        <v>29</v>
      </c>
      <c r="O224" s="203" t="s">
        <v>29</v>
      </c>
      <c r="P224" s="203" t="s">
        <v>29</v>
      </c>
      <c r="Q224" s="203">
        <f>AVERAGE(Q62:Q66)</f>
        <v>11960.272420299563</v>
      </c>
      <c r="R224" s="203">
        <f>AVERAGE(R62:R66)</f>
        <v>2349.8880377595974</v>
      </c>
      <c r="S224" s="203">
        <f>AVERAGE(S62:S66)</f>
        <v>50.524510894567356</v>
      </c>
      <c r="T224" s="203">
        <f>AVERAGE(T62:T66)</f>
        <v>564.84431154219521</v>
      </c>
      <c r="U224" s="203">
        <f>AVERAGE(U62:U66)</f>
        <v>2.5000000000000001E-2</v>
      </c>
      <c r="V224" s="203" t="s">
        <v>29</v>
      </c>
      <c r="W224" s="203" t="s">
        <v>29</v>
      </c>
      <c r="X224" s="203">
        <f>SUM(Q224:W224)</f>
        <v>14925.554280495924</v>
      </c>
    </row>
    <row r="225" spans="1:24" ht="11.25" customHeight="1" x14ac:dyDescent="0.25">
      <c r="A225" s="402" t="s">
        <v>14</v>
      </c>
      <c r="B225" s="203" t="s">
        <v>29</v>
      </c>
      <c r="C225" s="203" t="s">
        <v>29</v>
      </c>
      <c r="D225" s="203">
        <f>AVERAGE(D67:D71)</f>
        <v>264.5</v>
      </c>
      <c r="E225" s="203" t="s">
        <v>29</v>
      </c>
      <c r="F225" s="203">
        <f>AVERAGE(F67:F71)</f>
        <v>1682</v>
      </c>
      <c r="G225" s="203">
        <f>AVERAGE(G67:G71)</f>
        <v>234</v>
      </c>
      <c r="H225" s="203">
        <f>AVERAGE(H67:H71)</f>
        <v>4510</v>
      </c>
      <c r="I225" s="203">
        <f>AVERAGE(I67:I71)</f>
        <v>927</v>
      </c>
      <c r="J225" s="203" t="s">
        <v>29</v>
      </c>
      <c r="K225" s="203" t="s">
        <v>29</v>
      </c>
      <c r="L225" s="203">
        <f>SUM(C225:K225)</f>
        <v>7617.5</v>
      </c>
      <c r="M225" s="150"/>
      <c r="N225" s="203" t="s">
        <v>29</v>
      </c>
      <c r="O225" s="203" t="s">
        <v>29</v>
      </c>
      <c r="P225" s="203" t="s">
        <v>29</v>
      </c>
      <c r="Q225" s="203" t="s">
        <v>29</v>
      </c>
      <c r="R225" s="203" t="s">
        <v>29</v>
      </c>
      <c r="S225" s="203" t="s">
        <v>29</v>
      </c>
      <c r="T225" s="203">
        <f>AVERAGE(T67:T71)</f>
        <v>3</v>
      </c>
      <c r="U225" s="203">
        <f>AVERAGE(U67:U71)</f>
        <v>0.1</v>
      </c>
      <c r="V225" s="203" t="s">
        <v>29</v>
      </c>
      <c r="W225" s="203" t="s">
        <v>29</v>
      </c>
      <c r="X225" s="203">
        <f>SUM(Q225:W225)</f>
        <v>3.1</v>
      </c>
    </row>
    <row r="226" spans="1:24" ht="11.25" customHeight="1" x14ac:dyDescent="0.25">
      <c r="A226" s="402" t="s">
        <v>207</v>
      </c>
      <c r="B226" s="203" t="s">
        <v>29</v>
      </c>
      <c r="C226" s="203" t="s">
        <v>29</v>
      </c>
      <c r="D226" s="203">
        <f>AVERAGE(D72:D76)</f>
        <v>1063.5999999999999</v>
      </c>
      <c r="E226" s="203" t="s">
        <v>29</v>
      </c>
      <c r="F226" s="203" t="s">
        <v>29</v>
      </c>
      <c r="G226" s="203">
        <f>AVERAGE(G72:G76)</f>
        <v>1588.6</v>
      </c>
      <c r="H226" s="203">
        <f>AVERAGE(H72:H76)</f>
        <v>3231.8</v>
      </c>
      <c r="I226" s="203">
        <f>AVERAGE(I72:I76)</f>
        <v>696.2</v>
      </c>
      <c r="J226" s="203" t="s">
        <v>29</v>
      </c>
      <c r="K226" s="203" t="s">
        <v>29</v>
      </c>
      <c r="L226" s="203">
        <f>SUM(C226:K226)</f>
        <v>6580.2</v>
      </c>
      <c r="M226" s="150"/>
      <c r="N226" s="203" t="s">
        <v>29</v>
      </c>
      <c r="O226" s="203" t="s">
        <v>29</v>
      </c>
      <c r="P226" s="203" t="s">
        <v>29</v>
      </c>
      <c r="Q226" s="203" t="s">
        <v>29</v>
      </c>
      <c r="R226" s="203" t="s">
        <v>29</v>
      </c>
      <c r="S226" s="203" t="s">
        <v>29</v>
      </c>
      <c r="T226" s="203" t="s">
        <v>29</v>
      </c>
      <c r="U226" s="203" t="s">
        <v>29</v>
      </c>
      <c r="V226" s="203" t="s">
        <v>29</v>
      </c>
      <c r="W226" s="203" t="s">
        <v>29</v>
      </c>
      <c r="X226" s="203" t="str">
        <f>X76</f>
        <v>-</v>
      </c>
    </row>
    <row r="227" spans="1:24" ht="11.25" customHeight="1" x14ac:dyDescent="0.25">
      <c r="A227" s="402" t="s">
        <v>238</v>
      </c>
      <c r="B227" s="203">
        <f>AVERAGE(B77:B81)</f>
        <v>24.5</v>
      </c>
      <c r="C227" s="203">
        <f>AVERAGE(C77:C81)</f>
        <v>655.75</v>
      </c>
      <c r="D227" s="203">
        <f>AVERAGE(D77:D81)</f>
        <v>446</v>
      </c>
      <c r="E227" s="203">
        <f t="shared" ref="E227:L227" si="128">AVERAGE(E77:E81)</f>
        <v>1182.25</v>
      </c>
      <c r="F227" s="203">
        <f t="shared" si="128"/>
        <v>3363</v>
      </c>
      <c r="G227" s="203">
        <f t="shared" si="128"/>
        <v>6873.5</v>
      </c>
      <c r="H227" s="203">
        <f t="shared" si="128"/>
        <v>7581.6</v>
      </c>
      <c r="I227" s="203">
        <f t="shared" si="128"/>
        <v>660.6</v>
      </c>
      <c r="J227" s="203">
        <f t="shared" si="128"/>
        <v>66.333333333333329</v>
      </c>
      <c r="K227" s="203" t="str">
        <f>K77</f>
        <v>-</v>
      </c>
      <c r="L227" s="203">
        <f t="shared" si="128"/>
        <v>17645.400000000001</v>
      </c>
      <c r="M227" s="150"/>
      <c r="N227" s="203" t="str">
        <f t="shared" ref="N227:W227" si="129">N77</f>
        <v>-</v>
      </c>
      <c r="O227" s="203" t="str">
        <f t="shared" si="129"/>
        <v>-</v>
      </c>
      <c r="P227" s="203" t="str">
        <f t="shared" si="129"/>
        <v>-</v>
      </c>
      <c r="Q227" s="203" t="str">
        <f t="shared" si="129"/>
        <v>-</v>
      </c>
      <c r="R227" s="203" t="str">
        <f t="shared" si="129"/>
        <v>-</v>
      </c>
      <c r="S227" s="203" t="str">
        <f t="shared" si="129"/>
        <v>-</v>
      </c>
      <c r="T227" s="203" t="str">
        <f t="shared" si="129"/>
        <v>-</v>
      </c>
      <c r="U227" s="203" t="str">
        <f t="shared" si="129"/>
        <v>-</v>
      </c>
      <c r="V227" s="203" t="str">
        <f t="shared" si="129"/>
        <v>-</v>
      </c>
      <c r="W227" s="203" t="str">
        <f t="shared" si="129"/>
        <v>-</v>
      </c>
      <c r="X227" s="203" t="str">
        <f>X77</f>
        <v>-</v>
      </c>
    </row>
    <row r="228" spans="1:24" ht="11.25" customHeight="1" x14ac:dyDescent="0.25">
      <c r="A228" s="402">
        <v>2006</v>
      </c>
      <c r="B228" s="203" t="str">
        <f>B82</f>
        <v>-</v>
      </c>
      <c r="C228" s="203" t="str">
        <f t="shared" ref="C228:L228" si="130">C82</f>
        <v>-</v>
      </c>
      <c r="D228" s="203" t="str">
        <f t="shared" si="130"/>
        <v>-</v>
      </c>
      <c r="E228" s="203" t="str">
        <f t="shared" si="130"/>
        <v>-</v>
      </c>
      <c r="F228" s="203" t="str">
        <f t="shared" si="130"/>
        <v>-</v>
      </c>
      <c r="G228" s="203" t="str">
        <f t="shared" si="130"/>
        <v>-</v>
      </c>
      <c r="H228" s="203">
        <f t="shared" si="130"/>
        <v>12</v>
      </c>
      <c r="I228" s="203">
        <f t="shared" si="130"/>
        <v>590</v>
      </c>
      <c r="J228" s="203">
        <f t="shared" si="130"/>
        <v>136</v>
      </c>
      <c r="K228" s="203" t="str">
        <f t="shared" si="130"/>
        <v>-</v>
      </c>
      <c r="L228" s="203">
        <f t="shared" si="130"/>
        <v>738</v>
      </c>
      <c r="M228" s="150"/>
      <c r="N228" s="203" t="str">
        <f t="shared" ref="N228:X228" si="131">N82</f>
        <v>-</v>
      </c>
      <c r="O228" s="203" t="str">
        <f t="shared" si="131"/>
        <v>-</v>
      </c>
      <c r="P228" s="203" t="str">
        <f t="shared" si="131"/>
        <v>-</v>
      </c>
      <c r="Q228" s="203" t="str">
        <f t="shared" si="131"/>
        <v>-</v>
      </c>
      <c r="R228" s="203" t="str">
        <f t="shared" si="131"/>
        <v>-</v>
      </c>
      <c r="S228" s="203" t="str">
        <f t="shared" si="131"/>
        <v>-</v>
      </c>
      <c r="T228" s="203" t="str">
        <f t="shared" si="131"/>
        <v>-</v>
      </c>
      <c r="U228" s="203" t="str">
        <f t="shared" si="131"/>
        <v>-</v>
      </c>
      <c r="V228" s="203" t="str">
        <f t="shared" si="131"/>
        <v>-</v>
      </c>
      <c r="W228" s="203" t="str">
        <f t="shared" si="131"/>
        <v>-</v>
      </c>
      <c r="X228" s="203" t="str">
        <f t="shared" si="131"/>
        <v>-</v>
      </c>
    </row>
    <row r="229" spans="1:24" ht="11.25" customHeight="1" x14ac:dyDescent="0.25">
      <c r="A229" s="402">
        <v>2007</v>
      </c>
      <c r="B229" s="203" t="str">
        <f>B83</f>
        <v>-</v>
      </c>
      <c r="C229" s="203">
        <f t="shared" ref="C229:L229" si="132">C83</f>
        <v>15</v>
      </c>
      <c r="D229" s="203">
        <f t="shared" si="132"/>
        <v>25</v>
      </c>
      <c r="E229" s="203">
        <f t="shared" si="132"/>
        <v>727</v>
      </c>
      <c r="F229" s="203">
        <f t="shared" si="132"/>
        <v>1150</v>
      </c>
      <c r="G229" s="203">
        <f t="shared" si="132"/>
        <v>1524</v>
      </c>
      <c r="H229" s="203">
        <f t="shared" si="132"/>
        <v>9162</v>
      </c>
      <c r="I229" s="203">
        <f t="shared" si="132"/>
        <v>209</v>
      </c>
      <c r="J229" s="203">
        <f t="shared" si="132"/>
        <v>47</v>
      </c>
      <c r="K229" s="203" t="str">
        <f t="shared" si="132"/>
        <v>-</v>
      </c>
      <c r="L229" s="203">
        <f t="shared" si="132"/>
        <v>12859</v>
      </c>
      <c r="M229" s="150"/>
      <c r="N229" s="203" t="str">
        <f t="shared" ref="N229:X229" si="133">N83</f>
        <v>-</v>
      </c>
      <c r="O229" s="203" t="str">
        <f t="shared" si="133"/>
        <v>-</v>
      </c>
      <c r="P229" s="203" t="str">
        <f t="shared" si="133"/>
        <v>-</v>
      </c>
      <c r="Q229" s="203" t="str">
        <f t="shared" si="133"/>
        <v>-</v>
      </c>
      <c r="R229" s="203" t="str">
        <f t="shared" si="133"/>
        <v>-</v>
      </c>
      <c r="S229" s="203" t="str">
        <f t="shared" si="133"/>
        <v>-</v>
      </c>
      <c r="T229" s="203" t="str">
        <f t="shared" si="133"/>
        <v>-</v>
      </c>
      <c r="U229" s="203" t="str">
        <f t="shared" si="133"/>
        <v>-</v>
      </c>
      <c r="V229" s="203" t="str">
        <f t="shared" si="133"/>
        <v>-</v>
      </c>
      <c r="W229" s="203" t="str">
        <f t="shared" si="133"/>
        <v>-</v>
      </c>
      <c r="X229" s="203" t="str">
        <f t="shared" si="133"/>
        <v>-</v>
      </c>
    </row>
    <row r="230" spans="1:24" ht="11.25" customHeight="1" x14ac:dyDescent="0.25">
      <c r="A230" s="402">
        <v>2008</v>
      </c>
      <c r="B230" s="203" t="str">
        <f>B84</f>
        <v>-</v>
      </c>
      <c r="C230" s="203" t="str">
        <f t="shared" ref="C230:L230" si="134">C84</f>
        <v>-</v>
      </c>
      <c r="D230" s="203" t="str">
        <f t="shared" si="134"/>
        <v>-</v>
      </c>
      <c r="E230" s="203" t="str">
        <f t="shared" si="134"/>
        <v>-</v>
      </c>
      <c r="F230" s="203" t="str">
        <f t="shared" si="134"/>
        <v>-</v>
      </c>
      <c r="G230" s="203" t="str">
        <f t="shared" si="134"/>
        <v>-</v>
      </c>
      <c r="H230" s="203" t="str">
        <f t="shared" si="134"/>
        <v>-</v>
      </c>
      <c r="I230" s="203">
        <f t="shared" si="134"/>
        <v>236</v>
      </c>
      <c r="J230" s="203" t="str">
        <f t="shared" si="134"/>
        <v>-</v>
      </c>
      <c r="K230" s="203" t="str">
        <f t="shared" si="134"/>
        <v>-</v>
      </c>
      <c r="L230" s="203">
        <f t="shared" si="134"/>
        <v>236</v>
      </c>
      <c r="M230" s="150"/>
      <c r="N230" s="203" t="str">
        <f t="shared" ref="N230:X230" si="135">N84</f>
        <v>-</v>
      </c>
      <c r="O230" s="203" t="str">
        <f t="shared" si="135"/>
        <v>-</v>
      </c>
      <c r="P230" s="203" t="str">
        <f t="shared" si="135"/>
        <v>-</v>
      </c>
      <c r="Q230" s="203" t="str">
        <f t="shared" si="135"/>
        <v>-</v>
      </c>
      <c r="R230" s="203" t="str">
        <f t="shared" si="135"/>
        <v>-</v>
      </c>
      <c r="S230" s="203" t="str">
        <f t="shared" si="135"/>
        <v>-</v>
      </c>
      <c r="T230" s="203" t="str">
        <f t="shared" si="135"/>
        <v>-</v>
      </c>
      <c r="U230" s="203" t="str">
        <f t="shared" si="135"/>
        <v>-</v>
      </c>
      <c r="V230" s="203" t="str">
        <f t="shared" si="135"/>
        <v>-</v>
      </c>
      <c r="W230" s="203" t="str">
        <f t="shared" si="135"/>
        <v>-</v>
      </c>
      <c r="X230" s="203" t="str">
        <f t="shared" si="135"/>
        <v>-</v>
      </c>
    </row>
    <row r="231" spans="1:24" ht="11.25" customHeight="1" x14ac:dyDescent="0.25">
      <c r="A231" s="402">
        <v>2009</v>
      </c>
      <c r="B231" s="203" t="str">
        <f t="shared" ref="B231:L231" si="136">B85</f>
        <v>-</v>
      </c>
      <c r="C231" s="203" t="str">
        <f t="shared" si="136"/>
        <v>-</v>
      </c>
      <c r="D231" s="203" t="str">
        <f t="shared" si="136"/>
        <v>-</v>
      </c>
      <c r="E231" s="203" t="str">
        <f t="shared" si="136"/>
        <v>-</v>
      </c>
      <c r="F231" s="203" t="str">
        <f t="shared" si="136"/>
        <v>-</v>
      </c>
      <c r="G231" s="203" t="str">
        <f t="shared" si="136"/>
        <v>-</v>
      </c>
      <c r="H231" s="203" t="str">
        <f t="shared" si="136"/>
        <v>-</v>
      </c>
      <c r="I231" s="203" t="str">
        <f t="shared" si="136"/>
        <v>-</v>
      </c>
      <c r="J231" s="203" t="str">
        <f t="shared" si="136"/>
        <v>-</v>
      </c>
      <c r="K231" s="203" t="str">
        <f t="shared" si="136"/>
        <v>-</v>
      </c>
      <c r="L231" s="203" t="str">
        <f t="shared" si="136"/>
        <v>-</v>
      </c>
      <c r="M231" s="150"/>
      <c r="N231" s="203" t="str">
        <f t="shared" ref="N231:X231" si="137">N85</f>
        <v>-</v>
      </c>
      <c r="O231" s="203" t="str">
        <f t="shared" si="137"/>
        <v>-</v>
      </c>
      <c r="P231" s="203" t="str">
        <f t="shared" si="137"/>
        <v>-</v>
      </c>
      <c r="Q231" s="203" t="str">
        <f t="shared" si="137"/>
        <v>-</v>
      </c>
      <c r="R231" s="203" t="str">
        <f t="shared" si="137"/>
        <v>-</v>
      </c>
      <c r="S231" s="203" t="str">
        <f t="shared" si="137"/>
        <v>-</v>
      </c>
      <c r="T231" s="203" t="str">
        <f t="shared" si="137"/>
        <v>-</v>
      </c>
      <c r="U231" s="203" t="str">
        <f t="shared" si="137"/>
        <v>-</v>
      </c>
      <c r="V231" s="203" t="str">
        <f t="shared" si="137"/>
        <v>-</v>
      </c>
      <c r="W231" s="203" t="str">
        <f t="shared" si="137"/>
        <v>-</v>
      </c>
      <c r="X231" s="203" t="str">
        <f t="shared" si="137"/>
        <v>-</v>
      </c>
    </row>
    <row r="232" spans="1:24" ht="11.25" customHeight="1" x14ac:dyDescent="0.25">
      <c r="A232" s="402">
        <v>2010</v>
      </c>
      <c r="B232" s="203" t="str">
        <f t="shared" ref="B232:L232" si="138">B86</f>
        <v>-</v>
      </c>
      <c r="C232" s="203" t="str">
        <f t="shared" si="138"/>
        <v>-</v>
      </c>
      <c r="D232" s="203">
        <f t="shared" si="138"/>
        <v>164</v>
      </c>
      <c r="E232" s="203" t="str">
        <f t="shared" si="138"/>
        <v>-</v>
      </c>
      <c r="F232" s="203">
        <f t="shared" si="138"/>
        <v>51</v>
      </c>
      <c r="G232" s="203">
        <f t="shared" si="138"/>
        <v>125</v>
      </c>
      <c r="H232" s="203" t="str">
        <f t="shared" si="138"/>
        <v>-</v>
      </c>
      <c r="I232" s="203">
        <f t="shared" si="138"/>
        <v>529</v>
      </c>
      <c r="J232" s="203" t="str">
        <f t="shared" si="138"/>
        <v>-</v>
      </c>
      <c r="K232" s="203" t="str">
        <f t="shared" si="138"/>
        <v>-</v>
      </c>
      <c r="L232" s="203">
        <f t="shared" si="138"/>
        <v>869</v>
      </c>
      <c r="M232" s="150"/>
      <c r="N232" s="203" t="str">
        <f t="shared" ref="N232:X232" si="139">N86</f>
        <v>-</v>
      </c>
      <c r="O232" s="203" t="str">
        <f t="shared" si="139"/>
        <v>-</v>
      </c>
      <c r="P232" s="203" t="str">
        <f t="shared" si="139"/>
        <v>-</v>
      </c>
      <c r="Q232" s="203" t="str">
        <f t="shared" si="139"/>
        <v>-</v>
      </c>
      <c r="R232" s="203" t="str">
        <f t="shared" si="139"/>
        <v>-</v>
      </c>
      <c r="S232" s="203" t="str">
        <f t="shared" si="139"/>
        <v>-</v>
      </c>
      <c r="T232" s="203" t="str">
        <f t="shared" si="139"/>
        <v>-</v>
      </c>
      <c r="U232" s="203" t="str">
        <f t="shared" si="139"/>
        <v>-</v>
      </c>
      <c r="V232" s="203" t="str">
        <f t="shared" si="139"/>
        <v>-</v>
      </c>
      <c r="W232" s="203" t="str">
        <f t="shared" si="139"/>
        <v>-</v>
      </c>
      <c r="X232" s="203" t="str">
        <f t="shared" si="139"/>
        <v>-</v>
      </c>
    </row>
    <row r="233" spans="1:24" ht="11.25" customHeight="1" x14ac:dyDescent="0.25">
      <c r="A233" s="402">
        <v>2011</v>
      </c>
      <c r="B233" s="203" t="str">
        <f t="shared" ref="B233:L233" si="140">B87</f>
        <v>-</v>
      </c>
      <c r="C233" s="203" t="str">
        <f t="shared" si="140"/>
        <v>-</v>
      </c>
      <c r="D233" s="203">
        <f t="shared" si="140"/>
        <v>601</v>
      </c>
      <c r="E233" s="203">
        <f t="shared" si="140"/>
        <v>254</v>
      </c>
      <c r="F233" s="203">
        <f t="shared" si="140"/>
        <v>1611</v>
      </c>
      <c r="G233" s="203">
        <f t="shared" si="140"/>
        <v>1144</v>
      </c>
      <c r="H233" s="203" t="str">
        <f t="shared" si="140"/>
        <v>-</v>
      </c>
      <c r="I233" s="203">
        <f t="shared" si="140"/>
        <v>107</v>
      </c>
      <c r="J233" s="203" t="str">
        <f t="shared" si="140"/>
        <v>-</v>
      </c>
      <c r="K233" s="203" t="str">
        <f t="shared" si="140"/>
        <v>-</v>
      </c>
      <c r="L233" s="203">
        <f t="shared" si="140"/>
        <v>3717</v>
      </c>
      <c r="M233" s="150"/>
      <c r="N233" s="203" t="str">
        <f t="shared" ref="N233:X233" si="141">N87</f>
        <v>-</v>
      </c>
      <c r="O233" s="203" t="str">
        <f t="shared" si="141"/>
        <v>-</v>
      </c>
      <c r="P233" s="203" t="str">
        <f t="shared" si="141"/>
        <v>-</v>
      </c>
      <c r="Q233" s="203" t="str">
        <f t="shared" si="141"/>
        <v>-</v>
      </c>
      <c r="R233" s="203" t="str">
        <f t="shared" si="141"/>
        <v>-</v>
      </c>
      <c r="S233" s="203" t="str">
        <f t="shared" si="141"/>
        <v>-</v>
      </c>
      <c r="T233" s="203" t="str">
        <f t="shared" si="141"/>
        <v>-</v>
      </c>
      <c r="U233" s="203" t="str">
        <f t="shared" si="141"/>
        <v>-</v>
      </c>
      <c r="V233" s="203" t="str">
        <f t="shared" si="141"/>
        <v>-</v>
      </c>
      <c r="W233" s="203" t="str">
        <f t="shared" si="141"/>
        <v>-</v>
      </c>
      <c r="X233" s="203" t="str">
        <f t="shared" si="141"/>
        <v>-</v>
      </c>
    </row>
    <row r="234" spans="1:24" ht="11.25" customHeight="1" x14ac:dyDescent="0.25">
      <c r="A234" s="402">
        <v>2012</v>
      </c>
      <c r="B234" s="203" t="str">
        <f t="shared" ref="B234:L234" si="142">B88</f>
        <v>-</v>
      </c>
      <c r="C234" s="203">
        <f t="shared" si="142"/>
        <v>0</v>
      </c>
      <c r="D234" s="203">
        <f t="shared" si="142"/>
        <v>371</v>
      </c>
      <c r="E234" s="203">
        <f t="shared" si="142"/>
        <v>1287</v>
      </c>
      <c r="F234" s="203">
        <f t="shared" si="142"/>
        <v>1456</v>
      </c>
      <c r="G234" s="203">
        <f t="shared" si="142"/>
        <v>1328</v>
      </c>
      <c r="H234" s="203">
        <f t="shared" si="142"/>
        <v>6115</v>
      </c>
      <c r="I234" s="203">
        <f t="shared" si="142"/>
        <v>118</v>
      </c>
      <c r="J234" s="203" t="str">
        <f t="shared" si="142"/>
        <v>-</v>
      </c>
      <c r="K234" s="203" t="str">
        <f t="shared" si="142"/>
        <v>-</v>
      </c>
      <c r="L234" s="203">
        <f t="shared" si="142"/>
        <v>10675</v>
      </c>
      <c r="M234" s="150"/>
      <c r="N234" s="203" t="str">
        <f t="shared" ref="N234:X234" si="143">N88</f>
        <v>-</v>
      </c>
      <c r="O234" s="203" t="str">
        <f t="shared" si="143"/>
        <v>-</v>
      </c>
      <c r="P234" s="203" t="str">
        <f t="shared" si="143"/>
        <v>-</v>
      </c>
      <c r="Q234" s="203" t="str">
        <f t="shared" si="143"/>
        <v>-</v>
      </c>
      <c r="R234" s="203" t="str">
        <f t="shared" si="143"/>
        <v>-</v>
      </c>
      <c r="S234" s="203" t="str">
        <f t="shared" si="143"/>
        <v>-</v>
      </c>
      <c r="T234" s="203" t="str">
        <f t="shared" si="143"/>
        <v>-</v>
      </c>
      <c r="U234" s="203" t="str">
        <f t="shared" si="143"/>
        <v>-</v>
      </c>
      <c r="V234" s="203" t="str">
        <f t="shared" si="143"/>
        <v>-</v>
      </c>
      <c r="W234" s="203" t="str">
        <f t="shared" si="143"/>
        <v>-</v>
      </c>
      <c r="X234" s="203" t="str">
        <f t="shared" si="143"/>
        <v>-</v>
      </c>
    </row>
    <row r="235" spans="1:24" ht="11.25" customHeight="1" x14ac:dyDescent="0.25">
      <c r="A235" s="402">
        <v>2013</v>
      </c>
      <c r="B235" s="203" t="str">
        <f t="shared" ref="B235:L235" si="144">B89</f>
        <v>-</v>
      </c>
      <c r="C235" s="203">
        <f t="shared" si="144"/>
        <v>50</v>
      </c>
      <c r="D235" s="203">
        <f t="shared" si="144"/>
        <v>2695</v>
      </c>
      <c r="E235" s="203">
        <f t="shared" si="144"/>
        <v>4374</v>
      </c>
      <c r="F235" s="203">
        <f t="shared" si="144"/>
        <v>5545</v>
      </c>
      <c r="G235" s="203">
        <f t="shared" si="144"/>
        <v>3856</v>
      </c>
      <c r="H235" s="203">
        <f t="shared" si="144"/>
        <v>319</v>
      </c>
      <c r="I235" s="203">
        <f t="shared" si="144"/>
        <v>155</v>
      </c>
      <c r="J235" s="203" t="str">
        <f t="shared" si="144"/>
        <v>-</v>
      </c>
      <c r="K235" s="203" t="str">
        <f t="shared" si="144"/>
        <v>-</v>
      </c>
      <c r="L235" s="203">
        <f t="shared" si="144"/>
        <v>16994</v>
      </c>
      <c r="M235" s="150"/>
      <c r="N235" s="203" t="str">
        <f t="shared" ref="N235:X235" si="145">N89</f>
        <v>-</v>
      </c>
      <c r="O235" s="203" t="str">
        <f t="shared" si="145"/>
        <v>-</v>
      </c>
      <c r="P235" s="203" t="str">
        <f t="shared" si="145"/>
        <v>-</v>
      </c>
      <c r="Q235" s="203" t="str">
        <f t="shared" si="145"/>
        <v>-</v>
      </c>
      <c r="R235" s="203" t="str">
        <f t="shared" si="145"/>
        <v>-</v>
      </c>
      <c r="S235" s="203" t="str">
        <f t="shared" si="145"/>
        <v>-</v>
      </c>
      <c r="T235" s="203" t="str">
        <f t="shared" si="145"/>
        <v>-</v>
      </c>
      <c r="U235" s="203" t="str">
        <f t="shared" si="145"/>
        <v>-</v>
      </c>
      <c r="V235" s="203" t="str">
        <f t="shared" si="145"/>
        <v>-</v>
      </c>
      <c r="W235" s="203" t="str">
        <f t="shared" si="145"/>
        <v>-</v>
      </c>
      <c r="X235" s="203" t="str">
        <f t="shared" si="145"/>
        <v>-</v>
      </c>
    </row>
    <row r="236" spans="1:24" ht="11.25" customHeight="1" x14ac:dyDescent="0.25">
      <c r="A236" s="402">
        <v>2014</v>
      </c>
      <c r="B236" s="203" t="str">
        <f t="shared" ref="B236:L236" si="146">B90</f>
        <v>-</v>
      </c>
      <c r="C236" s="203">
        <f t="shared" si="146"/>
        <v>53</v>
      </c>
      <c r="D236" s="203">
        <f t="shared" si="146"/>
        <v>13352</v>
      </c>
      <c r="E236" s="203">
        <f t="shared" si="146"/>
        <v>1349</v>
      </c>
      <c r="F236" s="203">
        <f t="shared" si="146"/>
        <v>492</v>
      </c>
      <c r="G236" s="203">
        <f t="shared" si="146"/>
        <v>403</v>
      </c>
      <c r="H236" s="203">
        <f t="shared" si="146"/>
        <v>674</v>
      </c>
      <c r="I236" s="203">
        <f t="shared" si="146"/>
        <v>443</v>
      </c>
      <c r="J236" s="203" t="str">
        <f t="shared" si="146"/>
        <v>-</v>
      </c>
      <c r="K236" s="203" t="str">
        <f t="shared" si="146"/>
        <v>-</v>
      </c>
      <c r="L236" s="203">
        <f t="shared" si="146"/>
        <v>16766</v>
      </c>
      <c r="M236" s="150"/>
      <c r="N236" s="203" t="str">
        <f t="shared" ref="N236:X236" si="147">N90</f>
        <v>-</v>
      </c>
      <c r="O236" s="203" t="str">
        <f t="shared" si="147"/>
        <v>-</v>
      </c>
      <c r="P236" s="203" t="str">
        <f t="shared" si="147"/>
        <v>-</v>
      </c>
      <c r="Q236" s="203" t="str">
        <f t="shared" si="147"/>
        <v>-</v>
      </c>
      <c r="R236" s="203" t="str">
        <f t="shared" si="147"/>
        <v>-</v>
      </c>
      <c r="S236" s="203" t="str">
        <f t="shared" si="147"/>
        <v>-</v>
      </c>
      <c r="T236" s="203" t="str">
        <f t="shared" si="147"/>
        <v>-</v>
      </c>
      <c r="U236" s="203" t="str">
        <f t="shared" si="147"/>
        <v>-</v>
      </c>
      <c r="V236" s="203" t="str">
        <f t="shared" si="147"/>
        <v>-</v>
      </c>
      <c r="W236" s="203" t="str">
        <f t="shared" si="147"/>
        <v>-</v>
      </c>
      <c r="X236" s="203" t="str">
        <f t="shared" si="147"/>
        <v>-</v>
      </c>
    </row>
    <row r="237" spans="1:24" ht="11.25" customHeight="1" x14ac:dyDescent="0.25">
      <c r="A237" s="402">
        <v>2015</v>
      </c>
      <c r="B237" s="203" t="str">
        <f t="shared" ref="B237:L237" si="148">B91</f>
        <v>-</v>
      </c>
      <c r="C237" s="203">
        <f t="shared" si="148"/>
        <v>39</v>
      </c>
      <c r="D237" s="203">
        <f t="shared" si="148"/>
        <v>1146</v>
      </c>
      <c r="E237" s="203">
        <f t="shared" si="148"/>
        <v>1528</v>
      </c>
      <c r="F237" s="203">
        <f t="shared" si="148"/>
        <v>779</v>
      </c>
      <c r="G237" s="203">
        <f t="shared" si="148"/>
        <v>92</v>
      </c>
      <c r="H237" s="203">
        <f t="shared" si="148"/>
        <v>46</v>
      </c>
      <c r="I237" s="203">
        <f t="shared" si="148"/>
        <v>639</v>
      </c>
      <c r="J237" s="203" t="str">
        <f t="shared" si="148"/>
        <v>-</v>
      </c>
      <c r="K237" s="203" t="str">
        <f t="shared" si="148"/>
        <v>-</v>
      </c>
      <c r="L237" s="203">
        <f t="shared" si="148"/>
        <v>4269</v>
      </c>
      <c r="M237" s="150"/>
      <c r="N237" s="203" t="str">
        <f t="shared" ref="N237:X237" si="149">N91</f>
        <v>-</v>
      </c>
      <c r="O237" s="203" t="str">
        <f t="shared" si="149"/>
        <v>-</v>
      </c>
      <c r="P237" s="203" t="str">
        <f t="shared" si="149"/>
        <v>-</v>
      </c>
      <c r="Q237" s="203" t="str">
        <f t="shared" si="149"/>
        <v>-</v>
      </c>
      <c r="R237" s="203" t="str">
        <f t="shared" si="149"/>
        <v>-</v>
      </c>
      <c r="S237" s="203" t="str">
        <f t="shared" si="149"/>
        <v>-</v>
      </c>
      <c r="T237" s="203" t="str">
        <f t="shared" si="149"/>
        <v>-</v>
      </c>
      <c r="U237" s="203" t="str">
        <f t="shared" si="149"/>
        <v>-</v>
      </c>
      <c r="V237" s="203" t="str">
        <f t="shared" si="149"/>
        <v>-</v>
      </c>
      <c r="W237" s="203" t="str">
        <f t="shared" si="149"/>
        <v>-</v>
      </c>
      <c r="X237" s="203" t="str">
        <f t="shared" si="149"/>
        <v>-</v>
      </c>
    </row>
    <row r="238" spans="1:24" ht="11.25" customHeight="1" x14ac:dyDescent="0.25">
      <c r="A238" s="402">
        <v>2016</v>
      </c>
      <c r="B238" s="203" t="str">
        <f t="shared" ref="B238:L238" si="150">B92</f>
        <v>-</v>
      </c>
      <c r="C238" s="203">
        <f t="shared" si="150"/>
        <v>12</v>
      </c>
      <c r="D238" s="203">
        <f t="shared" si="150"/>
        <v>34</v>
      </c>
      <c r="E238" s="203">
        <f t="shared" si="150"/>
        <v>179</v>
      </c>
      <c r="F238" s="203">
        <f t="shared" si="150"/>
        <v>21</v>
      </c>
      <c r="G238" s="203" t="str">
        <f t="shared" si="150"/>
        <v>-</v>
      </c>
      <c r="H238" s="203">
        <f t="shared" si="150"/>
        <v>196</v>
      </c>
      <c r="I238" s="203">
        <f t="shared" si="150"/>
        <v>152</v>
      </c>
      <c r="J238" s="203" t="str">
        <f t="shared" si="150"/>
        <v>-</v>
      </c>
      <c r="K238" s="203" t="str">
        <f t="shared" si="150"/>
        <v>-</v>
      </c>
      <c r="L238" s="203">
        <f t="shared" si="150"/>
        <v>594</v>
      </c>
      <c r="M238" s="150"/>
      <c r="N238" s="203" t="str">
        <f t="shared" ref="N238:X238" si="151">N92</f>
        <v>-</v>
      </c>
      <c r="O238" s="203" t="str">
        <f t="shared" si="151"/>
        <v>-</v>
      </c>
      <c r="P238" s="203" t="str">
        <f t="shared" si="151"/>
        <v>-</v>
      </c>
      <c r="Q238" s="203" t="str">
        <f t="shared" si="151"/>
        <v>-</v>
      </c>
      <c r="R238" s="203" t="str">
        <f t="shared" si="151"/>
        <v>-</v>
      </c>
      <c r="S238" s="203" t="str">
        <f t="shared" si="151"/>
        <v>-</v>
      </c>
      <c r="T238" s="203" t="str">
        <f t="shared" si="151"/>
        <v>-</v>
      </c>
      <c r="U238" s="203" t="str">
        <f t="shared" si="151"/>
        <v>-</v>
      </c>
      <c r="V238" s="203" t="str">
        <f t="shared" si="151"/>
        <v>-</v>
      </c>
      <c r="W238" s="203" t="str">
        <f t="shared" si="151"/>
        <v>-</v>
      </c>
      <c r="X238" s="203" t="str">
        <f t="shared" si="151"/>
        <v>-</v>
      </c>
    </row>
    <row r="239" spans="1:24" ht="11.25" customHeight="1" x14ac:dyDescent="0.25">
      <c r="A239" s="402">
        <v>2017</v>
      </c>
      <c r="B239" s="203" t="str">
        <f t="shared" ref="B239:L239" si="152">B93</f>
        <v>-</v>
      </c>
      <c r="C239" s="203" t="str">
        <f t="shared" si="152"/>
        <v>-</v>
      </c>
      <c r="D239" s="203" t="str">
        <f t="shared" si="152"/>
        <v>-</v>
      </c>
      <c r="E239" s="203" t="str">
        <f t="shared" si="152"/>
        <v>-</v>
      </c>
      <c r="F239" s="203" t="str">
        <f t="shared" si="152"/>
        <v>-</v>
      </c>
      <c r="G239" s="203" t="str">
        <f t="shared" si="152"/>
        <v>-</v>
      </c>
      <c r="H239" s="203" t="str">
        <f t="shared" si="152"/>
        <v>-</v>
      </c>
      <c r="I239" s="203">
        <f t="shared" si="152"/>
        <v>329</v>
      </c>
      <c r="J239" s="203" t="str">
        <f t="shared" si="152"/>
        <v>-</v>
      </c>
      <c r="K239" s="203" t="str">
        <f t="shared" si="152"/>
        <v>-</v>
      </c>
      <c r="L239" s="203">
        <f t="shared" si="152"/>
        <v>329</v>
      </c>
      <c r="M239" s="150"/>
      <c r="N239" s="203" t="str">
        <f t="shared" ref="N239:X239" si="153">N93</f>
        <v>-</v>
      </c>
      <c r="O239" s="203" t="str">
        <f t="shared" si="153"/>
        <v>-</v>
      </c>
      <c r="P239" s="203" t="str">
        <f t="shared" si="153"/>
        <v>-</v>
      </c>
      <c r="Q239" s="203" t="str">
        <f t="shared" si="153"/>
        <v>-</v>
      </c>
      <c r="R239" s="203" t="str">
        <f t="shared" si="153"/>
        <v>-</v>
      </c>
      <c r="S239" s="203" t="str">
        <f t="shared" si="153"/>
        <v>-</v>
      </c>
      <c r="T239" s="203" t="str">
        <f t="shared" si="153"/>
        <v>-</v>
      </c>
      <c r="U239" s="203" t="str">
        <f t="shared" si="153"/>
        <v>-</v>
      </c>
      <c r="V239" s="203" t="str">
        <f t="shared" si="153"/>
        <v>-</v>
      </c>
      <c r="W239" s="203" t="str">
        <f t="shared" si="153"/>
        <v>-</v>
      </c>
      <c r="X239" s="203" t="str">
        <f t="shared" si="153"/>
        <v>-</v>
      </c>
    </row>
    <row r="240" spans="1:24" s="358" customFormat="1" ht="11.25" customHeight="1" x14ac:dyDescent="0.25">
      <c r="A240" s="402">
        <v>2018</v>
      </c>
      <c r="B240" s="203" t="str">
        <f t="shared" ref="B240:L240" si="154">B94</f>
        <v>-</v>
      </c>
      <c r="C240" s="203" t="str">
        <f t="shared" si="154"/>
        <v>-</v>
      </c>
      <c r="D240" s="203">
        <f t="shared" si="154"/>
        <v>1209</v>
      </c>
      <c r="E240" s="203">
        <f t="shared" si="154"/>
        <v>4006</v>
      </c>
      <c r="F240" s="203">
        <f t="shared" si="154"/>
        <v>2988</v>
      </c>
      <c r="G240" s="203">
        <f t="shared" si="154"/>
        <v>4391</v>
      </c>
      <c r="H240" s="203" t="str">
        <f t="shared" si="154"/>
        <v>-</v>
      </c>
      <c r="I240" s="203">
        <f t="shared" si="154"/>
        <v>316</v>
      </c>
      <c r="J240" s="203" t="str">
        <f t="shared" si="154"/>
        <v>-</v>
      </c>
      <c r="K240" s="203" t="str">
        <f t="shared" si="154"/>
        <v>-</v>
      </c>
      <c r="L240" s="203">
        <f t="shared" si="154"/>
        <v>12910</v>
      </c>
      <c r="M240" s="150"/>
      <c r="N240" s="203" t="str">
        <f t="shared" ref="N240:X240" si="155">N94</f>
        <v>-</v>
      </c>
      <c r="O240" s="203" t="str">
        <f t="shared" si="155"/>
        <v>-</v>
      </c>
      <c r="P240" s="203" t="str">
        <f t="shared" si="155"/>
        <v>-</v>
      </c>
      <c r="Q240" s="203" t="str">
        <f t="shared" si="155"/>
        <v>-</v>
      </c>
      <c r="R240" s="203" t="str">
        <f t="shared" si="155"/>
        <v>-</v>
      </c>
      <c r="S240" s="203" t="str">
        <f t="shared" si="155"/>
        <v>-</v>
      </c>
      <c r="T240" s="203" t="str">
        <f t="shared" si="155"/>
        <v>-</v>
      </c>
      <c r="U240" s="203" t="str">
        <f t="shared" si="155"/>
        <v>-</v>
      </c>
      <c r="V240" s="203" t="str">
        <f t="shared" si="155"/>
        <v>-</v>
      </c>
      <c r="W240" s="203" t="str">
        <f t="shared" si="155"/>
        <v>-</v>
      </c>
      <c r="X240" s="203" t="str">
        <f t="shared" si="155"/>
        <v>-</v>
      </c>
    </row>
    <row r="241" spans="1:24" s="358" customFormat="1" ht="11.25" customHeight="1" x14ac:dyDescent="0.25">
      <c r="A241" s="498" t="s">
        <v>403</v>
      </c>
      <c r="B241" s="203" t="str">
        <f>B95</f>
        <v>-</v>
      </c>
      <c r="C241" s="203">
        <f t="shared" ref="C241:L242" si="156">C95</f>
        <v>12</v>
      </c>
      <c r="D241" s="203">
        <f t="shared" si="156"/>
        <v>16</v>
      </c>
      <c r="E241" s="203">
        <f t="shared" si="156"/>
        <v>799</v>
      </c>
      <c r="F241" s="203">
        <f t="shared" si="156"/>
        <v>1945</v>
      </c>
      <c r="G241" s="203">
        <f t="shared" si="156"/>
        <v>4957</v>
      </c>
      <c r="H241" s="203" t="str">
        <f t="shared" si="156"/>
        <v>-</v>
      </c>
      <c r="I241" s="203" t="str">
        <f t="shared" si="156"/>
        <v>-</v>
      </c>
      <c r="J241" s="203" t="str">
        <f t="shared" si="156"/>
        <v>-</v>
      </c>
      <c r="K241" s="203" t="str">
        <f t="shared" si="156"/>
        <v>-</v>
      </c>
      <c r="L241" s="203">
        <f t="shared" si="156"/>
        <v>7729</v>
      </c>
      <c r="M241" s="150"/>
      <c r="N241" s="203" t="str">
        <f t="shared" ref="N241:X242" si="157">N95</f>
        <v>-</v>
      </c>
      <c r="O241" s="203" t="str">
        <f t="shared" si="157"/>
        <v>-</v>
      </c>
      <c r="P241" s="203" t="str">
        <f t="shared" si="157"/>
        <v>-</v>
      </c>
      <c r="Q241" s="203" t="str">
        <f t="shared" si="157"/>
        <v>-</v>
      </c>
      <c r="R241" s="203" t="str">
        <f t="shared" si="157"/>
        <v>-</v>
      </c>
      <c r="S241" s="203" t="str">
        <f t="shared" si="157"/>
        <v>-</v>
      </c>
      <c r="T241" s="203" t="str">
        <f t="shared" si="157"/>
        <v>-</v>
      </c>
      <c r="U241" s="203" t="str">
        <f t="shared" si="157"/>
        <v>-</v>
      </c>
      <c r="V241" s="203" t="str">
        <f t="shared" si="157"/>
        <v>-</v>
      </c>
      <c r="W241" s="203" t="str">
        <f t="shared" si="157"/>
        <v>-</v>
      </c>
      <c r="X241" s="203" t="str">
        <f t="shared" si="157"/>
        <v>-</v>
      </c>
    </row>
    <row r="242" spans="1:24" ht="11.25" customHeight="1" x14ac:dyDescent="0.25">
      <c r="A242" s="498" t="s">
        <v>393</v>
      </c>
      <c r="B242" s="203" t="str">
        <f>B96</f>
        <v>-</v>
      </c>
      <c r="C242" s="203">
        <f t="shared" si="156"/>
        <v>1</v>
      </c>
      <c r="D242" s="203">
        <f t="shared" si="156"/>
        <v>5</v>
      </c>
      <c r="E242" s="203">
        <f t="shared" si="156"/>
        <v>168</v>
      </c>
      <c r="F242" s="203">
        <f t="shared" si="156"/>
        <v>651</v>
      </c>
      <c r="G242" s="203" t="str">
        <f t="shared" si="156"/>
        <v>-</v>
      </c>
      <c r="H242" s="203" t="str">
        <f t="shared" si="156"/>
        <v>-</v>
      </c>
      <c r="I242" s="203" t="str">
        <f t="shared" si="156"/>
        <v>-</v>
      </c>
      <c r="J242" s="203" t="str">
        <f t="shared" si="156"/>
        <v>-</v>
      </c>
      <c r="K242" s="203" t="str">
        <f t="shared" si="156"/>
        <v>-</v>
      </c>
      <c r="L242" s="203">
        <f t="shared" si="156"/>
        <v>825</v>
      </c>
      <c r="M242" s="150"/>
      <c r="N242" s="203" t="str">
        <f t="shared" si="157"/>
        <v>-</v>
      </c>
      <c r="O242" s="203" t="str">
        <f t="shared" si="157"/>
        <v>-</v>
      </c>
      <c r="P242" s="203" t="str">
        <f t="shared" si="157"/>
        <v>-</v>
      </c>
      <c r="Q242" s="203" t="str">
        <f t="shared" si="157"/>
        <v>-</v>
      </c>
      <c r="R242" s="203" t="str">
        <f t="shared" si="157"/>
        <v>-</v>
      </c>
      <c r="S242" s="203" t="str">
        <f t="shared" si="157"/>
        <v>-</v>
      </c>
      <c r="T242" s="203" t="str">
        <f t="shared" si="157"/>
        <v>-</v>
      </c>
      <c r="U242" s="203" t="str">
        <f t="shared" si="157"/>
        <v>-</v>
      </c>
      <c r="V242" s="203" t="str">
        <f t="shared" si="157"/>
        <v>-</v>
      </c>
      <c r="W242" s="203" t="str">
        <f t="shared" si="157"/>
        <v>-</v>
      </c>
      <c r="X242" s="203" t="str">
        <f t="shared" si="157"/>
        <v>-</v>
      </c>
    </row>
    <row r="243" spans="1:24" ht="11.25" customHeight="1" x14ac:dyDescent="0.25">
      <c r="A243" s="383"/>
      <c r="B243" s="200"/>
      <c r="C243" s="200"/>
      <c r="D243" s="200"/>
      <c r="E243" s="200"/>
      <c r="F243" s="200"/>
      <c r="G243" s="200"/>
      <c r="H243" s="200"/>
      <c r="I243" s="200"/>
      <c r="J243" s="200"/>
      <c r="K243" s="200"/>
      <c r="L243" s="200"/>
      <c r="M243" s="39"/>
      <c r="N243" s="200"/>
      <c r="O243" s="200"/>
      <c r="P243" s="200"/>
      <c r="Q243" s="200"/>
      <c r="R243" s="200"/>
      <c r="S243" s="200"/>
      <c r="T243" s="200"/>
      <c r="U243" s="200"/>
      <c r="V243" s="200"/>
      <c r="W243" s="200"/>
      <c r="X243" s="200"/>
    </row>
    <row r="244" spans="1:24" ht="11.25" customHeight="1" x14ac:dyDescent="0.25">
      <c r="A244" s="374" t="s">
        <v>204</v>
      </c>
      <c r="B244" s="374"/>
      <c r="C244" s="374"/>
      <c r="D244" s="374"/>
      <c r="E244" s="374"/>
      <c r="F244" s="374"/>
      <c r="G244" s="374"/>
      <c r="H244" s="374"/>
      <c r="I244" s="374"/>
      <c r="J244" s="374"/>
      <c r="K244" s="374"/>
      <c r="L244" s="374"/>
      <c r="M244" s="374"/>
      <c r="N244" s="374"/>
      <c r="O244" s="374"/>
      <c r="P244" s="374"/>
      <c r="Q244" s="374"/>
      <c r="R244" s="374"/>
      <c r="S244" s="374"/>
      <c r="T244" s="374"/>
      <c r="U244" s="374"/>
      <c r="V244" s="374"/>
      <c r="W244" s="374"/>
      <c r="X244" s="374"/>
    </row>
    <row r="245" spans="1:24" ht="11.25" customHeight="1" x14ac:dyDescent="0.25">
      <c r="A245" s="393" t="s">
        <v>33</v>
      </c>
      <c r="B245" s="58" t="s">
        <v>43</v>
      </c>
      <c r="C245" s="58" t="s">
        <v>34</v>
      </c>
      <c r="D245" s="58" t="s">
        <v>35</v>
      </c>
      <c r="E245" s="58" t="s">
        <v>36</v>
      </c>
      <c r="F245" s="58" t="s">
        <v>37</v>
      </c>
      <c r="G245" s="58" t="s">
        <v>38</v>
      </c>
      <c r="H245" s="58" t="s">
        <v>39</v>
      </c>
      <c r="I245" s="58" t="s">
        <v>40</v>
      </c>
      <c r="J245" s="58" t="s">
        <v>44</v>
      </c>
      <c r="K245" s="58" t="s">
        <v>83</v>
      </c>
      <c r="L245" s="58" t="s">
        <v>28</v>
      </c>
      <c r="M245" s="59"/>
      <c r="N245" s="58" t="s">
        <v>43</v>
      </c>
      <c r="O245" s="58" t="s">
        <v>34</v>
      </c>
      <c r="P245" s="58" t="s">
        <v>35</v>
      </c>
      <c r="Q245" s="58" t="s">
        <v>36</v>
      </c>
      <c r="R245" s="58" t="s">
        <v>37</v>
      </c>
      <c r="S245" s="58" t="s">
        <v>38</v>
      </c>
      <c r="T245" s="58" t="s">
        <v>39</v>
      </c>
      <c r="U245" s="58" t="s">
        <v>40</v>
      </c>
      <c r="V245" s="58" t="s">
        <v>44</v>
      </c>
      <c r="W245" s="58" t="s">
        <v>83</v>
      </c>
      <c r="X245" s="58" t="s">
        <v>28</v>
      </c>
    </row>
    <row r="246" spans="1:24" ht="11.25" customHeight="1" x14ac:dyDescent="0.25">
      <c r="A246" s="583" t="s">
        <v>67</v>
      </c>
      <c r="B246" s="583"/>
      <c r="C246" s="583"/>
      <c r="D246" s="583"/>
      <c r="E246" s="583"/>
      <c r="F246" s="583"/>
      <c r="G246" s="583"/>
      <c r="H246" s="583"/>
      <c r="I246" s="583"/>
      <c r="J246" s="583"/>
      <c r="K246" s="583"/>
      <c r="L246" s="583"/>
      <c r="M246" s="7"/>
      <c r="N246" s="583" t="s">
        <v>68</v>
      </c>
      <c r="O246" s="583"/>
      <c r="P246" s="583"/>
      <c r="Q246" s="583"/>
      <c r="R246" s="583"/>
      <c r="S246" s="583"/>
      <c r="T246" s="583"/>
      <c r="U246" s="583"/>
      <c r="V246" s="583"/>
      <c r="W246" s="583"/>
      <c r="X246" s="583"/>
    </row>
    <row r="247" spans="1:24" ht="11.25" customHeight="1" x14ac:dyDescent="0.25">
      <c r="A247" s="116" t="s">
        <v>88</v>
      </c>
      <c r="B247" s="200"/>
      <c r="C247" s="200"/>
      <c r="D247" s="200"/>
      <c r="E247" s="200"/>
      <c r="F247" s="200"/>
      <c r="G247" s="200"/>
      <c r="H247" s="200"/>
      <c r="I247" s="200"/>
      <c r="J247" s="200"/>
      <c r="K247" s="200"/>
      <c r="L247" s="200"/>
      <c r="M247" s="39"/>
      <c r="N247" s="200"/>
      <c r="O247" s="200"/>
      <c r="P247" s="200"/>
      <c r="Q247" s="200"/>
      <c r="R247" s="200"/>
      <c r="S247" s="200"/>
      <c r="T247" s="200"/>
      <c r="U247" s="200"/>
      <c r="V247" s="200"/>
      <c r="W247" s="200"/>
      <c r="X247" s="200"/>
    </row>
    <row r="248" spans="1:24" ht="11.25" customHeight="1" x14ac:dyDescent="0.25">
      <c r="A248" s="383" t="s">
        <v>30</v>
      </c>
      <c r="B248" s="200" t="s">
        <v>29</v>
      </c>
      <c r="C248" s="200">
        <f t="shared" ref="C248:H248" si="158">AVERAGE(C104:C108)</f>
        <v>31015.5</v>
      </c>
      <c r="D248" s="200">
        <f t="shared" si="158"/>
        <v>95110</v>
      </c>
      <c r="E248" s="200">
        <f t="shared" si="158"/>
        <v>63197.2</v>
      </c>
      <c r="F248" s="200">
        <f t="shared" si="158"/>
        <v>128909.4</v>
      </c>
      <c r="G248" s="200">
        <f t="shared" si="158"/>
        <v>57750.8</v>
      </c>
      <c r="H248" s="200">
        <f t="shared" si="158"/>
        <v>17535.8</v>
      </c>
      <c r="I248" s="200" t="s">
        <v>29</v>
      </c>
      <c r="J248" s="200" t="s">
        <v>29</v>
      </c>
      <c r="K248" s="200" t="s">
        <v>29</v>
      </c>
      <c r="L248" s="200">
        <f>SUM(C248:K248)</f>
        <v>393518.69999999995</v>
      </c>
      <c r="M248" s="39"/>
      <c r="N248" s="200" t="s">
        <v>29</v>
      </c>
      <c r="O248" s="200">
        <f t="shared" ref="O248:U248" si="159">AVERAGE(O104:O108)</f>
        <v>36.6</v>
      </c>
      <c r="P248" s="200">
        <f t="shared" si="159"/>
        <v>502.8</v>
      </c>
      <c r="Q248" s="200">
        <f t="shared" si="159"/>
        <v>5765</v>
      </c>
      <c r="R248" s="200">
        <f t="shared" si="159"/>
        <v>14912.6</v>
      </c>
      <c r="S248" s="200">
        <f t="shared" si="159"/>
        <v>2218.6</v>
      </c>
      <c r="T248" s="200">
        <f t="shared" si="159"/>
        <v>276.39999999999998</v>
      </c>
      <c r="U248" s="200">
        <f t="shared" si="159"/>
        <v>0</v>
      </c>
      <c r="V248" s="200" t="s">
        <v>29</v>
      </c>
      <c r="W248" s="200" t="s">
        <v>29</v>
      </c>
      <c r="X248" s="200">
        <f>SUM(Q248:W248)</f>
        <v>23172.6</v>
      </c>
    </row>
    <row r="249" spans="1:24" ht="11.25" customHeight="1" x14ac:dyDescent="0.25">
      <c r="A249" s="383" t="s">
        <v>87</v>
      </c>
      <c r="B249" s="200" t="s">
        <v>29</v>
      </c>
      <c r="C249" s="200" t="s">
        <v>29</v>
      </c>
      <c r="D249" s="200">
        <f>AVERAGE(D109:D113)</f>
        <v>239713.8</v>
      </c>
      <c r="E249" s="200">
        <f>AVERAGE(E109:E113)</f>
        <v>226495.136</v>
      </c>
      <c r="F249" s="200">
        <f>AVERAGE(F109:F113)</f>
        <v>193067.79199999999</v>
      </c>
      <c r="G249" s="200">
        <f>AVERAGE(G109:G113)</f>
        <v>71734.747999999992</v>
      </c>
      <c r="H249" s="200">
        <f>AVERAGE(H109:H113)</f>
        <v>17365.2</v>
      </c>
      <c r="I249" s="200" t="s">
        <v>29</v>
      </c>
      <c r="J249" s="200" t="s">
        <v>29</v>
      </c>
      <c r="K249" s="200" t="s">
        <v>29</v>
      </c>
      <c r="L249" s="200">
        <f>SUM(C249:K249)</f>
        <v>748376.67599999998</v>
      </c>
      <c r="M249" s="39"/>
      <c r="N249" s="200" t="s">
        <v>29</v>
      </c>
      <c r="O249" s="200" t="s">
        <v>29</v>
      </c>
      <c r="P249" s="200" t="s">
        <v>29</v>
      </c>
      <c r="Q249" s="200">
        <f>AVERAGE(Q109:Q113)</f>
        <v>15505.127579700438</v>
      </c>
      <c r="R249" s="200">
        <f>AVERAGE(R109:R113)</f>
        <v>17801.784256643019</v>
      </c>
      <c r="S249" s="200">
        <f>AVERAGE(S109:S113)</f>
        <v>3427.4269167337538</v>
      </c>
      <c r="T249" s="200">
        <f>AVERAGE(T109:T113)</f>
        <v>162.75568845780481</v>
      </c>
      <c r="U249" s="200">
        <f>AVERAGE(U109:U113)</f>
        <v>0</v>
      </c>
      <c r="V249" s="200" t="s">
        <v>29</v>
      </c>
      <c r="W249" s="200" t="s">
        <v>29</v>
      </c>
      <c r="X249" s="200">
        <f>SUM(Q249:W249)</f>
        <v>36897.094441535017</v>
      </c>
    </row>
    <row r="250" spans="1:24" ht="11.25" customHeight="1" x14ac:dyDescent="0.25">
      <c r="A250" s="383" t="s">
        <v>14</v>
      </c>
      <c r="B250" s="200" t="s">
        <v>29</v>
      </c>
      <c r="C250" s="200" t="s">
        <v>29</v>
      </c>
      <c r="D250" s="200">
        <f>AVERAGE(D114:D118)</f>
        <v>121372.8</v>
      </c>
      <c r="E250" s="200">
        <f>AVERAGE(E114:E118)</f>
        <v>73939.8</v>
      </c>
      <c r="F250" s="200">
        <f>AVERAGE(F114:F118)</f>
        <v>80950.399999999994</v>
      </c>
      <c r="G250" s="200">
        <f>AVERAGE(G114:G118)</f>
        <v>42707.199999999997</v>
      </c>
      <c r="H250" s="200">
        <f>AVERAGE(H114:H118)</f>
        <v>22017.599999999999</v>
      </c>
      <c r="I250" s="200" t="s">
        <v>29</v>
      </c>
      <c r="J250" s="200" t="s">
        <v>29</v>
      </c>
      <c r="K250" s="200" t="s">
        <v>29</v>
      </c>
      <c r="L250" s="200">
        <f>SUM(C250:K250)</f>
        <v>340987.8</v>
      </c>
      <c r="M250" s="39"/>
      <c r="N250" s="200" t="s">
        <v>29</v>
      </c>
      <c r="O250" s="200" t="s">
        <v>29</v>
      </c>
      <c r="P250" s="200" t="s">
        <v>29</v>
      </c>
      <c r="Q250" s="200">
        <f>AVERAGE(Q114:Q118)</f>
        <v>25850</v>
      </c>
      <c r="R250" s="200">
        <f>AVERAGE(R114:R118)</f>
        <v>12250</v>
      </c>
      <c r="S250" s="200">
        <f>AVERAGE(S114:S118)</f>
        <v>2825</v>
      </c>
      <c r="T250" s="200" t="s">
        <v>29</v>
      </c>
      <c r="U250" s="200" t="s">
        <v>29</v>
      </c>
      <c r="V250" s="200" t="s">
        <v>29</v>
      </c>
      <c r="W250" s="200" t="s">
        <v>29</v>
      </c>
      <c r="X250" s="200">
        <f>SUM(Q250:W250)</f>
        <v>40925</v>
      </c>
    </row>
    <row r="251" spans="1:24" ht="11.25" customHeight="1" x14ac:dyDescent="0.25">
      <c r="A251" s="383" t="s">
        <v>207</v>
      </c>
      <c r="B251" s="200" t="s">
        <v>29</v>
      </c>
      <c r="C251" s="200" t="s">
        <v>29</v>
      </c>
      <c r="D251" s="200">
        <f>AVERAGE(D119:D123)</f>
        <v>121717.2</v>
      </c>
      <c r="E251" s="200">
        <f>AVERAGE(E119:E123)</f>
        <v>101679.4</v>
      </c>
      <c r="F251" s="200">
        <f>AVERAGE(F119:F123)</f>
        <v>88632</v>
      </c>
      <c r="G251" s="200">
        <f>AVERAGE(G119:G123)</f>
        <v>24057.200000000001</v>
      </c>
      <c r="H251" s="200">
        <f>AVERAGE(H119:H123)</f>
        <v>25378.2</v>
      </c>
      <c r="I251" s="200" t="s">
        <v>29</v>
      </c>
      <c r="J251" s="200" t="s">
        <v>29</v>
      </c>
      <c r="K251" s="200" t="s">
        <v>29</v>
      </c>
      <c r="L251" s="200">
        <f>SUM(C251:K251)</f>
        <v>361464</v>
      </c>
      <c r="M251" s="39"/>
      <c r="N251" s="200" t="s">
        <v>29</v>
      </c>
      <c r="O251" s="200" t="s">
        <v>29</v>
      </c>
      <c r="P251" s="200" t="s">
        <v>29</v>
      </c>
      <c r="Q251" s="200" t="s">
        <v>29</v>
      </c>
      <c r="R251" s="200" t="s">
        <v>29</v>
      </c>
      <c r="S251" s="200" t="s">
        <v>29</v>
      </c>
      <c r="T251" s="200" t="s">
        <v>29</v>
      </c>
      <c r="U251" s="200" t="s">
        <v>29</v>
      </c>
      <c r="V251" s="200" t="s">
        <v>29</v>
      </c>
      <c r="W251" s="200" t="s">
        <v>29</v>
      </c>
      <c r="X251" s="200" t="s">
        <v>29</v>
      </c>
    </row>
    <row r="252" spans="1:24" ht="11.25" customHeight="1" x14ac:dyDescent="0.25">
      <c r="A252" s="383" t="s">
        <v>238</v>
      </c>
      <c r="B252" s="200" t="str">
        <f>B124</f>
        <v>-</v>
      </c>
      <c r="C252" s="200" t="str">
        <f>C124</f>
        <v>-</v>
      </c>
      <c r="D252" s="200">
        <f t="shared" ref="D252:I252" si="160">AVERAGE(D124:D128)</f>
        <v>81369.8</v>
      </c>
      <c r="E252" s="200">
        <f t="shared" si="160"/>
        <v>73617.600000000006</v>
      </c>
      <c r="F252" s="200">
        <f t="shared" si="160"/>
        <v>122398.6</v>
      </c>
      <c r="G252" s="200">
        <f t="shared" si="160"/>
        <v>52345</v>
      </c>
      <c r="H252" s="200">
        <f t="shared" si="160"/>
        <v>39885.199999999997</v>
      </c>
      <c r="I252" s="200">
        <f t="shared" si="160"/>
        <v>1904.6</v>
      </c>
      <c r="J252" s="200" t="str">
        <f>J124</f>
        <v>-</v>
      </c>
      <c r="K252" s="200" t="str">
        <f>K124</f>
        <v>-</v>
      </c>
      <c r="L252" s="200">
        <f>AVERAGE(L124:L128)</f>
        <v>371520.8</v>
      </c>
      <c r="M252" s="39"/>
      <c r="N252" s="200" t="str">
        <f t="shared" ref="N252:X252" si="161">N124</f>
        <v>-</v>
      </c>
      <c r="O252" s="200" t="str">
        <f t="shared" si="161"/>
        <v>-</v>
      </c>
      <c r="P252" s="200" t="str">
        <f t="shared" si="161"/>
        <v>-</v>
      </c>
      <c r="Q252" s="200" t="str">
        <f t="shared" si="161"/>
        <v>-</v>
      </c>
      <c r="R252" s="200" t="str">
        <f t="shared" si="161"/>
        <v>-</v>
      </c>
      <c r="S252" s="200" t="str">
        <f t="shared" si="161"/>
        <v>-</v>
      </c>
      <c r="T252" s="200" t="str">
        <f t="shared" si="161"/>
        <v>-</v>
      </c>
      <c r="U252" s="200" t="str">
        <f t="shared" si="161"/>
        <v>-</v>
      </c>
      <c r="V252" s="200" t="str">
        <f t="shared" si="161"/>
        <v>-</v>
      </c>
      <c r="W252" s="200" t="str">
        <f t="shared" si="161"/>
        <v>-</v>
      </c>
      <c r="X252" s="200" t="str">
        <f t="shared" si="161"/>
        <v>-</v>
      </c>
    </row>
    <row r="253" spans="1:24" ht="11.25" customHeight="1" x14ac:dyDescent="0.25">
      <c r="A253" s="383">
        <v>2006</v>
      </c>
      <c r="B253" s="200" t="str">
        <f>B129</f>
        <v>-</v>
      </c>
      <c r="C253" s="200" t="str">
        <f t="shared" ref="C253:L253" si="162">C129</f>
        <v>-</v>
      </c>
      <c r="D253" s="200">
        <f t="shared" si="162"/>
        <v>9911</v>
      </c>
      <c r="E253" s="200">
        <f t="shared" si="162"/>
        <v>391</v>
      </c>
      <c r="F253" s="200">
        <f t="shared" si="162"/>
        <v>16783</v>
      </c>
      <c r="G253" s="200">
        <f t="shared" si="162"/>
        <v>18589</v>
      </c>
      <c r="H253" s="200">
        <f t="shared" si="162"/>
        <v>22982</v>
      </c>
      <c r="I253" s="200">
        <f t="shared" si="162"/>
        <v>1072</v>
      </c>
      <c r="J253" s="200" t="str">
        <f t="shared" si="162"/>
        <v>-</v>
      </c>
      <c r="K253" s="200" t="str">
        <f t="shared" si="162"/>
        <v>-</v>
      </c>
      <c r="L253" s="200">
        <f t="shared" si="162"/>
        <v>69728</v>
      </c>
      <c r="M253" s="39"/>
      <c r="N253" s="200" t="str">
        <f t="shared" ref="N253:X253" si="163">N129</f>
        <v>-</v>
      </c>
      <c r="O253" s="200" t="str">
        <f t="shared" si="163"/>
        <v>-</v>
      </c>
      <c r="P253" s="200" t="str">
        <f t="shared" si="163"/>
        <v>-</v>
      </c>
      <c r="Q253" s="200" t="str">
        <f t="shared" si="163"/>
        <v>-</v>
      </c>
      <c r="R253" s="200" t="str">
        <f t="shared" si="163"/>
        <v>-</v>
      </c>
      <c r="S253" s="200" t="str">
        <f t="shared" si="163"/>
        <v>-</v>
      </c>
      <c r="T253" s="200" t="str">
        <f t="shared" si="163"/>
        <v>-</v>
      </c>
      <c r="U253" s="200" t="str">
        <f t="shared" si="163"/>
        <v>-</v>
      </c>
      <c r="V253" s="200" t="str">
        <f t="shared" si="163"/>
        <v>-</v>
      </c>
      <c r="W253" s="200" t="str">
        <f t="shared" si="163"/>
        <v>-</v>
      </c>
      <c r="X253" s="200" t="str">
        <f t="shared" si="163"/>
        <v>-</v>
      </c>
    </row>
    <row r="254" spans="1:24" ht="11.25" customHeight="1" x14ac:dyDescent="0.25">
      <c r="A254" s="402">
        <v>2007</v>
      </c>
      <c r="B254" s="203" t="str">
        <f>B130</f>
        <v>-</v>
      </c>
      <c r="C254" s="203">
        <f t="shared" ref="C254:L254" si="164">C130</f>
        <v>748</v>
      </c>
      <c r="D254" s="203">
        <f t="shared" si="164"/>
        <v>36598</v>
      </c>
      <c r="E254" s="203">
        <f t="shared" si="164"/>
        <v>156</v>
      </c>
      <c r="F254" s="203">
        <f t="shared" si="164"/>
        <v>41808</v>
      </c>
      <c r="G254" s="203">
        <f t="shared" si="164"/>
        <v>23212</v>
      </c>
      <c r="H254" s="203">
        <f t="shared" si="164"/>
        <v>2505</v>
      </c>
      <c r="I254" s="203">
        <f t="shared" si="164"/>
        <v>352</v>
      </c>
      <c r="J254" s="203" t="str">
        <f t="shared" si="164"/>
        <v>-</v>
      </c>
      <c r="K254" s="203" t="str">
        <f t="shared" si="164"/>
        <v>-</v>
      </c>
      <c r="L254" s="203">
        <f t="shared" si="164"/>
        <v>105379</v>
      </c>
      <c r="M254" s="150"/>
      <c r="N254" s="203" t="str">
        <f t="shared" ref="N254:X254" si="165">N130</f>
        <v>-</v>
      </c>
      <c r="O254" s="203" t="str">
        <f t="shared" si="165"/>
        <v>-</v>
      </c>
      <c r="P254" s="203" t="str">
        <f t="shared" si="165"/>
        <v>-</v>
      </c>
      <c r="Q254" s="203" t="str">
        <f t="shared" si="165"/>
        <v>-</v>
      </c>
      <c r="R254" s="203" t="str">
        <f t="shared" si="165"/>
        <v>-</v>
      </c>
      <c r="S254" s="203" t="str">
        <f t="shared" si="165"/>
        <v>-</v>
      </c>
      <c r="T254" s="203" t="str">
        <f t="shared" si="165"/>
        <v>-</v>
      </c>
      <c r="U254" s="203" t="str">
        <f t="shared" si="165"/>
        <v>-</v>
      </c>
      <c r="V254" s="203" t="str">
        <f t="shared" si="165"/>
        <v>-</v>
      </c>
      <c r="W254" s="203" t="str">
        <f t="shared" si="165"/>
        <v>-</v>
      </c>
      <c r="X254" s="203" t="str">
        <f t="shared" si="165"/>
        <v>-</v>
      </c>
    </row>
    <row r="255" spans="1:24" ht="11.25" customHeight="1" x14ac:dyDescent="0.25">
      <c r="A255" s="402">
        <v>2008</v>
      </c>
      <c r="B255" s="203" t="str">
        <f>B131</f>
        <v>-</v>
      </c>
      <c r="C255" s="203" t="str">
        <f t="shared" ref="C255:L255" si="166">C131</f>
        <v>-</v>
      </c>
      <c r="D255" s="203" t="str">
        <f t="shared" si="166"/>
        <v>-</v>
      </c>
      <c r="E255" s="203" t="str">
        <f t="shared" si="166"/>
        <v>-</v>
      </c>
      <c r="F255" s="203" t="str">
        <f t="shared" si="166"/>
        <v>-</v>
      </c>
      <c r="G255" s="203" t="str">
        <f t="shared" si="166"/>
        <v>-</v>
      </c>
      <c r="H255" s="203" t="str">
        <f t="shared" si="166"/>
        <v>-</v>
      </c>
      <c r="I255" s="203" t="str">
        <f t="shared" si="166"/>
        <v>-</v>
      </c>
      <c r="J255" s="203" t="str">
        <f t="shared" si="166"/>
        <v>-</v>
      </c>
      <c r="K255" s="203" t="str">
        <f t="shared" si="166"/>
        <v>-</v>
      </c>
      <c r="L255" s="203" t="str">
        <f t="shared" si="166"/>
        <v>-</v>
      </c>
      <c r="M255" s="150"/>
      <c r="N255" s="203" t="str">
        <f t="shared" ref="N255:X255" si="167">N131</f>
        <v>-</v>
      </c>
      <c r="O255" s="203" t="str">
        <f t="shared" si="167"/>
        <v>-</v>
      </c>
      <c r="P255" s="203" t="str">
        <f t="shared" si="167"/>
        <v>-</v>
      </c>
      <c r="Q255" s="203" t="str">
        <f t="shared" si="167"/>
        <v>-</v>
      </c>
      <c r="R255" s="203" t="str">
        <f t="shared" si="167"/>
        <v>-</v>
      </c>
      <c r="S255" s="203" t="str">
        <f t="shared" si="167"/>
        <v>-</v>
      </c>
      <c r="T255" s="203" t="str">
        <f t="shared" si="167"/>
        <v>-</v>
      </c>
      <c r="U255" s="203" t="str">
        <f t="shared" si="167"/>
        <v>-</v>
      </c>
      <c r="V255" s="203" t="str">
        <f t="shared" si="167"/>
        <v>-</v>
      </c>
      <c r="W255" s="203" t="str">
        <f t="shared" si="167"/>
        <v>-</v>
      </c>
      <c r="X255" s="203" t="str">
        <f t="shared" si="167"/>
        <v>-</v>
      </c>
    </row>
    <row r="256" spans="1:24" ht="11.25" customHeight="1" x14ac:dyDescent="0.25">
      <c r="A256" s="402">
        <v>2009</v>
      </c>
      <c r="B256" s="203" t="str">
        <f t="shared" ref="B256:L256" si="168">B132</f>
        <v>-</v>
      </c>
      <c r="C256" s="203" t="str">
        <f t="shared" si="168"/>
        <v>-</v>
      </c>
      <c r="D256" s="203" t="str">
        <f t="shared" si="168"/>
        <v>-</v>
      </c>
      <c r="E256" s="203" t="str">
        <f t="shared" si="168"/>
        <v>-</v>
      </c>
      <c r="F256" s="203" t="str">
        <f t="shared" si="168"/>
        <v>-</v>
      </c>
      <c r="G256" s="203" t="str">
        <f t="shared" si="168"/>
        <v>-</v>
      </c>
      <c r="H256" s="203" t="str">
        <f t="shared" si="168"/>
        <v>-</v>
      </c>
      <c r="I256" s="203" t="str">
        <f t="shared" si="168"/>
        <v>-</v>
      </c>
      <c r="J256" s="203" t="str">
        <f t="shared" si="168"/>
        <v>-</v>
      </c>
      <c r="K256" s="203" t="str">
        <f t="shared" si="168"/>
        <v>-</v>
      </c>
      <c r="L256" s="203" t="str">
        <f t="shared" si="168"/>
        <v>-</v>
      </c>
      <c r="M256" s="150"/>
      <c r="N256" s="203" t="str">
        <f t="shared" ref="N256:X256" si="169">N132</f>
        <v>-</v>
      </c>
      <c r="O256" s="203" t="str">
        <f t="shared" si="169"/>
        <v>-</v>
      </c>
      <c r="P256" s="203" t="str">
        <f t="shared" si="169"/>
        <v>-</v>
      </c>
      <c r="Q256" s="203" t="str">
        <f t="shared" si="169"/>
        <v>-</v>
      </c>
      <c r="R256" s="203" t="str">
        <f t="shared" si="169"/>
        <v>-</v>
      </c>
      <c r="S256" s="203" t="str">
        <f t="shared" si="169"/>
        <v>-</v>
      </c>
      <c r="T256" s="203" t="str">
        <f t="shared" si="169"/>
        <v>-</v>
      </c>
      <c r="U256" s="203" t="str">
        <f t="shared" si="169"/>
        <v>-</v>
      </c>
      <c r="V256" s="203" t="str">
        <f t="shared" si="169"/>
        <v>-</v>
      </c>
      <c r="W256" s="203" t="str">
        <f t="shared" si="169"/>
        <v>-</v>
      </c>
      <c r="X256" s="203" t="str">
        <f t="shared" si="169"/>
        <v>-</v>
      </c>
    </row>
    <row r="257" spans="1:24" ht="11.25" customHeight="1" x14ac:dyDescent="0.25">
      <c r="A257" s="402">
        <v>2010</v>
      </c>
      <c r="B257" s="203" t="str">
        <f t="shared" ref="B257:L257" si="170">B133</f>
        <v>-</v>
      </c>
      <c r="C257" s="203" t="str">
        <f t="shared" si="170"/>
        <v>-</v>
      </c>
      <c r="D257" s="203" t="str">
        <f t="shared" si="170"/>
        <v>-</v>
      </c>
      <c r="E257" s="203" t="str">
        <f t="shared" si="170"/>
        <v>-</v>
      </c>
      <c r="F257" s="203">
        <f t="shared" si="170"/>
        <v>8906</v>
      </c>
      <c r="G257" s="203">
        <f t="shared" si="170"/>
        <v>6182</v>
      </c>
      <c r="H257" s="203" t="str">
        <f t="shared" si="170"/>
        <v>-</v>
      </c>
      <c r="I257" s="203" t="str">
        <f t="shared" si="170"/>
        <v>-</v>
      </c>
      <c r="J257" s="203" t="str">
        <f t="shared" si="170"/>
        <v>-</v>
      </c>
      <c r="K257" s="203" t="str">
        <f t="shared" si="170"/>
        <v>-</v>
      </c>
      <c r="L257" s="203">
        <f t="shared" si="170"/>
        <v>15088</v>
      </c>
      <c r="M257" s="150"/>
      <c r="N257" s="203" t="str">
        <f t="shared" ref="N257:X257" si="171">N133</f>
        <v>-</v>
      </c>
      <c r="O257" s="203" t="str">
        <f t="shared" si="171"/>
        <v>-</v>
      </c>
      <c r="P257" s="203" t="str">
        <f t="shared" si="171"/>
        <v>-</v>
      </c>
      <c r="Q257" s="203" t="str">
        <f t="shared" si="171"/>
        <v>-</v>
      </c>
      <c r="R257" s="203" t="str">
        <f t="shared" si="171"/>
        <v>-</v>
      </c>
      <c r="S257" s="203" t="str">
        <f t="shared" si="171"/>
        <v>-</v>
      </c>
      <c r="T257" s="203" t="str">
        <f t="shared" si="171"/>
        <v>-</v>
      </c>
      <c r="U257" s="203" t="str">
        <f t="shared" si="171"/>
        <v>-</v>
      </c>
      <c r="V257" s="203" t="str">
        <f t="shared" si="171"/>
        <v>-</v>
      </c>
      <c r="W257" s="203" t="str">
        <f t="shared" si="171"/>
        <v>-</v>
      </c>
      <c r="X257" s="203" t="str">
        <f t="shared" si="171"/>
        <v>-</v>
      </c>
    </row>
    <row r="258" spans="1:24" ht="11.25" customHeight="1" x14ac:dyDescent="0.25">
      <c r="A258" s="402">
        <v>2011</v>
      </c>
      <c r="B258" s="203" t="str">
        <f t="shared" ref="B258:L258" si="172">B134</f>
        <v>-</v>
      </c>
      <c r="C258" s="203" t="str">
        <f t="shared" si="172"/>
        <v>-</v>
      </c>
      <c r="D258" s="203">
        <f t="shared" si="172"/>
        <v>11732</v>
      </c>
      <c r="E258" s="203">
        <f t="shared" si="172"/>
        <v>4189</v>
      </c>
      <c r="F258" s="203">
        <f t="shared" si="172"/>
        <v>30085</v>
      </c>
      <c r="G258" s="203">
        <f t="shared" si="172"/>
        <v>19494</v>
      </c>
      <c r="H258" s="203">
        <f t="shared" si="172"/>
        <v>1820</v>
      </c>
      <c r="I258" s="203">
        <f t="shared" si="172"/>
        <v>317</v>
      </c>
      <c r="J258" s="203" t="str">
        <f t="shared" si="172"/>
        <v>-</v>
      </c>
      <c r="K258" s="203" t="str">
        <f t="shared" si="172"/>
        <v>-</v>
      </c>
      <c r="L258" s="203">
        <f t="shared" si="172"/>
        <v>67637</v>
      </c>
      <c r="M258" s="150"/>
      <c r="N258" s="203" t="str">
        <f t="shared" ref="N258:X258" si="173">N134</f>
        <v>-</v>
      </c>
      <c r="O258" s="203" t="str">
        <f t="shared" si="173"/>
        <v>-</v>
      </c>
      <c r="P258" s="203" t="str">
        <f t="shared" si="173"/>
        <v>-</v>
      </c>
      <c r="Q258" s="203" t="str">
        <f t="shared" si="173"/>
        <v>-</v>
      </c>
      <c r="R258" s="203" t="str">
        <f t="shared" si="173"/>
        <v>-</v>
      </c>
      <c r="S258" s="203" t="str">
        <f t="shared" si="173"/>
        <v>-</v>
      </c>
      <c r="T258" s="203" t="str">
        <f t="shared" si="173"/>
        <v>-</v>
      </c>
      <c r="U258" s="203" t="str">
        <f t="shared" si="173"/>
        <v>-</v>
      </c>
      <c r="V258" s="203" t="str">
        <f t="shared" si="173"/>
        <v>-</v>
      </c>
      <c r="W258" s="203" t="str">
        <f t="shared" si="173"/>
        <v>-</v>
      </c>
      <c r="X258" s="203" t="str">
        <f t="shared" si="173"/>
        <v>-</v>
      </c>
    </row>
    <row r="259" spans="1:24" ht="11.25" customHeight="1" x14ac:dyDescent="0.25">
      <c r="A259" s="402">
        <v>2012</v>
      </c>
      <c r="B259" s="203" t="str">
        <f t="shared" ref="B259:L259" si="174">B135</f>
        <v>-</v>
      </c>
      <c r="C259" s="203" t="str">
        <f t="shared" si="174"/>
        <v>-</v>
      </c>
      <c r="D259" s="203">
        <f t="shared" si="174"/>
        <v>58857</v>
      </c>
      <c r="E259" s="203">
        <f t="shared" si="174"/>
        <v>19385</v>
      </c>
      <c r="F259" s="203">
        <f t="shared" si="174"/>
        <v>92842</v>
      </c>
      <c r="G259" s="203">
        <f t="shared" si="174"/>
        <v>28266</v>
      </c>
      <c r="H259" s="203">
        <f t="shared" si="174"/>
        <v>7691</v>
      </c>
      <c r="I259" s="203">
        <f t="shared" si="174"/>
        <v>3313</v>
      </c>
      <c r="J259" s="203" t="str">
        <f t="shared" si="174"/>
        <v>-</v>
      </c>
      <c r="K259" s="203" t="str">
        <f t="shared" si="174"/>
        <v>-</v>
      </c>
      <c r="L259" s="203">
        <f t="shared" si="174"/>
        <v>210354</v>
      </c>
      <c r="M259" s="150"/>
      <c r="N259" s="203" t="str">
        <f t="shared" ref="N259:X259" si="175">N135</f>
        <v>-</v>
      </c>
      <c r="O259" s="203" t="str">
        <f t="shared" si="175"/>
        <v>-</v>
      </c>
      <c r="P259" s="203" t="str">
        <f t="shared" si="175"/>
        <v>-</v>
      </c>
      <c r="Q259" s="203" t="str">
        <f t="shared" si="175"/>
        <v>-</v>
      </c>
      <c r="R259" s="203" t="str">
        <f t="shared" si="175"/>
        <v>-</v>
      </c>
      <c r="S259" s="203" t="str">
        <f t="shared" si="175"/>
        <v>-</v>
      </c>
      <c r="T259" s="203" t="str">
        <f t="shared" si="175"/>
        <v>-</v>
      </c>
      <c r="U259" s="203" t="str">
        <f t="shared" si="175"/>
        <v>-</v>
      </c>
      <c r="V259" s="203" t="str">
        <f t="shared" si="175"/>
        <v>-</v>
      </c>
      <c r="W259" s="203" t="str">
        <f t="shared" si="175"/>
        <v>-</v>
      </c>
      <c r="X259" s="203" t="str">
        <f t="shared" si="175"/>
        <v>-</v>
      </c>
    </row>
    <row r="260" spans="1:24" ht="11.25" customHeight="1" x14ac:dyDescent="0.25">
      <c r="A260" s="402">
        <v>2013</v>
      </c>
      <c r="B260" s="203" t="str">
        <f t="shared" ref="B260:L260" si="176">B136</f>
        <v>-</v>
      </c>
      <c r="C260" s="203" t="str">
        <f t="shared" si="176"/>
        <v>-</v>
      </c>
      <c r="D260" s="203">
        <f t="shared" si="176"/>
        <v>74828</v>
      </c>
      <c r="E260" s="203">
        <f t="shared" si="176"/>
        <v>81625</v>
      </c>
      <c r="F260" s="203">
        <f t="shared" si="176"/>
        <v>95896</v>
      </c>
      <c r="G260" s="203">
        <f t="shared" si="176"/>
        <v>23249</v>
      </c>
      <c r="H260" s="203">
        <f t="shared" si="176"/>
        <v>10910</v>
      </c>
      <c r="I260" s="203">
        <f t="shared" si="176"/>
        <v>941</v>
      </c>
      <c r="J260" s="203" t="str">
        <f t="shared" si="176"/>
        <v>-</v>
      </c>
      <c r="K260" s="203" t="str">
        <f t="shared" si="176"/>
        <v>-</v>
      </c>
      <c r="L260" s="203">
        <f t="shared" si="176"/>
        <v>287449</v>
      </c>
      <c r="M260" s="150"/>
      <c r="N260" s="203" t="str">
        <f t="shared" ref="N260:X260" si="177">N136</f>
        <v>-</v>
      </c>
      <c r="O260" s="203" t="str">
        <f t="shared" si="177"/>
        <v>-</v>
      </c>
      <c r="P260" s="203" t="str">
        <f t="shared" si="177"/>
        <v>-</v>
      </c>
      <c r="Q260" s="203" t="str">
        <f t="shared" si="177"/>
        <v>-</v>
      </c>
      <c r="R260" s="203" t="str">
        <f t="shared" si="177"/>
        <v>-</v>
      </c>
      <c r="S260" s="203" t="str">
        <f t="shared" si="177"/>
        <v>-</v>
      </c>
      <c r="T260" s="203" t="str">
        <f t="shared" si="177"/>
        <v>-</v>
      </c>
      <c r="U260" s="203" t="str">
        <f t="shared" si="177"/>
        <v>-</v>
      </c>
      <c r="V260" s="203" t="str">
        <f t="shared" si="177"/>
        <v>-</v>
      </c>
      <c r="W260" s="203" t="str">
        <f t="shared" si="177"/>
        <v>-</v>
      </c>
      <c r="X260" s="203" t="str">
        <f t="shared" si="177"/>
        <v>-</v>
      </c>
    </row>
    <row r="261" spans="1:24" ht="11.25" customHeight="1" x14ac:dyDescent="0.25">
      <c r="A261" s="402">
        <v>2014</v>
      </c>
      <c r="B261" s="203" t="str">
        <f t="shared" ref="B261:L261" si="178">B137</f>
        <v>-</v>
      </c>
      <c r="C261" s="203" t="str">
        <f t="shared" si="178"/>
        <v>-</v>
      </c>
      <c r="D261" s="203">
        <f t="shared" si="178"/>
        <v>34946</v>
      </c>
      <c r="E261" s="203">
        <f t="shared" si="178"/>
        <v>39581</v>
      </c>
      <c r="F261" s="203">
        <f t="shared" si="178"/>
        <v>54568</v>
      </c>
      <c r="G261" s="203">
        <f t="shared" si="178"/>
        <v>24085</v>
      </c>
      <c r="H261" s="203">
        <f t="shared" si="178"/>
        <v>11498</v>
      </c>
      <c r="I261" s="203">
        <f t="shared" si="178"/>
        <v>2985</v>
      </c>
      <c r="J261" s="203" t="str">
        <f t="shared" si="178"/>
        <v>-</v>
      </c>
      <c r="K261" s="203" t="str">
        <f t="shared" si="178"/>
        <v>-</v>
      </c>
      <c r="L261" s="203">
        <f t="shared" si="178"/>
        <v>167663</v>
      </c>
      <c r="M261" s="150"/>
      <c r="N261" s="203" t="str">
        <f t="shared" ref="N261:X261" si="179">N137</f>
        <v>-</v>
      </c>
      <c r="O261" s="203" t="str">
        <f t="shared" si="179"/>
        <v>-</v>
      </c>
      <c r="P261" s="203" t="str">
        <f t="shared" si="179"/>
        <v>-</v>
      </c>
      <c r="Q261" s="203" t="str">
        <f t="shared" si="179"/>
        <v>-</v>
      </c>
      <c r="R261" s="203" t="str">
        <f t="shared" si="179"/>
        <v>-</v>
      </c>
      <c r="S261" s="203" t="str">
        <f t="shared" si="179"/>
        <v>-</v>
      </c>
      <c r="T261" s="203" t="str">
        <f t="shared" si="179"/>
        <v>-</v>
      </c>
      <c r="U261" s="203" t="str">
        <f t="shared" si="179"/>
        <v>-</v>
      </c>
      <c r="V261" s="203" t="str">
        <f t="shared" si="179"/>
        <v>-</v>
      </c>
      <c r="W261" s="203" t="str">
        <f t="shared" si="179"/>
        <v>-</v>
      </c>
      <c r="X261" s="203" t="str">
        <f t="shared" si="179"/>
        <v>-</v>
      </c>
    </row>
    <row r="262" spans="1:24" ht="11.25" customHeight="1" x14ac:dyDescent="0.25">
      <c r="A262" s="402">
        <v>2015</v>
      </c>
      <c r="B262" s="203" t="str">
        <f t="shared" ref="B262:L262" si="180">B138</f>
        <v>-</v>
      </c>
      <c r="C262" s="203" t="str">
        <f t="shared" si="180"/>
        <v>-</v>
      </c>
      <c r="D262" s="203">
        <f t="shared" si="180"/>
        <v>53561</v>
      </c>
      <c r="E262" s="203">
        <f t="shared" si="180"/>
        <v>19489</v>
      </c>
      <c r="F262" s="203">
        <f t="shared" si="180"/>
        <v>12920</v>
      </c>
      <c r="G262" s="203">
        <f t="shared" si="180"/>
        <v>11467</v>
      </c>
      <c r="H262" s="203">
        <f t="shared" si="180"/>
        <v>10407</v>
      </c>
      <c r="I262" s="203">
        <f t="shared" si="180"/>
        <v>2617</v>
      </c>
      <c r="J262" s="203" t="str">
        <f t="shared" si="180"/>
        <v>-</v>
      </c>
      <c r="K262" s="203" t="str">
        <f t="shared" si="180"/>
        <v>-</v>
      </c>
      <c r="L262" s="203">
        <f t="shared" si="180"/>
        <v>110461</v>
      </c>
      <c r="M262" s="150"/>
      <c r="N262" s="203" t="str">
        <f t="shared" ref="N262:X262" si="181">N138</f>
        <v>-</v>
      </c>
      <c r="O262" s="203" t="str">
        <f t="shared" si="181"/>
        <v>-</v>
      </c>
      <c r="P262" s="203" t="str">
        <f t="shared" si="181"/>
        <v>-</v>
      </c>
      <c r="Q262" s="203" t="str">
        <f t="shared" si="181"/>
        <v>-</v>
      </c>
      <c r="R262" s="203" t="str">
        <f t="shared" si="181"/>
        <v>-</v>
      </c>
      <c r="S262" s="203" t="str">
        <f t="shared" si="181"/>
        <v>-</v>
      </c>
      <c r="T262" s="203" t="str">
        <f t="shared" si="181"/>
        <v>-</v>
      </c>
      <c r="U262" s="203" t="str">
        <f t="shared" si="181"/>
        <v>-</v>
      </c>
      <c r="V262" s="203" t="str">
        <f t="shared" si="181"/>
        <v>-</v>
      </c>
      <c r="W262" s="203" t="str">
        <f t="shared" si="181"/>
        <v>-</v>
      </c>
      <c r="X262" s="203" t="str">
        <f t="shared" si="181"/>
        <v>-</v>
      </c>
    </row>
    <row r="263" spans="1:24" ht="11.25" customHeight="1" x14ac:dyDescent="0.25">
      <c r="A263" s="402">
        <v>2016</v>
      </c>
      <c r="B263" s="203" t="str">
        <f t="shared" ref="B263:L263" si="182">B139</f>
        <v>-</v>
      </c>
      <c r="C263" s="203" t="str">
        <f t="shared" si="182"/>
        <v>-</v>
      </c>
      <c r="D263" s="203">
        <f t="shared" si="182"/>
        <v>13367</v>
      </c>
      <c r="E263" s="203">
        <f t="shared" si="182"/>
        <v>13428</v>
      </c>
      <c r="F263" s="203" t="str">
        <f t="shared" si="182"/>
        <v>-</v>
      </c>
      <c r="G263" s="203">
        <f t="shared" si="182"/>
        <v>18334</v>
      </c>
      <c r="H263" s="203">
        <f t="shared" si="182"/>
        <v>9271</v>
      </c>
      <c r="I263" s="203">
        <f t="shared" si="182"/>
        <v>589</v>
      </c>
      <c r="J263" s="203" t="str">
        <f t="shared" si="182"/>
        <v>-</v>
      </c>
      <c r="K263" s="203" t="str">
        <f t="shared" si="182"/>
        <v>-</v>
      </c>
      <c r="L263" s="203">
        <f t="shared" si="182"/>
        <v>54989</v>
      </c>
      <c r="M263" s="150"/>
      <c r="N263" s="203" t="str">
        <f t="shared" ref="N263:X263" si="183">N139</f>
        <v>-</v>
      </c>
      <c r="O263" s="203" t="str">
        <f t="shared" si="183"/>
        <v>-</v>
      </c>
      <c r="P263" s="203" t="str">
        <f t="shared" si="183"/>
        <v>-</v>
      </c>
      <c r="Q263" s="203" t="str">
        <f t="shared" si="183"/>
        <v>-</v>
      </c>
      <c r="R263" s="203" t="str">
        <f t="shared" si="183"/>
        <v>-</v>
      </c>
      <c r="S263" s="203" t="str">
        <f t="shared" si="183"/>
        <v>-</v>
      </c>
      <c r="T263" s="203" t="str">
        <f t="shared" si="183"/>
        <v>-</v>
      </c>
      <c r="U263" s="203" t="str">
        <f t="shared" si="183"/>
        <v>-</v>
      </c>
      <c r="V263" s="203" t="str">
        <f t="shared" si="183"/>
        <v>-</v>
      </c>
      <c r="W263" s="203" t="str">
        <f t="shared" si="183"/>
        <v>-</v>
      </c>
      <c r="X263" s="203" t="str">
        <f t="shared" si="183"/>
        <v>-</v>
      </c>
    </row>
    <row r="264" spans="1:24" ht="11.25" customHeight="1" x14ac:dyDescent="0.25">
      <c r="A264" s="402">
        <v>2017</v>
      </c>
      <c r="B264" s="203" t="str">
        <f t="shared" ref="B264:L264" si="184">B140</f>
        <v>-</v>
      </c>
      <c r="C264" s="203" t="str">
        <f t="shared" si="184"/>
        <v>-</v>
      </c>
      <c r="D264" s="203">
        <f t="shared" si="184"/>
        <v>5588</v>
      </c>
      <c r="E264" s="203">
        <f t="shared" si="184"/>
        <v>6891</v>
      </c>
      <c r="F264" s="203" t="str">
        <f t="shared" si="184"/>
        <v>-</v>
      </c>
      <c r="G264" s="203">
        <f t="shared" si="184"/>
        <v>18336</v>
      </c>
      <c r="H264" s="203">
        <f t="shared" si="184"/>
        <v>10232</v>
      </c>
      <c r="I264" s="203">
        <f t="shared" si="184"/>
        <v>1279</v>
      </c>
      <c r="J264" s="203" t="str">
        <f t="shared" si="184"/>
        <v>-</v>
      </c>
      <c r="K264" s="203" t="str">
        <f t="shared" si="184"/>
        <v>-</v>
      </c>
      <c r="L264" s="203">
        <f t="shared" si="184"/>
        <v>42326</v>
      </c>
      <c r="M264" s="150"/>
      <c r="N264" s="203" t="str">
        <f t="shared" ref="N264:X264" si="185">N140</f>
        <v>-</v>
      </c>
      <c r="O264" s="203" t="str">
        <f t="shared" si="185"/>
        <v>-</v>
      </c>
      <c r="P264" s="203" t="str">
        <f t="shared" si="185"/>
        <v>-</v>
      </c>
      <c r="Q264" s="203" t="str">
        <f t="shared" si="185"/>
        <v>-</v>
      </c>
      <c r="R264" s="203" t="str">
        <f t="shared" si="185"/>
        <v>-</v>
      </c>
      <c r="S264" s="203" t="str">
        <f t="shared" si="185"/>
        <v>-</v>
      </c>
      <c r="T264" s="203" t="str">
        <f t="shared" si="185"/>
        <v>-</v>
      </c>
      <c r="U264" s="203" t="str">
        <f t="shared" si="185"/>
        <v>-</v>
      </c>
      <c r="V264" s="203" t="str">
        <f t="shared" si="185"/>
        <v>-</v>
      </c>
      <c r="W264" s="203" t="str">
        <f t="shared" si="185"/>
        <v>-</v>
      </c>
      <c r="X264" s="203" t="str">
        <f t="shared" si="185"/>
        <v>-</v>
      </c>
    </row>
    <row r="265" spans="1:24" s="358" customFormat="1" ht="10.5" customHeight="1" x14ac:dyDescent="0.25">
      <c r="A265" s="402">
        <v>2018</v>
      </c>
      <c r="B265" s="203" t="str">
        <f t="shared" ref="B265:L265" si="186">B141</f>
        <v>-</v>
      </c>
      <c r="C265" s="203" t="str">
        <f t="shared" si="186"/>
        <v>-</v>
      </c>
      <c r="D265" s="203">
        <f t="shared" si="186"/>
        <v>4566</v>
      </c>
      <c r="E265" s="203">
        <f t="shared" si="186"/>
        <v>14859</v>
      </c>
      <c r="F265" s="203">
        <f t="shared" si="186"/>
        <v>13096</v>
      </c>
      <c r="G265" s="203">
        <f t="shared" si="186"/>
        <v>23927</v>
      </c>
      <c r="H265" s="203">
        <f t="shared" si="186"/>
        <v>10926</v>
      </c>
      <c r="I265" s="203">
        <f t="shared" si="186"/>
        <v>2031</v>
      </c>
      <c r="J265" s="203" t="str">
        <f t="shared" si="186"/>
        <v>-</v>
      </c>
      <c r="K265" s="203" t="str">
        <f t="shared" si="186"/>
        <v>-</v>
      </c>
      <c r="L265" s="203">
        <f t="shared" si="186"/>
        <v>69405</v>
      </c>
      <c r="M265" s="150"/>
      <c r="N265" s="203" t="str">
        <f t="shared" ref="N265:X265" si="187">N141</f>
        <v>-</v>
      </c>
      <c r="O265" s="203" t="str">
        <f t="shared" si="187"/>
        <v>-</v>
      </c>
      <c r="P265" s="203" t="str">
        <f t="shared" si="187"/>
        <v>-</v>
      </c>
      <c r="Q265" s="203" t="str">
        <f t="shared" si="187"/>
        <v>-</v>
      </c>
      <c r="R265" s="203" t="str">
        <f t="shared" si="187"/>
        <v>-</v>
      </c>
      <c r="S265" s="203" t="str">
        <f t="shared" si="187"/>
        <v>-</v>
      </c>
      <c r="T265" s="203" t="str">
        <f t="shared" si="187"/>
        <v>-</v>
      </c>
      <c r="U265" s="203" t="str">
        <f t="shared" si="187"/>
        <v>-</v>
      </c>
      <c r="V265" s="203" t="str">
        <f t="shared" si="187"/>
        <v>-</v>
      </c>
      <c r="W265" s="203" t="str">
        <f t="shared" si="187"/>
        <v>-</v>
      </c>
      <c r="X265" s="203" t="str">
        <f t="shared" si="187"/>
        <v>-</v>
      </c>
    </row>
    <row r="266" spans="1:24" s="358" customFormat="1" ht="11.25" customHeight="1" x14ac:dyDescent="0.25">
      <c r="A266" s="498" t="s">
        <v>403</v>
      </c>
      <c r="B266" s="203" t="str">
        <f>B142</f>
        <v>-</v>
      </c>
      <c r="C266" s="203" t="str">
        <f t="shared" ref="C266:L267" si="188">C142</f>
        <v>-</v>
      </c>
      <c r="D266" s="203">
        <f t="shared" si="188"/>
        <v>71002</v>
      </c>
      <c r="E266" s="203">
        <f t="shared" si="188"/>
        <v>97422</v>
      </c>
      <c r="F266" s="203">
        <f t="shared" si="188"/>
        <v>37346</v>
      </c>
      <c r="G266" s="203">
        <f t="shared" si="188"/>
        <v>53211</v>
      </c>
      <c r="H266" s="203">
        <f t="shared" si="188"/>
        <v>6058</v>
      </c>
      <c r="I266" s="203">
        <f t="shared" si="188"/>
        <v>801</v>
      </c>
      <c r="J266" s="203" t="str">
        <f t="shared" si="188"/>
        <v>-</v>
      </c>
      <c r="K266" s="203" t="str">
        <f t="shared" si="188"/>
        <v>-</v>
      </c>
      <c r="L266" s="203">
        <f t="shared" si="188"/>
        <v>265840</v>
      </c>
      <c r="M266" s="150"/>
      <c r="N266" s="203" t="str">
        <f t="shared" ref="N266:X267" si="189">N142</f>
        <v>-</v>
      </c>
      <c r="O266" s="203" t="str">
        <f t="shared" si="189"/>
        <v>-</v>
      </c>
      <c r="P266" s="203" t="str">
        <f t="shared" si="189"/>
        <v>-</v>
      </c>
      <c r="Q266" s="203" t="str">
        <f t="shared" si="189"/>
        <v>-</v>
      </c>
      <c r="R266" s="203" t="str">
        <f t="shared" si="189"/>
        <v>-</v>
      </c>
      <c r="S266" s="203" t="str">
        <f t="shared" si="189"/>
        <v>-</v>
      </c>
      <c r="T266" s="203" t="str">
        <f t="shared" si="189"/>
        <v>-</v>
      </c>
      <c r="U266" s="203" t="str">
        <f t="shared" si="189"/>
        <v>-</v>
      </c>
      <c r="V266" s="203" t="str">
        <f t="shared" si="189"/>
        <v>-</v>
      </c>
      <c r="W266" s="203" t="str">
        <f t="shared" si="189"/>
        <v>-</v>
      </c>
      <c r="X266" s="203" t="str">
        <f t="shared" si="189"/>
        <v>-</v>
      </c>
    </row>
    <row r="267" spans="1:24" ht="11.25" customHeight="1" x14ac:dyDescent="0.25">
      <c r="A267" s="498" t="s">
        <v>393</v>
      </c>
      <c r="B267" s="200" t="str">
        <f>B143</f>
        <v>-</v>
      </c>
      <c r="C267" s="200" t="str">
        <f t="shared" si="188"/>
        <v>-</v>
      </c>
      <c r="D267" s="200">
        <f t="shared" si="188"/>
        <v>32516</v>
      </c>
      <c r="E267" s="200">
        <f t="shared" si="188"/>
        <v>49223</v>
      </c>
      <c r="F267" s="200">
        <f t="shared" si="188"/>
        <v>65100</v>
      </c>
      <c r="G267" s="200">
        <f t="shared" si="188"/>
        <v>19615</v>
      </c>
      <c r="H267" s="200">
        <f t="shared" si="188"/>
        <v>8445</v>
      </c>
      <c r="I267" s="200">
        <f t="shared" si="188"/>
        <v>2435</v>
      </c>
      <c r="J267" s="200" t="str">
        <f t="shared" si="188"/>
        <v>-</v>
      </c>
      <c r="K267" s="200" t="str">
        <f t="shared" si="188"/>
        <v>-</v>
      </c>
      <c r="L267" s="200">
        <f t="shared" si="188"/>
        <v>177334</v>
      </c>
      <c r="M267" s="39"/>
      <c r="N267" s="200" t="str">
        <f t="shared" si="189"/>
        <v>-</v>
      </c>
      <c r="O267" s="200" t="str">
        <f t="shared" si="189"/>
        <v>-</v>
      </c>
      <c r="P267" s="200" t="str">
        <f t="shared" si="189"/>
        <v>-</v>
      </c>
      <c r="Q267" s="200" t="str">
        <f t="shared" si="189"/>
        <v>-</v>
      </c>
      <c r="R267" s="200" t="str">
        <f t="shared" si="189"/>
        <v>-</v>
      </c>
      <c r="S267" s="200" t="str">
        <f t="shared" si="189"/>
        <v>-</v>
      </c>
      <c r="T267" s="200" t="str">
        <f t="shared" si="189"/>
        <v>-</v>
      </c>
      <c r="U267" s="200" t="str">
        <f t="shared" si="189"/>
        <v>-</v>
      </c>
      <c r="V267" s="200" t="str">
        <f t="shared" si="189"/>
        <v>-</v>
      </c>
      <c r="W267" s="200" t="str">
        <f t="shared" si="189"/>
        <v>-</v>
      </c>
      <c r="X267" s="200" t="str">
        <f t="shared" si="189"/>
        <v>-</v>
      </c>
    </row>
    <row r="268" spans="1:24" ht="11.25" customHeight="1" x14ac:dyDescent="0.25">
      <c r="A268" s="383"/>
      <c r="B268" s="200"/>
      <c r="C268" s="200"/>
      <c r="D268" s="200"/>
      <c r="E268" s="200"/>
      <c r="F268" s="200"/>
      <c r="G268" s="200"/>
      <c r="H268" s="200"/>
      <c r="I268" s="200"/>
      <c r="J268" s="200"/>
      <c r="K268" s="200"/>
      <c r="L268" s="200"/>
      <c r="M268" s="39"/>
      <c r="N268" s="200"/>
      <c r="O268" s="200"/>
      <c r="P268" s="200"/>
      <c r="Q268" s="200"/>
      <c r="R268" s="200"/>
      <c r="S268" s="200"/>
      <c r="T268" s="200"/>
      <c r="U268" s="200"/>
      <c r="V268" s="200"/>
      <c r="W268" s="200"/>
      <c r="X268" s="200"/>
    </row>
    <row r="269" spans="1:24" ht="11.25" customHeight="1" x14ac:dyDescent="0.25">
      <c r="A269" s="120" t="s">
        <v>373</v>
      </c>
      <c r="B269" s="200"/>
      <c r="C269" s="200"/>
      <c r="D269" s="200"/>
      <c r="E269" s="200"/>
      <c r="F269" s="200"/>
      <c r="G269" s="200"/>
      <c r="H269" s="200"/>
      <c r="I269" s="200"/>
      <c r="J269" s="200"/>
      <c r="K269" s="200"/>
      <c r="L269" s="200"/>
      <c r="M269" s="39"/>
      <c r="N269" s="200"/>
      <c r="O269" s="200"/>
      <c r="P269" s="200"/>
      <c r="Q269" s="200"/>
      <c r="R269" s="200"/>
      <c r="S269" s="200"/>
      <c r="T269" s="200"/>
      <c r="U269" s="200"/>
      <c r="V269" s="200"/>
      <c r="W269" s="200"/>
      <c r="X269" s="200"/>
    </row>
    <row r="270" spans="1:24" ht="11.25" customHeight="1" x14ac:dyDescent="0.25">
      <c r="A270" s="383" t="s">
        <v>30</v>
      </c>
      <c r="B270" s="200" t="s">
        <v>29</v>
      </c>
      <c r="C270" s="200">
        <f t="shared" ref="C270:J270" si="190">AVERAGE(C151:C155)</f>
        <v>31015.5</v>
      </c>
      <c r="D270" s="200">
        <f t="shared" si="190"/>
        <v>139723.79999999999</v>
      </c>
      <c r="E270" s="200">
        <f t="shared" si="190"/>
        <v>83406.8</v>
      </c>
      <c r="F270" s="200">
        <f t="shared" si="190"/>
        <v>199474.8</v>
      </c>
      <c r="G270" s="200">
        <f t="shared" si="190"/>
        <v>125855.4</v>
      </c>
      <c r="H270" s="200">
        <f t="shared" si="190"/>
        <v>34284.199999999997</v>
      </c>
      <c r="I270" s="200">
        <f t="shared" si="190"/>
        <v>6298.8</v>
      </c>
      <c r="J270" s="200">
        <f t="shared" si="190"/>
        <v>1149</v>
      </c>
      <c r="K270" s="200" t="s">
        <v>29</v>
      </c>
      <c r="L270" s="200">
        <f>SUM(C270:K270)</f>
        <v>621208.29999999993</v>
      </c>
      <c r="M270" s="39"/>
      <c r="N270" s="200" t="s">
        <v>29</v>
      </c>
      <c r="O270" s="200">
        <f t="shared" ref="O270:U270" si="191">AVERAGE(O151:O155)</f>
        <v>36.6</v>
      </c>
      <c r="P270" s="200">
        <f t="shared" si="191"/>
        <v>4029.4</v>
      </c>
      <c r="Q270" s="200">
        <f t="shared" si="191"/>
        <v>12947.8</v>
      </c>
      <c r="R270" s="200">
        <f t="shared" si="191"/>
        <v>248929.2</v>
      </c>
      <c r="S270" s="200">
        <f t="shared" si="191"/>
        <v>70737.8</v>
      </c>
      <c r="T270" s="200">
        <f t="shared" si="191"/>
        <v>2239.8000000000002</v>
      </c>
      <c r="U270" s="200">
        <f t="shared" si="191"/>
        <v>0</v>
      </c>
      <c r="V270" s="200" t="s">
        <v>29</v>
      </c>
      <c r="W270" s="200" t="s">
        <v>29</v>
      </c>
      <c r="X270" s="200">
        <f>SUM(Q270:W270)</f>
        <v>334854.59999999998</v>
      </c>
    </row>
    <row r="271" spans="1:24" ht="11.25" customHeight="1" x14ac:dyDescent="0.25">
      <c r="A271" s="383" t="s">
        <v>87</v>
      </c>
      <c r="B271" s="200" t="s">
        <v>29</v>
      </c>
      <c r="C271" s="200" t="s">
        <v>29</v>
      </c>
      <c r="D271" s="200">
        <f t="shared" ref="D271:J271" si="192">AVERAGE(D156:D160)</f>
        <v>286234.59999999998</v>
      </c>
      <c r="E271" s="200">
        <f t="shared" si="192"/>
        <v>316652.40000000002</v>
      </c>
      <c r="F271" s="200">
        <f t="shared" si="192"/>
        <v>336504.8</v>
      </c>
      <c r="G271" s="200">
        <f t="shared" si="192"/>
        <v>167846.2</v>
      </c>
      <c r="H271" s="200">
        <f t="shared" si="192"/>
        <v>55719.4</v>
      </c>
      <c r="I271" s="200">
        <f t="shared" si="192"/>
        <v>21881</v>
      </c>
      <c r="J271" s="200">
        <f t="shared" si="192"/>
        <v>1642.25</v>
      </c>
      <c r="K271" s="200" t="s">
        <v>29</v>
      </c>
      <c r="L271" s="200">
        <f>SUM(C271:K271)</f>
        <v>1186480.6499999999</v>
      </c>
      <c r="M271" s="39"/>
      <c r="N271" s="200" t="s">
        <v>29</v>
      </c>
      <c r="O271" s="200" t="s">
        <v>29</v>
      </c>
      <c r="P271" s="200" t="s">
        <v>29</v>
      </c>
      <c r="Q271" s="200">
        <f>AVERAGE(Q156:Q160)</f>
        <v>27489.599999999999</v>
      </c>
      <c r="R271" s="200">
        <f>AVERAGE(R156:R160)</f>
        <v>313756.09468685073</v>
      </c>
      <c r="S271" s="200">
        <f>AVERAGE(S156:S160)</f>
        <v>80276.751427628304</v>
      </c>
      <c r="T271" s="200">
        <f>AVERAGE(T156:T160)</f>
        <v>4882.8</v>
      </c>
      <c r="U271" s="200">
        <f>AVERAGE(U156:U160)</f>
        <v>2.5000000000000001E-2</v>
      </c>
      <c r="V271" s="200" t="s">
        <v>29</v>
      </c>
      <c r="W271" s="200" t="s">
        <v>29</v>
      </c>
      <c r="X271" s="200">
        <f>SUM(Q271:W271)</f>
        <v>426405.27111447899</v>
      </c>
    </row>
    <row r="272" spans="1:24" ht="11.25" customHeight="1" x14ac:dyDescent="0.25">
      <c r="A272" s="383" t="s">
        <v>14</v>
      </c>
      <c r="B272" s="200" t="s">
        <v>29</v>
      </c>
      <c r="C272" s="200" t="s">
        <v>29</v>
      </c>
      <c r="D272" s="200">
        <f>AVERAGE(D161:D165)</f>
        <v>133977.4</v>
      </c>
      <c r="E272" s="200">
        <f t="shared" ref="E272:U272" si="193">AVERAGE(E161:E165)</f>
        <v>88352.8</v>
      </c>
      <c r="F272" s="200">
        <f t="shared" si="193"/>
        <v>93260.4</v>
      </c>
      <c r="G272" s="200">
        <f t="shared" si="193"/>
        <v>71953.2</v>
      </c>
      <c r="H272" s="200">
        <f t="shared" si="193"/>
        <v>39746.6</v>
      </c>
      <c r="I272" s="200">
        <f t="shared" si="193"/>
        <v>14747.6</v>
      </c>
      <c r="J272" s="200">
        <f t="shared" si="193"/>
        <v>453.33333333333331</v>
      </c>
      <c r="K272" s="200" t="s">
        <v>29</v>
      </c>
      <c r="L272" s="200">
        <f>SUM(C272:K272)</f>
        <v>442491.33333333326</v>
      </c>
      <c r="M272" s="39"/>
      <c r="N272" s="200" t="s">
        <v>29</v>
      </c>
      <c r="O272" s="200" t="s">
        <v>29</v>
      </c>
      <c r="P272" s="200" t="s">
        <v>29</v>
      </c>
      <c r="Q272" s="200">
        <f t="shared" si="193"/>
        <v>71474.5</v>
      </c>
      <c r="R272" s="200">
        <f t="shared" si="193"/>
        <v>118160.5</v>
      </c>
      <c r="S272" s="200">
        <f t="shared" si="193"/>
        <v>10265.333333333334</v>
      </c>
      <c r="T272" s="200">
        <f t="shared" si="193"/>
        <v>3</v>
      </c>
      <c r="U272" s="200">
        <f t="shared" si="193"/>
        <v>12.366666666666667</v>
      </c>
      <c r="V272" s="200" t="s">
        <v>29</v>
      </c>
      <c r="W272" s="200" t="s">
        <v>29</v>
      </c>
      <c r="X272" s="200">
        <f>SUM(Q272:W272)</f>
        <v>199915.7</v>
      </c>
    </row>
    <row r="273" spans="1:24" ht="11.25" customHeight="1" x14ac:dyDescent="0.25">
      <c r="A273" s="383" t="s">
        <v>207</v>
      </c>
      <c r="B273" s="200" t="s">
        <v>29</v>
      </c>
      <c r="C273" s="200" t="s">
        <v>29</v>
      </c>
      <c r="D273" s="200">
        <f>AVERAGE(D166:D170)</f>
        <v>144467.79999999999</v>
      </c>
      <c r="E273" s="200">
        <f t="shared" ref="E273:Q273" si="194">AVERAGE(E166:E170)</f>
        <v>130783</v>
      </c>
      <c r="F273" s="200">
        <f t="shared" si="194"/>
        <v>94183.8</v>
      </c>
      <c r="G273" s="200">
        <f t="shared" si="194"/>
        <v>63810.2</v>
      </c>
      <c r="H273" s="200">
        <f t="shared" si="194"/>
        <v>46378.8</v>
      </c>
      <c r="I273" s="200">
        <f t="shared" si="194"/>
        <v>8035.2</v>
      </c>
      <c r="J273" s="200">
        <f t="shared" si="194"/>
        <v>1002.2</v>
      </c>
      <c r="K273" s="200" t="s">
        <v>29</v>
      </c>
      <c r="L273" s="200">
        <f>SUM(C273:K273)</f>
        <v>488661</v>
      </c>
      <c r="M273" s="39"/>
      <c r="N273" s="200" t="s">
        <v>29</v>
      </c>
      <c r="O273" s="200" t="s">
        <v>29</v>
      </c>
      <c r="P273" s="200" t="s">
        <v>29</v>
      </c>
      <c r="Q273" s="200">
        <f t="shared" si="194"/>
        <v>8</v>
      </c>
      <c r="R273" s="200" t="s">
        <v>29</v>
      </c>
      <c r="S273" s="200" t="s">
        <v>29</v>
      </c>
      <c r="T273" s="200" t="s">
        <v>29</v>
      </c>
      <c r="U273" s="200" t="s">
        <v>29</v>
      </c>
      <c r="V273" s="200" t="s">
        <v>29</v>
      </c>
      <c r="W273" s="200" t="s">
        <v>29</v>
      </c>
      <c r="X273" s="200">
        <f>SUM(Q273:W273)</f>
        <v>8</v>
      </c>
    </row>
    <row r="274" spans="1:24" ht="11.25" customHeight="1" x14ac:dyDescent="0.25">
      <c r="A274" s="383" t="s">
        <v>238</v>
      </c>
      <c r="B274" s="200">
        <f>AVERAGE(B171:B175)</f>
        <v>14823</v>
      </c>
      <c r="C274" s="200">
        <f>AVERAGE(C171:C175)</f>
        <v>25883</v>
      </c>
      <c r="D274" s="200">
        <f>AVERAGE(D171:D175)</f>
        <v>131834</v>
      </c>
      <c r="E274" s="200">
        <f t="shared" ref="E274:L274" si="195">AVERAGE(E171:E175)</f>
        <v>116051.8</v>
      </c>
      <c r="F274" s="200">
        <f t="shared" si="195"/>
        <v>141117.79999999999</v>
      </c>
      <c r="G274" s="200">
        <f t="shared" si="195"/>
        <v>98440</v>
      </c>
      <c r="H274" s="200">
        <f t="shared" si="195"/>
        <v>96568.8</v>
      </c>
      <c r="I274" s="200">
        <f t="shared" si="195"/>
        <v>35144.800000000003</v>
      </c>
      <c r="J274" s="200">
        <f t="shared" si="195"/>
        <v>1346.6</v>
      </c>
      <c r="K274" s="200">
        <f t="shared" si="195"/>
        <v>148</v>
      </c>
      <c r="L274" s="200">
        <f t="shared" si="195"/>
        <v>604938.6</v>
      </c>
      <c r="M274" s="39"/>
      <c r="N274" s="200" t="str">
        <f t="shared" ref="N274:X274" si="196">N171</f>
        <v>-</v>
      </c>
      <c r="O274" s="200" t="str">
        <f t="shared" si="196"/>
        <v>-</v>
      </c>
      <c r="P274" s="200" t="str">
        <f t="shared" si="196"/>
        <v>-</v>
      </c>
      <c r="Q274" s="200" t="str">
        <f t="shared" si="196"/>
        <v>-</v>
      </c>
      <c r="R274" s="200" t="str">
        <f t="shared" si="196"/>
        <v>-</v>
      </c>
      <c r="S274" s="200" t="str">
        <f t="shared" si="196"/>
        <v>-</v>
      </c>
      <c r="T274" s="200" t="str">
        <f t="shared" si="196"/>
        <v>-</v>
      </c>
      <c r="U274" s="200" t="str">
        <f t="shared" si="196"/>
        <v>-</v>
      </c>
      <c r="V274" s="200" t="str">
        <f t="shared" si="196"/>
        <v>-</v>
      </c>
      <c r="W274" s="200" t="str">
        <f t="shared" si="196"/>
        <v>-</v>
      </c>
      <c r="X274" s="200" t="str">
        <f t="shared" si="196"/>
        <v>-</v>
      </c>
    </row>
    <row r="275" spans="1:24" ht="11.25" customHeight="1" x14ac:dyDescent="0.25">
      <c r="A275" s="157">
        <v>2006</v>
      </c>
      <c r="B275" s="203" t="str">
        <f t="shared" ref="B275:L275" si="197">B176</f>
        <v>-</v>
      </c>
      <c r="C275" s="203" t="str">
        <f t="shared" si="197"/>
        <v>-</v>
      </c>
      <c r="D275" s="203">
        <f t="shared" si="197"/>
        <v>9911</v>
      </c>
      <c r="E275" s="203">
        <f t="shared" si="197"/>
        <v>9941</v>
      </c>
      <c r="F275" s="203">
        <f t="shared" si="197"/>
        <v>20399</v>
      </c>
      <c r="G275" s="203">
        <f t="shared" si="197"/>
        <v>19551</v>
      </c>
      <c r="H275" s="203">
        <f t="shared" si="197"/>
        <v>27361</v>
      </c>
      <c r="I275" s="203">
        <f t="shared" si="197"/>
        <v>5111</v>
      </c>
      <c r="J275" s="203">
        <f t="shared" si="197"/>
        <v>1691</v>
      </c>
      <c r="K275" s="203">
        <f t="shared" si="197"/>
        <v>131</v>
      </c>
      <c r="L275" s="203">
        <f t="shared" si="197"/>
        <v>94096</v>
      </c>
      <c r="M275" s="150"/>
      <c r="N275" s="203" t="str">
        <f t="shared" ref="N275:X275" si="198">N176</f>
        <v>-</v>
      </c>
      <c r="O275" s="203" t="str">
        <f t="shared" si="198"/>
        <v>-</v>
      </c>
      <c r="P275" s="203" t="str">
        <f t="shared" si="198"/>
        <v>-</v>
      </c>
      <c r="Q275" s="203" t="str">
        <f t="shared" si="198"/>
        <v>-</v>
      </c>
      <c r="R275" s="203" t="str">
        <f t="shared" si="198"/>
        <v>-</v>
      </c>
      <c r="S275" s="203" t="str">
        <f t="shared" si="198"/>
        <v>-</v>
      </c>
      <c r="T275" s="203" t="str">
        <f t="shared" si="198"/>
        <v>-</v>
      </c>
      <c r="U275" s="203" t="str">
        <f t="shared" si="198"/>
        <v>-</v>
      </c>
      <c r="V275" s="203" t="str">
        <f t="shared" si="198"/>
        <v>-</v>
      </c>
      <c r="W275" s="203" t="str">
        <f t="shared" si="198"/>
        <v>-</v>
      </c>
      <c r="X275" s="203" t="str">
        <f t="shared" si="198"/>
        <v>-</v>
      </c>
    </row>
    <row r="276" spans="1:24" ht="11.25" customHeight="1" x14ac:dyDescent="0.25">
      <c r="A276" s="402">
        <v>2007</v>
      </c>
      <c r="B276" s="203" t="str">
        <f t="shared" ref="B276:L276" si="199">B177</f>
        <v>-</v>
      </c>
      <c r="C276" s="203">
        <f t="shared" si="199"/>
        <v>2619</v>
      </c>
      <c r="D276" s="203">
        <f t="shared" si="199"/>
        <v>43951</v>
      </c>
      <c r="E276" s="203">
        <f t="shared" si="199"/>
        <v>5346</v>
      </c>
      <c r="F276" s="203">
        <f t="shared" si="199"/>
        <v>44717</v>
      </c>
      <c r="G276" s="203">
        <f t="shared" si="199"/>
        <v>37096</v>
      </c>
      <c r="H276" s="203">
        <f t="shared" si="199"/>
        <v>12380</v>
      </c>
      <c r="I276" s="203">
        <f t="shared" si="199"/>
        <v>1356</v>
      </c>
      <c r="J276" s="203">
        <f t="shared" si="199"/>
        <v>717</v>
      </c>
      <c r="K276" s="203">
        <f t="shared" si="199"/>
        <v>3</v>
      </c>
      <c r="L276" s="203">
        <f t="shared" si="199"/>
        <v>148185</v>
      </c>
      <c r="M276" s="150"/>
      <c r="N276" s="203" t="str">
        <f t="shared" ref="N276:X276" si="200">N177</f>
        <v>-</v>
      </c>
      <c r="O276" s="203" t="str">
        <f t="shared" si="200"/>
        <v>-</v>
      </c>
      <c r="P276" s="203" t="str">
        <f t="shared" si="200"/>
        <v>-</v>
      </c>
      <c r="Q276" s="203" t="str">
        <f t="shared" si="200"/>
        <v>-</v>
      </c>
      <c r="R276" s="203" t="str">
        <f t="shared" si="200"/>
        <v>-</v>
      </c>
      <c r="S276" s="203">
        <f t="shared" si="200"/>
        <v>5036</v>
      </c>
      <c r="T276" s="203">
        <f t="shared" si="200"/>
        <v>519</v>
      </c>
      <c r="U276" s="203" t="str">
        <f t="shared" si="200"/>
        <v>-</v>
      </c>
      <c r="V276" s="203" t="str">
        <f t="shared" si="200"/>
        <v>-</v>
      </c>
      <c r="W276" s="203" t="str">
        <f t="shared" si="200"/>
        <v>-</v>
      </c>
      <c r="X276" s="203">
        <f t="shared" si="200"/>
        <v>5555</v>
      </c>
    </row>
    <row r="277" spans="1:24" ht="11.25" customHeight="1" x14ac:dyDescent="0.25">
      <c r="A277" s="402">
        <v>2008</v>
      </c>
      <c r="B277" s="203" t="str">
        <f t="shared" ref="B277:L277" si="201">B178</f>
        <v>-</v>
      </c>
      <c r="C277" s="203" t="str">
        <f t="shared" si="201"/>
        <v>-</v>
      </c>
      <c r="D277" s="203" t="str">
        <f t="shared" si="201"/>
        <v>-</v>
      </c>
      <c r="E277" s="203" t="str">
        <f t="shared" si="201"/>
        <v>-</v>
      </c>
      <c r="F277" s="203" t="str">
        <f t="shared" si="201"/>
        <v>-</v>
      </c>
      <c r="G277" s="203" t="str">
        <f t="shared" si="201"/>
        <v>-</v>
      </c>
      <c r="H277" s="203">
        <f t="shared" si="201"/>
        <v>64</v>
      </c>
      <c r="I277" s="203">
        <f t="shared" si="201"/>
        <v>248</v>
      </c>
      <c r="J277" s="203">
        <f t="shared" si="201"/>
        <v>208</v>
      </c>
      <c r="K277" s="203" t="str">
        <f t="shared" si="201"/>
        <v>-</v>
      </c>
      <c r="L277" s="203">
        <f t="shared" si="201"/>
        <v>520</v>
      </c>
      <c r="M277" s="150"/>
      <c r="N277" s="203" t="str">
        <f t="shared" ref="N277:X277" si="202">N178</f>
        <v>-</v>
      </c>
      <c r="O277" s="203" t="str">
        <f t="shared" si="202"/>
        <v>-</v>
      </c>
      <c r="P277" s="203" t="str">
        <f t="shared" si="202"/>
        <v>-</v>
      </c>
      <c r="Q277" s="203" t="str">
        <f t="shared" si="202"/>
        <v>-</v>
      </c>
      <c r="R277" s="203" t="str">
        <f t="shared" si="202"/>
        <v>-</v>
      </c>
      <c r="S277" s="203" t="str">
        <f t="shared" si="202"/>
        <v>-</v>
      </c>
      <c r="T277" s="203" t="str">
        <f t="shared" si="202"/>
        <v>-</v>
      </c>
      <c r="U277" s="203" t="str">
        <f t="shared" si="202"/>
        <v>-</v>
      </c>
      <c r="V277" s="203" t="str">
        <f t="shared" si="202"/>
        <v>-</v>
      </c>
      <c r="W277" s="203" t="str">
        <f t="shared" si="202"/>
        <v>-</v>
      </c>
      <c r="X277" s="203" t="str">
        <f t="shared" si="202"/>
        <v>-</v>
      </c>
    </row>
    <row r="278" spans="1:24" ht="11.25" customHeight="1" x14ac:dyDescent="0.25">
      <c r="A278" s="402">
        <v>2009</v>
      </c>
      <c r="B278" s="203" t="str">
        <f t="shared" ref="B278:L278" si="203">B179</f>
        <v>-</v>
      </c>
      <c r="C278" s="203" t="str">
        <f t="shared" si="203"/>
        <v>-</v>
      </c>
      <c r="D278" s="203" t="str">
        <f t="shared" si="203"/>
        <v>-</v>
      </c>
      <c r="E278" s="203" t="str">
        <f t="shared" si="203"/>
        <v>-</v>
      </c>
      <c r="F278" s="203" t="str">
        <f t="shared" si="203"/>
        <v>-</v>
      </c>
      <c r="G278" s="203" t="str">
        <f t="shared" si="203"/>
        <v>-</v>
      </c>
      <c r="H278" s="203">
        <f t="shared" si="203"/>
        <v>105</v>
      </c>
      <c r="I278" s="203">
        <f t="shared" si="203"/>
        <v>332</v>
      </c>
      <c r="J278" s="203" t="str">
        <f t="shared" si="203"/>
        <v>-</v>
      </c>
      <c r="K278" s="203" t="str">
        <f t="shared" si="203"/>
        <v>-</v>
      </c>
      <c r="L278" s="203">
        <f t="shared" si="203"/>
        <v>437</v>
      </c>
      <c r="M278" s="150"/>
      <c r="N278" s="203" t="str">
        <f t="shared" ref="N278:X278" si="204">N179</f>
        <v>-</v>
      </c>
      <c r="O278" s="203" t="str">
        <f t="shared" si="204"/>
        <v>-</v>
      </c>
      <c r="P278" s="203" t="str">
        <f t="shared" si="204"/>
        <v>-</v>
      </c>
      <c r="Q278" s="203" t="str">
        <f t="shared" si="204"/>
        <v>-</v>
      </c>
      <c r="R278" s="203" t="str">
        <f t="shared" si="204"/>
        <v>-</v>
      </c>
      <c r="S278" s="203" t="str">
        <f t="shared" si="204"/>
        <v>-</v>
      </c>
      <c r="T278" s="203">
        <f t="shared" si="204"/>
        <v>9278</v>
      </c>
      <c r="U278" s="203" t="str">
        <f t="shared" si="204"/>
        <v>-</v>
      </c>
      <c r="V278" s="203" t="str">
        <f t="shared" si="204"/>
        <v>-</v>
      </c>
      <c r="W278" s="203" t="str">
        <f t="shared" si="204"/>
        <v>-</v>
      </c>
      <c r="X278" s="203">
        <f t="shared" si="204"/>
        <v>9278</v>
      </c>
    </row>
    <row r="279" spans="1:24" ht="11.25" customHeight="1" x14ac:dyDescent="0.25">
      <c r="A279" s="402">
        <v>2010</v>
      </c>
      <c r="B279" s="203" t="str">
        <f t="shared" ref="B279:L279" si="205">B180</f>
        <v>-</v>
      </c>
      <c r="C279" s="203" t="str">
        <f t="shared" si="205"/>
        <v>-</v>
      </c>
      <c r="D279" s="203">
        <f t="shared" si="205"/>
        <v>9183</v>
      </c>
      <c r="E279" s="203">
        <f t="shared" si="205"/>
        <v>8966</v>
      </c>
      <c r="F279" s="203">
        <f t="shared" si="205"/>
        <v>13233</v>
      </c>
      <c r="G279" s="203">
        <f t="shared" si="205"/>
        <v>10104</v>
      </c>
      <c r="H279" s="203">
        <f t="shared" si="205"/>
        <v>56</v>
      </c>
      <c r="I279" s="203">
        <f t="shared" si="205"/>
        <v>1859</v>
      </c>
      <c r="J279" s="203" t="str">
        <f t="shared" si="205"/>
        <v>-</v>
      </c>
      <c r="K279" s="203" t="str">
        <f t="shared" si="205"/>
        <v>-</v>
      </c>
      <c r="L279" s="203">
        <f t="shared" si="205"/>
        <v>43401</v>
      </c>
      <c r="M279" s="150"/>
      <c r="N279" s="203" t="str">
        <f t="shared" ref="N279:X279" si="206">N180</f>
        <v>-</v>
      </c>
      <c r="O279" s="203" t="str">
        <f t="shared" si="206"/>
        <v>-</v>
      </c>
      <c r="P279" s="203" t="str">
        <f t="shared" si="206"/>
        <v>-</v>
      </c>
      <c r="Q279" s="203" t="str">
        <f t="shared" si="206"/>
        <v>-</v>
      </c>
      <c r="R279" s="203" t="str">
        <f t="shared" si="206"/>
        <v>-</v>
      </c>
      <c r="S279" s="203" t="str">
        <f t="shared" si="206"/>
        <v>-</v>
      </c>
      <c r="T279" s="203" t="str">
        <f t="shared" si="206"/>
        <v>-</v>
      </c>
      <c r="U279" s="203" t="str">
        <f t="shared" si="206"/>
        <v>-</v>
      </c>
      <c r="V279" s="203" t="str">
        <f t="shared" si="206"/>
        <v>-</v>
      </c>
      <c r="W279" s="203" t="str">
        <f t="shared" si="206"/>
        <v>-</v>
      </c>
      <c r="X279" s="203" t="str">
        <f t="shared" si="206"/>
        <v>-</v>
      </c>
    </row>
    <row r="280" spans="1:24" ht="11.25" customHeight="1" x14ac:dyDescent="0.25">
      <c r="A280" s="402">
        <v>2011</v>
      </c>
      <c r="B280" s="203" t="str">
        <f t="shared" ref="B280:L280" si="207">B181</f>
        <v>-</v>
      </c>
      <c r="C280" s="203">
        <f t="shared" si="207"/>
        <v>4481</v>
      </c>
      <c r="D280" s="203">
        <f t="shared" si="207"/>
        <v>20234</v>
      </c>
      <c r="E280" s="203">
        <f t="shared" si="207"/>
        <v>14844</v>
      </c>
      <c r="F280" s="203">
        <f t="shared" si="207"/>
        <v>32395</v>
      </c>
      <c r="G280" s="203">
        <f t="shared" si="207"/>
        <v>21650</v>
      </c>
      <c r="H280" s="203">
        <f t="shared" si="207"/>
        <v>2157</v>
      </c>
      <c r="I280" s="203">
        <f t="shared" si="207"/>
        <v>1517</v>
      </c>
      <c r="J280" s="203">
        <f t="shared" si="207"/>
        <v>1995</v>
      </c>
      <c r="K280" s="203" t="str">
        <f t="shared" si="207"/>
        <v>-</v>
      </c>
      <c r="L280" s="203">
        <f t="shared" si="207"/>
        <v>99273</v>
      </c>
      <c r="M280" s="150"/>
      <c r="N280" s="203" t="str">
        <f t="shared" ref="N280:X280" si="208">N181</f>
        <v>-</v>
      </c>
      <c r="O280" s="203" t="str">
        <f t="shared" si="208"/>
        <v>-</v>
      </c>
      <c r="P280" s="203" t="str">
        <f t="shared" si="208"/>
        <v>-</v>
      </c>
      <c r="Q280" s="203" t="str">
        <f t="shared" si="208"/>
        <v>-</v>
      </c>
      <c r="R280" s="203" t="str">
        <f t="shared" si="208"/>
        <v>-</v>
      </c>
      <c r="S280" s="203" t="str">
        <f t="shared" si="208"/>
        <v>-</v>
      </c>
      <c r="T280" s="203" t="str">
        <f t="shared" si="208"/>
        <v>-</v>
      </c>
      <c r="U280" s="203" t="str">
        <f t="shared" si="208"/>
        <v>-</v>
      </c>
      <c r="V280" s="203" t="str">
        <f t="shared" si="208"/>
        <v>-</v>
      </c>
      <c r="W280" s="203" t="str">
        <f t="shared" si="208"/>
        <v>-</v>
      </c>
      <c r="X280" s="203" t="str">
        <f t="shared" si="208"/>
        <v>-</v>
      </c>
    </row>
    <row r="281" spans="1:24" ht="11.25" customHeight="1" x14ac:dyDescent="0.25">
      <c r="A281" s="402">
        <v>2012</v>
      </c>
      <c r="B281" s="203" t="str">
        <f t="shared" ref="B281:L281" si="209">B182</f>
        <v>-</v>
      </c>
      <c r="C281" s="203">
        <f t="shared" si="209"/>
        <v>3633</v>
      </c>
      <c r="D281" s="203">
        <f t="shared" si="209"/>
        <v>73761</v>
      </c>
      <c r="E281" s="203">
        <f t="shared" si="209"/>
        <v>28029</v>
      </c>
      <c r="F281" s="203">
        <f t="shared" si="209"/>
        <v>96083</v>
      </c>
      <c r="G281" s="203">
        <f t="shared" si="209"/>
        <v>38365</v>
      </c>
      <c r="H281" s="203">
        <f t="shared" si="209"/>
        <v>27483</v>
      </c>
      <c r="I281" s="203">
        <f t="shared" si="209"/>
        <v>12187</v>
      </c>
      <c r="J281" s="203">
        <f t="shared" si="209"/>
        <v>701</v>
      </c>
      <c r="K281" s="203" t="str">
        <f t="shared" si="209"/>
        <v>-</v>
      </c>
      <c r="L281" s="203">
        <f t="shared" si="209"/>
        <v>280242</v>
      </c>
      <c r="M281" s="150"/>
      <c r="N281" s="203" t="str">
        <f t="shared" ref="N281:X281" si="210">N182</f>
        <v>-</v>
      </c>
      <c r="O281" s="203" t="str">
        <f t="shared" si="210"/>
        <v>-</v>
      </c>
      <c r="P281" s="203" t="str">
        <f t="shared" si="210"/>
        <v>-</v>
      </c>
      <c r="Q281" s="203" t="str">
        <f t="shared" si="210"/>
        <v>-</v>
      </c>
      <c r="R281" s="203" t="str">
        <f t="shared" si="210"/>
        <v>-</v>
      </c>
      <c r="S281" s="203" t="str">
        <f t="shared" si="210"/>
        <v>-</v>
      </c>
      <c r="T281" s="203" t="str">
        <f t="shared" si="210"/>
        <v>-</v>
      </c>
      <c r="U281" s="203" t="str">
        <f t="shared" si="210"/>
        <v>-</v>
      </c>
      <c r="V281" s="203" t="str">
        <f t="shared" si="210"/>
        <v>-</v>
      </c>
      <c r="W281" s="203" t="str">
        <f t="shared" si="210"/>
        <v>-</v>
      </c>
      <c r="X281" s="203" t="str">
        <f t="shared" si="210"/>
        <v>-</v>
      </c>
    </row>
    <row r="282" spans="1:24" ht="11.25" customHeight="1" x14ac:dyDescent="0.25">
      <c r="A282" s="402">
        <v>2013</v>
      </c>
      <c r="B282" s="203" t="str">
        <f t="shared" ref="B282:L282" si="211">B183</f>
        <v>-</v>
      </c>
      <c r="C282" s="203">
        <f t="shared" si="211"/>
        <v>7423</v>
      </c>
      <c r="D282" s="203">
        <f t="shared" si="211"/>
        <v>86616</v>
      </c>
      <c r="E282" s="203">
        <f t="shared" si="211"/>
        <v>91986</v>
      </c>
      <c r="F282" s="203">
        <f t="shared" si="211"/>
        <v>106772</v>
      </c>
      <c r="G282" s="203">
        <f t="shared" si="211"/>
        <v>65640</v>
      </c>
      <c r="H282" s="203">
        <f t="shared" si="211"/>
        <v>39480</v>
      </c>
      <c r="I282" s="203">
        <f t="shared" si="211"/>
        <v>9520</v>
      </c>
      <c r="J282" s="203">
        <f t="shared" si="211"/>
        <v>1002</v>
      </c>
      <c r="K282" s="203" t="str">
        <f t="shared" si="211"/>
        <v>-</v>
      </c>
      <c r="L282" s="203">
        <f t="shared" si="211"/>
        <v>408439</v>
      </c>
      <c r="M282" s="150"/>
      <c r="N282" s="203" t="str">
        <f t="shared" ref="N282:X282" si="212">N183</f>
        <v>-</v>
      </c>
      <c r="O282" s="203" t="str">
        <f t="shared" si="212"/>
        <v>-</v>
      </c>
      <c r="P282" s="203" t="str">
        <f t="shared" si="212"/>
        <v>-</v>
      </c>
      <c r="Q282" s="203" t="str">
        <f t="shared" si="212"/>
        <v>-</v>
      </c>
      <c r="R282" s="203" t="str">
        <f t="shared" si="212"/>
        <v>-</v>
      </c>
      <c r="S282" s="203" t="str">
        <f t="shared" si="212"/>
        <v>-</v>
      </c>
      <c r="T282" s="203" t="str">
        <f t="shared" si="212"/>
        <v>-</v>
      </c>
      <c r="U282" s="203" t="str">
        <f t="shared" si="212"/>
        <v>-</v>
      </c>
      <c r="V282" s="203" t="str">
        <f t="shared" si="212"/>
        <v>-</v>
      </c>
      <c r="W282" s="203" t="str">
        <f t="shared" si="212"/>
        <v>-</v>
      </c>
      <c r="X282" s="203" t="str">
        <f t="shared" si="212"/>
        <v>-</v>
      </c>
    </row>
    <row r="283" spans="1:24" ht="11.25" customHeight="1" x14ac:dyDescent="0.25">
      <c r="A283" s="402">
        <v>2014</v>
      </c>
      <c r="B283" s="203" t="str">
        <f t="shared" ref="B283:L283" si="213">B184</f>
        <v>-</v>
      </c>
      <c r="C283" s="203">
        <f t="shared" si="213"/>
        <v>15554</v>
      </c>
      <c r="D283" s="203">
        <f t="shared" si="213"/>
        <v>83687</v>
      </c>
      <c r="E283" s="203">
        <f t="shared" si="213"/>
        <v>69490</v>
      </c>
      <c r="F283" s="203">
        <f t="shared" si="213"/>
        <v>73386</v>
      </c>
      <c r="G283" s="203">
        <f t="shared" si="213"/>
        <v>91088</v>
      </c>
      <c r="H283" s="203">
        <f t="shared" si="213"/>
        <v>21023</v>
      </c>
      <c r="I283" s="203">
        <f t="shared" si="213"/>
        <v>5500</v>
      </c>
      <c r="J283" s="203">
        <f t="shared" si="213"/>
        <v>469</v>
      </c>
      <c r="K283" s="203" t="str">
        <f t="shared" si="213"/>
        <v>-</v>
      </c>
      <c r="L283" s="203">
        <f t="shared" si="213"/>
        <v>360197</v>
      </c>
      <c r="M283" s="150"/>
      <c r="N283" s="203" t="str">
        <f t="shared" ref="N283:X283" si="214">N184</f>
        <v>-</v>
      </c>
      <c r="O283" s="203" t="str">
        <f t="shared" si="214"/>
        <v>-</v>
      </c>
      <c r="P283" s="203" t="str">
        <f t="shared" si="214"/>
        <v>-</v>
      </c>
      <c r="Q283" s="203" t="str">
        <f t="shared" si="214"/>
        <v>-</v>
      </c>
      <c r="R283" s="203" t="str">
        <f t="shared" si="214"/>
        <v>-</v>
      </c>
      <c r="S283" s="203" t="str">
        <f t="shared" si="214"/>
        <v>-</v>
      </c>
      <c r="T283" s="203">
        <f t="shared" si="214"/>
        <v>3296</v>
      </c>
      <c r="U283" s="203" t="str">
        <f t="shared" si="214"/>
        <v>-</v>
      </c>
      <c r="V283" s="203" t="str">
        <f t="shared" si="214"/>
        <v>-</v>
      </c>
      <c r="W283" s="203" t="str">
        <f t="shared" si="214"/>
        <v>-</v>
      </c>
      <c r="X283" s="203">
        <f t="shared" si="214"/>
        <v>3296</v>
      </c>
    </row>
    <row r="284" spans="1:24" ht="11.25" customHeight="1" x14ac:dyDescent="0.25">
      <c r="A284" s="402">
        <v>2015</v>
      </c>
      <c r="B284" s="203" t="str">
        <f t="shared" ref="B284:L284" si="215">B185</f>
        <v>-</v>
      </c>
      <c r="C284" s="203">
        <f t="shared" si="215"/>
        <v>16420</v>
      </c>
      <c r="D284" s="203">
        <f t="shared" si="215"/>
        <v>67847</v>
      </c>
      <c r="E284" s="203">
        <f t="shared" si="215"/>
        <v>40820</v>
      </c>
      <c r="F284" s="203">
        <f t="shared" si="215"/>
        <v>40949</v>
      </c>
      <c r="G284" s="203">
        <f t="shared" si="215"/>
        <v>19016</v>
      </c>
      <c r="H284" s="203">
        <f t="shared" si="215"/>
        <v>12459</v>
      </c>
      <c r="I284" s="203">
        <f t="shared" si="215"/>
        <v>5210</v>
      </c>
      <c r="J284" s="203">
        <f t="shared" si="215"/>
        <v>1163</v>
      </c>
      <c r="K284" s="203" t="str">
        <f t="shared" si="215"/>
        <v>-</v>
      </c>
      <c r="L284" s="203">
        <f t="shared" si="215"/>
        <v>203884</v>
      </c>
      <c r="M284" s="150"/>
      <c r="N284" s="203" t="str">
        <f t="shared" ref="N284:W284" si="216">N185</f>
        <v>-</v>
      </c>
      <c r="O284" s="203" t="str">
        <f t="shared" si="216"/>
        <v>-</v>
      </c>
      <c r="P284" s="203" t="str">
        <f t="shared" si="216"/>
        <v>-</v>
      </c>
      <c r="Q284" s="203" t="str">
        <f t="shared" si="216"/>
        <v>-</v>
      </c>
      <c r="R284" s="203" t="str">
        <f t="shared" si="216"/>
        <v>-</v>
      </c>
      <c r="S284" s="203" t="str">
        <f t="shared" si="216"/>
        <v>-</v>
      </c>
      <c r="T284" s="203" t="str">
        <f t="shared" si="216"/>
        <v>-</v>
      </c>
      <c r="U284" s="203" t="str">
        <f t="shared" si="216"/>
        <v>-</v>
      </c>
      <c r="V284" s="203" t="str">
        <f t="shared" si="216"/>
        <v>-</v>
      </c>
      <c r="W284" s="203" t="str">
        <f t="shared" si="216"/>
        <v>-</v>
      </c>
      <c r="X284" s="203" t="s">
        <v>29</v>
      </c>
    </row>
    <row r="285" spans="1:24" ht="11.25" customHeight="1" x14ac:dyDescent="0.25">
      <c r="A285" s="402">
        <v>2016</v>
      </c>
      <c r="B285" s="203" t="str">
        <f t="shared" ref="B285:L285" si="217">B186</f>
        <v>-</v>
      </c>
      <c r="C285" s="203">
        <f t="shared" si="217"/>
        <v>6597</v>
      </c>
      <c r="D285" s="203">
        <f t="shared" si="217"/>
        <v>19390</v>
      </c>
      <c r="E285" s="203">
        <f t="shared" si="217"/>
        <v>18343</v>
      </c>
      <c r="F285" s="203">
        <f t="shared" si="217"/>
        <v>11264</v>
      </c>
      <c r="G285" s="203">
        <f t="shared" si="217"/>
        <v>26961</v>
      </c>
      <c r="H285" s="203">
        <f t="shared" si="217"/>
        <v>11279</v>
      </c>
      <c r="I285" s="203">
        <f t="shared" si="217"/>
        <v>1458</v>
      </c>
      <c r="J285" s="203">
        <f t="shared" si="217"/>
        <v>182</v>
      </c>
      <c r="K285" s="203" t="str">
        <f t="shared" si="217"/>
        <v>-</v>
      </c>
      <c r="L285" s="203">
        <f t="shared" si="217"/>
        <v>95474</v>
      </c>
      <c r="M285" s="150"/>
      <c r="N285" s="203" t="str">
        <f t="shared" ref="N285:W285" si="218">N186</f>
        <v>-</v>
      </c>
      <c r="O285" s="203" t="str">
        <f t="shared" si="218"/>
        <v>-</v>
      </c>
      <c r="P285" s="203" t="str">
        <f t="shared" si="218"/>
        <v>-</v>
      </c>
      <c r="Q285" s="203" t="str">
        <f t="shared" si="218"/>
        <v>-</v>
      </c>
      <c r="R285" s="203" t="str">
        <f t="shared" si="218"/>
        <v>-</v>
      </c>
      <c r="S285" s="203" t="str">
        <f t="shared" si="218"/>
        <v>-</v>
      </c>
      <c r="T285" s="203" t="str">
        <f t="shared" si="218"/>
        <v>-</v>
      </c>
      <c r="U285" s="203" t="str">
        <f t="shared" si="218"/>
        <v>-</v>
      </c>
      <c r="V285" s="203" t="str">
        <f t="shared" si="218"/>
        <v>-</v>
      </c>
      <c r="W285" s="203" t="str">
        <f t="shared" si="218"/>
        <v>-</v>
      </c>
      <c r="X285" s="203" t="s">
        <v>29</v>
      </c>
    </row>
    <row r="286" spans="1:24" ht="11.25" customHeight="1" x14ac:dyDescent="0.25">
      <c r="A286" s="402">
        <v>2017</v>
      </c>
      <c r="B286" s="203" t="str">
        <f t="shared" ref="B286:L286" si="219">B187</f>
        <v>-</v>
      </c>
      <c r="C286" s="203">
        <f t="shared" si="219"/>
        <v>553</v>
      </c>
      <c r="D286" s="203">
        <f t="shared" si="219"/>
        <v>6817</v>
      </c>
      <c r="E286" s="203">
        <f t="shared" si="219"/>
        <v>10065</v>
      </c>
      <c r="F286" s="203">
        <f t="shared" si="219"/>
        <v>13019</v>
      </c>
      <c r="G286" s="203">
        <f t="shared" si="219"/>
        <v>18336</v>
      </c>
      <c r="H286" s="203">
        <f t="shared" si="219"/>
        <v>10369</v>
      </c>
      <c r="I286" s="203">
        <f t="shared" si="219"/>
        <v>2289</v>
      </c>
      <c r="J286" s="203">
        <f t="shared" si="219"/>
        <v>96</v>
      </c>
      <c r="K286" s="203" t="str">
        <f t="shared" si="219"/>
        <v>-</v>
      </c>
      <c r="L286" s="203">
        <f t="shared" si="219"/>
        <v>61544</v>
      </c>
      <c r="M286" s="150"/>
      <c r="N286" s="203" t="str">
        <f t="shared" ref="N286:W286" si="220">N187</f>
        <v>-</v>
      </c>
      <c r="O286" s="203" t="str">
        <f t="shared" si="220"/>
        <v>-</v>
      </c>
      <c r="P286" s="203" t="str">
        <f t="shared" si="220"/>
        <v>-</v>
      </c>
      <c r="Q286" s="203" t="str">
        <f t="shared" si="220"/>
        <v>-</v>
      </c>
      <c r="R286" s="203" t="str">
        <f t="shared" si="220"/>
        <v>-</v>
      </c>
      <c r="S286" s="203" t="str">
        <f t="shared" si="220"/>
        <v>-</v>
      </c>
      <c r="T286" s="203" t="str">
        <f t="shared" si="220"/>
        <v>-</v>
      </c>
      <c r="U286" s="203" t="str">
        <f t="shared" si="220"/>
        <v>-</v>
      </c>
      <c r="V286" s="203" t="str">
        <f t="shared" si="220"/>
        <v>-</v>
      </c>
      <c r="W286" s="203" t="str">
        <f t="shared" si="220"/>
        <v>-</v>
      </c>
      <c r="X286" s="203" t="s">
        <v>29</v>
      </c>
    </row>
    <row r="287" spans="1:24" s="358" customFormat="1" ht="11.25" customHeight="1" x14ac:dyDescent="0.25">
      <c r="A287" s="402">
        <v>2018</v>
      </c>
      <c r="B287" s="203" t="str">
        <f t="shared" ref="B287:L287" si="221">B188</f>
        <v>-</v>
      </c>
      <c r="C287" s="203" t="str">
        <f t="shared" si="221"/>
        <v>-</v>
      </c>
      <c r="D287" s="203">
        <f t="shared" si="221"/>
        <v>6746</v>
      </c>
      <c r="E287" s="203">
        <f t="shared" si="221"/>
        <v>21743</v>
      </c>
      <c r="F287" s="203">
        <f t="shared" si="221"/>
        <v>19014</v>
      </c>
      <c r="G287" s="203">
        <f t="shared" si="221"/>
        <v>40622</v>
      </c>
      <c r="H287" s="203">
        <f t="shared" si="221"/>
        <v>11151</v>
      </c>
      <c r="I287" s="203">
        <f t="shared" si="221"/>
        <v>2837</v>
      </c>
      <c r="J287" s="203">
        <f t="shared" si="221"/>
        <v>431</v>
      </c>
      <c r="K287" s="203" t="str">
        <f t="shared" si="221"/>
        <v>-</v>
      </c>
      <c r="L287" s="203">
        <f t="shared" si="221"/>
        <v>102544</v>
      </c>
      <c r="M287" s="150"/>
      <c r="N287" s="203" t="str">
        <f t="shared" ref="N287:W287" si="222">N188</f>
        <v>-</v>
      </c>
      <c r="O287" s="203" t="str">
        <f t="shared" si="222"/>
        <v>-</v>
      </c>
      <c r="P287" s="203" t="str">
        <f t="shared" si="222"/>
        <v>-</v>
      </c>
      <c r="Q287" s="203" t="str">
        <f t="shared" si="222"/>
        <v>-</v>
      </c>
      <c r="R287" s="203" t="str">
        <f t="shared" si="222"/>
        <v>-</v>
      </c>
      <c r="S287" s="203" t="str">
        <f t="shared" si="222"/>
        <v>-</v>
      </c>
      <c r="T287" s="203" t="str">
        <f t="shared" si="222"/>
        <v>-</v>
      </c>
      <c r="U287" s="203" t="str">
        <f t="shared" si="222"/>
        <v>-</v>
      </c>
      <c r="V287" s="203" t="str">
        <f t="shared" si="222"/>
        <v>-</v>
      </c>
      <c r="W287" s="203" t="str">
        <f t="shared" si="222"/>
        <v>-</v>
      </c>
      <c r="X287" s="203" t="s">
        <v>29</v>
      </c>
    </row>
    <row r="288" spans="1:24" s="358" customFormat="1" ht="11.25" customHeight="1" x14ac:dyDescent="0.25">
      <c r="A288" s="498" t="s">
        <v>403</v>
      </c>
      <c r="B288" s="203" t="str">
        <f t="shared" ref="B288:L289" si="223">B189</f>
        <v>-</v>
      </c>
      <c r="C288" s="203">
        <f t="shared" si="223"/>
        <v>162</v>
      </c>
      <c r="D288" s="203">
        <f t="shared" si="223"/>
        <v>71683</v>
      </c>
      <c r="E288" s="203">
        <f t="shared" si="223"/>
        <v>101523</v>
      </c>
      <c r="F288" s="203">
        <f t="shared" si="223"/>
        <v>55533</v>
      </c>
      <c r="G288" s="203">
        <f t="shared" si="223"/>
        <v>62809</v>
      </c>
      <c r="H288" s="203">
        <f t="shared" si="223"/>
        <v>6690</v>
      </c>
      <c r="I288" s="203">
        <f t="shared" si="223"/>
        <v>1671</v>
      </c>
      <c r="J288" s="203" t="str">
        <f t="shared" si="223"/>
        <v>-</v>
      </c>
      <c r="K288" s="203" t="str">
        <f t="shared" si="223"/>
        <v>-</v>
      </c>
      <c r="L288" s="203">
        <f t="shared" si="223"/>
        <v>300071</v>
      </c>
      <c r="M288" s="150"/>
      <c r="N288" s="203" t="str">
        <f t="shared" ref="N288:W289" si="224">N189</f>
        <v>-</v>
      </c>
      <c r="O288" s="203" t="str">
        <f t="shared" si="224"/>
        <v>-</v>
      </c>
      <c r="P288" s="203" t="str">
        <f t="shared" si="224"/>
        <v>-</v>
      </c>
      <c r="Q288" s="203" t="str">
        <f t="shared" si="224"/>
        <v>-</v>
      </c>
      <c r="R288" s="203" t="str">
        <f t="shared" si="224"/>
        <v>-</v>
      </c>
      <c r="S288" s="203" t="str">
        <f t="shared" si="224"/>
        <v>-</v>
      </c>
      <c r="T288" s="203" t="str">
        <f t="shared" si="224"/>
        <v>-</v>
      </c>
      <c r="U288" s="203" t="str">
        <f t="shared" si="224"/>
        <v>-</v>
      </c>
      <c r="V288" s="203" t="str">
        <f t="shared" si="224"/>
        <v>-</v>
      </c>
      <c r="W288" s="203" t="str">
        <f t="shared" si="224"/>
        <v>-</v>
      </c>
      <c r="X288" s="203" t="s">
        <v>29</v>
      </c>
    </row>
    <row r="289" spans="1:24" ht="11.25" customHeight="1" x14ac:dyDescent="0.25">
      <c r="A289" s="498" t="s">
        <v>393</v>
      </c>
      <c r="B289" s="200" t="str">
        <f t="shared" si="223"/>
        <v>-</v>
      </c>
      <c r="C289" s="200">
        <f t="shared" si="223"/>
        <v>800</v>
      </c>
      <c r="D289" s="200">
        <f t="shared" si="223"/>
        <v>33298</v>
      </c>
      <c r="E289" s="200">
        <f t="shared" si="223"/>
        <v>51788</v>
      </c>
      <c r="F289" s="200">
        <f t="shared" si="223"/>
        <v>70106</v>
      </c>
      <c r="G289" s="200">
        <f t="shared" si="223"/>
        <v>21470</v>
      </c>
      <c r="H289" s="200">
        <f t="shared" si="223"/>
        <v>9005</v>
      </c>
      <c r="I289" s="200">
        <f t="shared" si="223"/>
        <v>3432</v>
      </c>
      <c r="J289" s="200" t="str">
        <f t="shared" si="223"/>
        <v>-</v>
      </c>
      <c r="K289" s="200" t="str">
        <f t="shared" si="223"/>
        <v>-</v>
      </c>
      <c r="L289" s="200">
        <f t="shared" si="223"/>
        <v>189899</v>
      </c>
      <c r="M289" s="457"/>
      <c r="N289" s="200" t="str">
        <f t="shared" si="224"/>
        <v>-</v>
      </c>
      <c r="O289" s="200" t="str">
        <f t="shared" si="224"/>
        <v>-</v>
      </c>
      <c r="P289" s="200" t="str">
        <f t="shared" si="224"/>
        <v>-</v>
      </c>
      <c r="Q289" s="200" t="str">
        <f t="shared" si="224"/>
        <v>-</v>
      </c>
      <c r="R289" s="200" t="str">
        <f t="shared" si="224"/>
        <v>-</v>
      </c>
      <c r="S289" s="200" t="str">
        <f t="shared" si="224"/>
        <v>-</v>
      </c>
      <c r="T289" s="200" t="str">
        <f t="shared" si="224"/>
        <v>-</v>
      </c>
      <c r="U289" s="200" t="str">
        <f t="shared" si="224"/>
        <v>-</v>
      </c>
      <c r="V289" s="200" t="str">
        <f t="shared" si="224"/>
        <v>-</v>
      </c>
      <c r="W289" s="200" t="str">
        <f t="shared" si="224"/>
        <v>-</v>
      </c>
      <c r="X289" s="200" t="s">
        <v>29</v>
      </c>
    </row>
    <row r="290" spans="1:24" ht="11.25" customHeight="1" x14ac:dyDescent="0.25">
      <c r="A290" s="585" t="str">
        <f>A191</f>
        <v>a/  Monthly totals for Oregon data are the sum of statistical weeks with closest fit to the calendar month.</v>
      </c>
      <c r="B290" s="585"/>
      <c r="C290" s="585"/>
      <c r="D290" s="585"/>
      <c r="E290" s="585"/>
      <c r="F290" s="585"/>
      <c r="G290" s="585"/>
      <c r="H290" s="585"/>
      <c r="I290" s="585"/>
      <c r="J290" s="585"/>
      <c r="K290" s="585"/>
      <c r="L290" s="585"/>
      <c r="M290" s="585"/>
      <c r="N290" s="585"/>
      <c r="O290" s="585"/>
      <c r="P290" s="585"/>
      <c r="Q290" s="585"/>
      <c r="R290" s="585"/>
      <c r="S290" s="585"/>
      <c r="T290" s="585"/>
      <c r="U290" s="585"/>
      <c r="V290" s="585"/>
      <c r="W290" s="585"/>
      <c r="X290" s="585"/>
    </row>
    <row r="291" spans="1:24" ht="11.25" customHeight="1" x14ac:dyDescent="0.25">
      <c r="A291" s="605" t="str">
        <f>A192</f>
        <v>b/  Preliminary.</v>
      </c>
      <c r="B291" s="605"/>
      <c r="C291" s="605"/>
      <c r="D291" s="605"/>
      <c r="E291" s="605"/>
      <c r="F291" s="605"/>
      <c r="G291" s="605"/>
      <c r="H291" s="605"/>
      <c r="I291" s="605"/>
      <c r="J291" s="605"/>
      <c r="K291" s="605"/>
      <c r="L291" s="605"/>
      <c r="M291" s="605"/>
      <c r="N291" s="605"/>
      <c r="O291" s="605"/>
      <c r="P291" s="605"/>
      <c r="Q291" s="605"/>
      <c r="R291" s="605"/>
      <c r="S291" s="605"/>
      <c r="T291" s="605"/>
      <c r="U291" s="605"/>
      <c r="V291" s="605"/>
      <c r="W291" s="605"/>
      <c r="X291" s="605"/>
    </row>
    <row r="292" spans="1:24" ht="11.25" customHeight="1" x14ac:dyDescent="0.25">
      <c r="A292" s="605" t="str">
        <f>A193</f>
        <v xml:space="preserve">c/  The current commercial KMZ boundaries are Humbug Mt. to Humboldt south jetty. </v>
      </c>
      <c r="B292" s="605"/>
      <c r="C292" s="605"/>
      <c r="D292" s="605"/>
      <c r="E292" s="605"/>
      <c r="F292" s="605"/>
      <c r="G292" s="605"/>
      <c r="H292" s="605"/>
      <c r="I292" s="605"/>
      <c r="J292" s="605"/>
      <c r="K292" s="605"/>
      <c r="L292" s="605"/>
      <c r="M292" s="605"/>
      <c r="N292" s="605"/>
      <c r="O292" s="605"/>
      <c r="P292" s="605"/>
      <c r="Q292" s="605"/>
      <c r="R292" s="605"/>
      <c r="S292" s="605"/>
      <c r="T292" s="605"/>
      <c r="U292" s="605"/>
      <c r="V292" s="605"/>
      <c r="W292" s="605"/>
      <c r="X292" s="605"/>
    </row>
    <row r="293" spans="1:24" ht="11.25" customHeight="1" x14ac:dyDescent="0.25"/>
    <row r="294" spans="1:24" ht="11.25" customHeight="1" x14ac:dyDescent="0.25"/>
    <row r="295" spans="1:24" ht="11.25" customHeight="1" x14ac:dyDescent="0.25"/>
    <row r="296" spans="1:24" ht="11.25" customHeight="1" x14ac:dyDescent="0.25"/>
    <row r="297" spans="1:24" ht="11.25" customHeight="1" x14ac:dyDescent="0.25"/>
    <row r="298" spans="1:24" ht="11.25" customHeight="1" x14ac:dyDescent="0.25"/>
    <row r="299" spans="1:24" ht="11.25" customHeight="1" x14ac:dyDescent="0.25"/>
    <row r="300" spans="1:24" ht="11.25" customHeight="1" x14ac:dyDescent="0.25"/>
    <row r="301" spans="1:24" ht="11.25" customHeight="1" x14ac:dyDescent="0.25"/>
    <row r="302" spans="1:24" ht="11.25" customHeight="1" x14ac:dyDescent="0.25"/>
    <row r="303" spans="1:24" ht="11.25" customHeight="1" x14ac:dyDescent="0.25"/>
    <row r="304" spans="1:24" ht="11.25" customHeight="1" x14ac:dyDescent="0.25"/>
    <row r="305" ht="11.25" customHeight="1" x14ac:dyDescent="0.25"/>
  </sheetData>
  <mergeCells count="10">
    <mergeCell ref="A290:X290"/>
    <mergeCell ref="A291:X291"/>
    <mergeCell ref="A292:X292"/>
    <mergeCell ref="A191:X191"/>
    <mergeCell ref="A192:X192"/>
    <mergeCell ref="A193:X193"/>
    <mergeCell ref="A246:L246"/>
    <mergeCell ref="N246:X246"/>
    <mergeCell ref="N199:X199"/>
    <mergeCell ref="B199:L199"/>
  </mergeCells>
  <pageMargins left="0.7" right="0.7" top="0.75" bottom="0.75" header="0.3" footer="0.3"/>
  <pageSetup scale="90" orientation="landscape" r:id="rId1"/>
  <rowBreaks count="1" manualBreakCount="1">
    <brk id="243" max="2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5"/>
  <dimension ref="A1:L292"/>
  <sheetViews>
    <sheetView showGridLines="0" topLeftCell="A228" zoomScaleNormal="100" zoomScaleSheetLayoutView="90" workbookViewId="0">
      <selection sqref="A1:J2"/>
    </sheetView>
  </sheetViews>
  <sheetFormatPr defaultRowHeight="15.75" x14ac:dyDescent="0.25"/>
  <cols>
    <col min="1" max="1" width="8.75" style="340" customWidth="1"/>
    <col min="2" max="11" width="6.375" style="340" customWidth="1"/>
    <col min="12" max="12" width="9.25" style="340" customWidth="1"/>
    <col min="13" max="16384" width="9" style="340"/>
  </cols>
  <sheetData>
    <row r="1" spans="1:12" ht="11.25" customHeight="1" x14ac:dyDescent="0.25">
      <c r="A1" s="374" t="s">
        <v>245</v>
      </c>
      <c r="B1" s="374"/>
      <c r="C1" s="374"/>
      <c r="D1" s="374"/>
      <c r="E1" s="374"/>
      <c r="F1" s="374"/>
      <c r="G1" s="374"/>
      <c r="H1" s="374"/>
      <c r="I1" s="374"/>
      <c r="J1" s="374"/>
      <c r="K1" s="374"/>
      <c r="L1" s="374"/>
    </row>
    <row r="2" spans="1:12" ht="11.25" customHeight="1" x14ac:dyDescent="0.25">
      <c r="A2" s="2" t="s">
        <v>33</v>
      </c>
      <c r="B2" s="58" t="s">
        <v>42</v>
      </c>
      <c r="C2" s="58" t="s">
        <v>43</v>
      </c>
      <c r="D2" s="58" t="s">
        <v>34</v>
      </c>
      <c r="E2" s="58" t="s">
        <v>35</v>
      </c>
      <c r="F2" s="58" t="s">
        <v>36</v>
      </c>
      <c r="G2" s="58" t="s">
        <v>37</v>
      </c>
      <c r="H2" s="58" t="s">
        <v>38</v>
      </c>
      <c r="I2" s="58" t="s">
        <v>39</v>
      </c>
      <c r="J2" s="58" t="s">
        <v>40</v>
      </c>
      <c r="K2" s="58" t="s">
        <v>44</v>
      </c>
      <c r="L2" s="58" t="s">
        <v>28</v>
      </c>
    </row>
    <row r="3" spans="1:12" ht="11.25" customHeight="1" x14ac:dyDescent="0.25">
      <c r="A3" s="116" t="s">
        <v>301</v>
      </c>
    </row>
    <row r="4" spans="1:12" ht="11.25" customHeight="1" x14ac:dyDescent="0.25">
      <c r="A4" s="383">
        <v>1976</v>
      </c>
      <c r="B4" s="200" t="s">
        <v>29</v>
      </c>
      <c r="C4" s="200" t="str">
        <f>IF(AND('A-9'!B53="-",'A-9'!B100="-",'A-9'!B147="-"),"-",SUM('A-9'!B53,'A-9'!B100,'A-9'!B147))</f>
        <v>-</v>
      </c>
      <c r="D4" s="200">
        <f>IF(AND('A-9'!C53="-",'A-9'!C100="-",'A-9'!C147="-"),"-",SUM('A-9'!C53,'A-9'!C100,'A-9'!C147))</f>
        <v>0</v>
      </c>
      <c r="E4" s="200">
        <f>IF(AND('A-9'!D53="-",'A-9'!D100="-",'A-9'!D147="-"),"-",SUM('A-9'!D53,'A-9'!D100,'A-9'!D147))</f>
        <v>10200</v>
      </c>
      <c r="F4" s="200">
        <f>IF(AND('A-9'!E53="-",'A-9'!E100="-",'A-9'!E147="-"),"-",SUM('A-9'!E53,'A-9'!E100,'A-9'!E147))</f>
        <v>53128</v>
      </c>
      <c r="G4" s="200">
        <f>IF(AND('A-9'!F53="-",'A-9'!F100="-",'A-9'!F147="-"),"-",SUM('A-9'!F53,'A-9'!F100,'A-9'!F147))</f>
        <v>104387</v>
      </c>
      <c r="H4" s="200">
        <f>IF(AND('A-9'!G53="-",'A-9'!G100="-",'A-9'!G147="-"),"-",SUM('A-9'!G53,'A-9'!G100,'A-9'!G147))</f>
        <v>136967</v>
      </c>
      <c r="I4" s="200">
        <f>IF(AND('A-9'!H53="-",'A-9'!H100="-",'A-9'!H147="-"),"-",SUM('A-9'!H53,'A-9'!H100,'A-9'!H147))</f>
        <v>35595</v>
      </c>
      <c r="J4" s="200">
        <f>IF(AND('A-9'!I53="-",'A-9'!I100="-",'A-9'!I147="-"),"-",SUM('A-9'!I53,'A-9'!I100,'A-9'!I147))</f>
        <v>1687</v>
      </c>
      <c r="K4" s="200">
        <f>IF(AND('A-9'!J53="-",'A-9'!J100="-",'A-9'!J147="-"),"-",SUM('A-9'!J53,'A-9'!J100,'A-9'!J147))</f>
        <v>170</v>
      </c>
      <c r="L4" s="200">
        <f>IF(AND('A-9'!K53="-",'A-9'!K100="-",'A-9'!K147="-"),"-",SUM('A-9'!K53,'A-9'!K100,'A-9'!K147))</f>
        <v>342134</v>
      </c>
    </row>
    <row r="5" spans="1:12" ht="11.25" customHeight="1" x14ac:dyDescent="0.25">
      <c r="A5" s="383">
        <v>1977</v>
      </c>
      <c r="B5" s="200" t="s">
        <v>29</v>
      </c>
      <c r="C5" s="200" t="str">
        <f>IF(AND('A-9'!B54="-",'A-9'!B101="-",'A-9'!B148="-"),"-",SUM('A-9'!B54,'A-9'!B101,'A-9'!B148))</f>
        <v>-</v>
      </c>
      <c r="D5" s="200">
        <f>IF(AND('A-9'!C54="-",'A-9'!C101="-",'A-9'!C148="-"),"-",SUM('A-9'!C54,'A-9'!C101,'A-9'!C148))</f>
        <v>0</v>
      </c>
      <c r="E5" s="200">
        <f>IF(AND('A-9'!D54="-",'A-9'!D101="-",'A-9'!D148="-"),"-",SUM('A-9'!D54,'A-9'!D101,'A-9'!D148))</f>
        <v>13374</v>
      </c>
      <c r="F5" s="200">
        <f>IF(AND('A-9'!E54="-",'A-9'!E101="-",'A-9'!E148="-"),"-",SUM('A-9'!E54,'A-9'!E101,'A-9'!E148))</f>
        <v>31937</v>
      </c>
      <c r="G5" s="200">
        <f>IF(AND('A-9'!F54="-",'A-9'!F101="-",'A-9'!F148="-"),"-",SUM('A-9'!F54,'A-9'!F101,'A-9'!F148))</f>
        <v>94028</v>
      </c>
      <c r="H5" s="200">
        <f>IF(AND('A-9'!G54="-",'A-9'!G101="-",'A-9'!G148="-"),"-",SUM('A-9'!G54,'A-9'!G101,'A-9'!G148))</f>
        <v>79358</v>
      </c>
      <c r="I5" s="200">
        <f>IF(AND('A-9'!H54="-",'A-9'!H101="-",'A-9'!H148="-"),"-",SUM('A-9'!H54,'A-9'!H101,'A-9'!H148))</f>
        <v>22164</v>
      </c>
      <c r="J5" s="200">
        <f>IF(AND('A-9'!I54="-",'A-9'!I101="-",'A-9'!I148="-"),"-",SUM('A-9'!I54,'A-9'!I101,'A-9'!I148))</f>
        <v>772</v>
      </c>
      <c r="K5" s="200">
        <f>IF(AND('A-9'!J54="-",'A-9'!J101="-",'A-9'!J148="-"),"-",SUM('A-9'!J54,'A-9'!J101,'A-9'!J148))</f>
        <v>132</v>
      </c>
      <c r="L5" s="200">
        <f>IF(AND('A-9'!K54="-",'A-9'!K101="-",'A-9'!K148="-"),"-",SUM('A-9'!K54,'A-9'!K101,'A-9'!K148))</f>
        <v>241765</v>
      </c>
    </row>
    <row r="6" spans="1:12" ht="11.25" customHeight="1" x14ac:dyDescent="0.25">
      <c r="A6" s="383">
        <v>1978</v>
      </c>
      <c r="B6" s="200" t="s">
        <v>29</v>
      </c>
      <c r="C6" s="200" t="str">
        <f>IF(AND('A-9'!B55="-",'A-9'!B102="-",'A-9'!B149="-"),"-",SUM('A-9'!B55,'A-9'!B102,'A-9'!B149))</f>
        <v>-</v>
      </c>
      <c r="D6" s="200">
        <f>IF(AND('A-9'!C55="-",'A-9'!C102="-",'A-9'!C149="-"),"-",SUM('A-9'!C55,'A-9'!C102,'A-9'!C149))</f>
        <v>0</v>
      </c>
      <c r="E6" s="200">
        <f>IF(AND('A-9'!D55="-",'A-9'!D102="-",'A-9'!D149="-"),"-",SUM('A-9'!D55,'A-9'!D102,'A-9'!D149))</f>
        <v>9437</v>
      </c>
      <c r="F6" s="200">
        <f>IF(AND('A-9'!E55="-",'A-9'!E102="-",'A-9'!E149="-"),"-",SUM('A-9'!E55,'A-9'!E102,'A-9'!E149))</f>
        <v>46509</v>
      </c>
      <c r="G6" s="200">
        <f>IF(AND('A-9'!F55="-",'A-9'!F102="-",'A-9'!F149="-"),"-",SUM('A-9'!F55,'A-9'!F102,'A-9'!F149))</f>
        <v>97360</v>
      </c>
      <c r="H6" s="200">
        <f>IF(AND('A-9'!G55="-",'A-9'!G102="-",'A-9'!G149="-"),"-",SUM('A-9'!G55,'A-9'!G102,'A-9'!G149))</f>
        <v>75326</v>
      </c>
      <c r="I6" s="200">
        <f>IF(AND('A-9'!H55="-",'A-9'!H102="-",'A-9'!H149="-"),"-",SUM('A-9'!H55,'A-9'!H102,'A-9'!H149))</f>
        <v>19096</v>
      </c>
      <c r="J6" s="200">
        <f>IF(AND('A-9'!I55="-",'A-9'!I102="-",'A-9'!I149="-"),"-",SUM('A-9'!I55,'A-9'!I102,'A-9'!I149))</f>
        <v>4291</v>
      </c>
      <c r="K6" s="60" t="s">
        <v>116</v>
      </c>
      <c r="L6" s="200">
        <f>IF(AND('A-9'!K55="-",'A-9'!K102="-",'A-9'!K149="-"),"-",SUM('A-9'!K55,'A-9'!K102,'A-9'!K149))</f>
        <v>252019</v>
      </c>
    </row>
    <row r="7" spans="1:12" ht="11.25" customHeight="1" x14ac:dyDescent="0.25">
      <c r="A7" s="383">
        <v>1979</v>
      </c>
      <c r="B7" s="200" t="s">
        <v>29</v>
      </c>
      <c r="C7" s="200" t="str">
        <f>IF(AND('A-9'!B56="-",'A-9'!B103="-",'A-9'!B150="-"),"-",SUM('A-9'!B56,'A-9'!B103,'A-9'!B150))</f>
        <v>-</v>
      </c>
      <c r="D7" s="200" t="str">
        <f>IF(AND('A-9'!C56="-",'A-9'!C103="-",'A-9'!C150="-"),"-",SUM('A-9'!C56,'A-9'!C103,'A-9'!C150))</f>
        <v>-</v>
      </c>
      <c r="E7" s="200">
        <f>IF(AND('A-9'!D56="-",'A-9'!D103="-",'A-9'!D150="-"),"-",SUM('A-9'!D56,'A-9'!D103,'A-9'!D150))</f>
        <v>7755</v>
      </c>
      <c r="F7" s="200">
        <f>IF(AND('A-9'!E56="-",'A-9'!E103="-",'A-9'!E150="-"),"-",SUM('A-9'!E56,'A-9'!E103,'A-9'!E150))</f>
        <v>32881</v>
      </c>
      <c r="G7" s="200">
        <f>IF(AND('A-9'!F56="-",'A-9'!F103="-",'A-9'!F150="-"),"-",SUM('A-9'!F56,'A-9'!F103,'A-9'!F150))</f>
        <v>87940</v>
      </c>
      <c r="H7" s="200">
        <f>IF(AND('A-9'!G56="-",'A-9'!G103="-",'A-9'!G150="-"),"-",SUM('A-9'!G56,'A-9'!G103,'A-9'!G150))</f>
        <v>68447</v>
      </c>
      <c r="I7" s="200">
        <f>IF(AND('A-9'!H56="-",'A-9'!H103="-",'A-9'!H150="-"),"-",SUM('A-9'!H56,'A-9'!H103,'A-9'!H150))</f>
        <v>1096</v>
      </c>
      <c r="J7" s="200" t="str">
        <f>IF(AND('A-9'!I56="-",'A-9'!I103="-",'A-9'!I150="-"),"-",SUM('A-9'!I56,'A-9'!I103,'A-9'!I150))</f>
        <v>-</v>
      </c>
      <c r="K7" s="60" t="s">
        <v>116</v>
      </c>
      <c r="L7" s="200">
        <f>IF(AND('A-9'!K56="-",'A-9'!K103="-",'A-9'!K150="-"),"-",SUM('A-9'!K56,'A-9'!K103,'A-9'!K150))</f>
        <v>198119</v>
      </c>
    </row>
    <row r="8" spans="1:12" ht="11.25" customHeight="1" x14ac:dyDescent="0.25">
      <c r="A8" s="383">
        <v>1980</v>
      </c>
      <c r="B8" s="200" t="s">
        <v>29</v>
      </c>
      <c r="C8" s="200" t="str">
        <f>IF(AND('A-9'!B57="-",'A-9'!B104="-",'A-9'!B151="-"),"-",SUM('A-9'!B57,'A-9'!B104,'A-9'!B151))</f>
        <v>-</v>
      </c>
      <c r="D8" s="200" t="str">
        <f>IF(AND('A-9'!C57="-",'A-9'!C104="-",'A-9'!C151="-"),"-",SUM('A-9'!C57,'A-9'!C104,'A-9'!C151))</f>
        <v>-</v>
      </c>
      <c r="E8" s="200">
        <f>IF(AND('A-9'!D57="-",'A-9'!D104="-",'A-9'!D151="-"),"-",SUM('A-9'!D57,'A-9'!D104,'A-9'!D151))</f>
        <v>4358</v>
      </c>
      <c r="F8" s="200">
        <f>IF(AND('A-9'!E57="-",'A-9'!E104="-",'A-9'!E151="-"),"-",SUM('A-9'!E57,'A-9'!E104,'A-9'!E151))</f>
        <v>57335</v>
      </c>
      <c r="G8" s="200">
        <f>IF(AND('A-9'!F57="-",'A-9'!F104="-",'A-9'!F151="-"),"-",SUM('A-9'!F57,'A-9'!F104,'A-9'!F151))</f>
        <v>102423</v>
      </c>
      <c r="H8" s="200">
        <f>IF(AND('A-9'!G57="-",'A-9'!G104="-",'A-9'!G151="-"),"-",SUM('A-9'!G57,'A-9'!G104,'A-9'!G151))</f>
        <v>55044</v>
      </c>
      <c r="I8" s="200">
        <f>IF(AND('A-9'!H57="-",'A-9'!H104="-",'A-9'!H151="-"),"-",SUM('A-9'!H57,'A-9'!H104,'A-9'!H151))</f>
        <v>9947</v>
      </c>
      <c r="J8" s="60" t="s">
        <v>116</v>
      </c>
      <c r="K8" s="60" t="s">
        <v>116</v>
      </c>
      <c r="L8" s="200">
        <f>IF(AND('A-9'!K57="-",'A-9'!K104="-",'A-9'!K151="-"),"-",SUM('A-9'!K57,'A-9'!K104,'A-9'!K151))</f>
        <v>229107</v>
      </c>
    </row>
    <row r="9" spans="1:12" ht="11.25" customHeight="1" x14ac:dyDescent="0.25">
      <c r="A9" s="383">
        <v>1981</v>
      </c>
      <c r="B9" s="200" t="s">
        <v>29</v>
      </c>
      <c r="C9" s="200" t="str">
        <f>IF(AND('A-9'!B58="-",'A-9'!B105="-",'A-9'!B152="-"),"-",SUM('A-9'!B58,'A-9'!B105,'A-9'!B152))</f>
        <v>-</v>
      </c>
      <c r="D9" s="200" t="str">
        <f>IF(AND('A-9'!C58="-",'A-9'!C105="-",'A-9'!C152="-"),"-",SUM('A-9'!C58,'A-9'!C105,'A-9'!C152))</f>
        <v>-</v>
      </c>
      <c r="E9" s="200">
        <f>IF(AND('A-9'!D58="-",'A-9'!D105="-",'A-9'!D152="-"),"-",SUM('A-9'!D58,'A-9'!D105,'A-9'!D152))</f>
        <v>10195</v>
      </c>
      <c r="F9" s="200">
        <f>IF(AND('A-9'!E58="-",'A-9'!E105="-",'A-9'!E152="-"),"-",SUM('A-9'!E58,'A-9'!E105,'A-9'!E152))</f>
        <v>24327</v>
      </c>
      <c r="G9" s="200">
        <f>IF(AND('A-9'!F58="-",'A-9'!F105="-",'A-9'!F152="-"),"-",SUM('A-9'!F58,'A-9'!F105,'A-9'!F152))</f>
        <v>74344</v>
      </c>
      <c r="H9" s="200">
        <f>IF(AND('A-9'!G58="-",'A-9'!G105="-",'A-9'!G152="-"),"-",SUM('A-9'!G58,'A-9'!G105,'A-9'!G152))</f>
        <v>70900</v>
      </c>
      <c r="I9" s="200">
        <f>IF(AND('A-9'!H58="-",'A-9'!H105="-",'A-9'!H152="-"),"-",SUM('A-9'!H58,'A-9'!H105,'A-9'!H152))</f>
        <v>19487</v>
      </c>
      <c r="J9" s="60" t="s">
        <v>116</v>
      </c>
      <c r="K9" s="60" t="s">
        <v>116</v>
      </c>
      <c r="L9" s="200">
        <f>IF(AND('A-9'!K58="-",'A-9'!K105="-",'A-9'!K152="-"),"-",SUM('A-9'!K58,'A-9'!K105,'A-9'!K152))</f>
        <v>199253</v>
      </c>
    </row>
    <row r="10" spans="1:12" ht="11.25" customHeight="1" x14ac:dyDescent="0.25">
      <c r="A10" s="383">
        <v>1982</v>
      </c>
      <c r="B10" s="200" t="s">
        <v>29</v>
      </c>
      <c r="C10" s="200" t="str">
        <f>IF(AND('A-9'!B59="-",'A-9'!B106="-",'A-9'!B153="-"),"-",SUM('A-9'!B59,'A-9'!B106,'A-9'!B153))</f>
        <v>-</v>
      </c>
      <c r="D10" s="200" t="str">
        <f>IF(AND('A-9'!C59="-",'A-9'!C106="-",'A-9'!C153="-"),"-",SUM('A-9'!C59,'A-9'!C106,'A-9'!C153))</f>
        <v>-</v>
      </c>
      <c r="E10" s="200">
        <f>IF(AND('A-9'!D59="-",'A-9'!D106="-",'A-9'!D153="-"),"-",SUM('A-9'!D59,'A-9'!D106,'A-9'!D153))</f>
        <v>363</v>
      </c>
      <c r="F10" s="200">
        <f>IF(AND('A-9'!E59="-",'A-9'!E106="-",'A-9'!E153="-"),"-",SUM('A-9'!E59,'A-9'!E106,'A-9'!E153))</f>
        <v>22037</v>
      </c>
      <c r="G10" s="200">
        <f>IF(AND('A-9'!F59="-",'A-9'!F106="-",'A-9'!F153="-"),"-",SUM('A-9'!F59,'A-9'!F106,'A-9'!F153))</f>
        <v>115039</v>
      </c>
      <c r="H10" s="200" t="str">
        <f>IF(AND('A-9'!G59="-",'A-9'!G106="-",'A-9'!G153="-"),"-",SUM('A-9'!G59,'A-9'!G106,'A-9'!G153))</f>
        <v>-</v>
      </c>
      <c r="I10" s="200" t="str">
        <f>IF(AND('A-9'!H59="-",'A-9'!H106="-",'A-9'!H153="-"),"-",SUM('A-9'!H59,'A-9'!H106,'A-9'!H153))</f>
        <v>-</v>
      </c>
      <c r="J10" s="60" t="s">
        <v>116</v>
      </c>
      <c r="K10" s="60" t="s">
        <v>116</v>
      </c>
      <c r="L10" s="200">
        <f>IF(AND('A-9'!K59="-",'A-9'!K106="-",'A-9'!K153="-"),"-",SUM('A-9'!K59,'A-9'!K106,'A-9'!K153))</f>
        <v>137439</v>
      </c>
    </row>
    <row r="11" spans="1:12" ht="11.25" customHeight="1" x14ac:dyDescent="0.25">
      <c r="A11" s="383">
        <v>1983</v>
      </c>
      <c r="B11" s="200" t="s">
        <v>29</v>
      </c>
      <c r="C11" s="200" t="str">
        <f>IF(AND('A-9'!B60="-",'A-9'!B107="-",'A-9'!B154="-"),"-",SUM('A-9'!B60,'A-9'!B107,'A-9'!B154))</f>
        <v>-</v>
      </c>
      <c r="D11" s="200" t="str">
        <f>IF(AND('A-9'!C60="-",'A-9'!C107="-",'A-9'!C154="-"),"-",SUM('A-9'!C60,'A-9'!C107,'A-9'!C154))</f>
        <v>-</v>
      </c>
      <c r="E11" s="200" t="str">
        <f>IF(AND('A-9'!D60="-",'A-9'!D107="-",'A-9'!D154="-"),"-",SUM('A-9'!D60,'A-9'!D107,'A-9'!D154))</f>
        <v>-</v>
      </c>
      <c r="F11" s="200">
        <f>IF(AND('A-9'!E60="-",'A-9'!E107="-",'A-9'!E154="-"),"-",SUM('A-9'!E60,'A-9'!E107,'A-9'!E154))</f>
        <v>19005</v>
      </c>
      <c r="G11" s="200">
        <f>IF(AND('A-9'!F60="-",'A-9'!F107="-",'A-9'!F154="-"),"-",SUM('A-9'!F60,'A-9'!F107,'A-9'!F154))</f>
        <v>72414</v>
      </c>
      <c r="H11" s="200">
        <f>IF(AND('A-9'!G60="-",'A-9'!G107="-",'A-9'!G154="-"),"-",SUM('A-9'!G60,'A-9'!G107,'A-9'!G154))</f>
        <v>32378</v>
      </c>
      <c r="I11" s="200">
        <f>IF(AND('A-9'!H60="-",'A-9'!H107="-",'A-9'!H154="-"),"-",SUM('A-9'!H60,'A-9'!H107,'A-9'!H154))</f>
        <v>15697</v>
      </c>
      <c r="J11" s="60" t="s">
        <v>116</v>
      </c>
      <c r="K11" s="60" t="s">
        <v>116</v>
      </c>
      <c r="L11" s="200">
        <f>IF(AND('A-9'!K60="-",'A-9'!K107="-",'A-9'!K154="-"),"-",SUM('A-9'!K60,'A-9'!K107,'A-9'!K154))</f>
        <v>139494</v>
      </c>
    </row>
    <row r="12" spans="1:12" ht="11.25" customHeight="1" x14ac:dyDescent="0.25">
      <c r="A12" s="383">
        <v>1984</v>
      </c>
      <c r="B12" s="200" t="s">
        <v>29</v>
      </c>
      <c r="C12" s="200" t="str">
        <f>IF(AND('A-9'!B61="-",'A-9'!B108="-",'A-9'!B155="-"),"-",SUM('A-9'!B61,'A-9'!B108,'A-9'!B155))</f>
        <v>-</v>
      </c>
      <c r="D12" s="200" t="str">
        <f>IF(AND('A-9'!C61="-",'A-9'!C108="-",'A-9'!C155="-"),"-",SUM('A-9'!C61,'A-9'!C108,'A-9'!C155))</f>
        <v>-</v>
      </c>
      <c r="E12" s="200" t="str">
        <f>IF(AND('A-9'!D61="-",'A-9'!D108="-",'A-9'!D155="-"),"-",SUM('A-9'!D61,'A-9'!D108,'A-9'!D155))</f>
        <v>-</v>
      </c>
      <c r="F12" s="200" t="str">
        <f>IF(AND('A-9'!E61="-",'A-9'!E108="-",'A-9'!E155="-"),"-",SUM('A-9'!E61,'A-9'!E108,'A-9'!E155))</f>
        <v>-</v>
      </c>
      <c r="G12" s="200">
        <f>IF(AND('A-9'!F61="-",'A-9'!F108="-",'A-9'!F155="-"),"-",SUM('A-9'!F61,'A-9'!F108,'A-9'!F155))</f>
        <v>57824</v>
      </c>
      <c r="H12" s="200">
        <f>IF(AND('A-9'!G61="-",'A-9'!G108="-",'A-9'!G155="-"),"-",SUM('A-9'!G61,'A-9'!G108,'A-9'!G155))</f>
        <v>46640</v>
      </c>
      <c r="I12" s="200">
        <f>IF(AND('A-9'!H61="-",'A-9'!H108="-",'A-9'!H155="-"),"-",SUM('A-9'!H61,'A-9'!H108,'A-9'!H155))</f>
        <v>2318</v>
      </c>
      <c r="J12" s="60" t="s">
        <v>116</v>
      </c>
      <c r="K12" s="60" t="s">
        <v>116</v>
      </c>
      <c r="L12" s="200">
        <f>IF(AND('A-9'!K61="-",'A-9'!K108="-",'A-9'!K155="-"),"-",SUM('A-9'!K61,'A-9'!K108,'A-9'!K155))</f>
        <v>106782</v>
      </c>
    </row>
    <row r="13" spans="1:12" ht="11.25" customHeight="1" x14ac:dyDescent="0.25">
      <c r="A13" s="383">
        <v>1985</v>
      </c>
      <c r="B13" s="200" t="s">
        <v>29</v>
      </c>
      <c r="C13" s="200" t="str">
        <f>IF(AND('A-9'!B62="-",'A-9'!B109="-",'A-9'!B156="-"),"-",SUM('A-9'!B62,'A-9'!B109,'A-9'!B156))</f>
        <v>-</v>
      </c>
      <c r="D13" s="200" t="str">
        <f>IF(AND('A-9'!C62="-",'A-9'!C109="-",'A-9'!C156="-"),"-",SUM('A-9'!C62,'A-9'!C109,'A-9'!C156))</f>
        <v>-</v>
      </c>
      <c r="E13" s="200" t="str">
        <f>IF(AND('A-9'!D62="-",'A-9'!D109="-",'A-9'!D156="-"),"-",SUM('A-9'!D62,'A-9'!D109,'A-9'!D156))</f>
        <v>-</v>
      </c>
      <c r="F13" s="200" t="str">
        <f>IF(AND('A-9'!E62="-",'A-9'!E109="-",'A-9'!E156="-"),"-",SUM('A-9'!E62,'A-9'!E109,'A-9'!E156))</f>
        <v>-</v>
      </c>
      <c r="G13" s="200">
        <f>IF(AND('A-9'!F62="-",'A-9'!F109="-",'A-9'!F156="-"),"-",SUM('A-9'!F62,'A-9'!F109,'A-9'!F156))</f>
        <v>70473</v>
      </c>
      <c r="H13" s="200">
        <f>IF(AND('A-9'!G62="-",'A-9'!G109="-",'A-9'!G156="-"),"-",SUM('A-9'!G62,'A-9'!G109,'A-9'!G156))</f>
        <v>95329</v>
      </c>
      <c r="I13" s="200">
        <f>IF(AND('A-9'!H62="-",'A-9'!H109="-",'A-9'!H156="-"),"-",SUM('A-9'!H62,'A-9'!H109,'A-9'!H156))</f>
        <v>5206</v>
      </c>
      <c r="J13" s="200">
        <f>IF(AND('A-9'!I62="-",'A-9'!I109="-",'A-9'!I156="-"),"-",SUM('A-9'!I62,'A-9'!I109,'A-9'!I156))</f>
        <v>1603</v>
      </c>
      <c r="K13" s="60" t="s">
        <v>116</v>
      </c>
      <c r="L13" s="200">
        <f>IF(AND('A-9'!K62="-",'A-9'!K109="-",'A-9'!K156="-"),"-",SUM('A-9'!K62,'A-9'!K109,'A-9'!K156))</f>
        <v>172611</v>
      </c>
    </row>
    <row r="14" spans="1:12" ht="11.25" customHeight="1" x14ac:dyDescent="0.25">
      <c r="A14" s="383">
        <v>1986</v>
      </c>
      <c r="B14" s="200" t="s">
        <v>29</v>
      </c>
      <c r="C14" s="200" t="str">
        <f>IF(AND('A-9'!B63="-",'A-9'!B110="-",'A-9'!B157="-"),"-",SUM('A-9'!B63,'A-9'!B110,'A-9'!B157))</f>
        <v>-</v>
      </c>
      <c r="D14" s="200" t="str">
        <f>IF(AND('A-9'!C63="-",'A-9'!C110="-",'A-9'!C157="-"),"-",SUM('A-9'!C63,'A-9'!C110,'A-9'!C157))</f>
        <v>-</v>
      </c>
      <c r="E14" s="200">
        <f>IF(AND('A-9'!D63="-",'A-9'!D110="-",'A-9'!D157="-"),"-",SUM('A-9'!D63,'A-9'!D110,'A-9'!D157))</f>
        <v>2168</v>
      </c>
      <c r="F14" s="200">
        <f>IF(AND('A-9'!E63="-",'A-9'!E110="-",'A-9'!E157="-"),"-",SUM('A-9'!E63,'A-9'!E110,'A-9'!E157))</f>
        <v>10741</v>
      </c>
      <c r="G14" s="200">
        <f>IF(AND('A-9'!F63="-",'A-9'!F110="-",'A-9'!F157="-"),"-",SUM('A-9'!F63,'A-9'!F110,'A-9'!F157))</f>
        <v>85444</v>
      </c>
      <c r="H14" s="200">
        <f>IF(AND('A-9'!G63="-",'A-9'!G110="-",'A-9'!G157="-"),"-",SUM('A-9'!G63,'A-9'!G110,'A-9'!G157))</f>
        <v>15333</v>
      </c>
      <c r="I14" s="200">
        <f>IF(AND('A-9'!H63="-",'A-9'!H110="-",'A-9'!H157="-"),"-",SUM('A-9'!H63,'A-9'!H110,'A-9'!H157))</f>
        <v>0</v>
      </c>
      <c r="J14" s="60" t="s">
        <v>116</v>
      </c>
      <c r="K14" s="60" t="s">
        <v>116</v>
      </c>
      <c r="L14" s="200">
        <f>IF(AND('A-9'!K63="-",'A-9'!K110="-",'A-9'!K157="-"),"-",SUM('A-9'!K63,'A-9'!K110,'A-9'!K157))</f>
        <v>113686</v>
      </c>
    </row>
    <row r="15" spans="1:12" ht="11.25" customHeight="1" x14ac:dyDescent="0.25">
      <c r="A15" s="383">
        <v>1987</v>
      </c>
      <c r="B15" s="200" t="s">
        <v>29</v>
      </c>
      <c r="C15" s="200" t="str">
        <f>IF(AND('A-9'!B64="-",'A-9'!B111="-",'A-9'!B158="-"),"-",SUM('A-9'!B64,'A-9'!B111,'A-9'!B158))</f>
        <v>-</v>
      </c>
      <c r="D15" s="200" t="str">
        <f>IF(AND('A-9'!C64="-",'A-9'!C111="-",'A-9'!C158="-"),"-",SUM('A-9'!C64,'A-9'!C111,'A-9'!C158))</f>
        <v>-</v>
      </c>
      <c r="E15" s="200" t="str">
        <f>IF(AND('A-9'!D64="-",'A-9'!D111="-",'A-9'!D158="-"),"-",SUM('A-9'!D64,'A-9'!D111,'A-9'!D158))</f>
        <v>-</v>
      </c>
      <c r="F15" s="200">
        <f>IF(AND('A-9'!E64="-",'A-9'!E111="-",'A-9'!E158="-"),"-",SUM('A-9'!E64,'A-9'!E111,'A-9'!E158))</f>
        <v>10925</v>
      </c>
      <c r="G15" s="200">
        <f>IF(AND('A-9'!F64="-",'A-9'!F111="-",'A-9'!F158="-"),"-",SUM('A-9'!F64,'A-9'!F111,'A-9'!F158))</f>
        <v>93007</v>
      </c>
      <c r="H15" s="200">
        <f>IF(AND('A-9'!G64="-",'A-9'!G111="-",'A-9'!G158="-"),"-",SUM('A-9'!G64,'A-9'!G111,'A-9'!G158))</f>
        <v>46977</v>
      </c>
      <c r="I15" s="200">
        <f>IF(AND('A-9'!H64="-",'A-9'!H111="-",'A-9'!H158="-"),"-",SUM('A-9'!H64,'A-9'!H111,'A-9'!H158))</f>
        <v>17621</v>
      </c>
      <c r="J15" s="60" t="s">
        <v>116</v>
      </c>
      <c r="K15" s="60" t="s">
        <v>116</v>
      </c>
      <c r="L15" s="200">
        <f>IF(AND('A-9'!K64="-",'A-9'!K111="-",'A-9'!K158="-"),"-",SUM('A-9'!K64,'A-9'!K111,'A-9'!K158))</f>
        <v>168530</v>
      </c>
    </row>
    <row r="16" spans="1:12" ht="11.25" customHeight="1" x14ac:dyDescent="0.25">
      <c r="A16" s="383">
        <v>1988</v>
      </c>
      <c r="B16" s="200" t="s">
        <v>29</v>
      </c>
      <c r="C16" s="200" t="str">
        <f>IF(AND('A-9'!B65="-",'A-9'!B112="-",'A-9'!B159="-"),"-",SUM('A-9'!B65,'A-9'!B112,'A-9'!B159))</f>
        <v>-</v>
      </c>
      <c r="D16" s="200" t="str">
        <f>IF(AND('A-9'!C65="-",'A-9'!C112="-",'A-9'!C159="-"),"-",SUM('A-9'!C65,'A-9'!C112,'A-9'!C159))</f>
        <v>-</v>
      </c>
      <c r="E16" s="200">
        <f>IF(AND('A-9'!D65="-",'A-9'!D112="-",'A-9'!D159="-"),"-",SUM('A-9'!D65,'A-9'!D112,'A-9'!D159))</f>
        <v>2640</v>
      </c>
      <c r="F16" s="200">
        <f>IF(AND('A-9'!E65="-",'A-9'!E112="-",'A-9'!E159="-"),"-",SUM('A-9'!E65,'A-9'!E112,'A-9'!E159))</f>
        <v>19033</v>
      </c>
      <c r="G16" s="200">
        <f>IF(AND('A-9'!F65="-",'A-9'!F112="-",'A-9'!F159="-"),"-",SUM('A-9'!F65,'A-9'!F112,'A-9'!F159))</f>
        <v>80627</v>
      </c>
      <c r="H16" s="200">
        <f>IF(AND('A-9'!G65="-",'A-9'!G112="-",'A-9'!G159="-"),"-",SUM('A-9'!G65,'A-9'!G112,'A-9'!G159))</f>
        <v>69040</v>
      </c>
      <c r="I16" s="200">
        <f>IF(AND('A-9'!H65="-",'A-9'!H112="-",'A-9'!H159="-"),"-",SUM('A-9'!H65,'A-9'!H112,'A-9'!H159))</f>
        <v>20492</v>
      </c>
      <c r="J16" s="60" t="s">
        <v>116</v>
      </c>
      <c r="K16" s="60" t="s">
        <v>116</v>
      </c>
      <c r="L16" s="200">
        <f>IF(AND('A-9'!K65="-",'A-9'!K112="-",'A-9'!K159="-"),"-",SUM('A-9'!K65,'A-9'!K112,'A-9'!K159))</f>
        <v>191832</v>
      </c>
    </row>
    <row r="17" spans="1:12" ht="11.25" customHeight="1" x14ac:dyDescent="0.25">
      <c r="A17" s="383">
        <v>1989</v>
      </c>
      <c r="B17" s="200" t="s">
        <v>29</v>
      </c>
      <c r="C17" s="200" t="str">
        <f>IF(AND('A-9'!B66="-",'A-9'!B113="-",'A-9'!B160="-"),"-",SUM('A-9'!B66,'A-9'!B113,'A-9'!B160))</f>
        <v>-</v>
      </c>
      <c r="D17" s="200" t="str">
        <f>IF(AND('A-9'!C66="-",'A-9'!C113="-",'A-9'!C160="-"),"-",SUM('A-9'!C66,'A-9'!C113,'A-9'!C160))</f>
        <v>-</v>
      </c>
      <c r="E17" s="200">
        <f>IF(AND('A-9'!D66="-",'A-9'!D113="-",'A-9'!D160="-"),"-",SUM('A-9'!D66,'A-9'!D113,'A-9'!D160))</f>
        <v>2047</v>
      </c>
      <c r="F17" s="200">
        <f>IF(AND('A-9'!E66="-",'A-9'!E113="-",'A-9'!E160="-"),"-",SUM('A-9'!E66,'A-9'!E113,'A-9'!E160))</f>
        <v>36499</v>
      </c>
      <c r="G17" s="200">
        <f>IF(AND('A-9'!F66="-",'A-9'!F113="-",'A-9'!F160="-"),"-",SUM('A-9'!F66,'A-9'!F113,'A-9'!F160))</f>
        <v>86757</v>
      </c>
      <c r="H17" s="200">
        <f>IF(AND('A-9'!G66="-",'A-9'!G113="-",'A-9'!G160="-"),"-",SUM('A-9'!G66,'A-9'!G113,'A-9'!G160))</f>
        <v>54164</v>
      </c>
      <c r="I17" s="200">
        <f>IF(AND('A-9'!H66="-",'A-9'!H113="-",'A-9'!H160="-"),"-",SUM('A-9'!H66,'A-9'!H113,'A-9'!H160))</f>
        <v>1211</v>
      </c>
      <c r="J17" s="60" t="s">
        <v>116</v>
      </c>
      <c r="K17" s="60" t="s">
        <v>116</v>
      </c>
      <c r="L17" s="200">
        <f>IF(AND('A-9'!K66="-",'A-9'!K113="-",'A-9'!K160="-"),"-",SUM('A-9'!K66,'A-9'!K113,'A-9'!K160))</f>
        <v>180678</v>
      </c>
    </row>
    <row r="18" spans="1:12" ht="11.25" customHeight="1" x14ac:dyDescent="0.25">
      <c r="A18" s="383">
        <v>1990</v>
      </c>
      <c r="B18" s="200" t="s">
        <v>29</v>
      </c>
      <c r="C18" s="200" t="str">
        <f>IF(AND('A-9'!B67="-",'A-9'!B114="-",'A-9'!B161="-"),"-",SUM('A-9'!B67,'A-9'!B114,'A-9'!B161))</f>
        <v>-</v>
      </c>
      <c r="D18" s="200" t="str">
        <f>IF(AND('A-9'!C67="-",'A-9'!C114="-",'A-9'!C161="-"),"-",SUM('A-9'!C67,'A-9'!C114,'A-9'!C161))</f>
        <v>-</v>
      </c>
      <c r="E18" s="200">
        <f>IF(AND('A-9'!D67="-",'A-9'!D114="-",'A-9'!D161="-"),"-",SUM('A-9'!D67,'A-9'!D114,'A-9'!D161))</f>
        <v>1362</v>
      </c>
      <c r="F18" s="200">
        <f>IF(AND('A-9'!E67="-",'A-9'!E114="-",'A-9'!E161="-"),"-",SUM('A-9'!E67,'A-9'!E114,'A-9'!E161))</f>
        <v>15493</v>
      </c>
      <c r="G18" s="200">
        <f>IF(AND('A-9'!F67="-",'A-9'!F114="-",'A-9'!F161="-"),"-",SUM('A-9'!F67,'A-9'!F114,'A-9'!F161))</f>
        <v>66986</v>
      </c>
      <c r="H18" s="200">
        <f>IF(AND('A-9'!G67="-",'A-9'!G114="-",'A-9'!G161="-"),"-",SUM('A-9'!G67,'A-9'!G114,'A-9'!G161))</f>
        <v>69548</v>
      </c>
      <c r="I18" s="200">
        <f>IF(AND('A-9'!H67="-",'A-9'!H114="-",'A-9'!H161="-"),"-",SUM('A-9'!H67,'A-9'!H114,'A-9'!H161))</f>
        <v>16533</v>
      </c>
      <c r="J18" s="60" t="s">
        <v>116</v>
      </c>
      <c r="K18" s="200" t="str">
        <f>IF(AND('A-9'!J67="-",'A-9'!J114="-",'A-9'!J161="-"),"-",SUM('A-9'!J67,'A-9'!J114,'A-9'!J161))</f>
        <v>-</v>
      </c>
      <c r="L18" s="200">
        <f>IF(AND('A-9'!K67="-",'A-9'!K114="-",'A-9'!K161="-"),"-",SUM('A-9'!K67,'A-9'!K114,'A-9'!K161))</f>
        <v>169922</v>
      </c>
    </row>
    <row r="19" spans="1:12" ht="11.25" customHeight="1" x14ac:dyDescent="0.25">
      <c r="A19" s="383">
        <v>1991</v>
      </c>
      <c r="B19" s="200" t="s">
        <v>29</v>
      </c>
      <c r="C19" s="200" t="str">
        <f>IF(AND('A-9'!B68="-",'A-9'!B115="-",'A-9'!B162="-"),"-",SUM('A-9'!B68,'A-9'!B115,'A-9'!B162))</f>
        <v>-</v>
      </c>
      <c r="D19" s="200" t="str">
        <f>IF(AND('A-9'!C68="-",'A-9'!C115="-",'A-9'!C162="-"),"-",SUM('A-9'!C68,'A-9'!C115,'A-9'!C162))</f>
        <v>-</v>
      </c>
      <c r="E19" s="200">
        <f>IF(AND('A-9'!D68="-",'A-9'!D115="-",'A-9'!D162="-"),"-",SUM('A-9'!D68,'A-9'!D115,'A-9'!D162))</f>
        <v>2288</v>
      </c>
      <c r="F19" s="200">
        <f>IF(AND('A-9'!E68="-",'A-9'!E115="-",'A-9'!E162="-"),"-",SUM('A-9'!E68,'A-9'!E115,'A-9'!E162))</f>
        <v>33107</v>
      </c>
      <c r="G19" s="200">
        <f>IF(AND('A-9'!F68="-",'A-9'!F115="-",'A-9'!F162="-"),"-",SUM('A-9'!F68,'A-9'!F115,'A-9'!F162))</f>
        <v>96562</v>
      </c>
      <c r="H19" s="200" t="str">
        <f>IF(AND('A-9'!G68="-",'A-9'!G115="-",'A-9'!G162="-"),"-",SUM('A-9'!G68,'A-9'!G115,'A-9'!G162))</f>
        <v>-</v>
      </c>
      <c r="I19" s="200" t="str">
        <f>IF(AND('A-9'!H68="-",'A-9'!H115="-",'A-9'!H162="-"),"-",SUM('A-9'!H68,'A-9'!H115,'A-9'!H162))</f>
        <v>-</v>
      </c>
      <c r="J19" s="60" t="s">
        <v>116</v>
      </c>
      <c r="K19" s="200" t="str">
        <f>IF(AND('A-9'!J68="-",'A-9'!J115="-",'A-9'!J162="-"),"-",SUM('A-9'!J68,'A-9'!J115,'A-9'!J162))</f>
        <v>-</v>
      </c>
      <c r="L19" s="200">
        <f>IF(AND('A-9'!K68="-",'A-9'!K115="-",'A-9'!K162="-"),"-",SUM('A-9'!K68,'A-9'!K115,'A-9'!K162))</f>
        <v>131957</v>
      </c>
    </row>
    <row r="20" spans="1:12" ht="11.25" customHeight="1" x14ac:dyDescent="0.25">
      <c r="A20" s="383">
        <v>1992</v>
      </c>
      <c r="B20" s="200" t="s">
        <v>29</v>
      </c>
      <c r="C20" s="200" t="str">
        <f>IF(AND('A-9'!B69="-",'A-9'!B116="-",'A-9'!B163="-"),"-",SUM('A-9'!B69,'A-9'!B116,'A-9'!B163))</f>
        <v>-</v>
      </c>
      <c r="D20" s="200" t="str">
        <f>IF(AND('A-9'!C69="-",'A-9'!C116="-",'A-9'!C163="-"),"-",SUM('A-9'!C69,'A-9'!C116,'A-9'!C163))</f>
        <v>-</v>
      </c>
      <c r="E20" s="200">
        <f>IF(AND('A-9'!D69="-",'A-9'!D116="-",'A-9'!D163="-"),"-",SUM('A-9'!D69,'A-9'!D116,'A-9'!D163))</f>
        <v>3692</v>
      </c>
      <c r="F20" s="200">
        <f>IF(AND('A-9'!E69="-",'A-9'!E116="-",'A-9'!E163="-"),"-",SUM('A-9'!E69,'A-9'!E116,'A-9'!E163))</f>
        <v>19921</v>
      </c>
      <c r="G20" s="200">
        <f>IF(AND('A-9'!F69="-",'A-9'!F116="-",'A-9'!F163="-"),"-",SUM('A-9'!F69,'A-9'!F116,'A-9'!F163))</f>
        <v>68180</v>
      </c>
      <c r="H20" s="200">
        <f>IF(AND('A-9'!G69="-",'A-9'!G116="-",'A-9'!G163="-"),"-",SUM('A-9'!G69,'A-9'!G116,'A-9'!G163))</f>
        <v>34446</v>
      </c>
      <c r="I20" s="200">
        <f>IF(AND('A-9'!H69="-",'A-9'!H116="-",'A-9'!H163="-"),"-",SUM('A-9'!H69,'A-9'!H116,'A-9'!H163))</f>
        <v>8503</v>
      </c>
      <c r="J20" s="60" t="s">
        <v>116</v>
      </c>
      <c r="K20" s="200" t="str">
        <f>IF(AND('A-9'!J69="-",'A-9'!J116="-",'A-9'!J163="-"),"-",SUM('A-9'!J69,'A-9'!J116,'A-9'!J163))</f>
        <v>-</v>
      </c>
      <c r="L20" s="200">
        <f>IF(AND('A-9'!K69="-",'A-9'!K116="-",'A-9'!K163="-"),"-",SUM('A-9'!K69,'A-9'!K116,'A-9'!K163))</f>
        <v>134742</v>
      </c>
    </row>
    <row r="21" spans="1:12" ht="11.25" customHeight="1" x14ac:dyDescent="0.25">
      <c r="A21" s="383">
        <v>1993</v>
      </c>
      <c r="B21" s="200" t="s">
        <v>29</v>
      </c>
      <c r="C21" s="200" t="str">
        <f>IF(AND('A-9'!B70="-",'A-9'!B117="-",'A-9'!B164="-"),"-",SUM('A-9'!B70,'A-9'!B117,'A-9'!B164))</f>
        <v>-</v>
      </c>
      <c r="D21" s="200" t="str">
        <f>IF(AND('A-9'!C70="-",'A-9'!C117="-",'A-9'!C164="-"),"-",SUM('A-9'!C70,'A-9'!C117,'A-9'!C164))</f>
        <v>-</v>
      </c>
      <c r="E21" s="200">
        <f>IF(AND('A-9'!D70="-",'A-9'!D117="-",'A-9'!D164="-"),"-",SUM('A-9'!D70,'A-9'!D117,'A-9'!D164))</f>
        <v>1369</v>
      </c>
      <c r="F21" s="200">
        <f>IF(AND('A-9'!E70="-",'A-9'!E117="-",'A-9'!E164="-"),"-",SUM('A-9'!E70,'A-9'!E117,'A-9'!E164))</f>
        <v>1291</v>
      </c>
      <c r="G21" s="200">
        <f>IF(AND('A-9'!F70="-",'A-9'!F117="-",'A-9'!F164="-"),"-",SUM('A-9'!F70,'A-9'!F117,'A-9'!F164))</f>
        <v>24745</v>
      </c>
      <c r="H21" s="200">
        <f>IF(AND('A-9'!G70="-",'A-9'!G117="-",'A-9'!G164="-"),"-",SUM('A-9'!G70,'A-9'!G117,'A-9'!G164))</f>
        <v>10600</v>
      </c>
      <c r="I21" s="60" t="s">
        <v>116</v>
      </c>
      <c r="J21" s="60" t="s">
        <v>116</v>
      </c>
      <c r="K21" s="60" t="s">
        <v>116</v>
      </c>
      <c r="L21" s="200">
        <f>IF(AND('A-9'!K70="-",'A-9'!K117="-",'A-9'!K164="-"),"-",SUM('A-9'!K70,'A-9'!K117,'A-9'!K164))</f>
        <v>38005</v>
      </c>
    </row>
    <row r="22" spans="1:12" ht="11.25" customHeight="1" x14ac:dyDescent="0.25">
      <c r="A22" s="383">
        <v>1994</v>
      </c>
      <c r="B22" s="200" t="s">
        <v>29</v>
      </c>
      <c r="C22" s="200" t="str">
        <f>IF(AND('A-9'!B71="-",'A-9'!B118="-",'A-9'!B165="-"),"-",SUM('A-9'!B71,'A-9'!B118,'A-9'!B165))</f>
        <v>-</v>
      </c>
      <c r="D22" s="200" t="str">
        <f>IF(AND('A-9'!C71="-",'A-9'!C118="-",'A-9'!C165="-"),"-",SUM('A-9'!C71,'A-9'!C118,'A-9'!C165))</f>
        <v>-</v>
      </c>
      <c r="E22" s="200">
        <f>IF(AND('A-9'!D71="-",'A-9'!D118="-",'A-9'!D165="-"),"-",SUM('A-9'!D71,'A-9'!D118,'A-9'!D165))</f>
        <v>891</v>
      </c>
      <c r="F22" s="200">
        <f>IF(AND('A-9'!E71="-",'A-9'!E118="-",'A-9'!E165="-"),"-",SUM('A-9'!E71,'A-9'!E118,'A-9'!E165))</f>
        <v>1096</v>
      </c>
      <c r="G22" s="200" t="str">
        <f>IF(AND('A-9'!F71="-",'A-9'!F118="-",'A-9'!F165="-"),"-",SUM('A-9'!F71,'A-9'!F118,'A-9'!F165))</f>
        <v>-</v>
      </c>
      <c r="H22" s="200" t="str">
        <f>IF(AND('A-9'!G71="-",'A-9'!G118="-",'A-9'!G165="-"),"-",SUM('A-9'!G71,'A-9'!G118,'A-9'!G165))</f>
        <v>-</v>
      </c>
      <c r="I22" s="200" t="str">
        <f>IF(AND('A-9'!H71="-",'A-9'!H118="-",'A-9'!H165="-"),"-",SUM('A-9'!H71,'A-9'!H118,'A-9'!H165))</f>
        <v>-</v>
      </c>
      <c r="J22" s="200">
        <f>IF(AND('A-9'!I71="-",'A-9'!I118="-",'A-9'!I165="-"),"-",SUM('A-9'!I71,'A-9'!I118,'A-9'!I165))</f>
        <v>8749</v>
      </c>
      <c r="K22" s="200">
        <f>IF(AND('A-9'!J71="-",'A-9'!J118="-",'A-9'!J165="-"),"-",SUM('A-9'!J71,'A-9'!J118,'A-9'!J165))</f>
        <v>3</v>
      </c>
      <c r="L22" s="200">
        <f>IF(AND('A-9'!K71="-",'A-9'!K118="-",'A-9'!K165="-"),"-",SUM('A-9'!K71,'A-9'!K118,'A-9'!K165))</f>
        <v>10739</v>
      </c>
    </row>
    <row r="23" spans="1:12" ht="11.25" customHeight="1" x14ac:dyDescent="0.25">
      <c r="A23" s="383">
        <v>1995</v>
      </c>
      <c r="B23" s="200" t="s">
        <v>29</v>
      </c>
      <c r="C23" s="200" t="str">
        <f>IF(AND('A-9'!B72="-",'A-9'!B119="-",'A-9'!B166="-"),"-",SUM('A-9'!B72,'A-9'!B119,'A-9'!B166))</f>
        <v>-</v>
      </c>
      <c r="D23" s="200" t="str">
        <f>IF(AND('A-9'!C72="-",'A-9'!C119="-",'A-9'!C166="-"),"-",SUM('A-9'!C72,'A-9'!C119,'A-9'!C166))</f>
        <v>-</v>
      </c>
      <c r="E23" s="200">
        <f>IF(AND('A-9'!D72="-",'A-9'!D119="-",'A-9'!D166="-"),"-",SUM('A-9'!D72,'A-9'!D119,'A-9'!D166))</f>
        <v>847</v>
      </c>
      <c r="F23" s="200">
        <f>IF(AND('A-9'!E72="-",'A-9'!E119="-",'A-9'!E166="-"),"-",SUM('A-9'!E72,'A-9'!E119,'A-9'!E166))</f>
        <v>830</v>
      </c>
      <c r="G23" s="200" t="str">
        <f>IF(AND('A-9'!F72="-",'A-9'!F119="-",'A-9'!F166="-"),"-",SUM('A-9'!F72,'A-9'!F119,'A-9'!F166))</f>
        <v>-</v>
      </c>
      <c r="H23" s="200" t="str">
        <f>IF(AND('A-9'!G72="-",'A-9'!G119="-",'A-9'!G166="-"),"-",SUM('A-9'!G72,'A-9'!G119,'A-9'!G166))</f>
        <v>-</v>
      </c>
      <c r="I23" s="200">
        <f>IF(AND('A-9'!H72="-",'A-9'!H119="-",'A-9'!H166="-"),"-",SUM('A-9'!H72,'A-9'!H119,'A-9'!H166))</f>
        <v>1879</v>
      </c>
      <c r="J23" s="200">
        <f>IF(AND('A-9'!I72="-",'A-9'!I119="-",'A-9'!I166="-"),"-",SUM('A-9'!I72,'A-9'!I119,'A-9'!I166))</f>
        <v>1146</v>
      </c>
      <c r="K23" s="200">
        <f>IF(AND('A-9'!J72="-",'A-9'!J119="-",'A-9'!J166="-"),"-",SUM('A-9'!J72,'A-9'!J119,'A-9'!J166))</f>
        <v>788</v>
      </c>
      <c r="L23" s="200">
        <f>IF(AND('A-9'!K72="-",'A-9'!K119="-",'A-9'!K166="-"),"-",SUM('A-9'!K72,'A-9'!K119,'A-9'!K166))</f>
        <v>5490</v>
      </c>
    </row>
    <row r="24" spans="1:12" ht="11.25" customHeight="1" x14ac:dyDescent="0.25">
      <c r="A24" s="383">
        <v>1996</v>
      </c>
      <c r="B24" s="200" t="s">
        <v>29</v>
      </c>
      <c r="C24" s="200" t="str">
        <f>IF(AND('A-9'!B73="-",'A-9'!B120="-",'A-9'!B167="-"),"-",SUM('A-9'!B73,'A-9'!B120,'A-9'!B167))</f>
        <v>-</v>
      </c>
      <c r="D24" s="200" t="str">
        <f>IF(AND('A-9'!C73="-",'A-9'!C120="-",'A-9'!C167="-"),"-",SUM('A-9'!C73,'A-9'!C120,'A-9'!C167))</f>
        <v>-</v>
      </c>
      <c r="E24" s="200">
        <f>IF(AND('A-9'!D73="-",'A-9'!D120="-",'A-9'!D167="-"),"-",SUM('A-9'!D73,'A-9'!D120,'A-9'!D167))</f>
        <v>1271</v>
      </c>
      <c r="F24" s="200">
        <f>IF(AND('A-9'!E73="-",'A-9'!E120="-",'A-9'!E167="-"),"-",SUM('A-9'!E73,'A-9'!E120,'A-9'!E167))</f>
        <v>917</v>
      </c>
      <c r="G24" s="200">
        <f>IF(AND('A-9'!F73="-",'A-9'!F120="-",'A-9'!F167="-"),"-",SUM('A-9'!F73,'A-9'!F120,'A-9'!F167))</f>
        <v>643</v>
      </c>
      <c r="H24" s="200">
        <f>IF(AND('A-9'!G73="-",'A-9'!G120="-",'A-9'!G167="-"),"-",SUM('A-9'!G73,'A-9'!G120,'A-9'!G167))</f>
        <v>4134</v>
      </c>
      <c r="I24" s="200">
        <f>IF(AND('A-9'!H73="-",'A-9'!H120="-",'A-9'!H167="-"),"-",SUM('A-9'!H73,'A-9'!H120,'A-9'!H167))</f>
        <v>4766</v>
      </c>
      <c r="J24" s="200">
        <f>IF(AND('A-9'!I73="-",'A-9'!I120="-",'A-9'!I167="-"),"-",SUM('A-9'!I73,'A-9'!I120,'A-9'!I167))</f>
        <v>3255</v>
      </c>
      <c r="K24" s="60" t="s">
        <v>116</v>
      </c>
      <c r="L24" s="200">
        <f>IF(AND('A-9'!K73="-",'A-9'!K120="-",'A-9'!K167="-"),"-",SUM('A-9'!K73,'A-9'!K120,'A-9'!K167))</f>
        <v>14986</v>
      </c>
    </row>
    <row r="25" spans="1:12" ht="11.25" customHeight="1" x14ac:dyDescent="0.25">
      <c r="A25" s="383">
        <v>1997</v>
      </c>
      <c r="B25" s="200" t="s">
        <v>29</v>
      </c>
      <c r="C25" s="200" t="str">
        <f>IF(AND('A-9'!B74="-",'A-9'!B121="-",'A-9'!B168="-"),"-",SUM('A-9'!B74,'A-9'!B121,'A-9'!B168))</f>
        <v>-</v>
      </c>
      <c r="D25" s="200">
        <f>IF(AND('A-9'!C74="-",'A-9'!C121="-",'A-9'!C168="-"),"-",SUM('A-9'!C74,'A-9'!C121,'A-9'!C168))</f>
        <v>29</v>
      </c>
      <c r="E25" s="200">
        <f>IF(AND('A-9'!D74="-",'A-9'!D121="-",'A-9'!D168="-"),"-",SUM('A-9'!D74,'A-9'!D121,'A-9'!D168))</f>
        <v>439</v>
      </c>
      <c r="F25" s="200">
        <f>IF(AND('A-9'!E74="-",'A-9'!E121="-",'A-9'!E168="-"),"-",SUM('A-9'!E74,'A-9'!E121,'A-9'!E168))</f>
        <v>762</v>
      </c>
      <c r="G25" s="200">
        <f>IF(AND('A-9'!F74="-",'A-9'!F121="-",'A-9'!F168="-"),"-",SUM('A-9'!F74,'A-9'!F121,'A-9'!F168))</f>
        <v>873</v>
      </c>
      <c r="H25" s="200">
        <f>IF(AND('A-9'!G74="-",'A-9'!G121="-",'A-9'!G168="-"),"-",SUM('A-9'!G74,'A-9'!G121,'A-9'!G168))</f>
        <v>4044</v>
      </c>
      <c r="I25" s="200">
        <f>IF(AND('A-9'!H74="-",'A-9'!H121="-",'A-9'!H168="-"),"-",SUM('A-9'!H74,'A-9'!H121,'A-9'!H168))</f>
        <v>2142</v>
      </c>
      <c r="J25" s="200">
        <f>IF(AND('A-9'!I74="-",'A-9'!I121="-",'A-9'!I168="-"),"-",SUM('A-9'!I74,'A-9'!I121,'A-9'!I168))</f>
        <v>1673</v>
      </c>
      <c r="K25" s="60" t="s">
        <v>116</v>
      </c>
      <c r="L25" s="200">
        <f>IF(AND('A-9'!K74="-",'A-9'!K121="-",'A-9'!K168="-"),"-",SUM('A-9'!K74,'A-9'!K121,'A-9'!K168))</f>
        <v>9962</v>
      </c>
    </row>
    <row r="26" spans="1:12" ht="11.25" customHeight="1" x14ac:dyDescent="0.25">
      <c r="A26" s="383">
        <v>1998</v>
      </c>
      <c r="B26" s="200" t="s">
        <v>29</v>
      </c>
      <c r="C26" s="200" t="str">
        <f>IF(AND('A-9'!B75="-",'A-9'!B122="-",'A-9'!B169="-"),"-",SUM('A-9'!B75,'A-9'!B122,'A-9'!B169))</f>
        <v>-</v>
      </c>
      <c r="D26" s="200">
        <f>IF(AND('A-9'!C75="-",'A-9'!C122="-",'A-9'!C169="-"),"-",SUM('A-9'!C75,'A-9'!C122,'A-9'!C169))</f>
        <v>0</v>
      </c>
      <c r="E26" s="200">
        <f>IF(AND('A-9'!D75="-",'A-9'!D122="-",'A-9'!D169="-"),"-",SUM('A-9'!D75,'A-9'!D122,'A-9'!D169))</f>
        <v>677</v>
      </c>
      <c r="F26" s="200">
        <f>IF(AND('A-9'!E75="-",'A-9'!E122="-",'A-9'!E169="-"),"-",SUM('A-9'!E75,'A-9'!E122,'A-9'!E169))</f>
        <v>166</v>
      </c>
      <c r="G26" s="200">
        <f>IF(AND('A-9'!F75="-",'A-9'!F122="-",'A-9'!F169="-"),"-",SUM('A-9'!F75,'A-9'!F122,'A-9'!F169))</f>
        <v>375</v>
      </c>
      <c r="H26" s="200">
        <f>IF(AND('A-9'!G75="-",'A-9'!G122="-",'A-9'!G169="-"),"-",SUM('A-9'!G75,'A-9'!G122,'A-9'!G169))</f>
        <v>3082</v>
      </c>
      <c r="I26" s="200">
        <f>IF(AND('A-9'!H75="-",'A-9'!H122="-",'A-9'!H169="-"),"-",SUM('A-9'!H75,'A-9'!H122,'A-9'!H169))</f>
        <v>2531</v>
      </c>
      <c r="J26" s="200">
        <f>IF(AND('A-9'!I75="-",'A-9'!I122="-",'A-9'!I169="-"),"-",SUM('A-9'!I75,'A-9'!I122,'A-9'!I169))</f>
        <v>2912</v>
      </c>
      <c r="K26" s="60" t="s">
        <v>116</v>
      </c>
      <c r="L26" s="200">
        <f>IF(AND('A-9'!K75="-",'A-9'!K122="-",'A-9'!K169="-"),"-",SUM('A-9'!K75,'A-9'!K122,'A-9'!K169))</f>
        <v>9743</v>
      </c>
    </row>
    <row r="27" spans="1:12" ht="11.25" customHeight="1" x14ac:dyDescent="0.25">
      <c r="A27" s="383">
        <v>1999</v>
      </c>
      <c r="B27" s="200" t="s">
        <v>29</v>
      </c>
      <c r="C27" s="200" t="str">
        <f>IF(AND('A-9'!B76="-",'A-9'!B123="-",'A-9'!B170="-"),"-",SUM('A-9'!B76,'A-9'!B123,'A-9'!B170))</f>
        <v>-</v>
      </c>
      <c r="D27" s="200">
        <f>IF(AND('A-9'!C76="-",'A-9'!C123="-",'A-9'!C170="-"),"-",SUM('A-9'!C76,'A-9'!C123,'A-9'!C170))</f>
        <v>12</v>
      </c>
      <c r="E27" s="200">
        <f>IF(AND('A-9'!D76="-",'A-9'!D123="-",'A-9'!D170="-"),"-",SUM('A-9'!D76,'A-9'!D123,'A-9'!D170))</f>
        <v>663</v>
      </c>
      <c r="F27" s="200">
        <f>IF(AND('A-9'!E76="-",'A-9'!E123="-",'A-9'!E170="-"),"-",SUM('A-9'!E76,'A-9'!E123,'A-9'!E170))</f>
        <v>808</v>
      </c>
      <c r="G27" s="200">
        <f>IF(AND('A-9'!F76="-",'A-9'!F123="-",'A-9'!F170="-"),"-",SUM('A-9'!F76,'A-9'!F123,'A-9'!F170))</f>
        <v>15588</v>
      </c>
      <c r="H27" s="200">
        <f>IF(AND('A-9'!G76="-",'A-9'!G123="-",'A-9'!G170="-"),"-",SUM('A-9'!G76,'A-9'!G123,'A-9'!G170))</f>
        <v>2167</v>
      </c>
      <c r="I27" s="200">
        <f>IF(AND('A-9'!H76="-",'A-9'!H123="-",'A-9'!H170="-"),"-",SUM('A-9'!H76,'A-9'!H123,'A-9'!H170))</f>
        <v>3380</v>
      </c>
      <c r="J27" s="200">
        <f>IF(AND('A-9'!I76="-",'A-9'!I123="-",'A-9'!I170="-"),"-",SUM('A-9'!I76,'A-9'!I123,'A-9'!I170))</f>
        <v>3495</v>
      </c>
      <c r="K27" s="200">
        <f>IF(AND('A-9'!J76="-",'A-9'!J123="-",'A-9'!J170="-"),"-",SUM('A-9'!J76,'A-9'!J123,'A-9'!J170))</f>
        <v>104</v>
      </c>
      <c r="L27" s="200">
        <f>IF(AND('A-9'!K76="-",'A-9'!K123="-",'A-9'!K170="-"),"-",SUM('A-9'!K76,'A-9'!K123,'A-9'!K170))</f>
        <v>26217</v>
      </c>
    </row>
    <row r="28" spans="1:12" ht="11.25" customHeight="1" x14ac:dyDescent="0.25">
      <c r="A28" s="383">
        <v>2000</v>
      </c>
      <c r="B28" s="200" t="s">
        <v>29</v>
      </c>
      <c r="C28" s="200" t="str">
        <f>IF(AND('A-9'!B77="-",'A-9'!B124="-",'A-9'!B171="-"),"-",SUM('A-9'!B77,'A-9'!B124,'A-9'!B171))</f>
        <v>-</v>
      </c>
      <c r="D28" s="200">
        <f>IF(AND('A-9'!C77="-",'A-9'!C124="-",'A-9'!C171="-"),"-",SUM('A-9'!C77,'A-9'!C124,'A-9'!C171))</f>
        <v>26</v>
      </c>
      <c r="E28" s="200">
        <f>IF(AND('A-9'!D77="-",'A-9'!D124="-",'A-9'!D171="-"),"-",SUM('A-9'!D77,'A-9'!D124,'A-9'!D171))</f>
        <v>490</v>
      </c>
      <c r="F28" s="200">
        <f>IF(AND('A-9'!E77="-",'A-9'!E124="-",'A-9'!E171="-"),"-",SUM('A-9'!E77,'A-9'!E124,'A-9'!E171))</f>
        <v>328</v>
      </c>
      <c r="G28" s="200">
        <f>IF(AND('A-9'!F77="-",'A-9'!F124="-",'A-9'!F171="-"),"-",SUM('A-9'!F77,'A-9'!F124,'A-9'!F171))</f>
        <v>30371</v>
      </c>
      <c r="H28" s="200">
        <f>IF(AND('A-9'!G77="-",'A-9'!G124="-",'A-9'!G171="-"),"-",SUM('A-9'!G77,'A-9'!G124,'A-9'!G171))</f>
        <v>8514</v>
      </c>
      <c r="I28" s="200">
        <f>IF(AND('A-9'!H77="-",'A-9'!H124="-",'A-9'!H171="-"),"-",SUM('A-9'!H77,'A-9'!H124,'A-9'!H171))</f>
        <v>4817</v>
      </c>
      <c r="J28" s="200">
        <f>IF(AND('A-9'!I77="-",'A-9'!I124="-",'A-9'!I171="-"),"-",SUM('A-9'!I77,'A-9'!I124,'A-9'!I171))</f>
        <v>3332</v>
      </c>
      <c r="K28" s="200">
        <f>IF(AND('A-9'!J77="-",'A-9'!J124="-",'A-9'!J171="-"),"-",SUM('A-9'!J77,'A-9'!J124,'A-9'!J171))</f>
        <v>235</v>
      </c>
      <c r="L28" s="200">
        <f>IF(AND('A-9'!K77="-",'A-9'!K124="-",'A-9'!K171="-"),"-",SUM('A-9'!K77,'A-9'!K124,'A-9'!K171))</f>
        <v>48113</v>
      </c>
    </row>
    <row r="29" spans="1:12" ht="11.25" customHeight="1" x14ac:dyDescent="0.25">
      <c r="A29" s="383">
        <v>2001</v>
      </c>
      <c r="B29" s="200" t="s">
        <v>29</v>
      </c>
      <c r="C29" s="200" t="str">
        <f>IF(AND('A-9'!B78="-",'A-9'!B125="-",'A-9'!B172="-"),"-",SUM('A-9'!B78,'A-9'!B125,'A-9'!B172))</f>
        <v>-</v>
      </c>
      <c r="D29" s="200">
        <f>IF(AND('A-9'!C78="-",'A-9'!C125="-",'A-9'!C172="-"),"-",SUM('A-9'!C78,'A-9'!C125,'A-9'!C172))</f>
        <v>0</v>
      </c>
      <c r="E29" s="200">
        <f>IF(AND('A-9'!D78="-",'A-9'!D125="-",'A-9'!D172="-"),"-",SUM('A-9'!D78,'A-9'!D125,'A-9'!D172))</f>
        <v>1349</v>
      </c>
      <c r="F29" s="200">
        <f>IF(AND('A-9'!E78="-",'A-9'!E125="-",'A-9'!E172="-"),"-",SUM('A-9'!E78,'A-9'!E125,'A-9'!E172))</f>
        <v>17548</v>
      </c>
      <c r="G29" s="200">
        <f>IF(AND('A-9'!F78="-",'A-9'!F125="-",'A-9'!F172="-"),"-",SUM('A-9'!F78,'A-9'!F125,'A-9'!F172))</f>
        <v>35973</v>
      </c>
      <c r="H29" s="200">
        <f>IF(AND('A-9'!G78="-",'A-9'!G125="-",'A-9'!G172="-"),"-",SUM('A-9'!G78,'A-9'!G125,'A-9'!G172))</f>
        <v>9449</v>
      </c>
      <c r="I29" s="200">
        <f>IF(AND('A-9'!H78="-",'A-9'!H125="-",'A-9'!H172="-"),"-",SUM('A-9'!H78,'A-9'!H125,'A-9'!H172))</f>
        <v>4384</v>
      </c>
      <c r="J29" s="200">
        <f>IF(AND('A-9'!I78="-",'A-9'!I125="-",'A-9'!I172="-"),"-",SUM('A-9'!I78,'A-9'!I125,'A-9'!I172))</f>
        <v>2254</v>
      </c>
      <c r="K29" s="200">
        <f>IF(AND('A-9'!J78="-",'A-9'!J125="-",'A-9'!J172="-"),"-",SUM('A-9'!J78,'A-9'!J125,'A-9'!J172))</f>
        <v>162</v>
      </c>
      <c r="L29" s="200">
        <f>IF(AND('A-9'!K78="-",'A-9'!K125="-",'A-9'!K172="-"),"-",SUM('A-9'!K78,'A-9'!K125,'A-9'!K172))</f>
        <v>71119</v>
      </c>
    </row>
    <row r="30" spans="1:12" ht="11.25" customHeight="1" x14ac:dyDescent="0.25">
      <c r="A30" s="383">
        <v>2002</v>
      </c>
      <c r="B30" s="200" t="s">
        <v>29</v>
      </c>
      <c r="C30" s="200" t="str">
        <f>IF(AND('A-9'!B79="-",'A-9'!B126="-",'A-9'!B173="-"),"-",SUM('A-9'!B79,'A-9'!B126,'A-9'!B173))</f>
        <v>-</v>
      </c>
      <c r="D30" s="200">
        <f>IF(AND('A-9'!C79="-",'A-9'!C126="-",'A-9'!C173="-"),"-",SUM('A-9'!C79,'A-9'!C126,'A-9'!C173))</f>
        <v>275</v>
      </c>
      <c r="E30" s="200">
        <f>IF(AND('A-9'!D79="-",'A-9'!D126="-",'A-9'!D173="-"),"-",SUM('A-9'!D79,'A-9'!D126,'A-9'!D173))</f>
        <v>1295</v>
      </c>
      <c r="F30" s="200">
        <f>IF(AND('A-9'!E79="-",'A-9'!E126="-",'A-9'!E173="-"),"-",SUM('A-9'!E79,'A-9'!E126,'A-9'!E173))</f>
        <v>6181</v>
      </c>
      <c r="G30" s="200">
        <f>IF(AND('A-9'!F79="-",'A-9'!F126="-",'A-9'!F173="-"),"-",SUM('A-9'!F79,'A-9'!F126,'A-9'!F173))</f>
        <v>36658</v>
      </c>
      <c r="H30" s="200">
        <f>IF(AND('A-9'!G79="-",'A-9'!G126="-",'A-9'!G173="-"),"-",SUM('A-9'!G79,'A-9'!G126,'A-9'!G173))</f>
        <v>14194</v>
      </c>
      <c r="I30" s="200">
        <f>IF(AND('A-9'!H79="-",'A-9'!H126="-",'A-9'!H173="-"),"-",SUM('A-9'!H79,'A-9'!H126,'A-9'!H173))</f>
        <v>9322</v>
      </c>
      <c r="J30" s="200">
        <f>IF(AND('A-9'!I79="-",'A-9'!I126="-",'A-9'!I173="-"),"-",SUM('A-9'!I79,'A-9'!I126,'A-9'!I173))</f>
        <v>7893</v>
      </c>
      <c r="K30" s="200">
        <f>IF(AND('A-9'!J79="-",'A-9'!J126="-",'A-9'!J173="-"),"-",SUM('A-9'!J79,'A-9'!J126,'A-9'!J173))</f>
        <v>50</v>
      </c>
      <c r="L30" s="200"/>
    </row>
    <row r="31" spans="1:12" ht="11.25" customHeight="1" x14ac:dyDescent="0.25">
      <c r="A31" s="383">
        <v>2003</v>
      </c>
      <c r="B31" s="200" t="s">
        <v>29</v>
      </c>
      <c r="C31" s="200">
        <f>IF(AND('A-9'!B80="-",'A-9'!B127="-",'A-9'!B174="-"),"-",SUM('A-9'!B80,'A-9'!B127,'A-9'!B174))</f>
        <v>81</v>
      </c>
      <c r="D31" s="200">
        <f>IF(AND('A-9'!C80="-",'A-9'!C127="-",'A-9'!C174="-"),"-",SUM('A-9'!C80,'A-9'!C127,'A-9'!C174))</f>
        <v>139</v>
      </c>
      <c r="E31" s="200">
        <f>IF(AND('A-9'!D80="-",'A-9'!D127="-",'A-9'!D174="-"),"-",SUM('A-9'!D80,'A-9'!D127,'A-9'!D174))</f>
        <v>1695</v>
      </c>
      <c r="F31" s="200">
        <f>IF(AND('A-9'!E80="-",'A-9'!E127="-",'A-9'!E174="-"),"-",SUM('A-9'!E80,'A-9'!E127,'A-9'!E174))</f>
        <v>10884</v>
      </c>
      <c r="G31" s="200">
        <f>IF(AND('A-9'!F80="-",'A-9'!F127="-",'A-9'!F174="-"),"-",SUM('A-9'!F80,'A-9'!F127,'A-9'!F174))</f>
        <v>54115</v>
      </c>
      <c r="H31" s="200">
        <f>IF(AND('A-9'!G80="-",'A-9'!G127="-",'A-9'!G174="-"),"-",SUM('A-9'!G80,'A-9'!G127,'A-9'!G174))</f>
        <v>31069</v>
      </c>
      <c r="I31" s="200">
        <f>IF(AND('A-9'!H80="-",'A-9'!H127="-",'A-9'!H174="-"),"-",SUM('A-9'!H80,'A-9'!H127,'A-9'!H174))</f>
        <v>8437</v>
      </c>
      <c r="J31" s="200">
        <f>IF(AND('A-9'!I80="-",'A-9'!I127="-",'A-9'!I174="-"),"-",SUM('A-9'!I80,'A-9'!I127,'A-9'!I174))</f>
        <v>3635</v>
      </c>
      <c r="K31" s="200">
        <f>IF(AND('A-9'!J80="-",'A-9'!J127="-",'A-9'!J174="-"),"-",SUM('A-9'!J80,'A-9'!J127,'A-9'!J174))</f>
        <v>395</v>
      </c>
      <c r="L31" s="200">
        <f>IF(AND('A-9'!K80="-",'A-9'!K127="-",'A-9'!K174="-"),"-",SUM('A-9'!K80,'A-9'!K127,'A-9'!K174))</f>
        <v>110450</v>
      </c>
    </row>
    <row r="32" spans="1:12" ht="11.25" customHeight="1" x14ac:dyDescent="0.25">
      <c r="A32" s="383">
        <v>2004</v>
      </c>
      <c r="B32" s="200" t="s">
        <v>29</v>
      </c>
      <c r="C32" s="200">
        <f>IF(AND('A-9'!B81="-",'A-9'!B128="-",'A-9'!B175="-"),"-",SUM('A-9'!B81,'A-9'!B128,'A-9'!B175))</f>
        <v>78</v>
      </c>
      <c r="D32" s="200">
        <f>IF(AND('A-9'!C81="-",'A-9'!C128="-",'A-9'!C175="-"),"-",SUM('A-9'!C81,'A-9'!C128,'A-9'!C175))</f>
        <v>238</v>
      </c>
      <c r="E32" s="200">
        <f>IF(AND('A-9'!D81="-",'A-9'!D128="-",'A-9'!D175="-"),"-",SUM('A-9'!D81,'A-9'!D128,'A-9'!D175))</f>
        <v>1490</v>
      </c>
      <c r="F32" s="200">
        <f>IF(AND('A-9'!E81="-",'A-9'!E128="-",'A-9'!E175="-"),"-",SUM('A-9'!E81,'A-9'!E128,'A-9'!E175))</f>
        <v>14867</v>
      </c>
      <c r="G32" s="200">
        <f>IF(AND('A-9'!F81="-",'A-9'!F128="-",'A-9'!F175="-"),"-",SUM('A-9'!F81,'A-9'!F128,'A-9'!F175))</f>
        <v>49370</v>
      </c>
      <c r="H32" s="200">
        <f>IF(AND('A-9'!G81="-",'A-9'!G128="-",'A-9'!G175="-"),"-",SUM('A-9'!G81,'A-9'!G128,'A-9'!G175))</f>
        <v>28773</v>
      </c>
      <c r="I32" s="200">
        <f>IF(AND('A-9'!H81="-",'A-9'!H128="-",'A-9'!H175="-"),"-",SUM('A-9'!H81,'A-9'!H128,'A-9'!H175))</f>
        <v>10599</v>
      </c>
      <c r="J32" s="200">
        <f>IF(AND('A-9'!I81="-",'A-9'!I128="-",'A-9'!I175="-"),"-",SUM('A-9'!I81,'A-9'!I128,'A-9'!I175))</f>
        <v>3094</v>
      </c>
      <c r="K32" s="200">
        <f>IF(AND('A-9'!J81="-",'A-9'!J128="-",'A-9'!J175="-"),"-",SUM('A-9'!J81,'A-9'!J128,'A-9'!J175))</f>
        <v>291</v>
      </c>
      <c r="L32" s="200">
        <f>IF(AND('A-9'!K81="-",'A-9'!K128="-",'A-9'!K175="-"),"-",SUM('A-9'!K81,'A-9'!K128,'A-9'!K175))</f>
        <v>108800</v>
      </c>
    </row>
    <row r="33" spans="1:12" ht="11.25" customHeight="1" x14ac:dyDescent="0.25">
      <c r="A33" s="402">
        <v>2005</v>
      </c>
      <c r="B33" s="203" t="s">
        <v>29</v>
      </c>
      <c r="C33" s="203">
        <f>IF(AND('A-9'!B82="-",'A-9'!B129="-",'A-9'!B176="-"),"-",SUM('A-9'!B82,'A-9'!B129,'A-9'!B176))</f>
        <v>30</v>
      </c>
      <c r="D33" s="203">
        <f>IF(AND('A-9'!C82="-",'A-9'!C129="-",'A-9'!C176="-"),"-",SUM('A-9'!C82,'A-9'!C129,'A-9'!C176))</f>
        <v>406</v>
      </c>
      <c r="E33" s="203">
        <f>IF(AND('A-9'!D82="-",'A-9'!D129="-",'A-9'!D176="-"),"-",SUM('A-9'!D82,'A-9'!D129,'A-9'!D176))</f>
        <v>1470</v>
      </c>
      <c r="F33" s="203">
        <f>IF(AND('A-9'!E82="-",'A-9'!E129="-",'A-9'!E176="-"),"-",SUM('A-9'!E82,'A-9'!E129,'A-9'!E176))</f>
        <v>12598</v>
      </c>
      <c r="G33" s="203">
        <f>IF(AND('A-9'!F82="-",'A-9'!F129="-",'A-9'!F176="-"),"-",SUM('A-9'!F82,'A-9'!F129,'A-9'!F176))</f>
        <v>13820</v>
      </c>
      <c r="H33" s="203">
        <f>IF(AND('A-9'!G82="-",'A-9'!G129="-",'A-9'!G176="-"),"-",SUM('A-9'!G82,'A-9'!G129,'A-9'!G176))</f>
        <v>9797</v>
      </c>
      <c r="I33" s="203">
        <f>IF(AND('A-9'!H82="-",'A-9'!H129="-",'A-9'!H176="-"),"-",SUM('A-9'!H82,'A-9'!H129,'A-9'!H176))</f>
        <v>11248</v>
      </c>
      <c r="J33" s="203">
        <f>IF(AND('A-9'!I82="-",'A-9'!I129="-",'A-9'!I176="-"),"-",SUM('A-9'!I82,'A-9'!I129,'A-9'!I176))</f>
        <v>778</v>
      </c>
      <c r="K33" s="203">
        <f>IF(AND('A-9'!J82="-",'A-9'!J129="-",'A-9'!J176="-"),"-",SUM('A-9'!J82,'A-9'!J129,'A-9'!J176))</f>
        <v>12</v>
      </c>
      <c r="L33" s="203">
        <f>IF(AND('A-9'!K82="-",'A-9'!K129="-",'A-9'!K176="-"),"-",SUM('A-9'!K82,'A-9'!K129,'A-9'!K176))</f>
        <v>50159</v>
      </c>
    </row>
    <row r="34" spans="1:12" ht="11.25" customHeight="1" x14ac:dyDescent="0.25">
      <c r="A34" s="383">
        <v>2006</v>
      </c>
      <c r="B34" s="200" t="s">
        <v>29</v>
      </c>
      <c r="C34" s="200">
        <f>IF(AND('A-9'!B83="-",'A-9'!B130="-",'A-9'!B177="-"),"-",SUM('A-9'!B83,'A-9'!B130,'A-9'!B177))</f>
        <v>24</v>
      </c>
      <c r="D34" s="200">
        <f>IF(AND('A-9'!C83="-",'A-9'!C130="-",'A-9'!C177="-"),"-",SUM('A-9'!C83,'A-9'!C130,'A-9'!C177))</f>
        <v>92</v>
      </c>
      <c r="E34" s="200">
        <f>IF(AND('A-9'!D83="-",'A-9'!D130="-",'A-9'!D177="-"),"-",SUM('A-9'!D83,'A-9'!D130,'A-9'!D177))</f>
        <v>803</v>
      </c>
      <c r="F34" s="200">
        <f>IF(AND('A-9'!E83="-",'A-9'!E130="-",'A-9'!E177="-"),"-",SUM('A-9'!E83,'A-9'!E130,'A-9'!E177))</f>
        <v>4918</v>
      </c>
      <c r="G34" s="200">
        <f>IF(AND('A-9'!F83="-",'A-9'!F130="-",'A-9'!F177="-"),"-",SUM('A-9'!F83,'A-9'!F130,'A-9'!F177))</f>
        <v>18334</v>
      </c>
      <c r="H34" s="200">
        <f>IF(AND('A-9'!G83="-",'A-9'!G130="-",'A-9'!G177="-"),"-",SUM('A-9'!G83,'A-9'!G130,'A-9'!G177))</f>
        <v>3817</v>
      </c>
      <c r="I34" s="200">
        <f>IF(AND('A-9'!H83="-",'A-9'!H130="-",'A-9'!H177="-"),"-",SUM('A-9'!H83,'A-9'!H130,'A-9'!H177))</f>
        <v>9995</v>
      </c>
      <c r="J34" s="200">
        <f>IF(AND('A-9'!I83="-",'A-9'!I130="-",'A-9'!I177="-"),"-",SUM('A-9'!I83,'A-9'!I130,'A-9'!I177))</f>
        <v>5368</v>
      </c>
      <c r="K34" s="200">
        <f>IF(AND('A-9'!J83="-",'A-9'!J130="-",'A-9'!J177="-"),"-",SUM('A-9'!J83,'A-9'!J130,'A-9'!J177))</f>
        <v>98</v>
      </c>
      <c r="L34" s="200">
        <f>IF(AND('A-9'!K83="-",'A-9'!K130="-",'A-9'!K177="-"),"-",SUM('A-9'!K83,'A-9'!K130,'A-9'!K177))</f>
        <v>43449</v>
      </c>
    </row>
    <row r="35" spans="1:12" ht="11.25" customHeight="1" x14ac:dyDescent="0.25">
      <c r="A35" s="402">
        <v>2007</v>
      </c>
      <c r="B35" s="203" t="s">
        <v>29</v>
      </c>
      <c r="C35" s="203">
        <f>IF(AND('A-9'!B84="-",'A-9'!B131="-",'A-9'!B178="-"),"-",SUM('A-9'!B84,'A-9'!B131,'A-9'!B178))</f>
        <v>36</v>
      </c>
      <c r="D35" s="203">
        <f>IF(AND('A-9'!C84="-",'A-9'!C131="-",'A-9'!C178="-"),"-",SUM('A-9'!C84,'A-9'!C131,'A-9'!C178))</f>
        <v>75</v>
      </c>
      <c r="E35" s="203">
        <f>IF(AND('A-9'!D84="-",'A-9'!D131="-",'A-9'!D178="-"),"-",SUM('A-9'!D84,'A-9'!D131,'A-9'!D178))</f>
        <v>1244</v>
      </c>
      <c r="F35" s="203">
        <f>IF(AND('A-9'!E84="-",'A-9'!E131="-",'A-9'!E178="-"),"-",SUM('A-9'!E84,'A-9'!E131,'A-9'!E178))</f>
        <v>7828</v>
      </c>
      <c r="G35" s="203">
        <f>IF(AND('A-9'!F84="-",'A-9'!F131="-",'A-9'!F178="-"),"-",SUM('A-9'!F84,'A-9'!F131,'A-9'!F178))</f>
        <v>22067</v>
      </c>
      <c r="H35" s="203">
        <f>IF(AND('A-9'!G84="-",'A-9'!G131="-",'A-9'!G178="-"),"-",SUM('A-9'!G84,'A-9'!G131,'A-9'!G178))</f>
        <v>25908</v>
      </c>
      <c r="I35" s="203">
        <f>IF(AND('A-9'!H84="-",'A-9'!H131="-",'A-9'!H178="-"),"-",SUM('A-9'!H84,'A-9'!H131,'A-9'!H178))</f>
        <v>5227</v>
      </c>
      <c r="J35" s="203">
        <f>IF(AND('A-9'!I84="-",'A-9'!I131="-",'A-9'!I178="-"),"-",SUM('A-9'!I84,'A-9'!I131,'A-9'!I178))</f>
        <v>2341</v>
      </c>
      <c r="K35" s="203">
        <f>IF(AND('A-9'!J84="-",'A-9'!J131="-",'A-9'!J178="-"),"-",SUM('A-9'!J84,'A-9'!J131,'A-9'!J178))</f>
        <v>40</v>
      </c>
      <c r="L35" s="203">
        <f>IF(AND('A-9'!K84="-",'A-9'!K131="-",'A-9'!K178="-"),"-",SUM('A-9'!K84,'A-9'!K131,'A-9'!K178))</f>
        <v>64766</v>
      </c>
    </row>
    <row r="36" spans="1:12" ht="11.25" customHeight="1" x14ac:dyDescent="0.25">
      <c r="A36" s="402">
        <v>2008</v>
      </c>
      <c r="B36" s="203" t="s">
        <v>29</v>
      </c>
      <c r="C36" s="203" t="str">
        <f>IF(AND('A-9'!B85="-",'A-9'!B132="-",'A-9'!B179="-"),"-",SUM('A-9'!B85,'A-9'!B132,'A-9'!B179))</f>
        <v>-</v>
      </c>
      <c r="D36" s="203" t="str">
        <f>IF(AND('A-9'!C85="-",'A-9'!C132="-",'A-9'!C179="-"),"-",SUM('A-9'!C85,'A-9'!C132,'A-9'!C179))</f>
        <v>-</v>
      </c>
      <c r="E36" s="203" t="str">
        <f>IF(AND('A-9'!D85="-",'A-9'!D132="-",'A-9'!D179="-"),"-",SUM('A-9'!D85,'A-9'!D132,'A-9'!D179))</f>
        <v>-</v>
      </c>
      <c r="F36" s="203">
        <f>IF(AND('A-9'!E85="-",'A-9'!E132="-",'A-9'!E179="-"),"-",SUM('A-9'!E85,'A-9'!E132,'A-9'!E179))</f>
        <v>3253</v>
      </c>
      <c r="G36" s="203">
        <f>IF(AND('A-9'!F85="-",'A-9'!F132="-",'A-9'!F179="-"),"-",SUM('A-9'!F85,'A-9'!F132,'A-9'!F179))</f>
        <v>7681</v>
      </c>
      <c r="H36" s="203">
        <f>IF(AND('A-9'!G85="-",'A-9'!G132="-",'A-9'!G179="-"),"-",SUM('A-9'!G85,'A-9'!G132,'A-9'!G179))</f>
        <v>5052</v>
      </c>
      <c r="I36" s="203">
        <f>IF(AND('A-9'!H85="-",'A-9'!H132="-",'A-9'!H179="-"),"-",SUM('A-9'!H85,'A-9'!H132,'A-9'!H179))</f>
        <v>3635</v>
      </c>
      <c r="J36" s="203">
        <f>IF(AND('A-9'!I85="-",'A-9'!I132="-",'A-9'!I179="-"),"-",SUM('A-9'!I85,'A-9'!I132,'A-9'!I179))</f>
        <v>2348</v>
      </c>
      <c r="K36" s="101" t="s">
        <v>116</v>
      </c>
      <c r="L36" s="203">
        <f>IF(AND('A-9'!K85="-",'A-9'!K132="-",'A-9'!K179="-"),"-",SUM('A-9'!K85,'A-9'!K132,'A-9'!K179))</f>
        <v>21969</v>
      </c>
    </row>
    <row r="37" spans="1:12" ht="11.25" customHeight="1" x14ac:dyDescent="0.25">
      <c r="A37" s="402">
        <v>2009</v>
      </c>
      <c r="B37" s="203" t="s">
        <v>29</v>
      </c>
      <c r="C37" s="203" t="str">
        <f>IF(AND('A-9'!B86="-",'A-9'!B133="-",'A-9'!B180="-"),"-",SUM('A-9'!B86,'A-9'!B133,'A-9'!B180))</f>
        <v>-</v>
      </c>
      <c r="D37" s="203" t="str">
        <f>IF(AND('A-9'!C86="-",'A-9'!C133="-",'A-9'!C180="-"),"-",SUM('A-9'!C86,'A-9'!C133,'A-9'!C180))</f>
        <v>-</v>
      </c>
      <c r="E37" s="203" t="str">
        <f>IF(AND('A-9'!D86="-",'A-9'!D133="-",'A-9'!D180="-"),"-",SUM('A-9'!D86,'A-9'!D133,'A-9'!D180))</f>
        <v>-</v>
      </c>
      <c r="F37" s="203">
        <f>IF(AND('A-9'!E86="-",'A-9'!E133="-",'A-9'!E180="-"),"-",SUM('A-9'!E86,'A-9'!E133,'A-9'!E180))</f>
        <v>4144</v>
      </c>
      <c r="G37" s="203">
        <f>IF(AND('A-9'!F86="-",'A-9'!F133="-",'A-9'!F180="-"),"-",SUM('A-9'!F86,'A-9'!F133,'A-9'!F180))</f>
        <v>33012</v>
      </c>
      <c r="H37" s="203">
        <f>IF(AND('A-9'!G86="-",'A-9'!G133="-",'A-9'!G180="-"),"-",SUM('A-9'!G86,'A-9'!G133,'A-9'!G180))</f>
        <v>23429</v>
      </c>
      <c r="I37" s="203">
        <f>IF(AND('A-9'!H86="-",'A-9'!H133="-",'A-9'!H180="-"),"-",SUM('A-9'!H86,'A-9'!H133,'A-9'!H180))</f>
        <v>3743</v>
      </c>
      <c r="J37" s="203">
        <f>IF(AND('A-9'!I86="-",'A-9'!I133="-",'A-9'!I180="-"),"-",SUM('A-9'!I86,'A-9'!I133,'A-9'!I180))</f>
        <v>2009</v>
      </c>
      <c r="K37" s="101" t="s">
        <v>116</v>
      </c>
      <c r="L37" s="203">
        <f>IF(AND('A-9'!K86="-",'A-9'!K133="-",'A-9'!K180="-"),"-",SUM('A-9'!K86,'A-9'!K133,'A-9'!K180))</f>
        <v>66337</v>
      </c>
    </row>
    <row r="38" spans="1:12" ht="11.25" customHeight="1" x14ac:dyDescent="0.25">
      <c r="A38" s="402">
        <v>2010</v>
      </c>
      <c r="B38" s="203" t="s">
        <v>29</v>
      </c>
      <c r="C38" s="203" t="str">
        <f>IF(AND('A-9'!B87="-",'A-9'!B134="-",'A-9'!B181="-"),"-",SUM('A-9'!B87,'A-9'!B134,'A-9'!B181))</f>
        <v>-</v>
      </c>
      <c r="D38" s="203" t="str">
        <f>IF(AND('A-9'!C87="-",'A-9'!C134="-",'A-9'!C181="-"),"-",SUM('A-9'!C87,'A-9'!C134,'A-9'!C181))</f>
        <v>-</v>
      </c>
      <c r="E38" s="203">
        <f>IF(AND('A-9'!D87="-",'A-9'!D134="-",'A-9'!D181="-"),"-",SUM('A-9'!D87,'A-9'!D134,'A-9'!D181))</f>
        <v>863</v>
      </c>
      <c r="F38" s="203">
        <f>IF(AND('A-9'!E87="-",'A-9'!E134="-",'A-9'!E181="-"),"-",SUM('A-9'!E87,'A-9'!E134,'A-9'!E181))</f>
        <v>2960</v>
      </c>
      <c r="G38" s="203">
        <f>IF(AND('A-9'!F87="-",'A-9'!F134="-",'A-9'!F181="-"),"-",SUM('A-9'!F87,'A-9'!F134,'A-9'!F181))</f>
        <v>9116</v>
      </c>
      <c r="H38" s="203">
        <f>IF(AND('A-9'!G87="-",'A-9'!G134="-",'A-9'!G181="-"),"-",SUM('A-9'!G87,'A-9'!G134,'A-9'!G181))</f>
        <v>16794</v>
      </c>
      <c r="I38" s="203">
        <f>IF(AND('A-9'!H87="-",'A-9'!H134="-",'A-9'!H181="-"),"-",SUM('A-9'!H87,'A-9'!H134,'A-9'!H181))</f>
        <v>6334</v>
      </c>
      <c r="J38" s="203">
        <f>IF(AND('A-9'!I87="-",'A-9'!I134="-",'A-9'!I181="-"),"-",SUM('A-9'!I87,'A-9'!I134,'A-9'!I181))</f>
        <v>1048</v>
      </c>
      <c r="K38" s="101" t="s">
        <v>116</v>
      </c>
      <c r="L38" s="203">
        <f>IF(AND('A-9'!K87="-",'A-9'!K134="-",'A-9'!K181="-"),"-",SUM('A-9'!K87,'A-9'!K134,'A-9'!K181))</f>
        <v>37115</v>
      </c>
    </row>
    <row r="39" spans="1:12" ht="11.25" customHeight="1" x14ac:dyDescent="0.25">
      <c r="A39" s="402">
        <v>2011</v>
      </c>
      <c r="B39" s="203" t="s">
        <v>29</v>
      </c>
      <c r="C39" s="203">
        <f>IF(AND('A-9'!B88="-",'A-9'!B135="-",'A-9'!B182="-"),"-",SUM('A-9'!B88,'A-9'!B135,'A-9'!B182))</f>
        <v>22</v>
      </c>
      <c r="D39" s="203">
        <f>IF(AND('A-9'!C88="-",'A-9'!C135="-",'A-9'!C182="-"),"-",SUM('A-9'!C88,'A-9'!C135,'A-9'!C182))</f>
        <v>75</v>
      </c>
      <c r="E39" s="203">
        <f>IF(AND('A-9'!D88="-",'A-9'!D135="-",'A-9'!D182="-"),"-",SUM('A-9'!D88,'A-9'!D135,'A-9'!D182))</f>
        <v>433</v>
      </c>
      <c r="F39" s="203">
        <f>IF(AND('A-9'!E88="-",'A-9'!E135="-",'A-9'!E182="-"),"-",SUM('A-9'!E88,'A-9'!E135,'A-9'!E182))</f>
        <v>2965</v>
      </c>
      <c r="G39" s="203">
        <f>IF(AND('A-9'!F88="-",'A-9'!F135="-",'A-9'!F182="-"),"-",SUM('A-9'!F88,'A-9'!F135,'A-9'!F182))</f>
        <v>10835</v>
      </c>
      <c r="H39" s="203">
        <f>IF(AND('A-9'!G88="-",'A-9'!G135="-",'A-9'!G182="-"),"-",SUM('A-9'!G88,'A-9'!G135,'A-9'!G182))</f>
        <v>10173</v>
      </c>
      <c r="I39" s="203">
        <f>IF(AND('A-9'!H88="-",'A-9'!H135="-",'A-9'!H182="-"),"-",SUM('A-9'!H88,'A-9'!H135,'A-9'!H182))</f>
        <v>9354</v>
      </c>
      <c r="J39" s="203">
        <f>IF(AND('A-9'!I88="-",'A-9'!I135="-",'A-9'!I182="-"),"-",SUM('A-9'!I88,'A-9'!I135,'A-9'!I182))</f>
        <v>1240</v>
      </c>
      <c r="K39" s="203">
        <f>IF(AND('A-9'!J88="-",'A-9'!J135="-",'A-9'!J182="-"),"-",SUM('A-9'!J88,'A-9'!J135,'A-9'!J182))</f>
        <v>16</v>
      </c>
      <c r="L39" s="203">
        <f>IF(AND('A-9'!K88="-",'A-9'!K135="-",'A-9'!K182="-"),"-",SUM('A-9'!K88,'A-9'!K135,'A-9'!K182))</f>
        <v>35113</v>
      </c>
    </row>
    <row r="40" spans="1:12" ht="11.25" customHeight="1" x14ac:dyDescent="0.25">
      <c r="A40" s="402">
        <v>2012</v>
      </c>
      <c r="B40" s="203" t="s">
        <v>29</v>
      </c>
      <c r="C40" s="203">
        <f>IF(AND('A-9'!B89="-",'A-9'!B136="-",'A-9'!B183="-"),"-",SUM('A-9'!B89,'A-9'!B136,'A-9'!B183))</f>
        <v>23</v>
      </c>
      <c r="D40" s="203">
        <f>IF(AND('A-9'!C89="-",'A-9'!C136="-",'A-9'!C183="-"),"-",SUM('A-9'!C89,'A-9'!C136,'A-9'!C183))</f>
        <v>380</v>
      </c>
      <c r="E40" s="203">
        <f>IF(AND('A-9'!D89="-",'A-9'!D136="-",'A-9'!D183="-"),"-",SUM('A-9'!D89,'A-9'!D136,'A-9'!D183))</f>
        <v>1622</v>
      </c>
      <c r="F40" s="203">
        <f>IF(AND('A-9'!E89="-",'A-9'!E136="-",'A-9'!E183="-"),"-",SUM('A-9'!E89,'A-9'!E136,'A-9'!E183))</f>
        <v>3778</v>
      </c>
      <c r="G40" s="203">
        <f>IF(AND('A-9'!F89="-",'A-9'!F136="-",'A-9'!F183="-"),"-",SUM('A-9'!F89,'A-9'!F136,'A-9'!F183))</f>
        <v>9872</v>
      </c>
      <c r="H40" s="203">
        <f>IF(AND('A-9'!G89="-",'A-9'!G136="-",'A-9'!G183="-"),"-",SUM('A-9'!G89,'A-9'!G136,'A-9'!G183))</f>
        <v>12531</v>
      </c>
      <c r="I40" s="203">
        <f>IF(AND('A-9'!H89="-",'A-9'!H136="-",'A-9'!H183="-"),"-",SUM('A-9'!H89,'A-9'!H136,'A-9'!H183))</f>
        <v>13720</v>
      </c>
      <c r="J40" s="203">
        <f>IF(AND('A-9'!I89="-",'A-9'!I136="-",'A-9'!I183="-"),"-",SUM('A-9'!I89,'A-9'!I136,'A-9'!I183))</f>
        <v>1705</v>
      </c>
      <c r="K40" s="203">
        <f>IF(AND('A-9'!J89="-",'A-9'!J136="-",'A-9'!J183="-"),"-",SUM('A-9'!J89,'A-9'!J136,'A-9'!J183))</f>
        <v>18</v>
      </c>
      <c r="L40" s="203">
        <f>IF(AND('A-9'!K89="-",'A-9'!K136="-",'A-9'!K183="-"),"-",SUM('A-9'!K89,'A-9'!K136,'A-9'!K183))</f>
        <v>43649</v>
      </c>
    </row>
    <row r="41" spans="1:12" ht="11.25" customHeight="1" x14ac:dyDescent="0.25">
      <c r="A41" s="402">
        <v>2013</v>
      </c>
      <c r="B41" s="203" t="s">
        <v>29</v>
      </c>
      <c r="C41" s="203">
        <f>IF(AND('A-9'!B90="-",'A-9'!B137="-",'A-9'!B184="-"),"-",SUM('A-9'!B90,'A-9'!B137,'A-9'!B184))</f>
        <v>479</v>
      </c>
      <c r="D41" s="203">
        <f>IF(AND('A-9'!C90="-",'A-9'!C137="-",'A-9'!C184="-"),"-",SUM('A-9'!C90,'A-9'!C137,'A-9'!C184))</f>
        <v>693</v>
      </c>
      <c r="E41" s="203">
        <f>IF(AND('A-9'!D90="-",'A-9'!D137="-",'A-9'!D184="-"),"-",SUM('A-9'!D90,'A-9'!D137,'A-9'!D184))</f>
        <v>911</v>
      </c>
      <c r="F41" s="203">
        <f>IF(AND('A-9'!E90="-",'A-9'!E137="-",'A-9'!E184="-"),"-",SUM('A-9'!E90,'A-9'!E137,'A-9'!E184))</f>
        <v>3970</v>
      </c>
      <c r="G41" s="203">
        <f>IF(AND('A-9'!F90="-",'A-9'!F137="-",'A-9'!F184="-"),"-",SUM('A-9'!F90,'A-9'!F137,'A-9'!F184))</f>
        <v>11214</v>
      </c>
      <c r="H41" s="203">
        <f>IF(AND('A-9'!G90="-",'A-9'!G137="-",'A-9'!G184="-"),"-",SUM('A-9'!G90,'A-9'!G137,'A-9'!G184))</f>
        <v>25977</v>
      </c>
      <c r="I41" s="203">
        <f>IF(AND('A-9'!H90="-",'A-9'!H137="-",'A-9'!H184="-"),"-",SUM('A-9'!H90,'A-9'!H137,'A-9'!H184))</f>
        <v>11833</v>
      </c>
      <c r="J41" s="203">
        <f>IF(AND('A-9'!I90="-",'A-9'!I137="-",'A-9'!I184="-"),"-",SUM('A-9'!I90,'A-9'!I137,'A-9'!I184))</f>
        <v>4214</v>
      </c>
      <c r="K41" s="101" t="s">
        <v>116</v>
      </c>
      <c r="L41" s="203">
        <f>IF(AND('A-9'!K90="-",'A-9'!K137="-",'A-9'!K184="-"),"-",SUM('A-9'!K90,'A-9'!K137,'A-9'!K184))</f>
        <v>59291</v>
      </c>
    </row>
    <row r="42" spans="1:12" ht="11.25" customHeight="1" x14ac:dyDescent="0.25">
      <c r="A42" s="402">
        <v>2014</v>
      </c>
      <c r="B42" s="203" t="s">
        <v>29</v>
      </c>
      <c r="C42" s="203">
        <f>IF(AND('A-9'!B91="-",'A-9'!B138="-",'A-9'!B185="-"),"-",SUM('A-9'!B91,'A-9'!B138,'A-9'!B185))</f>
        <v>87</v>
      </c>
      <c r="D42" s="203">
        <f>IF(AND('A-9'!C91="-",'A-9'!C138="-",'A-9'!C185="-"),"-",SUM('A-9'!C91,'A-9'!C138,'A-9'!C185))</f>
        <v>136</v>
      </c>
      <c r="E42" s="203">
        <f>IF(AND('A-9'!D91="-",'A-9'!D138="-",'A-9'!D185="-"),"-",SUM('A-9'!D91,'A-9'!D138,'A-9'!D185))</f>
        <v>2235</v>
      </c>
      <c r="F42" s="203">
        <f>IF(AND('A-9'!E91="-",'A-9'!E138="-",'A-9'!E185="-"),"-",SUM('A-9'!E91,'A-9'!E138,'A-9'!E185))</f>
        <v>5251</v>
      </c>
      <c r="G42" s="203">
        <f>IF(AND('A-9'!F91="-",'A-9'!F138="-",'A-9'!F185="-"),"-",SUM('A-9'!F91,'A-9'!F138,'A-9'!F185))</f>
        <v>32802</v>
      </c>
      <c r="H42" s="203">
        <f>IF(AND('A-9'!G91="-",'A-9'!G138="-",'A-9'!G185="-"),"-",SUM('A-9'!G91,'A-9'!G138,'A-9'!G185))</f>
        <v>25863</v>
      </c>
      <c r="I42" s="203">
        <f>IF(AND('A-9'!H91="-",'A-9'!H138="-",'A-9'!H185="-"),"-",SUM('A-9'!H91,'A-9'!H138,'A-9'!H185))</f>
        <v>24388</v>
      </c>
      <c r="J42" s="203">
        <f>IF(AND('A-9'!I91="-",'A-9'!I138="-",'A-9'!I185="-"),"-",SUM('A-9'!I91,'A-9'!I138,'A-9'!I185))</f>
        <v>1421</v>
      </c>
      <c r="K42" s="101" t="s">
        <v>116</v>
      </c>
      <c r="L42" s="203">
        <f>IF(AND('A-9'!K91="-",'A-9'!K138="-",'A-9'!K185="-"),"-",SUM('A-9'!K91,'A-9'!K138,'A-9'!K185))</f>
        <v>92183</v>
      </c>
    </row>
    <row r="43" spans="1:12" ht="11.25" customHeight="1" x14ac:dyDescent="0.25">
      <c r="A43" s="402">
        <v>2015</v>
      </c>
      <c r="B43" s="203" t="s">
        <v>29</v>
      </c>
      <c r="C43" s="203">
        <f>IF(AND('A-9'!B92="-",'A-9'!B139="-",'A-9'!B186="-"),"-",SUM('A-9'!B92,'A-9'!B139,'A-9'!B186))</f>
        <v>60</v>
      </c>
      <c r="D43" s="203">
        <f>IF(AND('A-9'!C92="-",'A-9'!C139="-",'A-9'!C186="-"),"-",SUM('A-9'!C92,'A-9'!C139,'A-9'!C186))</f>
        <v>152</v>
      </c>
      <c r="E43" s="203">
        <f>IF(AND('A-9'!D92="-",'A-9'!D139="-",'A-9'!D186="-"),"-",SUM('A-9'!D92,'A-9'!D139,'A-9'!D186))</f>
        <v>1382</v>
      </c>
      <c r="F43" s="203">
        <f>IF(AND('A-9'!E92="-",'A-9'!E139="-",'A-9'!E186="-"),"-",SUM('A-9'!E92,'A-9'!E139,'A-9'!E186))</f>
        <v>2350</v>
      </c>
      <c r="G43" s="203">
        <f>IF(AND('A-9'!F92="-",'A-9'!F139="-",'A-9'!F186="-"),"-",SUM('A-9'!F92,'A-9'!F139,'A-9'!F186))</f>
        <v>18025</v>
      </c>
      <c r="H43" s="203">
        <f>IF(AND('A-9'!G92="-",'A-9'!G139="-",'A-9'!G186="-"),"-",SUM('A-9'!G92,'A-9'!G139,'A-9'!G186))</f>
        <v>7526</v>
      </c>
      <c r="I43" s="203">
        <f>IF(AND('A-9'!H92="-",'A-9'!H139="-",'A-9'!H186="-"),"-",SUM('A-9'!H92,'A-9'!H139,'A-9'!H186))</f>
        <v>16586</v>
      </c>
      <c r="J43" s="203">
        <f>IF(AND('A-9'!I92="-",'A-9'!I139="-",'A-9'!I186="-"),"-",SUM('A-9'!I92,'A-9'!I139,'A-9'!I186))</f>
        <v>2374</v>
      </c>
      <c r="K43" s="101" t="s">
        <v>116</v>
      </c>
      <c r="L43" s="203">
        <f>IF(AND('A-9'!K92="-",'A-9'!K139="-",'A-9'!K186="-"),"-",SUM('A-9'!K92,'A-9'!K139,'A-9'!K186))</f>
        <v>48455</v>
      </c>
    </row>
    <row r="44" spans="1:12" ht="11.25" customHeight="1" x14ac:dyDescent="0.25">
      <c r="A44" s="402">
        <v>2016</v>
      </c>
      <c r="B44" s="203" t="s">
        <v>29</v>
      </c>
      <c r="C44" s="203">
        <f>IF(AND('A-9'!B93="-",'A-9'!B140="-",'A-9'!B187="-"),"-",SUM('A-9'!B93,'A-9'!B140,'A-9'!B187))</f>
        <v>82</v>
      </c>
      <c r="D44" s="203">
        <f>IF(AND('A-9'!C93="-",'A-9'!C140="-",'A-9'!C187="-"),"-",SUM('A-9'!C93,'A-9'!C140,'A-9'!C187))</f>
        <v>18</v>
      </c>
      <c r="E44" s="203">
        <f>IF(AND('A-9'!D93="-",'A-9'!D140="-",'A-9'!D187="-"),"-",SUM('A-9'!D93,'A-9'!D140,'A-9'!D187))</f>
        <v>1037</v>
      </c>
      <c r="F44" s="203">
        <f>IF(AND('A-9'!E93="-",'A-9'!E140="-",'A-9'!E187="-"),"-",SUM('A-9'!E93,'A-9'!E140,'A-9'!E187))</f>
        <v>2799</v>
      </c>
      <c r="G44" s="203">
        <f>IF(AND('A-9'!F93="-",'A-9'!F140="-",'A-9'!F187="-"),"-",SUM('A-9'!F93,'A-9'!F140,'A-9'!F187))</f>
        <v>6382</v>
      </c>
      <c r="H44" s="203">
        <f>IF(AND('A-9'!G93="-",'A-9'!G140="-",'A-9'!G187="-"),"-",SUM('A-9'!G93,'A-9'!G140,'A-9'!G187))</f>
        <v>4835</v>
      </c>
      <c r="I44" s="203">
        <f>IF(AND('A-9'!H93="-",'A-9'!H140="-",'A-9'!H187="-"),"-",SUM('A-9'!H93,'A-9'!H140,'A-9'!H187))</f>
        <v>14579</v>
      </c>
      <c r="J44" s="203">
        <f>IF(AND('A-9'!I93="-",'A-9'!I140="-",'A-9'!I187="-"),"-",SUM('A-9'!I93,'A-9'!I140,'A-9'!I187))</f>
        <v>612</v>
      </c>
      <c r="K44" s="101" t="s">
        <v>116</v>
      </c>
      <c r="L44" s="203">
        <f>IF(AND('A-9'!K93="-",'A-9'!K140="-",'A-9'!K187="-"),"-",SUM('A-9'!K93,'A-9'!K140,'A-9'!K187))</f>
        <v>30344</v>
      </c>
    </row>
    <row r="45" spans="1:12" ht="11.25" customHeight="1" x14ac:dyDescent="0.25">
      <c r="A45" s="402">
        <v>2017</v>
      </c>
      <c r="B45" s="203" t="s">
        <v>29</v>
      </c>
      <c r="C45" s="203">
        <f>IF(AND('A-9'!B94="-",'A-9'!B141="-",'A-9'!B188="-"),"-",SUM('A-9'!B94,'A-9'!B141,'A-9'!B188))</f>
        <v>17</v>
      </c>
      <c r="D45" s="203">
        <f>IF(AND('A-9'!C94="-",'A-9'!C141="-",'A-9'!C188="-"),"-",SUM('A-9'!C94,'A-9'!C141,'A-9'!C188))</f>
        <v>60</v>
      </c>
      <c r="E45" s="203">
        <f>IF(AND('A-9'!D94="-",'A-9'!D141="-",'A-9'!D188="-"),"-",SUM('A-9'!D94,'A-9'!D141,'A-9'!D188))</f>
        <v>500</v>
      </c>
      <c r="F45" s="203">
        <f>IF(AND('A-9'!E94="-",'A-9'!E141="-",'A-9'!E188="-"),"-",SUM('A-9'!E94,'A-9'!E141,'A-9'!E188))</f>
        <v>1916</v>
      </c>
      <c r="G45" s="203">
        <f>IF(AND('A-9'!F94="-",'A-9'!F141="-",'A-9'!F188="-"),"-",SUM('A-9'!F94,'A-9'!F141,'A-9'!F188))</f>
        <v>10057</v>
      </c>
      <c r="H45" s="203">
        <f>IF(AND('A-9'!G94="-",'A-9'!G141="-",'A-9'!G188="-"),"-",SUM('A-9'!G94,'A-9'!G141,'A-9'!G188))</f>
        <v>9383</v>
      </c>
      <c r="I45" s="203">
        <f>IF(AND('A-9'!H94="-",'A-9'!H141="-",'A-9'!H188="-"),"-",SUM('A-9'!H94,'A-9'!H141,'A-9'!H188))</f>
        <v>9343</v>
      </c>
      <c r="J45" s="203">
        <f>IF(AND('A-9'!I94="-",'A-9'!I141="-",'A-9'!I188="-"),"-",SUM('A-9'!I94,'A-9'!I141,'A-9'!I188))</f>
        <v>453</v>
      </c>
      <c r="K45" s="101" t="s">
        <v>116</v>
      </c>
      <c r="L45" s="203">
        <f>IF(AND('A-9'!K94="-",'A-9'!K141="-",'A-9'!K188="-"),"-",SUM('A-9'!K94,'A-9'!K141,'A-9'!K188))</f>
        <v>31729</v>
      </c>
    </row>
    <row r="46" spans="1:12" s="358" customFormat="1" ht="11.25" customHeight="1" x14ac:dyDescent="0.25">
      <c r="A46" s="402">
        <v>2018</v>
      </c>
      <c r="B46" s="203" t="s">
        <v>29</v>
      </c>
      <c r="C46" s="203">
        <f>IF(AND('A-9'!B95="-",'A-9'!B142="-",'A-9'!B189="-"),"-",SUM('A-9'!B95,'A-9'!B142,'A-9'!B189))</f>
        <v>54</v>
      </c>
      <c r="D46" s="203">
        <f>IF(AND('A-9'!C95="-",'A-9'!C142="-",'A-9'!C189="-"),"-",SUM('A-9'!C95,'A-9'!C142,'A-9'!C189))</f>
        <v>19</v>
      </c>
      <c r="E46" s="203">
        <f>IF(AND('A-9'!D95="-",'A-9'!D142="-",'A-9'!D189="-"),"-",SUM('A-9'!D95,'A-9'!D142,'A-9'!D189))</f>
        <v>657</v>
      </c>
      <c r="F46" s="203">
        <f>IF(AND('A-9'!E95="-",'A-9'!E142="-",'A-9'!E189="-"),"-",SUM('A-9'!E95,'A-9'!E142,'A-9'!E189))</f>
        <v>1122</v>
      </c>
      <c r="G46" s="203">
        <f>IF(AND('A-9'!F95="-",'A-9'!F142="-",'A-9'!F189="-"),"-",SUM('A-9'!F95,'A-9'!F142,'A-9'!F189))</f>
        <v>9566</v>
      </c>
      <c r="H46" s="203">
        <f>IF(AND('A-9'!G95="-",'A-9'!G142="-",'A-9'!G189="-"),"-",SUM('A-9'!G95,'A-9'!G142,'A-9'!G189))</f>
        <v>22219</v>
      </c>
      <c r="I46" s="203">
        <f>IF(AND('A-9'!H95="-",'A-9'!H142="-",'A-9'!H189="-"),"-",SUM('A-9'!H95,'A-9'!H142,'A-9'!H189))</f>
        <v>14596</v>
      </c>
      <c r="J46" s="203">
        <f>IF(AND('A-9'!I95="-",'A-9'!I142="-",'A-9'!I189="-"),"-",SUM('A-9'!I95,'A-9'!I142,'A-9'!I189))</f>
        <v>899</v>
      </c>
      <c r="K46" s="101" t="s">
        <v>116</v>
      </c>
      <c r="L46" s="203">
        <f>IF(AND('A-9'!K95="-",'A-9'!K142="-",'A-9'!K189="-"),"-",SUM('A-9'!K95,'A-9'!K142,'A-9'!K189))</f>
        <v>49132</v>
      </c>
    </row>
    <row r="47" spans="1:12" s="358" customFormat="1" ht="11.25" customHeight="1" x14ac:dyDescent="0.25">
      <c r="A47" s="491">
        <v>2019</v>
      </c>
      <c r="B47" s="203" t="s">
        <v>29</v>
      </c>
      <c r="C47" s="203">
        <f>IF(AND('A-9'!B96="-",'A-9'!B143="-",'A-9'!B190="-"),"-",SUM('A-9'!B96,'A-9'!B143,'A-9'!B190))</f>
        <v>43</v>
      </c>
      <c r="D47" s="203">
        <f>IF(AND('A-9'!C96="-",'A-9'!C143="-",'A-9'!C190="-"),"-",SUM('A-9'!C96,'A-9'!C143,'A-9'!C190))</f>
        <v>8</v>
      </c>
      <c r="E47" s="203">
        <f>IF(AND('A-9'!D96="-",'A-9'!D143="-",'A-9'!D190="-"),"-",SUM('A-9'!D96,'A-9'!D143,'A-9'!D190))</f>
        <v>410</v>
      </c>
      <c r="F47" s="203">
        <f>IF(AND('A-9'!E96="-",'A-9'!E143="-",'A-9'!E190="-"),"-",SUM('A-9'!E96,'A-9'!E143,'A-9'!E190))</f>
        <v>6273</v>
      </c>
      <c r="G47" s="203">
        <f>IF(AND('A-9'!F96="-",'A-9'!F143="-",'A-9'!F190="-"),"-",SUM('A-9'!F96,'A-9'!F143,'A-9'!F190))</f>
        <v>32385</v>
      </c>
      <c r="H47" s="203">
        <f>IF(AND('A-9'!G96="-",'A-9'!G143="-",'A-9'!G190="-"),"-",SUM('A-9'!G96,'A-9'!G143,'A-9'!G190))</f>
        <v>24824</v>
      </c>
      <c r="I47" s="203">
        <f>IF(AND('A-9'!H96="-",'A-9'!H143="-",'A-9'!H190="-"),"-",SUM('A-9'!H96,'A-9'!H143,'A-9'!H190))</f>
        <v>9660</v>
      </c>
      <c r="J47" s="203">
        <f>IF(AND('A-9'!I96="-",'A-9'!I143="-",'A-9'!I190="-"),"-",SUM('A-9'!I96,'A-9'!I143,'A-9'!I190))</f>
        <v>1581</v>
      </c>
      <c r="K47" s="203" t="str">
        <f>IF(AND('A-9'!J96="-",'A-9'!J143="-",'A-9'!J190="-"),"-",SUM('A-9'!J96,'A-9'!J143,'A-9'!J190))</f>
        <v>-</v>
      </c>
      <c r="L47" s="203">
        <f>IF(AND('A-9'!K96="-",'A-9'!K143="-",'A-9'!K190="-"),"-",SUM('A-9'!K96,'A-9'!K143,'A-9'!K190))</f>
        <v>75184</v>
      </c>
    </row>
    <row r="48" spans="1:12" ht="11.25" customHeight="1" x14ac:dyDescent="0.25">
      <c r="A48" s="491" t="s">
        <v>393</v>
      </c>
      <c r="B48" s="203" t="s">
        <v>29</v>
      </c>
      <c r="C48" s="203">
        <f>IF(AND('A-9'!B97="-",'A-9'!B144="-",'A-9'!B191="-"),"-",SUM('A-9'!B97,'A-9'!B144,'A-9'!B191))</f>
        <v>11</v>
      </c>
      <c r="D48" s="203">
        <f>IF(AND('A-9'!C97="-",'A-9'!C144="-",'A-9'!C191="-"),"-",SUM('A-9'!C97,'A-9'!C144,'A-9'!C191))</f>
        <v>107</v>
      </c>
      <c r="E48" s="203">
        <f>IF(AND('A-9'!D97="-",'A-9'!D144="-",'A-9'!D191="-"),"-",SUM('A-9'!D97,'A-9'!D144,'A-9'!D191))</f>
        <v>293</v>
      </c>
      <c r="F48" s="203">
        <f>IF(AND('A-9'!E97="-",'A-9'!E144="-",'A-9'!E191="-"),"-",SUM('A-9'!E97,'A-9'!E144,'A-9'!E191))</f>
        <v>642</v>
      </c>
      <c r="G48" s="203">
        <f>IF(AND('A-9'!F97="-",'A-9'!F144="-",'A-9'!F191="-"),"-",SUM('A-9'!F97,'A-9'!F144,'A-9'!F191))</f>
        <v>21209</v>
      </c>
      <c r="H48" s="203">
        <f>IF(AND('A-9'!G97="-",'A-9'!G144="-",'A-9'!G191="-"),"-",SUM('A-9'!G97,'A-9'!G144,'A-9'!G191))</f>
        <v>11978</v>
      </c>
      <c r="I48" s="203">
        <f>IF(AND('A-9'!H97="-",'A-9'!H144="-",'A-9'!H191="-"),"-",SUM('A-9'!H97,'A-9'!H144,'A-9'!H191))</f>
        <v>11338</v>
      </c>
      <c r="J48" s="203">
        <f>IF(AND('A-9'!I97="-",'A-9'!I144="-",'A-9'!I191="-"),"-",SUM('A-9'!I97,'A-9'!I144,'A-9'!I191))</f>
        <v>1712</v>
      </c>
      <c r="K48" s="200" t="str">
        <f>IF(AND('A-9'!J97="-",'A-9'!J144="-",'A-9'!J191="-"),"-",SUM('A-9'!J97,'A-9'!J144,'A-9'!J191))</f>
        <v>-</v>
      </c>
      <c r="L48" s="203">
        <f>IF(AND('A-9'!K97="-",'A-9'!K144="-",'A-9'!K191="-"),"-",SUM('A-9'!K97,'A-9'!K144,'A-9'!K191))</f>
        <v>47290</v>
      </c>
    </row>
    <row r="49" spans="1:12" ht="11.25" customHeight="1" x14ac:dyDescent="0.25"/>
    <row r="50" spans="1:12" ht="11.25" customHeight="1" x14ac:dyDescent="0.25">
      <c r="A50" s="116" t="s">
        <v>304</v>
      </c>
    </row>
    <row r="51" spans="1:12" ht="11.25" customHeight="1" x14ac:dyDescent="0.25">
      <c r="A51" s="383">
        <v>1976</v>
      </c>
      <c r="B51" s="200">
        <f>IF(AND('A-4'!B5="-",'A-4'!B52="-"),"-",SUM('A-4'!B5,'A-4'!B52))</f>
        <v>0</v>
      </c>
      <c r="C51" s="200">
        <f>IF(AND('A-9'!B194="-",'A-4'!C5="-",'A-4'!C52="-"),"-",SUM('A-9'!B194,'A-4'!C5,'A-4'!C52))</f>
        <v>0</v>
      </c>
      <c r="D51" s="200">
        <f>IF(AND('A-9'!C194="-",'A-4'!D5="-",'A-4'!D52="-"),"-",SUM('A-9'!C194,'A-4'!D5,'A-4'!D52))</f>
        <v>0</v>
      </c>
      <c r="E51" s="200">
        <f>IF(AND('A-9'!D194="-",'A-4'!E5="-",'A-4'!E52="-"),"-",SUM('A-9'!D194,'A-4'!E5,'A-4'!E52))</f>
        <v>2186</v>
      </c>
      <c r="F51" s="200">
        <f>IF(AND('A-9'!E194="-",'A-4'!F5="-",'A-4'!F52="-"),"-",SUM('A-9'!E194,'A-4'!F5,'A-4'!F52))</f>
        <v>27110</v>
      </c>
      <c r="G51" s="200">
        <f>IF(AND('A-9'!F194="-",'A-4'!G5="-",'A-4'!G52="-"),"-",SUM('A-9'!F194,'A-4'!G5,'A-4'!G52))</f>
        <v>61976</v>
      </c>
      <c r="H51" s="200">
        <f>IF(AND('A-9'!G194="-",'A-4'!H5="-",'A-4'!H52="-"),"-",SUM('A-9'!G194,'A-4'!H5,'A-4'!H52))</f>
        <v>46504</v>
      </c>
      <c r="I51" s="200">
        <f>IF(AND('A-9'!H194="-",'A-4'!I5="-",'A-4'!I52="-"),"-",SUM('A-9'!H194,'A-4'!I5,'A-4'!I52))</f>
        <v>11113</v>
      </c>
      <c r="J51" s="200">
        <f>IF(AND('A-9'!I194="-",'A-4'!J5="-",'A-4'!J52="-"),"-",SUM('A-9'!I194,'A-4'!J5,'A-4'!J52))</f>
        <v>3519</v>
      </c>
      <c r="K51" s="200">
        <f>IF(AND('A-9'!J194="-",'A-4'!K5="-",'A-4'!K52="-"),"-",SUM('A-9'!J194,'A-4'!K5,'A-4'!K52))</f>
        <v>694</v>
      </c>
      <c r="L51" s="200">
        <f>SUM(B51:K51)</f>
        <v>153102</v>
      </c>
    </row>
    <row r="52" spans="1:12" ht="11.25" customHeight="1" x14ac:dyDescent="0.25">
      <c r="A52" s="383">
        <v>1977</v>
      </c>
      <c r="B52" s="200">
        <f>IF(AND('A-4'!B6="-",'A-4'!B53="-"),"-",SUM('A-4'!B6,'A-4'!B53))</f>
        <v>0</v>
      </c>
      <c r="C52" s="200">
        <f>IF(AND('A-9'!B195="-",'A-4'!C6="-",'A-4'!C53="-"),"-",SUM('A-9'!B195,'A-4'!C6,'A-4'!C53))</f>
        <v>0</v>
      </c>
      <c r="D52" s="200">
        <f>IF(AND('A-9'!C195="-",'A-4'!D6="-",'A-4'!D53="-"),"-",SUM('A-9'!C195,'A-4'!D6,'A-4'!D53))</f>
        <v>0</v>
      </c>
      <c r="E52" s="200">
        <f>IF(AND('A-9'!D195="-",'A-4'!E6="-",'A-4'!E53="-"),"-",SUM('A-9'!D195,'A-4'!E6,'A-4'!E53))</f>
        <v>3084</v>
      </c>
      <c r="F52" s="200">
        <f>IF(AND('A-9'!E195="-",'A-4'!F6="-",'A-4'!F53="-"),"-",SUM('A-9'!E195,'A-4'!F6,'A-4'!F53))</f>
        <v>14785</v>
      </c>
      <c r="G52" s="200">
        <f>IF(AND('A-9'!F195="-",'A-4'!G6="-",'A-4'!G53="-"),"-",SUM('A-9'!F195,'A-4'!G6,'A-4'!G53))</f>
        <v>49030</v>
      </c>
      <c r="H52" s="200">
        <f>IF(AND('A-9'!G195="-",'A-4'!H6="-",'A-4'!H53="-"),"-",SUM('A-9'!G195,'A-4'!H6,'A-4'!H53))</f>
        <v>36784</v>
      </c>
      <c r="I52" s="200">
        <f>IF(AND('A-9'!H195="-",'A-4'!I6="-",'A-4'!I53="-"),"-",SUM('A-9'!H195,'A-4'!I6,'A-4'!I53))</f>
        <v>10549</v>
      </c>
      <c r="J52" s="200">
        <f>IF(AND('A-9'!I195="-",'A-4'!J6="-",'A-4'!J53="-"),"-",SUM('A-9'!I195,'A-4'!J6,'A-4'!J53))</f>
        <v>7966</v>
      </c>
      <c r="K52" s="200">
        <f>IF(AND('A-9'!J195="-",'A-4'!K6="-",'A-4'!K53="-"),"-",SUM('A-9'!J195,'A-4'!K6,'A-4'!K53))</f>
        <v>997</v>
      </c>
      <c r="L52" s="200">
        <f t="shared" ref="L52:L79" si="0">SUM(B52:K52)</f>
        <v>123195</v>
      </c>
    </row>
    <row r="53" spans="1:12" ht="11.25" customHeight="1" x14ac:dyDescent="0.25">
      <c r="A53" s="383">
        <v>1978</v>
      </c>
      <c r="B53" s="200">
        <f>IF(AND('A-4'!B7="-",'A-4'!B54="-"),"-",SUM('A-4'!B7,'A-4'!B54))</f>
        <v>0</v>
      </c>
      <c r="C53" s="200">
        <f>IF(AND('A-9'!B196="-",'A-4'!C7="-",'A-4'!C54="-"),"-",SUM('A-9'!B196,'A-4'!C7,'A-4'!C54))</f>
        <v>0</v>
      </c>
      <c r="D53" s="200">
        <f>IF(AND('A-9'!C196="-",'A-4'!D7="-",'A-4'!D54="-"),"-",SUM('A-9'!C196,'A-4'!D7,'A-4'!D54))</f>
        <v>3</v>
      </c>
      <c r="E53" s="200">
        <f>IF(AND('A-9'!D196="-",'A-4'!E7="-",'A-4'!E54="-"),"-",SUM('A-9'!D196,'A-4'!E7,'A-4'!E54))</f>
        <v>1997</v>
      </c>
      <c r="F53" s="200">
        <f>IF(AND('A-9'!E196="-",'A-4'!F7="-",'A-4'!F54="-"),"-",SUM('A-9'!E196,'A-4'!F7,'A-4'!F54))</f>
        <v>30108</v>
      </c>
      <c r="G53" s="200">
        <f>IF(AND('A-9'!F196="-",'A-4'!G7="-",'A-4'!G54="-"),"-",SUM('A-9'!F196,'A-4'!G7,'A-4'!G54))</f>
        <v>48808</v>
      </c>
      <c r="H53" s="200">
        <f>IF(AND('A-9'!G196="-",'A-4'!H7="-",'A-4'!H54="-"),"-",SUM('A-9'!G196,'A-4'!H7,'A-4'!H54))</f>
        <v>27172</v>
      </c>
      <c r="I53" s="200">
        <f>IF(AND('A-9'!H196="-",'A-4'!I7="-",'A-4'!I54="-"),"-",SUM('A-9'!H196,'A-4'!I7,'A-4'!I54))</f>
        <v>8647</v>
      </c>
      <c r="J53" s="200">
        <f>IF(AND('A-9'!I196="-",'A-4'!J7="-",'A-4'!J54="-"),"-",SUM('A-9'!I196,'A-4'!J7,'A-4'!J54))</f>
        <v>8613</v>
      </c>
      <c r="K53" s="200">
        <f>IF(AND('A-9'!J196="-",'A-4'!K7="-",'A-4'!K54="-"),"-",SUM('A-9'!J196,'A-4'!K7,'A-4'!K54))</f>
        <v>1528</v>
      </c>
      <c r="L53" s="200">
        <f t="shared" si="0"/>
        <v>126876</v>
      </c>
    </row>
    <row r="54" spans="1:12" ht="11.25" customHeight="1" x14ac:dyDescent="0.25">
      <c r="A54" s="383">
        <v>1979</v>
      </c>
      <c r="B54" s="200">
        <f>IF(AND('A-4'!B8="-",'A-4'!B55="-"),"-",SUM('A-4'!B8,'A-4'!B55))</f>
        <v>0</v>
      </c>
      <c r="C54" s="200">
        <f>IF(AND('A-9'!B197="-",'A-4'!C8="-",'A-4'!C55="-"),"-",SUM('A-9'!B197,'A-4'!C8,'A-4'!C55))</f>
        <v>0</v>
      </c>
      <c r="D54" s="200">
        <f>IF(AND('A-9'!C197="-",'A-4'!D8="-",'A-4'!D55="-"),"-",SUM('A-9'!C197,'A-4'!D8,'A-4'!D55))</f>
        <v>15</v>
      </c>
      <c r="E54" s="200">
        <f>IF(AND('A-9'!D197="-",'A-4'!E8="-",'A-4'!E55="-"),"-",SUM('A-9'!D197,'A-4'!E8,'A-4'!E55))</f>
        <v>531</v>
      </c>
      <c r="F54" s="200">
        <f>IF(AND('A-9'!E197="-",'A-4'!F8="-",'A-4'!F55="-"),"-",SUM('A-9'!E197,'A-4'!F8,'A-4'!F55))</f>
        <v>11548</v>
      </c>
      <c r="G54" s="200">
        <f>IF(AND('A-9'!F197="-",'A-4'!G8="-",'A-4'!G55="-"),"-",SUM('A-9'!F197,'A-4'!G8,'A-4'!G55))</f>
        <v>41382</v>
      </c>
      <c r="H54" s="200">
        <f>IF(AND('A-9'!G197="-",'A-4'!H8="-",'A-4'!H55="-"),"-",SUM('A-9'!G197,'A-4'!H8,'A-4'!H55))</f>
        <v>26156</v>
      </c>
      <c r="I54" s="200">
        <f>IF(AND('A-9'!H197="-",'A-4'!I8="-",'A-4'!I55="-"),"-",SUM('A-9'!H197,'A-4'!I8,'A-4'!I55))</f>
        <v>4038</v>
      </c>
      <c r="J54" s="200">
        <f>IF(AND('A-9'!I197="-",'A-4'!J8="-",'A-4'!J55="-"),"-",SUM('A-9'!I197,'A-4'!J8,'A-4'!J55))</f>
        <v>5085</v>
      </c>
      <c r="K54" s="200">
        <f>IF(AND('A-9'!J197="-",'A-4'!K8="-",'A-4'!K55="-"),"-",SUM('A-9'!J197,'A-4'!K8,'A-4'!K55))</f>
        <v>935</v>
      </c>
      <c r="L54" s="200">
        <f t="shared" si="0"/>
        <v>89690</v>
      </c>
    </row>
    <row r="55" spans="1:12" ht="11.25" customHeight="1" x14ac:dyDescent="0.25">
      <c r="A55" s="383">
        <v>1980</v>
      </c>
      <c r="B55" s="200">
        <f>IF(AND('A-4'!B9="-",'A-4'!B56="-"),"-",SUM('A-4'!B9,'A-4'!B56))</f>
        <v>0</v>
      </c>
      <c r="C55" s="200">
        <f>IF(AND('A-9'!B198="-",'A-4'!C9="-",'A-4'!C56="-"),"-",SUM('A-9'!B198,'A-4'!C9,'A-4'!C56))</f>
        <v>0</v>
      </c>
      <c r="D55" s="200">
        <f>IF(AND('A-9'!C198="-",'A-4'!D9="-",'A-4'!D56="-"),"-",SUM('A-9'!C198,'A-4'!D9,'A-4'!D56))</f>
        <v>0</v>
      </c>
      <c r="E55" s="200">
        <f>IF(AND('A-9'!D198="-",'A-4'!E9="-",'A-4'!E56="-"),"-",SUM('A-9'!D198,'A-4'!E9,'A-4'!E56))</f>
        <v>237</v>
      </c>
      <c r="F55" s="200">
        <f>IF(AND('A-9'!E198="-",'A-4'!F9="-",'A-4'!F56="-"),"-",SUM('A-9'!E198,'A-4'!F9,'A-4'!F56))</f>
        <v>20507</v>
      </c>
      <c r="G55" s="200">
        <f>IF(AND('A-9'!F198="-",'A-4'!G9="-",'A-4'!G56="-"),"-",SUM('A-9'!F198,'A-4'!G9,'A-4'!G56))</f>
        <v>49101</v>
      </c>
      <c r="H55" s="200">
        <f>IF(AND('A-9'!G198="-",'A-4'!H9="-",'A-4'!H56="-"),"-",SUM('A-9'!G198,'A-4'!H9,'A-4'!H56))</f>
        <v>17846</v>
      </c>
      <c r="I55" s="200">
        <f>IF(AND('A-9'!H198="-",'A-4'!I9="-",'A-4'!I56="-"),"-",SUM('A-9'!H198,'A-4'!I9,'A-4'!I56))</f>
        <v>7300</v>
      </c>
      <c r="J55" s="200">
        <f>IF(AND('A-9'!I198="-",'A-4'!J9="-",'A-4'!J56="-"),"-",SUM('A-9'!I198,'A-4'!J9,'A-4'!J56))</f>
        <v>2900</v>
      </c>
      <c r="K55" s="200">
        <f>IF(AND('A-9'!J198="-",'A-4'!K9="-",'A-4'!K56="-"),"-",SUM('A-9'!J198,'A-4'!K9,'A-4'!K56))</f>
        <v>412</v>
      </c>
      <c r="L55" s="200">
        <f t="shared" si="0"/>
        <v>98303</v>
      </c>
    </row>
    <row r="56" spans="1:12" ht="11.25" customHeight="1" x14ac:dyDescent="0.25">
      <c r="A56" s="383">
        <v>1981</v>
      </c>
      <c r="B56" s="200">
        <f>IF(AND('A-4'!B10="-",'A-4'!B57="-"),"-",SUM('A-4'!B10,'A-4'!B57))</f>
        <v>0</v>
      </c>
      <c r="C56" s="200">
        <f>IF(AND('A-9'!B199="-",'A-4'!C10="-",'A-4'!C57="-"),"-",SUM('A-9'!B199,'A-4'!C10,'A-4'!C57))</f>
        <v>0</v>
      </c>
      <c r="D56" s="200">
        <f>IF(AND('A-9'!C199="-",'A-4'!D10="-",'A-4'!D57="-"),"-",SUM('A-9'!C199,'A-4'!D10,'A-4'!D57))</f>
        <v>0</v>
      </c>
      <c r="E56" s="200">
        <f>IF(AND('A-9'!D199="-",'A-4'!E10="-",'A-4'!E57="-"),"-",SUM('A-9'!D199,'A-4'!E10,'A-4'!E57))</f>
        <v>2703</v>
      </c>
      <c r="F56" s="200">
        <f>IF(AND('A-9'!E199="-",'A-4'!F10="-",'A-4'!F57="-"),"-",SUM('A-9'!E199,'A-4'!F10,'A-4'!F57))</f>
        <v>22502</v>
      </c>
      <c r="G56" s="200">
        <f>IF(AND('A-9'!F199="-",'A-4'!G10="-",'A-4'!G57="-"),"-",SUM('A-9'!F199,'A-4'!G10,'A-4'!G57))</f>
        <v>38317</v>
      </c>
      <c r="H56" s="200">
        <f>IF(AND('A-9'!G199="-",'A-4'!H10="-",'A-4'!H57="-"),"-",SUM('A-9'!G199,'A-4'!H10,'A-4'!H57))</f>
        <v>28929</v>
      </c>
      <c r="I56" s="200">
        <f>IF(AND('A-9'!H199="-",'A-4'!I10="-",'A-4'!I57="-"),"-",SUM('A-9'!H199,'A-4'!I10,'A-4'!I57))</f>
        <v>2330</v>
      </c>
      <c r="J56" s="200">
        <f>IF(AND('A-9'!I199="-",'A-4'!J10="-",'A-4'!J57="-"),"-",SUM('A-9'!I199,'A-4'!J10,'A-4'!J57))</f>
        <v>2324</v>
      </c>
      <c r="K56" s="200">
        <f>IF(AND('A-9'!J199="-",'A-4'!K10="-",'A-4'!K57="-"),"-",SUM('A-9'!J199,'A-4'!K10,'A-4'!K57))</f>
        <v>313</v>
      </c>
      <c r="L56" s="200">
        <f t="shared" si="0"/>
        <v>97418</v>
      </c>
    </row>
    <row r="57" spans="1:12" ht="11.25" customHeight="1" x14ac:dyDescent="0.25">
      <c r="A57" s="383">
        <v>1982</v>
      </c>
      <c r="B57" s="200">
        <f>IF(AND('A-4'!B11="-",'A-4'!B58="-"),"-",SUM('A-4'!B11,'A-4'!B58))</f>
        <v>0</v>
      </c>
      <c r="C57" s="200">
        <f>IF(AND('A-9'!B200="-",'A-4'!C11="-",'A-4'!C58="-"),"-",SUM('A-9'!B200,'A-4'!C11,'A-4'!C58))</f>
        <v>0</v>
      </c>
      <c r="D57" s="200">
        <f>IF(AND('A-9'!C200="-",'A-4'!D11="-",'A-4'!D58="-"),"-",SUM('A-9'!C200,'A-4'!D11,'A-4'!D58))</f>
        <v>0</v>
      </c>
      <c r="E57" s="200">
        <f>IF(AND('A-9'!D200="-",'A-4'!E11="-",'A-4'!E58="-"),"-",SUM('A-9'!D200,'A-4'!E11,'A-4'!E58))</f>
        <v>388</v>
      </c>
      <c r="F57" s="200">
        <f>IF(AND('A-9'!E200="-",'A-4'!F11="-",'A-4'!F58="-"),"-",SUM('A-9'!E200,'A-4'!F11,'A-4'!F58))</f>
        <v>15728</v>
      </c>
      <c r="G57" s="200">
        <f>IF(AND('A-9'!F200="-",'A-4'!G11="-",'A-4'!G58="-"),"-",SUM('A-9'!F200,'A-4'!G11,'A-4'!G58))</f>
        <v>62743</v>
      </c>
      <c r="H57" s="200">
        <f>IF(AND('A-9'!G200="-",'A-4'!H11="-",'A-4'!H58="-"),"-",SUM('A-9'!G200,'A-4'!H11,'A-4'!H58))</f>
        <v>23610</v>
      </c>
      <c r="I57" s="200">
        <f>IF(AND('A-9'!H200="-",'A-4'!I11="-",'A-4'!I58="-"),"-",SUM('A-9'!H200,'A-4'!I11,'A-4'!I58))</f>
        <v>3855</v>
      </c>
      <c r="J57" s="200">
        <f>IF(AND('A-9'!I200="-",'A-4'!J11="-",'A-4'!J58="-"),"-",SUM('A-9'!I200,'A-4'!J11,'A-4'!J58))</f>
        <v>2606</v>
      </c>
      <c r="K57" s="200">
        <f>IF(AND('A-9'!J200="-",'A-4'!K11="-",'A-4'!K58="-"),"-",SUM('A-9'!J200,'A-4'!K11,'A-4'!K58))</f>
        <v>278</v>
      </c>
      <c r="L57" s="200">
        <f t="shared" si="0"/>
        <v>109208</v>
      </c>
    </row>
    <row r="58" spans="1:12" ht="11.25" customHeight="1" x14ac:dyDescent="0.25">
      <c r="A58" s="383">
        <v>1983</v>
      </c>
      <c r="B58" s="200">
        <f>IF(AND('A-4'!B12="-",'A-4'!B59="-"),"-",SUM('A-4'!B12,'A-4'!B59))</f>
        <v>0</v>
      </c>
      <c r="C58" s="200">
        <f>IF(AND('A-9'!B201="-",'A-4'!C12="-",'A-4'!C59="-"),"-",SUM('A-9'!B201,'A-4'!C12,'A-4'!C59))</f>
        <v>0</v>
      </c>
      <c r="D58" s="200">
        <f>IF(AND('A-9'!C201="-",'A-4'!D12="-",'A-4'!D59="-"),"-",SUM('A-9'!C201,'A-4'!D12,'A-4'!D59))</f>
        <v>0</v>
      </c>
      <c r="E58" s="200">
        <f>IF(AND('A-9'!D201="-",'A-4'!E12="-",'A-4'!E59="-"),"-",SUM('A-9'!D201,'A-4'!E12,'A-4'!E59))</f>
        <v>848</v>
      </c>
      <c r="F58" s="200">
        <f>IF(AND('A-9'!E201="-",'A-4'!F12="-",'A-4'!F59="-"),"-",SUM('A-9'!E201,'A-4'!F12,'A-4'!F59))</f>
        <v>20858</v>
      </c>
      <c r="G58" s="200">
        <f>IF(AND('A-9'!F201="-",'A-4'!G12="-",'A-4'!G59="-"),"-",SUM('A-9'!F201,'A-4'!G12,'A-4'!G59))</f>
        <v>44618</v>
      </c>
      <c r="H58" s="200">
        <f>IF(AND('A-9'!G201="-",'A-4'!H12="-",'A-4'!H59="-"),"-",SUM('A-9'!G201,'A-4'!H12,'A-4'!H59))</f>
        <v>20944</v>
      </c>
      <c r="I58" s="200">
        <f>IF(AND('A-9'!H201="-",'A-4'!I12="-",'A-4'!I59="-"),"-",SUM('A-9'!H201,'A-4'!I12,'A-4'!I59))</f>
        <v>7751</v>
      </c>
      <c r="J58" s="200">
        <f>IF(AND('A-9'!I201="-",'A-4'!J12="-",'A-4'!J59="-"),"-",SUM('A-9'!I201,'A-4'!J12,'A-4'!J59))</f>
        <v>5083</v>
      </c>
      <c r="K58" s="200">
        <f>IF(AND('A-9'!J201="-",'A-4'!K12="-",'A-4'!K59="-"),"-",SUM('A-9'!J201,'A-4'!K12,'A-4'!K59))</f>
        <v>98</v>
      </c>
      <c r="L58" s="200">
        <f t="shared" si="0"/>
        <v>100200</v>
      </c>
    </row>
    <row r="59" spans="1:12" ht="11.25" customHeight="1" x14ac:dyDescent="0.25">
      <c r="A59" s="383">
        <v>1984</v>
      </c>
      <c r="B59" s="200">
        <f>IF(AND('A-4'!B13="-",'A-4'!B60="-"),"-",SUM('A-4'!B13,'A-4'!B60))</f>
        <v>0</v>
      </c>
      <c r="C59" s="200">
        <f>IF(AND('A-9'!B202="-",'A-4'!C13="-",'A-4'!C60="-"),"-",SUM('A-9'!B202,'A-4'!C13,'A-4'!C60))</f>
        <v>0</v>
      </c>
      <c r="D59" s="200">
        <f>IF(AND('A-9'!C202="-",'A-4'!D13="-",'A-4'!D60="-"),"-",SUM('A-9'!C202,'A-4'!D13,'A-4'!D60))</f>
        <v>0</v>
      </c>
      <c r="E59" s="200">
        <f>IF(AND('A-9'!D202="-",'A-4'!E13="-",'A-4'!E60="-"),"-",SUM('A-9'!D202,'A-4'!E13,'A-4'!E60))</f>
        <v>16</v>
      </c>
      <c r="F59" s="200">
        <f>IF(AND('A-9'!E202="-",'A-4'!F13="-",'A-4'!F60="-"),"-",SUM('A-9'!E202,'A-4'!F13,'A-4'!F60))</f>
        <v>1574</v>
      </c>
      <c r="G59" s="200">
        <f>IF(AND('A-9'!F202="-",'A-4'!G13="-",'A-4'!G60="-"),"-",SUM('A-9'!F202,'A-4'!G13,'A-4'!G60))</f>
        <v>43476</v>
      </c>
      <c r="H59" s="200">
        <f>IF(AND('A-9'!G202="-",'A-4'!H13="-",'A-4'!H60="-"),"-",SUM('A-9'!G202,'A-4'!H13,'A-4'!H60))</f>
        <v>28750</v>
      </c>
      <c r="I59" s="200">
        <f>IF(AND('A-9'!H202="-",'A-4'!I13="-",'A-4'!I60="-"),"-",SUM('A-9'!H202,'A-4'!I13,'A-4'!I60))</f>
        <v>3669</v>
      </c>
      <c r="J59" s="200">
        <f>IF(AND('A-9'!I202="-",'A-4'!J13="-",'A-4'!J60="-"),"-",SUM('A-9'!I202,'A-4'!J13,'A-4'!J60))</f>
        <v>3099</v>
      </c>
      <c r="K59" s="200">
        <f>IF(AND('A-9'!J202="-",'A-4'!K13="-",'A-4'!K60="-"),"-",SUM('A-9'!J202,'A-4'!K13,'A-4'!K60))</f>
        <v>0</v>
      </c>
      <c r="L59" s="200">
        <f t="shared" si="0"/>
        <v>80584</v>
      </c>
    </row>
    <row r="60" spans="1:12" ht="11.25" customHeight="1" x14ac:dyDescent="0.25">
      <c r="A60" s="383">
        <v>1985</v>
      </c>
      <c r="B60" s="200">
        <f>IF(AND('A-4'!B14="-",'A-4'!B61="-"),"-",SUM('A-4'!B14,'A-4'!B61))</f>
        <v>0</v>
      </c>
      <c r="C60" s="200">
        <f>IF(AND('A-9'!B203="-",'A-4'!C14="-",'A-4'!C61="-"),"-",SUM('A-9'!B203,'A-4'!C14,'A-4'!C61))</f>
        <v>0</v>
      </c>
      <c r="D60" s="200">
        <f>IF(AND('A-9'!C203="-",'A-4'!D14="-",'A-4'!D61="-"),"-",SUM('A-9'!C203,'A-4'!D14,'A-4'!D61))</f>
        <v>3</v>
      </c>
      <c r="E60" s="200">
        <f>IF(AND('A-9'!D203="-",'A-4'!E14="-",'A-4'!E61="-"),"-",SUM('A-9'!D203,'A-4'!E14,'A-4'!E61))</f>
        <v>13450</v>
      </c>
      <c r="F60" s="200">
        <f>IF(AND('A-9'!E203="-",'A-4'!F14="-",'A-4'!F61="-"),"-",SUM('A-9'!E203,'A-4'!F14,'A-4'!F61))</f>
        <v>14030</v>
      </c>
      <c r="G60" s="200">
        <f>IF(AND('A-9'!F203="-",'A-4'!G14="-",'A-4'!G61="-"),"-",SUM('A-9'!F203,'A-4'!G14,'A-4'!G61))</f>
        <v>56838</v>
      </c>
      <c r="H60" s="200">
        <f>IF(AND('A-9'!G203="-",'A-4'!H14="-",'A-4'!H61="-"),"-",SUM('A-9'!G203,'A-4'!H14,'A-4'!H61))</f>
        <v>32375</v>
      </c>
      <c r="I60" s="200">
        <f>IF(AND('A-9'!H203="-",'A-4'!I14="-",'A-4'!I61="-"),"-",SUM('A-9'!H203,'A-4'!I14,'A-4'!I61))</f>
        <v>4167</v>
      </c>
      <c r="J60" s="200">
        <f>IF(AND('A-9'!I203="-",'A-4'!J14="-",'A-4'!J61="-"),"-",SUM('A-9'!I203,'A-4'!J14,'A-4'!J61))</f>
        <v>3967</v>
      </c>
      <c r="K60" s="200">
        <f>IF(AND('A-9'!J203="-",'A-4'!K14="-",'A-4'!K61="-"),"-",SUM('A-9'!J203,'A-4'!K14,'A-4'!K61))</f>
        <v>0</v>
      </c>
      <c r="L60" s="200">
        <f t="shared" si="0"/>
        <v>124830</v>
      </c>
    </row>
    <row r="61" spans="1:12" ht="11.25" customHeight="1" x14ac:dyDescent="0.25">
      <c r="A61" s="383">
        <v>1986</v>
      </c>
      <c r="B61" s="200">
        <f>IF(AND('A-4'!B15="-",'A-4'!B62="-"),"-",SUM('A-4'!B15,'A-4'!B62))</f>
        <v>0</v>
      </c>
      <c r="C61" s="200">
        <f>IF(AND('A-9'!B204="-",'A-4'!C15="-",'A-4'!C62="-"),"-",SUM('A-9'!B204,'A-4'!C15,'A-4'!C62))</f>
        <v>0</v>
      </c>
      <c r="D61" s="200" t="str">
        <f>IF(AND('A-9'!C204="-",'A-4'!D15="-",'A-4'!D62="-"),"-",SUM('A-9'!C204,'A-4'!D15,'A-4'!D62))</f>
        <v>-</v>
      </c>
      <c r="E61" s="200">
        <f>IF(AND('A-9'!D204="-",'A-4'!E15="-",'A-4'!E62="-"),"-",SUM('A-9'!D204,'A-4'!E15,'A-4'!E62))</f>
        <v>5775</v>
      </c>
      <c r="F61" s="200">
        <f>IF(AND('A-9'!E204="-",'A-4'!F15="-",'A-4'!F62="-"),"-",SUM('A-9'!E204,'A-4'!F15,'A-4'!F62))</f>
        <v>25226</v>
      </c>
      <c r="G61" s="200">
        <f>IF(AND('A-9'!F204="-",'A-4'!G15="-",'A-4'!G62="-"),"-",SUM('A-9'!F204,'A-4'!G15,'A-4'!G62))</f>
        <v>43463</v>
      </c>
      <c r="H61" s="200">
        <f>IF(AND('A-9'!G204="-",'A-4'!H15="-",'A-4'!H62="-"),"-",SUM('A-9'!G204,'A-4'!H15,'A-4'!H62))</f>
        <v>26600</v>
      </c>
      <c r="I61" s="200">
        <f>IF(AND('A-9'!H204="-",'A-4'!I15="-",'A-4'!I62="-"),"-",SUM('A-9'!H204,'A-4'!I15,'A-4'!I62))</f>
        <v>1111</v>
      </c>
      <c r="J61" s="200">
        <f>IF(AND('A-9'!I204="-",'A-4'!J15="-",'A-4'!J62="-"),"-",SUM('A-9'!I204,'A-4'!J15,'A-4'!J62))</f>
        <v>5020</v>
      </c>
      <c r="K61" s="200" t="str">
        <f>IF(AND('A-9'!J204="-",'A-4'!K15="-",'A-4'!K62="-"),"-",SUM('A-9'!J204,'A-4'!K15,'A-4'!K62))</f>
        <v>-</v>
      </c>
      <c r="L61" s="200">
        <f t="shared" si="0"/>
        <v>107195</v>
      </c>
    </row>
    <row r="62" spans="1:12" ht="11.25" customHeight="1" x14ac:dyDescent="0.25">
      <c r="A62" s="383">
        <v>1987</v>
      </c>
      <c r="B62" s="200" t="str">
        <f>IF(AND('A-4'!B16="-",'A-4'!B63="-"),"-",SUM('A-4'!B16,'A-4'!B63))</f>
        <v>-</v>
      </c>
      <c r="C62" s="200" t="str">
        <f>IF(AND('A-9'!B205="-",'A-4'!C16="-",'A-4'!C63="-"),"-",SUM('A-9'!B205,'A-4'!C16,'A-4'!C63))</f>
        <v>-</v>
      </c>
      <c r="D62" s="200" t="str">
        <f>IF(AND('A-9'!C205="-",'A-4'!D16="-",'A-4'!D63="-"),"-",SUM('A-9'!C205,'A-4'!D16,'A-4'!D63))</f>
        <v>-</v>
      </c>
      <c r="E62" s="200">
        <f>IF(AND('A-9'!D205="-",'A-4'!E16="-",'A-4'!E63="-"),"-",SUM('A-9'!D205,'A-4'!E16,'A-4'!E63))</f>
        <v>5964</v>
      </c>
      <c r="F62" s="200">
        <f>IF(AND('A-9'!E205="-",'A-4'!F16="-",'A-4'!F63="-"),"-",SUM('A-9'!E205,'A-4'!F16,'A-4'!F63))</f>
        <v>33258</v>
      </c>
      <c r="G62" s="200">
        <f>IF(AND('A-9'!F205="-",'A-4'!G16="-",'A-4'!G63="-"),"-",SUM('A-9'!F205,'A-4'!G16,'A-4'!G63))</f>
        <v>74798</v>
      </c>
      <c r="H62" s="200">
        <f>IF(AND('A-9'!G205="-",'A-4'!H16="-",'A-4'!H63="-"),"-",SUM('A-9'!G205,'A-4'!H16,'A-4'!H63))</f>
        <v>35724</v>
      </c>
      <c r="I62" s="200">
        <f>IF(AND('A-9'!H205="-",'A-4'!I16="-",'A-4'!I63="-"),"-",SUM('A-9'!H205,'A-4'!I16,'A-4'!I63))</f>
        <v>12841</v>
      </c>
      <c r="J62" s="200">
        <f>IF(AND('A-9'!I205="-",'A-4'!J16="-",'A-4'!J63="-"),"-",SUM('A-9'!I205,'A-4'!J16,'A-4'!J63))</f>
        <v>5040</v>
      </c>
      <c r="K62" s="200" t="str">
        <f>IF(AND('A-9'!J205="-",'A-4'!K16="-",'A-4'!K63="-"),"-",SUM('A-9'!J205,'A-4'!K16,'A-4'!K63))</f>
        <v>-</v>
      </c>
      <c r="L62" s="200">
        <f t="shared" si="0"/>
        <v>167625</v>
      </c>
    </row>
    <row r="63" spans="1:12" ht="11.25" customHeight="1" x14ac:dyDescent="0.25">
      <c r="A63" s="383">
        <v>1988</v>
      </c>
      <c r="B63" s="200" t="str">
        <f>IF(AND('A-4'!B17="-",'A-4'!B64="-"),"-",SUM('A-4'!B17,'A-4'!B64))</f>
        <v>-</v>
      </c>
      <c r="C63" s="200" t="str">
        <f>IF(AND('A-9'!B206="-",'A-4'!C17="-",'A-4'!C64="-"),"-",SUM('A-9'!B206,'A-4'!C17,'A-4'!C64))</f>
        <v>-</v>
      </c>
      <c r="D63" s="200" t="str">
        <f>IF(AND('A-9'!C206="-",'A-4'!D17="-",'A-4'!D64="-"),"-",SUM('A-9'!C206,'A-4'!D17,'A-4'!D64))</f>
        <v>-</v>
      </c>
      <c r="E63" s="200">
        <f>IF(AND('A-9'!D206="-",'A-4'!E17="-",'A-4'!E64="-"),"-",SUM('A-9'!D206,'A-4'!E17,'A-4'!E64))</f>
        <v>4658</v>
      </c>
      <c r="F63" s="200">
        <f>IF(AND('A-9'!E206="-",'A-4'!F17="-",'A-4'!F64="-"),"-",SUM('A-9'!E206,'A-4'!F17,'A-4'!F64))</f>
        <v>34202</v>
      </c>
      <c r="G63" s="200">
        <f>IF(AND('A-9'!F206="-",'A-4'!G17="-",'A-4'!G64="-"),"-",SUM('A-9'!F206,'A-4'!G17,'A-4'!G64))</f>
        <v>62899</v>
      </c>
      <c r="H63" s="200">
        <f>IF(AND('A-9'!G206="-",'A-4'!H17="-",'A-4'!H64="-"),"-",SUM('A-9'!G206,'A-4'!H17,'A-4'!H64))</f>
        <v>24046</v>
      </c>
      <c r="I63" s="200">
        <f>IF(AND('A-9'!H206="-",'A-4'!I17="-",'A-4'!I64="-"),"-",SUM('A-9'!H206,'A-4'!I17,'A-4'!I64))</f>
        <v>3924</v>
      </c>
      <c r="J63" s="200" t="str">
        <f>IF(AND('A-9'!I206="-",'A-4'!J17="-",'A-4'!J64="-"),"-",SUM('A-9'!I206,'A-4'!J17,'A-4'!J64))</f>
        <v>-</v>
      </c>
      <c r="K63" s="200" t="str">
        <f>IF(AND('A-9'!J206="-",'A-4'!K17="-",'A-4'!K64="-"),"-",SUM('A-9'!J206,'A-4'!K17,'A-4'!K64))</f>
        <v>-</v>
      </c>
      <c r="L63" s="200">
        <f t="shared" si="0"/>
        <v>129729</v>
      </c>
    </row>
    <row r="64" spans="1:12" ht="11.25" customHeight="1" x14ac:dyDescent="0.25">
      <c r="A64" s="383">
        <v>1989</v>
      </c>
      <c r="B64" s="200" t="str">
        <f>IF(AND('A-4'!B18="-",'A-4'!B65="-"),"-",SUM('A-4'!B18,'A-4'!B65))</f>
        <v>-</v>
      </c>
      <c r="C64" s="200" t="str">
        <f>IF(AND('A-9'!B207="-",'A-4'!C18="-",'A-4'!C65="-"),"-",SUM('A-9'!B207,'A-4'!C18,'A-4'!C65))</f>
        <v>-</v>
      </c>
      <c r="D64" s="200" t="str">
        <f>IF(AND('A-9'!C207="-",'A-4'!D18="-",'A-4'!D65="-"),"-",SUM('A-9'!C207,'A-4'!D18,'A-4'!D65))</f>
        <v>-</v>
      </c>
      <c r="E64" s="200">
        <f>IF(AND('A-9'!D207="-",'A-4'!E18="-",'A-4'!E65="-"),"-",SUM('A-9'!D207,'A-4'!E18,'A-4'!E65))</f>
        <v>6543</v>
      </c>
      <c r="F64" s="200">
        <f>IF(AND('A-9'!E207="-",'A-4'!F18="-",'A-4'!F65="-"),"-",SUM('A-9'!E207,'A-4'!F18,'A-4'!F65))</f>
        <v>34208</v>
      </c>
      <c r="G64" s="200">
        <f>IF(AND('A-9'!F207="-",'A-4'!G18="-",'A-4'!G65="-"),"-",SUM('A-9'!F207,'A-4'!G18,'A-4'!G65))</f>
        <v>66635</v>
      </c>
      <c r="H64" s="200">
        <f>IF(AND('A-9'!G207="-",'A-4'!H18="-",'A-4'!H65="-"),"-",SUM('A-9'!G207,'A-4'!H18,'A-4'!H65))</f>
        <v>30287</v>
      </c>
      <c r="I64" s="200">
        <f>IF(AND('A-9'!H207="-",'A-4'!I18="-",'A-4'!I65="-"),"-",SUM('A-9'!H207,'A-4'!I18,'A-4'!I65))</f>
        <v>5063</v>
      </c>
      <c r="J64" s="200" t="str">
        <f>IF(AND('A-9'!I207="-",'A-4'!J18="-",'A-4'!J65="-"),"-",SUM('A-9'!I207,'A-4'!J18,'A-4'!J65))</f>
        <v>-</v>
      </c>
      <c r="K64" s="200" t="str">
        <f>IF(AND('A-9'!J207="-",'A-4'!K18="-",'A-4'!K65="-"),"-",SUM('A-9'!J207,'A-4'!K18,'A-4'!K65))</f>
        <v>-</v>
      </c>
      <c r="L64" s="200">
        <f t="shared" si="0"/>
        <v>142736</v>
      </c>
    </row>
    <row r="65" spans="1:12" ht="11.25" customHeight="1" x14ac:dyDescent="0.25">
      <c r="A65" s="383">
        <v>1990</v>
      </c>
      <c r="B65" s="200" t="str">
        <f>IF(AND('A-4'!B19="-",'A-4'!B66="-"),"-",SUM('A-4'!B19,'A-4'!B66))</f>
        <v>-</v>
      </c>
      <c r="C65" s="200" t="str">
        <f>IF(AND('A-9'!B208="-",'A-4'!C19="-",'A-4'!C66="-"),"-",SUM('A-9'!B208,'A-4'!C19,'A-4'!C66))</f>
        <v>-</v>
      </c>
      <c r="D65" s="200" t="str">
        <f>IF(AND('A-9'!C208="-",'A-4'!D19="-",'A-4'!D66="-"),"-",SUM('A-9'!C208,'A-4'!D19,'A-4'!D66))</f>
        <v>-</v>
      </c>
      <c r="E65" s="200">
        <f>IF(AND('A-9'!D208="-",'A-4'!E19="-",'A-4'!E66="-"),"-",SUM('A-9'!D208,'A-4'!E19,'A-4'!E66))</f>
        <v>3514</v>
      </c>
      <c r="F65" s="200">
        <f>IF(AND('A-9'!E208="-",'A-4'!F19="-",'A-4'!F66="-"),"-",SUM('A-9'!E208,'A-4'!F19,'A-4'!F66))</f>
        <v>40801</v>
      </c>
      <c r="G65" s="200">
        <f>IF(AND('A-9'!F208="-",'A-4'!G19="-",'A-4'!G66="-"),"-",SUM('A-9'!F208,'A-4'!G19,'A-4'!G66))</f>
        <v>65795</v>
      </c>
      <c r="H65" s="200">
        <f>IF(AND('A-9'!G208="-",'A-4'!H19="-",'A-4'!H66="-"),"-",SUM('A-9'!G208,'A-4'!H19,'A-4'!H66))</f>
        <v>20078</v>
      </c>
      <c r="I65" s="200">
        <f>IF(AND('A-9'!H208="-",'A-4'!I19="-",'A-4'!I66="-"),"-",SUM('A-9'!H208,'A-4'!I19,'A-4'!I66))</f>
        <v>2273</v>
      </c>
      <c r="J65" s="200">
        <f>IF(AND('A-9'!I208="-",'A-4'!J19="-",'A-4'!J66="-"),"-",SUM('A-9'!I208,'A-4'!J19,'A-4'!J66))</f>
        <v>0</v>
      </c>
      <c r="K65" s="200" t="str">
        <f>IF(AND('A-9'!J208="-",'A-4'!K19="-",'A-4'!K66="-"),"-",SUM('A-9'!J208,'A-4'!K19,'A-4'!K66))</f>
        <v>-</v>
      </c>
      <c r="L65" s="200">
        <f t="shared" si="0"/>
        <v>132461</v>
      </c>
    </row>
    <row r="66" spans="1:12" ht="11.25" customHeight="1" x14ac:dyDescent="0.25">
      <c r="A66" s="383">
        <v>1991</v>
      </c>
      <c r="B66" s="200" t="str">
        <f>IF(AND('A-4'!B20="-",'A-4'!B67="-"),"-",SUM('A-4'!B20,'A-4'!B67))</f>
        <v>-</v>
      </c>
      <c r="C66" s="200" t="str">
        <f>IF(AND('A-9'!B209="-",'A-4'!C20="-",'A-4'!C67="-"),"-",SUM('A-9'!B209,'A-4'!C20,'A-4'!C67))</f>
        <v>-</v>
      </c>
      <c r="D66" s="200" t="str">
        <f>IF(AND('A-9'!C209="-",'A-4'!D20="-",'A-4'!D67="-"),"-",SUM('A-9'!C209,'A-4'!D20,'A-4'!D67))</f>
        <v>-</v>
      </c>
      <c r="E66" s="200">
        <f>IF(AND('A-9'!D209="-",'A-4'!E20="-",'A-4'!E67="-"),"-",SUM('A-9'!D209,'A-4'!E20,'A-4'!E67))</f>
        <v>2080</v>
      </c>
      <c r="F66" s="200">
        <f>IF(AND('A-9'!E209="-",'A-4'!F20="-",'A-4'!F67="-"),"-",SUM('A-9'!E209,'A-4'!F20,'A-4'!F67))</f>
        <v>33291</v>
      </c>
      <c r="G66" s="200">
        <f>IF(AND('A-9'!F209="-",'A-4'!G20="-",'A-4'!G67="-"),"-",SUM('A-9'!F209,'A-4'!G20,'A-4'!G67))</f>
        <v>44855</v>
      </c>
      <c r="H66" s="200">
        <f>IF(AND('A-9'!G209="-",'A-4'!H20="-",'A-4'!H67="-"),"-",SUM('A-9'!G209,'A-4'!H20,'A-4'!H67))</f>
        <v>2928</v>
      </c>
      <c r="I66" s="200">
        <f>IF(AND('A-9'!H209="-",'A-4'!I20="-",'A-4'!I67="-"),"-",SUM('A-9'!H209,'A-4'!I20,'A-4'!I67))</f>
        <v>6290</v>
      </c>
      <c r="J66" s="200">
        <f>IF(AND('A-9'!I209="-",'A-4'!J20="-",'A-4'!J67="-"),"-",SUM('A-9'!I209,'A-4'!J20,'A-4'!J67))</f>
        <v>21</v>
      </c>
      <c r="K66" s="200" t="str">
        <f>IF(AND('A-9'!J209="-",'A-4'!K20="-",'A-4'!K67="-"),"-",SUM('A-9'!J209,'A-4'!K20,'A-4'!K67))</f>
        <v>-</v>
      </c>
      <c r="L66" s="200">
        <f t="shared" si="0"/>
        <v>89465</v>
      </c>
    </row>
    <row r="67" spans="1:12" ht="11.25" customHeight="1" x14ac:dyDescent="0.25">
      <c r="A67" s="383">
        <v>1992</v>
      </c>
      <c r="B67" s="200" t="str">
        <f>IF(AND('A-4'!B21="-",'A-4'!B68="-"),"-",SUM('A-4'!B21,'A-4'!B68))</f>
        <v>-</v>
      </c>
      <c r="C67" s="200" t="str">
        <f>IF(AND('A-9'!B210="-",'A-4'!C21="-",'A-4'!C68="-"),"-",SUM('A-9'!B210,'A-4'!C21,'A-4'!C68))</f>
        <v>-</v>
      </c>
      <c r="D67" s="200" t="str">
        <f>IF(AND('A-9'!C210="-",'A-4'!D21="-",'A-4'!D68="-"),"-",SUM('A-9'!C210,'A-4'!D21,'A-4'!D68))</f>
        <v>-</v>
      </c>
      <c r="E67" s="200" t="str">
        <f>IF(AND('A-9'!D210="-",'A-4'!E21="-",'A-4'!E68="-"),"-",SUM('A-9'!D210,'A-4'!E21,'A-4'!E68))</f>
        <v>-</v>
      </c>
      <c r="F67" s="200" t="str">
        <f>IF(AND('A-9'!E210="-",'A-4'!F21="-",'A-4'!F68="-"),"-",SUM('A-9'!E210,'A-4'!F21,'A-4'!F68))</f>
        <v>-</v>
      </c>
      <c r="G67" s="200">
        <f>IF(AND('A-9'!F210="-",'A-4'!G21="-",'A-4'!G68="-"),"-",SUM('A-9'!F210,'A-4'!G21,'A-4'!G68))</f>
        <v>21902</v>
      </c>
      <c r="H67" s="200" t="str">
        <f>IF(AND('A-9'!G210="-",'A-4'!H21="-",'A-4'!H68="-"),"-",SUM('A-9'!G210,'A-4'!H21,'A-4'!H68))</f>
        <v>-</v>
      </c>
      <c r="I67" s="200">
        <f>IF(AND('A-9'!H210="-",'A-4'!I21="-",'A-4'!I68="-"),"-",SUM('A-9'!H210,'A-4'!I21,'A-4'!I68))</f>
        <v>10052</v>
      </c>
      <c r="J67" s="200">
        <f>IF(AND('A-9'!I210="-",'A-4'!J21="-",'A-4'!J68="-"),"-",SUM('A-9'!I210,'A-4'!J21,'A-4'!J68))</f>
        <v>3862</v>
      </c>
      <c r="K67" s="200" t="str">
        <f>IF(AND('A-9'!J210="-",'A-4'!K21="-",'A-4'!K68="-"),"-",SUM('A-9'!J210,'A-4'!K21,'A-4'!K68))</f>
        <v>-</v>
      </c>
      <c r="L67" s="200">
        <f t="shared" si="0"/>
        <v>35816</v>
      </c>
    </row>
    <row r="68" spans="1:12" ht="11.25" customHeight="1" x14ac:dyDescent="0.25">
      <c r="A68" s="383">
        <v>1993</v>
      </c>
      <c r="B68" s="200" t="str">
        <f>IF(AND('A-4'!B22="-",'A-4'!B69="-"),"-",SUM('A-4'!B22,'A-4'!B69))</f>
        <v>-</v>
      </c>
      <c r="C68" s="200" t="str">
        <f>IF(AND('A-9'!B211="-",'A-4'!C22="-",'A-4'!C69="-"),"-",SUM('A-9'!B211,'A-4'!C22,'A-4'!C69))</f>
        <v>-</v>
      </c>
      <c r="D68" s="200" t="str">
        <f>IF(AND('A-9'!C211="-",'A-4'!D22="-",'A-4'!D69="-"),"-",SUM('A-9'!C211,'A-4'!D22,'A-4'!D69))</f>
        <v>-</v>
      </c>
      <c r="E68" s="200">
        <f>IF(AND('A-9'!D211="-",'A-4'!E22="-",'A-4'!E69="-"),"-",SUM('A-9'!D211,'A-4'!E22,'A-4'!E69))</f>
        <v>4332</v>
      </c>
      <c r="F68" s="200">
        <f>IF(AND('A-9'!E211="-",'A-4'!F22="-",'A-4'!F69="-"),"-",SUM('A-9'!E211,'A-4'!F22,'A-4'!F69))</f>
        <v>7919</v>
      </c>
      <c r="G68" s="200">
        <f>IF(AND('A-9'!F211="-",'A-4'!G22="-",'A-4'!G69="-"),"-",SUM('A-9'!F211,'A-4'!G22,'A-4'!G69))</f>
        <v>19176</v>
      </c>
      <c r="H68" s="200">
        <f>IF(AND('A-9'!G211="-",'A-4'!H22="-",'A-4'!H69="-"),"-",SUM('A-9'!G211,'A-4'!H22,'A-4'!H69))</f>
        <v>19889</v>
      </c>
      <c r="I68" s="200">
        <f>IF(AND('A-9'!H211="-",'A-4'!I22="-",'A-4'!I69="-"),"-",SUM('A-9'!H211,'A-4'!I22,'A-4'!I69))</f>
        <v>6144</v>
      </c>
      <c r="J68" s="200" t="str">
        <f>IF(AND('A-9'!I211="-",'A-4'!J22="-",'A-4'!J69="-"),"-",SUM('A-9'!I211,'A-4'!J22,'A-4'!J69))</f>
        <v>-</v>
      </c>
      <c r="K68" s="200" t="str">
        <f>IF(AND('A-9'!J211="-",'A-4'!K22="-",'A-4'!K69="-"),"-",SUM('A-9'!J211,'A-4'!K22,'A-4'!K69))</f>
        <v>-</v>
      </c>
      <c r="L68" s="200">
        <f t="shared" si="0"/>
        <v>57460</v>
      </c>
    </row>
    <row r="69" spans="1:12" ht="11.25" customHeight="1" x14ac:dyDescent="0.25">
      <c r="A69" s="383">
        <v>1994</v>
      </c>
      <c r="B69" s="200" t="str">
        <f>IF(AND('A-4'!B23="-",'A-4'!B70="-"),"-",SUM('A-4'!B23,'A-4'!B70))</f>
        <v>-</v>
      </c>
      <c r="C69" s="200" t="str">
        <f>IF(AND('A-9'!B212="-",'A-4'!C23="-",'A-4'!C70="-"),"-",SUM('A-9'!B212,'A-4'!C23,'A-4'!C70))</f>
        <v>-</v>
      </c>
      <c r="D69" s="200" t="str">
        <f>IF(AND('A-9'!C212="-",'A-4'!D23="-",'A-4'!D70="-"),"-",SUM('A-9'!C212,'A-4'!D23,'A-4'!D70))</f>
        <v>-</v>
      </c>
      <c r="E69" s="200">
        <f>IF(AND('A-9'!D212="-",'A-4'!E23="-",'A-4'!E70="-"),"-",SUM('A-9'!D212,'A-4'!E23,'A-4'!E70))</f>
        <v>13948</v>
      </c>
      <c r="F69" s="200">
        <f>IF(AND('A-9'!E212="-",'A-4'!F23="-",'A-4'!F70="-"),"-",SUM('A-9'!E212,'A-4'!F23,'A-4'!F70))</f>
        <v>5250</v>
      </c>
      <c r="G69" s="200" t="str">
        <f>IF(AND('A-9'!F212="-",'A-4'!G23="-",'A-4'!G70="-"),"-",SUM('A-9'!F212,'A-4'!G23,'A-4'!G70))</f>
        <v>-</v>
      </c>
      <c r="H69" s="200">
        <f>IF(AND('A-9'!G212="-",'A-4'!H23="-",'A-4'!H70="-"),"-",SUM('A-9'!G212,'A-4'!H23,'A-4'!H70))</f>
        <v>4233</v>
      </c>
      <c r="I69" s="200">
        <f>IF(AND('A-9'!H212="-",'A-4'!I23="-",'A-4'!I70="-"),"-",SUM('A-9'!H212,'A-4'!I23,'A-4'!I70))</f>
        <v>4572</v>
      </c>
      <c r="J69" s="200">
        <f>IF(AND('A-9'!I212="-",'A-4'!J23="-",'A-4'!J70="-"),"-",SUM('A-9'!I212,'A-4'!J23,'A-4'!J70))</f>
        <v>4222</v>
      </c>
      <c r="K69" s="200" t="str">
        <f>IF(AND('A-9'!J212="-",'A-4'!K23="-",'A-4'!K70="-"),"-",SUM('A-9'!J212,'A-4'!K23,'A-4'!K70))</f>
        <v>-</v>
      </c>
      <c r="L69" s="200">
        <f t="shared" si="0"/>
        <v>32225</v>
      </c>
    </row>
    <row r="70" spans="1:12" ht="11.25" customHeight="1" x14ac:dyDescent="0.25">
      <c r="A70" s="383">
        <v>1995</v>
      </c>
      <c r="B70" s="200" t="str">
        <f>IF(AND('A-4'!B24="-",'A-4'!B71="-"),"-",SUM('A-4'!B24,'A-4'!B71))</f>
        <v>-</v>
      </c>
      <c r="C70" s="200" t="str">
        <f>IF(AND('A-9'!B213="-",'A-4'!C24="-",'A-4'!C71="-"),"-",SUM('A-9'!B213,'A-4'!C24,'A-4'!C71))</f>
        <v>-</v>
      </c>
      <c r="D70" s="200" t="str">
        <f>IF(AND('A-9'!C213="-",'A-4'!D24="-",'A-4'!D71="-"),"-",SUM('A-9'!C213,'A-4'!D24,'A-4'!D71))</f>
        <v>-</v>
      </c>
      <c r="E70" s="200">
        <f>IF(AND('A-9'!D213="-",'A-4'!E24="-",'A-4'!E71="-"),"-",SUM('A-9'!D213,'A-4'!E24,'A-4'!E71))</f>
        <v>6526</v>
      </c>
      <c r="F70" s="200">
        <f>IF(AND('A-9'!E213="-",'A-4'!F24="-",'A-4'!F71="-"),"-",SUM('A-9'!E213,'A-4'!F24,'A-4'!F71))</f>
        <v>18047</v>
      </c>
      <c r="G70" s="200" t="str">
        <f>IF(AND('A-9'!F213="-",'A-4'!G24="-",'A-4'!G71="-"),"-",SUM('A-9'!F213,'A-4'!G24,'A-4'!G71))</f>
        <v>-</v>
      </c>
      <c r="H70" s="200">
        <f>IF(AND('A-9'!G213="-",'A-4'!H24="-",'A-4'!H71="-"),"-",SUM('A-9'!G213,'A-4'!H24,'A-4'!H71))</f>
        <v>4553</v>
      </c>
      <c r="I70" s="200">
        <f>IF(AND('A-9'!H213="-",'A-4'!I24="-",'A-4'!I71="-"),"-",SUM('A-9'!H213,'A-4'!I24,'A-4'!I71))</f>
        <v>11579</v>
      </c>
      <c r="J70" s="200">
        <f>IF(AND('A-9'!I213="-",'A-4'!J24="-",'A-4'!J71="-"),"-",SUM('A-9'!I213,'A-4'!J24,'A-4'!J71))</f>
        <v>3410</v>
      </c>
      <c r="K70" s="200" t="str">
        <f>IF(AND('A-9'!J213="-",'A-4'!K24="-",'A-4'!K71="-"),"-",SUM('A-9'!J213,'A-4'!K24,'A-4'!K71))</f>
        <v>-</v>
      </c>
      <c r="L70" s="200">
        <f t="shared" si="0"/>
        <v>44115</v>
      </c>
    </row>
    <row r="71" spans="1:12" ht="11.25" customHeight="1" x14ac:dyDescent="0.25">
      <c r="A71" s="383">
        <v>1996</v>
      </c>
      <c r="B71" s="200" t="str">
        <f>IF(AND('A-4'!B25="-",'A-4'!B72="-"),"-",SUM('A-4'!B25,'A-4'!B72))</f>
        <v>-</v>
      </c>
      <c r="C71" s="200" t="str">
        <f>IF(AND('A-9'!B214="-",'A-4'!C25="-",'A-4'!C72="-"),"-",SUM('A-9'!B214,'A-4'!C25,'A-4'!C72))</f>
        <v>-</v>
      </c>
      <c r="D71" s="200" t="str">
        <f>IF(AND('A-9'!C214="-",'A-4'!D25="-",'A-4'!D72="-"),"-",SUM('A-9'!C214,'A-4'!D25,'A-4'!D72))</f>
        <v>-</v>
      </c>
      <c r="E71" s="200">
        <f>IF(AND('A-9'!D214="-",'A-4'!E25="-",'A-4'!E72="-"),"-",SUM('A-9'!D214,'A-4'!E25,'A-4'!E72))</f>
        <v>5095</v>
      </c>
      <c r="F71" s="200">
        <f>IF(AND('A-9'!E214="-",'A-4'!F25="-",'A-4'!F72="-"),"-",SUM('A-9'!E214,'A-4'!F25,'A-4'!F72))</f>
        <v>17467</v>
      </c>
      <c r="G71" s="200">
        <f>IF(AND('A-9'!F214="-",'A-4'!G25="-",'A-4'!G72="-"),"-",SUM('A-9'!F214,'A-4'!G25,'A-4'!G72))</f>
        <v>5583</v>
      </c>
      <c r="H71" s="200">
        <f>IF(AND('A-9'!G214="-",'A-4'!H25="-",'A-4'!H72="-"),"-",SUM('A-9'!G214,'A-4'!H25,'A-4'!H72))</f>
        <v>10650</v>
      </c>
      <c r="I71" s="200">
        <f>IF(AND('A-9'!H214="-",'A-4'!I25="-",'A-4'!I72="-"),"-",SUM('A-9'!H214,'A-4'!I25,'A-4'!I72))</f>
        <v>5590</v>
      </c>
      <c r="J71" s="200">
        <f>IF(AND('A-9'!I214="-",'A-4'!J25="-",'A-4'!J72="-"),"-",SUM('A-9'!I214,'A-4'!J25,'A-4'!J72))</f>
        <v>4282</v>
      </c>
      <c r="K71" s="200" t="str">
        <f>IF(AND('A-9'!J214="-",'A-4'!K25="-",'A-4'!K72="-"),"-",SUM('A-9'!J214,'A-4'!K25,'A-4'!K72))</f>
        <v>-</v>
      </c>
      <c r="L71" s="200">
        <f t="shared" si="0"/>
        <v>48667</v>
      </c>
    </row>
    <row r="72" spans="1:12" ht="11.25" customHeight="1" x14ac:dyDescent="0.25">
      <c r="A72" s="383">
        <v>1997</v>
      </c>
      <c r="B72" s="200" t="str">
        <f>IF(AND('A-4'!B26="-",'A-4'!B73="-"),"-",SUM('A-4'!B26,'A-4'!B73))</f>
        <v>-</v>
      </c>
      <c r="C72" s="200" t="str">
        <f>IF(AND('A-9'!B215="-",'A-4'!C26="-",'A-4'!C73="-"),"-",SUM('A-9'!B215,'A-4'!C26,'A-4'!C73))</f>
        <v>-</v>
      </c>
      <c r="D72" s="200" t="str">
        <f>IF(AND('A-9'!C215="-",'A-4'!D26="-",'A-4'!D73="-"),"-",SUM('A-9'!C215,'A-4'!D26,'A-4'!D73))</f>
        <v>-</v>
      </c>
      <c r="E72" s="200">
        <f>IF(AND('A-9'!D215="-",'A-4'!E26="-",'A-4'!E73="-"),"-",SUM('A-9'!D215,'A-4'!E26,'A-4'!E73))</f>
        <v>5849</v>
      </c>
      <c r="F72" s="200">
        <f>IF(AND('A-9'!E215="-",'A-4'!F26="-",'A-4'!F73="-"),"-",SUM('A-9'!E215,'A-4'!F26,'A-4'!F73))</f>
        <v>8635</v>
      </c>
      <c r="G72" s="200">
        <f>IF(AND('A-9'!F215="-",'A-4'!G26="-",'A-4'!G73="-"),"-",SUM('A-9'!F215,'A-4'!G26,'A-4'!G73))</f>
        <v>6538</v>
      </c>
      <c r="H72" s="200">
        <f>IF(AND('A-9'!G215="-",'A-4'!H26="-",'A-4'!H73="-"),"-",SUM('A-9'!G215,'A-4'!H26,'A-4'!H73))</f>
        <v>11693</v>
      </c>
      <c r="I72" s="200">
        <f>IF(AND('A-9'!H215="-",'A-4'!I26="-",'A-4'!I73="-"),"-",SUM('A-9'!H215,'A-4'!I26,'A-4'!I73))</f>
        <v>1551</v>
      </c>
      <c r="J72" s="200">
        <f>IF(AND('A-9'!I215="-",'A-4'!J26="-",'A-4'!J73="-"),"-",SUM('A-9'!I215,'A-4'!J26,'A-4'!J73))</f>
        <v>1269</v>
      </c>
      <c r="K72" s="200" t="str">
        <f>IF(AND('A-9'!J215="-",'A-4'!K26="-",'A-4'!K73="-"),"-",SUM('A-9'!J215,'A-4'!K26,'A-4'!K73))</f>
        <v>-</v>
      </c>
      <c r="L72" s="200">
        <f t="shared" si="0"/>
        <v>35535</v>
      </c>
    </row>
    <row r="73" spans="1:12" ht="11.25" customHeight="1" x14ac:dyDescent="0.25">
      <c r="A73" s="383">
        <v>1998</v>
      </c>
      <c r="B73" s="200" t="str">
        <f>IF(AND('A-4'!B27="-",'A-4'!B74="-"),"-",SUM('A-4'!B27,'A-4'!B74))</f>
        <v>-</v>
      </c>
      <c r="C73" s="200" t="str">
        <f>IF(AND('A-9'!B216="-",'A-4'!C27="-",'A-4'!C74="-"),"-",SUM('A-9'!B216,'A-4'!C27,'A-4'!C74))</f>
        <v>-</v>
      </c>
      <c r="D73" s="200" t="str">
        <f>IF(AND('A-9'!C216="-",'A-4'!D27="-",'A-4'!D74="-"),"-",SUM('A-9'!C216,'A-4'!D27,'A-4'!D74))</f>
        <v>-</v>
      </c>
      <c r="E73" s="200">
        <f>IF(AND('A-9'!D216="-",'A-4'!E27="-",'A-4'!E74="-"),"-",SUM('A-9'!D216,'A-4'!E27,'A-4'!E74))</f>
        <v>3974</v>
      </c>
      <c r="F73" s="200">
        <f>IF(AND('A-9'!E216="-",'A-4'!F27="-",'A-4'!F74="-"),"-",SUM('A-9'!E216,'A-4'!F27,'A-4'!F74))</f>
        <v>5537</v>
      </c>
      <c r="G73" s="200">
        <f>IF(AND('A-9'!F216="-",'A-4'!G27="-",'A-4'!G74="-"),"-",SUM('A-9'!F216,'A-4'!G27,'A-4'!G74))</f>
        <v>2571</v>
      </c>
      <c r="H73" s="200">
        <f>IF(AND('A-9'!G216="-",'A-4'!H27="-",'A-4'!H74="-"),"-",SUM('A-9'!G216,'A-4'!H27,'A-4'!H74))</f>
        <v>6784</v>
      </c>
      <c r="I73" s="200">
        <f>IF(AND('A-9'!H216="-",'A-4'!I27="-",'A-4'!I74="-"),"-",SUM('A-9'!H216,'A-4'!I27,'A-4'!I74))</f>
        <v>2508</v>
      </c>
      <c r="J73" s="200">
        <f>IF(AND('A-9'!I216="-",'A-4'!J27="-",'A-4'!J74="-"),"-",SUM('A-9'!I216,'A-4'!J27,'A-4'!J74))</f>
        <v>2755</v>
      </c>
      <c r="K73" s="200" t="str">
        <f>IF(AND('A-9'!J216="-",'A-4'!K27="-",'A-4'!K74="-"),"-",SUM('A-9'!J216,'A-4'!K27,'A-4'!K74))</f>
        <v>-</v>
      </c>
      <c r="L73" s="200">
        <f t="shared" si="0"/>
        <v>24129</v>
      </c>
    </row>
    <row r="74" spans="1:12" ht="11.25" customHeight="1" x14ac:dyDescent="0.25">
      <c r="A74" s="383">
        <v>1999</v>
      </c>
      <c r="B74" s="200" t="str">
        <f>IF(AND('A-4'!B28="-",'A-4'!B75="-"),"-",SUM('A-4'!B28,'A-4'!B75))</f>
        <v>-</v>
      </c>
      <c r="C74" s="200" t="str">
        <f>IF(AND('A-9'!B217="-",'A-4'!C28="-",'A-4'!C75="-"),"-",SUM('A-9'!B217,'A-4'!C28,'A-4'!C75))</f>
        <v>-</v>
      </c>
      <c r="D74" s="200" t="str">
        <f>IF(AND('A-9'!C217="-",'A-4'!D28="-",'A-4'!D75="-"),"-",SUM('A-9'!C217,'A-4'!D28,'A-4'!D75))</f>
        <v>-</v>
      </c>
      <c r="E74" s="200">
        <f>IF(AND('A-9'!D217="-",'A-4'!E28="-",'A-4'!E75="-"),"-",SUM('A-9'!D217,'A-4'!E28,'A-4'!E75))</f>
        <v>268</v>
      </c>
      <c r="F74" s="200">
        <f>IF(AND('A-9'!E217="-",'A-4'!F28="-",'A-4'!F75="-"),"-",SUM('A-9'!E217,'A-4'!F28,'A-4'!F75))</f>
        <v>6579</v>
      </c>
      <c r="G74" s="200">
        <f>IF(AND('A-9'!F217="-",'A-4'!G28="-",'A-4'!G75="-"),"-",SUM('A-9'!F217,'A-4'!G28,'A-4'!G75))</f>
        <v>5413</v>
      </c>
      <c r="H74" s="200">
        <f>IF(AND('A-9'!G217="-",'A-4'!H28="-",'A-4'!H75="-"),"-",SUM('A-9'!G217,'A-4'!H28,'A-4'!H75))</f>
        <v>14905</v>
      </c>
      <c r="I74" s="200">
        <f>IF(AND('A-9'!H217="-",'A-4'!I28="-",'A-4'!I75="-"),"-",SUM('A-9'!H217,'A-4'!I28,'A-4'!I75))</f>
        <v>4129</v>
      </c>
      <c r="J74" s="200">
        <f>IF(AND('A-9'!I217="-",'A-4'!J28="-",'A-4'!J75="-"),"-",SUM('A-9'!I217,'A-4'!J28,'A-4'!J75))</f>
        <v>2318</v>
      </c>
      <c r="K74" s="200" t="str">
        <f>IF(AND('A-9'!J217="-",'A-4'!K28="-",'A-4'!K75="-"),"-",SUM('A-9'!J217,'A-4'!K28,'A-4'!K75))</f>
        <v>-</v>
      </c>
      <c r="L74" s="200">
        <f t="shared" si="0"/>
        <v>33612</v>
      </c>
    </row>
    <row r="75" spans="1:12" ht="11.25" customHeight="1" x14ac:dyDescent="0.25">
      <c r="A75" s="383">
        <v>2000</v>
      </c>
      <c r="B75" s="200" t="str">
        <f>IF(AND('A-4'!B29="-",'A-4'!B76="-"),"-",SUM('A-4'!B29,'A-4'!B76))</f>
        <v>-</v>
      </c>
      <c r="C75" s="200" t="str">
        <f>IF(AND('A-9'!B218="-",'A-4'!C29="-",'A-4'!C76="-"),"-",SUM('A-9'!B218,'A-4'!C29,'A-4'!C76))</f>
        <v>-</v>
      </c>
      <c r="D75" s="200" t="str">
        <f>IF(AND('A-9'!C218="-",'A-4'!D29="-",'A-4'!D76="-"),"-",SUM('A-9'!C218,'A-4'!D29,'A-4'!D76))</f>
        <v>-</v>
      </c>
      <c r="E75" s="200">
        <f>IF(AND('A-9'!D218="-",'A-4'!E29="-",'A-4'!E76="-"),"-",SUM('A-9'!D218,'A-4'!E29,'A-4'!E76))</f>
        <v>1170</v>
      </c>
      <c r="F75" s="200">
        <f>IF(AND('A-9'!E218="-",'A-4'!F29="-",'A-4'!F76="-"),"-",SUM('A-9'!E218,'A-4'!F29,'A-4'!F76))</f>
        <v>7530</v>
      </c>
      <c r="G75" s="200">
        <f>IF(AND('A-9'!F218="-",'A-4'!G29="-",'A-4'!G76="-"),"-",SUM('A-9'!F218,'A-4'!G29,'A-4'!G76))</f>
        <v>7747</v>
      </c>
      <c r="H75" s="200">
        <f>IF(AND('A-9'!G218="-",'A-4'!H29="-",'A-4'!H76="-"),"-",SUM('A-9'!G218,'A-4'!H29,'A-4'!H76))</f>
        <v>20126</v>
      </c>
      <c r="I75" s="200">
        <f>IF(AND('A-9'!H218="-",'A-4'!I29="-",'A-4'!I76="-"),"-",SUM('A-9'!H218,'A-4'!I29,'A-4'!I76))</f>
        <v>2551</v>
      </c>
      <c r="J75" s="200">
        <f>IF(AND('A-9'!I218="-",'A-4'!J29="-",'A-4'!J76="-"),"-",SUM('A-9'!I218,'A-4'!J29,'A-4'!J76))</f>
        <v>3205</v>
      </c>
      <c r="K75" s="200" t="str">
        <f>IF(AND('A-9'!J218="-",'A-4'!K29="-",'A-4'!K76="-"),"-",SUM('A-9'!J218,'A-4'!K29,'A-4'!K76))</f>
        <v>-</v>
      </c>
      <c r="L75" s="200">
        <f t="shared" si="0"/>
        <v>42329</v>
      </c>
    </row>
    <row r="76" spans="1:12" ht="11.25" customHeight="1" x14ac:dyDescent="0.25">
      <c r="A76" s="383">
        <v>2001</v>
      </c>
      <c r="B76" s="200" t="str">
        <f>IF(AND('A-4'!B30="-",'A-4'!B77="-"),"-",SUM('A-4'!B30,'A-4'!B77))</f>
        <v>-</v>
      </c>
      <c r="C76" s="200" t="str">
        <f>IF(AND('A-9'!B219="-",'A-4'!C30="-",'A-4'!C77="-"),"-",SUM('A-9'!B219,'A-4'!C30,'A-4'!C77))</f>
        <v>-</v>
      </c>
      <c r="D76" s="200" t="str">
        <f>IF(AND('A-9'!C219="-",'A-4'!D30="-",'A-4'!D77="-"),"-",SUM('A-9'!C219,'A-4'!D30,'A-4'!D77))</f>
        <v>-</v>
      </c>
      <c r="E76" s="200">
        <f>IF(AND('A-9'!D219="-",'A-4'!E30="-",'A-4'!E77="-"),"-",SUM('A-9'!D219,'A-4'!E30,'A-4'!E77))</f>
        <v>6542</v>
      </c>
      <c r="F76" s="200">
        <f>IF(AND('A-9'!E219="-",'A-4'!F30="-",'A-4'!F77="-"),"-",SUM('A-9'!E219,'A-4'!F30,'A-4'!F77))</f>
        <v>11561</v>
      </c>
      <c r="G76" s="200">
        <f>IF(AND('A-9'!F219="-",'A-4'!G30="-",'A-4'!G77="-"),"-",SUM('A-9'!F219,'A-4'!G30,'A-4'!G77))</f>
        <v>11274</v>
      </c>
      <c r="H76" s="200">
        <f>IF(AND('A-9'!G219="-",'A-4'!H30="-",'A-4'!H77="-"),"-",SUM('A-9'!G219,'A-4'!H30,'A-4'!H77))</f>
        <v>15394</v>
      </c>
      <c r="I76" s="200">
        <f>IF(AND('A-9'!H219="-",'A-4'!I30="-",'A-4'!I77="-"),"-",SUM('A-9'!H219,'A-4'!I30,'A-4'!I77))</f>
        <v>1683</v>
      </c>
      <c r="J76" s="200">
        <f>IF(AND('A-9'!I219="-",'A-4'!J30="-",'A-4'!J77="-"),"-",SUM('A-9'!I219,'A-4'!J30,'A-4'!J77))</f>
        <v>4340</v>
      </c>
      <c r="K76" s="200" t="str">
        <f>IF(AND('A-9'!J219="-",'A-4'!K30="-",'A-4'!K77="-"),"-",SUM('A-9'!J219,'A-4'!K30,'A-4'!K77))</f>
        <v>-</v>
      </c>
      <c r="L76" s="200">
        <f t="shared" si="0"/>
        <v>50794</v>
      </c>
    </row>
    <row r="77" spans="1:12" ht="11.25" customHeight="1" x14ac:dyDescent="0.25">
      <c r="A77" s="383">
        <v>2002</v>
      </c>
      <c r="B77" s="200" t="str">
        <f>IF(AND('A-4'!B31="-",'A-4'!B78="-"),"-",SUM('A-4'!B31,'A-4'!B78))</f>
        <v>-</v>
      </c>
      <c r="C77" s="200" t="str">
        <f>IF(AND('A-9'!B220="-",'A-4'!C31="-",'A-4'!C78="-"),"-",SUM('A-9'!B220,'A-4'!C31,'A-4'!C78))</f>
        <v>-</v>
      </c>
      <c r="D77" s="200" t="str">
        <f>IF(AND('A-9'!C220="-",'A-4'!D31="-",'A-4'!D78="-"),"-",SUM('A-9'!C220,'A-4'!D31,'A-4'!D78))</f>
        <v>-</v>
      </c>
      <c r="E77" s="200">
        <f>IF(AND('A-9'!D220="-",'A-4'!E31="-",'A-4'!E78="-"),"-",SUM('A-9'!D220,'A-4'!E31,'A-4'!E78))</f>
        <v>4989</v>
      </c>
      <c r="F77" s="200">
        <f>IF(AND('A-9'!E220="-",'A-4'!F31="-",'A-4'!F78="-"),"-",SUM('A-9'!E220,'A-4'!F31,'A-4'!F78))</f>
        <v>10558</v>
      </c>
      <c r="G77" s="200">
        <f>IF(AND('A-9'!F220="-",'A-4'!G31="-",'A-4'!G78="-"),"-",SUM('A-9'!F220,'A-4'!G31,'A-4'!G78))</f>
        <v>1259</v>
      </c>
      <c r="H77" s="200">
        <f>IF(AND('A-9'!G220="-",'A-4'!H31="-",'A-4'!H78="-"),"-",SUM('A-9'!G220,'A-4'!H31,'A-4'!H78))</f>
        <v>14412</v>
      </c>
      <c r="I77" s="200">
        <f>IF(AND('A-9'!H220="-",'A-4'!I31="-",'A-4'!I78="-"),"-",SUM('A-9'!H220,'A-4'!I31,'A-4'!I78))</f>
        <v>6074</v>
      </c>
      <c r="J77" s="200">
        <f>IF(AND('A-9'!I220="-",'A-4'!J31="-",'A-4'!J78="-"),"-",SUM('A-9'!I220,'A-4'!J31,'A-4'!J78))</f>
        <v>3973</v>
      </c>
      <c r="K77" s="200" t="str">
        <f>IF(AND('A-9'!J220="-",'A-4'!K31="-",'A-4'!K78="-"),"-",SUM('A-9'!J220,'A-4'!K31,'A-4'!K78))</f>
        <v>-</v>
      </c>
      <c r="L77" s="200">
        <f t="shared" si="0"/>
        <v>41265</v>
      </c>
    </row>
    <row r="78" spans="1:12" ht="11.25" customHeight="1" x14ac:dyDescent="0.25">
      <c r="A78" s="383">
        <v>2003</v>
      </c>
      <c r="B78" s="200" t="str">
        <f>IF(AND('A-4'!B32="-",'A-4'!B79="-"),"-",SUM('A-4'!B32,'A-4'!B79))</f>
        <v>-</v>
      </c>
      <c r="C78" s="200" t="str">
        <f>IF(AND('A-9'!B221="-",'A-4'!C32="-",'A-4'!C79="-"),"-",SUM('A-9'!B221,'A-4'!C32,'A-4'!C79))</f>
        <v>-</v>
      </c>
      <c r="D78" s="200" t="str">
        <f>IF(AND('A-9'!C221="-",'A-4'!D32="-",'A-4'!D79="-"),"-",SUM('A-9'!C221,'A-4'!D32,'A-4'!D79))</f>
        <v>-</v>
      </c>
      <c r="E78" s="200">
        <f>IF(AND('A-9'!D221="-",'A-4'!E32="-",'A-4'!E79="-"),"-",SUM('A-9'!D221,'A-4'!E32,'A-4'!E79))</f>
        <v>3669</v>
      </c>
      <c r="F78" s="200">
        <f>IF(AND('A-9'!E221="-",'A-4'!F32="-",'A-4'!F79="-"),"-",SUM('A-9'!E221,'A-4'!F32,'A-4'!F79))</f>
        <v>5103</v>
      </c>
      <c r="G78" s="200">
        <f>IF(AND('A-9'!F221="-",'A-4'!G32="-",'A-4'!G79="-"),"-",SUM('A-9'!F221,'A-4'!G32,'A-4'!G79))</f>
        <v>7346</v>
      </c>
      <c r="H78" s="200">
        <f>IF(AND('A-9'!G221="-",'A-4'!H32="-",'A-4'!H79="-"),"-",SUM('A-9'!G221,'A-4'!H32,'A-4'!H79))</f>
        <v>8750</v>
      </c>
      <c r="I78" s="200">
        <f>IF(AND('A-9'!H221="-",'A-4'!I32="-",'A-4'!I79="-"),"-",SUM('A-9'!H221,'A-4'!I32,'A-4'!I79))</f>
        <v>3026</v>
      </c>
      <c r="J78" s="200">
        <f>IF(AND('A-9'!I221="-",'A-4'!J32="-",'A-4'!J79="-"),"-",SUM('A-9'!I221,'A-4'!J32,'A-4'!J79))</f>
        <v>2630</v>
      </c>
      <c r="K78" s="200" t="str">
        <f>IF(AND('A-9'!J221="-",'A-4'!K32="-",'A-4'!K79="-"),"-",SUM('A-9'!J221,'A-4'!K32,'A-4'!K79))</f>
        <v>-</v>
      </c>
      <c r="L78" s="200">
        <f t="shared" si="0"/>
        <v>30524</v>
      </c>
    </row>
    <row r="79" spans="1:12" ht="11.25" customHeight="1" x14ac:dyDescent="0.25">
      <c r="A79" s="383">
        <v>2004</v>
      </c>
      <c r="B79" s="200" t="str">
        <f>IF(AND('A-4'!B33="-",'A-4'!B80="-"),"-",SUM('A-4'!B33,'A-4'!B80))</f>
        <v>-</v>
      </c>
      <c r="C79" s="200" t="str">
        <f>IF(AND('A-9'!B222="-",'A-4'!C33="-",'A-4'!C80="-"),"-",SUM('A-9'!B222,'A-4'!C33,'A-4'!C80))</f>
        <v>-</v>
      </c>
      <c r="D79" s="200" t="str">
        <f>IF(AND('A-9'!C222="-",'A-4'!D33="-",'A-4'!D80="-"),"-",SUM('A-9'!C222,'A-4'!D33,'A-4'!D80))</f>
        <v>-</v>
      </c>
      <c r="E79" s="200">
        <f>IF(AND('A-9'!D222="-",'A-4'!E33="-",'A-4'!E80="-"),"-",SUM('A-9'!D222,'A-4'!E33,'A-4'!E80))</f>
        <v>5830</v>
      </c>
      <c r="F79" s="200">
        <f>IF(AND('A-9'!E222="-",'A-4'!F33="-",'A-4'!F80="-"),"-",SUM('A-9'!E222,'A-4'!F33,'A-4'!F80))</f>
        <v>7419</v>
      </c>
      <c r="G79" s="200">
        <f>IF(AND('A-9'!F222="-",'A-4'!G33="-",'A-4'!G80="-"),"-",SUM('A-9'!F222,'A-4'!G33,'A-4'!G80))</f>
        <v>9227</v>
      </c>
      <c r="H79" s="200">
        <f>IF(AND('A-9'!G222="-",'A-4'!H33="-",'A-4'!H80="-"),"-",SUM('A-9'!G222,'A-4'!H33,'A-4'!H80))</f>
        <v>13450</v>
      </c>
      <c r="I79" s="200">
        <f>IF(AND('A-9'!H222="-",'A-4'!I33="-",'A-4'!I80="-"),"-",SUM('A-9'!H222,'A-4'!I33,'A-4'!I80))</f>
        <v>6405</v>
      </c>
      <c r="J79" s="200">
        <f>IF(AND('A-9'!I222="-",'A-4'!J33="-",'A-4'!J80="-"),"-",SUM('A-9'!I222,'A-4'!J33,'A-4'!J80))</f>
        <v>1575</v>
      </c>
      <c r="K79" s="200" t="str">
        <f>IF(AND('A-9'!J222="-",'A-4'!K33="-",'A-4'!K80="-"),"-",SUM('A-9'!J222,'A-4'!K33,'A-4'!K80))</f>
        <v>-</v>
      </c>
      <c r="L79" s="200">
        <f t="shared" si="0"/>
        <v>43906</v>
      </c>
    </row>
    <row r="80" spans="1:12" ht="11.25" customHeight="1" x14ac:dyDescent="0.25">
      <c r="A80" s="402">
        <v>2005</v>
      </c>
      <c r="B80" s="203" t="str">
        <f>IF(AND('A-4'!B34="-",'A-4'!B81="-"),"-",SUM('A-4'!B34,'A-4'!B81))</f>
        <v>-</v>
      </c>
      <c r="C80" s="203" t="str">
        <f>IF(AND('A-9'!B223="-",'A-4'!C34="-",'A-4'!C81="-"),"-",SUM('A-9'!B223,'A-4'!C34,'A-4'!C81))</f>
        <v>-</v>
      </c>
      <c r="D80" s="203" t="str">
        <f>IF(AND('A-9'!C223="-",'A-4'!D34="-",'A-4'!D81="-"),"-",SUM('A-9'!C223,'A-4'!D34,'A-4'!D81))</f>
        <v>-</v>
      </c>
      <c r="E80" s="203">
        <f>IF(AND('A-9'!D223="-",'A-4'!E34="-",'A-4'!E81="-"),"-",SUM('A-9'!D223,'A-4'!E34,'A-4'!E81))</f>
        <v>1799</v>
      </c>
      <c r="F80" s="203">
        <f>IF(AND('A-9'!E223="-",'A-4'!F34="-",'A-4'!F81="-"),"-",SUM('A-9'!E223,'A-4'!F34,'A-4'!F81))</f>
        <v>9099</v>
      </c>
      <c r="G80" s="203">
        <f>IF(AND('A-9'!F223="-",'A-4'!G34="-",'A-4'!G81="-"),"-",SUM('A-9'!F223,'A-4'!G34,'A-4'!G81))</f>
        <v>1932</v>
      </c>
      <c r="H80" s="203">
        <f>IF(AND('A-9'!G223="-",'A-4'!H34="-",'A-4'!H81="-"),"-",SUM('A-9'!G223,'A-4'!H34,'A-4'!H81))</f>
        <v>8781</v>
      </c>
      <c r="I80" s="203">
        <f>IF(AND('A-9'!H223="-",'A-4'!I34="-",'A-4'!I81="-"),"-",SUM('A-9'!H223,'A-4'!I34,'A-4'!I81))</f>
        <v>5898</v>
      </c>
      <c r="J80" s="203">
        <f>IF(AND('A-9'!I223="-",'A-4'!J34="-",'A-4'!J81="-"),"-",SUM('A-9'!I223,'A-4'!J34,'A-4'!J81))</f>
        <v>2398</v>
      </c>
      <c r="K80" s="203" t="str">
        <f>IF(AND('A-9'!J223="-",'A-4'!K34="-",'A-4'!K81="-"),"-",SUM('A-9'!J223,'A-4'!K34,'A-4'!K81))</f>
        <v>-</v>
      </c>
      <c r="L80" s="203">
        <f>SUM(B80:K80)</f>
        <v>29907</v>
      </c>
    </row>
    <row r="81" spans="1:12" ht="11.25" customHeight="1" x14ac:dyDescent="0.25">
      <c r="A81" s="383">
        <v>2006</v>
      </c>
      <c r="B81" s="200" t="str">
        <f>IF(AND('A-4'!B35="-",'A-4'!B82="-"),"-",SUM('A-4'!B35,'A-4'!B82))</f>
        <v>-</v>
      </c>
      <c r="C81" s="200" t="str">
        <f>IF(AND('A-9'!B224="-",'A-4'!C35="-",'A-4'!C82="-"),"-",SUM('A-9'!B224,'A-4'!C35,'A-4'!C82))</f>
        <v>-</v>
      </c>
      <c r="D81" s="200" t="str">
        <f>IF(AND('A-9'!C224="-",'A-4'!D35="-",'A-4'!D82="-"),"-",SUM('A-9'!C224,'A-4'!D35,'A-4'!D82))</f>
        <v>-</v>
      </c>
      <c r="E81" s="200">
        <f>IF(AND('A-9'!D224="-",'A-4'!E35="-",'A-4'!E82="-"),"-",SUM('A-9'!D224,'A-4'!E35,'A-4'!E82))</f>
        <v>4887</v>
      </c>
      <c r="F81" s="200">
        <f>IF(AND('A-9'!E224="-",'A-4'!F35="-",'A-4'!F82="-"),"-",SUM('A-9'!E224,'A-4'!F35,'A-4'!F82))</f>
        <v>8619</v>
      </c>
      <c r="G81" s="200">
        <f>IF(AND('A-9'!F224="-",'A-4'!G35="-",'A-4'!G82="-"),"-",SUM('A-9'!F224,'A-4'!G35,'A-4'!G82))</f>
        <v>3174</v>
      </c>
      <c r="H81" s="200" t="str">
        <f>IF(AND('A-9'!G224="-",'A-4'!H35="-",'A-4'!H82="-"),"-",SUM('A-9'!G224,'A-4'!H35,'A-4'!H82))</f>
        <v>-</v>
      </c>
      <c r="I81" s="200">
        <f>IF(AND('A-9'!H224="-",'A-4'!I35="-",'A-4'!I82="-"),"-",SUM('A-9'!H224,'A-4'!I35,'A-4'!I82))</f>
        <v>7320</v>
      </c>
      <c r="J81" s="200">
        <f>IF(AND('A-9'!I224="-",'A-4'!J35="-",'A-4'!J82="-"),"-",SUM('A-9'!I224,'A-4'!J35,'A-4'!J82))</f>
        <v>3081</v>
      </c>
      <c r="K81" s="200" t="str">
        <f>IF(AND('A-9'!J224="-",'A-4'!K35="-",'A-4'!K82="-"),"-",SUM('A-9'!J224,'A-4'!K35,'A-4'!K82))</f>
        <v>-</v>
      </c>
      <c r="L81" s="200">
        <f>SUM(B81:K81)</f>
        <v>27081</v>
      </c>
    </row>
    <row r="82" spans="1:12" ht="11.25" customHeight="1" x14ac:dyDescent="0.25">
      <c r="A82" s="402">
        <v>2007</v>
      </c>
      <c r="B82" s="203" t="str">
        <f>IF(AND('A-4'!B36="-",'A-4'!B83="-"),"-",SUM('A-4'!B36,'A-4'!B83))</f>
        <v>-</v>
      </c>
      <c r="C82" s="203" t="str">
        <f>IF(AND('A-9'!B225="-",'A-4'!C36="-",'A-4'!C83="-"),"-",SUM('A-9'!B225,'A-4'!C36,'A-4'!C83))</f>
        <v>-</v>
      </c>
      <c r="D82" s="203" t="str">
        <f>IF(AND('A-9'!C225="-",'A-4'!D36="-",'A-4'!D83="-"),"-",SUM('A-9'!C225,'A-4'!D36,'A-4'!D83))</f>
        <v>-</v>
      </c>
      <c r="E82" s="203">
        <f>IF(AND('A-9'!D225="-",'A-4'!E36="-",'A-4'!E83="-"),"-",SUM('A-9'!D225,'A-4'!E36,'A-4'!E83))</f>
        <v>2346</v>
      </c>
      <c r="F82" s="203">
        <f>IF(AND('A-9'!E225="-",'A-4'!F36="-",'A-4'!F83="-"),"-",SUM('A-9'!E225,'A-4'!F36,'A-4'!F83))</f>
        <v>6223</v>
      </c>
      <c r="G82" s="203">
        <f>IF(AND('A-9'!F225="-",'A-4'!G36="-",'A-4'!G83="-"),"-",SUM('A-9'!F225,'A-4'!G36,'A-4'!G83))</f>
        <v>7541</v>
      </c>
      <c r="H82" s="203">
        <f>IF(AND('A-9'!G225="-",'A-4'!H36="-",'A-4'!H83="-"),"-",SUM('A-9'!G225,'A-4'!H36,'A-4'!H83))</f>
        <v>10178</v>
      </c>
      <c r="I82" s="203">
        <f>IF(AND('A-9'!H225="-",'A-4'!I36="-",'A-4'!I83="-"),"-",SUM('A-9'!H225,'A-4'!I36,'A-4'!I83))</f>
        <v>2004</v>
      </c>
      <c r="J82" s="203">
        <f>IF(AND('A-9'!I225="-",'A-4'!J36="-",'A-4'!J83="-"),"-",SUM('A-9'!I225,'A-4'!J36,'A-4'!J83))</f>
        <v>3263</v>
      </c>
      <c r="K82" s="203" t="str">
        <f>IF(AND('A-9'!J225="-",'A-4'!K36="-",'A-4'!K83="-"),"-",SUM('A-9'!J225,'A-4'!K36,'A-4'!K83))</f>
        <v>-</v>
      </c>
      <c r="L82" s="203">
        <f>SUM(B82:K82)</f>
        <v>31555</v>
      </c>
    </row>
    <row r="83" spans="1:12" ht="11.25" customHeight="1" x14ac:dyDescent="0.25">
      <c r="A83" s="402">
        <v>2008</v>
      </c>
      <c r="B83" s="203" t="str">
        <f>IF(AND('A-4'!B37="-",'A-4'!B84="-"),"-",SUM('A-4'!B37,'A-4'!B84))</f>
        <v>-</v>
      </c>
      <c r="C83" s="203" t="str">
        <f>IF(AND('A-9'!B226="-",'A-4'!C37="-",'A-4'!C84="-"),"-",SUM('A-9'!B226,'A-4'!C37,'A-4'!C84))</f>
        <v>-</v>
      </c>
      <c r="D83" s="203" t="str">
        <f>IF(AND('A-9'!C226="-",'A-4'!D37="-",'A-4'!D84="-"),"-",SUM('A-9'!C226,'A-4'!D37,'A-4'!D84))</f>
        <v>-</v>
      </c>
      <c r="E83" s="203" t="str">
        <f>IF(AND('A-9'!D226="-",'A-4'!E37="-",'A-4'!E84="-"),"-",SUM('A-9'!D226,'A-4'!E37,'A-4'!E84))</f>
        <v>-</v>
      </c>
      <c r="F83" s="203">
        <f>IF(AND('A-9'!E226="-",'A-4'!F37="-",'A-4'!F84="-"),"-",SUM('A-9'!E226,'A-4'!F37,'A-4'!F84))</f>
        <v>712</v>
      </c>
      <c r="G83" s="203">
        <f>IF(AND('A-9'!F226="-",'A-4'!G37="-",'A-4'!G84="-"),"-",SUM('A-9'!F226,'A-4'!G37,'A-4'!G84))</f>
        <v>2317</v>
      </c>
      <c r="H83" s="203">
        <f>IF(AND('A-9'!G226="-",'A-4'!H37="-",'A-4'!H84="-"),"-",SUM('A-9'!G226,'A-4'!H37,'A-4'!H84))</f>
        <v>701</v>
      </c>
      <c r="I83" s="203" t="str">
        <f>IF(AND('A-9'!H226="-",'A-4'!I37="-",'A-4'!I84="-"),"-",SUM('A-9'!H226,'A-4'!I37,'A-4'!I84))</f>
        <v>-</v>
      </c>
      <c r="J83" s="203">
        <f>IF(AND('A-9'!I226="-",'A-4'!J37="-",'A-4'!J84="-"),"-",SUM('A-9'!I226,'A-4'!J37,'A-4'!J84))</f>
        <v>1065</v>
      </c>
      <c r="K83" s="203" t="str">
        <f>IF(AND('A-9'!J226="-",'A-4'!K37="-",'A-4'!K84="-"),"-",SUM('A-9'!J226,'A-4'!K37,'A-4'!K84))</f>
        <v>-</v>
      </c>
      <c r="L83" s="203">
        <f>SUM(B83:K83)</f>
        <v>4795</v>
      </c>
    </row>
    <row r="84" spans="1:12" ht="11.25" customHeight="1" x14ac:dyDescent="0.25">
      <c r="A84" s="402">
        <v>2009</v>
      </c>
      <c r="B84" s="203" t="str">
        <f>IF(AND('A-4'!B38="-",'A-4'!B85="-"),"-",SUM('A-4'!B38,'A-4'!B85))</f>
        <v>-</v>
      </c>
      <c r="C84" s="203" t="str">
        <f>IF(AND('A-9'!B227="-",'A-4'!C38="-",'A-4'!C85="-"),"-",SUM('A-9'!B227,'A-4'!C38,'A-4'!C85))</f>
        <v>-</v>
      </c>
      <c r="D84" s="203" t="str">
        <f>IF(AND('A-9'!C227="-",'A-4'!D38="-",'A-4'!D85="-"),"-",SUM('A-9'!C227,'A-4'!D38,'A-4'!D85))</f>
        <v>-</v>
      </c>
      <c r="E84" s="203" t="str">
        <f>IF(AND('A-9'!D227="-",'A-4'!E38="-",'A-4'!E85="-"),"-",SUM('A-9'!D227,'A-4'!E38,'A-4'!E85))</f>
        <v>-</v>
      </c>
      <c r="F84" s="203">
        <f>IF(AND('A-9'!E227="-",'A-4'!F38="-",'A-4'!F85="-"),"-",SUM('A-9'!E227,'A-4'!F38,'A-4'!F85))</f>
        <v>268</v>
      </c>
      <c r="G84" s="203">
        <f>IF(AND('A-9'!F227="-",'A-4'!G38="-",'A-4'!G85="-"),"-",SUM('A-9'!F227,'A-4'!G38,'A-4'!G85))</f>
        <v>2329</v>
      </c>
      <c r="H84" s="203">
        <f>IF(AND('A-9'!G227="-",'A-4'!H38="-",'A-4'!H85="-"),"-",SUM('A-9'!G227,'A-4'!H38,'A-4'!H85))</f>
        <v>3269</v>
      </c>
      <c r="I84" s="203">
        <f>IF(AND('A-9'!H227="-",'A-4'!I38="-",'A-4'!I85="-"),"-",SUM('A-9'!H227,'A-4'!I38,'A-4'!I85))</f>
        <v>5424</v>
      </c>
      <c r="J84" s="203" t="str">
        <f>IF(AND('A-9'!I227="-",'A-4'!J38="-",'A-4'!J85="-"),"-",SUM('A-9'!I227,'A-4'!J38,'A-4'!J85))</f>
        <v>-</v>
      </c>
      <c r="K84" s="203" t="str">
        <f>IF(AND('A-9'!J227="-",'A-4'!K38="-",'A-4'!K85="-"),"-",SUM('A-9'!J227,'A-4'!K38,'A-4'!K85))</f>
        <v>-</v>
      </c>
      <c r="L84" s="203">
        <f>SUM(B84:K84)</f>
        <v>11290</v>
      </c>
    </row>
    <row r="85" spans="1:12" ht="11.25" customHeight="1" x14ac:dyDescent="0.25">
      <c r="A85" s="402">
        <v>2010</v>
      </c>
      <c r="B85" s="203" t="str">
        <f>IF(AND('A-4'!B39="-",'A-4'!B86="-"),"-",SUM('A-4'!B39,'A-4'!B86))</f>
        <v>-</v>
      </c>
      <c r="C85" s="203" t="str">
        <f>IF(AND('A-9'!B228="-",'A-4'!C39="-",'A-4'!C86="-"),"-",SUM('A-9'!B228,'A-4'!C39,'A-4'!C86))</f>
        <v>-</v>
      </c>
      <c r="D85" s="203" t="str">
        <f>IF(AND('A-9'!C228="-",'A-4'!D39="-",'A-4'!D86="-"),"-",SUM('A-9'!C228,'A-4'!D39,'A-4'!D86))</f>
        <v>-</v>
      </c>
      <c r="E85" s="203">
        <f>IF(AND('A-9'!D228="-",'A-4'!E39="-",'A-4'!E86="-"),"-",SUM('A-9'!D228,'A-4'!E39,'A-4'!E86))</f>
        <v>665</v>
      </c>
      <c r="F85" s="203">
        <f>IF(AND('A-9'!E228="-",'A-4'!F39="-",'A-4'!F86="-"),"-",SUM('A-9'!E228,'A-4'!F39,'A-4'!F86))</f>
        <v>771</v>
      </c>
      <c r="G85" s="203">
        <f>IF(AND('A-9'!F228="-",'A-4'!G39="-",'A-4'!G86="-"),"-",SUM('A-9'!F228,'A-4'!G39,'A-4'!G86))</f>
        <v>1280</v>
      </c>
      <c r="H85" s="203">
        <f>IF(AND('A-9'!G228="-",'A-4'!H39="-",'A-4'!H86="-"),"-",SUM('A-9'!G228,'A-4'!H39,'A-4'!H86))</f>
        <v>2493</v>
      </c>
      <c r="I85" s="203">
        <f>IF(AND('A-9'!H228="-",'A-4'!I39="-",'A-4'!I86="-"),"-",SUM('A-9'!H228,'A-4'!I39,'A-4'!I86))</f>
        <v>2700</v>
      </c>
      <c r="J85" s="203">
        <f>IF(AND('A-9'!I228="-",'A-4'!J39="-",'A-4'!J86="-"),"-",SUM('A-9'!I228,'A-4'!J39,'A-4'!J86))</f>
        <v>2270</v>
      </c>
      <c r="K85" s="203" t="str">
        <f>IF(AND('A-9'!J228="-",'A-4'!K39="-",'A-4'!K86="-"),"-",SUM('A-9'!J228,'A-4'!K39,'A-4'!K86))</f>
        <v>-</v>
      </c>
      <c r="L85" s="203">
        <f t="shared" ref="L85:L90" si="1">SUM(B85:K85)</f>
        <v>10179</v>
      </c>
    </row>
    <row r="86" spans="1:12" ht="11.25" customHeight="1" x14ac:dyDescent="0.25">
      <c r="A86" s="402">
        <v>2011</v>
      </c>
      <c r="B86" s="203" t="str">
        <f>IF(AND('A-4'!B40="-",'A-4'!B87="-"),"-",SUM('A-4'!B40,'A-4'!B87))</f>
        <v>-</v>
      </c>
      <c r="C86" s="203" t="str">
        <f>IF(AND('A-9'!B229="-",'A-4'!C40="-",'A-4'!C87="-"),"-",SUM('A-9'!B229,'A-4'!C40,'A-4'!C87))</f>
        <v>-</v>
      </c>
      <c r="D86" s="203" t="str">
        <f>IF(AND('A-9'!C229="-",'A-4'!D40="-",'A-4'!D87="-"),"-",SUM('A-9'!C229,'A-4'!D40,'A-4'!D87))</f>
        <v>-</v>
      </c>
      <c r="E86" s="203">
        <f>IF(AND('A-9'!D229="-",'A-4'!E40="-",'A-4'!E87="-"),"-",SUM('A-9'!D229,'A-4'!E40,'A-4'!E87))</f>
        <v>2244</v>
      </c>
      <c r="F86" s="203">
        <f>IF(AND('A-9'!E229="-",'A-4'!F40="-",'A-4'!F87="-"),"-",SUM('A-9'!E229,'A-4'!F40,'A-4'!F87))</f>
        <v>2974</v>
      </c>
      <c r="G86" s="203">
        <f>IF(AND('A-9'!F229="-",'A-4'!G40="-",'A-4'!G87="-"),"-",SUM('A-9'!F229,'A-4'!G40,'A-4'!G87))</f>
        <v>5059</v>
      </c>
      <c r="H86" s="203">
        <f>IF(AND('A-9'!G229="-",'A-4'!H40="-",'A-4'!H87="-"),"-",SUM('A-9'!G229,'A-4'!H40,'A-4'!H87))</f>
        <v>6554</v>
      </c>
      <c r="I86" s="203">
        <f>IF(AND('A-9'!H229="-",'A-4'!I40="-",'A-4'!I87="-"),"-",SUM('A-9'!H229,'A-4'!I40,'A-4'!I87))</f>
        <v>2621</v>
      </c>
      <c r="J86" s="203">
        <f>IF(AND('A-9'!I229="-",'A-4'!J40="-",'A-4'!J87="-"),"-",SUM('A-9'!I229,'A-4'!J40,'A-4'!J87))</f>
        <v>1757</v>
      </c>
      <c r="K86" s="203" t="str">
        <f>IF(AND('A-9'!J229="-",'A-4'!K40="-",'A-4'!K87="-"),"-",SUM('A-9'!J229,'A-4'!K40,'A-4'!K87))</f>
        <v>-</v>
      </c>
      <c r="L86" s="203">
        <f t="shared" si="1"/>
        <v>21209</v>
      </c>
    </row>
    <row r="87" spans="1:12" ht="11.25" customHeight="1" x14ac:dyDescent="0.25">
      <c r="A87" s="402">
        <v>2012</v>
      </c>
      <c r="B87" s="203" t="str">
        <f>IF(AND('A-4'!B41="-",'A-4'!B88="-"),"-",SUM('A-4'!B41,'A-4'!B88))</f>
        <v>-</v>
      </c>
      <c r="C87" s="203" t="str">
        <f>IF(AND('A-9'!B230="-",'A-4'!C41="-",'A-4'!C88="-"),"-",SUM('A-9'!B230,'A-4'!C41,'A-4'!C88))</f>
        <v>-</v>
      </c>
      <c r="D87" s="203" t="str">
        <f>IF(AND('A-9'!C230="-",'A-4'!D41="-",'A-4'!D88="-"),"-",SUM('A-9'!C230,'A-4'!D41,'A-4'!D88))</f>
        <v>-</v>
      </c>
      <c r="E87" s="203">
        <f>IF(AND('A-9'!D230="-",'A-4'!E41="-",'A-4'!E88="-"),"-",SUM('A-9'!D230,'A-4'!E41,'A-4'!E88))</f>
        <v>3619</v>
      </c>
      <c r="F87" s="203">
        <f>IF(AND('A-9'!E230="-",'A-4'!F41="-",'A-4'!F88="-"),"-",SUM('A-9'!E230,'A-4'!F41,'A-4'!F88))</f>
        <v>9514</v>
      </c>
      <c r="G87" s="203">
        <f>IF(AND('A-9'!F230="-",'A-4'!G41="-",'A-4'!G88="-"),"-",SUM('A-9'!F230,'A-4'!G41,'A-4'!G88))</f>
        <v>14645</v>
      </c>
      <c r="H87" s="203">
        <f>IF(AND('A-9'!G230="-",'A-4'!H41="-",'A-4'!H88="-"),"-",SUM('A-9'!G230,'A-4'!H41,'A-4'!H88))</f>
        <v>15183</v>
      </c>
      <c r="I87" s="203">
        <f>IF(AND('A-9'!H230="-",'A-4'!I41="-",'A-4'!I88="-"),"-",SUM('A-9'!H230,'A-4'!I41,'A-4'!I88))</f>
        <v>3576</v>
      </c>
      <c r="J87" s="203">
        <f>IF(AND('A-9'!I230="-",'A-4'!J41="-",'A-4'!J88="-"),"-",SUM('A-9'!I230,'A-4'!J41,'A-4'!J88))</f>
        <v>3666</v>
      </c>
      <c r="K87" s="203" t="str">
        <f>IF(AND('A-9'!J230="-",'A-4'!K41="-",'A-4'!K88="-"),"-",SUM('A-9'!J230,'A-4'!K41,'A-4'!K88))</f>
        <v>-</v>
      </c>
      <c r="L87" s="203">
        <f t="shared" si="1"/>
        <v>50203</v>
      </c>
    </row>
    <row r="88" spans="1:12" ht="11.25" customHeight="1" x14ac:dyDescent="0.25">
      <c r="A88" s="402">
        <v>2013</v>
      </c>
      <c r="B88" s="203" t="str">
        <f>IF(AND('A-4'!B42="-",'A-4'!B89="-"),"-",SUM('A-4'!B42,'A-4'!B89))</f>
        <v>-</v>
      </c>
      <c r="C88" s="203" t="str">
        <f>IF(AND('A-9'!B231="-",'A-4'!C42="-",'A-4'!C89="-"),"-",SUM('A-9'!B231,'A-4'!C42,'A-4'!C89))</f>
        <v>-</v>
      </c>
      <c r="D88" s="203" t="str">
        <f>IF(AND('A-9'!C231="-",'A-4'!D42="-",'A-4'!D89="-"),"-",SUM('A-9'!C231,'A-4'!D42,'A-4'!D89))</f>
        <v>-</v>
      </c>
      <c r="E88" s="203">
        <f>IF(AND('A-9'!D231="-",'A-4'!E42="-",'A-4'!E89="-"),"-",SUM('A-9'!D231,'A-4'!E42,'A-4'!E89))</f>
        <v>3501</v>
      </c>
      <c r="F88" s="203">
        <f>IF(AND('A-9'!E231="-",'A-4'!F42="-",'A-4'!F89="-"),"-",SUM('A-9'!E231,'A-4'!F42,'A-4'!F89))</f>
        <v>10773</v>
      </c>
      <c r="G88" s="203">
        <f>IF(AND('A-9'!F231="-",'A-4'!G42="-",'A-4'!G89="-"),"-",SUM('A-9'!F231,'A-4'!G42,'A-4'!G89))</f>
        <v>15914</v>
      </c>
      <c r="H88" s="203">
        <f>IF(AND('A-9'!G231="-",'A-4'!H42="-",'A-4'!H89="-"),"-",SUM('A-9'!G231,'A-4'!H42,'A-4'!H89))</f>
        <v>15379</v>
      </c>
      <c r="I88" s="203">
        <f>IF(AND('A-9'!H231="-",'A-4'!I42="-",'A-4'!I89="-"),"-",SUM('A-9'!H231,'A-4'!I42,'A-4'!I89))</f>
        <v>822</v>
      </c>
      <c r="J88" s="203">
        <f>IF(AND('A-9'!I231="-",'A-4'!J42="-",'A-4'!J89="-"),"-",SUM('A-9'!I231,'A-4'!J42,'A-4'!J89))</f>
        <v>3547</v>
      </c>
      <c r="K88" s="203" t="str">
        <f>IF(AND('A-9'!J231="-",'A-4'!K42="-",'A-4'!K89="-"),"-",SUM('A-9'!J231,'A-4'!K42,'A-4'!K89))</f>
        <v>-</v>
      </c>
      <c r="L88" s="203">
        <f t="shared" si="1"/>
        <v>49936</v>
      </c>
    </row>
    <row r="89" spans="1:12" ht="11.25" customHeight="1" x14ac:dyDescent="0.25">
      <c r="A89" s="402">
        <v>2014</v>
      </c>
      <c r="B89" s="203" t="str">
        <f>IF(AND('A-4'!B43="-",'A-4'!B90="-"),"-",SUM('A-4'!B43,'A-4'!B90))</f>
        <v>-</v>
      </c>
      <c r="C89" s="203" t="str">
        <f>IF(AND('A-9'!B232="-",'A-4'!C43="-",'A-4'!C90="-"),"-",SUM('A-9'!B232,'A-4'!C43,'A-4'!C90))</f>
        <v>-</v>
      </c>
      <c r="D89" s="203" t="str">
        <f>IF(AND('A-9'!C232="-",'A-4'!D43="-",'A-4'!D90="-"),"-",SUM('A-9'!C232,'A-4'!D43,'A-4'!D90))</f>
        <v>-</v>
      </c>
      <c r="E89" s="203">
        <f>IF(AND('A-9'!D232="-",'A-4'!E43="-",'A-4'!E90="-"),"-",SUM('A-9'!D232,'A-4'!E43,'A-4'!E90))</f>
        <v>5588</v>
      </c>
      <c r="F89" s="203">
        <f>IF(AND('A-9'!E232="-",'A-4'!F43="-",'A-4'!F90="-"),"-",SUM('A-9'!E232,'A-4'!F43,'A-4'!F90))</f>
        <v>6409</v>
      </c>
      <c r="G89" s="203">
        <f>IF(AND('A-9'!F232="-",'A-4'!G43="-",'A-4'!G90="-"),"-",SUM('A-9'!F232,'A-4'!G43,'A-4'!G90))</f>
        <v>12723</v>
      </c>
      <c r="H89" s="203">
        <f>IF(AND('A-9'!G232="-",'A-4'!H43="-",'A-4'!H90="-"),"-",SUM('A-9'!G232,'A-4'!H43,'A-4'!H90))</f>
        <v>7475</v>
      </c>
      <c r="I89" s="203">
        <f>IF(AND('A-9'!H232="-",'A-4'!I43="-",'A-4'!I90="-"),"-",SUM('A-9'!H232,'A-4'!I43,'A-4'!I90))</f>
        <v>868</v>
      </c>
      <c r="J89" s="203">
        <f>IF(AND('A-9'!I232="-",'A-4'!J43="-",'A-4'!J90="-"),"-",SUM('A-9'!I232,'A-4'!J43,'A-4'!J90))</f>
        <v>4639</v>
      </c>
      <c r="K89" s="203" t="str">
        <f>IF(AND('A-9'!J232="-",'A-4'!K43="-",'A-4'!K90="-"),"-",SUM('A-9'!J232,'A-4'!K43,'A-4'!K90))</f>
        <v>-</v>
      </c>
      <c r="L89" s="203">
        <f t="shared" si="1"/>
        <v>37702</v>
      </c>
    </row>
    <row r="90" spans="1:12" ht="11.25" customHeight="1" x14ac:dyDescent="0.25">
      <c r="A90" s="402" t="s">
        <v>305</v>
      </c>
      <c r="B90" s="203" t="str">
        <f>IF(AND('A-4'!B44="-",'A-4'!B91="-"),"-",SUM('A-4'!B44,'A-4'!B91))</f>
        <v>-</v>
      </c>
      <c r="C90" s="203" t="str">
        <f>IF(AND('A-9'!B233="-",'A-4'!C44="-",'A-4'!C91="-"),"-",SUM('A-9'!B233,'A-4'!C44,'A-4'!C91))</f>
        <v>-</v>
      </c>
      <c r="D90" s="203" t="str">
        <f>IF(AND('A-9'!C233="-",'A-4'!D44="-",'A-4'!D91="-"),"-",SUM('A-9'!C233,'A-4'!D44,'A-4'!D91))</f>
        <v>-</v>
      </c>
      <c r="E90" s="203">
        <f>IF(AND('A-9'!D233="-",'A-4'!E44="-",'A-4'!E91="-"),"-",SUM('A-9'!D233,'A-4'!E44,'A-4'!E91))</f>
        <v>2946</v>
      </c>
      <c r="F90" s="203">
        <f>IF(AND('A-9'!E233="-",'A-4'!F44="-",'A-4'!F91="-"),"-",SUM('A-9'!E233,'A-4'!F44,'A-4'!F91))</f>
        <v>1679</v>
      </c>
      <c r="G90" s="203">
        <f>IF(AND('A-9'!F233="-",'A-4'!G44="-",'A-4'!G91="-"),"-",SUM('A-9'!F233,'A-4'!G44,'A-4'!G91))</f>
        <v>3974</v>
      </c>
      <c r="H90" s="203">
        <f>IF(AND('A-9'!G233="-",'A-4'!H44="-",'A-4'!H91="-"),"-",SUM('A-9'!G233,'A-4'!H44,'A-4'!H91))</f>
        <v>2927</v>
      </c>
      <c r="I90" s="203">
        <f>IF(AND('A-9'!H233="-",'A-4'!I44="-",'A-4'!I91="-"),"-",SUM('A-9'!H233,'A-4'!I44,'A-4'!I91))</f>
        <v>1328</v>
      </c>
      <c r="J90" s="203">
        <f>IF(AND('A-9'!I233="-",'A-4'!J44="-",'A-4'!J91="-"),"-",SUM('A-9'!I233,'A-4'!J44,'A-4'!J91))</f>
        <v>5040</v>
      </c>
      <c r="K90" s="203" t="str">
        <f>IF(AND('A-9'!J233="-",'A-4'!K44="-",'A-4'!K91="-"),"-",SUM('A-9'!J233,'A-4'!K44,'A-4'!K91))</f>
        <v>-</v>
      </c>
      <c r="L90" s="203">
        <f t="shared" si="1"/>
        <v>17894</v>
      </c>
    </row>
    <row r="91" spans="1:12" ht="11.25" customHeight="1" x14ac:dyDescent="0.25">
      <c r="A91" s="402">
        <v>2016</v>
      </c>
      <c r="B91" s="203" t="str">
        <f>IF(AND('A-4'!B45="-",'A-4'!B92="-"),"-",SUM('A-4'!B45,'A-4'!B92))</f>
        <v>-</v>
      </c>
      <c r="C91" s="203" t="str">
        <f>IF(AND('A-9'!B234="-",'A-4'!C45="-",'A-4'!C92="-"),"-",SUM('A-9'!B234,'A-4'!C45,'A-4'!C92))</f>
        <v>-</v>
      </c>
      <c r="D91" s="203" t="str">
        <f>IF(AND('A-9'!C234="-",'A-4'!D45="-",'A-4'!D92="-"),"-",SUM('A-9'!C234,'A-4'!D45,'A-4'!D92))</f>
        <v>-</v>
      </c>
      <c r="E91" s="203">
        <f>IF(AND('A-9'!D234="-",'A-4'!E45="-",'A-4'!E92="-"),"-",SUM('A-9'!D234,'A-4'!E45,'A-4'!E92))</f>
        <v>1682</v>
      </c>
      <c r="F91" s="203">
        <f>IF(AND('A-9'!E234="-",'A-4'!F45="-",'A-4'!F92="-"),"-",SUM('A-9'!E234,'A-4'!F45,'A-4'!F92))</f>
        <v>2622</v>
      </c>
      <c r="G91" s="203">
        <f>IF(AND('A-9'!F234="-",'A-4'!G45="-",'A-4'!G92="-"),"-",SUM('A-9'!F234,'A-4'!G45,'A-4'!G92))</f>
        <v>3273</v>
      </c>
      <c r="H91" s="203">
        <f>IF(AND('A-9'!G234="-",'A-4'!H45="-",'A-4'!H92="-"),"-",SUM('A-9'!G234,'A-4'!H45,'A-4'!H92))</f>
        <v>2134</v>
      </c>
      <c r="I91" s="203">
        <f>IF(AND('A-9'!H234="-",'A-4'!I45="-",'A-4'!I92="-"),"-",SUM('A-9'!H234,'A-4'!I45,'A-4'!I92))</f>
        <v>1558</v>
      </c>
      <c r="J91" s="203">
        <f>IF(AND('A-9'!I234="-",'A-4'!J45="-",'A-4'!J92="-"),"-",SUM('A-9'!I234,'A-4'!J45,'A-4'!J92))</f>
        <v>1872</v>
      </c>
      <c r="K91" s="203" t="str">
        <f>IF(AND('A-9'!J234="-",'A-4'!K45="-",'A-4'!K92="-"),"-",SUM('A-9'!J234,'A-4'!K45,'A-4'!K92))</f>
        <v>-</v>
      </c>
      <c r="L91" s="203">
        <f>SUM(B91:K91)</f>
        <v>13141</v>
      </c>
    </row>
    <row r="92" spans="1:12" ht="11.25" customHeight="1" x14ac:dyDescent="0.25">
      <c r="A92" s="402">
        <v>2017</v>
      </c>
      <c r="B92" s="203" t="str">
        <f>IF(AND('A-4'!B46="-",'A-4'!B93="-"),"-",SUM('A-4'!B46,'A-4'!B93))</f>
        <v>-</v>
      </c>
      <c r="C92" s="203" t="str">
        <f>IF(AND('A-9'!B235="-",'A-4'!C46="-",'A-4'!C93="-"),"-",SUM('A-9'!B235,'A-4'!C46,'A-4'!C93))</f>
        <v>-</v>
      </c>
      <c r="D92" s="203" t="str">
        <f>IF(AND('A-9'!C235="-",'A-4'!D46="-",'A-4'!D93="-"),"-",SUM('A-9'!C235,'A-4'!D46,'A-4'!D93))</f>
        <v>-</v>
      </c>
      <c r="E92" s="203" t="str">
        <f>IF(AND('A-9'!D235="-",'A-4'!E46="-",'A-4'!E93="-"),"-",SUM('A-9'!D235,'A-4'!E46,'A-4'!E93))</f>
        <v>-</v>
      </c>
      <c r="F92" s="203" t="str">
        <f>IF(AND('A-9'!E235="-",'A-4'!F46="-",'A-4'!F93="-"),"-",SUM('A-9'!E235,'A-4'!F46,'A-4'!F93))</f>
        <v>-</v>
      </c>
      <c r="G92" s="203" t="str">
        <f>IF(AND('A-9'!F235="-",'A-4'!G46="-",'A-4'!G93="-"),"-",SUM('A-9'!F235,'A-4'!G46,'A-4'!G93))</f>
        <v>-</v>
      </c>
      <c r="H92" s="203" t="str">
        <f>IF(AND('A-9'!G235="-",'A-4'!H46="-",'A-4'!H93="-"),"-",SUM('A-9'!G235,'A-4'!H46,'A-4'!H93))</f>
        <v>-</v>
      </c>
      <c r="I92" s="203" t="str">
        <f>IF(AND('A-9'!H235="-",'A-4'!I46="-",'A-4'!I93="-"),"-",SUM('A-9'!H235,'A-4'!I46,'A-4'!I93))</f>
        <v>-</v>
      </c>
      <c r="J92" s="203">
        <f>IF(AND('A-9'!I235="-",'A-4'!J46="-",'A-4'!J93="-"),"-",SUM('A-9'!I235,'A-4'!J46,'A-4'!J93))</f>
        <v>2012</v>
      </c>
      <c r="K92" s="203" t="str">
        <f>IF(AND('A-9'!J235="-",'A-4'!K46="-",'A-4'!K93="-"),"-",SUM('A-9'!J235,'A-4'!K46,'A-4'!K93))</f>
        <v>-</v>
      </c>
      <c r="L92" s="203">
        <f>SUM(B92:K92)</f>
        <v>2012</v>
      </c>
    </row>
    <row r="93" spans="1:12" s="358" customFormat="1" ht="11.25" customHeight="1" x14ac:dyDescent="0.25">
      <c r="A93" s="402">
        <v>2018</v>
      </c>
      <c r="B93" s="203" t="str">
        <f>IF(AND('A-4'!B47="-",'A-4'!B94="-"),"-",SUM('A-4'!B47,'A-4'!B94))</f>
        <v>-</v>
      </c>
      <c r="C93" s="203" t="str">
        <f>IF(AND('A-9'!B236="-",'A-4'!C47="-",'A-4'!C94="-"),"-",SUM('A-9'!B236,'A-4'!C47,'A-4'!C94))</f>
        <v>-</v>
      </c>
      <c r="D93" s="203" t="str">
        <f>IF(AND('A-9'!C236="-",'A-4'!D47="-",'A-4'!D94="-"),"-",SUM('A-9'!C236,'A-4'!D47,'A-4'!D94))</f>
        <v>-</v>
      </c>
      <c r="E93" s="203">
        <f>IF(AND('A-9'!D236="-",'A-4'!E47="-",'A-4'!E94="-"),"-",SUM('A-9'!D236,'A-4'!E47,'A-4'!E94))</f>
        <v>508</v>
      </c>
      <c r="F93" s="203">
        <f>IF(AND('A-9'!E236="-",'A-4'!F47="-",'A-4'!F94="-"),"-",SUM('A-9'!E236,'A-4'!F47,'A-4'!F94))</f>
        <v>3715</v>
      </c>
      <c r="G93" s="203">
        <f>IF(AND('A-9'!F236="-",'A-4'!G47="-",'A-4'!G94="-"),"-",SUM('A-9'!F236,'A-4'!G47,'A-4'!G94))</f>
        <v>4138</v>
      </c>
      <c r="H93" s="203">
        <f>IF(AND('A-9'!G236="-",'A-4'!H47="-",'A-4'!H94="-"),"-",SUM('A-9'!G236,'A-4'!H47,'A-4'!H94))</f>
        <v>3855</v>
      </c>
      <c r="I93" s="203">
        <f>IF(AND('A-9'!H236="-",'A-4'!I47="-",'A-4'!I94="-"),"-",SUM('A-9'!H236,'A-4'!I47,'A-4'!I94))</f>
        <v>51</v>
      </c>
      <c r="J93" s="203">
        <f>IF(AND('A-9'!I236="-",'A-4'!J47="-",'A-4'!J94="-"),"-",SUM('A-9'!I236,'A-4'!J47,'A-4'!J94))</f>
        <v>2102</v>
      </c>
      <c r="K93" s="203" t="str">
        <f>IF(AND('A-9'!J236="-",'A-4'!K47="-",'A-4'!K94="-"),"-",SUM('A-9'!J236,'A-4'!K47,'A-4'!K94))</f>
        <v>-</v>
      </c>
      <c r="L93" s="203">
        <f>SUM(B93:K93)</f>
        <v>14369</v>
      </c>
    </row>
    <row r="94" spans="1:12" s="358" customFormat="1" ht="11.25" customHeight="1" x14ac:dyDescent="0.25">
      <c r="A94" s="123" t="s">
        <v>403</v>
      </c>
      <c r="B94" s="203" t="str">
        <f>IF(AND('A-4'!B48="-",'A-4'!B95="-"),"-",SUM('A-4'!B48,'A-4'!B95))</f>
        <v>-</v>
      </c>
      <c r="C94" s="203" t="str">
        <f>IF(AND('A-9'!B237="-",'A-4'!C48="-",'A-4'!C95="-"),"-",SUM('A-9'!B237,'A-4'!C48,'A-4'!C95))</f>
        <v>-</v>
      </c>
      <c r="D94" s="203" t="str">
        <f>IF(AND('A-9'!C237="-",'A-4'!D48="-",'A-4'!D95="-"),"-",SUM('A-9'!C237,'A-4'!D48,'A-4'!D95))</f>
        <v>-</v>
      </c>
      <c r="E94" s="203">
        <f>IF(AND('A-9'!D237="-",'A-4'!E48="-",'A-4'!E95="-"),"-",SUM('A-9'!D237,'A-4'!E48,'A-4'!E95))</f>
        <v>496</v>
      </c>
      <c r="F94" s="203">
        <f>IF(AND('A-9'!E237="-",'A-4'!F48="-",'A-4'!F95="-"),"-",SUM('A-9'!E237,'A-4'!F48,'A-4'!F95))</f>
        <v>3507</v>
      </c>
      <c r="G94" s="203">
        <f>IF(AND('A-9'!F237="-",'A-4'!G48="-",'A-4'!G95="-"),"-",SUM('A-9'!F237,'A-4'!G48,'A-4'!G95))</f>
        <v>4611</v>
      </c>
      <c r="H94" s="203">
        <f>IF(AND('A-9'!G237="-",'A-4'!H48="-",'A-4'!H95="-"),"-",SUM('A-9'!G237,'A-4'!H48,'A-4'!H95))</f>
        <v>3308</v>
      </c>
      <c r="I94" s="203">
        <f>IF(AND('A-9'!H237="-",'A-4'!I48="-",'A-4'!I95="-"),"-",SUM('A-9'!H237,'A-4'!I48,'A-4'!I95))</f>
        <v>147</v>
      </c>
      <c r="J94" s="203" t="str">
        <f>IF(AND('A-9'!I237="-",'A-4'!J48="-",'A-4'!J95="-"),"-",SUM('A-9'!I237,'A-4'!J48,'A-4'!J95))</f>
        <v>-</v>
      </c>
      <c r="K94" s="203" t="str">
        <f>IF(AND('A-9'!J237="-",'A-4'!K48="-",'A-4'!K95="-"),"-",SUM('A-9'!J237,'A-4'!K48,'A-4'!K95))</f>
        <v>-</v>
      </c>
      <c r="L94" s="203">
        <f>SUM(B94:K94)</f>
        <v>12069</v>
      </c>
    </row>
    <row r="95" spans="1:12" ht="11.25" customHeight="1" x14ac:dyDescent="0.25">
      <c r="A95" s="123" t="s">
        <v>404</v>
      </c>
      <c r="B95" s="203" t="str">
        <f>IF(AND('A-4'!B49="-",'A-4'!B96="-"),"-",SUM('A-4'!B49,'A-4'!B96))</f>
        <v>-</v>
      </c>
      <c r="C95" s="203" t="str">
        <f>IF(AND('A-9'!B238="-",'A-4'!C49="-",'A-4'!C96="-"),"-",SUM('A-9'!B238,'A-4'!C49,'A-4'!C96))</f>
        <v>-</v>
      </c>
      <c r="D95" s="203" t="str">
        <f>IF(AND('A-9'!C238="-",'A-4'!D49="-",'A-4'!D96="-"),"-",SUM('A-9'!C238,'A-4'!D49,'A-4'!D96))</f>
        <v>-</v>
      </c>
      <c r="E95" s="203" t="str">
        <f>IF(AND('A-9'!D238="-",'A-4'!E49="-",'A-4'!E96="-"),"-",SUM('A-9'!D238,'A-4'!E49,'A-4'!E96))</f>
        <v>-</v>
      </c>
      <c r="F95" s="203">
        <f>IF(AND('A-9'!E238="-",'A-4'!F49="-",'A-4'!F96="-"),"-",SUM('A-9'!E238,'A-4'!F49,'A-4'!F96))</f>
        <v>1624</v>
      </c>
      <c r="G95" s="203">
        <f>IF(AND('A-9'!F238="-",'A-4'!G49="-",'A-4'!G96="-"),"-",SUM('A-9'!F238,'A-4'!G49,'A-4'!G96))</f>
        <v>7790</v>
      </c>
      <c r="H95" s="203">
        <f>IF(AND('A-9'!G238="-",'A-4'!H49="-",'A-4'!H96="-"),"-",SUM('A-9'!G238,'A-4'!H49,'A-4'!H96))</f>
        <v>1820</v>
      </c>
      <c r="I95" s="203" t="str">
        <f>IF(AND('A-9'!H238="-",'A-4'!I49="-",'A-4'!I96="-"),"-",SUM('A-9'!H238,'A-4'!I49,'A-4'!I96))</f>
        <v>-</v>
      </c>
      <c r="J95" s="203" t="str">
        <f>IF(AND('A-9'!I238="-",'A-4'!J49="-",'A-4'!J96="-"),"-",SUM('A-9'!I238,'A-4'!J49,'A-4'!J96))</f>
        <v>-</v>
      </c>
      <c r="K95" s="203" t="str">
        <f>IF(AND('A-9'!J238="-",'A-4'!K49="-",'A-4'!K96="-"),"-",SUM('A-9'!J238,'A-4'!K49,'A-4'!K96))</f>
        <v>-</v>
      </c>
      <c r="L95" s="203">
        <f>SUM(B95:K95)</f>
        <v>11234</v>
      </c>
    </row>
    <row r="96" spans="1:12" ht="11.25" customHeight="1" x14ac:dyDescent="0.25"/>
    <row r="97" spans="1:12" ht="11.25" customHeight="1" x14ac:dyDescent="0.25">
      <c r="A97" s="116" t="s">
        <v>85</v>
      </c>
    </row>
    <row r="98" spans="1:12" ht="11.25" customHeight="1" x14ac:dyDescent="0.25">
      <c r="A98" s="383">
        <v>1976</v>
      </c>
      <c r="B98" s="200">
        <f>IF(AND('A-4'!B99="-",'A-4'!B146="-",'A-4'!B193="-"),"-",SUM('A-4'!B99,'A-4'!B146,'A-4'!B193))</f>
        <v>8194</v>
      </c>
      <c r="C98" s="200">
        <f>IF(AND('A-4'!C99="-",'A-4'!C146="-",'A-4'!C193="-"),"-",SUM('A-4'!C99,'A-4'!C146,'A-4'!C193))</f>
        <v>7412</v>
      </c>
      <c r="D98" s="200">
        <f>IF(AND('A-4'!D99="-",'A-4'!D146="-",'A-4'!D193="-"),"-",SUM('A-4'!D99,'A-4'!D146,'A-4'!D193))</f>
        <v>7916</v>
      </c>
      <c r="E98" s="200">
        <f>IF(AND('A-4'!E99="-",'A-4'!E146="-",'A-4'!E193="-"),"-",SUM('A-4'!E99,'A-4'!E146,'A-4'!E193))</f>
        <v>17015</v>
      </c>
      <c r="F98" s="200">
        <f>IF(AND('A-4'!F99="-",'A-4'!F146="-",'A-4'!F193="-"),"-",SUM('A-4'!F99,'A-4'!F146,'A-4'!F193))</f>
        <v>14516</v>
      </c>
      <c r="G98" s="200">
        <f>IF(AND('A-4'!G99="-",'A-4'!G146="-",'A-4'!G193="-"),"-",SUM('A-4'!G99,'A-4'!G146,'A-4'!G193))</f>
        <v>24919</v>
      </c>
      <c r="H98" s="200">
        <f>IF(AND('A-4'!H99="-",'A-4'!H146="-",'A-4'!H193="-"),"-",SUM('A-4'!H99,'A-4'!H146,'A-4'!H193))</f>
        <v>21945</v>
      </c>
      <c r="I98" s="200">
        <f>IF(AND('A-4'!I99="-",'A-4'!I146="-",'A-4'!I193="-"),"-",SUM('A-4'!I99,'A-4'!I146,'A-4'!I193))</f>
        <v>10057</v>
      </c>
      <c r="J98" s="200">
        <f>IF(AND('A-4'!J99="-",'A-4'!J146="-",'A-4'!J193="-"),"-",SUM('A-4'!J99,'A-4'!J146,'A-4'!J193))</f>
        <v>12608</v>
      </c>
      <c r="K98" s="200">
        <f>IF(AND('A-4'!K99="-",'A-4'!K146="-",'A-4'!K193="-"),"-",SUM('A-4'!K99,'A-4'!K146,'A-4'!K193))</f>
        <v>3382</v>
      </c>
      <c r="L98" s="200">
        <f>IF(AND('A-4'!L99="-",'A-4'!L146="-",'A-4'!L193="-"),"-",SUM('A-4'!L99,'A-4'!L146,'A-4'!L193))</f>
        <v>127964</v>
      </c>
    </row>
    <row r="99" spans="1:12" ht="11.25" customHeight="1" x14ac:dyDescent="0.25">
      <c r="A99" s="383">
        <v>1977</v>
      </c>
      <c r="B99" s="200">
        <f>IF(AND('A-4'!B100="-",'A-4'!B147="-",'A-4'!B194="-"),"-",SUM('A-4'!B100,'A-4'!B147,'A-4'!B194))</f>
        <v>9832</v>
      </c>
      <c r="C99" s="200">
        <f>IF(AND('A-4'!C100="-",'A-4'!C147="-",'A-4'!C194="-"),"-",SUM('A-4'!C100,'A-4'!C147,'A-4'!C194))</f>
        <v>9729</v>
      </c>
      <c r="D99" s="200">
        <f>IF(AND('A-4'!D100="-",'A-4'!D147="-",'A-4'!D194="-"),"-",SUM('A-4'!D100,'A-4'!D147,'A-4'!D194))</f>
        <v>13632</v>
      </c>
      <c r="E99" s="200">
        <f>IF(AND('A-4'!E100="-",'A-4'!E147="-",'A-4'!E194="-"),"-",SUM('A-4'!E100,'A-4'!E147,'A-4'!E194))</f>
        <v>11947</v>
      </c>
      <c r="F99" s="200">
        <f>IF(AND('A-4'!F100="-",'A-4'!F147="-",'A-4'!F194="-"),"-",SUM('A-4'!F100,'A-4'!F147,'A-4'!F194))</f>
        <v>10446</v>
      </c>
      <c r="G99" s="200">
        <f>IF(AND('A-4'!G100="-",'A-4'!G147="-",'A-4'!G194="-"),"-",SUM('A-4'!G100,'A-4'!G147,'A-4'!G194))</f>
        <v>23341</v>
      </c>
      <c r="H99" s="200">
        <f>IF(AND('A-4'!H100="-",'A-4'!H147="-",'A-4'!H194="-"),"-",SUM('A-4'!H100,'A-4'!H147,'A-4'!H194))</f>
        <v>23357</v>
      </c>
      <c r="I99" s="200">
        <f>IF(AND('A-4'!I100="-",'A-4'!I147="-",'A-4'!I194="-"),"-",SUM('A-4'!I100,'A-4'!I147,'A-4'!I194))</f>
        <v>16103</v>
      </c>
      <c r="J99" s="200">
        <f>IF(AND('A-4'!J100="-",'A-4'!J147="-",'A-4'!J194="-"),"-",SUM('A-4'!J100,'A-4'!J147,'A-4'!J194))</f>
        <v>10415</v>
      </c>
      <c r="K99" s="200">
        <f>IF(AND('A-4'!K100="-",'A-4'!K147="-",'A-4'!K194="-"),"-",SUM('A-4'!K100,'A-4'!K147,'A-4'!K194))</f>
        <v>3025</v>
      </c>
      <c r="L99" s="200">
        <f>IF(AND('A-4'!L100="-",'A-4'!L147="-",'A-4'!L194="-"),"-",SUM('A-4'!L100,'A-4'!L147,'A-4'!L194))</f>
        <v>131827</v>
      </c>
    </row>
    <row r="100" spans="1:12" ht="11.25" customHeight="1" x14ac:dyDescent="0.25">
      <c r="A100" s="383">
        <v>1978</v>
      </c>
      <c r="B100" s="200">
        <f>IF(AND('A-4'!B101="-",'A-4'!B148="-",'A-4'!B195="-"),"-",SUM('A-4'!B101,'A-4'!B148,'A-4'!B195))</f>
        <v>19152</v>
      </c>
      <c r="C100" s="200">
        <f>IF(AND('A-4'!C101="-",'A-4'!C148="-",'A-4'!C195="-"),"-",SUM('A-4'!C101,'A-4'!C148,'A-4'!C195))</f>
        <v>13387</v>
      </c>
      <c r="D100" s="200">
        <f>IF(AND('A-4'!D101="-",'A-4'!D148="-",'A-4'!D195="-"),"-",SUM('A-4'!D101,'A-4'!D148,'A-4'!D195))</f>
        <v>2911</v>
      </c>
      <c r="E100" s="200">
        <f>IF(AND('A-4'!E101="-",'A-4'!E148="-",'A-4'!E195="-"),"-",SUM('A-4'!E101,'A-4'!E148,'A-4'!E195))</f>
        <v>2249</v>
      </c>
      <c r="F100" s="200">
        <f>IF(AND('A-4'!F101="-",'A-4'!F148="-",'A-4'!F195="-"),"-",SUM('A-4'!F101,'A-4'!F148,'A-4'!F195))</f>
        <v>7628</v>
      </c>
      <c r="G100" s="200">
        <f>IF(AND('A-4'!G101="-",'A-4'!G148="-",'A-4'!G195="-"),"-",SUM('A-4'!G101,'A-4'!G148,'A-4'!G195))</f>
        <v>20990</v>
      </c>
      <c r="H100" s="200">
        <f>IF(AND('A-4'!H101="-",'A-4'!H148="-",'A-4'!H195="-"),"-",SUM('A-4'!H101,'A-4'!H148,'A-4'!H195))</f>
        <v>15416</v>
      </c>
      <c r="I100" s="200">
        <f>IF(AND('A-4'!I101="-",'A-4'!I148="-",'A-4'!I195="-"),"-",SUM('A-4'!I101,'A-4'!I148,'A-4'!I195))</f>
        <v>16290</v>
      </c>
      <c r="J100" s="200">
        <f>IF(AND('A-4'!J101="-",'A-4'!J148="-",'A-4'!J195="-"),"-",SUM('A-4'!J101,'A-4'!J148,'A-4'!J195))</f>
        <v>8314</v>
      </c>
      <c r="K100" s="200">
        <f>IF(AND('A-4'!K101="-",'A-4'!K148="-",'A-4'!K195="-"),"-",SUM('A-4'!K101,'A-4'!K148,'A-4'!K195))</f>
        <v>5827</v>
      </c>
      <c r="L100" s="200">
        <f>IF(AND('A-4'!L101="-",'A-4'!L148="-",'A-4'!L195="-"),"-",SUM('A-4'!L101,'A-4'!L148,'A-4'!L195))</f>
        <v>112164</v>
      </c>
    </row>
    <row r="101" spans="1:12" ht="11.25" customHeight="1" x14ac:dyDescent="0.25">
      <c r="A101" s="383">
        <v>1979</v>
      </c>
      <c r="B101" s="200">
        <f>IF(AND('A-4'!B102="-",'A-4'!B149="-",'A-4'!B196="-"),"-",SUM('A-4'!B102,'A-4'!B149,'A-4'!B196))</f>
        <v>8685</v>
      </c>
      <c r="C101" s="200">
        <f>IF(AND('A-4'!C102="-",'A-4'!C149="-",'A-4'!C196="-"),"-",SUM('A-4'!C102,'A-4'!C149,'A-4'!C196))</f>
        <v>14396</v>
      </c>
      <c r="D101" s="200">
        <f>IF(AND('A-4'!D102="-",'A-4'!D149="-",'A-4'!D196="-"),"-",SUM('A-4'!D102,'A-4'!D149,'A-4'!D196))</f>
        <v>11641</v>
      </c>
      <c r="E101" s="200">
        <f>IF(AND('A-4'!E102="-",'A-4'!E149="-",'A-4'!E196="-"),"-",SUM('A-4'!E102,'A-4'!E149,'A-4'!E196))</f>
        <v>8574</v>
      </c>
      <c r="F101" s="200">
        <f>IF(AND('A-4'!F102="-",'A-4'!F149="-",'A-4'!F196="-"),"-",SUM('A-4'!F102,'A-4'!F149,'A-4'!F196))</f>
        <v>16894</v>
      </c>
      <c r="G101" s="200">
        <f>IF(AND('A-4'!G102="-",'A-4'!G149="-",'A-4'!G196="-"),"-",SUM('A-4'!G102,'A-4'!G149,'A-4'!G196))</f>
        <v>21343</v>
      </c>
      <c r="H101" s="200">
        <f>IF(AND('A-4'!H102="-",'A-4'!H149="-",'A-4'!H196="-"),"-",SUM('A-4'!H102,'A-4'!H149,'A-4'!H196))</f>
        <v>22587</v>
      </c>
      <c r="I101" s="200">
        <f>IF(AND('A-4'!I102="-",'A-4'!I149="-",'A-4'!I196="-"),"-",SUM('A-4'!I102,'A-4'!I149,'A-4'!I196))</f>
        <v>14397</v>
      </c>
      <c r="J101" s="200">
        <f>IF(AND('A-4'!J102="-",'A-4'!J149="-",'A-4'!J196="-"),"-",SUM('A-4'!J102,'A-4'!J149,'A-4'!J196))</f>
        <v>5470</v>
      </c>
      <c r="K101" s="200" t="str">
        <f>IF(AND('A-4'!K102="-",'A-4'!K149="-",'A-4'!K196="-"),"-",SUM('A-4'!K102,'A-4'!K149,'A-4'!K196))</f>
        <v>-</v>
      </c>
      <c r="L101" s="200">
        <f>IF(AND('A-4'!L102="-",'A-4'!L149="-",'A-4'!L196="-"),"-",SUM('A-4'!L102,'A-4'!L149,'A-4'!L196))</f>
        <v>123987</v>
      </c>
    </row>
    <row r="102" spans="1:12" ht="11.25" customHeight="1" x14ac:dyDescent="0.25">
      <c r="A102" s="383">
        <v>1980</v>
      </c>
      <c r="B102" s="200">
        <f>IF(AND('A-4'!B103="-",'A-4'!B150="-",'A-4'!B197="-"),"-",SUM('A-4'!B103,'A-4'!B150,'A-4'!B197))</f>
        <v>3464</v>
      </c>
      <c r="C102" s="200">
        <f>IF(AND('A-4'!C103="-",'A-4'!C150="-",'A-4'!C197="-"),"-",SUM('A-4'!C103,'A-4'!C150,'A-4'!C197))</f>
        <v>17417</v>
      </c>
      <c r="D102" s="200">
        <f>IF(AND('A-4'!D103="-",'A-4'!D150="-",'A-4'!D197="-"),"-",SUM('A-4'!D103,'A-4'!D150,'A-4'!D197))</f>
        <v>10048</v>
      </c>
      <c r="E102" s="200">
        <f>IF(AND('A-4'!E103="-",'A-4'!E150="-",'A-4'!E197="-"),"-",SUM('A-4'!E103,'A-4'!E150,'A-4'!E197))</f>
        <v>9859</v>
      </c>
      <c r="F102" s="200">
        <f>IF(AND('A-4'!F103="-",'A-4'!F150="-",'A-4'!F197="-"),"-",SUM('A-4'!F103,'A-4'!F150,'A-4'!F197))</f>
        <v>15504</v>
      </c>
      <c r="G102" s="200">
        <f>IF(AND('A-4'!G103="-",'A-4'!G150="-",'A-4'!G197="-"),"-",SUM('A-4'!G103,'A-4'!G150,'A-4'!G197))</f>
        <v>19676</v>
      </c>
      <c r="H102" s="200">
        <f>IF(AND('A-4'!H103="-",'A-4'!H150="-",'A-4'!H197="-"),"-",SUM('A-4'!H103,'A-4'!H150,'A-4'!H197))</f>
        <v>13694</v>
      </c>
      <c r="I102" s="200">
        <f>IF(AND('A-4'!I103="-",'A-4'!I150="-",'A-4'!I197="-"),"-",SUM('A-4'!I103,'A-4'!I150,'A-4'!I197))</f>
        <v>9378</v>
      </c>
      <c r="J102" s="200">
        <f>IF(AND('A-4'!J103="-",'A-4'!J150="-",'A-4'!J197="-"),"-",SUM('A-4'!J103,'A-4'!J150,'A-4'!J197))</f>
        <v>3035</v>
      </c>
      <c r="K102" s="200" t="str">
        <f>IF(AND('A-4'!K103="-",'A-4'!K150="-",'A-4'!K197="-"),"-",SUM('A-4'!K103,'A-4'!K150,'A-4'!K197))</f>
        <v>-</v>
      </c>
      <c r="L102" s="200">
        <f>IF(AND('A-4'!L103="-",'A-4'!L150="-",'A-4'!L197="-"),"-",SUM('A-4'!L103,'A-4'!L150,'A-4'!L197))</f>
        <v>102075</v>
      </c>
    </row>
    <row r="103" spans="1:12" ht="11.25" customHeight="1" x14ac:dyDescent="0.25">
      <c r="A103" s="383">
        <v>1981</v>
      </c>
      <c r="B103" s="200">
        <f>IF(AND('A-4'!B104="-",'A-4'!B151="-",'A-4'!B198="-"),"-",SUM('A-4'!B104,'A-4'!B151,'A-4'!B198))</f>
        <v>5159</v>
      </c>
      <c r="C103" s="200">
        <f>IF(AND('A-4'!C104="-",'A-4'!C151="-",'A-4'!C198="-"),"-",SUM('A-4'!C104,'A-4'!C151,'A-4'!C198))</f>
        <v>5954</v>
      </c>
      <c r="D103" s="200">
        <f>IF(AND('A-4'!D104="-",'A-4'!D151="-",'A-4'!D198="-"),"-",SUM('A-4'!D104,'A-4'!D151,'A-4'!D198))</f>
        <v>10609</v>
      </c>
      <c r="E103" s="200">
        <f>IF(AND('A-4'!E104="-",'A-4'!E151="-",'A-4'!E198="-"),"-",SUM('A-4'!E104,'A-4'!E151,'A-4'!E198))</f>
        <v>5270</v>
      </c>
      <c r="F103" s="200">
        <f>IF(AND('A-4'!F104="-",'A-4'!F151="-",'A-4'!F198="-"),"-",SUM('A-4'!F104,'A-4'!F151,'A-4'!F198))</f>
        <v>12409</v>
      </c>
      <c r="G103" s="200">
        <f>IF(AND('A-4'!G104="-",'A-4'!G151="-",'A-4'!G198="-"),"-",SUM('A-4'!G104,'A-4'!G151,'A-4'!G198))</f>
        <v>20169</v>
      </c>
      <c r="H103" s="200">
        <f>IF(AND('A-4'!H104="-",'A-4'!H151="-",'A-4'!H198="-"),"-",SUM('A-4'!H104,'A-4'!H151,'A-4'!H198))</f>
        <v>16115</v>
      </c>
      <c r="I103" s="200">
        <f>IF(AND('A-4'!I104="-",'A-4'!I151="-",'A-4'!I198="-"),"-",SUM('A-4'!I104,'A-4'!I151,'A-4'!I198))</f>
        <v>8592</v>
      </c>
      <c r="J103" s="200">
        <f>IF(AND('A-4'!J104="-",'A-4'!J151="-",'A-4'!J198="-"),"-",SUM('A-4'!J104,'A-4'!J151,'A-4'!J198))</f>
        <v>5677</v>
      </c>
      <c r="K103" s="200">
        <f>IF(AND('A-4'!K104="-",'A-4'!K151="-",'A-4'!K198="-"),"-",SUM('A-4'!K104,'A-4'!K151,'A-4'!K198))</f>
        <v>1660</v>
      </c>
      <c r="L103" s="200">
        <f>IF(AND('A-4'!L104="-",'A-4'!L151="-",'A-4'!L198="-"),"-",SUM('A-4'!L104,'A-4'!L151,'A-4'!L198))</f>
        <v>91614</v>
      </c>
    </row>
    <row r="104" spans="1:12" ht="11.25" customHeight="1" x14ac:dyDescent="0.25">
      <c r="A104" s="383">
        <v>1982</v>
      </c>
      <c r="B104" s="200">
        <f>IF(AND('A-4'!B105="-",'A-4'!B152="-",'A-4'!B199="-"),"-",SUM('A-4'!B105,'A-4'!B152,'A-4'!B199))</f>
        <v>7355</v>
      </c>
      <c r="C104" s="200">
        <f>IF(AND('A-4'!C105="-",'A-4'!C152="-",'A-4'!C199="-"),"-",SUM('A-4'!C105,'A-4'!C152,'A-4'!C199))</f>
        <v>12371</v>
      </c>
      <c r="D104" s="200">
        <f>IF(AND('A-4'!D105="-",'A-4'!D152="-",'A-4'!D199="-"),"-",SUM('A-4'!D105,'A-4'!D152,'A-4'!D199))</f>
        <v>8257</v>
      </c>
      <c r="E104" s="200">
        <f>IF(AND('A-4'!E105="-",'A-4'!E152="-",'A-4'!E199="-"),"-",SUM('A-4'!E105,'A-4'!E152,'A-4'!E199))</f>
        <v>9849</v>
      </c>
      <c r="F104" s="200">
        <f>IF(AND('A-4'!F105="-",'A-4'!F152="-",'A-4'!F199="-"),"-",SUM('A-4'!F105,'A-4'!F152,'A-4'!F199))</f>
        <v>13786</v>
      </c>
      <c r="G104" s="200">
        <f>IF(AND('A-4'!G105="-",'A-4'!G152="-",'A-4'!G199="-"),"-",SUM('A-4'!G105,'A-4'!G152,'A-4'!G199))</f>
        <v>23887</v>
      </c>
      <c r="H104" s="200">
        <f>IF(AND('A-4'!H105="-",'A-4'!H152="-",'A-4'!H199="-"),"-",SUM('A-4'!H105,'A-4'!H152,'A-4'!H199))</f>
        <v>22612</v>
      </c>
      <c r="I104" s="200">
        <f>IF(AND('A-4'!I105="-",'A-4'!I152="-",'A-4'!I199="-"),"-",SUM('A-4'!I105,'A-4'!I152,'A-4'!I199))</f>
        <v>13071</v>
      </c>
      <c r="J104" s="200">
        <f>IF(AND('A-4'!J105="-",'A-4'!J152="-",'A-4'!J199="-"),"-",SUM('A-4'!J105,'A-4'!J152,'A-4'!J199))</f>
        <v>9544</v>
      </c>
      <c r="K104" s="200">
        <f>IF(AND('A-4'!K105="-",'A-4'!K152="-",'A-4'!K199="-"),"-",SUM('A-4'!K105,'A-4'!K152,'A-4'!K199))</f>
        <v>2675</v>
      </c>
      <c r="L104" s="200">
        <f>IF(AND('A-4'!L105="-",'A-4'!L152="-",'A-4'!L199="-"),"-",SUM('A-4'!L105,'A-4'!L152,'A-4'!L199))</f>
        <v>123407</v>
      </c>
    </row>
    <row r="105" spans="1:12" ht="11.25" customHeight="1" x14ac:dyDescent="0.25">
      <c r="A105" s="383">
        <v>1983</v>
      </c>
      <c r="B105" s="200">
        <f>IF(AND('A-4'!B106="-",'A-4'!B153="-",'A-4'!B200="-"),"-",SUM('A-4'!B106,'A-4'!B153,'A-4'!B200))</f>
        <v>2091</v>
      </c>
      <c r="C105" s="200">
        <f>IF(AND('A-4'!C106="-",'A-4'!C153="-",'A-4'!C200="-"),"-",SUM('A-4'!C106,'A-4'!C153,'A-4'!C200))</f>
        <v>2354</v>
      </c>
      <c r="D105" s="200">
        <f>IF(AND('A-4'!D106="-",'A-4'!D153="-",'A-4'!D200="-"),"-",SUM('A-4'!D106,'A-4'!D153,'A-4'!D200))</f>
        <v>6579</v>
      </c>
      <c r="E105" s="200">
        <f>IF(AND('A-4'!E106="-",'A-4'!E153="-",'A-4'!E200="-"),"-",SUM('A-4'!E106,'A-4'!E153,'A-4'!E200))</f>
        <v>10387</v>
      </c>
      <c r="F105" s="200">
        <f>IF(AND('A-4'!F106="-",'A-4'!F153="-",'A-4'!F200="-"),"-",SUM('A-4'!F106,'A-4'!F153,'A-4'!F200))</f>
        <v>12143</v>
      </c>
      <c r="G105" s="200">
        <f>IF(AND('A-4'!G106="-",'A-4'!G153="-",'A-4'!G200="-"),"-",SUM('A-4'!G106,'A-4'!G153,'A-4'!G200))</f>
        <v>20591</v>
      </c>
      <c r="H105" s="200">
        <f>IF(AND('A-4'!H106="-",'A-4'!H153="-",'A-4'!H200="-"),"-",SUM('A-4'!H106,'A-4'!H153,'A-4'!H200))</f>
        <v>11405</v>
      </c>
      <c r="I105" s="200">
        <f>IF(AND('A-4'!I106="-",'A-4'!I153="-",'A-4'!I200="-"),"-",SUM('A-4'!I106,'A-4'!I153,'A-4'!I200))</f>
        <v>7171</v>
      </c>
      <c r="J105" s="200">
        <f>IF(AND('A-4'!J106="-",'A-4'!J153="-",'A-4'!J200="-"),"-",SUM('A-4'!J106,'A-4'!J153,'A-4'!J200))</f>
        <v>5330</v>
      </c>
      <c r="K105" s="200">
        <f>IF(AND('A-4'!K106="-",'A-4'!K153="-",'A-4'!K200="-"),"-",SUM('A-4'!K106,'A-4'!K153,'A-4'!K200))</f>
        <v>101</v>
      </c>
      <c r="L105" s="200">
        <f>IF(AND('A-4'!L106="-",'A-4'!L153="-",'A-4'!L200="-"),"-",SUM('A-4'!L106,'A-4'!L153,'A-4'!L200))</f>
        <v>78152</v>
      </c>
    </row>
    <row r="106" spans="1:12" ht="11.25" customHeight="1" x14ac:dyDescent="0.25">
      <c r="A106" s="383">
        <v>1984</v>
      </c>
      <c r="B106" s="200">
        <f>IF(AND('A-4'!B107="-",'A-4'!B154="-",'A-4'!B201="-"),"-",SUM('A-4'!B107,'A-4'!B154,'A-4'!B201))</f>
        <v>1916</v>
      </c>
      <c r="C106" s="200">
        <f>IF(AND('A-4'!C107="-",'A-4'!C154="-",'A-4'!C201="-"),"-",SUM('A-4'!C107,'A-4'!C154,'A-4'!C201))</f>
        <v>2166</v>
      </c>
      <c r="D106" s="200">
        <f>IF(AND('A-4'!D107="-",'A-4'!D154="-",'A-4'!D201="-"),"-",SUM('A-4'!D107,'A-4'!D154,'A-4'!D201))</f>
        <v>6475</v>
      </c>
      <c r="E106" s="200">
        <f>IF(AND('A-4'!E107="-",'A-4'!E154="-",'A-4'!E201="-"),"-",SUM('A-4'!E107,'A-4'!E154,'A-4'!E201))</f>
        <v>9369</v>
      </c>
      <c r="F106" s="200">
        <f>IF(AND('A-4'!F107="-",'A-4'!F154="-",'A-4'!F201="-"),"-",SUM('A-4'!F107,'A-4'!F154,'A-4'!F201))</f>
        <v>13845</v>
      </c>
      <c r="G106" s="200">
        <f>IF(AND('A-4'!G107="-",'A-4'!G154="-",'A-4'!G201="-"),"-",SUM('A-4'!G107,'A-4'!G154,'A-4'!G201))</f>
        <v>21292</v>
      </c>
      <c r="H106" s="200">
        <f>IF(AND('A-4'!H107="-",'A-4'!H154="-",'A-4'!H201="-"),"-",SUM('A-4'!H107,'A-4'!H154,'A-4'!H201))</f>
        <v>16078</v>
      </c>
      <c r="I106" s="200">
        <f>IF(AND('A-4'!I107="-",'A-4'!I154="-",'A-4'!I201="-"),"-",SUM('A-4'!I107,'A-4'!I154,'A-4'!I201))</f>
        <v>8978</v>
      </c>
      <c r="J106" s="200">
        <f>IF(AND('A-4'!J107="-",'A-4'!J154="-",'A-4'!J201="-"),"-",SUM('A-4'!J107,'A-4'!J154,'A-4'!J201))</f>
        <v>3461</v>
      </c>
      <c r="K106" s="200">
        <f>IF(AND('A-4'!K107="-",'A-4'!K154="-",'A-4'!K201="-"),"-",SUM('A-4'!K107,'A-4'!K154,'A-4'!K201))</f>
        <v>772</v>
      </c>
      <c r="L106" s="200">
        <f>IF(AND('A-4'!L107="-",'A-4'!L154="-",'A-4'!L201="-"),"-",SUM('A-4'!L107,'A-4'!L154,'A-4'!L201))</f>
        <v>84352</v>
      </c>
    </row>
    <row r="107" spans="1:12" ht="11.25" customHeight="1" x14ac:dyDescent="0.25">
      <c r="A107" s="383">
        <v>1985</v>
      </c>
      <c r="B107" s="200">
        <f>IF(AND('A-4'!B108="-",'A-4'!B155="-",'A-4'!B202="-"),"-",SUM('A-4'!B108,'A-4'!B155,'A-4'!B202))</f>
        <v>9012</v>
      </c>
      <c r="C107" s="200">
        <f>IF(AND('A-4'!C108="-",'A-4'!C155="-",'A-4'!C202="-"),"-",SUM('A-4'!C108,'A-4'!C155,'A-4'!C202))</f>
        <v>16882</v>
      </c>
      <c r="D107" s="200">
        <f>IF(AND('A-4'!D108="-",'A-4'!D155="-",'A-4'!D202="-"),"-",SUM('A-4'!D108,'A-4'!D155,'A-4'!D202))</f>
        <v>11936</v>
      </c>
      <c r="E107" s="200">
        <f>IF(AND('A-4'!E108="-",'A-4'!E155="-",'A-4'!E202="-"),"-",SUM('A-4'!E108,'A-4'!E155,'A-4'!E202))</f>
        <v>9615</v>
      </c>
      <c r="F107" s="200">
        <f>IF(AND('A-4'!F108="-",'A-4'!F155="-",'A-4'!F202="-"),"-",SUM('A-4'!F108,'A-4'!F155,'A-4'!F202))</f>
        <v>19523</v>
      </c>
      <c r="G107" s="200">
        <f>IF(AND('A-4'!G108="-",'A-4'!G155="-",'A-4'!G202="-"),"-",SUM('A-4'!G108,'A-4'!G155,'A-4'!G202))</f>
        <v>24250</v>
      </c>
      <c r="H107" s="200">
        <f>IF(AND('A-4'!H108="-",'A-4'!H155="-",'A-4'!H202="-"),"-",SUM('A-4'!H108,'A-4'!H155,'A-4'!H202))</f>
        <v>18493</v>
      </c>
      <c r="I107" s="200">
        <f>IF(AND('A-4'!I108="-",'A-4'!I155="-",'A-4'!I202="-"),"-",SUM('A-4'!I108,'A-4'!I155,'A-4'!I202))</f>
        <v>10153</v>
      </c>
      <c r="J107" s="200">
        <f>IF(AND('A-4'!J108="-",'A-4'!J155="-",'A-4'!J202="-"),"-",SUM('A-4'!J108,'A-4'!J155,'A-4'!J202))</f>
        <v>4230</v>
      </c>
      <c r="K107" s="200">
        <f>IF(AND('A-4'!K108="-",'A-4'!K155="-",'A-4'!K202="-"),"-",SUM('A-4'!K108,'A-4'!K155,'A-4'!K202))</f>
        <v>1924</v>
      </c>
      <c r="L107" s="200">
        <f>IF(AND('A-4'!L108="-",'A-4'!L155="-",'A-4'!L202="-"),"-",SUM('A-4'!L108,'A-4'!L155,'A-4'!L202))</f>
        <v>126018</v>
      </c>
    </row>
    <row r="108" spans="1:12" ht="11.25" customHeight="1" x14ac:dyDescent="0.25">
      <c r="A108" s="383">
        <v>1986</v>
      </c>
      <c r="B108" s="200">
        <f>IF(AND('A-4'!B109="-",'A-4'!B156="-",'A-4'!B203="-"),"-",SUM('A-4'!B109,'A-4'!B156,'A-4'!B203))</f>
        <v>2129</v>
      </c>
      <c r="C108" s="200">
        <f>IF(AND('A-4'!C109="-",'A-4'!C156="-",'A-4'!C203="-"),"-",SUM('A-4'!C109,'A-4'!C156,'A-4'!C203))</f>
        <v>13939</v>
      </c>
      <c r="D108" s="200">
        <f>IF(AND('A-4'!D109="-",'A-4'!D156="-",'A-4'!D203="-"),"-",SUM('A-4'!D109,'A-4'!D156,'A-4'!D203))</f>
        <v>18354</v>
      </c>
      <c r="E108" s="200">
        <f>IF(AND('A-4'!E109="-",'A-4'!E156="-",'A-4'!E203="-"),"-",SUM('A-4'!E109,'A-4'!E156,'A-4'!E203))</f>
        <v>12764</v>
      </c>
      <c r="F108" s="200">
        <f>IF(AND('A-4'!F109="-",'A-4'!F156="-",'A-4'!F203="-"),"-",SUM('A-4'!F109,'A-4'!F156,'A-4'!F203))</f>
        <v>22498</v>
      </c>
      <c r="G108" s="200">
        <f>IF(AND('A-4'!G109="-",'A-4'!G156="-",'A-4'!G203="-"),"-",SUM('A-4'!G109,'A-4'!G156,'A-4'!G203))</f>
        <v>34860</v>
      </c>
      <c r="H108" s="200">
        <f>IF(AND('A-4'!H109="-",'A-4'!H156="-",'A-4'!H203="-"),"-",SUM('A-4'!H109,'A-4'!H156,'A-4'!H203))</f>
        <v>23236</v>
      </c>
      <c r="I108" s="200">
        <f>IF(AND('A-4'!I109="-",'A-4'!I156="-",'A-4'!I203="-"),"-",SUM('A-4'!I109,'A-4'!I156,'A-4'!I203))</f>
        <v>7674</v>
      </c>
      <c r="J108" s="200">
        <f>IF(AND('A-4'!J109="-",'A-4'!J156="-",'A-4'!J203="-"),"-",SUM('A-4'!J109,'A-4'!J156,'A-4'!J203))</f>
        <v>4807</v>
      </c>
      <c r="K108" s="200">
        <f>IF(AND('A-4'!K109="-",'A-4'!K156="-",'A-4'!K203="-"),"-",SUM('A-4'!K109,'A-4'!K156,'A-4'!K203))</f>
        <v>885</v>
      </c>
      <c r="L108" s="200">
        <f>IF(AND('A-4'!L109="-",'A-4'!L156="-",'A-4'!L203="-"),"-",SUM('A-4'!L109,'A-4'!L156,'A-4'!L203))</f>
        <v>141146</v>
      </c>
    </row>
    <row r="109" spans="1:12" ht="11.25" customHeight="1" x14ac:dyDescent="0.25">
      <c r="A109" s="383">
        <v>1987</v>
      </c>
      <c r="B109" s="200">
        <f>IF(AND('A-4'!B110="-",'A-4'!B157="-",'A-4'!B204="-"),"-",SUM('A-4'!B110,'A-4'!B157,'A-4'!B204))</f>
        <v>8638</v>
      </c>
      <c r="C109" s="200">
        <f>IF(AND('A-4'!C110="-",'A-4'!C157="-",'A-4'!C204="-"),"-",SUM('A-4'!C110,'A-4'!C157,'A-4'!C204))</f>
        <v>18933</v>
      </c>
      <c r="D109" s="200">
        <f>IF(AND('A-4'!D110="-",'A-4'!D157="-",'A-4'!D204="-"),"-",SUM('A-4'!D110,'A-4'!D157,'A-4'!D204))</f>
        <v>17577</v>
      </c>
      <c r="E109" s="200">
        <f>IF(AND('A-4'!E110="-",'A-4'!E157="-",'A-4'!E204="-"),"-",SUM('A-4'!E110,'A-4'!E157,'A-4'!E204))</f>
        <v>13597</v>
      </c>
      <c r="F109" s="200">
        <f>IF(AND('A-4'!F110="-",'A-4'!F157="-",'A-4'!F204="-"),"-",SUM('A-4'!F110,'A-4'!F157,'A-4'!F204))</f>
        <v>17782</v>
      </c>
      <c r="G109" s="200">
        <f>IF(AND('A-4'!G110="-",'A-4'!G157="-",'A-4'!G204="-"),"-",SUM('A-4'!G110,'A-4'!G157,'A-4'!G204))</f>
        <v>38125</v>
      </c>
      <c r="H109" s="200">
        <f>IF(AND('A-4'!H110="-",'A-4'!H157="-",'A-4'!H204="-"),"-",SUM('A-4'!H110,'A-4'!H157,'A-4'!H204))</f>
        <v>31688</v>
      </c>
      <c r="I109" s="200">
        <f>IF(AND('A-4'!I110="-",'A-4'!I157="-",'A-4'!I204="-"),"-",SUM('A-4'!I110,'A-4'!I157,'A-4'!I204))</f>
        <v>14718</v>
      </c>
      <c r="J109" s="200">
        <f>IF(AND('A-4'!J110="-",'A-4'!J157="-",'A-4'!J204="-"),"-",SUM('A-4'!J110,'A-4'!J157,'A-4'!J204))</f>
        <v>7342</v>
      </c>
      <c r="K109" s="200">
        <f>IF(AND('A-4'!K110="-",'A-4'!K157="-",'A-4'!K204="-"),"-",SUM('A-4'!K110,'A-4'!K157,'A-4'!K204))</f>
        <v>1662</v>
      </c>
      <c r="L109" s="200">
        <f>IF(AND('A-4'!L110="-",'A-4'!L157="-",'A-4'!L204="-"),"-",SUM('A-4'!L110,'A-4'!L157,'A-4'!L204))</f>
        <v>170062</v>
      </c>
    </row>
    <row r="110" spans="1:12" ht="11.25" customHeight="1" x14ac:dyDescent="0.25">
      <c r="A110" s="383">
        <v>1988</v>
      </c>
      <c r="B110" s="200">
        <f>IF(AND('A-4'!B111="-",'A-4'!B158="-",'A-4'!B205="-"),"-",SUM('A-4'!B111,'A-4'!B158,'A-4'!B205))</f>
        <v>10596</v>
      </c>
      <c r="C110" s="200">
        <f>IF(AND('A-4'!C111="-",'A-4'!C158="-",'A-4'!C205="-"),"-",SUM('A-4'!C111,'A-4'!C158,'A-4'!C205))</f>
        <v>16108</v>
      </c>
      <c r="D110" s="200">
        <f>IF(AND('A-4'!D111="-",'A-4'!D158="-",'A-4'!D205="-"),"-",SUM('A-4'!D111,'A-4'!D158,'A-4'!D205))</f>
        <v>18934</v>
      </c>
      <c r="E110" s="200">
        <f>IF(AND('A-4'!E111="-",'A-4'!E158="-",'A-4'!E205="-"),"-",SUM('A-4'!E111,'A-4'!E158,'A-4'!E205))</f>
        <v>19947</v>
      </c>
      <c r="F110" s="200">
        <f>IF(AND('A-4'!F111="-",'A-4'!F158="-",'A-4'!F205="-"),"-",SUM('A-4'!F111,'A-4'!F158,'A-4'!F205))</f>
        <v>27525</v>
      </c>
      <c r="G110" s="200">
        <f>IF(AND('A-4'!G111="-",'A-4'!G158="-",'A-4'!G205="-"),"-",SUM('A-4'!G111,'A-4'!G158,'A-4'!G205))</f>
        <v>38347</v>
      </c>
      <c r="H110" s="200">
        <f>IF(AND('A-4'!H111="-",'A-4'!H158="-",'A-4'!H205="-"),"-",SUM('A-4'!H111,'A-4'!H158,'A-4'!H205))</f>
        <v>20667</v>
      </c>
      <c r="I110" s="200">
        <f>IF(AND('A-4'!I111="-",'A-4'!I158="-",'A-4'!I205="-"),"-",SUM('A-4'!I111,'A-4'!I158,'A-4'!I205))</f>
        <v>9751</v>
      </c>
      <c r="J110" s="200">
        <f>IF(AND('A-4'!J111="-",'A-4'!J158="-",'A-4'!J205="-"),"-",SUM('A-4'!J111,'A-4'!J158,'A-4'!J205))</f>
        <v>3826</v>
      </c>
      <c r="K110" s="200">
        <f>IF(AND('A-4'!K111="-",'A-4'!K158="-",'A-4'!K205="-"),"-",SUM('A-4'!K111,'A-4'!K158,'A-4'!K205))</f>
        <v>42</v>
      </c>
      <c r="L110" s="200">
        <f>IF(AND('A-4'!L111="-",'A-4'!L158="-",'A-4'!L205="-"),"-",SUM('A-4'!L111,'A-4'!L158,'A-4'!L205))</f>
        <v>165743</v>
      </c>
    </row>
    <row r="111" spans="1:12" ht="11.25" customHeight="1" x14ac:dyDescent="0.25">
      <c r="A111" s="383">
        <v>1989</v>
      </c>
      <c r="B111" s="200">
        <f>IF(AND('A-4'!B112="-",'A-4'!B159="-",'A-4'!B206="-"),"-",SUM('A-4'!B112,'A-4'!B159,'A-4'!B206))</f>
        <v>9830</v>
      </c>
      <c r="C111" s="200">
        <f>IF(AND('A-4'!C112="-",'A-4'!C159="-",'A-4'!C206="-"),"-",SUM('A-4'!C112,'A-4'!C159,'A-4'!C206))</f>
        <v>15912</v>
      </c>
      <c r="D111" s="200">
        <f>IF(AND('A-4'!D112="-",'A-4'!D159="-",'A-4'!D206="-"),"-",SUM('A-4'!D112,'A-4'!D159,'A-4'!D206))</f>
        <v>35010</v>
      </c>
      <c r="E111" s="200">
        <f>IF(AND('A-4'!E112="-",'A-4'!E159="-",'A-4'!E206="-"),"-",SUM('A-4'!E112,'A-4'!E159,'A-4'!E206))</f>
        <v>14205</v>
      </c>
      <c r="F111" s="200">
        <f>IF(AND('A-4'!F112="-",'A-4'!F159="-",'A-4'!F206="-"),"-",SUM('A-4'!F112,'A-4'!F159,'A-4'!F206))</f>
        <v>22909</v>
      </c>
      <c r="G111" s="200">
        <f>IF(AND('A-4'!G112="-",'A-4'!G159="-",'A-4'!G206="-"),"-",SUM('A-4'!G112,'A-4'!G159,'A-4'!G206))</f>
        <v>30363</v>
      </c>
      <c r="H111" s="200">
        <f>IF(AND('A-4'!H112="-",'A-4'!H159="-",'A-4'!H206="-"),"-",SUM('A-4'!H112,'A-4'!H159,'A-4'!H206))</f>
        <v>22221</v>
      </c>
      <c r="I111" s="200">
        <f>IF(AND('A-4'!I112="-",'A-4'!I159="-",'A-4'!I206="-"),"-",SUM('A-4'!I112,'A-4'!I159,'A-4'!I206))</f>
        <v>11945</v>
      </c>
      <c r="J111" s="200">
        <f>IF(AND('A-4'!J112="-",'A-4'!J159="-",'A-4'!J206="-"),"-",SUM('A-4'!J112,'A-4'!J159,'A-4'!J206))</f>
        <v>4046</v>
      </c>
      <c r="K111" s="200">
        <f>IF(AND('A-4'!K112="-",'A-4'!K159="-",'A-4'!K206="-"),"-",SUM('A-4'!K112,'A-4'!K159,'A-4'!K206))</f>
        <v>1870</v>
      </c>
      <c r="L111" s="200">
        <f>IF(AND('A-4'!L112="-",'A-4'!L159="-",'A-4'!L206="-"),"-",SUM('A-4'!L112,'A-4'!L159,'A-4'!L206))</f>
        <v>168311</v>
      </c>
    </row>
    <row r="112" spans="1:12" ht="11.25" customHeight="1" x14ac:dyDescent="0.25">
      <c r="A112" s="383">
        <v>1990</v>
      </c>
      <c r="B112" s="200">
        <f>IF(AND('A-4'!B113="-",'A-4'!B160="-",'A-4'!B207="-"),"-",SUM('A-4'!B113,'A-4'!B160,'A-4'!B207))</f>
        <v>10169</v>
      </c>
      <c r="C112" s="200">
        <f>IF(AND('A-4'!C113="-",'A-4'!C160="-",'A-4'!C207="-"),"-",SUM('A-4'!C113,'A-4'!C160,'A-4'!C207))</f>
        <v>20580</v>
      </c>
      <c r="D112" s="200">
        <f>IF(AND('A-4'!D113="-",'A-4'!D160="-",'A-4'!D207="-"),"-",SUM('A-4'!D113,'A-4'!D160,'A-4'!D207))</f>
        <v>30293</v>
      </c>
      <c r="E112" s="200">
        <f>IF(AND('A-4'!E113="-",'A-4'!E160="-",'A-4'!E207="-"),"-",SUM('A-4'!E113,'A-4'!E160,'A-4'!E207))</f>
        <v>8643</v>
      </c>
      <c r="F112" s="200">
        <f>IF(AND('A-4'!F113="-",'A-4'!F160="-",'A-4'!F207="-"),"-",SUM('A-4'!F113,'A-4'!F160,'A-4'!F207))</f>
        <v>27749</v>
      </c>
      <c r="G112" s="200">
        <f>IF(AND('A-4'!G113="-",'A-4'!G160="-",'A-4'!G207="-"),"-",SUM('A-4'!G113,'A-4'!G160,'A-4'!G207))</f>
        <v>39153</v>
      </c>
      <c r="H112" s="200">
        <f>IF(AND('A-4'!H113="-",'A-4'!H160="-",'A-4'!H207="-"),"-",SUM('A-4'!H113,'A-4'!H160,'A-4'!H207))</f>
        <v>15341</v>
      </c>
      <c r="I112" s="200">
        <f>IF(AND('A-4'!I113="-",'A-4'!I160="-",'A-4'!I207="-"),"-",SUM('A-4'!I113,'A-4'!I160,'A-4'!I207))</f>
        <v>10377</v>
      </c>
      <c r="J112" s="200">
        <f>IF(AND('A-4'!J113="-",'A-4'!J160="-",'A-4'!J207="-"),"-",SUM('A-4'!J113,'A-4'!J160,'A-4'!J207))</f>
        <v>5123</v>
      </c>
      <c r="K112" s="200">
        <f>IF(AND('A-4'!K113="-",'A-4'!K160="-",'A-4'!K207="-"),"-",SUM('A-4'!K113,'A-4'!K160,'A-4'!K207))</f>
        <v>3355</v>
      </c>
      <c r="L112" s="200">
        <f>IF(AND('A-4'!L113="-",'A-4'!L160="-",'A-4'!L207="-"),"-",SUM('A-4'!L113,'A-4'!L160,'A-4'!L207))</f>
        <v>170783</v>
      </c>
    </row>
    <row r="113" spans="1:12" ht="11.25" customHeight="1" x14ac:dyDescent="0.25">
      <c r="A113" s="383">
        <v>1991</v>
      </c>
      <c r="B113" s="200">
        <f>IF(AND('A-4'!B114="-",'A-4'!B161="-",'A-4'!B208="-"),"-",SUM('A-4'!B114,'A-4'!B161,'A-4'!B208))</f>
        <v>55</v>
      </c>
      <c r="C113" s="200">
        <f>IF(AND('A-4'!C114="-",'A-4'!C161="-",'A-4'!C208="-"),"-",SUM('A-4'!C114,'A-4'!C161,'A-4'!C208))</f>
        <v>12216</v>
      </c>
      <c r="D113" s="200">
        <f>IF(AND('A-4'!D114="-",'A-4'!D161="-",'A-4'!D208="-"),"-",SUM('A-4'!D114,'A-4'!D161,'A-4'!D208))</f>
        <v>18217</v>
      </c>
      <c r="E113" s="200">
        <f>IF(AND('A-4'!E114="-",'A-4'!E161="-",'A-4'!E208="-"),"-",SUM('A-4'!E114,'A-4'!E161,'A-4'!E208))</f>
        <v>11031</v>
      </c>
      <c r="F113" s="200">
        <f>IF(AND('A-4'!F114="-",'A-4'!F161="-",'A-4'!F208="-"),"-",SUM('A-4'!F114,'A-4'!F161,'A-4'!F208))</f>
        <v>27892</v>
      </c>
      <c r="G113" s="200">
        <f>IF(AND('A-4'!G114="-",'A-4'!G161="-",'A-4'!G208="-"),"-",SUM('A-4'!G114,'A-4'!G161,'A-4'!G208))</f>
        <v>44228</v>
      </c>
      <c r="H113" s="200">
        <f>IF(AND('A-4'!H114="-",'A-4'!H161="-",'A-4'!H208="-"),"-",SUM('A-4'!H114,'A-4'!H161,'A-4'!H208))</f>
        <v>19673</v>
      </c>
      <c r="I113" s="200">
        <f>IF(AND('A-4'!I114="-",'A-4'!I161="-",'A-4'!I208="-"),"-",SUM('A-4'!I114,'A-4'!I161,'A-4'!I208))</f>
        <v>5809</v>
      </c>
      <c r="J113" s="200">
        <f>IF(AND('A-4'!J114="-",'A-4'!J161="-",'A-4'!J208="-"),"-",SUM('A-4'!J114,'A-4'!J161,'A-4'!J208))</f>
        <v>4433</v>
      </c>
      <c r="K113" s="200">
        <f>IF(AND('A-4'!K114="-",'A-4'!K161="-",'A-4'!K208="-"),"-",SUM('A-4'!K114,'A-4'!K161,'A-4'!K208))</f>
        <v>58</v>
      </c>
      <c r="L113" s="200">
        <f>IF(AND('A-4'!L114="-",'A-4'!L161="-",'A-4'!L208="-"),"-",SUM('A-4'!L114,'A-4'!L161,'A-4'!L208))</f>
        <v>143612</v>
      </c>
    </row>
    <row r="114" spans="1:12" ht="11.25" customHeight="1" x14ac:dyDescent="0.25">
      <c r="A114" s="383">
        <v>1992</v>
      </c>
      <c r="B114" s="200">
        <f>IF(AND('A-4'!B115="-",'A-4'!B162="-",'A-4'!B209="-"),"-",SUM('A-4'!B115,'A-4'!B162,'A-4'!B209))</f>
        <v>2006</v>
      </c>
      <c r="C114" s="200">
        <f>IF(AND('A-4'!C115="-",'A-4'!C162="-",'A-4'!C209="-"),"-",SUM('A-4'!C115,'A-4'!C162,'A-4'!C209))</f>
        <v>9713</v>
      </c>
      <c r="D114" s="200">
        <f>IF(AND('A-4'!D115="-",'A-4'!D162="-",'A-4'!D209="-"),"-",SUM('A-4'!D115,'A-4'!D162,'A-4'!D209))</f>
        <v>9877</v>
      </c>
      <c r="E114" s="200">
        <f>IF(AND('A-4'!E115="-",'A-4'!E162="-",'A-4'!E209="-"),"-",SUM('A-4'!E115,'A-4'!E162,'A-4'!E209))</f>
        <v>11543</v>
      </c>
      <c r="F114" s="200">
        <f>IF(AND('A-4'!F115="-",'A-4'!F162="-",'A-4'!F209="-"),"-",SUM('A-4'!F115,'A-4'!F162,'A-4'!F209))</f>
        <v>13636</v>
      </c>
      <c r="G114" s="200">
        <f>IF(AND('A-4'!G115="-",'A-4'!G162="-",'A-4'!G209="-"),"-",SUM('A-4'!G115,'A-4'!G162,'A-4'!G209))</f>
        <v>28930</v>
      </c>
      <c r="H114" s="200">
        <f>IF(AND('A-4'!H115="-",'A-4'!H162="-",'A-4'!H209="-"),"-",SUM('A-4'!H115,'A-4'!H162,'A-4'!H209))</f>
        <v>15063</v>
      </c>
      <c r="I114" s="200">
        <f>IF(AND('A-4'!I115="-",'A-4'!I162="-",'A-4'!I209="-"),"-",SUM('A-4'!I115,'A-4'!I162,'A-4'!I209))</f>
        <v>12325</v>
      </c>
      <c r="J114" s="200">
        <f>IF(AND('A-4'!J115="-",'A-4'!J162="-",'A-4'!J209="-"),"-",SUM('A-4'!J115,'A-4'!J162,'A-4'!J209))</f>
        <v>5759</v>
      </c>
      <c r="K114" s="200">
        <f>IF(AND('A-4'!K115="-",'A-4'!K162="-",'A-4'!K209="-"),"-",SUM('A-4'!K115,'A-4'!K162,'A-4'!K209))</f>
        <v>849</v>
      </c>
      <c r="L114" s="200">
        <f>IF(AND('A-4'!L115="-",'A-4'!L162="-",'A-4'!L209="-"),"-",SUM('A-4'!L115,'A-4'!L162,'A-4'!L209))</f>
        <v>109701</v>
      </c>
    </row>
    <row r="115" spans="1:12" ht="11.25" customHeight="1" x14ac:dyDescent="0.25">
      <c r="A115" s="383">
        <v>1993</v>
      </c>
      <c r="B115" s="200">
        <f>IF(AND('A-4'!B116="-",'A-4'!B163="-",'A-4'!B210="-"),"-",SUM('A-4'!B116,'A-4'!B163,'A-4'!B210))</f>
        <v>879</v>
      </c>
      <c r="C115" s="200">
        <f>IF(AND('A-4'!C116="-",'A-4'!C163="-",'A-4'!C210="-"),"-",SUM('A-4'!C116,'A-4'!C163,'A-4'!C210))</f>
        <v>15036</v>
      </c>
      <c r="D115" s="200">
        <f>IF(AND('A-4'!D116="-",'A-4'!D163="-",'A-4'!D210="-"),"-",SUM('A-4'!D116,'A-4'!D163,'A-4'!D210))</f>
        <v>17597</v>
      </c>
      <c r="E115" s="200">
        <f>IF(AND('A-4'!E116="-",'A-4'!E163="-",'A-4'!E210="-"),"-",SUM('A-4'!E116,'A-4'!E163,'A-4'!E210))</f>
        <v>15209</v>
      </c>
      <c r="F115" s="200">
        <f>IF(AND('A-4'!F116="-",'A-4'!F163="-",'A-4'!F210="-"),"-",SUM('A-4'!F116,'A-4'!F163,'A-4'!F210))</f>
        <v>12272</v>
      </c>
      <c r="G115" s="200">
        <f>IF(AND('A-4'!G116="-",'A-4'!G163="-",'A-4'!G210="-"),"-",SUM('A-4'!G116,'A-4'!G163,'A-4'!G210))</f>
        <v>42303</v>
      </c>
      <c r="H115" s="200">
        <f>IF(AND('A-4'!H116="-",'A-4'!H163="-",'A-4'!H210="-"),"-",SUM('A-4'!H116,'A-4'!H163,'A-4'!H210))</f>
        <v>25119</v>
      </c>
      <c r="I115" s="200">
        <f>IF(AND('A-4'!I116="-",'A-4'!I163="-",'A-4'!I210="-"),"-",SUM('A-4'!I116,'A-4'!I163,'A-4'!I210))</f>
        <v>8059</v>
      </c>
      <c r="J115" s="200">
        <f>IF(AND('A-4'!J116="-",'A-4'!J163="-",'A-4'!J210="-"),"-",SUM('A-4'!J116,'A-4'!J163,'A-4'!J210))</f>
        <v>4744</v>
      </c>
      <c r="K115" s="200">
        <f>IF(AND('A-4'!K116="-",'A-4'!K163="-",'A-4'!K210="-"),"-",SUM('A-4'!K116,'A-4'!K163,'A-4'!K210))</f>
        <v>0</v>
      </c>
      <c r="L115" s="200">
        <f>IF(AND('A-4'!L116="-",'A-4'!L163="-",'A-4'!L210="-"),"-",SUM('A-4'!L116,'A-4'!L163,'A-4'!L210))</f>
        <v>141218</v>
      </c>
    </row>
    <row r="116" spans="1:12" ht="11.25" customHeight="1" x14ac:dyDescent="0.25">
      <c r="A116" s="383">
        <v>1994</v>
      </c>
      <c r="B116" s="200">
        <f>IF(AND('A-4'!B117="-",'A-4'!B164="-",'A-4'!B211="-"),"-",SUM('A-4'!B117,'A-4'!B164,'A-4'!B211))</f>
        <v>3013</v>
      </c>
      <c r="C116" s="200">
        <f>IF(AND('A-4'!C117="-",'A-4'!C164="-",'A-4'!C211="-"),"-",SUM('A-4'!C117,'A-4'!C164,'A-4'!C211))</f>
        <v>15387</v>
      </c>
      <c r="D116" s="200">
        <f>IF(AND('A-4'!D117="-",'A-4'!D164="-",'A-4'!D211="-"),"-",SUM('A-4'!D117,'A-4'!D164,'A-4'!D211))</f>
        <v>19540</v>
      </c>
      <c r="E116" s="200">
        <f>IF(AND('A-4'!E117="-",'A-4'!E164="-",'A-4'!E211="-"),"-",SUM('A-4'!E117,'A-4'!E164,'A-4'!E211))</f>
        <v>17766</v>
      </c>
      <c r="F116" s="200">
        <f>IF(AND('A-4'!F117="-",'A-4'!F164="-",'A-4'!F211="-"),"-",SUM('A-4'!F117,'A-4'!F164,'A-4'!F211))</f>
        <v>34020</v>
      </c>
      <c r="G116" s="200">
        <f>IF(AND('A-4'!G117="-",'A-4'!G164="-",'A-4'!G211="-"),"-",SUM('A-4'!G117,'A-4'!G164,'A-4'!G211))</f>
        <v>44976</v>
      </c>
      <c r="H116" s="200">
        <f>IF(AND('A-4'!H117="-",'A-4'!H164="-",'A-4'!H211="-"),"-",SUM('A-4'!H117,'A-4'!H164,'A-4'!H211))</f>
        <v>28148</v>
      </c>
      <c r="I116" s="200">
        <f>IF(AND('A-4'!I117="-",'A-4'!I164="-",'A-4'!I211="-"),"-",SUM('A-4'!I117,'A-4'!I164,'A-4'!I211))</f>
        <v>13326</v>
      </c>
      <c r="J116" s="200">
        <f>IF(AND('A-4'!J117="-",'A-4'!J164="-",'A-4'!J211="-"),"-",SUM('A-4'!J117,'A-4'!J164,'A-4'!J211))</f>
        <v>9848</v>
      </c>
      <c r="K116" s="60" t="s">
        <v>116</v>
      </c>
      <c r="L116" s="200">
        <f>IF(AND('A-4'!L117="-",'A-4'!L164="-",'A-4'!L211="-"),"-",SUM('A-4'!L117,'A-4'!L164,'A-4'!L211))</f>
        <v>186024</v>
      </c>
    </row>
    <row r="117" spans="1:12" ht="11.25" customHeight="1" x14ac:dyDescent="0.25">
      <c r="A117" s="383">
        <v>1995</v>
      </c>
      <c r="B117" s="200">
        <f>IF(AND('A-4'!B118="-",'A-4'!B165="-",'A-4'!B212="-"),"-",SUM('A-4'!B118,'A-4'!B165,'A-4'!B212))</f>
        <v>360</v>
      </c>
      <c r="C117" s="200">
        <f>IF(AND('A-4'!C118="-",'A-4'!C165="-",'A-4'!C212="-"),"-",SUM('A-4'!C118,'A-4'!C165,'A-4'!C212))</f>
        <v>22917</v>
      </c>
      <c r="D117" s="200">
        <f>IF(AND('A-4'!D118="-",'A-4'!D165="-",'A-4'!D212="-"),"-",SUM('A-4'!D118,'A-4'!D165,'A-4'!D212))</f>
        <v>50164</v>
      </c>
      <c r="E117" s="200">
        <f>IF(AND('A-4'!E118="-",'A-4'!E165="-",'A-4'!E212="-"),"-",SUM('A-4'!E118,'A-4'!E165,'A-4'!E212))</f>
        <v>55349</v>
      </c>
      <c r="F117" s="200">
        <f>IF(AND('A-4'!F118="-",'A-4'!F165="-",'A-4'!F212="-"),"-",SUM('A-4'!F118,'A-4'!F165,'A-4'!F212))</f>
        <v>62214</v>
      </c>
      <c r="G117" s="200">
        <f>IF(AND('A-4'!G118="-",'A-4'!G165="-",'A-4'!G212="-"),"-",SUM('A-4'!G118,'A-4'!G165,'A-4'!G212))</f>
        <v>97536</v>
      </c>
      <c r="H117" s="200">
        <f>IF(AND('A-4'!H118="-",'A-4'!H165="-",'A-4'!H212="-"),"-",SUM('A-4'!H118,'A-4'!H165,'A-4'!H212))</f>
        <v>44412</v>
      </c>
      <c r="I117" s="200">
        <f>IF(AND('A-4'!I118="-",'A-4'!I165="-",'A-4'!I212="-"),"-",SUM('A-4'!I118,'A-4'!I165,'A-4'!I212))</f>
        <v>15948</v>
      </c>
      <c r="J117" s="200">
        <f>IF(AND('A-4'!J118="-",'A-4'!J165="-",'A-4'!J212="-"),"-",SUM('A-4'!J118,'A-4'!J165,'A-4'!J212))</f>
        <v>4911</v>
      </c>
      <c r="K117" s="60" t="s">
        <v>116</v>
      </c>
      <c r="L117" s="200">
        <f>IF(AND('A-4'!L118="-",'A-4'!L165="-",'A-4'!L212="-"),"-",SUM('A-4'!L118,'A-4'!L165,'A-4'!L212))</f>
        <v>353811</v>
      </c>
    </row>
    <row r="118" spans="1:12" ht="11.25" customHeight="1" x14ac:dyDescent="0.25">
      <c r="A118" s="383">
        <v>1996</v>
      </c>
      <c r="B118" s="200">
        <f>IF(AND('A-4'!B119="-",'A-4'!B166="-",'A-4'!B213="-"),"-",SUM('A-4'!B119,'A-4'!B166,'A-4'!B213))</f>
        <v>49</v>
      </c>
      <c r="C118" s="200">
        <f>IF(AND('A-4'!C119="-",'A-4'!C166="-",'A-4'!C213="-"),"-",SUM('A-4'!C119,'A-4'!C166,'A-4'!C213))</f>
        <v>35215</v>
      </c>
      <c r="D118" s="200">
        <f>IF(AND('A-4'!D119="-",'A-4'!D166="-",'A-4'!D213="-"),"-",SUM('A-4'!D119,'A-4'!D166,'A-4'!D213))</f>
        <v>30349</v>
      </c>
      <c r="E118" s="200">
        <f>IF(AND('A-4'!E119="-",'A-4'!E166="-",'A-4'!E213="-"),"-",SUM('A-4'!E119,'A-4'!E166,'A-4'!E213))</f>
        <v>21778</v>
      </c>
      <c r="F118" s="200">
        <f>IF(AND('A-4'!F119="-",'A-4'!F166="-",'A-4'!F213="-"),"-",SUM('A-4'!F119,'A-4'!F166,'A-4'!F213))</f>
        <v>31697</v>
      </c>
      <c r="G118" s="200">
        <f>IF(AND('A-4'!G119="-",'A-4'!G166="-",'A-4'!G213="-"),"-",SUM('A-4'!G119,'A-4'!G166,'A-4'!G213))</f>
        <v>43378</v>
      </c>
      <c r="H118" s="200">
        <f>IF(AND('A-4'!H119="-",'A-4'!H166="-",'A-4'!H213="-"),"-",SUM('A-4'!H119,'A-4'!H166,'A-4'!H213))</f>
        <v>26313</v>
      </c>
      <c r="I118" s="200">
        <f>IF(AND('A-4'!I119="-",'A-4'!I166="-",'A-4'!I213="-"),"-",SUM('A-4'!I119,'A-4'!I166,'A-4'!I213))</f>
        <v>8060</v>
      </c>
      <c r="J118" s="200">
        <f>IF(AND('A-4'!J119="-",'A-4'!J166="-",'A-4'!J213="-"),"-",SUM('A-4'!J119,'A-4'!J166,'A-4'!J213))</f>
        <v>3141</v>
      </c>
      <c r="K118" s="200">
        <f>IF(AND('A-4'!K119="-",'A-4'!K166="-",'A-4'!K213="-"),"-",SUM('A-4'!K119,'A-4'!K166,'A-4'!K213))</f>
        <v>0</v>
      </c>
      <c r="L118" s="200">
        <f>IF(AND('A-4'!L119="-",'A-4'!L166="-",'A-4'!L213="-"),"-",SUM('A-4'!L119,'A-4'!L166,'A-4'!L213))</f>
        <v>199980</v>
      </c>
    </row>
    <row r="119" spans="1:12" ht="11.25" customHeight="1" x14ac:dyDescent="0.25">
      <c r="A119" s="383">
        <v>1997</v>
      </c>
      <c r="B119" s="60" t="s">
        <v>116</v>
      </c>
      <c r="C119" s="200">
        <f>IF(AND('A-4'!C120="-",'A-4'!C167="-",'A-4'!C214="-"),"-",SUM('A-4'!C120,'A-4'!C167,'A-4'!C214))</f>
        <v>21546</v>
      </c>
      <c r="D119" s="200">
        <f>IF(AND('A-4'!D120="-",'A-4'!D167="-",'A-4'!D214="-"),"-",SUM('A-4'!D120,'A-4'!D167,'A-4'!D214))</f>
        <v>29711</v>
      </c>
      <c r="E119" s="200">
        <f>IF(AND('A-4'!E120="-",'A-4'!E167="-",'A-4'!E214="-"),"-",SUM('A-4'!E120,'A-4'!E167,'A-4'!E214))</f>
        <v>29897</v>
      </c>
      <c r="F119" s="200">
        <f>IF(AND('A-4'!F120="-",'A-4'!F167="-",'A-4'!F214="-"),"-",SUM('A-4'!F120,'A-4'!F167,'A-4'!F214))</f>
        <v>39076</v>
      </c>
      <c r="G119" s="200">
        <f>IF(AND('A-4'!G120="-",'A-4'!G167="-",'A-4'!G214="-"),"-",SUM('A-4'!G120,'A-4'!G167,'A-4'!G214))</f>
        <v>56577</v>
      </c>
      <c r="H119" s="200">
        <f>IF(AND('A-4'!H120="-",'A-4'!H167="-",'A-4'!H214="-"),"-",SUM('A-4'!H120,'A-4'!H167,'A-4'!H214))</f>
        <v>29058</v>
      </c>
      <c r="I119" s="200">
        <f>IF(AND('A-4'!I120="-",'A-4'!I167="-",'A-4'!I214="-"),"-",SUM('A-4'!I120,'A-4'!I167,'A-4'!I214))</f>
        <v>5961</v>
      </c>
      <c r="J119" s="200">
        <f>IF(AND('A-4'!J120="-",'A-4'!J167="-",'A-4'!J214="-"),"-",SUM('A-4'!J120,'A-4'!J167,'A-4'!J214))</f>
        <v>3212</v>
      </c>
      <c r="K119" s="200">
        <f>IF(AND('A-4'!K120="-",'A-4'!K167="-",'A-4'!K214="-"),"-",SUM('A-4'!K120,'A-4'!K167,'A-4'!K214))</f>
        <v>380</v>
      </c>
      <c r="L119" s="200">
        <f>IF(AND('A-4'!L120="-",'A-4'!L167="-",'A-4'!L214="-"),"-",SUM('A-4'!L120,'A-4'!L167,'A-4'!L214))</f>
        <v>215418</v>
      </c>
    </row>
    <row r="120" spans="1:12" ht="11.25" customHeight="1" x14ac:dyDescent="0.25">
      <c r="A120" s="383">
        <v>1998</v>
      </c>
      <c r="B120" s="60" t="s">
        <v>116</v>
      </c>
      <c r="C120" s="200">
        <f>IF(AND('A-4'!C121="-",'A-4'!C168="-",'A-4'!C215="-"),"-",SUM('A-4'!C121,'A-4'!C168,'A-4'!C215))</f>
        <v>6225</v>
      </c>
      <c r="D120" s="200">
        <f>IF(AND('A-4'!D121="-",'A-4'!D168="-",'A-4'!D215="-"),"-",SUM('A-4'!D121,'A-4'!D168,'A-4'!D215))</f>
        <v>17692</v>
      </c>
      <c r="E120" s="200">
        <f>IF(AND('A-4'!E121="-",'A-4'!E168="-",'A-4'!E215="-"),"-",SUM('A-4'!E121,'A-4'!E168,'A-4'!E215))</f>
        <v>18052</v>
      </c>
      <c r="F120" s="200">
        <f>IF(AND('A-4'!F121="-",'A-4'!F168="-",'A-4'!F215="-"),"-",SUM('A-4'!F121,'A-4'!F168,'A-4'!F215))</f>
        <v>28228</v>
      </c>
      <c r="G120" s="200">
        <f>IF(AND('A-4'!G121="-",'A-4'!G168="-",'A-4'!G215="-"),"-",SUM('A-4'!G121,'A-4'!G168,'A-4'!G215))</f>
        <v>33732</v>
      </c>
      <c r="H120" s="200">
        <f>IF(AND('A-4'!H121="-",'A-4'!H168="-",'A-4'!H215="-"),"-",SUM('A-4'!H121,'A-4'!H168,'A-4'!H215))</f>
        <v>25998</v>
      </c>
      <c r="I120" s="200">
        <f>IF(AND('A-4'!I121="-",'A-4'!I168="-",'A-4'!I215="-"),"-",SUM('A-4'!I121,'A-4'!I168,'A-4'!I215))</f>
        <v>8385</v>
      </c>
      <c r="J120" s="200">
        <f>IF(AND('A-4'!J121="-",'A-4'!J168="-",'A-4'!J215="-"),"-",SUM('A-4'!J121,'A-4'!J168,'A-4'!J215))</f>
        <v>3480</v>
      </c>
      <c r="K120" s="60" t="s">
        <v>116</v>
      </c>
      <c r="L120" s="200">
        <f>IF(AND('A-4'!L121="-",'A-4'!L168="-",'A-4'!L215="-"),"-",SUM('A-4'!L121,'A-4'!L168,'A-4'!L215))</f>
        <v>141792</v>
      </c>
    </row>
    <row r="121" spans="1:12" ht="11.25" customHeight="1" x14ac:dyDescent="0.25">
      <c r="A121" s="383">
        <v>1999</v>
      </c>
      <c r="B121" s="200">
        <f>IF(AND('A-4'!B122="-",'A-4'!B169="-",'A-4'!B216="-"),"-",SUM('A-4'!B122,'A-4'!B169,'A-4'!B216))</f>
        <v>14</v>
      </c>
      <c r="C121" s="200">
        <f>IF(AND('A-4'!C122="-",'A-4'!C169="-",'A-4'!C216="-"),"-",SUM('A-4'!C122,'A-4'!C169,'A-4'!C216))</f>
        <v>8721</v>
      </c>
      <c r="D121" s="200">
        <f>IF(AND('A-4'!D122="-",'A-4'!D169="-",'A-4'!D216="-"),"-",SUM('A-4'!D122,'A-4'!D169,'A-4'!D216))</f>
        <v>11785</v>
      </c>
      <c r="E121" s="200">
        <f>IF(AND('A-4'!E122="-",'A-4'!E169="-",'A-4'!E216="-"),"-",SUM('A-4'!E122,'A-4'!E169,'A-4'!E216))</f>
        <v>6475</v>
      </c>
      <c r="F121" s="200">
        <f>IF(AND('A-4'!F122="-",'A-4'!F169="-",'A-4'!F216="-"),"-",SUM('A-4'!F122,'A-4'!F169,'A-4'!F216))</f>
        <v>22087</v>
      </c>
      <c r="G121" s="200">
        <f>IF(AND('A-4'!G122="-",'A-4'!G169="-",'A-4'!G216="-"),"-",SUM('A-4'!G122,'A-4'!G169,'A-4'!G216))</f>
        <v>41263</v>
      </c>
      <c r="H121" s="200">
        <f>IF(AND('A-4'!H122="-",'A-4'!H169="-",'A-4'!H216="-"),"-",SUM('A-4'!H122,'A-4'!H169,'A-4'!H216))</f>
        <v>23824</v>
      </c>
      <c r="I121" s="200">
        <f>IF(AND('A-4'!I122="-",'A-4'!I169="-",'A-4'!I216="-"),"-",SUM('A-4'!I122,'A-4'!I169,'A-4'!I216))</f>
        <v>9638</v>
      </c>
      <c r="J121" s="200">
        <f>IF(AND('A-4'!J122="-",'A-4'!J169="-",'A-4'!J216="-"),"-",SUM('A-4'!J122,'A-4'!J169,'A-4'!J216))</f>
        <v>5421</v>
      </c>
      <c r="K121" s="60" t="s">
        <v>116</v>
      </c>
      <c r="L121" s="200">
        <f>IF(AND('A-4'!L122="-",'A-4'!L169="-",'A-4'!L216="-"),"-",SUM('A-4'!L122,'A-4'!L169,'A-4'!L216))</f>
        <v>129228</v>
      </c>
    </row>
    <row r="122" spans="1:12" ht="11.25" customHeight="1" x14ac:dyDescent="0.25">
      <c r="A122" s="383">
        <v>2000</v>
      </c>
      <c r="B122" s="60" t="s">
        <v>116</v>
      </c>
      <c r="C122" s="200">
        <f>IF(AND('A-4'!C123="-",'A-4'!C170="-",'A-4'!C217="-"),"-",SUM('A-4'!C123,'A-4'!C170,'A-4'!C217))</f>
        <v>0</v>
      </c>
      <c r="D122" s="200">
        <f>IF(AND('A-4'!D123="-",'A-4'!D170="-",'A-4'!D217="-"),"-",SUM('A-4'!D123,'A-4'!D170,'A-4'!D217))</f>
        <v>36688</v>
      </c>
      <c r="E122" s="200">
        <f>IF(AND('A-4'!E123="-",'A-4'!E170="-",'A-4'!E217="-"),"-",SUM('A-4'!E123,'A-4'!E170,'A-4'!E217))</f>
        <v>32716</v>
      </c>
      <c r="F122" s="200">
        <f>IF(AND('A-4'!F123="-",'A-4'!F170="-",'A-4'!F217="-"),"-",SUM('A-4'!F123,'A-4'!F170,'A-4'!F217))</f>
        <v>38284</v>
      </c>
      <c r="G122" s="200">
        <f>IF(AND('A-4'!G123="-",'A-4'!G170="-",'A-4'!G217="-"),"-",SUM('A-4'!G123,'A-4'!G170,'A-4'!G217))</f>
        <v>39383</v>
      </c>
      <c r="H122" s="200">
        <f>IF(AND('A-4'!H123="-",'A-4'!H170="-",'A-4'!H217="-"),"-",SUM('A-4'!H123,'A-4'!H170,'A-4'!H217))</f>
        <v>24792</v>
      </c>
      <c r="I122" s="200">
        <f>IF(AND('A-4'!I123="-",'A-4'!I170="-",'A-4'!I217="-"),"-",SUM('A-4'!I123,'A-4'!I170,'A-4'!I217))</f>
        <v>15273</v>
      </c>
      <c r="J122" s="200">
        <f>IF(AND('A-4'!J123="-",'A-4'!J170="-",'A-4'!J217="-"),"-",SUM('A-4'!J123,'A-4'!J170,'A-4'!J217))</f>
        <v>5466</v>
      </c>
      <c r="K122" s="200">
        <f>IF(AND('A-4'!K123="-",'A-4'!K170="-",'A-4'!K217="-"),"-",SUM('A-4'!K123,'A-4'!K170,'A-4'!K217))</f>
        <v>1451</v>
      </c>
      <c r="L122" s="200">
        <f>IF(AND('A-4'!L123="-",'A-4'!L170="-",'A-4'!L217="-"),"-",SUM('A-4'!L123,'A-4'!L170,'A-4'!L217))</f>
        <v>194053</v>
      </c>
    </row>
    <row r="123" spans="1:12" ht="11.25" customHeight="1" x14ac:dyDescent="0.25">
      <c r="A123" s="383">
        <v>2001</v>
      </c>
      <c r="B123" s="200">
        <f>IF(AND('A-4'!B124="-",'A-4'!B171="-",'A-4'!B218="-"),"-",SUM('A-4'!B124,'A-4'!B171,'A-4'!B218))</f>
        <v>0</v>
      </c>
      <c r="C123" s="200">
        <f>IF(AND('A-4'!C124="-",'A-4'!C171="-",'A-4'!C218="-"),"-",SUM('A-4'!C124,'A-4'!C171,'A-4'!C218))</f>
        <v>1573</v>
      </c>
      <c r="D123" s="200">
        <f>IF(AND('A-4'!D124="-",'A-4'!D171="-",'A-4'!D218="-"),"-",SUM('A-4'!D124,'A-4'!D171,'A-4'!D218))</f>
        <v>26353</v>
      </c>
      <c r="E123" s="200">
        <f>IF(AND('A-4'!E124="-",'A-4'!E171="-",'A-4'!E218="-"),"-",SUM('A-4'!E124,'A-4'!E171,'A-4'!E218))</f>
        <v>23014</v>
      </c>
      <c r="F123" s="200">
        <f>IF(AND('A-4'!F124="-",'A-4'!F171="-",'A-4'!F218="-"),"-",SUM('A-4'!F124,'A-4'!F171,'A-4'!F218))</f>
        <v>14267</v>
      </c>
      <c r="G123" s="200">
        <f>IF(AND('A-4'!G124="-",'A-4'!G171="-",'A-4'!G218="-"),"-",SUM('A-4'!G124,'A-4'!G171,'A-4'!G218))</f>
        <v>30775</v>
      </c>
      <c r="H123" s="200">
        <f>IF(AND('A-4'!H124="-",'A-4'!H171="-",'A-4'!H218="-"),"-",SUM('A-4'!H124,'A-4'!H171,'A-4'!H218))</f>
        <v>23004</v>
      </c>
      <c r="I123" s="200">
        <f>IF(AND('A-4'!I124="-",'A-4'!I171="-",'A-4'!I218="-"),"-",SUM('A-4'!I124,'A-4'!I171,'A-4'!I218))</f>
        <v>12782</v>
      </c>
      <c r="J123" s="200">
        <f>IF(AND('A-4'!J124="-",'A-4'!J171="-",'A-4'!J218="-"),"-",SUM('A-4'!J124,'A-4'!J171,'A-4'!J218))</f>
        <v>6081</v>
      </c>
      <c r="K123" s="200">
        <f>IF(AND('A-4'!K124="-",'A-4'!K171="-",'A-4'!K218="-"),"-",SUM('A-4'!K124,'A-4'!K171,'A-4'!K218))</f>
        <v>2593</v>
      </c>
      <c r="L123" s="200">
        <f>IF(AND('A-4'!L124="-",'A-4'!L171="-",'A-4'!L218="-"),"-",SUM('A-4'!L124,'A-4'!L171,'A-4'!L218))</f>
        <v>140442</v>
      </c>
    </row>
    <row r="124" spans="1:12" ht="11.25" customHeight="1" x14ac:dyDescent="0.25">
      <c r="A124" s="383">
        <v>2002</v>
      </c>
      <c r="B124" s="200">
        <f>IF(AND('A-4'!B125="-",'A-4'!B172="-",'A-4'!B219="-"),"-",SUM('A-4'!B125,'A-4'!B172,'A-4'!B219))</f>
        <v>194</v>
      </c>
      <c r="C124" s="200">
        <f>IF(AND('A-4'!C125="-",'A-4'!C172="-",'A-4'!C219="-"),"-",SUM('A-4'!C125,'A-4'!C172,'A-4'!C219))</f>
        <v>3760</v>
      </c>
      <c r="D124" s="200">
        <f>IF(AND('A-4'!D125="-",'A-4'!D172="-",'A-4'!D219="-"),"-",SUM('A-4'!D125,'A-4'!D172,'A-4'!D219))</f>
        <v>40477</v>
      </c>
      <c r="E124" s="200">
        <f>IF(AND('A-4'!E125="-",'A-4'!E172="-",'A-4'!E219="-"),"-",SUM('A-4'!E125,'A-4'!E172,'A-4'!E219))</f>
        <v>27539</v>
      </c>
      <c r="F124" s="200">
        <f>IF(AND('A-4'!F125="-",'A-4'!F172="-",'A-4'!F219="-"),"-",SUM('A-4'!F125,'A-4'!F172,'A-4'!F219))</f>
        <v>30025</v>
      </c>
      <c r="G124" s="200">
        <f>IF(AND('A-4'!G125="-",'A-4'!G172="-",'A-4'!G219="-"),"-",SUM('A-4'!G125,'A-4'!G172,'A-4'!G219))</f>
        <v>45831</v>
      </c>
      <c r="H124" s="200">
        <f>IF(AND('A-4'!H125="-",'A-4'!H172="-",'A-4'!H219="-"),"-",SUM('A-4'!H125,'A-4'!H172,'A-4'!H219))</f>
        <v>30791</v>
      </c>
      <c r="I124" s="200">
        <f>IF(AND('A-4'!I125="-",'A-4'!I172="-",'A-4'!I219="-"),"-",SUM('A-4'!I125,'A-4'!I172,'A-4'!I219))</f>
        <v>7688</v>
      </c>
      <c r="J124" s="200">
        <f>IF(AND('A-4'!J125="-",'A-4'!J172="-",'A-4'!J219="-"),"-",SUM('A-4'!J125,'A-4'!J172,'A-4'!J219))</f>
        <v>1823</v>
      </c>
      <c r="K124" s="200">
        <f>IF(AND('A-4'!K125="-",'A-4'!K172="-",'A-4'!K219="-"),"-",SUM('A-4'!K125,'A-4'!K172,'A-4'!K219))</f>
        <v>381</v>
      </c>
      <c r="L124" s="200">
        <f>IF(AND('A-4'!L125="-",'A-4'!L172="-",'A-4'!L219="-"),"-",SUM('A-4'!L125,'A-4'!L172,'A-4'!L219))</f>
        <v>188509</v>
      </c>
    </row>
    <row r="125" spans="1:12" ht="11.25" customHeight="1" x14ac:dyDescent="0.25">
      <c r="A125" s="383">
        <v>2003</v>
      </c>
      <c r="B125" s="200">
        <f>IF(AND('A-4'!B126="-",'A-4'!B173="-",'A-4'!B220="-"),"-",SUM('A-4'!B126,'A-4'!B173,'A-4'!B220))</f>
        <v>607</v>
      </c>
      <c r="C125" s="200">
        <f>IF(AND('A-4'!C126="-",'A-4'!C173="-",'A-4'!C220="-"),"-",SUM('A-4'!C126,'A-4'!C173,'A-4'!C220))</f>
        <v>6374</v>
      </c>
      <c r="D125" s="200">
        <f>IF(AND('A-4'!D126="-",'A-4'!D173="-",'A-4'!D220="-"),"-",SUM('A-4'!D126,'A-4'!D173,'A-4'!D220))</f>
        <v>15069</v>
      </c>
      <c r="E125" s="200">
        <f>IF(AND('A-4'!E126="-",'A-4'!E173="-",'A-4'!E220="-"),"-",SUM('A-4'!E126,'A-4'!E173,'A-4'!E220))</f>
        <v>17055</v>
      </c>
      <c r="F125" s="200">
        <f>IF(AND('A-4'!F126="-",'A-4'!F173="-",'A-4'!F220="-"),"-",SUM('A-4'!F126,'A-4'!F173,'A-4'!F220))</f>
        <v>20779</v>
      </c>
      <c r="G125" s="200">
        <f>IF(AND('A-4'!G126="-",'A-4'!G173="-",'A-4'!G220="-"),"-",SUM('A-4'!G126,'A-4'!G173,'A-4'!G220))</f>
        <v>34536</v>
      </c>
      <c r="H125" s="200">
        <f>IF(AND('A-4'!H126="-",'A-4'!H173="-",'A-4'!H220="-"),"-",SUM('A-4'!H126,'A-4'!H173,'A-4'!H220))</f>
        <v>14786</v>
      </c>
      <c r="I125" s="200">
        <f>IF(AND('A-4'!I126="-",'A-4'!I173="-",'A-4'!I220="-"),"-",SUM('A-4'!I126,'A-4'!I173,'A-4'!I220))</f>
        <v>6713</v>
      </c>
      <c r="J125" s="200">
        <f>IF(AND('A-4'!J126="-",'A-4'!J173="-",'A-4'!J220="-"),"-",SUM('A-4'!J126,'A-4'!J173,'A-4'!J220))</f>
        <v>2667</v>
      </c>
      <c r="K125" s="200">
        <f>IF(AND('A-4'!K126="-",'A-4'!K173="-",'A-4'!K220="-"),"-",SUM('A-4'!K126,'A-4'!K173,'A-4'!K220))</f>
        <v>264</v>
      </c>
      <c r="L125" s="200">
        <f>IF(AND('A-4'!L126="-",'A-4'!L173="-",'A-4'!L220="-"),"-",SUM('A-4'!L126,'A-4'!L173,'A-4'!L220))</f>
        <v>118850</v>
      </c>
    </row>
    <row r="126" spans="1:12" ht="11.25" customHeight="1" x14ac:dyDescent="0.25">
      <c r="A126" s="383">
        <v>2004</v>
      </c>
      <c r="B126" s="200">
        <f>IF(AND('A-4'!B127="-",'A-4'!B174="-",'A-4'!B221="-"),"-",SUM('A-4'!B127,'A-4'!B174,'A-4'!B221))</f>
        <v>183</v>
      </c>
      <c r="C126" s="200">
        <f>IF(AND('A-4'!C127="-",'A-4'!C174="-",'A-4'!C221="-"),"-",SUM('A-4'!C127,'A-4'!C174,'A-4'!C221))</f>
        <v>999</v>
      </c>
      <c r="D126" s="200">
        <f>IF(AND('A-4'!D127="-",'A-4'!D174="-",'A-4'!D221="-"),"-",SUM('A-4'!D127,'A-4'!D174,'A-4'!D221))</f>
        <v>32865</v>
      </c>
      <c r="E126" s="200">
        <f>IF(AND('A-4'!E127="-",'A-4'!E174="-",'A-4'!E221="-"),"-",SUM('A-4'!E127,'A-4'!E174,'A-4'!E221))</f>
        <v>28873</v>
      </c>
      <c r="F126" s="200">
        <f>IF(AND('A-4'!F127="-",'A-4'!F174="-",'A-4'!F221="-"),"-",SUM('A-4'!F127,'A-4'!F174,'A-4'!F221))</f>
        <v>29067</v>
      </c>
      <c r="G126" s="200">
        <f>IF(AND('A-4'!G127="-",'A-4'!G174="-",'A-4'!G221="-"),"-",SUM('A-4'!G127,'A-4'!G174,'A-4'!G221))</f>
        <v>57641</v>
      </c>
      <c r="H126" s="200">
        <f>IF(AND('A-4'!H127="-",'A-4'!H174="-",'A-4'!H221="-"),"-",SUM('A-4'!H127,'A-4'!H174,'A-4'!H221))</f>
        <v>27768</v>
      </c>
      <c r="I126" s="200">
        <f>IF(AND('A-4'!I127="-",'A-4'!I174="-",'A-4'!I221="-"),"-",SUM('A-4'!I127,'A-4'!I174,'A-4'!I221))</f>
        <v>9908</v>
      </c>
      <c r="J126" s="200">
        <f>IF(AND('A-4'!J127="-",'A-4'!J174="-",'A-4'!J221="-"),"-",SUM('A-4'!J127,'A-4'!J174,'A-4'!J221))</f>
        <v>4303</v>
      </c>
      <c r="K126" s="200">
        <f>IF(AND('A-4'!K127="-",'A-4'!K174="-",'A-4'!K221="-"),"-",SUM('A-4'!K127,'A-4'!K174,'A-4'!K221))</f>
        <v>1539</v>
      </c>
      <c r="L126" s="200">
        <f>IF(AND('A-4'!L127="-",'A-4'!L174="-",'A-4'!L221="-"),"-",SUM('A-4'!L127,'A-4'!L174,'A-4'!L221))</f>
        <v>193146</v>
      </c>
    </row>
    <row r="127" spans="1:12" ht="11.25" customHeight="1" x14ac:dyDescent="0.25">
      <c r="A127" s="402">
        <v>2005</v>
      </c>
      <c r="B127" s="203">
        <f>IF(AND('A-4'!B128="-",'A-4'!B175="-",'A-4'!B222="-"),"-",SUM('A-4'!B128,'A-4'!B175,'A-4'!B222))</f>
        <v>869</v>
      </c>
      <c r="C127" s="203">
        <f>IF(AND('A-4'!C128="-",'A-4'!C175="-",'A-4'!C222="-"),"-",SUM('A-4'!C128,'A-4'!C175,'A-4'!C222))</f>
        <v>521</v>
      </c>
      <c r="D127" s="203">
        <f>IF(AND('A-4'!D128="-",'A-4'!D175="-",'A-4'!D222="-"),"-",SUM('A-4'!D128,'A-4'!D175,'A-4'!D222))</f>
        <v>24631</v>
      </c>
      <c r="E127" s="203">
        <f>IF(AND('A-4'!E128="-",'A-4'!E175="-",'A-4'!E222="-"),"-",SUM('A-4'!E128,'A-4'!E175,'A-4'!E222))</f>
        <v>19797</v>
      </c>
      <c r="F127" s="203">
        <f>IF(AND('A-4'!F128="-",'A-4'!F175="-",'A-4'!F222="-"),"-",SUM('A-4'!F128,'A-4'!F175,'A-4'!F222))</f>
        <v>27711</v>
      </c>
      <c r="G127" s="203">
        <f>IF(AND('A-4'!G128="-",'A-4'!G175="-",'A-4'!G222="-"),"-",SUM('A-4'!G128,'A-4'!G175,'A-4'!G222))</f>
        <v>38248</v>
      </c>
      <c r="H127" s="203">
        <f>IF(AND('A-4'!H128="-",'A-4'!H175="-",'A-4'!H222="-"),"-",SUM('A-4'!H128,'A-4'!H175,'A-4'!H222))</f>
        <v>22891</v>
      </c>
      <c r="I127" s="203">
        <f>IF(AND('A-4'!I128="-",'A-4'!I175="-",'A-4'!I222="-"),"-",SUM('A-4'!I128,'A-4'!I175,'A-4'!I222))</f>
        <v>13250</v>
      </c>
      <c r="J127" s="203">
        <f>IF(AND('A-4'!J128="-",'A-4'!J175="-",'A-4'!J222="-"),"-",SUM('A-4'!J128,'A-4'!J175,'A-4'!J222))</f>
        <v>5868</v>
      </c>
      <c r="K127" s="203">
        <f>IF(AND('A-4'!K128="-",'A-4'!K175="-",'A-4'!K222="-"),"-",SUM('A-4'!K128,'A-4'!K175,'A-4'!K222))</f>
        <v>965</v>
      </c>
      <c r="L127" s="203">
        <f>IF(AND('A-4'!L128="-",'A-4'!L175="-",'A-4'!L222="-"),"-",SUM('A-4'!L128,'A-4'!L175,'A-4'!L222))</f>
        <v>154751</v>
      </c>
    </row>
    <row r="128" spans="1:12" ht="11.25" customHeight="1" x14ac:dyDescent="0.25">
      <c r="A128" s="383">
        <v>2006</v>
      </c>
      <c r="B128" s="200">
        <f>IF(AND('A-4'!B129="-",'A-4'!B176="-",'A-4'!B223="-"),"-",SUM('A-4'!B129,'A-4'!B176,'A-4'!B223))</f>
        <v>289</v>
      </c>
      <c r="C128" s="200">
        <f>IF(AND('A-4'!C129="-",'A-4'!C176="-",'A-4'!C223="-"),"-",SUM('A-4'!C129,'A-4'!C176,'A-4'!C223))</f>
        <v>298</v>
      </c>
      <c r="D128" s="200">
        <f>IF(AND('A-4'!D129="-",'A-4'!D176="-",'A-4'!D223="-"),"-",SUM('A-4'!D129,'A-4'!D176,'A-4'!D223))</f>
        <v>19198</v>
      </c>
      <c r="E128" s="200">
        <f>IF(AND('A-4'!E129="-",'A-4'!E176="-",'A-4'!E223="-"),"-",SUM('A-4'!E129,'A-4'!E176,'A-4'!E223))</f>
        <v>17128</v>
      </c>
      <c r="F128" s="200">
        <f>IF(AND('A-4'!F129="-",'A-4'!F176="-",'A-4'!F223="-"),"-",SUM('A-4'!F129,'A-4'!F176,'A-4'!F223))</f>
        <v>25376</v>
      </c>
      <c r="G128" s="200">
        <f>IF(AND('A-4'!G129="-",'A-4'!G176="-",'A-4'!G223="-"),"-",SUM('A-4'!G129,'A-4'!G176,'A-4'!G223))</f>
        <v>31705</v>
      </c>
      <c r="H128" s="200">
        <f>IF(AND('A-4'!H129="-",'A-4'!H176="-",'A-4'!H223="-"),"-",SUM('A-4'!H129,'A-4'!H176,'A-4'!H223))</f>
        <v>9684</v>
      </c>
      <c r="I128" s="200">
        <f>IF(AND('A-4'!I129="-",'A-4'!I176="-",'A-4'!I223="-"),"-",SUM('A-4'!I129,'A-4'!I176,'A-4'!I223))</f>
        <v>4102</v>
      </c>
      <c r="J128" s="200">
        <f>IF(AND('A-4'!J129="-",'A-4'!J176="-",'A-4'!J223="-"),"-",SUM('A-4'!J129,'A-4'!J176,'A-4'!J223))</f>
        <v>1827</v>
      </c>
      <c r="K128" s="200">
        <f>IF(AND('A-4'!K129="-",'A-4'!K176="-",'A-4'!K223="-"),"-",SUM('A-4'!K129,'A-4'!K176,'A-4'!K223))</f>
        <v>448</v>
      </c>
      <c r="L128" s="200">
        <f>IF(AND('A-4'!L129="-",'A-4'!L176="-",'A-4'!L223="-"),"-",SUM('A-4'!L129,'A-4'!L176,'A-4'!L223))</f>
        <v>110055</v>
      </c>
    </row>
    <row r="129" spans="1:12" ht="11.25" customHeight="1" x14ac:dyDescent="0.25">
      <c r="A129" s="402">
        <v>2007</v>
      </c>
      <c r="B129" s="203">
        <f>IF(AND('A-4'!B130="-",'A-4'!B177="-",'A-4'!B224="-"),"-",SUM('A-4'!B130,'A-4'!B177,'A-4'!B224))</f>
        <v>249</v>
      </c>
      <c r="C129" s="203">
        <f>IF(AND('A-4'!C130="-",'A-4'!C177="-",'A-4'!C224="-"),"-",SUM('A-4'!C130,'A-4'!C177,'A-4'!C224))</f>
        <v>855</v>
      </c>
      <c r="D129" s="203">
        <f>IF(AND('A-4'!D130="-",'A-4'!D177="-",'A-4'!D224="-"),"-",SUM('A-4'!D130,'A-4'!D177,'A-4'!D224))</f>
        <v>15043</v>
      </c>
      <c r="E129" s="203">
        <f>IF(AND('A-4'!E130="-",'A-4'!E177="-",'A-4'!E224="-"),"-",SUM('A-4'!E130,'A-4'!E177,'A-4'!E224))</f>
        <v>13297</v>
      </c>
      <c r="F129" s="203">
        <f>IF(AND('A-4'!F130="-",'A-4'!F177="-",'A-4'!F224="-"),"-",SUM('A-4'!F130,'A-4'!F177,'A-4'!F224))</f>
        <v>19620</v>
      </c>
      <c r="G129" s="203">
        <f>IF(AND('A-4'!G130="-",'A-4'!G177="-",'A-4'!G224="-"),"-",SUM('A-4'!G130,'A-4'!G177,'A-4'!G224))</f>
        <v>21548</v>
      </c>
      <c r="H129" s="203">
        <f>IF(AND('A-4'!H130="-",'A-4'!H177="-",'A-4'!H224="-"),"-",SUM('A-4'!H130,'A-4'!H177,'A-4'!H224))</f>
        <v>8532</v>
      </c>
      <c r="I129" s="203">
        <f>IF(AND('A-4'!I130="-",'A-4'!I177="-",'A-4'!I224="-"),"-",SUM('A-4'!I130,'A-4'!I177,'A-4'!I224))</f>
        <v>3091</v>
      </c>
      <c r="J129" s="203">
        <f>IF(AND('A-4'!J130="-",'A-4'!J177="-",'A-4'!J224="-"),"-",SUM('A-4'!J130,'A-4'!J177,'A-4'!J224))</f>
        <v>1817</v>
      </c>
      <c r="K129" s="203">
        <f>IF(AND('A-4'!K130="-",'A-4'!K177="-",'A-4'!K224="-"),"-",SUM('A-4'!K130,'A-4'!K177,'A-4'!K224))</f>
        <v>1394</v>
      </c>
      <c r="L129" s="203">
        <f>IF(AND('A-4'!L130="-",'A-4'!L177="-",'A-4'!L224="-"),"-",SUM('A-4'!L130,'A-4'!L177,'A-4'!L224))</f>
        <v>85446</v>
      </c>
    </row>
    <row r="130" spans="1:12" ht="11.25" customHeight="1" x14ac:dyDescent="0.25">
      <c r="A130" s="402">
        <v>2008</v>
      </c>
      <c r="B130" s="203">
        <f>IF(AND('A-4'!B131="-",'A-4'!B178="-",'A-4'!B225="-"),"-",SUM('A-4'!B131,'A-4'!B178,'A-4'!B225))</f>
        <v>206</v>
      </c>
      <c r="C130" s="203">
        <f>IF(AND('A-4'!C131="-",'A-4'!C178="-",'A-4'!C225="-"),"-",SUM('A-4'!C131,'A-4'!C178,'A-4'!C225))</f>
        <v>185</v>
      </c>
      <c r="D130" s="203" t="str">
        <f>IF(AND('A-4'!D131="-",'A-4'!D178="-",'A-4'!D225="-"),"-",SUM('A-4'!D131,'A-4'!D178,'A-4'!D225))</f>
        <v>-</v>
      </c>
      <c r="E130" s="203" t="str">
        <f>IF(AND('A-4'!E131="-",'A-4'!E178="-",'A-4'!E225="-"),"-",SUM('A-4'!E131,'A-4'!E178,'A-4'!E225))</f>
        <v>-</v>
      </c>
      <c r="F130" s="203" t="str">
        <f>IF(AND('A-4'!F131="-",'A-4'!F178="-",'A-4'!F225="-"),"-",SUM('A-4'!F131,'A-4'!F178,'A-4'!F225))</f>
        <v>-</v>
      </c>
      <c r="G130" s="203" t="str">
        <f>IF(AND('A-4'!G131="-",'A-4'!G178="-",'A-4'!G225="-"),"-",SUM('A-4'!G131,'A-4'!G178,'A-4'!G225))</f>
        <v>-</v>
      </c>
      <c r="H130" s="203" t="str">
        <f>IF(AND('A-4'!H131="-",'A-4'!H178="-",'A-4'!H225="-"),"-",SUM('A-4'!H131,'A-4'!H178,'A-4'!H225))</f>
        <v>-</v>
      </c>
      <c r="I130" s="203" t="str">
        <f>IF(AND('A-4'!I131="-",'A-4'!I178="-",'A-4'!I225="-"),"-",SUM('A-4'!I131,'A-4'!I178,'A-4'!I225))</f>
        <v>-</v>
      </c>
      <c r="J130" s="203" t="str">
        <f>IF(AND('A-4'!J131="-",'A-4'!J178="-",'A-4'!J225="-"),"-",SUM('A-4'!J131,'A-4'!J178,'A-4'!J225))</f>
        <v>-</v>
      </c>
      <c r="K130" s="203" t="str">
        <f>IF(AND('A-4'!K131="-",'A-4'!K178="-",'A-4'!K225="-"),"-",SUM('A-4'!K131,'A-4'!K178,'A-4'!K225))</f>
        <v>-</v>
      </c>
      <c r="L130" s="203">
        <f>IF(AND('A-4'!L131="-",'A-4'!L178="-",'A-4'!L225="-"),"-",SUM('A-4'!L131,'A-4'!L178,'A-4'!L225))</f>
        <v>391</v>
      </c>
    </row>
    <row r="131" spans="1:12" ht="11.25" customHeight="1" x14ac:dyDescent="0.25">
      <c r="A131" s="402">
        <v>2009</v>
      </c>
      <c r="B131" s="203" t="str">
        <f>IF(AND('A-4'!B132="-",'A-4'!B179="-",'A-4'!B226="-"),"-",SUM('A-4'!B132,'A-4'!B179,'A-4'!B226))</f>
        <v>-</v>
      </c>
      <c r="C131" s="203" t="str">
        <f>IF(AND('A-4'!C132="-",'A-4'!C179="-",'A-4'!C226="-"),"-",SUM('A-4'!C132,'A-4'!C179,'A-4'!C226))</f>
        <v>-</v>
      </c>
      <c r="D131" s="203" t="str">
        <f>IF(AND('A-4'!D132="-",'A-4'!D179="-",'A-4'!D226="-"),"-",SUM('A-4'!D132,'A-4'!D179,'A-4'!D226))</f>
        <v>-</v>
      </c>
      <c r="E131" s="203" t="str">
        <f>IF(AND('A-4'!E132="-",'A-4'!E179="-",'A-4'!E226="-"),"-",SUM('A-4'!E132,'A-4'!E179,'A-4'!E226))</f>
        <v>-</v>
      </c>
      <c r="F131" s="203" t="str">
        <f>IF(AND('A-4'!F132="-",'A-4'!F179="-",'A-4'!F226="-"),"-",SUM('A-4'!F132,'A-4'!F179,'A-4'!F226))</f>
        <v>-</v>
      </c>
      <c r="G131" s="203" t="str">
        <f>IF(AND('A-4'!G132="-",'A-4'!G179="-",'A-4'!G226="-"),"-",SUM('A-4'!G132,'A-4'!G179,'A-4'!G226))</f>
        <v>-</v>
      </c>
      <c r="H131" s="203" t="str">
        <f>IF(AND('A-4'!H132="-",'A-4'!H179="-",'A-4'!H226="-"),"-",SUM('A-4'!H132,'A-4'!H179,'A-4'!H226))</f>
        <v>-</v>
      </c>
      <c r="I131" s="203" t="str">
        <f>IF(AND('A-4'!I132="-",'A-4'!I179="-",'A-4'!I226="-"),"-",SUM('A-4'!I132,'A-4'!I179,'A-4'!I226))</f>
        <v>-</v>
      </c>
      <c r="J131" s="203" t="str">
        <f>IF(AND('A-4'!J132="-",'A-4'!J179="-",'A-4'!J226="-"),"-",SUM('A-4'!J132,'A-4'!J179,'A-4'!J226))</f>
        <v>-</v>
      </c>
      <c r="K131" s="203" t="str">
        <f>IF(AND('A-4'!K132="-",'A-4'!K179="-",'A-4'!K226="-"),"-",SUM('A-4'!K132,'A-4'!K179,'A-4'!K226))</f>
        <v>-</v>
      </c>
      <c r="L131" s="203" t="str">
        <f>IF(AND('A-4'!L132="-",'A-4'!L179="-",'A-4'!L226="-"),"-",SUM('A-4'!L132,'A-4'!L179,'A-4'!L226))</f>
        <v>-</v>
      </c>
    </row>
    <row r="132" spans="1:12" ht="11.25" customHeight="1" x14ac:dyDescent="0.25">
      <c r="A132" s="402">
        <v>2010</v>
      </c>
      <c r="B132" s="203" t="str">
        <f>IF(AND('A-4'!B133="-",'A-4'!B180="-",'A-4'!B227="-"),"-",SUM('A-4'!B133,'A-4'!B180,'A-4'!B227))</f>
        <v>-</v>
      </c>
      <c r="C132" s="203" t="str">
        <f>IF(AND('A-4'!C133="-",'A-4'!C180="-",'A-4'!C227="-"),"-",SUM('A-4'!C133,'A-4'!C180,'A-4'!C227))</f>
        <v>-</v>
      </c>
      <c r="D132" s="203">
        <f>IF(AND('A-4'!D133="-",'A-4'!D180="-",'A-4'!D227="-"),"-",SUM('A-4'!D133,'A-4'!D180,'A-4'!D227))</f>
        <v>16774</v>
      </c>
      <c r="E132" s="203">
        <f>IF(AND('A-4'!E133="-",'A-4'!E180="-",'A-4'!E227="-"),"-",SUM('A-4'!E133,'A-4'!E180,'A-4'!E227))</f>
        <v>6770</v>
      </c>
      <c r="F132" s="203">
        <f>IF(AND('A-4'!F133="-",'A-4'!F180="-",'A-4'!F227="-"),"-",SUM('A-4'!F133,'A-4'!F180,'A-4'!F227))</f>
        <v>2736</v>
      </c>
      <c r="G132" s="203">
        <f>IF(AND('A-4'!G133="-",'A-4'!G180="-",'A-4'!G227="-"),"-",SUM('A-4'!G133,'A-4'!G180,'A-4'!G227))</f>
        <v>8310</v>
      </c>
      <c r="H132" s="203">
        <f>IF(AND('A-4'!H133="-",'A-4'!H180="-",'A-4'!H227="-"),"-",SUM('A-4'!H133,'A-4'!H180,'A-4'!H227))</f>
        <v>7883</v>
      </c>
      <c r="I132" s="203">
        <f>IF(AND('A-4'!I133="-",'A-4'!I180="-",'A-4'!I227="-"),"-",SUM('A-4'!I133,'A-4'!I180,'A-4'!I227))</f>
        <v>1965</v>
      </c>
      <c r="J132" s="203" t="str">
        <f>IF(AND('A-4'!J133="-",'A-4'!J180="-",'A-4'!J227="-"),"-",SUM('A-4'!J133,'A-4'!J180,'A-4'!J227))</f>
        <v>-</v>
      </c>
      <c r="K132" s="203" t="str">
        <f>IF(AND('A-4'!K133="-",'A-4'!K180="-",'A-4'!K227="-"),"-",SUM('A-4'!K133,'A-4'!K180,'A-4'!K227))</f>
        <v>-</v>
      </c>
      <c r="L132" s="203">
        <f>IF(AND('A-4'!L133="-",'A-4'!L180="-",'A-4'!L227="-"),"-",SUM('A-4'!L133,'A-4'!L180,'A-4'!L227))</f>
        <v>44438</v>
      </c>
    </row>
    <row r="133" spans="1:12" ht="11.25" customHeight="1" x14ac:dyDescent="0.25">
      <c r="A133" s="402">
        <v>2011</v>
      </c>
      <c r="B133" s="203" t="str">
        <f>IF(AND('A-4'!B134="-",'A-4'!B181="-",'A-4'!B228="-"),"-",SUM('A-4'!B134,'A-4'!B181,'A-4'!B228))</f>
        <v>-</v>
      </c>
      <c r="C133" s="203" t="str">
        <f>IF(AND('A-4'!C134="-",'A-4'!C181="-",'A-4'!C228="-"),"-",SUM('A-4'!C134,'A-4'!C181,'A-4'!C228))</f>
        <v>-</v>
      </c>
      <c r="D133" s="203">
        <f>IF(AND('A-4'!D134="-",'A-4'!D181="-",'A-4'!D228="-"),"-",SUM('A-4'!D134,'A-4'!D181,'A-4'!D228))</f>
        <v>15565</v>
      </c>
      <c r="E133" s="203">
        <f>IF(AND('A-4'!E134="-",'A-4'!E181="-",'A-4'!E228="-"),"-",SUM('A-4'!E134,'A-4'!E181,'A-4'!E228))</f>
        <v>5943</v>
      </c>
      <c r="F133" s="203">
        <f>IF(AND('A-4'!F134="-",'A-4'!F181="-",'A-4'!F228="-"),"-",SUM('A-4'!F134,'A-4'!F181,'A-4'!F228))</f>
        <v>6937</v>
      </c>
      <c r="G133" s="203">
        <f>IF(AND('A-4'!G134="-",'A-4'!G181="-",'A-4'!G228="-"),"-",SUM('A-4'!G134,'A-4'!G181,'A-4'!G228))</f>
        <v>20300</v>
      </c>
      <c r="H133" s="203">
        <f>IF(AND('A-4'!H134="-",'A-4'!H181="-",'A-4'!H228="-"),"-",SUM('A-4'!H134,'A-4'!H181,'A-4'!H228))</f>
        <v>14387</v>
      </c>
      <c r="I133" s="203">
        <f>IF(AND('A-4'!I134="-",'A-4'!I181="-",'A-4'!I228="-"),"-",SUM('A-4'!I134,'A-4'!I181,'A-4'!I228))</f>
        <v>10164</v>
      </c>
      <c r="J133" s="203">
        <f>IF(AND('A-4'!J134="-",'A-4'!J181="-",'A-4'!J228="-"),"-",SUM('A-4'!J134,'A-4'!J181,'A-4'!J228))</f>
        <v>3431</v>
      </c>
      <c r="K133" s="203" t="str">
        <f>IF(AND('A-4'!K134="-",'A-4'!K181="-",'A-4'!K228="-"),"-",SUM('A-4'!K134,'A-4'!K181,'A-4'!K228))</f>
        <v>-</v>
      </c>
      <c r="L133" s="203">
        <f>IF(AND('A-4'!L134="-",'A-4'!L181="-",'A-4'!L228="-"),"-",SUM('A-4'!L134,'A-4'!L181,'A-4'!L228))</f>
        <v>76727</v>
      </c>
    </row>
    <row r="134" spans="1:12" ht="11.25" customHeight="1" x14ac:dyDescent="0.25">
      <c r="A134" s="402">
        <v>2012</v>
      </c>
      <c r="B134" s="203" t="str">
        <f>IF(AND('A-4'!B135="-",'A-4'!B182="-",'A-4'!B229="-"),"-",SUM('A-4'!B135,'A-4'!B182,'A-4'!B229))</f>
        <v>-</v>
      </c>
      <c r="C134" s="203" t="str">
        <f>IF(AND('A-4'!C135="-",'A-4'!C182="-",'A-4'!C229="-"),"-",SUM('A-4'!C135,'A-4'!C182,'A-4'!C229))</f>
        <v>-</v>
      </c>
      <c r="D134" s="203">
        <f>IF(AND('A-4'!D135="-",'A-4'!D182="-",'A-4'!D229="-"),"-",SUM('A-4'!D135,'A-4'!D182,'A-4'!D229))</f>
        <v>21466</v>
      </c>
      <c r="E134" s="203">
        <f>IF(AND('A-4'!E135="-",'A-4'!E182="-",'A-4'!E229="-"),"-",SUM('A-4'!E135,'A-4'!E182,'A-4'!E229))</f>
        <v>18077</v>
      </c>
      <c r="F134" s="203">
        <f>IF(AND('A-4'!F135="-",'A-4'!F182="-",'A-4'!F229="-"),"-",SUM('A-4'!F135,'A-4'!F182,'A-4'!F229))</f>
        <v>21974</v>
      </c>
      <c r="G134" s="203">
        <f>IF(AND('A-4'!G135="-",'A-4'!G182="-",'A-4'!G229="-"),"-",SUM('A-4'!G135,'A-4'!G182,'A-4'!G229))</f>
        <v>28417</v>
      </c>
      <c r="H134" s="203">
        <f>IF(AND('A-4'!H135="-",'A-4'!H182="-",'A-4'!H229="-"),"-",SUM('A-4'!H135,'A-4'!H182,'A-4'!H229))</f>
        <v>14620</v>
      </c>
      <c r="I134" s="203">
        <f>IF(AND('A-4'!I135="-",'A-4'!I182="-",'A-4'!I229="-"),"-",SUM('A-4'!I135,'A-4'!I182,'A-4'!I229))</f>
        <v>7914</v>
      </c>
      <c r="J134" s="203">
        <f>IF(AND('A-4'!J135="-",'A-4'!J182="-",'A-4'!J229="-"),"-",SUM('A-4'!J135,'A-4'!J182,'A-4'!J229))</f>
        <v>3588</v>
      </c>
      <c r="K134" s="203">
        <f>IF(AND('A-4'!K135="-",'A-4'!K182="-",'A-4'!K229="-"),"-",SUM('A-4'!K135,'A-4'!K182,'A-4'!K229))</f>
        <v>569</v>
      </c>
      <c r="L134" s="203">
        <f>IF(AND('A-4'!L135="-",'A-4'!L182="-",'A-4'!L229="-"),"-",SUM('A-4'!L135,'A-4'!L182,'A-4'!L229))</f>
        <v>116625</v>
      </c>
    </row>
    <row r="135" spans="1:12" ht="11.25" customHeight="1" x14ac:dyDescent="0.25">
      <c r="A135" s="402">
        <v>2013</v>
      </c>
      <c r="B135" s="203" t="str">
        <f>IF(AND('A-4'!B136="-",'A-4'!B183="-",'A-4'!B230="-"),"-",SUM('A-4'!B136,'A-4'!B183,'A-4'!B230))</f>
        <v>-</v>
      </c>
      <c r="C135" s="203" t="str">
        <f>IF(AND('A-4'!C136="-",'A-4'!C183="-",'A-4'!C230="-"),"-",SUM('A-4'!C136,'A-4'!C183,'A-4'!C230))</f>
        <v>-</v>
      </c>
      <c r="D135" s="203">
        <f>IF(AND('A-4'!D136="-",'A-4'!D183="-",'A-4'!D230="-"),"-",SUM('A-4'!D136,'A-4'!D183,'A-4'!D230))</f>
        <v>19602</v>
      </c>
      <c r="E135" s="203">
        <f>IF(AND('A-4'!E136="-",'A-4'!E183="-",'A-4'!E230="-"),"-",SUM('A-4'!E136,'A-4'!E183,'A-4'!E230))</f>
        <v>15187</v>
      </c>
      <c r="F135" s="203">
        <f>IF(AND('A-4'!F136="-",'A-4'!F183="-",'A-4'!F230="-"),"-",SUM('A-4'!F136,'A-4'!F183,'A-4'!F230))</f>
        <v>18315</v>
      </c>
      <c r="G135" s="203">
        <f>IF(AND('A-4'!G136="-",'A-4'!G183="-",'A-4'!G230="-"),"-",SUM('A-4'!G136,'A-4'!G183,'A-4'!G230))</f>
        <v>36160</v>
      </c>
      <c r="H135" s="203">
        <f>IF(AND('A-4'!H136="-",'A-4'!H183="-",'A-4'!H230="-"),"-",SUM('A-4'!H136,'A-4'!H183,'A-4'!H230))</f>
        <v>20012</v>
      </c>
      <c r="I135" s="203">
        <f>IF(AND('A-4'!I136="-",'A-4'!I183="-",'A-4'!I230="-"),"-",SUM('A-4'!I136,'A-4'!I183,'A-4'!I230))</f>
        <v>5521</v>
      </c>
      <c r="J135" s="203">
        <f>IF(AND('A-4'!J136="-",'A-4'!J183="-",'A-4'!J230="-"),"-",SUM('A-4'!J136,'A-4'!J183,'A-4'!J230))</f>
        <v>2245</v>
      </c>
      <c r="K135" s="203">
        <f>IF(AND('A-4'!K136="-",'A-4'!K183="-",'A-4'!K230="-"),"-",SUM('A-4'!K136,'A-4'!K183,'A-4'!K230))</f>
        <v>426</v>
      </c>
      <c r="L135" s="203">
        <f>IF(AND('A-4'!L136="-",'A-4'!L183="-",'A-4'!L230="-"),"-",SUM('A-4'!L136,'A-4'!L183,'A-4'!L230))</f>
        <v>117468</v>
      </c>
    </row>
    <row r="136" spans="1:12" ht="11.25" customHeight="1" x14ac:dyDescent="0.25">
      <c r="A136" s="402">
        <v>2014</v>
      </c>
      <c r="B136" s="203" t="str">
        <f>IF(AND('A-4'!B137="-",'A-4'!B184="-",'A-4'!B231="-"),"-",SUM('A-4'!B137,'A-4'!B184,'A-4'!B231))</f>
        <v>-</v>
      </c>
      <c r="C136" s="203" t="str">
        <f>IF(AND('A-4'!C137="-",'A-4'!C184="-",'A-4'!C231="-"),"-",SUM('A-4'!C137,'A-4'!C184,'A-4'!C231))</f>
        <v>-</v>
      </c>
      <c r="D136" s="203">
        <f>IF(AND('A-4'!D137="-",'A-4'!D184="-",'A-4'!D231="-"),"-",SUM('A-4'!D137,'A-4'!D184,'A-4'!D231))</f>
        <v>20226</v>
      </c>
      <c r="E136" s="203">
        <f>IF(AND('A-4'!E137="-",'A-4'!E184="-",'A-4'!E231="-"),"-",SUM('A-4'!E137,'A-4'!E184,'A-4'!E231))</f>
        <v>8522</v>
      </c>
      <c r="F136" s="203">
        <f>IF(AND('A-4'!F137="-",'A-4'!F184="-",'A-4'!F231="-"),"-",SUM('A-4'!F137,'A-4'!F184,'A-4'!F231))</f>
        <v>7675</v>
      </c>
      <c r="G136" s="203">
        <f>IF(AND('A-4'!G137="-",'A-4'!G184="-",'A-4'!G231="-"),"-",SUM('A-4'!G137,'A-4'!G184,'A-4'!G231))</f>
        <v>23892</v>
      </c>
      <c r="H136" s="203">
        <f>IF(AND('A-4'!H137="-",'A-4'!H184="-",'A-4'!H231="-"),"-",SUM('A-4'!H137,'A-4'!H184,'A-4'!H231))</f>
        <v>22999</v>
      </c>
      <c r="I136" s="203">
        <f>IF(AND('A-4'!I137="-",'A-4'!I184="-",'A-4'!I231="-"),"-",SUM('A-4'!I137,'A-4'!I184,'A-4'!I231))</f>
        <v>10443</v>
      </c>
      <c r="J136" s="203">
        <f>IF(AND('A-4'!J137="-",'A-4'!J184="-",'A-4'!J231="-"),"-",SUM('A-4'!J137,'A-4'!J184,'A-4'!J231))</f>
        <v>5193</v>
      </c>
      <c r="K136" s="203">
        <f>IF(AND('A-4'!K137="-",'A-4'!K184="-",'A-4'!K231="-"),"-",SUM('A-4'!K137,'A-4'!K184,'A-4'!K231))</f>
        <v>723</v>
      </c>
      <c r="L136" s="203">
        <f>IF(AND('A-4'!L137="-",'A-4'!L184="-",'A-4'!L231="-"),"-",SUM('A-4'!L137,'A-4'!L184,'A-4'!L231))</f>
        <v>99673</v>
      </c>
    </row>
    <row r="137" spans="1:12" ht="11.25" customHeight="1" x14ac:dyDescent="0.25">
      <c r="A137" s="402" t="s">
        <v>305</v>
      </c>
      <c r="B137" s="203" t="str">
        <f>IF(AND('A-4'!B138="-",'A-4'!B185="-",'A-4'!B232="-"),"-",SUM('A-4'!B138,'A-4'!B185,'A-4'!B232))</f>
        <v>-</v>
      </c>
      <c r="C137" s="203" t="str">
        <f>IF(AND('A-4'!C138="-",'A-4'!C185="-",'A-4'!C232="-"),"-",SUM('A-4'!C138,'A-4'!C185,'A-4'!C232))</f>
        <v>-</v>
      </c>
      <c r="D137" s="203">
        <f>IF(AND('A-4'!D138="-",'A-4'!D185="-",'A-4'!D232="-"),"-",SUM('A-4'!D138,'A-4'!D185,'A-4'!D232))</f>
        <v>11085</v>
      </c>
      <c r="E137" s="203">
        <f>IF(AND('A-4'!E138="-",'A-4'!E185="-",'A-4'!E232="-"),"-",SUM('A-4'!E138,'A-4'!E185,'A-4'!E232))</f>
        <v>7401</v>
      </c>
      <c r="F137" s="203">
        <f>IF(AND('A-4'!F138="-",'A-4'!F185="-",'A-4'!F232="-"),"-",SUM('A-4'!F138,'A-4'!F185,'A-4'!F232))</f>
        <v>9210</v>
      </c>
      <c r="G137" s="203">
        <f>IF(AND('A-4'!G138="-",'A-4'!G185="-",'A-4'!G232="-"),"-",SUM('A-4'!G138,'A-4'!G185,'A-4'!G232))</f>
        <v>16244</v>
      </c>
      <c r="H137" s="203">
        <f>IF(AND('A-4'!H138="-",'A-4'!H185="-",'A-4'!H232="-"),"-",SUM('A-4'!H138,'A-4'!H185,'A-4'!H232))</f>
        <v>15118</v>
      </c>
      <c r="I137" s="203">
        <f>IF(AND('A-4'!I138="-",'A-4'!I185="-",'A-4'!I232="-"),"-",SUM('A-4'!I138,'A-4'!I185,'A-4'!I232))</f>
        <v>10293</v>
      </c>
      <c r="J137" s="203">
        <f>IF(AND('A-4'!J138="-",'A-4'!J185="-",'A-4'!J232="-"),"-",SUM('A-4'!J138,'A-4'!J185,'A-4'!J232))</f>
        <v>3483</v>
      </c>
      <c r="K137" s="203">
        <f>IF(AND('A-4'!K138="-",'A-4'!K185="-",'A-4'!K232="-"),"-",SUM('A-4'!K138,'A-4'!K185,'A-4'!K232))</f>
        <v>5</v>
      </c>
      <c r="L137" s="203">
        <f>IF(AND('A-4'!L138="-",'A-4'!L185="-",'A-4'!L232="-"),"-",SUM('A-4'!L138,'A-4'!L185,'A-4'!L232))</f>
        <v>72839</v>
      </c>
    </row>
    <row r="138" spans="1:12" ht="11.25" customHeight="1" x14ac:dyDescent="0.25">
      <c r="A138" s="402">
        <v>2016</v>
      </c>
      <c r="B138" s="203" t="str">
        <f>IF(AND('A-4'!B139="-",'A-4'!B186="-",'A-4'!B233="-"),"-",SUM('A-4'!B139,'A-4'!B186,'A-4'!B233))</f>
        <v>-</v>
      </c>
      <c r="C138" s="203" t="str">
        <f>IF(AND('A-4'!C139="-",'A-4'!C186="-",'A-4'!C233="-"),"-",SUM('A-4'!C139,'A-4'!C186,'A-4'!C233))</f>
        <v>-</v>
      </c>
      <c r="D138" s="203">
        <f>IF(AND('A-4'!D139="-",'A-4'!D186="-",'A-4'!D233="-"),"-",SUM('A-4'!D139,'A-4'!D186,'A-4'!D233))</f>
        <v>8006</v>
      </c>
      <c r="E138" s="203">
        <f>IF(AND('A-4'!E139="-",'A-4'!E186="-",'A-4'!E233="-"),"-",SUM('A-4'!E139,'A-4'!E186,'A-4'!E233))</f>
        <v>8281</v>
      </c>
      <c r="F138" s="203">
        <f>IF(AND('A-4'!F139="-",'A-4'!F186="-",'A-4'!F233="-"),"-",SUM('A-4'!F139,'A-4'!F186,'A-4'!F233))</f>
        <v>4284</v>
      </c>
      <c r="G138" s="203">
        <f>IF(AND('A-4'!G139="-",'A-4'!G186="-",'A-4'!G233="-"),"-",SUM('A-4'!G139,'A-4'!G186,'A-4'!G233))</f>
        <v>16521</v>
      </c>
      <c r="H138" s="203">
        <f>IF(AND('A-4'!H139="-",'A-4'!H186="-",'A-4'!H233="-"),"-",SUM('A-4'!H139,'A-4'!H186,'A-4'!H233))</f>
        <v>13188</v>
      </c>
      <c r="I138" s="203">
        <f>IF(AND('A-4'!I139="-",'A-4'!I186="-",'A-4'!I233="-"),"-",SUM('A-4'!I139,'A-4'!I186,'A-4'!I233))</f>
        <v>8500</v>
      </c>
      <c r="J138" s="203">
        <f>IF(AND('A-4'!J139="-",'A-4'!J186="-",'A-4'!J233="-"),"-",SUM('A-4'!J139,'A-4'!J186,'A-4'!J233))</f>
        <v>2366</v>
      </c>
      <c r="K138" s="203">
        <f>IF(AND('A-4'!K139="-",'A-4'!K186="-",'A-4'!K233="-"),"-",SUM('A-4'!K139,'A-4'!K186,'A-4'!K233))</f>
        <v>0</v>
      </c>
      <c r="L138" s="203">
        <f>IF(AND('A-4'!L139="-",'A-4'!L186="-",'A-4'!L233="-"),"-",SUM('A-4'!L139,'A-4'!L186,'A-4'!L233))</f>
        <v>61146</v>
      </c>
    </row>
    <row r="139" spans="1:12" ht="11.25" customHeight="1" x14ac:dyDescent="0.25">
      <c r="A139" s="402">
        <v>2017</v>
      </c>
      <c r="B139" s="203" t="str">
        <f>IF(AND('A-4'!B140="-",'A-4'!B187="-",'A-4'!B234="-"),"-",SUM('A-4'!B140,'A-4'!B187,'A-4'!B234))</f>
        <v>-</v>
      </c>
      <c r="C139" s="203" t="str">
        <f>IF(AND('A-4'!C140="-",'A-4'!C187="-",'A-4'!C234="-"),"-",SUM('A-4'!C140,'A-4'!C187,'A-4'!C234))</f>
        <v>-</v>
      </c>
      <c r="D139" s="203">
        <f>IF(AND('A-4'!D140="-",'A-4'!D187="-",'A-4'!D234="-"),"-",SUM('A-4'!D140,'A-4'!D187,'A-4'!D234))</f>
        <v>10105</v>
      </c>
      <c r="E139" s="203">
        <f>IF(AND('A-4'!E140="-",'A-4'!E187="-",'A-4'!E234="-"),"-",SUM('A-4'!E140,'A-4'!E187,'A-4'!E234))</f>
        <v>5000</v>
      </c>
      <c r="F139" s="203">
        <f>IF(AND('A-4'!F140="-",'A-4'!F187="-",'A-4'!F234="-"),"-",SUM('A-4'!F140,'A-4'!F187,'A-4'!F234))</f>
        <v>6574</v>
      </c>
      <c r="G139" s="203">
        <f>IF(AND('A-4'!G140="-",'A-4'!G187="-",'A-4'!G234="-"),"-",SUM('A-4'!G140,'A-4'!G187,'A-4'!G234))</f>
        <v>22590</v>
      </c>
      <c r="H139" s="203">
        <f>IF(AND('A-4'!H140="-",'A-4'!H187="-",'A-4'!H234="-"),"-",SUM('A-4'!H140,'A-4'!H187,'A-4'!H234))</f>
        <v>19358</v>
      </c>
      <c r="I139" s="203">
        <f>IF(AND('A-4'!I140="-",'A-4'!I187="-",'A-4'!I234="-"),"-",SUM('A-4'!I140,'A-4'!I187,'A-4'!I234))</f>
        <v>8496</v>
      </c>
      <c r="J139" s="203">
        <f>IF(AND('A-4'!J140="-",'A-4'!J187="-",'A-4'!J234="-"),"-",SUM('A-4'!J140,'A-4'!J187,'A-4'!J234))</f>
        <v>1851</v>
      </c>
      <c r="K139" s="203">
        <f>IF(AND('A-4'!K140="-",'A-4'!K187="-",'A-4'!K234="-"),"-",SUM('A-4'!K140,'A-4'!K187,'A-4'!K234))</f>
        <v>0</v>
      </c>
      <c r="L139" s="203">
        <f>IF(AND('A-4'!L140="-",'A-4'!L187="-",'A-4'!L234="-"),"-",SUM('A-4'!L140,'A-4'!L187,'A-4'!L234))</f>
        <v>73974</v>
      </c>
    </row>
    <row r="140" spans="1:12" s="358" customFormat="1" ht="11.25" customHeight="1" x14ac:dyDescent="0.25">
      <c r="A140" s="402">
        <v>2018</v>
      </c>
      <c r="B140" s="203" t="str">
        <f>IF(AND('A-4'!B141="-",'A-4'!B188="-",'A-4'!B235="-"),"-",SUM('A-4'!B141,'A-4'!B188,'A-4'!B235))</f>
        <v>-</v>
      </c>
      <c r="C140" s="203" t="str">
        <f>IF(AND('A-4'!C141="-",'A-4'!C188="-",'A-4'!C235="-"),"-",SUM('A-4'!C141,'A-4'!C188,'A-4'!C235))</f>
        <v>-</v>
      </c>
      <c r="D140" s="203">
        <f>IF(AND('A-4'!D141="-",'A-4'!D188="-",'A-4'!D235="-"),"-",SUM('A-4'!D141,'A-4'!D188,'A-4'!D235))</f>
        <v>8140</v>
      </c>
      <c r="E140" s="203">
        <f>IF(AND('A-4'!E141="-",'A-4'!E188="-",'A-4'!E235="-"),"-",SUM('A-4'!E141,'A-4'!E188,'A-4'!E235))</f>
        <v>2021</v>
      </c>
      <c r="F140" s="203">
        <f>IF(AND('A-4'!F141="-",'A-4'!F188="-",'A-4'!F235="-"),"-",SUM('A-4'!F141,'A-4'!F188,'A-4'!F235))</f>
        <v>12296</v>
      </c>
      <c r="G140" s="203">
        <f>IF(AND('A-4'!G141="-",'A-4'!G188="-",'A-4'!G235="-"),"-",SUM('A-4'!G141,'A-4'!G188,'A-4'!G235))</f>
        <v>34271</v>
      </c>
      <c r="H140" s="203">
        <f>IF(AND('A-4'!H141="-",'A-4'!H188="-",'A-4'!H235="-"),"-",SUM('A-4'!H141,'A-4'!H188,'A-4'!H235))</f>
        <v>18472</v>
      </c>
      <c r="I140" s="203">
        <f>IF(AND('A-4'!I141="-",'A-4'!I188="-",'A-4'!I235="-"),"-",SUM('A-4'!I141,'A-4'!I188,'A-4'!I235))</f>
        <v>8984</v>
      </c>
      <c r="J140" s="203">
        <f>IF(AND('A-4'!J141="-",'A-4'!J188="-",'A-4'!J235="-"),"-",SUM('A-4'!J141,'A-4'!J188,'A-4'!J235))</f>
        <v>5072</v>
      </c>
      <c r="K140" s="203" t="str">
        <f>IF(AND('A-4'!K141="-",'A-4'!K188="-",'A-4'!K235="-"),"-",SUM('A-4'!K141,'A-4'!K188,'A-4'!K235))</f>
        <v>-</v>
      </c>
      <c r="L140" s="203">
        <f>IF(AND('A-4'!L141="-",'A-4'!L188="-",'A-4'!L235="-"),"-",SUM('A-4'!L141,'A-4'!L188,'A-4'!L235))</f>
        <v>89256</v>
      </c>
    </row>
    <row r="141" spans="1:12" s="358" customFormat="1" ht="11.25" customHeight="1" x14ac:dyDescent="0.25">
      <c r="A141" s="123" t="s">
        <v>403</v>
      </c>
      <c r="B141" s="203" t="str">
        <f>IF(AND('A-4'!B142="-",'A-4'!B189="-",'A-4'!B236="-"),"-",SUM('A-4'!B142,'A-4'!B189,'A-4'!B236))</f>
        <v>-</v>
      </c>
      <c r="C141" s="203" t="str">
        <f>IF(AND('A-4'!C142="-",'A-4'!C189="-",'A-4'!C236="-"),"-",SUM('A-4'!C142,'A-4'!C189,'A-4'!C236))</f>
        <v>-</v>
      </c>
      <c r="D141" s="203">
        <f>IF(AND('A-4'!D142="-",'A-4'!D189="-",'A-4'!D236="-"),"-",SUM('A-4'!D142,'A-4'!D189,'A-4'!D236))</f>
        <v>17350</v>
      </c>
      <c r="E141" s="203">
        <f>IF(AND('A-4'!E142="-",'A-4'!E189="-",'A-4'!E236="-"),"-",SUM('A-4'!E142,'A-4'!E189,'A-4'!E236))</f>
        <v>5579</v>
      </c>
      <c r="F141" s="203">
        <f>IF(AND('A-4'!F142="-",'A-4'!F189="-",'A-4'!F236="-"),"-",SUM('A-4'!F142,'A-4'!F189,'A-4'!F236))</f>
        <v>18173</v>
      </c>
      <c r="G141" s="203">
        <f>IF(AND('A-4'!G142="-",'A-4'!G189="-",'A-4'!G236="-"),"-",SUM('A-4'!G142,'A-4'!G189,'A-4'!G236))</f>
        <v>22932</v>
      </c>
      <c r="H141" s="203">
        <f>IF(AND('A-4'!H142="-",'A-4'!H189="-",'A-4'!H236="-"),"-",SUM('A-4'!H142,'A-4'!H189,'A-4'!H236))</f>
        <v>23219</v>
      </c>
      <c r="I141" s="203">
        <f>IF(AND('A-4'!I142="-",'A-4'!I189="-",'A-4'!I236="-"),"-",SUM('A-4'!I142,'A-4'!I189,'A-4'!I236))</f>
        <v>6925</v>
      </c>
      <c r="J141" s="203">
        <f>IF(AND('A-4'!J142="-",'A-4'!J189="-",'A-4'!J236="-"),"-",SUM('A-4'!J142,'A-4'!J189,'A-4'!J236))</f>
        <v>1821</v>
      </c>
      <c r="K141" s="203" t="str">
        <f>IF(AND('A-4'!K142="-",'A-4'!K189="-",'A-4'!K236="-"),"-",SUM('A-4'!K142,'A-4'!K189,'A-4'!K236))</f>
        <v>-</v>
      </c>
      <c r="L141" s="203">
        <f>IF(AND('A-4'!L142="-",'A-4'!L189="-",'A-4'!L236="-"),"-",SUM('A-4'!L142,'A-4'!L189,'A-4'!L236))</f>
        <v>95999</v>
      </c>
    </row>
    <row r="142" spans="1:12" ht="11.25" customHeight="1" x14ac:dyDescent="0.25">
      <c r="A142" s="123" t="s">
        <v>404</v>
      </c>
      <c r="B142" s="200" t="str">
        <f>IF(AND('A-4'!B143="-",'A-4'!B190="-",'A-4'!B237="-"),"-",SUM('A-4'!B143,'A-4'!B190,'A-4'!B237))</f>
        <v>-</v>
      </c>
      <c r="C142" s="200" t="str">
        <f>IF(AND('A-4'!C143="-",'A-4'!C190="-",'A-4'!C237="-"),"-",SUM('A-4'!C143,'A-4'!C190,'A-4'!C237))</f>
        <v>-</v>
      </c>
      <c r="D142" s="200" t="str">
        <f>IF(AND('A-4'!D143="-",'A-4'!D190="-",'A-4'!D237="-"),"-",SUM('A-4'!D143,'A-4'!D190,'A-4'!D237))</f>
        <v>-</v>
      </c>
      <c r="E142" s="60" t="s">
        <v>116</v>
      </c>
      <c r="F142" s="60" t="s">
        <v>116</v>
      </c>
      <c r="G142" s="200">
        <f>IF(AND('A-4'!G143="-",'A-4'!G190="-",'A-4'!G237="-"),"-",SUM('A-4'!G143,'A-4'!G190,'A-4'!G237))</f>
        <v>25843</v>
      </c>
      <c r="H142" s="200">
        <f>IF(AND('A-4'!H143="-",'A-4'!H190="-",'A-4'!H237="-"),"-",SUM('A-4'!H143,'A-4'!H190,'A-4'!H237))</f>
        <v>16662</v>
      </c>
      <c r="I142" s="200">
        <f>IF(AND('A-4'!I143="-",'A-4'!I190="-",'A-4'!I237="-"),"-",SUM('A-4'!I143,'A-4'!I190,'A-4'!I237))</f>
        <v>7703</v>
      </c>
      <c r="J142" s="200">
        <f>IF(AND('A-4'!J143="-",'A-4'!J190="-",'A-4'!J237="-"),"-",SUM('A-4'!J143,'A-4'!J190,'A-4'!J237))</f>
        <v>4123</v>
      </c>
      <c r="K142" s="200">
        <f>IF(AND('A-4'!K143="-",'A-4'!K190="-",'A-4'!K237="-"),"-",SUM('A-4'!K143,'A-4'!K190,'A-4'!K237))</f>
        <v>127</v>
      </c>
      <c r="L142" s="200">
        <f>IF(AND('A-4'!L143="-",'A-4'!L190="-",'A-4'!L237="-"),"-",SUM('A-4'!L143,'A-4'!L190,'A-4'!L237))</f>
        <v>54458</v>
      </c>
    </row>
    <row r="143" spans="1:12" ht="11.25" customHeight="1" x14ac:dyDescent="0.25"/>
    <row r="144" spans="1:12" ht="11.25" customHeight="1" x14ac:dyDescent="0.25">
      <c r="A144" s="116" t="s">
        <v>86</v>
      </c>
    </row>
    <row r="145" spans="1:12" ht="11.25" customHeight="1" x14ac:dyDescent="0.25">
      <c r="A145" s="383">
        <v>1976</v>
      </c>
      <c r="B145" s="203">
        <f>IF(AND(B98="-",B51="-",B4="-"),"-",SUM(B98,B51,B4))</f>
        <v>8194</v>
      </c>
      <c r="C145" s="203">
        <f t="shared" ref="C145:L145" si="2">IF(AND(C98="-",C51="-",C4="-"),"-",SUM(C98,C51,C4))</f>
        <v>7412</v>
      </c>
      <c r="D145" s="203">
        <f t="shared" si="2"/>
        <v>7916</v>
      </c>
      <c r="E145" s="203">
        <f t="shared" si="2"/>
        <v>29401</v>
      </c>
      <c r="F145" s="203">
        <f t="shared" si="2"/>
        <v>94754</v>
      </c>
      <c r="G145" s="203">
        <f t="shared" si="2"/>
        <v>191282</v>
      </c>
      <c r="H145" s="203">
        <f t="shared" si="2"/>
        <v>205416</v>
      </c>
      <c r="I145" s="203">
        <f t="shared" si="2"/>
        <v>56765</v>
      </c>
      <c r="J145" s="203">
        <f t="shared" si="2"/>
        <v>17814</v>
      </c>
      <c r="K145" s="203">
        <f t="shared" si="2"/>
        <v>4246</v>
      </c>
      <c r="L145" s="203">
        <f t="shared" si="2"/>
        <v>623200</v>
      </c>
    </row>
    <row r="146" spans="1:12" ht="11.25" customHeight="1" x14ac:dyDescent="0.25">
      <c r="A146" s="383">
        <v>1977</v>
      </c>
      <c r="B146" s="203">
        <f t="shared" ref="B146:L146" si="3">IF(AND(B99="-",B52="-",B5="-"),"-",SUM(B99,B52,B5))</f>
        <v>9832</v>
      </c>
      <c r="C146" s="203">
        <f t="shared" si="3"/>
        <v>9729</v>
      </c>
      <c r="D146" s="203">
        <f t="shared" si="3"/>
        <v>13632</v>
      </c>
      <c r="E146" s="203">
        <f t="shared" si="3"/>
        <v>28405</v>
      </c>
      <c r="F146" s="203">
        <f t="shared" si="3"/>
        <v>57168</v>
      </c>
      <c r="G146" s="203">
        <f t="shared" si="3"/>
        <v>166399</v>
      </c>
      <c r="H146" s="203">
        <f t="shared" si="3"/>
        <v>139499</v>
      </c>
      <c r="I146" s="203">
        <f t="shared" si="3"/>
        <v>48816</v>
      </c>
      <c r="J146" s="203">
        <f t="shared" si="3"/>
        <v>19153</v>
      </c>
      <c r="K146" s="203">
        <f t="shared" si="3"/>
        <v>4154</v>
      </c>
      <c r="L146" s="203">
        <f t="shared" si="3"/>
        <v>496787</v>
      </c>
    </row>
    <row r="147" spans="1:12" ht="11.25" customHeight="1" x14ac:dyDescent="0.25">
      <c r="A147" s="383">
        <v>1978</v>
      </c>
      <c r="B147" s="203">
        <f t="shared" ref="B147:L147" si="4">IF(AND(B100="-",B53="-",B6="-"),"-",SUM(B100,B53,B6))</f>
        <v>19152</v>
      </c>
      <c r="C147" s="203">
        <f t="shared" si="4"/>
        <v>13387</v>
      </c>
      <c r="D147" s="203">
        <f t="shared" si="4"/>
        <v>2914</v>
      </c>
      <c r="E147" s="203">
        <f t="shared" si="4"/>
        <v>13683</v>
      </c>
      <c r="F147" s="203">
        <f t="shared" si="4"/>
        <v>84245</v>
      </c>
      <c r="G147" s="203">
        <f t="shared" si="4"/>
        <v>167158</v>
      </c>
      <c r="H147" s="203">
        <f t="shared" si="4"/>
        <v>117914</v>
      </c>
      <c r="I147" s="203">
        <f t="shared" si="4"/>
        <v>44033</v>
      </c>
      <c r="J147" s="203">
        <f t="shared" si="4"/>
        <v>21218</v>
      </c>
      <c r="K147" s="203">
        <f t="shared" si="4"/>
        <v>7355</v>
      </c>
      <c r="L147" s="203">
        <f t="shared" si="4"/>
        <v>491059</v>
      </c>
    </row>
    <row r="148" spans="1:12" ht="11.25" customHeight="1" x14ac:dyDescent="0.25">
      <c r="A148" s="383">
        <v>1979</v>
      </c>
      <c r="B148" s="203">
        <f t="shared" ref="B148:L148" si="5">IF(AND(B101="-",B54="-",B7="-"),"-",SUM(B101,B54,B7))</f>
        <v>8685</v>
      </c>
      <c r="C148" s="203">
        <f t="shared" si="5"/>
        <v>14396</v>
      </c>
      <c r="D148" s="203">
        <f t="shared" si="5"/>
        <v>11656</v>
      </c>
      <c r="E148" s="203">
        <f t="shared" si="5"/>
        <v>16860</v>
      </c>
      <c r="F148" s="203">
        <f t="shared" si="5"/>
        <v>61323</v>
      </c>
      <c r="G148" s="203">
        <f t="shared" si="5"/>
        <v>150665</v>
      </c>
      <c r="H148" s="203">
        <f t="shared" si="5"/>
        <v>117190</v>
      </c>
      <c r="I148" s="203">
        <f t="shared" si="5"/>
        <v>19531</v>
      </c>
      <c r="J148" s="203">
        <f t="shared" si="5"/>
        <v>10555</v>
      </c>
      <c r="K148" s="203">
        <f t="shared" si="5"/>
        <v>935</v>
      </c>
      <c r="L148" s="203">
        <f t="shared" si="5"/>
        <v>411796</v>
      </c>
    </row>
    <row r="149" spans="1:12" ht="11.25" customHeight="1" x14ac:dyDescent="0.25">
      <c r="A149" s="383">
        <v>1980</v>
      </c>
      <c r="B149" s="203">
        <f t="shared" ref="B149:L149" si="6">IF(AND(B102="-",B55="-",B8="-"),"-",SUM(B102,B55,B8))</f>
        <v>3464</v>
      </c>
      <c r="C149" s="203">
        <f t="shared" si="6"/>
        <v>17417</v>
      </c>
      <c r="D149" s="203">
        <f t="shared" si="6"/>
        <v>10048</v>
      </c>
      <c r="E149" s="203">
        <f t="shared" si="6"/>
        <v>14454</v>
      </c>
      <c r="F149" s="203">
        <f t="shared" si="6"/>
        <v>93346</v>
      </c>
      <c r="G149" s="203">
        <f t="shared" si="6"/>
        <v>171200</v>
      </c>
      <c r="H149" s="203">
        <f t="shared" si="6"/>
        <v>86584</v>
      </c>
      <c r="I149" s="203">
        <f t="shared" si="6"/>
        <v>26625</v>
      </c>
      <c r="J149" s="203">
        <f t="shared" si="6"/>
        <v>5935</v>
      </c>
      <c r="K149" s="203">
        <f t="shared" si="6"/>
        <v>412</v>
      </c>
      <c r="L149" s="203">
        <f t="shared" si="6"/>
        <v>429485</v>
      </c>
    </row>
    <row r="150" spans="1:12" ht="11.25" customHeight="1" x14ac:dyDescent="0.25">
      <c r="A150" s="383">
        <v>1981</v>
      </c>
      <c r="B150" s="203">
        <f t="shared" ref="B150:L150" si="7">IF(AND(B103="-",B56="-",B9="-"),"-",SUM(B103,B56,B9))</f>
        <v>5159</v>
      </c>
      <c r="C150" s="203">
        <f t="shared" si="7"/>
        <v>5954</v>
      </c>
      <c r="D150" s="203">
        <f t="shared" si="7"/>
        <v>10609</v>
      </c>
      <c r="E150" s="203">
        <f t="shared" si="7"/>
        <v>18168</v>
      </c>
      <c r="F150" s="203">
        <f t="shared" si="7"/>
        <v>59238</v>
      </c>
      <c r="G150" s="203">
        <f t="shared" si="7"/>
        <v>132830</v>
      </c>
      <c r="H150" s="203">
        <f t="shared" si="7"/>
        <v>115944</v>
      </c>
      <c r="I150" s="203">
        <f t="shared" si="7"/>
        <v>30409</v>
      </c>
      <c r="J150" s="203">
        <f t="shared" si="7"/>
        <v>8001</v>
      </c>
      <c r="K150" s="203">
        <f t="shared" si="7"/>
        <v>1973</v>
      </c>
      <c r="L150" s="203">
        <f t="shared" si="7"/>
        <v>388285</v>
      </c>
    </row>
    <row r="151" spans="1:12" ht="11.25" customHeight="1" x14ac:dyDescent="0.25">
      <c r="A151" s="383">
        <v>1982</v>
      </c>
      <c r="B151" s="203">
        <f t="shared" ref="B151:L151" si="8">IF(AND(B104="-",B57="-",B10="-"),"-",SUM(B104,B57,B10))</f>
        <v>7355</v>
      </c>
      <c r="C151" s="203">
        <f t="shared" si="8"/>
        <v>12371</v>
      </c>
      <c r="D151" s="203">
        <f t="shared" si="8"/>
        <v>8257</v>
      </c>
      <c r="E151" s="203">
        <f t="shared" si="8"/>
        <v>10600</v>
      </c>
      <c r="F151" s="203">
        <f t="shared" si="8"/>
        <v>51551</v>
      </c>
      <c r="G151" s="203">
        <f t="shared" si="8"/>
        <v>201669</v>
      </c>
      <c r="H151" s="203">
        <f t="shared" si="8"/>
        <v>46222</v>
      </c>
      <c r="I151" s="203">
        <f t="shared" si="8"/>
        <v>16926</v>
      </c>
      <c r="J151" s="203">
        <f t="shared" si="8"/>
        <v>12150</v>
      </c>
      <c r="K151" s="203">
        <f t="shared" si="8"/>
        <v>2953</v>
      </c>
      <c r="L151" s="203">
        <f t="shared" si="8"/>
        <v>370054</v>
      </c>
    </row>
    <row r="152" spans="1:12" ht="11.25" customHeight="1" x14ac:dyDescent="0.25">
      <c r="A152" s="383">
        <v>1983</v>
      </c>
      <c r="B152" s="203">
        <f t="shared" ref="B152:L152" si="9">IF(AND(B105="-",B58="-",B11="-"),"-",SUM(B105,B58,B11))</f>
        <v>2091</v>
      </c>
      <c r="C152" s="203">
        <f t="shared" si="9"/>
        <v>2354</v>
      </c>
      <c r="D152" s="203">
        <f t="shared" si="9"/>
        <v>6579</v>
      </c>
      <c r="E152" s="203">
        <f t="shared" si="9"/>
        <v>11235</v>
      </c>
      <c r="F152" s="203">
        <f t="shared" si="9"/>
        <v>52006</v>
      </c>
      <c r="G152" s="203">
        <f t="shared" si="9"/>
        <v>137623</v>
      </c>
      <c r="H152" s="203">
        <f t="shared" si="9"/>
        <v>64727</v>
      </c>
      <c r="I152" s="203">
        <f t="shared" si="9"/>
        <v>30619</v>
      </c>
      <c r="J152" s="203">
        <f t="shared" si="9"/>
        <v>10413</v>
      </c>
      <c r="K152" s="203">
        <f t="shared" si="9"/>
        <v>199</v>
      </c>
      <c r="L152" s="203">
        <f t="shared" si="9"/>
        <v>317846</v>
      </c>
    </row>
    <row r="153" spans="1:12" ht="11.25" customHeight="1" x14ac:dyDescent="0.25">
      <c r="A153" s="383">
        <v>1984</v>
      </c>
      <c r="B153" s="203">
        <f t="shared" ref="B153:L153" si="10">IF(AND(B106="-",B59="-",B12="-"),"-",SUM(B106,B59,B12))</f>
        <v>1916</v>
      </c>
      <c r="C153" s="203">
        <f t="shared" si="10"/>
        <v>2166</v>
      </c>
      <c r="D153" s="203">
        <f t="shared" si="10"/>
        <v>6475</v>
      </c>
      <c r="E153" s="203">
        <f t="shared" si="10"/>
        <v>9385</v>
      </c>
      <c r="F153" s="203">
        <f t="shared" si="10"/>
        <v>15419</v>
      </c>
      <c r="G153" s="203">
        <f t="shared" si="10"/>
        <v>122592</v>
      </c>
      <c r="H153" s="203">
        <f t="shared" si="10"/>
        <v>91468</v>
      </c>
      <c r="I153" s="203">
        <f t="shared" si="10"/>
        <v>14965</v>
      </c>
      <c r="J153" s="203">
        <f t="shared" si="10"/>
        <v>6560</v>
      </c>
      <c r="K153" s="203">
        <f t="shared" si="10"/>
        <v>772</v>
      </c>
      <c r="L153" s="203">
        <f t="shared" si="10"/>
        <v>271718</v>
      </c>
    </row>
    <row r="154" spans="1:12" ht="11.25" customHeight="1" x14ac:dyDescent="0.25">
      <c r="A154" s="383">
        <v>1985</v>
      </c>
      <c r="B154" s="203">
        <f t="shared" ref="B154:L154" si="11">IF(AND(B107="-",B60="-",B13="-"),"-",SUM(B107,B60,B13))</f>
        <v>9012</v>
      </c>
      <c r="C154" s="203">
        <f t="shared" si="11"/>
        <v>16882</v>
      </c>
      <c r="D154" s="203">
        <f t="shared" si="11"/>
        <v>11939</v>
      </c>
      <c r="E154" s="203">
        <f t="shared" si="11"/>
        <v>23065</v>
      </c>
      <c r="F154" s="203">
        <f t="shared" si="11"/>
        <v>33553</v>
      </c>
      <c r="G154" s="203">
        <f t="shared" si="11"/>
        <v>151561</v>
      </c>
      <c r="H154" s="203">
        <f t="shared" si="11"/>
        <v>146197</v>
      </c>
      <c r="I154" s="203">
        <f t="shared" si="11"/>
        <v>19526</v>
      </c>
      <c r="J154" s="203">
        <f t="shared" si="11"/>
        <v>9800</v>
      </c>
      <c r="K154" s="203">
        <f t="shared" si="11"/>
        <v>1924</v>
      </c>
      <c r="L154" s="203">
        <f t="shared" si="11"/>
        <v>423459</v>
      </c>
    </row>
    <row r="155" spans="1:12" ht="11.25" customHeight="1" x14ac:dyDescent="0.25">
      <c r="A155" s="383">
        <v>1986</v>
      </c>
      <c r="B155" s="203">
        <f t="shared" ref="B155:L155" si="12">IF(AND(B108="-",B61="-",B14="-"),"-",SUM(B108,B61,B14))</f>
        <v>2129</v>
      </c>
      <c r="C155" s="203">
        <f t="shared" si="12"/>
        <v>13939</v>
      </c>
      <c r="D155" s="203">
        <f t="shared" si="12"/>
        <v>18354</v>
      </c>
      <c r="E155" s="203">
        <f t="shared" si="12"/>
        <v>20707</v>
      </c>
      <c r="F155" s="203">
        <f t="shared" si="12"/>
        <v>58465</v>
      </c>
      <c r="G155" s="203">
        <f t="shared" si="12"/>
        <v>163767</v>
      </c>
      <c r="H155" s="203">
        <f t="shared" si="12"/>
        <v>65169</v>
      </c>
      <c r="I155" s="203">
        <f t="shared" si="12"/>
        <v>8785</v>
      </c>
      <c r="J155" s="203">
        <f t="shared" si="12"/>
        <v>9827</v>
      </c>
      <c r="K155" s="203">
        <f t="shared" si="12"/>
        <v>885</v>
      </c>
      <c r="L155" s="203">
        <f t="shared" si="12"/>
        <v>362027</v>
      </c>
    </row>
    <row r="156" spans="1:12" ht="11.25" customHeight="1" x14ac:dyDescent="0.25">
      <c r="A156" s="383">
        <v>1987</v>
      </c>
      <c r="B156" s="203">
        <f t="shared" ref="B156:L156" si="13">IF(AND(B109="-",B62="-",B15="-"),"-",SUM(B109,B62,B15))</f>
        <v>8638</v>
      </c>
      <c r="C156" s="203">
        <f t="shared" si="13"/>
        <v>18933</v>
      </c>
      <c r="D156" s="203">
        <f t="shared" si="13"/>
        <v>17577</v>
      </c>
      <c r="E156" s="203">
        <f t="shared" si="13"/>
        <v>19561</v>
      </c>
      <c r="F156" s="203">
        <f t="shared" si="13"/>
        <v>61965</v>
      </c>
      <c r="G156" s="203">
        <f t="shared" si="13"/>
        <v>205930</v>
      </c>
      <c r="H156" s="203">
        <f t="shared" si="13"/>
        <v>114389</v>
      </c>
      <c r="I156" s="203">
        <f t="shared" si="13"/>
        <v>45180</v>
      </c>
      <c r="J156" s="203">
        <f t="shared" si="13"/>
        <v>12382</v>
      </c>
      <c r="K156" s="203">
        <f t="shared" si="13"/>
        <v>1662</v>
      </c>
      <c r="L156" s="203">
        <f t="shared" si="13"/>
        <v>506217</v>
      </c>
    </row>
    <row r="157" spans="1:12" ht="11.25" customHeight="1" x14ac:dyDescent="0.25">
      <c r="A157" s="383">
        <v>1988</v>
      </c>
      <c r="B157" s="203">
        <f t="shared" ref="B157:L157" si="14">IF(AND(B110="-",B63="-",B16="-"),"-",SUM(B110,B63,B16))</f>
        <v>10596</v>
      </c>
      <c r="C157" s="203">
        <f t="shared" si="14"/>
        <v>16108</v>
      </c>
      <c r="D157" s="203">
        <f t="shared" si="14"/>
        <v>18934</v>
      </c>
      <c r="E157" s="203">
        <f t="shared" si="14"/>
        <v>27245</v>
      </c>
      <c r="F157" s="203">
        <f t="shared" si="14"/>
        <v>80760</v>
      </c>
      <c r="G157" s="203">
        <f t="shared" si="14"/>
        <v>181873</v>
      </c>
      <c r="H157" s="203">
        <f t="shared" si="14"/>
        <v>113753</v>
      </c>
      <c r="I157" s="203">
        <f t="shared" si="14"/>
        <v>34167</v>
      </c>
      <c r="J157" s="203">
        <f t="shared" si="14"/>
        <v>3826</v>
      </c>
      <c r="K157" s="203">
        <f t="shared" si="14"/>
        <v>42</v>
      </c>
      <c r="L157" s="203">
        <f t="shared" si="14"/>
        <v>487304</v>
      </c>
    </row>
    <row r="158" spans="1:12" ht="11.25" customHeight="1" x14ac:dyDescent="0.25">
      <c r="A158" s="383">
        <v>1989</v>
      </c>
      <c r="B158" s="203">
        <f t="shared" ref="B158:L158" si="15">IF(AND(B111="-",B64="-",B17="-"),"-",SUM(B111,B64,B17))</f>
        <v>9830</v>
      </c>
      <c r="C158" s="203">
        <f t="shared" si="15"/>
        <v>15912</v>
      </c>
      <c r="D158" s="203">
        <f t="shared" si="15"/>
        <v>35010</v>
      </c>
      <c r="E158" s="203">
        <f t="shared" si="15"/>
        <v>22795</v>
      </c>
      <c r="F158" s="203">
        <f t="shared" si="15"/>
        <v>93616</v>
      </c>
      <c r="G158" s="203">
        <f t="shared" si="15"/>
        <v>183755</v>
      </c>
      <c r="H158" s="203">
        <f t="shared" si="15"/>
        <v>106672</v>
      </c>
      <c r="I158" s="203">
        <f t="shared" si="15"/>
        <v>18219</v>
      </c>
      <c r="J158" s="203">
        <f t="shared" si="15"/>
        <v>4046</v>
      </c>
      <c r="K158" s="203">
        <f t="shared" si="15"/>
        <v>1870</v>
      </c>
      <c r="L158" s="203">
        <f t="shared" si="15"/>
        <v>491725</v>
      </c>
    </row>
    <row r="159" spans="1:12" ht="11.25" customHeight="1" x14ac:dyDescent="0.25">
      <c r="A159" s="383">
        <v>1990</v>
      </c>
      <c r="B159" s="203">
        <f t="shared" ref="B159:L159" si="16">IF(AND(B112="-",B65="-",B18="-"),"-",SUM(B112,B65,B18))</f>
        <v>10169</v>
      </c>
      <c r="C159" s="203">
        <f t="shared" si="16"/>
        <v>20580</v>
      </c>
      <c r="D159" s="203">
        <f t="shared" si="16"/>
        <v>30293</v>
      </c>
      <c r="E159" s="203">
        <f t="shared" si="16"/>
        <v>13519</v>
      </c>
      <c r="F159" s="203">
        <f t="shared" si="16"/>
        <v>84043</v>
      </c>
      <c r="G159" s="203">
        <f t="shared" si="16"/>
        <v>171934</v>
      </c>
      <c r="H159" s="203">
        <f t="shared" si="16"/>
        <v>104967</v>
      </c>
      <c r="I159" s="203">
        <f t="shared" si="16"/>
        <v>29183</v>
      </c>
      <c r="J159" s="203">
        <f t="shared" si="16"/>
        <v>5123</v>
      </c>
      <c r="K159" s="203">
        <f t="shared" si="16"/>
        <v>3355</v>
      </c>
      <c r="L159" s="203">
        <f t="shared" si="16"/>
        <v>473166</v>
      </c>
    </row>
    <row r="160" spans="1:12" ht="11.25" customHeight="1" x14ac:dyDescent="0.25">
      <c r="A160" s="383">
        <v>1991</v>
      </c>
      <c r="B160" s="203">
        <f t="shared" ref="B160:L160" si="17">IF(AND(B113="-",B66="-",B19="-"),"-",SUM(B113,B66,B19))</f>
        <v>55</v>
      </c>
      <c r="C160" s="203">
        <f t="shared" si="17"/>
        <v>12216</v>
      </c>
      <c r="D160" s="203">
        <f t="shared" si="17"/>
        <v>18217</v>
      </c>
      <c r="E160" s="203">
        <f t="shared" si="17"/>
        <v>15399</v>
      </c>
      <c r="F160" s="203">
        <f t="shared" si="17"/>
        <v>94290</v>
      </c>
      <c r="G160" s="203">
        <f t="shared" si="17"/>
        <v>185645</v>
      </c>
      <c r="H160" s="203">
        <f t="shared" si="17"/>
        <v>22601</v>
      </c>
      <c r="I160" s="203">
        <f t="shared" si="17"/>
        <v>12099</v>
      </c>
      <c r="J160" s="203">
        <f t="shared" si="17"/>
        <v>4454</v>
      </c>
      <c r="K160" s="203">
        <f t="shared" si="17"/>
        <v>58</v>
      </c>
      <c r="L160" s="203">
        <f t="shared" si="17"/>
        <v>365034</v>
      </c>
    </row>
    <row r="161" spans="1:12" ht="11.25" customHeight="1" x14ac:dyDescent="0.25">
      <c r="A161" s="383">
        <v>1992</v>
      </c>
      <c r="B161" s="203">
        <f t="shared" ref="B161:L161" si="18">IF(AND(B114="-",B67="-",B20="-"),"-",SUM(B114,B67,B20))</f>
        <v>2006</v>
      </c>
      <c r="C161" s="203">
        <f t="shared" si="18"/>
        <v>9713</v>
      </c>
      <c r="D161" s="203">
        <f t="shared" si="18"/>
        <v>9877</v>
      </c>
      <c r="E161" s="203">
        <f t="shared" si="18"/>
        <v>15235</v>
      </c>
      <c r="F161" s="203">
        <f t="shared" si="18"/>
        <v>33557</v>
      </c>
      <c r="G161" s="203">
        <f t="shared" si="18"/>
        <v>119012</v>
      </c>
      <c r="H161" s="203">
        <f t="shared" si="18"/>
        <v>49509</v>
      </c>
      <c r="I161" s="203">
        <f t="shared" si="18"/>
        <v>30880</v>
      </c>
      <c r="J161" s="203">
        <f t="shared" si="18"/>
        <v>9621</v>
      </c>
      <c r="K161" s="203">
        <f t="shared" si="18"/>
        <v>849</v>
      </c>
      <c r="L161" s="203">
        <f t="shared" si="18"/>
        <v>280259</v>
      </c>
    </row>
    <row r="162" spans="1:12" ht="11.25" customHeight="1" x14ac:dyDescent="0.25">
      <c r="A162" s="383">
        <v>1993</v>
      </c>
      <c r="B162" s="203">
        <f t="shared" ref="B162:L162" si="19">IF(AND(B115="-",B68="-",B21="-"),"-",SUM(B115,B68,B21))</f>
        <v>879</v>
      </c>
      <c r="C162" s="203">
        <f t="shared" si="19"/>
        <v>15036</v>
      </c>
      <c r="D162" s="203">
        <f t="shared" si="19"/>
        <v>17597</v>
      </c>
      <c r="E162" s="203">
        <f t="shared" si="19"/>
        <v>20910</v>
      </c>
      <c r="F162" s="203">
        <f t="shared" si="19"/>
        <v>21482</v>
      </c>
      <c r="G162" s="203">
        <f t="shared" si="19"/>
        <v>86224</v>
      </c>
      <c r="H162" s="203">
        <f t="shared" si="19"/>
        <v>55608</v>
      </c>
      <c r="I162" s="203">
        <f t="shared" si="19"/>
        <v>14203</v>
      </c>
      <c r="J162" s="203">
        <f t="shared" si="19"/>
        <v>4744</v>
      </c>
      <c r="K162" s="101" t="s">
        <v>116</v>
      </c>
      <c r="L162" s="203">
        <f t="shared" si="19"/>
        <v>236683</v>
      </c>
    </row>
    <row r="163" spans="1:12" ht="11.25" customHeight="1" x14ac:dyDescent="0.25">
      <c r="A163" s="383">
        <v>1994</v>
      </c>
      <c r="B163" s="203">
        <f t="shared" ref="B163:L163" si="20">IF(AND(B116="-",B69="-",B22="-"),"-",SUM(B116,B69,B22))</f>
        <v>3013</v>
      </c>
      <c r="C163" s="203">
        <f t="shared" si="20"/>
        <v>15387</v>
      </c>
      <c r="D163" s="203">
        <f t="shared" si="20"/>
        <v>19540</v>
      </c>
      <c r="E163" s="203">
        <f t="shared" si="20"/>
        <v>32605</v>
      </c>
      <c r="F163" s="203">
        <f t="shared" si="20"/>
        <v>40366</v>
      </c>
      <c r="G163" s="203">
        <f t="shared" si="20"/>
        <v>44976</v>
      </c>
      <c r="H163" s="203">
        <f t="shared" si="20"/>
        <v>32381</v>
      </c>
      <c r="I163" s="203">
        <f t="shared" si="20"/>
        <v>17898</v>
      </c>
      <c r="J163" s="203">
        <f t="shared" si="20"/>
        <v>22819</v>
      </c>
      <c r="K163" s="203">
        <f t="shared" si="20"/>
        <v>3</v>
      </c>
      <c r="L163" s="203">
        <f t="shared" si="20"/>
        <v>228988</v>
      </c>
    </row>
    <row r="164" spans="1:12" ht="11.25" customHeight="1" x14ac:dyDescent="0.25">
      <c r="A164" s="383">
        <v>1995</v>
      </c>
      <c r="B164" s="203">
        <f t="shared" ref="B164:L164" si="21">IF(AND(B117="-",B70="-",B23="-"),"-",SUM(B117,B70,B23))</f>
        <v>360</v>
      </c>
      <c r="C164" s="203">
        <f t="shared" si="21"/>
        <v>22917</v>
      </c>
      <c r="D164" s="203">
        <f t="shared" si="21"/>
        <v>50164</v>
      </c>
      <c r="E164" s="203">
        <f t="shared" si="21"/>
        <v>62722</v>
      </c>
      <c r="F164" s="203">
        <f t="shared" si="21"/>
        <v>81091</v>
      </c>
      <c r="G164" s="203">
        <f t="shared" si="21"/>
        <v>97536</v>
      </c>
      <c r="H164" s="203">
        <f t="shared" si="21"/>
        <v>48965</v>
      </c>
      <c r="I164" s="203">
        <f t="shared" si="21"/>
        <v>29406</v>
      </c>
      <c r="J164" s="203">
        <f t="shared" si="21"/>
        <v>9467</v>
      </c>
      <c r="K164" s="203">
        <f t="shared" si="21"/>
        <v>788</v>
      </c>
      <c r="L164" s="203">
        <f t="shared" si="21"/>
        <v>403416</v>
      </c>
    </row>
    <row r="165" spans="1:12" ht="11.25" customHeight="1" x14ac:dyDescent="0.25">
      <c r="A165" s="383">
        <v>1996</v>
      </c>
      <c r="B165" s="203">
        <f t="shared" ref="B165:L165" si="22">IF(AND(B118="-",B71="-",B24="-"),"-",SUM(B118,B71,B24))</f>
        <v>49</v>
      </c>
      <c r="C165" s="203">
        <f t="shared" si="22"/>
        <v>35215</v>
      </c>
      <c r="D165" s="203">
        <f t="shared" si="22"/>
        <v>30349</v>
      </c>
      <c r="E165" s="203">
        <f t="shared" si="22"/>
        <v>28144</v>
      </c>
      <c r="F165" s="203">
        <f t="shared" si="22"/>
        <v>50081</v>
      </c>
      <c r="G165" s="203">
        <f t="shared" si="22"/>
        <v>49604</v>
      </c>
      <c r="H165" s="203">
        <f t="shared" si="22"/>
        <v>41097</v>
      </c>
      <c r="I165" s="203">
        <f t="shared" si="22"/>
        <v>18416</v>
      </c>
      <c r="J165" s="203">
        <f t="shared" si="22"/>
        <v>10678</v>
      </c>
      <c r="K165" s="101" t="s">
        <v>116</v>
      </c>
      <c r="L165" s="203">
        <f t="shared" si="22"/>
        <v>263633</v>
      </c>
    </row>
    <row r="166" spans="1:12" ht="11.25" customHeight="1" x14ac:dyDescent="0.25">
      <c r="A166" s="383">
        <v>1997</v>
      </c>
      <c r="B166" s="60" t="s">
        <v>116</v>
      </c>
      <c r="C166" s="203">
        <f t="shared" ref="C166:L166" si="23">IF(AND(C119="-",C72="-",C25="-"),"-",SUM(C119,C72,C25))</f>
        <v>21546</v>
      </c>
      <c r="D166" s="203">
        <f t="shared" si="23"/>
        <v>29740</v>
      </c>
      <c r="E166" s="203">
        <f t="shared" si="23"/>
        <v>36185</v>
      </c>
      <c r="F166" s="203">
        <f t="shared" si="23"/>
        <v>48473</v>
      </c>
      <c r="G166" s="203">
        <f t="shared" si="23"/>
        <v>63988</v>
      </c>
      <c r="H166" s="203">
        <f t="shared" si="23"/>
        <v>44795</v>
      </c>
      <c r="I166" s="203">
        <f t="shared" si="23"/>
        <v>9654</v>
      </c>
      <c r="J166" s="203">
        <f t="shared" si="23"/>
        <v>6154</v>
      </c>
      <c r="K166" s="203">
        <f t="shared" si="23"/>
        <v>380</v>
      </c>
      <c r="L166" s="203">
        <f t="shared" si="23"/>
        <v>260915</v>
      </c>
    </row>
    <row r="167" spans="1:12" ht="11.25" customHeight="1" x14ac:dyDescent="0.25">
      <c r="A167" s="383">
        <v>1998</v>
      </c>
      <c r="B167" s="60" t="s">
        <v>116</v>
      </c>
      <c r="C167" s="203">
        <f t="shared" ref="C167:L167" si="24">IF(AND(C120="-",C73="-",C26="-"),"-",SUM(C120,C73,C26))</f>
        <v>6225</v>
      </c>
      <c r="D167" s="203">
        <f t="shared" si="24"/>
        <v>17692</v>
      </c>
      <c r="E167" s="203">
        <f t="shared" si="24"/>
        <v>22703</v>
      </c>
      <c r="F167" s="203">
        <f t="shared" si="24"/>
        <v>33931</v>
      </c>
      <c r="G167" s="203">
        <f t="shared" si="24"/>
        <v>36678</v>
      </c>
      <c r="H167" s="203">
        <f t="shared" si="24"/>
        <v>35864</v>
      </c>
      <c r="I167" s="203">
        <f t="shared" si="24"/>
        <v>13424</v>
      </c>
      <c r="J167" s="203">
        <f t="shared" si="24"/>
        <v>9147</v>
      </c>
      <c r="K167" s="101" t="s">
        <v>116</v>
      </c>
      <c r="L167" s="203">
        <f t="shared" si="24"/>
        <v>175664</v>
      </c>
    </row>
    <row r="168" spans="1:12" ht="11.25" customHeight="1" x14ac:dyDescent="0.25">
      <c r="A168" s="383">
        <v>1999</v>
      </c>
      <c r="B168" s="203">
        <f t="shared" ref="B168:L168" si="25">IF(AND(B121="-",B74="-",B27="-"),"-",SUM(B121,B74,B27))</f>
        <v>14</v>
      </c>
      <c r="C168" s="203">
        <f t="shared" si="25"/>
        <v>8721</v>
      </c>
      <c r="D168" s="203">
        <f t="shared" si="25"/>
        <v>11797</v>
      </c>
      <c r="E168" s="203">
        <f t="shared" si="25"/>
        <v>7406</v>
      </c>
      <c r="F168" s="203">
        <f t="shared" si="25"/>
        <v>29474</v>
      </c>
      <c r="G168" s="203">
        <f t="shared" si="25"/>
        <v>62264</v>
      </c>
      <c r="H168" s="203">
        <f t="shared" si="25"/>
        <v>40896</v>
      </c>
      <c r="I168" s="203">
        <f t="shared" si="25"/>
        <v>17147</v>
      </c>
      <c r="J168" s="203">
        <f t="shared" si="25"/>
        <v>11234</v>
      </c>
      <c r="K168" s="203">
        <f t="shared" si="25"/>
        <v>104</v>
      </c>
      <c r="L168" s="203">
        <f t="shared" si="25"/>
        <v>189057</v>
      </c>
    </row>
    <row r="169" spans="1:12" ht="11.25" customHeight="1" x14ac:dyDescent="0.25">
      <c r="A169" s="383">
        <v>2000</v>
      </c>
      <c r="B169" s="60" t="s">
        <v>116</v>
      </c>
      <c r="C169" s="203">
        <f t="shared" ref="C169:L169" si="26">IF(AND(C122="-",C75="-",C28="-"),"-",SUM(C122,C75,C28))</f>
        <v>0</v>
      </c>
      <c r="D169" s="203">
        <f t="shared" si="26"/>
        <v>36714</v>
      </c>
      <c r="E169" s="203">
        <f t="shared" si="26"/>
        <v>34376</v>
      </c>
      <c r="F169" s="203">
        <f t="shared" si="26"/>
        <v>46142</v>
      </c>
      <c r="G169" s="203">
        <f t="shared" si="26"/>
        <v>77501</v>
      </c>
      <c r="H169" s="203">
        <f t="shared" si="26"/>
        <v>53432</v>
      </c>
      <c r="I169" s="203">
        <f t="shared" si="26"/>
        <v>22641</v>
      </c>
      <c r="J169" s="203">
        <f t="shared" si="26"/>
        <v>12003</v>
      </c>
      <c r="K169" s="203">
        <f t="shared" si="26"/>
        <v>1686</v>
      </c>
      <c r="L169" s="203">
        <f t="shared" si="26"/>
        <v>284495</v>
      </c>
    </row>
    <row r="170" spans="1:12" ht="11.25" customHeight="1" x14ac:dyDescent="0.25">
      <c r="A170" s="383">
        <v>2001</v>
      </c>
      <c r="B170" s="203">
        <f t="shared" ref="B170:L170" si="27">IF(AND(B123="-",B76="-",B29="-"),"-",SUM(B123,B76,B29))</f>
        <v>0</v>
      </c>
      <c r="C170" s="203">
        <f t="shared" si="27"/>
        <v>1573</v>
      </c>
      <c r="D170" s="203">
        <f t="shared" si="27"/>
        <v>26353</v>
      </c>
      <c r="E170" s="203">
        <f t="shared" si="27"/>
        <v>30905</v>
      </c>
      <c r="F170" s="203">
        <f t="shared" si="27"/>
        <v>43376</v>
      </c>
      <c r="G170" s="203">
        <f t="shared" si="27"/>
        <v>78022</v>
      </c>
      <c r="H170" s="203">
        <f t="shared" si="27"/>
        <v>47847</v>
      </c>
      <c r="I170" s="203">
        <f t="shared" si="27"/>
        <v>18849</v>
      </c>
      <c r="J170" s="203">
        <f t="shared" si="27"/>
        <v>12675</v>
      </c>
      <c r="K170" s="203">
        <f t="shared" si="27"/>
        <v>2755</v>
      </c>
      <c r="L170" s="203">
        <f t="shared" si="27"/>
        <v>262355</v>
      </c>
    </row>
    <row r="171" spans="1:12" ht="11.25" customHeight="1" x14ac:dyDescent="0.25">
      <c r="A171" s="383">
        <v>2002</v>
      </c>
      <c r="B171" s="203">
        <f t="shared" ref="B171:L171" si="28">IF(AND(B124="-",B77="-",B30="-"),"-",SUM(B124,B77,B30))</f>
        <v>194</v>
      </c>
      <c r="C171" s="203">
        <f t="shared" si="28"/>
        <v>3760</v>
      </c>
      <c r="D171" s="203">
        <f t="shared" si="28"/>
        <v>40752</v>
      </c>
      <c r="E171" s="203">
        <f t="shared" si="28"/>
        <v>33823</v>
      </c>
      <c r="F171" s="203">
        <f t="shared" si="28"/>
        <v>46764</v>
      </c>
      <c r="G171" s="203">
        <f t="shared" si="28"/>
        <v>83748</v>
      </c>
      <c r="H171" s="203">
        <f t="shared" si="28"/>
        <v>59397</v>
      </c>
      <c r="I171" s="203">
        <f t="shared" si="28"/>
        <v>23084</v>
      </c>
      <c r="J171" s="203">
        <f t="shared" si="28"/>
        <v>13689</v>
      </c>
      <c r="K171" s="203">
        <f t="shared" si="28"/>
        <v>431</v>
      </c>
      <c r="L171" s="203">
        <f t="shared" si="28"/>
        <v>229774</v>
      </c>
    </row>
    <row r="172" spans="1:12" ht="11.25" customHeight="1" x14ac:dyDescent="0.25">
      <c r="A172" s="383">
        <v>2003</v>
      </c>
      <c r="B172" s="203">
        <f t="shared" ref="B172:L172" si="29">IF(AND(B125="-",B78="-",B31="-"),"-",SUM(B125,B78,B31))</f>
        <v>607</v>
      </c>
      <c r="C172" s="203">
        <f t="shared" si="29"/>
        <v>6455</v>
      </c>
      <c r="D172" s="203">
        <f t="shared" si="29"/>
        <v>15208</v>
      </c>
      <c r="E172" s="203">
        <f t="shared" si="29"/>
        <v>22419</v>
      </c>
      <c r="F172" s="203">
        <f t="shared" si="29"/>
        <v>36766</v>
      </c>
      <c r="G172" s="203">
        <f t="shared" si="29"/>
        <v>95997</v>
      </c>
      <c r="H172" s="203">
        <f t="shared" si="29"/>
        <v>54605</v>
      </c>
      <c r="I172" s="203">
        <f t="shared" si="29"/>
        <v>18176</v>
      </c>
      <c r="J172" s="203">
        <f t="shared" si="29"/>
        <v>8932</v>
      </c>
      <c r="K172" s="203">
        <f t="shared" si="29"/>
        <v>659</v>
      </c>
      <c r="L172" s="203">
        <f t="shared" si="29"/>
        <v>259824</v>
      </c>
    </row>
    <row r="173" spans="1:12" ht="11.25" customHeight="1" x14ac:dyDescent="0.25">
      <c r="A173" s="402">
        <v>2004</v>
      </c>
      <c r="B173" s="203">
        <f t="shared" ref="B173:L173" si="30">IF(AND(B126="-",B79="-",B32="-"),"-",SUM(B126,B79,B32))</f>
        <v>183</v>
      </c>
      <c r="C173" s="203">
        <f t="shared" si="30"/>
        <v>1077</v>
      </c>
      <c r="D173" s="203">
        <f t="shared" si="30"/>
        <v>33103</v>
      </c>
      <c r="E173" s="203">
        <f t="shared" si="30"/>
        <v>36193</v>
      </c>
      <c r="F173" s="203">
        <f t="shared" si="30"/>
        <v>51353</v>
      </c>
      <c r="G173" s="203">
        <f t="shared" si="30"/>
        <v>116238</v>
      </c>
      <c r="H173" s="203">
        <f t="shared" si="30"/>
        <v>69991</v>
      </c>
      <c r="I173" s="203">
        <f t="shared" si="30"/>
        <v>26912</v>
      </c>
      <c r="J173" s="203">
        <f t="shared" si="30"/>
        <v>8972</v>
      </c>
      <c r="K173" s="203">
        <f t="shared" si="30"/>
        <v>1830</v>
      </c>
      <c r="L173" s="203">
        <f t="shared" si="30"/>
        <v>345852</v>
      </c>
    </row>
    <row r="174" spans="1:12" ht="11.25" customHeight="1" x14ac:dyDescent="0.25">
      <c r="A174" s="402">
        <v>2005</v>
      </c>
      <c r="B174" s="203">
        <f t="shared" ref="B174:L174" si="31">IF(AND(B127="-",B80="-",B33="-"),"-",SUM(B127,B80,B33))</f>
        <v>869</v>
      </c>
      <c r="C174" s="203">
        <f t="shared" si="31"/>
        <v>551</v>
      </c>
      <c r="D174" s="203">
        <f t="shared" si="31"/>
        <v>25037</v>
      </c>
      <c r="E174" s="203">
        <f t="shared" si="31"/>
        <v>23066</v>
      </c>
      <c r="F174" s="203">
        <f t="shared" si="31"/>
        <v>49408</v>
      </c>
      <c r="G174" s="203">
        <f t="shared" si="31"/>
        <v>54000</v>
      </c>
      <c r="H174" s="203">
        <f t="shared" si="31"/>
        <v>41469</v>
      </c>
      <c r="I174" s="203">
        <f t="shared" si="31"/>
        <v>30396</v>
      </c>
      <c r="J174" s="203">
        <f t="shared" si="31"/>
        <v>9044</v>
      </c>
      <c r="K174" s="203">
        <f t="shared" si="31"/>
        <v>977</v>
      </c>
      <c r="L174" s="203">
        <f t="shared" si="31"/>
        <v>234817</v>
      </c>
    </row>
    <row r="175" spans="1:12" ht="11.25" customHeight="1" x14ac:dyDescent="0.25">
      <c r="A175" s="402">
        <v>2006</v>
      </c>
      <c r="B175" s="203">
        <f t="shared" ref="B175:L175" si="32">IF(AND(B128="-",B81="-",B34="-"),"-",SUM(B128,B81,B34))</f>
        <v>289</v>
      </c>
      <c r="C175" s="203">
        <f t="shared" si="32"/>
        <v>322</v>
      </c>
      <c r="D175" s="203">
        <f t="shared" si="32"/>
        <v>19290</v>
      </c>
      <c r="E175" s="203">
        <f t="shared" si="32"/>
        <v>22818</v>
      </c>
      <c r="F175" s="203">
        <f t="shared" si="32"/>
        <v>38913</v>
      </c>
      <c r="G175" s="203">
        <f t="shared" si="32"/>
        <v>53213</v>
      </c>
      <c r="H175" s="203">
        <f t="shared" si="32"/>
        <v>13501</v>
      </c>
      <c r="I175" s="203">
        <f t="shared" si="32"/>
        <v>21417</v>
      </c>
      <c r="J175" s="203">
        <f t="shared" si="32"/>
        <v>10276</v>
      </c>
      <c r="K175" s="203">
        <f t="shared" si="32"/>
        <v>546</v>
      </c>
      <c r="L175" s="203">
        <f t="shared" si="32"/>
        <v>180585</v>
      </c>
    </row>
    <row r="176" spans="1:12" ht="11.25" customHeight="1" x14ac:dyDescent="0.25">
      <c r="A176" s="402">
        <v>2007</v>
      </c>
      <c r="B176" s="203">
        <f t="shared" ref="B176:L176" si="33">IF(AND(B129="-",B82="-",B35="-"),"-",SUM(B129,B82,B35))</f>
        <v>249</v>
      </c>
      <c r="C176" s="203">
        <f t="shared" si="33"/>
        <v>891</v>
      </c>
      <c r="D176" s="203">
        <f t="shared" si="33"/>
        <v>15118</v>
      </c>
      <c r="E176" s="203">
        <f t="shared" si="33"/>
        <v>16887</v>
      </c>
      <c r="F176" s="203">
        <f t="shared" si="33"/>
        <v>33671</v>
      </c>
      <c r="G176" s="203">
        <f t="shared" si="33"/>
        <v>51156</v>
      </c>
      <c r="H176" s="203">
        <f t="shared" si="33"/>
        <v>44618</v>
      </c>
      <c r="I176" s="203">
        <f t="shared" si="33"/>
        <v>10322</v>
      </c>
      <c r="J176" s="203">
        <f t="shared" si="33"/>
        <v>7421</v>
      </c>
      <c r="K176" s="203">
        <f t="shared" si="33"/>
        <v>1434</v>
      </c>
      <c r="L176" s="203">
        <f t="shared" si="33"/>
        <v>181767</v>
      </c>
    </row>
    <row r="177" spans="1:12" ht="11.25" customHeight="1" x14ac:dyDescent="0.25">
      <c r="A177" s="402">
        <v>2008</v>
      </c>
      <c r="B177" s="203">
        <f t="shared" ref="B177:J177" si="34">IF(AND(B130="-",B83="-",B36="-"),"-",SUM(B130,B83,B36))</f>
        <v>206</v>
      </c>
      <c r="C177" s="203">
        <f t="shared" si="34"/>
        <v>185</v>
      </c>
      <c r="D177" s="203" t="str">
        <f t="shared" si="34"/>
        <v>-</v>
      </c>
      <c r="E177" s="203" t="str">
        <f t="shared" si="34"/>
        <v>-</v>
      </c>
      <c r="F177" s="203">
        <f t="shared" si="34"/>
        <v>3965</v>
      </c>
      <c r="G177" s="203">
        <f t="shared" si="34"/>
        <v>9998</v>
      </c>
      <c r="H177" s="203">
        <f t="shared" si="34"/>
        <v>5753</v>
      </c>
      <c r="I177" s="203">
        <f t="shared" si="34"/>
        <v>3635</v>
      </c>
      <c r="J177" s="203">
        <f t="shared" si="34"/>
        <v>3413</v>
      </c>
      <c r="K177" s="101" t="s">
        <v>116</v>
      </c>
      <c r="L177" s="203">
        <f t="shared" ref="L177:L187" si="35">IF(AND(L130="-",L83="-",L36="-"),"-",SUM(L130,L83,L36))</f>
        <v>27155</v>
      </c>
    </row>
    <row r="178" spans="1:12" ht="11.25" customHeight="1" x14ac:dyDescent="0.25">
      <c r="A178" s="402">
        <v>2009</v>
      </c>
      <c r="B178" s="203" t="str">
        <f t="shared" ref="B178:J178" si="36">IF(AND(B131="-",B84="-",B37="-"),"-",SUM(B131,B84,B37))</f>
        <v>-</v>
      </c>
      <c r="C178" s="203" t="str">
        <f t="shared" si="36"/>
        <v>-</v>
      </c>
      <c r="D178" s="203" t="str">
        <f t="shared" si="36"/>
        <v>-</v>
      </c>
      <c r="E178" s="203" t="str">
        <f t="shared" si="36"/>
        <v>-</v>
      </c>
      <c r="F178" s="203">
        <f t="shared" si="36"/>
        <v>4412</v>
      </c>
      <c r="G178" s="203">
        <f t="shared" si="36"/>
        <v>35341</v>
      </c>
      <c r="H178" s="203">
        <f t="shared" si="36"/>
        <v>26698</v>
      </c>
      <c r="I178" s="203">
        <f t="shared" si="36"/>
        <v>9167</v>
      </c>
      <c r="J178" s="203">
        <f t="shared" si="36"/>
        <v>2009</v>
      </c>
      <c r="K178" s="101" t="s">
        <v>116</v>
      </c>
      <c r="L178" s="203">
        <f t="shared" si="35"/>
        <v>77627</v>
      </c>
    </row>
    <row r="179" spans="1:12" ht="11.25" customHeight="1" x14ac:dyDescent="0.25">
      <c r="A179" s="402">
        <v>2010</v>
      </c>
      <c r="B179" s="203" t="str">
        <f t="shared" ref="B179:J179" si="37">IF(AND(B132="-",B85="-",B38="-"),"-",SUM(B132,B85,B38))</f>
        <v>-</v>
      </c>
      <c r="C179" s="203" t="str">
        <f t="shared" si="37"/>
        <v>-</v>
      </c>
      <c r="D179" s="203">
        <f t="shared" si="37"/>
        <v>16774</v>
      </c>
      <c r="E179" s="203">
        <f t="shared" si="37"/>
        <v>8298</v>
      </c>
      <c r="F179" s="203">
        <f t="shared" si="37"/>
        <v>6467</v>
      </c>
      <c r="G179" s="203">
        <f t="shared" si="37"/>
        <v>18706</v>
      </c>
      <c r="H179" s="203">
        <f t="shared" si="37"/>
        <v>27170</v>
      </c>
      <c r="I179" s="203">
        <f t="shared" si="37"/>
        <v>10999</v>
      </c>
      <c r="J179" s="203">
        <f t="shared" si="37"/>
        <v>3318</v>
      </c>
      <c r="K179" s="101" t="s">
        <v>116</v>
      </c>
      <c r="L179" s="203">
        <f t="shared" si="35"/>
        <v>91732</v>
      </c>
    </row>
    <row r="180" spans="1:12" ht="11.25" customHeight="1" x14ac:dyDescent="0.25">
      <c r="A180" s="402">
        <v>2011</v>
      </c>
      <c r="B180" s="203" t="str">
        <f t="shared" ref="B180:K180" si="38">IF(AND(B133="-",B86="-",B39="-"),"-",SUM(B133,B86,B39))</f>
        <v>-</v>
      </c>
      <c r="C180" s="203">
        <f t="shared" si="38"/>
        <v>22</v>
      </c>
      <c r="D180" s="203">
        <f t="shared" si="38"/>
        <v>15640</v>
      </c>
      <c r="E180" s="203">
        <f t="shared" si="38"/>
        <v>8620</v>
      </c>
      <c r="F180" s="203">
        <f t="shared" si="38"/>
        <v>12876</v>
      </c>
      <c r="G180" s="203">
        <f t="shared" si="38"/>
        <v>36194</v>
      </c>
      <c r="H180" s="203">
        <f t="shared" si="38"/>
        <v>31114</v>
      </c>
      <c r="I180" s="203">
        <f t="shared" si="38"/>
        <v>22139</v>
      </c>
      <c r="J180" s="203">
        <f t="shared" si="38"/>
        <v>6428</v>
      </c>
      <c r="K180" s="203">
        <f t="shared" si="38"/>
        <v>16</v>
      </c>
      <c r="L180" s="203">
        <f t="shared" si="35"/>
        <v>133049</v>
      </c>
    </row>
    <row r="181" spans="1:12" ht="11.25" customHeight="1" x14ac:dyDescent="0.25">
      <c r="A181" s="402">
        <v>2012</v>
      </c>
      <c r="B181" s="203" t="str">
        <f t="shared" ref="B181:K181" si="39">IF(AND(B134="-",B87="-",B40="-"),"-",SUM(B134,B87,B40))</f>
        <v>-</v>
      </c>
      <c r="C181" s="203">
        <f t="shared" si="39"/>
        <v>23</v>
      </c>
      <c r="D181" s="203">
        <f t="shared" si="39"/>
        <v>21846</v>
      </c>
      <c r="E181" s="203">
        <f t="shared" si="39"/>
        <v>23318</v>
      </c>
      <c r="F181" s="203">
        <f t="shared" si="39"/>
        <v>35266</v>
      </c>
      <c r="G181" s="203">
        <f t="shared" si="39"/>
        <v>52934</v>
      </c>
      <c r="H181" s="203">
        <f t="shared" si="39"/>
        <v>42334</v>
      </c>
      <c r="I181" s="203">
        <f t="shared" si="39"/>
        <v>25210</v>
      </c>
      <c r="J181" s="203">
        <f t="shared" si="39"/>
        <v>8959</v>
      </c>
      <c r="K181" s="203">
        <f t="shared" si="39"/>
        <v>587</v>
      </c>
      <c r="L181" s="203">
        <f t="shared" si="35"/>
        <v>210477</v>
      </c>
    </row>
    <row r="182" spans="1:12" ht="11.25" customHeight="1" x14ac:dyDescent="0.25">
      <c r="A182" s="402">
        <v>2013</v>
      </c>
      <c r="B182" s="203" t="str">
        <f t="shared" ref="B182:K182" si="40">IF(AND(B135="-",B88="-",B41="-"),"-",SUM(B135,B88,B41))</f>
        <v>-</v>
      </c>
      <c r="C182" s="203">
        <f t="shared" si="40"/>
        <v>479</v>
      </c>
      <c r="D182" s="203">
        <f t="shared" si="40"/>
        <v>20295</v>
      </c>
      <c r="E182" s="203">
        <f t="shared" si="40"/>
        <v>19599</v>
      </c>
      <c r="F182" s="203">
        <f t="shared" si="40"/>
        <v>33058</v>
      </c>
      <c r="G182" s="203">
        <f t="shared" si="40"/>
        <v>63288</v>
      </c>
      <c r="H182" s="203">
        <f t="shared" si="40"/>
        <v>61368</v>
      </c>
      <c r="I182" s="203">
        <f t="shared" si="40"/>
        <v>18176</v>
      </c>
      <c r="J182" s="203">
        <f t="shared" si="40"/>
        <v>10006</v>
      </c>
      <c r="K182" s="203">
        <f t="shared" si="40"/>
        <v>426</v>
      </c>
      <c r="L182" s="203">
        <f t="shared" si="35"/>
        <v>226695</v>
      </c>
    </row>
    <row r="183" spans="1:12" ht="11.25" customHeight="1" x14ac:dyDescent="0.25">
      <c r="A183" s="402">
        <v>2014</v>
      </c>
      <c r="B183" s="203" t="str">
        <f t="shared" ref="B183:K183" si="41">IF(AND(B136="-",B89="-",B42="-"),"-",SUM(B136,B89,B42))</f>
        <v>-</v>
      </c>
      <c r="C183" s="203">
        <f t="shared" si="41"/>
        <v>87</v>
      </c>
      <c r="D183" s="203">
        <f t="shared" si="41"/>
        <v>20362</v>
      </c>
      <c r="E183" s="203">
        <f t="shared" si="41"/>
        <v>16345</v>
      </c>
      <c r="F183" s="203">
        <f t="shared" si="41"/>
        <v>19335</v>
      </c>
      <c r="G183" s="203">
        <f t="shared" si="41"/>
        <v>69417</v>
      </c>
      <c r="H183" s="203">
        <f t="shared" si="41"/>
        <v>56337</v>
      </c>
      <c r="I183" s="203">
        <f t="shared" si="41"/>
        <v>35699</v>
      </c>
      <c r="J183" s="203">
        <f t="shared" si="41"/>
        <v>11253</v>
      </c>
      <c r="K183" s="203">
        <f t="shared" si="41"/>
        <v>723</v>
      </c>
      <c r="L183" s="203">
        <f t="shared" si="35"/>
        <v>229558</v>
      </c>
    </row>
    <row r="184" spans="1:12" ht="11.25" customHeight="1" x14ac:dyDescent="0.25">
      <c r="A184" s="402" t="s">
        <v>305</v>
      </c>
      <c r="B184" s="203" t="str">
        <f t="shared" ref="B184:K184" si="42">IF(AND(B137="-",B90="-",B43="-"),"-",SUM(B137,B90,B43))</f>
        <v>-</v>
      </c>
      <c r="C184" s="203">
        <f t="shared" si="42"/>
        <v>60</v>
      </c>
      <c r="D184" s="203">
        <f t="shared" si="42"/>
        <v>11237</v>
      </c>
      <c r="E184" s="203">
        <f t="shared" si="42"/>
        <v>11729</v>
      </c>
      <c r="F184" s="203">
        <f t="shared" si="42"/>
        <v>13239</v>
      </c>
      <c r="G184" s="203">
        <f t="shared" si="42"/>
        <v>38243</v>
      </c>
      <c r="H184" s="203">
        <f t="shared" si="42"/>
        <v>25571</v>
      </c>
      <c r="I184" s="203">
        <f t="shared" si="42"/>
        <v>28207</v>
      </c>
      <c r="J184" s="203">
        <f t="shared" si="42"/>
        <v>10897</v>
      </c>
      <c r="K184" s="203">
        <f t="shared" si="42"/>
        <v>5</v>
      </c>
      <c r="L184" s="203">
        <f t="shared" si="35"/>
        <v>139188</v>
      </c>
    </row>
    <row r="185" spans="1:12" ht="11.25" customHeight="1" x14ac:dyDescent="0.25">
      <c r="A185" s="402">
        <v>2016</v>
      </c>
      <c r="B185" s="203" t="str">
        <f t="shared" ref="B185:J185" si="43">IF(AND(B138="-",B91="-",B44="-"),"-",SUM(B138,B91,B44))</f>
        <v>-</v>
      </c>
      <c r="C185" s="203">
        <f t="shared" si="43"/>
        <v>82</v>
      </c>
      <c r="D185" s="203">
        <f t="shared" si="43"/>
        <v>8024</v>
      </c>
      <c r="E185" s="203">
        <f t="shared" si="43"/>
        <v>11000</v>
      </c>
      <c r="F185" s="203">
        <f t="shared" si="43"/>
        <v>9705</v>
      </c>
      <c r="G185" s="203">
        <f t="shared" si="43"/>
        <v>26176</v>
      </c>
      <c r="H185" s="203">
        <f t="shared" si="43"/>
        <v>20157</v>
      </c>
      <c r="I185" s="203">
        <f t="shared" si="43"/>
        <v>24637</v>
      </c>
      <c r="J185" s="203">
        <f t="shared" si="43"/>
        <v>4850</v>
      </c>
      <c r="K185" s="203" t="s">
        <v>116</v>
      </c>
      <c r="L185" s="203">
        <f t="shared" si="35"/>
        <v>104631</v>
      </c>
    </row>
    <row r="186" spans="1:12" ht="11.25" customHeight="1" x14ac:dyDescent="0.25">
      <c r="A186" s="402">
        <v>2017</v>
      </c>
      <c r="B186" s="203" t="str">
        <f t="shared" ref="B186:J186" si="44">IF(AND(B139="-",B92="-",B45="-"),"-",SUM(B139,B92,B45))</f>
        <v>-</v>
      </c>
      <c r="C186" s="203">
        <f t="shared" si="44"/>
        <v>17</v>
      </c>
      <c r="D186" s="203">
        <f t="shared" si="44"/>
        <v>10165</v>
      </c>
      <c r="E186" s="203">
        <f t="shared" si="44"/>
        <v>5500</v>
      </c>
      <c r="F186" s="203">
        <f t="shared" si="44"/>
        <v>8490</v>
      </c>
      <c r="G186" s="203">
        <f t="shared" si="44"/>
        <v>32647</v>
      </c>
      <c r="H186" s="203">
        <f t="shared" si="44"/>
        <v>28741</v>
      </c>
      <c r="I186" s="203">
        <f t="shared" si="44"/>
        <v>17839</v>
      </c>
      <c r="J186" s="203">
        <f t="shared" si="44"/>
        <v>4316</v>
      </c>
      <c r="K186" s="203" t="s">
        <v>116</v>
      </c>
      <c r="L186" s="203">
        <f t="shared" si="35"/>
        <v>107715</v>
      </c>
    </row>
    <row r="187" spans="1:12" s="358" customFormat="1" ht="11.25" customHeight="1" x14ac:dyDescent="0.25">
      <c r="A187" s="402">
        <v>2018</v>
      </c>
      <c r="B187" s="203" t="str">
        <f t="shared" ref="B187:J187" si="45">IF(AND(B140="-",B93="-",B46="-"),"-",SUM(B140,B93,B46))</f>
        <v>-</v>
      </c>
      <c r="C187" s="203">
        <f t="shared" si="45"/>
        <v>54</v>
      </c>
      <c r="D187" s="203">
        <f t="shared" si="45"/>
        <v>8159</v>
      </c>
      <c r="E187" s="203">
        <f t="shared" si="45"/>
        <v>3186</v>
      </c>
      <c r="F187" s="203">
        <f t="shared" si="45"/>
        <v>17133</v>
      </c>
      <c r="G187" s="203">
        <f t="shared" si="45"/>
        <v>47975</v>
      </c>
      <c r="H187" s="203">
        <f t="shared" si="45"/>
        <v>44546</v>
      </c>
      <c r="I187" s="203">
        <f t="shared" si="45"/>
        <v>23631</v>
      </c>
      <c r="J187" s="203">
        <f t="shared" si="45"/>
        <v>8073</v>
      </c>
      <c r="K187" s="200" t="s">
        <v>116</v>
      </c>
      <c r="L187" s="203">
        <f t="shared" si="35"/>
        <v>152757</v>
      </c>
    </row>
    <row r="188" spans="1:12" s="358" customFormat="1" ht="11.25" customHeight="1" x14ac:dyDescent="0.25">
      <c r="A188" s="123" t="s">
        <v>403</v>
      </c>
      <c r="B188" s="203" t="str">
        <f t="shared" ref="B188:L189" si="46">IF(AND(B141="-",B94="-",B47="-"),"-",SUM(B141,B94,B47))</f>
        <v>-</v>
      </c>
      <c r="C188" s="203">
        <f t="shared" si="46"/>
        <v>43</v>
      </c>
      <c r="D188" s="203">
        <f t="shared" si="46"/>
        <v>17358</v>
      </c>
      <c r="E188" s="203">
        <f t="shared" si="46"/>
        <v>6485</v>
      </c>
      <c r="F188" s="203">
        <f t="shared" si="46"/>
        <v>27953</v>
      </c>
      <c r="G188" s="203">
        <f t="shared" si="46"/>
        <v>59928</v>
      </c>
      <c r="H188" s="203">
        <f t="shared" si="46"/>
        <v>51351</v>
      </c>
      <c r="I188" s="203">
        <f t="shared" si="46"/>
        <v>16732</v>
      </c>
      <c r="J188" s="203">
        <f t="shared" si="46"/>
        <v>3402</v>
      </c>
      <c r="K188" s="203" t="str">
        <f t="shared" si="46"/>
        <v>-</v>
      </c>
      <c r="L188" s="203">
        <f t="shared" si="46"/>
        <v>183252</v>
      </c>
    </row>
    <row r="189" spans="1:12" ht="11.25" customHeight="1" x14ac:dyDescent="0.25">
      <c r="A189" s="123" t="s">
        <v>404</v>
      </c>
      <c r="B189" s="20" t="str">
        <f t="shared" si="46"/>
        <v>-</v>
      </c>
      <c r="C189" s="20">
        <f t="shared" si="46"/>
        <v>11</v>
      </c>
      <c r="D189" s="20">
        <f t="shared" si="46"/>
        <v>107</v>
      </c>
      <c r="E189" s="20">
        <f t="shared" si="46"/>
        <v>293</v>
      </c>
      <c r="F189" s="20">
        <f t="shared" si="46"/>
        <v>2266</v>
      </c>
      <c r="G189" s="20">
        <f t="shared" si="46"/>
        <v>54842</v>
      </c>
      <c r="H189" s="20">
        <f t="shared" si="46"/>
        <v>30460</v>
      </c>
      <c r="I189" s="20">
        <f t="shared" si="46"/>
        <v>19041</v>
      </c>
      <c r="J189" s="20">
        <f>IF(AND(J142="-",J95="-",J48="-"),"-",SUM(J142,J95,J48))</f>
        <v>5835</v>
      </c>
      <c r="K189" s="20">
        <f>IF(AND(K142="-",K95="-",K48="-"),"-",SUM(K142,K95,K48))</f>
        <v>127</v>
      </c>
      <c r="L189" s="20">
        <f t="shared" si="46"/>
        <v>112982</v>
      </c>
    </row>
    <row r="190" spans="1:12" ht="11.25" customHeight="1" x14ac:dyDescent="0.25">
      <c r="A190" s="585" t="s">
        <v>218</v>
      </c>
      <c r="B190" s="585"/>
      <c r="C190" s="585"/>
      <c r="D190" s="585"/>
      <c r="E190" s="585"/>
      <c r="F190" s="585"/>
      <c r="G190" s="585"/>
      <c r="H190" s="585"/>
      <c r="I190" s="585"/>
      <c r="J190" s="585"/>
      <c r="K190" s="585"/>
      <c r="L190" s="585"/>
    </row>
    <row r="191" spans="1:12" ht="11.25" customHeight="1" x14ac:dyDescent="0.25">
      <c r="A191" s="604" t="s">
        <v>48</v>
      </c>
      <c r="B191" s="604"/>
      <c r="C191" s="604"/>
      <c r="D191" s="604"/>
      <c r="E191" s="604"/>
      <c r="F191" s="604"/>
      <c r="G191" s="604"/>
      <c r="H191" s="604"/>
      <c r="I191" s="604"/>
      <c r="J191" s="604"/>
      <c r="K191" s="604"/>
      <c r="L191" s="604"/>
    </row>
    <row r="192" spans="1:12" ht="11.25" customHeight="1" x14ac:dyDescent="0.25">
      <c r="A192" s="515" t="s">
        <v>405</v>
      </c>
      <c r="B192" s="515"/>
      <c r="C192" s="515"/>
      <c r="D192" s="515"/>
      <c r="E192" s="515"/>
      <c r="F192" s="515"/>
      <c r="G192" s="515"/>
      <c r="H192" s="515"/>
      <c r="I192" s="515"/>
      <c r="J192" s="515"/>
      <c r="K192" s="515"/>
      <c r="L192" s="515"/>
    </row>
    <row r="193" spans="1:12" ht="11.25" customHeight="1" x14ac:dyDescent="0.25">
      <c r="A193" s="306"/>
      <c r="B193" s="306"/>
      <c r="C193" s="306"/>
      <c r="D193" s="306"/>
      <c r="E193" s="306"/>
      <c r="F193" s="306"/>
      <c r="G193" s="306"/>
      <c r="H193" s="306"/>
      <c r="I193" s="306"/>
      <c r="J193" s="306"/>
      <c r="K193" s="306"/>
      <c r="L193" s="306"/>
    </row>
    <row r="194" spans="1:12" ht="11.25" customHeight="1" x14ac:dyDescent="0.25">
      <c r="A194" s="251"/>
      <c r="B194" s="251"/>
      <c r="C194" s="251"/>
      <c r="D194" s="251"/>
      <c r="E194" s="251"/>
      <c r="F194" s="251"/>
      <c r="G194" s="251"/>
      <c r="H194" s="251"/>
      <c r="I194" s="251"/>
      <c r="J194" s="251"/>
      <c r="K194" s="251"/>
      <c r="L194" s="251"/>
    </row>
    <row r="195" spans="1:12" ht="11.25" customHeight="1" x14ac:dyDescent="0.25">
      <c r="A195" s="306"/>
      <c r="B195" s="306"/>
      <c r="C195" s="306"/>
      <c r="D195" s="306"/>
      <c r="E195" s="306"/>
      <c r="F195" s="306"/>
      <c r="G195" s="306"/>
      <c r="H195" s="306"/>
      <c r="I195" s="306"/>
      <c r="J195" s="306"/>
      <c r="K195" s="306"/>
      <c r="L195" s="306"/>
    </row>
    <row r="196" spans="1:12" ht="11.25" customHeight="1" x14ac:dyDescent="0.25"/>
    <row r="197" spans="1:12" ht="11.25" customHeight="1" x14ac:dyDescent="0.25">
      <c r="A197" s="608" t="s">
        <v>331</v>
      </c>
      <c r="B197" s="608"/>
      <c r="C197" s="608"/>
      <c r="D197" s="608"/>
      <c r="E197" s="608"/>
      <c r="F197" s="608"/>
      <c r="G197" s="608"/>
      <c r="H197" s="608"/>
      <c r="I197" s="608"/>
      <c r="J197" s="608"/>
      <c r="K197" s="608"/>
      <c r="L197" s="608"/>
    </row>
    <row r="198" spans="1:12" ht="11.25" customHeight="1" x14ac:dyDescent="0.25">
      <c r="A198" s="608"/>
      <c r="B198" s="608"/>
      <c r="C198" s="608"/>
      <c r="D198" s="608"/>
      <c r="E198" s="608"/>
      <c r="F198" s="608"/>
      <c r="G198" s="608"/>
      <c r="H198" s="608"/>
      <c r="I198" s="608"/>
      <c r="J198" s="608"/>
      <c r="K198" s="608"/>
      <c r="L198" s="608"/>
    </row>
    <row r="199" spans="1:12" ht="11.25" customHeight="1" x14ac:dyDescent="0.25">
      <c r="A199" s="389" t="s">
        <v>33</v>
      </c>
      <c r="B199" s="58" t="s">
        <v>42</v>
      </c>
      <c r="C199" s="58" t="s">
        <v>43</v>
      </c>
      <c r="D199" s="58" t="s">
        <v>34</v>
      </c>
      <c r="E199" s="58" t="s">
        <v>35</v>
      </c>
      <c r="F199" s="58" t="s">
        <v>36</v>
      </c>
      <c r="G199" s="58" t="s">
        <v>37</v>
      </c>
      <c r="H199" s="58" t="s">
        <v>38</v>
      </c>
      <c r="I199" s="58" t="s">
        <v>39</v>
      </c>
      <c r="J199" s="58" t="s">
        <v>40</v>
      </c>
      <c r="K199" s="58" t="s">
        <v>44</v>
      </c>
      <c r="L199" s="58" t="s">
        <v>28</v>
      </c>
    </row>
    <row r="200" spans="1:12" x14ac:dyDescent="0.25">
      <c r="A200" s="388" t="s">
        <v>301</v>
      </c>
      <c r="B200" s="203"/>
      <c r="C200" s="203"/>
      <c r="D200" s="203"/>
      <c r="E200" s="203"/>
      <c r="F200" s="203"/>
      <c r="G200" s="203"/>
      <c r="H200" s="203"/>
      <c r="I200" s="203"/>
      <c r="J200" s="203"/>
      <c r="K200" s="203"/>
      <c r="L200" s="203"/>
    </row>
    <row r="201" spans="1:12" ht="11.25" customHeight="1" x14ac:dyDescent="0.25">
      <c r="A201" s="402" t="s">
        <v>30</v>
      </c>
      <c r="B201" s="203" t="s">
        <v>29</v>
      </c>
      <c r="C201" s="203" t="s">
        <v>29</v>
      </c>
      <c r="D201" s="203" t="s">
        <v>29</v>
      </c>
      <c r="E201" s="203">
        <f t="shared" ref="E201:L201" si="47">AVERAGE(E9:E13)</f>
        <v>5279</v>
      </c>
      <c r="F201" s="203">
        <f t="shared" si="47"/>
        <v>21789.666666666668</v>
      </c>
      <c r="G201" s="203">
        <f t="shared" si="47"/>
        <v>78018.8</v>
      </c>
      <c r="H201" s="203">
        <f t="shared" si="47"/>
        <v>61311.75</v>
      </c>
      <c r="I201" s="203">
        <f t="shared" si="47"/>
        <v>10677</v>
      </c>
      <c r="J201" s="203">
        <f t="shared" si="47"/>
        <v>1603</v>
      </c>
      <c r="K201" s="101" t="s">
        <v>116</v>
      </c>
      <c r="L201" s="203">
        <f t="shared" si="47"/>
        <v>151115.79999999999</v>
      </c>
    </row>
    <row r="202" spans="1:12" ht="11.25" customHeight="1" x14ac:dyDescent="0.25">
      <c r="A202" s="402" t="s">
        <v>87</v>
      </c>
      <c r="B202" s="203" t="s">
        <v>29</v>
      </c>
      <c r="C202" s="203" t="s">
        <v>29</v>
      </c>
      <c r="D202" s="203" t="s">
        <v>29</v>
      </c>
      <c r="E202" s="203">
        <f t="shared" ref="E202:L202" si="48">AVERAGE(E14:E18)</f>
        <v>2054.25</v>
      </c>
      <c r="F202" s="203">
        <f t="shared" si="48"/>
        <v>18538.2</v>
      </c>
      <c r="G202" s="203">
        <f t="shared" si="48"/>
        <v>82564.2</v>
      </c>
      <c r="H202" s="203">
        <f t="shared" si="48"/>
        <v>51012.4</v>
      </c>
      <c r="I202" s="203">
        <f t="shared" si="48"/>
        <v>11171.4</v>
      </c>
      <c r="J202" s="101" t="s">
        <v>116</v>
      </c>
      <c r="K202" s="101" t="s">
        <v>116</v>
      </c>
      <c r="L202" s="203">
        <f t="shared" si="48"/>
        <v>164929.60000000001</v>
      </c>
    </row>
    <row r="203" spans="1:12" ht="11.25" customHeight="1" x14ac:dyDescent="0.25">
      <c r="A203" s="402" t="s">
        <v>14</v>
      </c>
      <c r="B203" s="203" t="s">
        <v>29</v>
      </c>
      <c r="C203" s="203" t="s">
        <v>29</v>
      </c>
      <c r="D203" s="203" t="s">
        <v>29</v>
      </c>
      <c r="E203" s="203">
        <f>AVERAGE(E19:E23)</f>
        <v>1817.4</v>
      </c>
      <c r="F203" s="203">
        <f t="shared" ref="F203:K203" si="49">AVERAGE(F19:F23)</f>
        <v>11249</v>
      </c>
      <c r="G203" s="203">
        <f t="shared" si="49"/>
        <v>63162.333333333336</v>
      </c>
      <c r="H203" s="203">
        <f t="shared" si="49"/>
        <v>22523</v>
      </c>
      <c r="I203" s="203">
        <f t="shared" si="49"/>
        <v>5191</v>
      </c>
      <c r="J203" s="203">
        <f t="shared" si="49"/>
        <v>4947.5</v>
      </c>
      <c r="K203" s="203">
        <f t="shared" si="49"/>
        <v>395.5</v>
      </c>
      <c r="L203" s="203">
        <f>AVERAGE(L19:L23)</f>
        <v>64186.6</v>
      </c>
    </row>
    <row r="204" spans="1:12" ht="11.25" customHeight="1" x14ac:dyDescent="0.25">
      <c r="A204" s="402" t="s">
        <v>207</v>
      </c>
      <c r="B204" s="203" t="s">
        <v>29</v>
      </c>
      <c r="C204" s="203" t="s">
        <v>29</v>
      </c>
      <c r="D204" s="203" t="s">
        <v>29</v>
      </c>
      <c r="E204" s="203">
        <f>AVERAGE(E24:E28)</f>
        <v>708</v>
      </c>
      <c r="F204" s="203">
        <f t="shared" ref="F204:K204" si="50">AVERAGE(F24:F28)</f>
        <v>596.20000000000005</v>
      </c>
      <c r="G204" s="203">
        <f t="shared" si="50"/>
        <v>9570</v>
      </c>
      <c r="H204" s="203">
        <f t="shared" si="50"/>
        <v>4388.2</v>
      </c>
      <c r="I204" s="203">
        <f t="shared" si="50"/>
        <v>3527.2</v>
      </c>
      <c r="J204" s="203">
        <f t="shared" si="50"/>
        <v>2933.4</v>
      </c>
      <c r="K204" s="203">
        <f t="shared" si="50"/>
        <v>169.5</v>
      </c>
      <c r="L204" s="203">
        <f>AVERAGE(L24:L28)</f>
        <v>21804.2</v>
      </c>
    </row>
    <row r="205" spans="1:12" ht="11.25" customHeight="1" x14ac:dyDescent="0.25">
      <c r="A205" s="402" t="s">
        <v>238</v>
      </c>
      <c r="B205" s="203" t="str">
        <f>B29</f>
        <v>-</v>
      </c>
      <c r="C205" s="203">
        <f>AVERAGE(C29:C33)</f>
        <v>63</v>
      </c>
      <c r="D205" s="203">
        <f>AVERAGE(D29:D33)</f>
        <v>211.6</v>
      </c>
      <c r="E205" s="203">
        <f>AVERAGE(E29:E33)</f>
        <v>1459.8</v>
      </c>
      <c r="F205" s="203">
        <f t="shared" ref="F205:L205" si="51">AVERAGE(F29:F33)</f>
        <v>12415.6</v>
      </c>
      <c r="G205" s="203">
        <f t="shared" si="51"/>
        <v>37987.199999999997</v>
      </c>
      <c r="H205" s="203">
        <f t="shared" si="51"/>
        <v>18656.400000000001</v>
      </c>
      <c r="I205" s="203">
        <f t="shared" si="51"/>
        <v>8798</v>
      </c>
      <c r="J205" s="203">
        <f t="shared" si="51"/>
        <v>3530.8</v>
      </c>
      <c r="K205" s="203">
        <f t="shared" si="51"/>
        <v>182</v>
      </c>
      <c r="L205" s="203">
        <f t="shared" si="51"/>
        <v>85132</v>
      </c>
    </row>
    <row r="206" spans="1:12" ht="11.25" customHeight="1" x14ac:dyDescent="0.25">
      <c r="A206" s="402">
        <v>2006</v>
      </c>
      <c r="B206" s="203" t="str">
        <f>B34</f>
        <v>-</v>
      </c>
      <c r="C206" s="203">
        <f t="shared" ref="C206:L206" si="52">C34</f>
        <v>24</v>
      </c>
      <c r="D206" s="203">
        <f t="shared" si="52"/>
        <v>92</v>
      </c>
      <c r="E206" s="203">
        <f t="shared" si="52"/>
        <v>803</v>
      </c>
      <c r="F206" s="203">
        <f t="shared" si="52"/>
        <v>4918</v>
      </c>
      <c r="G206" s="203">
        <f t="shared" si="52"/>
        <v>18334</v>
      </c>
      <c r="H206" s="203">
        <f t="shared" si="52"/>
        <v>3817</v>
      </c>
      <c r="I206" s="203">
        <f t="shared" si="52"/>
        <v>9995</v>
      </c>
      <c r="J206" s="203">
        <f t="shared" si="52"/>
        <v>5368</v>
      </c>
      <c r="K206" s="203">
        <f t="shared" si="52"/>
        <v>98</v>
      </c>
      <c r="L206" s="203">
        <f t="shared" si="52"/>
        <v>43449</v>
      </c>
    </row>
    <row r="207" spans="1:12" ht="11.25" customHeight="1" x14ac:dyDescent="0.25">
      <c r="A207" s="402">
        <v>2007</v>
      </c>
      <c r="B207" s="203" t="str">
        <f>B35</f>
        <v>-</v>
      </c>
      <c r="C207" s="203">
        <f t="shared" ref="C207:L207" si="53">C35</f>
        <v>36</v>
      </c>
      <c r="D207" s="203">
        <f t="shared" si="53"/>
        <v>75</v>
      </c>
      <c r="E207" s="203">
        <f t="shared" si="53"/>
        <v>1244</v>
      </c>
      <c r="F207" s="203">
        <f t="shared" si="53"/>
        <v>7828</v>
      </c>
      <c r="G207" s="203">
        <f t="shared" si="53"/>
        <v>22067</v>
      </c>
      <c r="H207" s="203">
        <f t="shared" si="53"/>
        <v>25908</v>
      </c>
      <c r="I207" s="203">
        <f t="shared" si="53"/>
        <v>5227</v>
      </c>
      <c r="J207" s="203">
        <f t="shared" si="53"/>
        <v>2341</v>
      </c>
      <c r="K207" s="203">
        <f t="shared" si="53"/>
        <v>40</v>
      </c>
      <c r="L207" s="203">
        <f t="shared" si="53"/>
        <v>64766</v>
      </c>
    </row>
    <row r="208" spans="1:12" ht="11.25" customHeight="1" x14ac:dyDescent="0.25">
      <c r="A208" s="402">
        <v>2008</v>
      </c>
      <c r="B208" s="203" t="str">
        <f>B36</f>
        <v>-</v>
      </c>
      <c r="C208" s="203" t="str">
        <f t="shared" ref="C208:L208" si="54">C36</f>
        <v>-</v>
      </c>
      <c r="D208" s="203" t="str">
        <f t="shared" si="54"/>
        <v>-</v>
      </c>
      <c r="E208" s="203" t="str">
        <f t="shared" si="54"/>
        <v>-</v>
      </c>
      <c r="F208" s="203">
        <f t="shared" si="54"/>
        <v>3253</v>
      </c>
      <c r="G208" s="203">
        <f t="shared" si="54"/>
        <v>7681</v>
      </c>
      <c r="H208" s="203">
        <f t="shared" si="54"/>
        <v>5052</v>
      </c>
      <c r="I208" s="203">
        <f t="shared" si="54"/>
        <v>3635</v>
      </c>
      <c r="J208" s="203">
        <f t="shared" si="54"/>
        <v>2348</v>
      </c>
      <c r="K208" s="203" t="str">
        <f t="shared" si="54"/>
        <v>--</v>
      </c>
      <c r="L208" s="203">
        <f t="shared" si="54"/>
        <v>21969</v>
      </c>
    </row>
    <row r="209" spans="1:12" ht="11.25" customHeight="1" x14ac:dyDescent="0.25">
      <c r="A209" s="402">
        <v>2009</v>
      </c>
      <c r="B209" s="203" t="str">
        <f t="shared" ref="B209:L209" si="55">B37</f>
        <v>-</v>
      </c>
      <c r="C209" s="203" t="str">
        <f t="shared" si="55"/>
        <v>-</v>
      </c>
      <c r="D209" s="203" t="str">
        <f t="shared" si="55"/>
        <v>-</v>
      </c>
      <c r="E209" s="203" t="str">
        <f t="shared" si="55"/>
        <v>-</v>
      </c>
      <c r="F209" s="203">
        <f t="shared" si="55"/>
        <v>4144</v>
      </c>
      <c r="G209" s="203">
        <f t="shared" si="55"/>
        <v>33012</v>
      </c>
      <c r="H209" s="203">
        <f t="shared" si="55"/>
        <v>23429</v>
      </c>
      <c r="I209" s="203">
        <f t="shared" si="55"/>
        <v>3743</v>
      </c>
      <c r="J209" s="203">
        <f t="shared" si="55"/>
        <v>2009</v>
      </c>
      <c r="K209" s="203" t="str">
        <f t="shared" si="55"/>
        <v>--</v>
      </c>
      <c r="L209" s="203">
        <f t="shared" si="55"/>
        <v>66337</v>
      </c>
    </row>
    <row r="210" spans="1:12" ht="11.25" customHeight="1" x14ac:dyDescent="0.25">
      <c r="A210" s="402">
        <v>2010</v>
      </c>
      <c r="B210" s="203" t="str">
        <f t="shared" ref="B210:L210" si="56">B38</f>
        <v>-</v>
      </c>
      <c r="C210" s="203" t="str">
        <f t="shared" si="56"/>
        <v>-</v>
      </c>
      <c r="D210" s="203" t="str">
        <f t="shared" si="56"/>
        <v>-</v>
      </c>
      <c r="E210" s="203">
        <f t="shared" si="56"/>
        <v>863</v>
      </c>
      <c r="F210" s="203">
        <f t="shared" si="56"/>
        <v>2960</v>
      </c>
      <c r="G210" s="203">
        <f t="shared" si="56"/>
        <v>9116</v>
      </c>
      <c r="H210" s="203">
        <f t="shared" si="56"/>
        <v>16794</v>
      </c>
      <c r="I210" s="203">
        <f t="shared" si="56"/>
        <v>6334</v>
      </c>
      <c r="J210" s="203">
        <f t="shared" si="56"/>
        <v>1048</v>
      </c>
      <c r="K210" s="203" t="str">
        <f t="shared" si="56"/>
        <v>--</v>
      </c>
      <c r="L210" s="203">
        <f t="shared" si="56"/>
        <v>37115</v>
      </c>
    </row>
    <row r="211" spans="1:12" ht="11.25" customHeight="1" x14ac:dyDescent="0.25">
      <c r="A211" s="402">
        <v>2011</v>
      </c>
      <c r="B211" s="203" t="str">
        <f t="shared" ref="B211:L211" si="57">B39</f>
        <v>-</v>
      </c>
      <c r="C211" s="203">
        <f t="shared" si="57"/>
        <v>22</v>
      </c>
      <c r="D211" s="203">
        <f t="shared" si="57"/>
        <v>75</v>
      </c>
      <c r="E211" s="203">
        <f t="shared" si="57"/>
        <v>433</v>
      </c>
      <c r="F211" s="203">
        <f t="shared" si="57"/>
        <v>2965</v>
      </c>
      <c r="G211" s="203">
        <f t="shared" si="57"/>
        <v>10835</v>
      </c>
      <c r="H211" s="203">
        <f t="shared" si="57"/>
        <v>10173</v>
      </c>
      <c r="I211" s="203">
        <f t="shared" si="57"/>
        <v>9354</v>
      </c>
      <c r="J211" s="203">
        <f t="shared" si="57"/>
        <v>1240</v>
      </c>
      <c r="K211" s="203">
        <f t="shared" si="57"/>
        <v>16</v>
      </c>
      <c r="L211" s="203">
        <f t="shared" si="57"/>
        <v>35113</v>
      </c>
    </row>
    <row r="212" spans="1:12" ht="11.25" customHeight="1" x14ac:dyDescent="0.25">
      <c r="A212" s="402">
        <v>2012</v>
      </c>
      <c r="B212" s="203" t="str">
        <f t="shared" ref="B212:L212" si="58">B40</f>
        <v>-</v>
      </c>
      <c r="C212" s="203">
        <f t="shared" si="58"/>
        <v>23</v>
      </c>
      <c r="D212" s="203">
        <f t="shared" si="58"/>
        <v>380</v>
      </c>
      <c r="E212" s="203">
        <f t="shared" si="58"/>
        <v>1622</v>
      </c>
      <c r="F212" s="203">
        <f t="shared" si="58"/>
        <v>3778</v>
      </c>
      <c r="G212" s="203">
        <f t="shared" si="58"/>
        <v>9872</v>
      </c>
      <c r="H212" s="203">
        <f t="shared" si="58"/>
        <v>12531</v>
      </c>
      <c r="I212" s="203">
        <f t="shared" si="58"/>
        <v>13720</v>
      </c>
      <c r="J212" s="203">
        <f t="shared" si="58"/>
        <v>1705</v>
      </c>
      <c r="K212" s="203">
        <f t="shared" si="58"/>
        <v>18</v>
      </c>
      <c r="L212" s="203">
        <f t="shared" si="58"/>
        <v>43649</v>
      </c>
    </row>
    <row r="213" spans="1:12" ht="11.25" customHeight="1" x14ac:dyDescent="0.25">
      <c r="A213" s="402">
        <v>2013</v>
      </c>
      <c r="B213" s="203" t="str">
        <f t="shared" ref="B213:L213" si="59">B41</f>
        <v>-</v>
      </c>
      <c r="C213" s="203">
        <f t="shared" si="59"/>
        <v>479</v>
      </c>
      <c r="D213" s="203">
        <f t="shared" si="59"/>
        <v>693</v>
      </c>
      <c r="E213" s="203">
        <f t="shared" si="59"/>
        <v>911</v>
      </c>
      <c r="F213" s="203">
        <f t="shared" si="59"/>
        <v>3970</v>
      </c>
      <c r="G213" s="203">
        <f t="shared" si="59"/>
        <v>11214</v>
      </c>
      <c r="H213" s="203">
        <f t="shared" si="59"/>
        <v>25977</v>
      </c>
      <c r="I213" s="203">
        <f t="shared" si="59"/>
        <v>11833</v>
      </c>
      <c r="J213" s="203">
        <f t="shared" si="59"/>
        <v>4214</v>
      </c>
      <c r="K213" s="203" t="str">
        <f t="shared" si="59"/>
        <v>--</v>
      </c>
      <c r="L213" s="203">
        <f t="shared" si="59"/>
        <v>59291</v>
      </c>
    </row>
    <row r="214" spans="1:12" ht="11.25" customHeight="1" x14ac:dyDescent="0.25">
      <c r="A214" s="402">
        <v>2014</v>
      </c>
      <c r="B214" s="203" t="str">
        <f t="shared" ref="B214:L214" si="60">B42</f>
        <v>-</v>
      </c>
      <c r="C214" s="203">
        <f t="shared" si="60"/>
        <v>87</v>
      </c>
      <c r="D214" s="203">
        <f t="shared" si="60"/>
        <v>136</v>
      </c>
      <c r="E214" s="203">
        <f t="shared" si="60"/>
        <v>2235</v>
      </c>
      <c r="F214" s="203">
        <f t="shared" si="60"/>
        <v>5251</v>
      </c>
      <c r="G214" s="203">
        <f t="shared" si="60"/>
        <v>32802</v>
      </c>
      <c r="H214" s="203">
        <f t="shared" si="60"/>
        <v>25863</v>
      </c>
      <c r="I214" s="203">
        <f t="shared" si="60"/>
        <v>24388</v>
      </c>
      <c r="J214" s="203">
        <f t="shared" si="60"/>
        <v>1421</v>
      </c>
      <c r="K214" s="203" t="str">
        <f t="shared" si="60"/>
        <v>--</v>
      </c>
      <c r="L214" s="203">
        <f t="shared" si="60"/>
        <v>92183</v>
      </c>
    </row>
    <row r="215" spans="1:12" ht="11.25" customHeight="1" x14ac:dyDescent="0.25">
      <c r="A215" s="402">
        <v>2015</v>
      </c>
      <c r="B215" s="203" t="str">
        <f t="shared" ref="B215:L215" si="61">B43</f>
        <v>-</v>
      </c>
      <c r="C215" s="203">
        <f t="shared" si="61"/>
        <v>60</v>
      </c>
      <c r="D215" s="203">
        <f t="shared" si="61"/>
        <v>152</v>
      </c>
      <c r="E215" s="203">
        <f t="shared" si="61"/>
        <v>1382</v>
      </c>
      <c r="F215" s="203">
        <f t="shared" si="61"/>
        <v>2350</v>
      </c>
      <c r="G215" s="203">
        <f t="shared" si="61"/>
        <v>18025</v>
      </c>
      <c r="H215" s="203">
        <f t="shared" si="61"/>
        <v>7526</v>
      </c>
      <c r="I215" s="203">
        <f t="shared" si="61"/>
        <v>16586</v>
      </c>
      <c r="J215" s="203">
        <f t="shared" si="61"/>
        <v>2374</v>
      </c>
      <c r="K215" s="203" t="str">
        <f t="shared" si="61"/>
        <v>--</v>
      </c>
      <c r="L215" s="203">
        <f t="shared" si="61"/>
        <v>48455</v>
      </c>
    </row>
    <row r="216" spans="1:12" ht="11.25" customHeight="1" x14ac:dyDescent="0.25">
      <c r="A216" s="402">
        <v>2016</v>
      </c>
      <c r="B216" s="203" t="str">
        <f t="shared" ref="B216:L216" si="62">B44</f>
        <v>-</v>
      </c>
      <c r="C216" s="203">
        <f t="shared" si="62"/>
        <v>82</v>
      </c>
      <c r="D216" s="203">
        <f t="shared" si="62"/>
        <v>18</v>
      </c>
      <c r="E216" s="203">
        <f t="shared" si="62"/>
        <v>1037</v>
      </c>
      <c r="F216" s="203">
        <f t="shared" si="62"/>
        <v>2799</v>
      </c>
      <c r="G216" s="203">
        <f t="shared" si="62"/>
        <v>6382</v>
      </c>
      <c r="H216" s="203">
        <f t="shared" si="62"/>
        <v>4835</v>
      </c>
      <c r="I216" s="203">
        <f t="shared" si="62"/>
        <v>14579</v>
      </c>
      <c r="J216" s="203">
        <f t="shared" si="62"/>
        <v>612</v>
      </c>
      <c r="K216" s="203" t="str">
        <f t="shared" si="62"/>
        <v>--</v>
      </c>
      <c r="L216" s="203">
        <f t="shared" si="62"/>
        <v>30344</v>
      </c>
    </row>
    <row r="217" spans="1:12" ht="11.25" customHeight="1" x14ac:dyDescent="0.25">
      <c r="A217" s="402">
        <v>2017</v>
      </c>
      <c r="B217" s="203" t="str">
        <f t="shared" ref="B217:L217" si="63">B45</f>
        <v>-</v>
      </c>
      <c r="C217" s="203">
        <f t="shared" si="63"/>
        <v>17</v>
      </c>
      <c r="D217" s="203">
        <f t="shared" si="63"/>
        <v>60</v>
      </c>
      <c r="E217" s="203">
        <f t="shared" si="63"/>
        <v>500</v>
      </c>
      <c r="F217" s="203">
        <f t="shared" si="63"/>
        <v>1916</v>
      </c>
      <c r="G217" s="203">
        <f t="shared" si="63"/>
        <v>10057</v>
      </c>
      <c r="H217" s="203">
        <f t="shared" si="63"/>
        <v>9383</v>
      </c>
      <c r="I217" s="203">
        <f t="shared" si="63"/>
        <v>9343</v>
      </c>
      <c r="J217" s="203">
        <f t="shared" si="63"/>
        <v>453</v>
      </c>
      <c r="K217" s="203" t="str">
        <f t="shared" si="63"/>
        <v>--</v>
      </c>
      <c r="L217" s="203">
        <f t="shared" si="63"/>
        <v>31729</v>
      </c>
    </row>
    <row r="218" spans="1:12" s="358" customFormat="1" ht="11.25" customHeight="1" x14ac:dyDescent="0.25">
      <c r="A218" s="402">
        <v>2018</v>
      </c>
      <c r="B218" s="203" t="str">
        <f t="shared" ref="B218:L218" si="64">B46</f>
        <v>-</v>
      </c>
      <c r="C218" s="203">
        <f t="shared" si="64"/>
        <v>54</v>
      </c>
      <c r="D218" s="203">
        <f t="shared" si="64"/>
        <v>19</v>
      </c>
      <c r="E218" s="203">
        <f t="shared" si="64"/>
        <v>657</v>
      </c>
      <c r="F218" s="203">
        <f t="shared" si="64"/>
        <v>1122</v>
      </c>
      <c r="G218" s="203">
        <f t="shared" si="64"/>
        <v>9566</v>
      </c>
      <c r="H218" s="203">
        <f t="shared" si="64"/>
        <v>22219</v>
      </c>
      <c r="I218" s="203">
        <f t="shared" si="64"/>
        <v>14596</v>
      </c>
      <c r="J218" s="203">
        <f t="shared" si="64"/>
        <v>899</v>
      </c>
      <c r="K218" s="203" t="str">
        <f t="shared" si="64"/>
        <v>--</v>
      </c>
      <c r="L218" s="203">
        <f t="shared" si="64"/>
        <v>49132</v>
      </c>
    </row>
    <row r="219" spans="1:12" s="358" customFormat="1" ht="11.25" customHeight="1" x14ac:dyDescent="0.25">
      <c r="A219" s="491">
        <v>2019</v>
      </c>
      <c r="B219" s="203" t="str">
        <f>B47</f>
        <v>-</v>
      </c>
      <c r="C219" s="203">
        <f t="shared" ref="C219:L220" si="65">C47</f>
        <v>43</v>
      </c>
      <c r="D219" s="203">
        <f t="shared" si="65"/>
        <v>8</v>
      </c>
      <c r="E219" s="203">
        <f t="shared" si="65"/>
        <v>410</v>
      </c>
      <c r="F219" s="203">
        <f t="shared" si="65"/>
        <v>6273</v>
      </c>
      <c r="G219" s="203">
        <f t="shared" si="65"/>
        <v>32385</v>
      </c>
      <c r="H219" s="203">
        <f t="shared" si="65"/>
        <v>24824</v>
      </c>
      <c r="I219" s="203">
        <f t="shared" si="65"/>
        <v>9660</v>
      </c>
      <c r="J219" s="203">
        <f t="shared" si="65"/>
        <v>1581</v>
      </c>
      <c r="K219" s="203" t="str">
        <f t="shared" si="65"/>
        <v>-</v>
      </c>
      <c r="L219" s="203">
        <f t="shared" si="65"/>
        <v>75184</v>
      </c>
    </row>
    <row r="220" spans="1:12" ht="11.25" customHeight="1" x14ac:dyDescent="0.25">
      <c r="A220" s="491" t="s">
        <v>393</v>
      </c>
      <c r="B220" s="203" t="str">
        <f>B48</f>
        <v>-</v>
      </c>
      <c r="C220" s="203">
        <f t="shared" si="65"/>
        <v>11</v>
      </c>
      <c r="D220" s="203">
        <f t="shared" si="65"/>
        <v>107</v>
      </c>
      <c r="E220" s="203">
        <f t="shared" si="65"/>
        <v>293</v>
      </c>
      <c r="F220" s="203">
        <f t="shared" si="65"/>
        <v>642</v>
      </c>
      <c r="G220" s="203">
        <f t="shared" si="65"/>
        <v>21209</v>
      </c>
      <c r="H220" s="203">
        <f t="shared" si="65"/>
        <v>11978</v>
      </c>
      <c r="I220" s="203">
        <f t="shared" si="65"/>
        <v>11338</v>
      </c>
      <c r="J220" s="203">
        <f t="shared" si="65"/>
        <v>1712</v>
      </c>
      <c r="K220" s="203" t="str">
        <f t="shared" si="65"/>
        <v>-</v>
      </c>
      <c r="L220" s="203">
        <f t="shared" si="65"/>
        <v>47290</v>
      </c>
    </row>
    <row r="221" spans="1:12" ht="11.25" customHeight="1" x14ac:dyDescent="0.25">
      <c r="A221" s="402"/>
      <c r="B221" s="203"/>
      <c r="C221" s="203"/>
      <c r="D221" s="203"/>
      <c r="E221" s="203"/>
      <c r="F221" s="203"/>
      <c r="G221" s="203"/>
      <c r="H221" s="203"/>
      <c r="I221" s="203"/>
      <c r="J221" s="203"/>
      <c r="K221" s="203"/>
      <c r="L221" s="203"/>
    </row>
    <row r="222" spans="1:12" ht="11.25" customHeight="1" x14ac:dyDescent="0.25">
      <c r="A222" s="454" t="s">
        <v>304</v>
      </c>
      <c r="B222" s="203"/>
      <c r="C222" s="203"/>
      <c r="D222" s="203"/>
      <c r="E222" s="203"/>
      <c r="F222" s="203"/>
      <c r="G222" s="203"/>
      <c r="H222" s="203"/>
      <c r="I222" s="203"/>
      <c r="J222" s="203"/>
      <c r="K222" s="203"/>
      <c r="L222" s="203"/>
    </row>
    <row r="223" spans="1:12" ht="11.25" customHeight="1" x14ac:dyDescent="0.25">
      <c r="A223" s="402" t="s">
        <v>30</v>
      </c>
      <c r="B223" s="203">
        <f>AVERAGE(B56:B60)</f>
        <v>0</v>
      </c>
      <c r="C223" s="203">
        <f t="shared" ref="C223:L223" si="66">AVERAGE(C56:C60)</f>
        <v>0</v>
      </c>
      <c r="D223" s="203">
        <f t="shared" si="66"/>
        <v>0.6</v>
      </c>
      <c r="E223" s="203">
        <f t="shared" si="66"/>
        <v>3481</v>
      </c>
      <c r="F223" s="203">
        <f t="shared" si="66"/>
        <v>14938.4</v>
      </c>
      <c r="G223" s="203">
        <f t="shared" si="66"/>
        <v>49198.400000000001</v>
      </c>
      <c r="H223" s="203">
        <f t="shared" si="66"/>
        <v>26921.599999999999</v>
      </c>
      <c r="I223" s="203">
        <f t="shared" si="66"/>
        <v>4354.3999999999996</v>
      </c>
      <c r="J223" s="203">
        <f t="shared" si="66"/>
        <v>3415.8</v>
      </c>
      <c r="K223" s="203">
        <f t="shared" si="66"/>
        <v>137.80000000000001</v>
      </c>
      <c r="L223" s="203">
        <f t="shared" si="66"/>
        <v>102448</v>
      </c>
    </row>
    <row r="224" spans="1:12" ht="11.25" customHeight="1" x14ac:dyDescent="0.25">
      <c r="A224" s="402" t="s">
        <v>87</v>
      </c>
      <c r="B224" s="203">
        <f>AVERAGE(B61:B65)</f>
        <v>0</v>
      </c>
      <c r="C224" s="203">
        <f t="shared" ref="C224:L224" si="67">AVERAGE(C61:C65)</f>
        <v>0</v>
      </c>
      <c r="D224" s="203" t="s">
        <v>29</v>
      </c>
      <c r="E224" s="203">
        <f t="shared" si="67"/>
        <v>5290.8</v>
      </c>
      <c r="F224" s="203">
        <f t="shared" si="67"/>
        <v>33539</v>
      </c>
      <c r="G224" s="203">
        <f t="shared" si="67"/>
        <v>62718</v>
      </c>
      <c r="H224" s="203">
        <f t="shared" si="67"/>
        <v>27347</v>
      </c>
      <c r="I224" s="203">
        <f t="shared" si="67"/>
        <v>5042.3999999999996</v>
      </c>
      <c r="J224" s="203">
        <f t="shared" si="67"/>
        <v>3353.3333333333335</v>
      </c>
      <c r="K224" s="203" t="s">
        <v>29</v>
      </c>
      <c r="L224" s="203">
        <f t="shared" si="67"/>
        <v>135949.20000000001</v>
      </c>
    </row>
    <row r="225" spans="1:12" ht="11.25" customHeight="1" x14ac:dyDescent="0.25">
      <c r="A225" s="402" t="s">
        <v>14</v>
      </c>
      <c r="B225" s="203" t="s">
        <v>29</v>
      </c>
      <c r="C225" s="203" t="s">
        <v>29</v>
      </c>
      <c r="D225" s="203" t="s">
        <v>29</v>
      </c>
      <c r="E225" s="203">
        <f>AVERAGE(E66:E70)</f>
        <v>6721.5</v>
      </c>
      <c r="F225" s="203">
        <f t="shared" ref="F225:L225" si="68">AVERAGE(F66:F70)</f>
        <v>16126.75</v>
      </c>
      <c r="G225" s="203">
        <f t="shared" si="68"/>
        <v>28644.333333333332</v>
      </c>
      <c r="H225" s="203">
        <f t="shared" si="68"/>
        <v>7900.75</v>
      </c>
      <c r="I225" s="203">
        <f t="shared" si="68"/>
        <v>7727.4</v>
      </c>
      <c r="J225" s="203">
        <f t="shared" si="68"/>
        <v>2878.75</v>
      </c>
      <c r="K225" s="203" t="s">
        <v>29</v>
      </c>
      <c r="L225" s="203">
        <f t="shared" si="68"/>
        <v>51816.2</v>
      </c>
    </row>
    <row r="226" spans="1:12" ht="11.25" customHeight="1" x14ac:dyDescent="0.25">
      <c r="A226" s="402" t="s">
        <v>207</v>
      </c>
      <c r="B226" s="203" t="s">
        <v>29</v>
      </c>
      <c r="C226" s="203" t="s">
        <v>29</v>
      </c>
      <c r="D226" s="203" t="s">
        <v>29</v>
      </c>
      <c r="E226" s="203">
        <f>AVERAGE(E71:E75)</f>
        <v>3271.2</v>
      </c>
      <c r="F226" s="203">
        <f t="shared" ref="F226:L226" si="69">AVERAGE(F71:F75)</f>
        <v>9149.6</v>
      </c>
      <c r="G226" s="203">
        <f t="shared" si="69"/>
        <v>5570.4</v>
      </c>
      <c r="H226" s="203">
        <f t="shared" si="69"/>
        <v>12831.6</v>
      </c>
      <c r="I226" s="203">
        <f t="shared" si="69"/>
        <v>3265.8</v>
      </c>
      <c r="J226" s="203">
        <f t="shared" si="69"/>
        <v>2765.8</v>
      </c>
      <c r="K226" s="203" t="s">
        <v>29</v>
      </c>
      <c r="L226" s="203">
        <f t="shared" si="69"/>
        <v>36854.400000000001</v>
      </c>
    </row>
    <row r="227" spans="1:12" ht="11.25" customHeight="1" x14ac:dyDescent="0.25">
      <c r="A227" s="402" t="s">
        <v>238</v>
      </c>
      <c r="B227" s="203" t="str">
        <f>B76</f>
        <v>-</v>
      </c>
      <c r="C227" s="203" t="str">
        <f>C76</f>
        <v>-</v>
      </c>
      <c r="D227" s="203" t="str">
        <f>D76</f>
        <v>-</v>
      </c>
      <c r="E227" s="203">
        <f t="shared" ref="E227:J227" si="70">AVERAGE(E76:E80)</f>
        <v>4565.8</v>
      </c>
      <c r="F227" s="203">
        <f t="shared" si="70"/>
        <v>8748</v>
      </c>
      <c r="G227" s="203">
        <f t="shared" si="70"/>
        <v>6207.6</v>
      </c>
      <c r="H227" s="203">
        <f t="shared" si="70"/>
        <v>12157.4</v>
      </c>
      <c r="I227" s="203">
        <f t="shared" si="70"/>
        <v>4617.2</v>
      </c>
      <c r="J227" s="203">
        <f t="shared" si="70"/>
        <v>2983.2</v>
      </c>
      <c r="K227" s="203" t="str">
        <f>K76</f>
        <v>-</v>
      </c>
      <c r="L227" s="203">
        <f>AVERAGE(L76:L80)</f>
        <v>39279.199999999997</v>
      </c>
    </row>
    <row r="228" spans="1:12" ht="11.25" customHeight="1" x14ac:dyDescent="0.25">
      <c r="A228" s="402">
        <v>2006</v>
      </c>
      <c r="B228" s="203" t="str">
        <f>B81</f>
        <v>-</v>
      </c>
      <c r="C228" s="203" t="str">
        <f t="shared" ref="C228:L228" si="71">C81</f>
        <v>-</v>
      </c>
      <c r="D228" s="203" t="str">
        <f t="shared" si="71"/>
        <v>-</v>
      </c>
      <c r="E228" s="203">
        <f t="shared" si="71"/>
        <v>4887</v>
      </c>
      <c r="F228" s="203">
        <f t="shared" si="71"/>
        <v>8619</v>
      </c>
      <c r="G228" s="203">
        <f t="shared" si="71"/>
        <v>3174</v>
      </c>
      <c r="H228" s="203" t="str">
        <f t="shared" si="71"/>
        <v>-</v>
      </c>
      <c r="I228" s="203">
        <f t="shared" si="71"/>
        <v>7320</v>
      </c>
      <c r="J228" s="203">
        <f t="shared" si="71"/>
        <v>3081</v>
      </c>
      <c r="K228" s="203" t="str">
        <f t="shared" si="71"/>
        <v>-</v>
      </c>
      <c r="L228" s="203">
        <f t="shared" si="71"/>
        <v>27081</v>
      </c>
    </row>
    <row r="229" spans="1:12" ht="11.25" customHeight="1" x14ac:dyDescent="0.25">
      <c r="A229" s="402">
        <v>2007</v>
      </c>
      <c r="B229" s="203" t="str">
        <f>B82</f>
        <v>-</v>
      </c>
      <c r="C229" s="203" t="str">
        <f t="shared" ref="C229:L229" si="72">C82</f>
        <v>-</v>
      </c>
      <c r="D229" s="203" t="str">
        <f t="shared" si="72"/>
        <v>-</v>
      </c>
      <c r="E229" s="203">
        <f t="shared" si="72"/>
        <v>2346</v>
      </c>
      <c r="F229" s="203">
        <f t="shared" si="72"/>
        <v>6223</v>
      </c>
      <c r="G229" s="203">
        <f t="shared" si="72"/>
        <v>7541</v>
      </c>
      <c r="H229" s="203">
        <f t="shared" si="72"/>
        <v>10178</v>
      </c>
      <c r="I229" s="203">
        <f t="shared" si="72"/>
        <v>2004</v>
      </c>
      <c r="J229" s="203">
        <f t="shared" si="72"/>
        <v>3263</v>
      </c>
      <c r="K229" s="203" t="str">
        <f t="shared" si="72"/>
        <v>-</v>
      </c>
      <c r="L229" s="203">
        <f t="shared" si="72"/>
        <v>31555</v>
      </c>
    </row>
    <row r="230" spans="1:12" ht="11.25" customHeight="1" x14ac:dyDescent="0.25">
      <c r="A230" s="402">
        <v>2008</v>
      </c>
      <c r="B230" s="203" t="str">
        <f>B83</f>
        <v>-</v>
      </c>
      <c r="C230" s="203" t="str">
        <f t="shared" ref="C230:L230" si="73">C83</f>
        <v>-</v>
      </c>
      <c r="D230" s="203" t="str">
        <f t="shared" si="73"/>
        <v>-</v>
      </c>
      <c r="E230" s="203" t="str">
        <f t="shared" si="73"/>
        <v>-</v>
      </c>
      <c r="F230" s="203">
        <f t="shared" si="73"/>
        <v>712</v>
      </c>
      <c r="G230" s="203">
        <f t="shared" si="73"/>
        <v>2317</v>
      </c>
      <c r="H230" s="203">
        <f t="shared" si="73"/>
        <v>701</v>
      </c>
      <c r="I230" s="203" t="str">
        <f t="shared" si="73"/>
        <v>-</v>
      </c>
      <c r="J230" s="203">
        <f t="shared" si="73"/>
        <v>1065</v>
      </c>
      <c r="K230" s="203" t="str">
        <f t="shared" si="73"/>
        <v>-</v>
      </c>
      <c r="L230" s="203">
        <f t="shared" si="73"/>
        <v>4795</v>
      </c>
    </row>
    <row r="231" spans="1:12" ht="11.25" customHeight="1" x14ac:dyDescent="0.25">
      <c r="A231" s="402">
        <v>2009</v>
      </c>
      <c r="B231" s="203" t="str">
        <f t="shared" ref="B231:L231" si="74">B84</f>
        <v>-</v>
      </c>
      <c r="C231" s="203" t="str">
        <f t="shared" si="74"/>
        <v>-</v>
      </c>
      <c r="D231" s="203" t="str">
        <f t="shared" si="74"/>
        <v>-</v>
      </c>
      <c r="E231" s="203" t="str">
        <f t="shared" si="74"/>
        <v>-</v>
      </c>
      <c r="F231" s="203">
        <f t="shared" si="74"/>
        <v>268</v>
      </c>
      <c r="G231" s="203">
        <f t="shared" si="74"/>
        <v>2329</v>
      </c>
      <c r="H231" s="203">
        <f t="shared" si="74"/>
        <v>3269</v>
      </c>
      <c r="I231" s="203">
        <f t="shared" si="74"/>
        <v>5424</v>
      </c>
      <c r="J231" s="203" t="str">
        <f t="shared" si="74"/>
        <v>-</v>
      </c>
      <c r="K231" s="203" t="str">
        <f t="shared" si="74"/>
        <v>-</v>
      </c>
      <c r="L231" s="203">
        <f t="shared" si="74"/>
        <v>11290</v>
      </c>
    </row>
    <row r="232" spans="1:12" ht="11.25" customHeight="1" x14ac:dyDescent="0.25">
      <c r="A232" s="402">
        <v>2010</v>
      </c>
      <c r="B232" s="203" t="str">
        <f t="shared" ref="B232:L232" si="75">B85</f>
        <v>-</v>
      </c>
      <c r="C232" s="203" t="str">
        <f t="shared" si="75"/>
        <v>-</v>
      </c>
      <c r="D232" s="203" t="str">
        <f t="shared" si="75"/>
        <v>-</v>
      </c>
      <c r="E232" s="203">
        <f t="shared" si="75"/>
        <v>665</v>
      </c>
      <c r="F232" s="203">
        <f t="shared" si="75"/>
        <v>771</v>
      </c>
      <c r="G232" s="203">
        <f t="shared" si="75"/>
        <v>1280</v>
      </c>
      <c r="H232" s="203">
        <f t="shared" si="75"/>
        <v>2493</v>
      </c>
      <c r="I232" s="203">
        <f t="shared" si="75"/>
        <v>2700</v>
      </c>
      <c r="J232" s="203">
        <f t="shared" si="75"/>
        <v>2270</v>
      </c>
      <c r="K232" s="203" t="str">
        <f t="shared" si="75"/>
        <v>-</v>
      </c>
      <c r="L232" s="203">
        <f t="shared" si="75"/>
        <v>10179</v>
      </c>
    </row>
    <row r="233" spans="1:12" ht="11.25" customHeight="1" x14ac:dyDescent="0.25">
      <c r="A233" s="402">
        <v>2011</v>
      </c>
      <c r="B233" s="203" t="str">
        <f t="shared" ref="B233:L233" si="76">B86</f>
        <v>-</v>
      </c>
      <c r="C233" s="203" t="str">
        <f t="shared" si="76"/>
        <v>-</v>
      </c>
      <c r="D233" s="203" t="str">
        <f t="shared" si="76"/>
        <v>-</v>
      </c>
      <c r="E233" s="203">
        <f t="shared" si="76"/>
        <v>2244</v>
      </c>
      <c r="F233" s="203">
        <f t="shared" si="76"/>
        <v>2974</v>
      </c>
      <c r="G233" s="203">
        <f t="shared" si="76"/>
        <v>5059</v>
      </c>
      <c r="H233" s="203">
        <f t="shared" si="76"/>
        <v>6554</v>
      </c>
      <c r="I233" s="203">
        <f t="shared" si="76"/>
        <v>2621</v>
      </c>
      <c r="J233" s="203">
        <f t="shared" si="76"/>
        <v>1757</v>
      </c>
      <c r="K233" s="203" t="str">
        <f t="shared" si="76"/>
        <v>-</v>
      </c>
      <c r="L233" s="203">
        <f t="shared" si="76"/>
        <v>21209</v>
      </c>
    </row>
    <row r="234" spans="1:12" ht="11.25" customHeight="1" x14ac:dyDescent="0.25">
      <c r="A234" s="402">
        <v>2012</v>
      </c>
      <c r="B234" s="203" t="str">
        <f t="shared" ref="B234:L234" si="77">B87</f>
        <v>-</v>
      </c>
      <c r="C234" s="203" t="str">
        <f t="shared" si="77"/>
        <v>-</v>
      </c>
      <c r="D234" s="203" t="str">
        <f t="shared" si="77"/>
        <v>-</v>
      </c>
      <c r="E234" s="203">
        <f t="shared" si="77"/>
        <v>3619</v>
      </c>
      <c r="F234" s="203">
        <f t="shared" si="77"/>
        <v>9514</v>
      </c>
      <c r="G234" s="203">
        <f t="shared" si="77"/>
        <v>14645</v>
      </c>
      <c r="H234" s="203">
        <f t="shared" si="77"/>
        <v>15183</v>
      </c>
      <c r="I234" s="203">
        <f t="shared" si="77"/>
        <v>3576</v>
      </c>
      <c r="J234" s="203">
        <f t="shared" si="77"/>
        <v>3666</v>
      </c>
      <c r="K234" s="203" t="str">
        <f t="shared" si="77"/>
        <v>-</v>
      </c>
      <c r="L234" s="203">
        <f t="shared" si="77"/>
        <v>50203</v>
      </c>
    </row>
    <row r="235" spans="1:12" ht="11.25" customHeight="1" x14ac:dyDescent="0.25">
      <c r="A235" s="402">
        <v>2013</v>
      </c>
      <c r="B235" s="203" t="str">
        <f t="shared" ref="B235:L235" si="78">B88</f>
        <v>-</v>
      </c>
      <c r="C235" s="203" t="str">
        <f t="shared" si="78"/>
        <v>-</v>
      </c>
      <c r="D235" s="203" t="str">
        <f t="shared" si="78"/>
        <v>-</v>
      </c>
      <c r="E235" s="203">
        <f t="shared" si="78"/>
        <v>3501</v>
      </c>
      <c r="F235" s="203">
        <f t="shared" si="78"/>
        <v>10773</v>
      </c>
      <c r="G235" s="203">
        <f t="shared" si="78"/>
        <v>15914</v>
      </c>
      <c r="H235" s="203">
        <f t="shared" si="78"/>
        <v>15379</v>
      </c>
      <c r="I235" s="203">
        <f t="shared" si="78"/>
        <v>822</v>
      </c>
      <c r="J235" s="203">
        <f t="shared" si="78"/>
        <v>3547</v>
      </c>
      <c r="K235" s="203" t="str">
        <f t="shared" si="78"/>
        <v>-</v>
      </c>
      <c r="L235" s="203">
        <f t="shared" si="78"/>
        <v>49936</v>
      </c>
    </row>
    <row r="236" spans="1:12" ht="11.25" customHeight="1" x14ac:dyDescent="0.25">
      <c r="A236" s="402">
        <v>2014</v>
      </c>
      <c r="B236" s="203" t="str">
        <f t="shared" ref="B236:L236" si="79">B89</f>
        <v>-</v>
      </c>
      <c r="C236" s="203" t="str">
        <f t="shared" si="79"/>
        <v>-</v>
      </c>
      <c r="D236" s="203" t="str">
        <f t="shared" si="79"/>
        <v>-</v>
      </c>
      <c r="E236" s="203">
        <f t="shared" si="79"/>
        <v>5588</v>
      </c>
      <c r="F236" s="203">
        <f t="shared" si="79"/>
        <v>6409</v>
      </c>
      <c r="G236" s="203">
        <f t="shared" si="79"/>
        <v>12723</v>
      </c>
      <c r="H236" s="203">
        <f t="shared" si="79"/>
        <v>7475</v>
      </c>
      <c r="I236" s="203">
        <f t="shared" si="79"/>
        <v>868</v>
      </c>
      <c r="J236" s="203">
        <f t="shared" si="79"/>
        <v>4639</v>
      </c>
      <c r="K236" s="203" t="str">
        <f t="shared" si="79"/>
        <v>-</v>
      </c>
      <c r="L236" s="203">
        <f t="shared" si="79"/>
        <v>37702</v>
      </c>
    </row>
    <row r="237" spans="1:12" ht="11.25" customHeight="1" x14ac:dyDescent="0.25">
      <c r="A237" s="402">
        <v>2015</v>
      </c>
      <c r="B237" s="203" t="str">
        <f t="shared" ref="B237:L237" si="80">B90</f>
        <v>-</v>
      </c>
      <c r="C237" s="203" t="str">
        <f t="shared" si="80"/>
        <v>-</v>
      </c>
      <c r="D237" s="203" t="str">
        <f t="shared" si="80"/>
        <v>-</v>
      </c>
      <c r="E237" s="203">
        <f t="shared" si="80"/>
        <v>2946</v>
      </c>
      <c r="F237" s="203">
        <f t="shared" si="80"/>
        <v>1679</v>
      </c>
      <c r="G237" s="203">
        <f t="shared" si="80"/>
        <v>3974</v>
      </c>
      <c r="H237" s="203">
        <f t="shared" si="80"/>
        <v>2927</v>
      </c>
      <c r="I237" s="203">
        <f t="shared" si="80"/>
        <v>1328</v>
      </c>
      <c r="J237" s="203">
        <f t="shared" si="80"/>
        <v>5040</v>
      </c>
      <c r="K237" s="203" t="str">
        <f t="shared" si="80"/>
        <v>-</v>
      </c>
      <c r="L237" s="203">
        <f t="shared" si="80"/>
        <v>17894</v>
      </c>
    </row>
    <row r="238" spans="1:12" ht="11.25" customHeight="1" x14ac:dyDescent="0.25">
      <c r="A238" s="402">
        <v>2016</v>
      </c>
      <c r="B238" s="203" t="str">
        <f t="shared" ref="B238:L238" si="81">B91</f>
        <v>-</v>
      </c>
      <c r="C238" s="203" t="str">
        <f t="shared" si="81"/>
        <v>-</v>
      </c>
      <c r="D238" s="203" t="str">
        <f t="shared" si="81"/>
        <v>-</v>
      </c>
      <c r="E238" s="203">
        <f t="shared" si="81"/>
        <v>1682</v>
      </c>
      <c r="F238" s="203">
        <f t="shared" si="81"/>
        <v>2622</v>
      </c>
      <c r="G238" s="203">
        <f t="shared" si="81"/>
        <v>3273</v>
      </c>
      <c r="H238" s="203">
        <f t="shared" si="81"/>
        <v>2134</v>
      </c>
      <c r="I238" s="203">
        <f t="shared" si="81"/>
        <v>1558</v>
      </c>
      <c r="J238" s="203">
        <f t="shared" si="81"/>
        <v>1872</v>
      </c>
      <c r="K238" s="203" t="str">
        <f t="shared" si="81"/>
        <v>-</v>
      </c>
      <c r="L238" s="203">
        <f t="shared" si="81"/>
        <v>13141</v>
      </c>
    </row>
    <row r="239" spans="1:12" ht="11.25" customHeight="1" x14ac:dyDescent="0.25">
      <c r="A239" s="402">
        <v>2017</v>
      </c>
      <c r="B239" s="203" t="str">
        <f t="shared" ref="B239:L239" si="82">B92</f>
        <v>-</v>
      </c>
      <c r="C239" s="203" t="str">
        <f t="shared" si="82"/>
        <v>-</v>
      </c>
      <c r="D239" s="203" t="str">
        <f t="shared" si="82"/>
        <v>-</v>
      </c>
      <c r="E239" s="203" t="str">
        <f t="shared" si="82"/>
        <v>-</v>
      </c>
      <c r="F239" s="203" t="str">
        <f t="shared" si="82"/>
        <v>-</v>
      </c>
      <c r="G239" s="203" t="str">
        <f t="shared" si="82"/>
        <v>-</v>
      </c>
      <c r="H239" s="203" t="str">
        <f t="shared" si="82"/>
        <v>-</v>
      </c>
      <c r="I239" s="203" t="str">
        <f t="shared" si="82"/>
        <v>-</v>
      </c>
      <c r="J239" s="203">
        <f t="shared" si="82"/>
        <v>2012</v>
      </c>
      <c r="K239" s="203" t="str">
        <f t="shared" si="82"/>
        <v>-</v>
      </c>
      <c r="L239" s="203">
        <f t="shared" si="82"/>
        <v>2012</v>
      </c>
    </row>
    <row r="240" spans="1:12" s="358" customFormat="1" ht="11.25" customHeight="1" x14ac:dyDescent="0.25">
      <c r="A240" s="402">
        <v>2018</v>
      </c>
      <c r="B240" s="203" t="str">
        <f t="shared" ref="B240:L240" si="83">B93</f>
        <v>-</v>
      </c>
      <c r="C240" s="203" t="str">
        <f t="shared" si="83"/>
        <v>-</v>
      </c>
      <c r="D240" s="203" t="str">
        <f t="shared" si="83"/>
        <v>-</v>
      </c>
      <c r="E240" s="203">
        <f t="shared" si="83"/>
        <v>508</v>
      </c>
      <c r="F240" s="203">
        <f t="shared" si="83"/>
        <v>3715</v>
      </c>
      <c r="G240" s="203">
        <f t="shared" si="83"/>
        <v>4138</v>
      </c>
      <c r="H240" s="203">
        <f t="shared" si="83"/>
        <v>3855</v>
      </c>
      <c r="I240" s="203">
        <f t="shared" si="83"/>
        <v>51</v>
      </c>
      <c r="J240" s="203">
        <f t="shared" si="83"/>
        <v>2102</v>
      </c>
      <c r="K240" s="203" t="str">
        <f t="shared" si="83"/>
        <v>-</v>
      </c>
      <c r="L240" s="203">
        <f t="shared" si="83"/>
        <v>14369</v>
      </c>
    </row>
    <row r="241" spans="1:12" s="358" customFormat="1" ht="11.25" customHeight="1" x14ac:dyDescent="0.25">
      <c r="A241" s="123" t="s">
        <v>403</v>
      </c>
      <c r="B241" s="203" t="str">
        <f>B94</f>
        <v>-</v>
      </c>
      <c r="C241" s="203" t="str">
        <f t="shared" ref="C241:L242" si="84">C94</f>
        <v>-</v>
      </c>
      <c r="D241" s="203" t="str">
        <f t="shared" si="84"/>
        <v>-</v>
      </c>
      <c r="E241" s="203">
        <f t="shared" si="84"/>
        <v>496</v>
      </c>
      <c r="F241" s="203">
        <f t="shared" si="84"/>
        <v>3507</v>
      </c>
      <c r="G241" s="203">
        <f t="shared" si="84"/>
        <v>4611</v>
      </c>
      <c r="H241" s="203">
        <f t="shared" si="84"/>
        <v>3308</v>
      </c>
      <c r="I241" s="203">
        <f t="shared" si="84"/>
        <v>147</v>
      </c>
      <c r="J241" s="203" t="str">
        <f t="shared" si="84"/>
        <v>-</v>
      </c>
      <c r="K241" s="203" t="str">
        <f t="shared" si="84"/>
        <v>-</v>
      </c>
      <c r="L241" s="203">
        <f t="shared" si="84"/>
        <v>12069</v>
      </c>
    </row>
    <row r="242" spans="1:12" ht="11.25" customHeight="1" x14ac:dyDescent="0.25">
      <c r="A242" s="123" t="s">
        <v>404</v>
      </c>
      <c r="B242" s="203" t="str">
        <f>B95</f>
        <v>-</v>
      </c>
      <c r="C242" s="203" t="str">
        <f t="shared" si="84"/>
        <v>-</v>
      </c>
      <c r="D242" s="203" t="str">
        <f t="shared" si="84"/>
        <v>-</v>
      </c>
      <c r="E242" s="203" t="str">
        <f t="shared" si="84"/>
        <v>-</v>
      </c>
      <c r="F242" s="203">
        <f t="shared" si="84"/>
        <v>1624</v>
      </c>
      <c r="G242" s="203">
        <f t="shared" si="84"/>
        <v>7790</v>
      </c>
      <c r="H242" s="203">
        <f t="shared" si="84"/>
        <v>1820</v>
      </c>
      <c r="I242" s="203" t="str">
        <f t="shared" si="84"/>
        <v>-</v>
      </c>
      <c r="J242" s="203" t="str">
        <f t="shared" si="84"/>
        <v>-</v>
      </c>
      <c r="K242" s="203" t="str">
        <f t="shared" si="84"/>
        <v>-</v>
      </c>
      <c r="L242" s="203">
        <f t="shared" si="84"/>
        <v>11234</v>
      </c>
    </row>
    <row r="243" spans="1:12" ht="11.25" customHeight="1" x14ac:dyDescent="0.25">
      <c r="A243" s="383"/>
      <c r="B243" s="200"/>
      <c r="C243" s="200"/>
      <c r="D243" s="200"/>
      <c r="E243" s="200"/>
      <c r="F243" s="200"/>
      <c r="G243" s="200"/>
      <c r="H243" s="200"/>
      <c r="I243" s="200"/>
      <c r="J243" s="200"/>
      <c r="K243" s="200"/>
      <c r="L243" s="200"/>
    </row>
    <row r="244" spans="1:12" ht="11.25" customHeight="1" x14ac:dyDescent="0.25">
      <c r="A244" s="608" t="s">
        <v>263</v>
      </c>
      <c r="B244" s="608"/>
      <c r="C244" s="608"/>
      <c r="D244" s="608"/>
      <c r="E244" s="608"/>
      <c r="F244" s="608"/>
      <c r="G244" s="608"/>
      <c r="H244" s="608"/>
      <c r="I244" s="608"/>
      <c r="J244" s="608"/>
      <c r="K244" s="608"/>
      <c r="L244" s="608"/>
    </row>
    <row r="245" spans="1:12" ht="11.25" customHeight="1" x14ac:dyDescent="0.25">
      <c r="A245" s="609"/>
      <c r="B245" s="609"/>
      <c r="C245" s="609"/>
      <c r="D245" s="609"/>
      <c r="E245" s="609"/>
      <c r="F245" s="609"/>
      <c r="G245" s="609"/>
      <c r="H245" s="609"/>
      <c r="I245" s="609"/>
      <c r="J245" s="609"/>
      <c r="K245" s="609"/>
      <c r="L245" s="609"/>
    </row>
    <row r="246" spans="1:12" ht="11.25" customHeight="1" x14ac:dyDescent="0.25">
      <c r="A246" s="389" t="s">
        <v>33</v>
      </c>
      <c r="B246" s="58" t="s">
        <v>42</v>
      </c>
      <c r="C246" s="58" t="s">
        <v>43</v>
      </c>
      <c r="D246" s="58" t="s">
        <v>34</v>
      </c>
      <c r="E246" s="58" t="s">
        <v>35</v>
      </c>
      <c r="F246" s="58" t="s">
        <v>36</v>
      </c>
      <c r="G246" s="58" t="s">
        <v>37</v>
      </c>
      <c r="H246" s="58" t="s">
        <v>38</v>
      </c>
      <c r="I246" s="58" t="s">
        <v>39</v>
      </c>
      <c r="J246" s="58" t="s">
        <v>40</v>
      </c>
      <c r="K246" s="58" t="s">
        <v>44</v>
      </c>
      <c r="L246" s="58" t="s">
        <v>28</v>
      </c>
    </row>
    <row r="247" spans="1:12" ht="11.25" customHeight="1" x14ac:dyDescent="0.25">
      <c r="A247" s="116" t="s">
        <v>88</v>
      </c>
      <c r="B247" s="200"/>
      <c r="C247" s="200"/>
      <c r="D247" s="200"/>
      <c r="E247" s="200"/>
      <c r="F247" s="200"/>
      <c r="G247" s="200"/>
      <c r="H247" s="200"/>
      <c r="I247" s="200"/>
      <c r="J247" s="200"/>
      <c r="K247" s="200"/>
      <c r="L247" s="200"/>
    </row>
    <row r="248" spans="1:12" ht="11.25" customHeight="1" x14ac:dyDescent="0.25">
      <c r="A248" s="383" t="s">
        <v>30</v>
      </c>
      <c r="B248" s="200">
        <f>AVERAGE(B103:B107)</f>
        <v>5106.6000000000004</v>
      </c>
      <c r="C248" s="200">
        <f t="shared" ref="C248:L248" si="85">AVERAGE(C103:C107)</f>
        <v>7945.4</v>
      </c>
      <c r="D248" s="200">
        <f t="shared" si="85"/>
        <v>8771.2000000000007</v>
      </c>
      <c r="E248" s="200">
        <f t="shared" si="85"/>
        <v>8898</v>
      </c>
      <c r="F248" s="200">
        <f t="shared" si="85"/>
        <v>14341.2</v>
      </c>
      <c r="G248" s="200">
        <f t="shared" si="85"/>
        <v>22037.8</v>
      </c>
      <c r="H248" s="200">
        <f t="shared" si="85"/>
        <v>16940.599999999999</v>
      </c>
      <c r="I248" s="200">
        <f t="shared" si="85"/>
        <v>9593</v>
      </c>
      <c r="J248" s="200">
        <f t="shared" si="85"/>
        <v>5648.4</v>
      </c>
      <c r="K248" s="200">
        <f t="shared" si="85"/>
        <v>1426.4</v>
      </c>
      <c r="L248" s="200">
        <f t="shared" si="85"/>
        <v>100708.6</v>
      </c>
    </row>
    <row r="249" spans="1:12" ht="11.25" customHeight="1" x14ac:dyDescent="0.25">
      <c r="A249" s="383" t="s">
        <v>87</v>
      </c>
      <c r="B249" s="200">
        <f>AVERAGE(B108:B112)</f>
        <v>8272.4</v>
      </c>
      <c r="C249" s="200">
        <f t="shared" ref="C249:L249" si="86">AVERAGE(C108:C112)</f>
        <v>17094.400000000001</v>
      </c>
      <c r="D249" s="200">
        <f t="shared" si="86"/>
        <v>24033.599999999999</v>
      </c>
      <c r="E249" s="200">
        <f t="shared" si="86"/>
        <v>13831.2</v>
      </c>
      <c r="F249" s="200">
        <f t="shared" si="86"/>
        <v>23692.6</v>
      </c>
      <c r="G249" s="200">
        <f t="shared" si="86"/>
        <v>36169.599999999999</v>
      </c>
      <c r="H249" s="200">
        <f t="shared" si="86"/>
        <v>22630.6</v>
      </c>
      <c r="I249" s="200">
        <f t="shared" si="86"/>
        <v>10893</v>
      </c>
      <c r="J249" s="200">
        <f t="shared" si="86"/>
        <v>5028.8</v>
      </c>
      <c r="K249" s="200">
        <f t="shared" si="86"/>
        <v>1562.8</v>
      </c>
      <c r="L249" s="200">
        <f t="shared" si="86"/>
        <v>163209</v>
      </c>
    </row>
    <row r="250" spans="1:12" ht="11.25" customHeight="1" x14ac:dyDescent="0.25">
      <c r="A250" s="383" t="s">
        <v>14</v>
      </c>
      <c r="B250" s="200">
        <f>AVERAGE(B113:B117)</f>
        <v>1262.5999999999999</v>
      </c>
      <c r="C250" s="200">
        <f t="shared" ref="C250:L250" si="87">AVERAGE(C113:C117)</f>
        <v>15053.8</v>
      </c>
      <c r="D250" s="200">
        <f t="shared" si="87"/>
        <v>23079</v>
      </c>
      <c r="E250" s="200">
        <f t="shared" si="87"/>
        <v>22179.599999999999</v>
      </c>
      <c r="F250" s="200">
        <f t="shared" si="87"/>
        <v>30006.799999999999</v>
      </c>
      <c r="G250" s="200">
        <f t="shared" si="87"/>
        <v>51594.6</v>
      </c>
      <c r="H250" s="200">
        <f t="shared" si="87"/>
        <v>26483</v>
      </c>
      <c r="I250" s="200">
        <f t="shared" si="87"/>
        <v>11093.4</v>
      </c>
      <c r="J250" s="200">
        <f t="shared" si="87"/>
        <v>5939</v>
      </c>
      <c r="K250" s="200">
        <f t="shared" si="87"/>
        <v>302.33333333333331</v>
      </c>
      <c r="L250" s="200">
        <f t="shared" si="87"/>
        <v>186873.2</v>
      </c>
    </row>
    <row r="251" spans="1:12" ht="11.25" customHeight="1" x14ac:dyDescent="0.25">
      <c r="A251" s="383" t="s">
        <v>207</v>
      </c>
      <c r="B251" s="200">
        <f>AVERAGE(B118:B122)</f>
        <v>31.5</v>
      </c>
      <c r="C251" s="200">
        <f t="shared" ref="C251:L251" si="88">AVERAGE(C118:C122)</f>
        <v>14341.4</v>
      </c>
      <c r="D251" s="200">
        <f t="shared" si="88"/>
        <v>25245</v>
      </c>
      <c r="E251" s="200">
        <f t="shared" si="88"/>
        <v>21783.599999999999</v>
      </c>
      <c r="F251" s="200">
        <f t="shared" si="88"/>
        <v>31874.400000000001</v>
      </c>
      <c r="G251" s="200">
        <f t="shared" si="88"/>
        <v>42866.6</v>
      </c>
      <c r="H251" s="200">
        <f t="shared" si="88"/>
        <v>25997</v>
      </c>
      <c r="I251" s="200">
        <f t="shared" si="88"/>
        <v>9463.4</v>
      </c>
      <c r="J251" s="200">
        <f t="shared" si="88"/>
        <v>4144</v>
      </c>
      <c r="K251" s="200">
        <f t="shared" si="88"/>
        <v>610.33333333333337</v>
      </c>
      <c r="L251" s="200">
        <f t="shared" si="88"/>
        <v>176094.2</v>
      </c>
    </row>
    <row r="252" spans="1:12" ht="11.25" customHeight="1" x14ac:dyDescent="0.25">
      <c r="A252" s="383" t="s">
        <v>238</v>
      </c>
      <c r="B252" s="200">
        <f>AVERAGE(B123:B127)</f>
        <v>370.6</v>
      </c>
      <c r="C252" s="200">
        <f>AVERAGE(C123:C127)</f>
        <v>2645.4</v>
      </c>
      <c r="D252" s="200">
        <f>AVERAGE(D123:D127)</f>
        <v>27879</v>
      </c>
      <c r="E252" s="200">
        <f t="shared" ref="E252:L252" si="89">AVERAGE(E123:E127)</f>
        <v>23255.599999999999</v>
      </c>
      <c r="F252" s="200">
        <f t="shared" si="89"/>
        <v>24369.8</v>
      </c>
      <c r="G252" s="200">
        <f t="shared" si="89"/>
        <v>41406.199999999997</v>
      </c>
      <c r="H252" s="200">
        <f t="shared" si="89"/>
        <v>23848</v>
      </c>
      <c r="I252" s="200">
        <f t="shared" si="89"/>
        <v>10068.200000000001</v>
      </c>
      <c r="J252" s="200">
        <f t="shared" si="89"/>
        <v>4148.3999999999996</v>
      </c>
      <c r="K252" s="200">
        <f t="shared" si="89"/>
        <v>1148.4000000000001</v>
      </c>
      <c r="L252" s="200">
        <f t="shared" si="89"/>
        <v>159139.6</v>
      </c>
    </row>
    <row r="253" spans="1:12" ht="11.25" customHeight="1" x14ac:dyDescent="0.25">
      <c r="A253" s="383">
        <v>2006</v>
      </c>
      <c r="B253" s="200">
        <f>B128</f>
        <v>289</v>
      </c>
      <c r="C253" s="200">
        <f t="shared" ref="C253:L253" si="90">C128</f>
        <v>298</v>
      </c>
      <c r="D253" s="200">
        <f t="shared" si="90"/>
        <v>19198</v>
      </c>
      <c r="E253" s="200">
        <f t="shared" si="90"/>
        <v>17128</v>
      </c>
      <c r="F253" s="200">
        <f t="shared" si="90"/>
        <v>25376</v>
      </c>
      <c r="G253" s="200">
        <f t="shared" si="90"/>
        <v>31705</v>
      </c>
      <c r="H253" s="200">
        <f t="shared" si="90"/>
        <v>9684</v>
      </c>
      <c r="I253" s="200">
        <f t="shared" si="90"/>
        <v>4102</v>
      </c>
      <c r="J253" s="200">
        <f t="shared" si="90"/>
        <v>1827</v>
      </c>
      <c r="K253" s="200">
        <f t="shared" si="90"/>
        <v>448</v>
      </c>
      <c r="L253" s="200">
        <f t="shared" si="90"/>
        <v>110055</v>
      </c>
    </row>
    <row r="254" spans="1:12" ht="11.25" customHeight="1" x14ac:dyDescent="0.25">
      <c r="A254" s="402">
        <v>2007</v>
      </c>
      <c r="B254" s="203">
        <f>B129</f>
        <v>249</v>
      </c>
      <c r="C254" s="203">
        <f t="shared" ref="C254:L254" si="91">C129</f>
        <v>855</v>
      </c>
      <c r="D254" s="203">
        <f t="shared" si="91"/>
        <v>15043</v>
      </c>
      <c r="E254" s="203">
        <f t="shared" si="91"/>
        <v>13297</v>
      </c>
      <c r="F254" s="203">
        <f t="shared" si="91"/>
        <v>19620</v>
      </c>
      <c r="G254" s="203">
        <f t="shared" si="91"/>
        <v>21548</v>
      </c>
      <c r="H254" s="203">
        <f t="shared" si="91"/>
        <v>8532</v>
      </c>
      <c r="I254" s="203">
        <f t="shared" si="91"/>
        <v>3091</v>
      </c>
      <c r="J254" s="203">
        <f t="shared" si="91"/>
        <v>1817</v>
      </c>
      <c r="K254" s="203">
        <f t="shared" si="91"/>
        <v>1394</v>
      </c>
      <c r="L254" s="203">
        <f t="shared" si="91"/>
        <v>85446</v>
      </c>
    </row>
    <row r="255" spans="1:12" ht="11.25" customHeight="1" x14ac:dyDescent="0.25">
      <c r="A255" s="402">
        <v>2008</v>
      </c>
      <c r="B255" s="203">
        <f>B130</f>
        <v>206</v>
      </c>
      <c r="C255" s="203">
        <f t="shared" ref="C255:L255" si="92">C130</f>
        <v>185</v>
      </c>
      <c r="D255" s="203" t="str">
        <f t="shared" si="92"/>
        <v>-</v>
      </c>
      <c r="E255" s="203" t="str">
        <f t="shared" si="92"/>
        <v>-</v>
      </c>
      <c r="F255" s="203" t="str">
        <f t="shared" si="92"/>
        <v>-</v>
      </c>
      <c r="G255" s="203" t="str">
        <f t="shared" si="92"/>
        <v>-</v>
      </c>
      <c r="H255" s="203" t="str">
        <f t="shared" si="92"/>
        <v>-</v>
      </c>
      <c r="I255" s="203" t="str">
        <f t="shared" si="92"/>
        <v>-</v>
      </c>
      <c r="J255" s="203" t="str">
        <f t="shared" si="92"/>
        <v>-</v>
      </c>
      <c r="K255" s="203" t="str">
        <f t="shared" si="92"/>
        <v>-</v>
      </c>
      <c r="L255" s="203">
        <f t="shared" si="92"/>
        <v>391</v>
      </c>
    </row>
    <row r="256" spans="1:12" ht="11.25" customHeight="1" x14ac:dyDescent="0.25">
      <c r="A256" s="402">
        <v>2009</v>
      </c>
      <c r="B256" s="203" t="str">
        <f t="shared" ref="B256:L256" si="93">B131</f>
        <v>-</v>
      </c>
      <c r="C256" s="203" t="str">
        <f t="shared" si="93"/>
        <v>-</v>
      </c>
      <c r="D256" s="203" t="str">
        <f t="shared" si="93"/>
        <v>-</v>
      </c>
      <c r="E256" s="203" t="str">
        <f t="shared" si="93"/>
        <v>-</v>
      </c>
      <c r="F256" s="203" t="str">
        <f t="shared" si="93"/>
        <v>-</v>
      </c>
      <c r="G256" s="203" t="str">
        <f t="shared" si="93"/>
        <v>-</v>
      </c>
      <c r="H256" s="203" t="str">
        <f t="shared" si="93"/>
        <v>-</v>
      </c>
      <c r="I256" s="203" t="str">
        <f t="shared" si="93"/>
        <v>-</v>
      </c>
      <c r="J256" s="203" t="str">
        <f t="shared" si="93"/>
        <v>-</v>
      </c>
      <c r="K256" s="203" t="str">
        <f t="shared" si="93"/>
        <v>-</v>
      </c>
      <c r="L256" s="203" t="str">
        <f t="shared" si="93"/>
        <v>-</v>
      </c>
    </row>
    <row r="257" spans="1:12" ht="11.25" customHeight="1" x14ac:dyDescent="0.25">
      <c r="A257" s="402">
        <v>2010</v>
      </c>
      <c r="B257" s="203" t="str">
        <f t="shared" ref="B257:L257" si="94">B132</f>
        <v>-</v>
      </c>
      <c r="C257" s="203" t="str">
        <f t="shared" si="94"/>
        <v>-</v>
      </c>
      <c r="D257" s="203">
        <f t="shared" si="94"/>
        <v>16774</v>
      </c>
      <c r="E257" s="203">
        <f t="shared" si="94"/>
        <v>6770</v>
      </c>
      <c r="F257" s="203">
        <f t="shared" si="94"/>
        <v>2736</v>
      </c>
      <c r="G257" s="203">
        <f t="shared" si="94"/>
        <v>8310</v>
      </c>
      <c r="H257" s="203">
        <f t="shared" si="94"/>
        <v>7883</v>
      </c>
      <c r="I257" s="203">
        <f t="shared" si="94"/>
        <v>1965</v>
      </c>
      <c r="J257" s="203" t="str">
        <f t="shared" si="94"/>
        <v>-</v>
      </c>
      <c r="K257" s="203" t="str">
        <f t="shared" si="94"/>
        <v>-</v>
      </c>
      <c r="L257" s="203">
        <f t="shared" si="94"/>
        <v>44438</v>
      </c>
    </row>
    <row r="258" spans="1:12" ht="11.25" customHeight="1" x14ac:dyDescent="0.25">
      <c r="A258" s="402">
        <v>2011</v>
      </c>
      <c r="B258" s="203" t="str">
        <f t="shared" ref="B258:L258" si="95">B133</f>
        <v>-</v>
      </c>
      <c r="C258" s="203" t="str">
        <f t="shared" si="95"/>
        <v>-</v>
      </c>
      <c r="D258" s="203">
        <f t="shared" si="95"/>
        <v>15565</v>
      </c>
      <c r="E258" s="203">
        <f t="shared" si="95"/>
        <v>5943</v>
      </c>
      <c r="F258" s="203">
        <f t="shared" si="95"/>
        <v>6937</v>
      </c>
      <c r="G258" s="203">
        <f t="shared" si="95"/>
        <v>20300</v>
      </c>
      <c r="H258" s="203">
        <f t="shared" si="95"/>
        <v>14387</v>
      </c>
      <c r="I258" s="203">
        <f t="shared" si="95"/>
        <v>10164</v>
      </c>
      <c r="J258" s="203">
        <f t="shared" si="95"/>
        <v>3431</v>
      </c>
      <c r="K258" s="203" t="str">
        <f t="shared" si="95"/>
        <v>-</v>
      </c>
      <c r="L258" s="203">
        <f t="shared" si="95"/>
        <v>76727</v>
      </c>
    </row>
    <row r="259" spans="1:12" ht="11.25" customHeight="1" x14ac:dyDescent="0.25">
      <c r="A259" s="402">
        <v>2012</v>
      </c>
      <c r="B259" s="203" t="str">
        <f t="shared" ref="B259:L259" si="96">B134</f>
        <v>-</v>
      </c>
      <c r="C259" s="203" t="str">
        <f t="shared" si="96"/>
        <v>-</v>
      </c>
      <c r="D259" s="203">
        <f t="shared" si="96"/>
        <v>21466</v>
      </c>
      <c r="E259" s="203">
        <f t="shared" si="96"/>
        <v>18077</v>
      </c>
      <c r="F259" s="203">
        <f t="shared" si="96"/>
        <v>21974</v>
      </c>
      <c r="G259" s="203">
        <f t="shared" si="96"/>
        <v>28417</v>
      </c>
      <c r="H259" s="203">
        <f t="shared" si="96"/>
        <v>14620</v>
      </c>
      <c r="I259" s="203">
        <f t="shared" si="96"/>
        <v>7914</v>
      </c>
      <c r="J259" s="203">
        <f t="shared" si="96"/>
        <v>3588</v>
      </c>
      <c r="K259" s="203">
        <f t="shared" si="96"/>
        <v>569</v>
      </c>
      <c r="L259" s="203">
        <f t="shared" si="96"/>
        <v>116625</v>
      </c>
    </row>
    <row r="260" spans="1:12" ht="11.25" customHeight="1" x14ac:dyDescent="0.25">
      <c r="A260" s="402">
        <v>2013</v>
      </c>
      <c r="B260" s="203" t="str">
        <f t="shared" ref="B260:L260" si="97">B135</f>
        <v>-</v>
      </c>
      <c r="C260" s="203" t="str">
        <f t="shared" si="97"/>
        <v>-</v>
      </c>
      <c r="D260" s="203">
        <f t="shared" si="97"/>
        <v>19602</v>
      </c>
      <c r="E260" s="203">
        <f t="shared" si="97"/>
        <v>15187</v>
      </c>
      <c r="F260" s="203">
        <f t="shared" si="97"/>
        <v>18315</v>
      </c>
      <c r="G260" s="203">
        <f t="shared" si="97"/>
        <v>36160</v>
      </c>
      <c r="H260" s="203">
        <f t="shared" si="97"/>
        <v>20012</v>
      </c>
      <c r="I260" s="203">
        <f t="shared" si="97"/>
        <v>5521</v>
      </c>
      <c r="J260" s="203">
        <f t="shared" si="97"/>
        <v>2245</v>
      </c>
      <c r="K260" s="203">
        <f t="shared" si="97"/>
        <v>426</v>
      </c>
      <c r="L260" s="203">
        <f t="shared" si="97"/>
        <v>117468</v>
      </c>
    </row>
    <row r="261" spans="1:12" ht="11.25" customHeight="1" x14ac:dyDescent="0.25">
      <c r="A261" s="402">
        <v>2014</v>
      </c>
      <c r="B261" s="203" t="str">
        <f t="shared" ref="B261:L261" si="98">B136</f>
        <v>-</v>
      </c>
      <c r="C261" s="203" t="str">
        <f t="shared" si="98"/>
        <v>-</v>
      </c>
      <c r="D261" s="203">
        <f t="shared" si="98"/>
        <v>20226</v>
      </c>
      <c r="E261" s="203">
        <f t="shared" si="98"/>
        <v>8522</v>
      </c>
      <c r="F261" s="203">
        <f t="shared" si="98"/>
        <v>7675</v>
      </c>
      <c r="G261" s="203">
        <f t="shared" si="98"/>
        <v>23892</v>
      </c>
      <c r="H261" s="203">
        <f t="shared" si="98"/>
        <v>22999</v>
      </c>
      <c r="I261" s="203">
        <f t="shared" si="98"/>
        <v>10443</v>
      </c>
      <c r="J261" s="203">
        <f t="shared" si="98"/>
        <v>5193</v>
      </c>
      <c r="K261" s="203">
        <f t="shared" si="98"/>
        <v>723</v>
      </c>
      <c r="L261" s="203">
        <f t="shared" si="98"/>
        <v>99673</v>
      </c>
    </row>
    <row r="262" spans="1:12" ht="11.25" customHeight="1" x14ac:dyDescent="0.25">
      <c r="A262" s="402">
        <v>2015</v>
      </c>
      <c r="B262" s="203" t="str">
        <f t="shared" ref="B262:L262" si="99">B137</f>
        <v>-</v>
      </c>
      <c r="C262" s="203" t="str">
        <f t="shared" si="99"/>
        <v>-</v>
      </c>
      <c r="D262" s="203">
        <f t="shared" si="99"/>
        <v>11085</v>
      </c>
      <c r="E262" s="203">
        <f t="shared" si="99"/>
        <v>7401</v>
      </c>
      <c r="F262" s="203">
        <f t="shared" si="99"/>
        <v>9210</v>
      </c>
      <c r="G262" s="203">
        <f t="shared" si="99"/>
        <v>16244</v>
      </c>
      <c r="H262" s="203">
        <f t="shared" si="99"/>
        <v>15118</v>
      </c>
      <c r="I262" s="203">
        <f t="shared" si="99"/>
        <v>10293</v>
      </c>
      <c r="J262" s="203">
        <f t="shared" si="99"/>
        <v>3483</v>
      </c>
      <c r="K262" s="203">
        <f t="shared" si="99"/>
        <v>5</v>
      </c>
      <c r="L262" s="203">
        <f t="shared" si="99"/>
        <v>72839</v>
      </c>
    </row>
    <row r="263" spans="1:12" ht="11.25" customHeight="1" x14ac:dyDescent="0.25">
      <c r="A263" s="402">
        <v>2016</v>
      </c>
      <c r="B263" s="203" t="str">
        <f t="shared" ref="B263:L263" si="100">B138</f>
        <v>-</v>
      </c>
      <c r="C263" s="203" t="str">
        <f t="shared" si="100"/>
        <v>-</v>
      </c>
      <c r="D263" s="203">
        <f t="shared" si="100"/>
        <v>8006</v>
      </c>
      <c r="E263" s="203">
        <f t="shared" si="100"/>
        <v>8281</v>
      </c>
      <c r="F263" s="203">
        <f t="shared" si="100"/>
        <v>4284</v>
      </c>
      <c r="G263" s="203">
        <f t="shared" si="100"/>
        <v>16521</v>
      </c>
      <c r="H263" s="203">
        <f t="shared" si="100"/>
        <v>13188</v>
      </c>
      <c r="I263" s="203">
        <f t="shared" si="100"/>
        <v>8500</v>
      </c>
      <c r="J263" s="203">
        <f t="shared" si="100"/>
        <v>2366</v>
      </c>
      <c r="K263" s="203">
        <f>K138</f>
        <v>0</v>
      </c>
      <c r="L263" s="203">
        <f t="shared" si="100"/>
        <v>61146</v>
      </c>
    </row>
    <row r="264" spans="1:12" ht="11.25" customHeight="1" x14ac:dyDescent="0.25">
      <c r="A264" s="402">
        <v>2017</v>
      </c>
      <c r="B264" s="203" t="str">
        <f t="shared" ref="B264:L264" si="101">B139</f>
        <v>-</v>
      </c>
      <c r="C264" s="203" t="str">
        <f t="shared" si="101"/>
        <v>-</v>
      </c>
      <c r="D264" s="203">
        <f t="shared" si="101"/>
        <v>10105</v>
      </c>
      <c r="E264" s="203">
        <f t="shared" si="101"/>
        <v>5000</v>
      </c>
      <c r="F264" s="203">
        <f t="shared" si="101"/>
        <v>6574</v>
      </c>
      <c r="G264" s="203">
        <f t="shared" si="101"/>
        <v>22590</v>
      </c>
      <c r="H264" s="203">
        <f t="shared" si="101"/>
        <v>19358</v>
      </c>
      <c r="I264" s="203">
        <f t="shared" si="101"/>
        <v>8496</v>
      </c>
      <c r="J264" s="203">
        <f t="shared" si="101"/>
        <v>1851</v>
      </c>
      <c r="K264" s="203">
        <f t="shared" si="101"/>
        <v>0</v>
      </c>
      <c r="L264" s="203">
        <f t="shared" si="101"/>
        <v>73974</v>
      </c>
    </row>
    <row r="265" spans="1:12" s="358" customFormat="1" ht="11.25" customHeight="1" x14ac:dyDescent="0.25">
      <c r="A265" s="402">
        <v>2018</v>
      </c>
      <c r="B265" s="203" t="str">
        <f t="shared" ref="B265:L265" si="102">B140</f>
        <v>-</v>
      </c>
      <c r="C265" s="203" t="str">
        <f t="shared" si="102"/>
        <v>-</v>
      </c>
      <c r="D265" s="203">
        <f t="shared" si="102"/>
        <v>8140</v>
      </c>
      <c r="E265" s="203">
        <f t="shared" si="102"/>
        <v>2021</v>
      </c>
      <c r="F265" s="203">
        <f t="shared" si="102"/>
        <v>12296</v>
      </c>
      <c r="G265" s="203">
        <f t="shared" si="102"/>
        <v>34271</v>
      </c>
      <c r="H265" s="203">
        <f t="shared" si="102"/>
        <v>18472</v>
      </c>
      <c r="I265" s="203">
        <f t="shared" si="102"/>
        <v>8984</v>
      </c>
      <c r="J265" s="203">
        <f t="shared" si="102"/>
        <v>5072</v>
      </c>
      <c r="K265" s="203" t="str">
        <f t="shared" si="102"/>
        <v>-</v>
      </c>
      <c r="L265" s="203">
        <f t="shared" si="102"/>
        <v>89256</v>
      </c>
    </row>
    <row r="266" spans="1:12" s="358" customFormat="1" ht="11.25" customHeight="1" x14ac:dyDescent="0.25">
      <c r="A266" s="123" t="s">
        <v>403</v>
      </c>
      <c r="B266" s="203" t="str">
        <f>B141</f>
        <v>-</v>
      </c>
      <c r="C266" s="203" t="str">
        <f t="shared" ref="C266:L267" si="103">C141</f>
        <v>-</v>
      </c>
      <c r="D266" s="203">
        <f t="shared" si="103"/>
        <v>17350</v>
      </c>
      <c r="E266" s="203">
        <f t="shared" si="103"/>
        <v>5579</v>
      </c>
      <c r="F266" s="203">
        <f t="shared" si="103"/>
        <v>18173</v>
      </c>
      <c r="G266" s="203">
        <f t="shared" si="103"/>
        <v>22932</v>
      </c>
      <c r="H266" s="203">
        <f t="shared" si="103"/>
        <v>23219</v>
      </c>
      <c r="I266" s="203">
        <f t="shared" si="103"/>
        <v>6925</v>
      </c>
      <c r="J266" s="203">
        <f t="shared" si="103"/>
        <v>1821</v>
      </c>
      <c r="K266" s="203" t="str">
        <f t="shared" si="103"/>
        <v>-</v>
      </c>
      <c r="L266" s="203">
        <f t="shared" si="103"/>
        <v>95999</v>
      </c>
    </row>
    <row r="267" spans="1:12" ht="11.25" customHeight="1" x14ac:dyDescent="0.25">
      <c r="A267" s="123" t="s">
        <v>404</v>
      </c>
      <c r="B267" s="200" t="str">
        <f>B142</f>
        <v>-</v>
      </c>
      <c r="C267" s="200" t="str">
        <f t="shared" si="103"/>
        <v>-</v>
      </c>
      <c r="D267" s="200" t="str">
        <f t="shared" si="103"/>
        <v>-</v>
      </c>
      <c r="E267" s="200" t="str">
        <f t="shared" si="103"/>
        <v>--</v>
      </c>
      <c r="F267" s="200" t="str">
        <f t="shared" si="103"/>
        <v>--</v>
      </c>
      <c r="G267" s="200">
        <f t="shared" si="103"/>
        <v>25843</v>
      </c>
      <c r="H267" s="200">
        <f t="shared" si="103"/>
        <v>16662</v>
      </c>
      <c r="I267" s="200">
        <f t="shared" si="103"/>
        <v>7703</v>
      </c>
      <c r="J267" s="200">
        <f t="shared" si="103"/>
        <v>4123</v>
      </c>
      <c r="K267" s="200">
        <f t="shared" si="103"/>
        <v>127</v>
      </c>
      <c r="L267" s="200">
        <f t="shared" si="103"/>
        <v>54458</v>
      </c>
    </row>
    <row r="268" spans="1:12" ht="11.25" customHeight="1" x14ac:dyDescent="0.25">
      <c r="A268" s="383"/>
      <c r="B268" s="200"/>
      <c r="C268" s="200"/>
      <c r="D268" s="200"/>
      <c r="E268" s="200"/>
      <c r="F268" s="200"/>
      <c r="G268" s="200"/>
      <c r="H268" s="200"/>
      <c r="I268" s="200"/>
      <c r="J268" s="200"/>
      <c r="K268" s="200"/>
      <c r="L268" s="200"/>
    </row>
    <row r="269" spans="1:12" ht="11.25" customHeight="1" x14ac:dyDescent="0.25">
      <c r="A269" s="120" t="s">
        <v>373</v>
      </c>
      <c r="B269" s="200"/>
      <c r="C269" s="200"/>
      <c r="D269" s="200"/>
      <c r="E269" s="200"/>
      <c r="F269" s="200"/>
      <c r="G269" s="200"/>
      <c r="H269" s="200"/>
      <c r="I269" s="200"/>
      <c r="J269" s="200"/>
      <c r="K269" s="200"/>
      <c r="L269" s="200"/>
    </row>
    <row r="270" spans="1:12" ht="11.25" customHeight="1" x14ac:dyDescent="0.25">
      <c r="A270" s="383" t="s">
        <v>30</v>
      </c>
      <c r="B270" s="200">
        <f>AVERAGE(B150:B154)</f>
        <v>5106.6000000000004</v>
      </c>
      <c r="C270" s="200">
        <f t="shared" ref="C270:L270" si="104">AVERAGE(C150:C154)</f>
        <v>7945.4</v>
      </c>
      <c r="D270" s="200">
        <f t="shared" si="104"/>
        <v>8771.7999999999993</v>
      </c>
      <c r="E270" s="200">
        <f t="shared" si="104"/>
        <v>14490.6</v>
      </c>
      <c r="F270" s="200">
        <f t="shared" si="104"/>
        <v>42353.4</v>
      </c>
      <c r="G270" s="200">
        <f t="shared" si="104"/>
        <v>149255</v>
      </c>
      <c r="H270" s="200">
        <f t="shared" si="104"/>
        <v>92911.6</v>
      </c>
      <c r="I270" s="200">
        <f t="shared" si="104"/>
        <v>22489</v>
      </c>
      <c r="J270" s="200">
        <f t="shared" si="104"/>
        <v>9384.7999999999993</v>
      </c>
      <c r="K270" s="200">
        <f t="shared" si="104"/>
        <v>1564.2</v>
      </c>
      <c r="L270" s="200">
        <f t="shared" si="104"/>
        <v>354272.4</v>
      </c>
    </row>
    <row r="271" spans="1:12" ht="11.25" customHeight="1" x14ac:dyDescent="0.25">
      <c r="A271" s="383" t="s">
        <v>87</v>
      </c>
      <c r="B271" s="200">
        <f>AVERAGE(B155:B159)</f>
        <v>8272.4</v>
      </c>
      <c r="C271" s="200">
        <f t="shared" ref="C271:L271" si="105">AVERAGE(C155:C159)</f>
        <v>17094.400000000001</v>
      </c>
      <c r="D271" s="200">
        <f t="shared" si="105"/>
        <v>24033.599999999999</v>
      </c>
      <c r="E271" s="200">
        <f t="shared" si="105"/>
        <v>20765.400000000001</v>
      </c>
      <c r="F271" s="200">
        <f t="shared" si="105"/>
        <v>75769.8</v>
      </c>
      <c r="G271" s="200">
        <f t="shared" si="105"/>
        <v>181451.8</v>
      </c>
      <c r="H271" s="200">
        <f t="shared" si="105"/>
        <v>100990</v>
      </c>
      <c r="I271" s="200">
        <f t="shared" si="105"/>
        <v>27106.799999999999</v>
      </c>
      <c r="J271" s="200">
        <f t="shared" si="105"/>
        <v>7040.8</v>
      </c>
      <c r="K271" s="200">
        <f t="shared" si="105"/>
        <v>1562.8</v>
      </c>
      <c r="L271" s="200">
        <f t="shared" si="105"/>
        <v>464087.8</v>
      </c>
    </row>
    <row r="272" spans="1:12" ht="11.25" customHeight="1" x14ac:dyDescent="0.25">
      <c r="A272" s="383" t="s">
        <v>14</v>
      </c>
      <c r="B272" s="200">
        <f>AVERAGE(B160:B164)</f>
        <v>1262.5999999999999</v>
      </c>
      <c r="C272" s="200">
        <f t="shared" ref="C272:L272" si="106">AVERAGE(C160:C164)</f>
        <v>15053.8</v>
      </c>
      <c r="D272" s="200">
        <f t="shared" si="106"/>
        <v>23079</v>
      </c>
      <c r="E272" s="200">
        <f t="shared" si="106"/>
        <v>29374.2</v>
      </c>
      <c r="F272" s="200">
        <f t="shared" si="106"/>
        <v>54157.2</v>
      </c>
      <c r="G272" s="200">
        <f t="shared" si="106"/>
        <v>106678.6</v>
      </c>
      <c r="H272" s="200">
        <f t="shared" si="106"/>
        <v>41812.800000000003</v>
      </c>
      <c r="I272" s="200">
        <f t="shared" si="106"/>
        <v>20897.2</v>
      </c>
      <c r="J272" s="200">
        <f t="shared" si="106"/>
        <v>10221</v>
      </c>
      <c r="K272" s="200">
        <f t="shared" si="106"/>
        <v>424.5</v>
      </c>
      <c r="L272" s="200">
        <f t="shared" si="106"/>
        <v>302876</v>
      </c>
    </row>
    <row r="273" spans="1:12" ht="11.25" customHeight="1" x14ac:dyDescent="0.25">
      <c r="A273" s="383" t="s">
        <v>207</v>
      </c>
      <c r="B273" s="200">
        <f>AVERAGE(B165:B169)</f>
        <v>31.5</v>
      </c>
      <c r="C273" s="200">
        <f t="shared" ref="C273:L273" si="107">AVERAGE(C165:C169)</f>
        <v>14341.4</v>
      </c>
      <c r="D273" s="200">
        <f t="shared" si="107"/>
        <v>25258.400000000001</v>
      </c>
      <c r="E273" s="200">
        <f t="shared" si="107"/>
        <v>25762.799999999999</v>
      </c>
      <c r="F273" s="200">
        <f t="shared" si="107"/>
        <v>41620.199999999997</v>
      </c>
      <c r="G273" s="200">
        <f t="shared" si="107"/>
        <v>58007</v>
      </c>
      <c r="H273" s="200">
        <f t="shared" si="107"/>
        <v>43216.800000000003</v>
      </c>
      <c r="I273" s="200">
        <f t="shared" si="107"/>
        <v>16256.4</v>
      </c>
      <c r="J273" s="200">
        <f t="shared" si="107"/>
        <v>9843.2000000000007</v>
      </c>
      <c r="K273" s="200">
        <f t="shared" si="107"/>
        <v>723.33333333333337</v>
      </c>
      <c r="L273" s="200">
        <f t="shared" si="107"/>
        <v>234752.8</v>
      </c>
    </row>
    <row r="274" spans="1:12" ht="11.25" customHeight="1" x14ac:dyDescent="0.25">
      <c r="A274" s="383" t="s">
        <v>238</v>
      </c>
      <c r="B274" s="200">
        <f>AVERAGE(B170:B174)</f>
        <v>370.6</v>
      </c>
      <c r="C274" s="200">
        <f>AVERAGE(C170:C174)</f>
        <v>2683.2</v>
      </c>
      <c r="D274" s="200">
        <f>AVERAGE(D170:D174)</f>
        <v>28090.6</v>
      </c>
      <c r="E274" s="200">
        <f t="shared" ref="E274:L274" si="108">AVERAGE(E170:E174)</f>
        <v>29281.200000000001</v>
      </c>
      <c r="F274" s="200">
        <f t="shared" si="108"/>
        <v>45533.4</v>
      </c>
      <c r="G274" s="200">
        <f t="shared" si="108"/>
        <v>85601</v>
      </c>
      <c r="H274" s="200">
        <f t="shared" si="108"/>
        <v>54661.8</v>
      </c>
      <c r="I274" s="200">
        <f t="shared" si="108"/>
        <v>23483.4</v>
      </c>
      <c r="J274" s="200">
        <f t="shared" si="108"/>
        <v>10662.4</v>
      </c>
      <c r="K274" s="200">
        <f t="shared" si="108"/>
        <v>1330.4</v>
      </c>
      <c r="L274" s="200">
        <f t="shared" si="108"/>
        <v>266524.40000000002</v>
      </c>
    </row>
    <row r="275" spans="1:12" ht="11.25" customHeight="1" x14ac:dyDescent="0.25">
      <c r="A275" s="402">
        <v>2006</v>
      </c>
      <c r="B275" s="203">
        <f t="shared" ref="B275:L275" si="109">B175</f>
        <v>289</v>
      </c>
      <c r="C275" s="203">
        <f t="shared" si="109"/>
        <v>322</v>
      </c>
      <c r="D275" s="203">
        <f t="shared" si="109"/>
        <v>19290</v>
      </c>
      <c r="E275" s="203">
        <f t="shared" si="109"/>
        <v>22818</v>
      </c>
      <c r="F275" s="203">
        <f t="shared" si="109"/>
        <v>38913</v>
      </c>
      <c r="G275" s="203">
        <f t="shared" si="109"/>
        <v>53213</v>
      </c>
      <c r="H275" s="203">
        <f t="shared" si="109"/>
        <v>13501</v>
      </c>
      <c r="I275" s="203">
        <f t="shared" si="109"/>
        <v>21417</v>
      </c>
      <c r="J275" s="203">
        <f t="shared" si="109"/>
        <v>10276</v>
      </c>
      <c r="K275" s="203">
        <f t="shared" si="109"/>
        <v>546</v>
      </c>
      <c r="L275" s="203">
        <f t="shared" si="109"/>
        <v>180585</v>
      </c>
    </row>
    <row r="276" spans="1:12" ht="11.25" customHeight="1" x14ac:dyDescent="0.25">
      <c r="A276" s="402">
        <v>2007</v>
      </c>
      <c r="B276" s="203">
        <f t="shared" ref="B276:L276" si="110">B176</f>
        <v>249</v>
      </c>
      <c r="C276" s="203">
        <f t="shared" si="110"/>
        <v>891</v>
      </c>
      <c r="D276" s="203">
        <f t="shared" si="110"/>
        <v>15118</v>
      </c>
      <c r="E276" s="203">
        <f t="shared" si="110"/>
        <v>16887</v>
      </c>
      <c r="F276" s="203">
        <f t="shared" si="110"/>
        <v>33671</v>
      </c>
      <c r="G276" s="203">
        <f t="shared" si="110"/>
        <v>51156</v>
      </c>
      <c r="H276" s="203">
        <f t="shared" si="110"/>
        <v>44618</v>
      </c>
      <c r="I276" s="203">
        <f t="shared" si="110"/>
        <v>10322</v>
      </c>
      <c r="J276" s="203">
        <f t="shared" si="110"/>
        <v>7421</v>
      </c>
      <c r="K276" s="203">
        <f t="shared" si="110"/>
        <v>1434</v>
      </c>
      <c r="L276" s="203">
        <f t="shared" si="110"/>
        <v>181767</v>
      </c>
    </row>
    <row r="277" spans="1:12" ht="11.25" customHeight="1" x14ac:dyDescent="0.25">
      <c r="A277" s="402">
        <v>2008</v>
      </c>
      <c r="B277" s="203">
        <f t="shared" ref="B277:L277" si="111">B177</f>
        <v>206</v>
      </c>
      <c r="C277" s="203">
        <f t="shared" si="111"/>
        <v>185</v>
      </c>
      <c r="D277" s="203" t="str">
        <f t="shared" si="111"/>
        <v>-</v>
      </c>
      <c r="E277" s="203" t="str">
        <f t="shared" si="111"/>
        <v>-</v>
      </c>
      <c r="F277" s="203">
        <f t="shared" si="111"/>
        <v>3965</v>
      </c>
      <c r="G277" s="203">
        <f t="shared" si="111"/>
        <v>9998</v>
      </c>
      <c r="H277" s="203">
        <f t="shared" si="111"/>
        <v>5753</v>
      </c>
      <c r="I277" s="203">
        <f t="shared" si="111"/>
        <v>3635</v>
      </c>
      <c r="J277" s="203">
        <f t="shared" si="111"/>
        <v>3413</v>
      </c>
      <c r="K277" s="203" t="str">
        <f t="shared" si="111"/>
        <v>--</v>
      </c>
      <c r="L277" s="203">
        <f t="shared" si="111"/>
        <v>27155</v>
      </c>
    </row>
    <row r="278" spans="1:12" ht="11.25" customHeight="1" x14ac:dyDescent="0.25">
      <c r="A278" s="402">
        <v>2009</v>
      </c>
      <c r="B278" s="203" t="str">
        <f t="shared" ref="B278:L278" si="112">B178</f>
        <v>-</v>
      </c>
      <c r="C278" s="203" t="str">
        <f t="shared" si="112"/>
        <v>-</v>
      </c>
      <c r="D278" s="203" t="str">
        <f t="shared" si="112"/>
        <v>-</v>
      </c>
      <c r="E278" s="203" t="str">
        <f t="shared" si="112"/>
        <v>-</v>
      </c>
      <c r="F278" s="203">
        <f t="shared" si="112"/>
        <v>4412</v>
      </c>
      <c r="G278" s="203">
        <f t="shared" si="112"/>
        <v>35341</v>
      </c>
      <c r="H278" s="203">
        <f t="shared" si="112"/>
        <v>26698</v>
      </c>
      <c r="I278" s="203">
        <f t="shared" si="112"/>
        <v>9167</v>
      </c>
      <c r="J278" s="203">
        <f t="shared" si="112"/>
        <v>2009</v>
      </c>
      <c r="K278" s="203" t="str">
        <f t="shared" si="112"/>
        <v>--</v>
      </c>
      <c r="L278" s="203">
        <f t="shared" si="112"/>
        <v>77627</v>
      </c>
    </row>
    <row r="279" spans="1:12" ht="11.25" customHeight="1" x14ac:dyDescent="0.25">
      <c r="A279" s="402">
        <v>2010</v>
      </c>
      <c r="B279" s="203" t="str">
        <f t="shared" ref="B279:L279" si="113">B179</f>
        <v>-</v>
      </c>
      <c r="C279" s="203" t="str">
        <f t="shared" si="113"/>
        <v>-</v>
      </c>
      <c r="D279" s="203">
        <f t="shared" si="113"/>
        <v>16774</v>
      </c>
      <c r="E279" s="203">
        <f t="shared" si="113"/>
        <v>8298</v>
      </c>
      <c r="F279" s="203">
        <f t="shared" si="113"/>
        <v>6467</v>
      </c>
      <c r="G279" s="203">
        <f t="shared" si="113"/>
        <v>18706</v>
      </c>
      <c r="H279" s="203">
        <f t="shared" si="113"/>
        <v>27170</v>
      </c>
      <c r="I279" s="203">
        <f t="shared" si="113"/>
        <v>10999</v>
      </c>
      <c r="J279" s="203">
        <f t="shared" si="113"/>
        <v>3318</v>
      </c>
      <c r="K279" s="203" t="str">
        <f t="shared" si="113"/>
        <v>--</v>
      </c>
      <c r="L279" s="203">
        <f t="shared" si="113"/>
        <v>91732</v>
      </c>
    </row>
    <row r="280" spans="1:12" ht="11.25" customHeight="1" x14ac:dyDescent="0.25">
      <c r="A280" s="402">
        <v>2011</v>
      </c>
      <c r="B280" s="203" t="str">
        <f t="shared" ref="B280:L280" si="114">B180</f>
        <v>-</v>
      </c>
      <c r="C280" s="203">
        <f t="shared" si="114"/>
        <v>22</v>
      </c>
      <c r="D280" s="203">
        <f t="shared" si="114"/>
        <v>15640</v>
      </c>
      <c r="E280" s="203">
        <f t="shared" si="114"/>
        <v>8620</v>
      </c>
      <c r="F280" s="203">
        <f t="shared" si="114"/>
        <v>12876</v>
      </c>
      <c r="G280" s="203">
        <f t="shared" si="114"/>
        <v>36194</v>
      </c>
      <c r="H280" s="203">
        <f t="shared" si="114"/>
        <v>31114</v>
      </c>
      <c r="I280" s="203">
        <f t="shared" si="114"/>
        <v>22139</v>
      </c>
      <c r="J280" s="203">
        <f t="shared" si="114"/>
        <v>6428</v>
      </c>
      <c r="K280" s="203">
        <f t="shared" si="114"/>
        <v>16</v>
      </c>
      <c r="L280" s="203">
        <f t="shared" si="114"/>
        <v>133049</v>
      </c>
    </row>
    <row r="281" spans="1:12" ht="11.25" customHeight="1" x14ac:dyDescent="0.25">
      <c r="A281" s="402">
        <v>2012</v>
      </c>
      <c r="B281" s="203" t="str">
        <f t="shared" ref="B281:L281" si="115">B181</f>
        <v>-</v>
      </c>
      <c r="C281" s="203">
        <f t="shared" si="115"/>
        <v>23</v>
      </c>
      <c r="D281" s="203">
        <f t="shared" si="115"/>
        <v>21846</v>
      </c>
      <c r="E281" s="203">
        <f t="shared" si="115"/>
        <v>23318</v>
      </c>
      <c r="F281" s="203">
        <f t="shared" si="115"/>
        <v>35266</v>
      </c>
      <c r="G281" s="203">
        <f t="shared" si="115"/>
        <v>52934</v>
      </c>
      <c r="H281" s="203">
        <f t="shared" si="115"/>
        <v>42334</v>
      </c>
      <c r="I281" s="203">
        <f t="shared" si="115"/>
        <v>25210</v>
      </c>
      <c r="J281" s="203">
        <f t="shared" si="115"/>
        <v>8959</v>
      </c>
      <c r="K281" s="203">
        <f t="shared" si="115"/>
        <v>587</v>
      </c>
      <c r="L281" s="203">
        <f t="shared" si="115"/>
        <v>210477</v>
      </c>
    </row>
    <row r="282" spans="1:12" ht="11.25" customHeight="1" x14ac:dyDescent="0.25">
      <c r="A282" s="402">
        <v>2013</v>
      </c>
      <c r="B282" s="203" t="str">
        <f t="shared" ref="B282:L282" si="116">B182</f>
        <v>-</v>
      </c>
      <c r="C282" s="203">
        <f t="shared" si="116"/>
        <v>479</v>
      </c>
      <c r="D282" s="203">
        <f t="shared" si="116"/>
        <v>20295</v>
      </c>
      <c r="E282" s="203">
        <f t="shared" si="116"/>
        <v>19599</v>
      </c>
      <c r="F282" s="203">
        <f t="shared" si="116"/>
        <v>33058</v>
      </c>
      <c r="G282" s="203">
        <f t="shared" si="116"/>
        <v>63288</v>
      </c>
      <c r="H282" s="203">
        <f t="shared" si="116"/>
        <v>61368</v>
      </c>
      <c r="I282" s="203">
        <f t="shared" si="116"/>
        <v>18176</v>
      </c>
      <c r="J282" s="203">
        <f t="shared" si="116"/>
        <v>10006</v>
      </c>
      <c r="K282" s="203">
        <f t="shared" si="116"/>
        <v>426</v>
      </c>
      <c r="L282" s="203">
        <f t="shared" si="116"/>
        <v>226695</v>
      </c>
    </row>
    <row r="283" spans="1:12" ht="11.25" customHeight="1" x14ac:dyDescent="0.25">
      <c r="A283" s="402">
        <v>2014</v>
      </c>
      <c r="B283" s="203" t="str">
        <f t="shared" ref="B283:L283" si="117">B183</f>
        <v>-</v>
      </c>
      <c r="C283" s="203">
        <f t="shared" si="117"/>
        <v>87</v>
      </c>
      <c r="D283" s="203">
        <f t="shared" si="117"/>
        <v>20362</v>
      </c>
      <c r="E283" s="203">
        <f t="shared" si="117"/>
        <v>16345</v>
      </c>
      <c r="F283" s="203">
        <f t="shared" si="117"/>
        <v>19335</v>
      </c>
      <c r="G283" s="203">
        <f t="shared" si="117"/>
        <v>69417</v>
      </c>
      <c r="H283" s="203">
        <f t="shared" si="117"/>
        <v>56337</v>
      </c>
      <c r="I283" s="203">
        <f t="shared" si="117"/>
        <v>35699</v>
      </c>
      <c r="J283" s="203">
        <f t="shared" si="117"/>
        <v>11253</v>
      </c>
      <c r="K283" s="203">
        <f t="shared" si="117"/>
        <v>723</v>
      </c>
      <c r="L283" s="203">
        <f t="shared" si="117"/>
        <v>229558</v>
      </c>
    </row>
    <row r="284" spans="1:12" ht="11.25" customHeight="1" x14ac:dyDescent="0.25">
      <c r="A284" s="402">
        <v>2015</v>
      </c>
      <c r="B284" s="203" t="str">
        <f t="shared" ref="B284:L284" si="118">B184</f>
        <v>-</v>
      </c>
      <c r="C284" s="203">
        <f t="shared" si="118"/>
        <v>60</v>
      </c>
      <c r="D284" s="203">
        <f t="shared" si="118"/>
        <v>11237</v>
      </c>
      <c r="E284" s="203">
        <f t="shared" si="118"/>
        <v>11729</v>
      </c>
      <c r="F284" s="203">
        <f t="shared" si="118"/>
        <v>13239</v>
      </c>
      <c r="G284" s="203">
        <f t="shared" si="118"/>
        <v>38243</v>
      </c>
      <c r="H284" s="203">
        <f t="shared" si="118"/>
        <v>25571</v>
      </c>
      <c r="I284" s="203">
        <f t="shared" si="118"/>
        <v>28207</v>
      </c>
      <c r="J284" s="203">
        <f t="shared" si="118"/>
        <v>10897</v>
      </c>
      <c r="K284" s="203">
        <f t="shared" si="118"/>
        <v>5</v>
      </c>
      <c r="L284" s="203">
        <f t="shared" si="118"/>
        <v>139188</v>
      </c>
    </row>
    <row r="285" spans="1:12" ht="11.25" customHeight="1" x14ac:dyDescent="0.25">
      <c r="A285" s="402">
        <v>2016</v>
      </c>
      <c r="B285" s="203" t="str">
        <f t="shared" ref="B285:L285" si="119">B185</f>
        <v>-</v>
      </c>
      <c r="C285" s="203">
        <f t="shared" si="119"/>
        <v>82</v>
      </c>
      <c r="D285" s="203">
        <f t="shared" si="119"/>
        <v>8024</v>
      </c>
      <c r="E285" s="203">
        <f t="shared" si="119"/>
        <v>11000</v>
      </c>
      <c r="F285" s="203">
        <f t="shared" si="119"/>
        <v>9705</v>
      </c>
      <c r="G285" s="203">
        <f t="shared" si="119"/>
        <v>26176</v>
      </c>
      <c r="H285" s="203">
        <f t="shared" si="119"/>
        <v>20157</v>
      </c>
      <c r="I285" s="203">
        <f t="shared" si="119"/>
        <v>24637</v>
      </c>
      <c r="J285" s="203">
        <f t="shared" si="119"/>
        <v>4850</v>
      </c>
      <c r="K285" s="203" t="str">
        <f t="shared" si="119"/>
        <v>--</v>
      </c>
      <c r="L285" s="203">
        <f t="shared" si="119"/>
        <v>104631</v>
      </c>
    </row>
    <row r="286" spans="1:12" ht="11.25" customHeight="1" x14ac:dyDescent="0.25">
      <c r="A286" s="402">
        <v>2017</v>
      </c>
      <c r="B286" s="203" t="str">
        <f t="shared" ref="B286:L286" si="120">B186</f>
        <v>-</v>
      </c>
      <c r="C286" s="203">
        <f t="shared" si="120"/>
        <v>17</v>
      </c>
      <c r="D286" s="203">
        <f t="shared" si="120"/>
        <v>10165</v>
      </c>
      <c r="E286" s="203">
        <f t="shared" si="120"/>
        <v>5500</v>
      </c>
      <c r="F286" s="203">
        <f t="shared" si="120"/>
        <v>8490</v>
      </c>
      <c r="G286" s="203">
        <f t="shared" si="120"/>
        <v>32647</v>
      </c>
      <c r="H286" s="203">
        <f t="shared" si="120"/>
        <v>28741</v>
      </c>
      <c r="I286" s="203">
        <f t="shared" si="120"/>
        <v>17839</v>
      </c>
      <c r="J286" s="203">
        <f t="shared" si="120"/>
        <v>4316</v>
      </c>
      <c r="K286" s="203" t="str">
        <f t="shared" si="120"/>
        <v>--</v>
      </c>
      <c r="L286" s="203">
        <f t="shared" si="120"/>
        <v>107715</v>
      </c>
    </row>
    <row r="287" spans="1:12" s="358" customFormat="1" ht="11.25" customHeight="1" x14ac:dyDescent="0.25">
      <c r="A287" s="402">
        <v>2018</v>
      </c>
      <c r="B287" s="203" t="str">
        <f t="shared" ref="B287:L287" si="121">B187</f>
        <v>-</v>
      </c>
      <c r="C287" s="203">
        <f t="shared" si="121"/>
        <v>54</v>
      </c>
      <c r="D287" s="203">
        <f t="shared" si="121"/>
        <v>8159</v>
      </c>
      <c r="E287" s="203">
        <f t="shared" si="121"/>
        <v>3186</v>
      </c>
      <c r="F287" s="203">
        <f t="shared" si="121"/>
        <v>17133</v>
      </c>
      <c r="G287" s="203">
        <f t="shared" si="121"/>
        <v>47975</v>
      </c>
      <c r="H287" s="203">
        <f t="shared" si="121"/>
        <v>44546</v>
      </c>
      <c r="I287" s="203">
        <f t="shared" si="121"/>
        <v>23631</v>
      </c>
      <c r="J287" s="203">
        <f t="shared" si="121"/>
        <v>8073</v>
      </c>
      <c r="K287" s="203" t="str">
        <f t="shared" si="121"/>
        <v>--</v>
      </c>
      <c r="L287" s="203">
        <f t="shared" si="121"/>
        <v>152757</v>
      </c>
    </row>
    <row r="288" spans="1:12" s="358" customFormat="1" ht="11.25" customHeight="1" x14ac:dyDescent="0.25">
      <c r="A288" s="123" t="s">
        <v>403</v>
      </c>
      <c r="B288" s="203" t="str">
        <f t="shared" ref="B288:L289" si="122">B188</f>
        <v>-</v>
      </c>
      <c r="C288" s="203">
        <f t="shared" si="122"/>
        <v>43</v>
      </c>
      <c r="D288" s="203">
        <f t="shared" si="122"/>
        <v>17358</v>
      </c>
      <c r="E288" s="203">
        <f t="shared" si="122"/>
        <v>6485</v>
      </c>
      <c r="F288" s="203">
        <f t="shared" si="122"/>
        <v>27953</v>
      </c>
      <c r="G288" s="203">
        <f t="shared" si="122"/>
        <v>59928</v>
      </c>
      <c r="H288" s="203">
        <f t="shared" si="122"/>
        <v>51351</v>
      </c>
      <c r="I288" s="203">
        <f t="shared" si="122"/>
        <v>16732</v>
      </c>
      <c r="J288" s="203">
        <f t="shared" si="122"/>
        <v>3402</v>
      </c>
      <c r="K288" s="203" t="str">
        <f t="shared" si="122"/>
        <v>-</v>
      </c>
      <c r="L288" s="203">
        <f t="shared" si="122"/>
        <v>183252</v>
      </c>
    </row>
    <row r="289" spans="1:12" ht="11.25" customHeight="1" x14ac:dyDescent="0.25">
      <c r="A289" s="123" t="s">
        <v>404</v>
      </c>
      <c r="B289" s="20" t="str">
        <f t="shared" si="122"/>
        <v>-</v>
      </c>
      <c r="C289" s="20">
        <f t="shared" si="122"/>
        <v>11</v>
      </c>
      <c r="D289" s="20">
        <f t="shared" si="122"/>
        <v>107</v>
      </c>
      <c r="E289" s="20">
        <f t="shared" si="122"/>
        <v>293</v>
      </c>
      <c r="F289" s="20">
        <f t="shared" si="122"/>
        <v>2266</v>
      </c>
      <c r="G289" s="20">
        <f t="shared" si="122"/>
        <v>54842</v>
      </c>
      <c r="H289" s="20">
        <f t="shared" si="122"/>
        <v>30460</v>
      </c>
      <c r="I289" s="20">
        <f t="shared" si="122"/>
        <v>19041</v>
      </c>
      <c r="J289" s="20">
        <f t="shared" si="122"/>
        <v>5835</v>
      </c>
      <c r="K289" s="20">
        <f t="shared" si="122"/>
        <v>127</v>
      </c>
      <c r="L289" s="20">
        <f t="shared" si="122"/>
        <v>112982</v>
      </c>
    </row>
    <row r="290" spans="1:12" ht="11.25" customHeight="1" x14ac:dyDescent="0.25">
      <c r="A290" s="585" t="str">
        <f>A190</f>
        <v>a/  Monthly totals for Oregon data are the sum of statistical weeks with closest fit to the calendar month.</v>
      </c>
      <c r="B290" s="585"/>
      <c r="C290" s="585"/>
      <c r="D290" s="585"/>
      <c r="E290" s="585"/>
      <c r="F290" s="585"/>
      <c r="G290" s="585"/>
      <c r="H290" s="585"/>
      <c r="I290" s="585"/>
      <c r="J290" s="585"/>
      <c r="K290" s="585"/>
      <c r="L290" s="585"/>
    </row>
    <row r="291" spans="1:12" ht="11.25" customHeight="1" x14ac:dyDescent="0.25">
      <c r="A291" s="605" t="str">
        <f>A191</f>
        <v>b/  Preliminary.</v>
      </c>
      <c r="B291" s="605"/>
      <c r="C291" s="605"/>
      <c r="D291" s="605"/>
      <c r="E291" s="605"/>
      <c r="F291" s="605"/>
      <c r="G291" s="605"/>
      <c r="H291" s="605"/>
      <c r="I291" s="605"/>
      <c r="J291" s="605"/>
      <c r="K291" s="605"/>
      <c r="L291" s="605"/>
    </row>
    <row r="292" spans="1:12" ht="22.5" customHeight="1" x14ac:dyDescent="0.25">
      <c r="A292" s="605" t="str">
        <f>A192</f>
        <v>c/  Recreational estimates for California do not include May and June due to restrictions on sampling caused by the COVID-19 pandemic.</v>
      </c>
      <c r="B292" s="605"/>
      <c r="C292" s="605"/>
      <c r="D292" s="605"/>
      <c r="E292" s="605"/>
      <c r="F292" s="605"/>
      <c r="G292" s="605"/>
      <c r="H292" s="605"/>
      <c r="I292" s="605"/>
      <c r="J292" s="605"/>
      <c r="K292" s="605"/>
      <c r="L292" s="605"/>
    </row>
  </sheetData>
  <mergeCells count="8">
    <mergeCell ref="A292:L292"/>
    <mergeCell ref="A197:L198"/>
    <mergeCell ref="A244:L245"/>
    <mergeCell ref="A190:L190"/>
    <mergeCell ref="A191:L191"/>
    <mergeCell ref="A192:L192"/>
    <mergeCell ref="A290:L290"/>
    <mergeCell ref="A291:L291"/>
  </mergeCells>
  <pageMargins left="0.7" right="0.7" top="0.75" bottom="0.75" header="0.3" footer="0.3"/>
  <pageSetup orientation="portrait" r:id="rId1"/>
  <rowBreaks count="2" manualBreakCount="2">
    <brk id="196" max="16383" man="1"/>
    <brk id="243" max="11" man="1"/>
  </rowBreak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56"/>
  <dimension ref="A1:IV293"/>
  <sheetViews>
    <sheetView showGridLines="0" topLeftCell="A149" zoomScaleNormal="100" workbookViewId="0">
      <selection sqref="A1:J2"/>
    </sheetView>
  </sheetViews>
  <sheetFormatPr defaultRowHeight="15.75" x14ac:dyDescent="0.25"/>
  <cols>
    <col min="1" max="1" width="9" style="340" customWidth="1"/>
    <col min="2" max="6" width="5" style="340" bestFit="1" customWidth="1"/>
    <col min="7" max="7" width="5.75" style="340" bestFit="1" customWidth="1"/>
    <col min="8" max="10" width="5" style="340" bestFit="1" customWidth="1"/>
    <col min="11" max="11" width="4.25" style="340" bestFit="1" customWidth="1"/>
    <col min="12" max="12" width="5.75" style="340" bestFit="1" customWidth="1"/>
    <col min="13" max="13" width="1" style="340" customWidth="1"/>
    <col min="14" max="16" width="3.5" style="340" bestFit="1" customWidth="1"/>
    <col min="17" max="17" width="5" style="340" bestFit="1" customWidth="1"/>
    <col min="18" max="20" width="5.75" style="340" bestFit="1" customWidth="1"/>
    <col min="21" max="21" width="5" style="340" bestFit="1" customWidth="1"/>
    <col min="22" max="22" width="4.25" style="340" bestFit="1" customWidth="1"/>
    <col min="23" max="23" width="3.625" style="340" bestFit="1" customWidth="1"/>
    <col min="24" max="24" width="5.75" style="340" bestFit="1" customWidth="1"/>
    <col min="25" max="16384" width="9" style="340"/>
  </cols>
  <sheetData>
    <row r="1" spans="1:24" ht="11.25" customHeight="1" x14ac:dyDescent="0.25">
      <c r="A1" s="374" t="s">
        <v>10</v>
      </c>
      <c r="B1" s="374"/>
      <c r="C1" s="374"/>
      <c r="D1" s="374"/>
      <c r="E1" s="374"/>
      <c r="F1" s="374"/>
      <c r="G1" s="374"/>
      <c r="H1" s="374"/>
      <c r="I1" s="374"/>
      <c r="J1" s="374"/>
      <c r="K1" s="374"/>
      <c r="L1" s="374"/>
      <c r="M1" s="374"/>
      <c r="N1" s="374"/>
      <c r="O1" s="374"/>
      <c r="P1" s="374"/>
      <c r="Q1" s="374"/>
      <c r="R1" s="374"/>
      <c r="S1" s="374"/>
      <c r="T1" s="374"/>
      <c r="U1" s="374"/>
      <c r="V1" s="374"/>
      <c r="W1" s="374"/>
      <c r="X1" s="374"/>
    </row>
    <row r="2" spans="1:24" ht="11.25" customHeight="1" x14ac:dyDescent="0.25">
      <c r="A2" s="2" t="s">
        <v>33</v>
      </c>
      <c r="B2" s="58" t="s">
        <v>42</v>
      </c>
      <c r="C2" s="58" t="s">
        <v>43</v>
      </c>
      <c r="D2" s="58" t="s">
        <v>34</v>
      </c>
      <c r="E2" s="58" t="s">
        <v>35</v>
      </c>
      <c r="F2" s="58" t="s">
        <v>36</v>
      </c>
      <c r="G2" s="58" t="s">
        <v>37</v>
      </c>
      <c r="H2" s="58" t="s">
        <v>38</v>
      </c>
      <c r="I2" s="58" t="s">
        <v>39</v>
      </c>
      <c r="J2" s="58" t="s">
        <v>40</v>
      </c>
      <c r="K2" s="58" t="s">
        <v>44</v>
      </c>
      <c r="L2" s="58" t="s">
        <v>28</v>
      </c>
      <c r="M2" s="381"/>
      <c r="N2" s="58" t="s">
        <v>42</v>
      </c>
      <c r="O2" s="58" t="s">
        <v>43</v>
      </c>
      <c r="P2" s="58" t="s">
        <v>34</v>
      </c>
      <c r="Q2" s="58" t="s">
        <v>35</v>
      </c>
      <c r="R2" s="58" t="s">
        <v>36</v>
      </c>
      <c r="S2" s="58" t="s">
        <v>37</v>
      </c>
      <c r="T2" s="58" t="s">
        <v>38</v>
      </c>
      <c r="U2" s="58" t="s">
        <v>39</v>
      </c>
      <c r="V2" s="58" t="s">
        <v>40</v>
      </c>
      <c r="W2" s="58" t="s">
        <v>44</v>
      </c>
      <c r="X2" s="58" t="s">
        <v>28</v>
      </c>
    </row>
    <row r="3" spans="1:24" ht="11.25" customHeight="1" x14ac:dyDescent="0.25">
      <c r="B3" s="583" t="s">
        <v>67</v>
      </c>
      <c r="C3" s="583"/>
      <c r="D3" s="583"/>
      <c r="E3" s="583"/>
      <c r="F3" s="583"/>
      <c r="G3" s="583"/>
      <c r="H3" s="583"/>
      <c r="I3" s="583"/>
      <c r="J3" s="583"/>
      <c r="K3" s="583"/>
      <c r="L3" s="583"/>
      <c r="M3" s="19"/>
      <c r="N3" s="583" t="s">
        <v>68</v>
      </c>
      <c r="O3" s="583"/>
      <c r="P3" s="583"/>
      <c r="Q3" s="583"/>
      <c r="R3" s="583"/>
      <c r="S3" s="583"/>
      <c r="T3" s="583"/>
      <c r="U3" s="583"/>
      <c r="V3" s="583"/>
      <c r="W3" s="583"/>
      <c r="X3" s="583"/>
    </row>
    <row r="4" spans="1:24" ht="11.25" customHeight="1" x14ac:dyDescent="0.25">
      <c r="A4" s="116" t="s">
        <v>301</v>
      </c>
    </row>
    <row r="5" spans="1:24" ht="11.25" customHeight="1" x14ac:dyDescent="0.25">
      <c r="A5" s="383">
        <v>1976</v>
      </c>
      <c r="B5" s="200" t="s">
        <v>29</v>
      </c>
      <c r="C5" s="200" t="str">
        <f>IF(AND('A-10'!B53="-",'A-10'!B100="-",'A-10'!B147="-"),"-",SUM('A-10'!B53,'A-10'!B100,'A-10'!B147))</f>
        <v>-</v>
      </c>
      <c r="D5" s="200">
        <f>IF(AND('A-10'!C53="-",'A-10'!C100="-",'A-10'!C147="-"),"-",SUM('A-10'!C53,'A-10'!C100,'A-10'!C147))</f>
        <v>0</v>
      </c>
      <c r="E5" s="200">
        <f>IF(AND('A-10'!D53="-",'A-10'!D100="-",'A-10'!D147="-"),"-",SUM('A-10'!D53,'A-10'!D100,'A-10'!D147))</f>
        <v>1568</v>
      </c>
      <c r="F5" s="200">
        <f>IF(AND('A-10'!E53="-",'A-10'!E100="-",'A-10'!E147="-"),"-",SUM('A-10'!E53,'A-10'!E100,'A-10'!E147))</f>
        <v>3406</v>
      </c>
      <c r="G5" s="200">
        <f>IF(AND('A-10'!F53="-",'A-10'!F100="-",'A-10'!F147="-"),"-",SUM('A-10'!F53,'A-10'!F100,'A-10'!F147))</f>
        <v>4483</v>
      </c>
      <c r="H5" s="200">
        <f>IF(AND('A-10'!G53="-",'A-10'!G100="-",'A-10'!G147="-"),"-",SUM('A-10'!G53,'A-10'!G100,'A-10'!G147))</f>
        <v>9449</v>
      </c>
      <c r="I5" s="200">
        <f>IF(AND('A-10'!H53="-",'A-10'!H100="-",'A-10'!H147="-"),"-",SUM('A-10'!H53,'A-10'!H100,'A-10'!H147))</f>
        <v>2298</v>
      </c>
      <c r="J5" s="200">
        <f>IF(AND('A-10'!I53="-",'A-10'!I100="-",'A-10'!I147="-"),"-",SUM('A-10'!I53,'A-10'!I100,'A-10'!I147))</f>
        <v>86</v>
      </c>
      <c r="K5" s="200">
        <f>IF(AND('A-10'!J53="-",'A-10'!J100="-",'A-10'!J147="-"),"-",SUM('A-10'!J53,'A-10'!J100,'A-10'!J147))</f>
        <v>36</v>
      </c>
      <c r="L5" s="200">
        <f>IF(AND('A-10'!K53="-",'A-10'!K100="-",'A-10'!K147="-"),"-",SUM('A-10'!K53,'A-10'!K100,'A-10'!K147))</f>
        <v>21326</v>
      </c>
      <c r="N5" s="200" t="s">
        <v>29</v>
      </c>
      <c r="O5" s="200" t="s">
        <v>29</v>
      </c>
      <c r="P5" s="200" t="s">
        <v>29</v>
      </c>
      <c r="Q5" s="200">
        <f>IF(AND('A-10'!M53="-",'A-10'!M100="-",'A-10'!M147="-"),"-",SUM('A-10'!M53,'A-10'!M100,'A-10'!M147))</f>
        <v>17116</v>
      </c>
      <c r="R5" s="200">
        <f>IF(AND('A-10'!N53="-",'A-10'!N100="-",'A-10'!N147="-"),"-",SUM('A-10'!N53,'A-10'!N100,'A-10'!N147))</f>
        <v>58622</v>
      </c>
      <c r="S5" s="200">
        <f>IF(AND('A-10'!O53="-",'A-10'!O100="-",'A-10'!O147="-"),"-",SUM('A-10'!O53,'A-10'!O100,'A-10'!O147))</f>
        <v>106779</v>
      </c>
      <c r="T5" s="200">
        <f>IF(AND('A-10'!P53="-",'A-10'!P100="-",'A-10'!P147="-"),"-",SUM('A-10'!P53,'A-10'!P100,'A-10'!P147))</f>
        <v>134485</v>
      </c>
      <c r="U5" s="200">
        <f>IF(AND('A-10'!Q53="-",'A-10'!Q100="-",'A-10'!Q147="-"),"-",SUM('A-10'!Q53,'A-10'!Q100,'A-10'!Q147))</f>
        <v>13441</v>
      </c>
      <c r="V5" s="200">
        <f>IF(AND('A-10'!R53="-",'A-10'!R100="-",'A-10'!R147="-"),"-",SUM('A-10'!R53,'A-10'!R100,'A-10'!R147))</f>
        <v>1443</v>
      </c>
      <c r="X5" s="200">
        <f>IF(AND('A-10'!S53="-",'A-10'!S100="-",'A-10'!S147="-"),"-",SUM('A-10'!S53,'A-10'!S100,'A-10'!S147))</f>
        <v>331886</v>
      </c>
    </row>
    <row r="6" spans="1:24" ht="11.25" customHeight="1" x14ac:dyDescent="0.25">
      <c r="A6" s="383">
        <v>1977</v>
      </c>
      <c r="B6" s="200" t="s">
        <v>29</v>
      </c>
      <c r="C6" s="200" t="str">
        <f>IF(AND('A-10'!B54="-",'A-10'!B101="-",'A-10'!B148="-"),"-",SUM('A-10'!B54,'A-10'!B101,'A-10'!B148))</f>
        <v>-</v>
      </c>
      <c r="D6" s="200">
        <f>IF(AND('A-10'!C54="-",'A-10'!C101="-",'A-10'!C148="-"),"-",SUM('A-10'!C54,'A-10'!C101,'A-10'!C148))</f>
        <v>0</v>
      </c>
      <c r="E6" s="200">
        <f>IF(AND('A-10'!D54="-",'A-10'!D101="-",'A-10'!D148="-"),"-",SUM('A-10'!D54,'A-10'!D101,'A-10'!D148))</f>
        <v>700</v>
      </c>
      <c r="F6" s="200">
        <f>IF(AND('A-10'!E54="-",'A-10'!E101="-",'A-10'!E148="-"),"-",SUM('A-10'!E54,'A-10'!E101,'A-10'!E148))</f>
        <v>4388</v>
      </c>
      <c r="G6" s="200">
        <f>IF(AND('A-10'!F54="-",'A-10'!F101="-",'A-10'!F148="-"),"-",SUM('A-10'!F54,'A-10'!F101,'A-10'!F148))</f>
        <v>7438</v>
      </c>
      <c r="H6" s="200">
        <f>IF(AND('A-10'!G54="-",'A-10'!G101="-",'A-10'!G148="-"),"-",SUM('A-10'!G54,'A-10'!G101,'A-10'!G148))</f>
        <v>9728</v>
      </c>
      <c r="I6" s="200">
        <f>IF(AND('A-10'!H54="-",'A-10'!H101="-",'A-10'!H148="-"),"-",SUM('A-10'!H54,'A-10'!H101,'A-10'!H148))</f>
        <v>3946</v>
      </c>
      <c r="J6" s="200">
        <f>IF(AND('A-10'!I54="-",'A-10'!I101="-",'A-10'!I148="-"),"-",SUM('A-10'!I54,'A-10'!I101,'A-10'!I148))</f>
        <v>242</v>
      </c>
      <c r="K6" s="200">
        <f>IF(AND('A-10'!J54="-",'A-10'!J101="-",'A-10'!J148="-"),"-",SUM('A-10'!J54,'A-10'!J101,'A-10'!J148))</f>
        <v>41</v>
      </c>
      <c r="L6" s="200">
        <f>IF(AND('A-10'!K54="-",'A-10'!K101="-",'A-10'!K148="-"),"-",SUM('A-10'!K54,'A-10'!K101,'A-10'!K148))</f>
        <v>26483</v>
      </c>
      <c r="N6" s="200" t="s">
        <v>29</v>
      </c>
      <c r="O6" s="200" t="s">
        <v>29</v>
      </c>
      <c r="P6" s="200" t="s">
        <v>29</v>
      </c>
      <c r="Q6" s="200">
        <f>IF(AND('A-10'!M54="-",'A-10'!M101="-",'A-10'!M148="-"),"-",SUM('A-10'!M54,'A-10'!M101,'A-10'!M148))</f>
        <v>14793</v>
      </c>
      <c r="R6" s="200">
        <f>IF(AND('A-10'!N54="-",'A-10'!N101="-",'A-10'!N148="-"),"-",SUM('A-10'!N54,'A-10'!N101,'A-10'!N148))</f>
        <v>19358</v>
      </c>
      <c r="S6" s="200">
        <f>IF(AND('A-10'!O54="-",'A-10'!O101="-",'A-10'!O148="-"),"-",SUM('A-10'!O54,'A-10'!O101,'A-10'!O148))</f>
        <v>47803</v>
      </c>
      <c r="T6" s="200">
        <f>IF(AND('A-10'!P54="-",'A-10'!P101="-",'A-10'!P148="-"),"-",SUM('A-10'!P54,'A-10'!P101,'A-10'!P148))</f>
        <v>31515</v>
      </c>
      <c r="U6" s="200">
        <f>IF(AND('A-10'!Q54="-",'A-10'!Q101="-",'A-10'!Q148="-"),"-",SUM('A-10'!Q54,'A-10'!Q101,'A-10'!Q148))</f>
        <v>5484</v>
      </c>
      <c r="V6" s="200">
        <f>IF(AND('A-10'!R54="-",'A-10'!R101="-",'A-10'!R148="-"),"-",SUM('A-10'!R54,'A-10'!R101,'A-10'!R148))</f>
        <v>289</v>
      </c>
      <c r="X6" s="200">
        <f>IF(AND('A-10'!S54="-",'A-10'!S101="-",'A-10'!S148="-"),"-",SUM('A-10'!S54,'A-10'!S101,'A-10'!S148))</f>
        <v>119242</v>
      </c>
    </row>
    <row r="7" spans="1:24" ht="11.25" customHeight="1" x14ac:dyDescent="0.25">
      <c r="A7" s="383">
        <v>1978</v>
      </c>
      <c r="B7" s="200" t="s">
        <v>29</v>
      </c>
      <c r="C7" s="200" t="str">
        <f>IF(AND('A-10'!B55="-",'A-10'!B102="-",'A-10'!B149="-"),"-",SUM('A-10'!B55,'A-10'!B102,'A-10'!B149))</f>
        <v>-</v>
      </c>
      <c r="D7" s="200">
        <f>IF(AND('A-10'!C55="-",'A-10'!C102="-",'A-10'!C149="-"),"-",SUM('A-10'!C55,'A-10'!C102,'A-10'!C149))</f>
        <v>0</v>
      </c>
      <c r="E7" s="200">
        <f>IF(AND('A-10'!D55="-",'A-10'!D102="-",'A-10'!D149="-"),"-",SUM('A-10'!D55,'A-10'!D102,'A-10'!D149))</f>
        <v>709</v>
      </c>
      <c r="F7" s="200">
        <f>IF(AND('A-10'!E55="-",'A-10'!E102="-",'A-10'!E149="-"),"-",SUM('A-10'!E55,'A-10'!E102,'A-10'!E149))</f>
        <v>1125</v>
      </c>
      <c r="G7" s="200">
        <f>IF(AND('A-10'!F55="-",'A-10'!F102="-",'A-10'!F149="-"),"-",SUM('A-10'!F55,'A-10'!F102,'A-10'!F149))</f>
        <v>2199</v>
      </c>
      <c r="H7" s="200">
        <f>IF(AND('A-10'!G55="-",'A-10'!G102="-",'A-10'!G149="-"),"-",SUM('A-10'!G55,'A-10'!G102,'A-10'!G149))</f>
        <v>3118</v>
      </c>
      <c r="I7" s="200">
        <f>IF(AND('A-10'!H55="-",'A-10'!H102="-",'A-10'!H149="-"),"-",SUM('A-10'!H55,'A-10'!H102,'A-10'!H149))</f>
        <v>471</v>
      </c>
      <c r="J7" s="200">
        <f>IF(AND('A-10'!I55="-",'A-10'!I102="-",'A-10'!I149="-"),"-",SUM('A-10'!I55,'A-10'!I102,'A-10'!I149))</f>
        <v>105</v>
      </c>
      <c r="K7" s="60" t="s">
        <v>116</v>
      </c>
      <c r="L7" s="200">
        <f>IF(AND('A-10'!K55="-",'A-10'!K102="-",'A-10'!K149="-"),"-",SUM('A-10'!K55,'A-10'!K102,'A-10'!K149))</f>
        <v>7727</v>
      </c>
      <c r="N7" s="200" t="s">
        <v>29</v>
      </c>
      <c r="O7" s="200" t="s">
        <v>29</v>
      </c>
      <c r="P7" s="200" t="s">
        <v>29</v>
      </c>
      <c r="Q7" s="200">
        <f>IF(AND('A-10'!M55="-",'A-10'!M102="-",'A-10'!M149="-"),"-",SUM('A-10'!M55,'A-10'!M102,'A-10'!M149))</f>
        <v>4208</v>
      </c>
      <c r="R7" s="200">
        <f>IF(AND('A-10'!N55="-",'A-10'!N102="-",'A-10'!N149="-"),"-",SUM('A-10'!N55,'A-10'!N102,'A-10'!N149))</f>
        <v>49917</v>
      </c>
      <c r="S7" s="200">
        <f>IF(AND('A-10'!O55="-",'A-10'!O102="-",'A-10'!O149="-"),"-",SUM('A-10'!O55,'A-10'!O102,'A-10'!O149))</f>
        <v>45421</v>
      </c>
      <c r="T7" s="200">
        <f>IF(AND('A-10'!P55="-",'A-10'!P102="-",'A-10'!P149="-"),"-",SUM('A-10'!P55,'A-10'!P102,'A-10'!P149))</f>
        <v>46436</v>
      </c>
      <c r="U7" s="200">
        <f>IF(AND('A-10'!Q55="-",'A-10'!Q102="-",'A-10'!Q149="-"),"-",SUM('A-10'!Q55,'A-10'!Q102,'A-10'!Q149))</f>
        <v>6370</v>
      </c>
      <c r="V7" s="200">
        <f>IF(AND('A-10'!R55="-",'A-10'!R102="-",'A-10'!R149="-"),"-",SUM('A-10'!R55,'A-10'!R102,'A-10'!R149))</f>
        <v>280</v>
      </c>
      <c r="W7" s="200" t="s">
        <v>29</v>
      </c>
      <c r="X7" s="200">
        <f>IF(AND('A-10'!S55="-",'A-10'!S102="-",'A-10'!S149="-"),"-",SUM('A-10'!S55,'A-10'!S102,'A-10'!S149))</f>
        <v>152632</v>
      </c>
    </row>
    <row r="8" spans="1:24" ht="11.25" customHeight="1" x14ac:dyDescent="0.25">
      <c r="A8" s="383">
        <v>1979</v>
      </c>
      <c r="B8" s="200" t="s">
        <v>29</v>
      </c>
      <c r="C8" s="200" t="str">
        <f>IF(AND('A-10'!B56="-",'A-10'!B103="-",'A-10'!B150="-"),"-",SUM('A-10'!B56,'A-10'!B103,'A-10'!B150))</f>
        <v>-</v>
      </c>
      <c r="D8" s="200" t="str">
        <f>IF(AND('A-10'!C56="-",'A-10'!C103="-",'A-10'!C150="-"),"-",SUM('A-10'!C56,'A-10'!C103,'A-10'!C150))</f>
        <v>-</v>
      </c>
      <c r="E8" s="200">
        <f>IF(AND('A-10'!D56="-",'A-10'!D103="-",'A-10'!D150="-"),"-",SUM('A-10'!D56,'A-10'!D103,'A-10'!D150))</f>
        <v>351</v>
      </c>
      <c r="F8" s="200">
        <f>IF(AND('A-10'!E56="-",'A-10'!E103="-",'A-10'!E150="-"),"-",SUM('A-10'!E56,'A-10'!E103,'A-10'!E150))</f>
        <v>2737</v>
      </c>
      <c r="G8" s="200">
        <f>IF(AND('A-10'!F56="-",'A-10'!F103="-",'A-10'!F150="-"),"-",SUM('A-10'!F56,'A-10'!F103,'A-10'!F150))</f>
        <v>2587</v>
      </c>
      <c r="H8" s="200">
        <f>IF(AND('A-10'!G56="-",'A-10'!G103="-",'A-10'!G150="-"),"-",SUM('A-10'!G56,'A-10'!G103,'A-10'!G150))</f>
        <v>1208</v>
      </c>
      <c r="I8" s="200">
        <f>IF(AND('A-10'!H56="-",'A-10'!H103="-",'A-10'!H150="-"),"-",SUM('A-10'!H56,'A-10'!H103,'A-10'!H150))</f>
        <v>66</v>
      </c>
      <c r="J8" s="200" t="str">
        <f>IF(AND('A-10'!I56="-",'A-10'!I103="-",'A-10'!I150="-"),"-",SUM('A-10'!I56,'A-10'!I103,'A-10'!I150))</f>
        <v>-</v>
      </c>
      <c r="K8" s="60" t="s">
        <v>116</v>
      </c>
      <c r="L8" s="200">
        <f>IF(AND('A-10'!K56="-",'A-10'!K103="-",'A-10'!K150="-"),"-",SUM('A-10'!K56,'A-10'!K103,'A-10'!K150))</f>
        <v>6949</v>
      </c>
      <c r="N8" s="200" t="s">
        <v>29</v>
      </c>
      <c r="O8" s="200" t="s">
        <v>29</v>
      </c>
      <c r="P8" s="200" t="s">
        <v>29</v>
      </c>
      <c r="Q8" s="200">
        <f>IF(AND('A-10'!M56="-",'A-10'!M103="-",'A-10'!M150="-"),"-",SUM('A-10'!M56,'A-10'!M103,'A-10'!M150))</f>
        <v>5238</v>
      </c>
      <c r="R8" s="200">
        <f>IF(AND('A-10'!N56="-",'A-10'!N103="-",'A-10'!N150="-"),"-",SUM('A-10'!N56,'A-10'!N103,'A-10'!N150))</f>
        <v>27507</v>
      </c>
      <c r="S8" s="200">
        <f>IF(AND('A-10'!O56="-",'A-10'!O103="-",'A-10'!O150="-"),"-",SUM('A-10'!O56,'A-10'!O103,'A-10'!O150))</f>
        <v>58019</v>
      </c>
      <c r="T8" s="200">
        <f>IF(AND('A-10'!P56="-",'A-10'!P103="-",'A-10'!P150="-"),"-",SUM('A-10'!P56,'A-10'!P103,'A-10'!P150))</f>
        <v>33800</v>
      </c>
      <c r="U8" s="200">
        <f>IF(AND('A-10'!Q56="-",'A-10'!Q103="-",'A-10'!Q150="-"),"-",SUM('A-10'!Q56,'A-10'!Q103,'A-10'!Q150))</f>
        <v>85</v>
      </c>
      <c r="V8" s="200" t="str">
        <f>IF(AND('A-10'!R56="-",'A-10'!R103="-",'A-10'!R150="-"),"-",SUM('A-10'!R56,'A-10'!R103,'A-10'!R150))</f>
        <v>-</v>
      </c>
      <c r="W8" s="200" t="s">
        <v>29</v>
      </c>
      <c r="X8" s="200">
        <f>IF(AND('A-10'!S56="-",'A-10'!S103="-",'A-10'!S150="-"),"-",SUM('A-10'!S56,'A-10'!S103,'A-10'!S150))</f>
        <v>124649</v>
      </c>
    </row>
    <row r="9" spans="1:24" ht="11.25" customHeight="1" x14ac:dyDescent="0.25">
      <c r="A9" s="383">
        <v>1980</v>
      </c>
      <c r="B9" s="200" t="s">
        <v>29</v>
      </c>
      <c r="C9" s="200" t="str">
        <f>IF(AND('A-10'!B57="-",'A-10'!B104="-",'A-10'!B151="-"),"-",SUM('A-10'!B57,'A-10'!B104,'A-10'!B151))</f>
        <v>-</v>
      </c>
      <c r="D9" s="200" t="str">
        <f>IF(AND('A-10'!C57="-",'A-10'!C104="-",'A-10'!C151="-"),"-",SUM('A-10'!C57,'A-10'!C104,'A-10'!C151))</f>
        <v>-</v>
      </c>
      <c r="E9" s="200">
        <f>IF(AND('A-10'!D57="-",'A-10'!D104="-",'A-10'!D151="-"),"-",SUM('A-10'!D57,'A-10'!D104,'A-10'!D151))</f>
        <v>173</v>
      </c>
      <c r="F9" s="200">
        <f>IF(AND('A-10'!E57="-",'A-10'!E104="-",'A-10'!E151="-"),"-",SUM('A-10'!E57,'A-10'!E104,'A-10'!E151))</f>
        <v>2245</v>
      </c>
      <c r="G9" s="200">
        <f>IF(AND('A-10'!F57="-",'A-10'!F104="-",'A-10'!F151="-"),"-",SUM('A-10'!F57,'A-10'!F104,'A-10'!F151))</f>
        <v>3863</v>
      </c>
      <c r="H9" s="200">
        <f>IF(AND('A-10'!G57="-",'A-10'!G104="-",'A-10'!G151="-"),"-",SUM('A-10'!G57,'A-10'!G104,'A-10'!G151))</f>
        <v>1894</v>
      </c>
      <c r="I9" s="200">
        <f>IF(AND('A-10'!H57="-",'A-10'!H104="-",'A-10'!H151="-"),"-",SUM('A-10'!H57,'A-10'!H104,'A-10'!H151))</f>
        <v>535</v>
      </c>
      <c r="J9" s="60" t="s">
        <v>116</v>
      </c>
      <c r="K9" s="60" t="s">
        <v>116</v>
      </c>
      <c r="L9" s="200">
        <f>IF(AND('A-10'!K57="-",'A-10'!K104="-",'A-10'!K151="-"),"-",SUM('A-10'!K57,'A-10'!K104,'A-10'!K151))</f>
        <v>8710</v>
      </c>
      <c r="N9" s="200" t="s">
        <v>29</v>
      </c>
      <c r="O9" s="200" t="s">
        <v>29</v>
      </c>
      <c r="P9" s="200" t="s">
        <v>29</v>
      </c>
      <c r="Q9" s="200">
        <f>IF(AND('A-10'!M57="-",'A-10'!M104="-",'A-10'!M151="-"),"-",SUM('A-10'!M57,'A-10'!M104,'A-10'!M151))</f>
        <v>4138</v>
      </c>
      <c r="R9" s="200">
        <f>IF(AND('A-10'!N57="-",'A-10'!N104="-",'A-10'!N151="-"),"-",SUM('A-10'!N57,'A-10'!N104,'A-10'!N151))</f>
        <v>79194</v>
      </c>
      <c r="S9" s="200">
        <f>IF(AND('A-10'!O57="-",'A-10'!O104="-",'A-10'!O151="-"),"-",SUM('A-10'!O57,'A-10'!O104,'A-10'!O151))</f>
        <v>122911</v>
      </c>
      <c r="T9" s="200">
        <f>IF(AND('A-10'!P57="-",'A-10'!P104="-",'A-10'!P151="-"),"-",SUM('A-10'!P57,'A-10'!P104,'A-10'!P151))</f>
        <v>28235</v>
      </c>
      <c r="U9" s="200">
        <f>IF(AND('A-10'!Q57="-",'A-10'!Q104="-",'A-10'!Q151="-"),"-",SUM('A-10'!Q57,'A-10'!Q104,'A-10'!Q151))</f>
        <v>2705</v>
      </c>
      <c r="V9" s="200" t="str">
        <f>IF(AND('A-10'!R57="-",'A-10'!R104="-",'A-10'!R151="-"),"-",SUM('A-10'!R57,'A-10'!R104,'A-10'!R151))</f>
        <v>-</v>
      </c>
      <c r="W9" s="200" t="s">
        <v>29</v>
      </c>
      <c r="X9" s="200">
        <f>IF(AND('A-10'!S57="-",'A-10'!S104="-",'A-10'!S151="-"),"-",SUM('A-10'!S57,'A-10'!S104,'A-10'!S151))</f>
        <v>237183</v>
      </c>
    </row>
    <row r="10" spans="1:24" ht="11.25" customHeight="1" x14ac:dyDescent="0.25">
      <c r="A10" s="383">
        <v>1981</v>
      </c>
      <c r="B10" s="200" t="s">
        <v>29</v>
      </c>
      <c r="C10" s="200" t="str">
        <f>IF(AND('A-10'!B58="-",'A-10'!B105="-",'A-10'!B152="-"),"-",SUM('A-10'!B58,'A-10'!B105,'A-10'!B152))</f>
        <v>-</v>
      </c>
      <c r="D10" s="200" t="str">
        <f>IF(AND('A-10'!C58="-",'A-10'!C105="-",'A-10'!C152="-"),"-",SUM('A-10'!C58,'A-10'!C105,'A-10'!C152))</f>
        <v>-</v>
      </c>
      <c r="E10" s="200">
        <f>IF(AND('A-10'!D58="-",'A-10'!D105="-",'A-10'!D152="-"),"-",SUM('A-10'!D58,'A-10'!D105,'A-10'!D152))</f>
        <v>214</v>
      </c>
      <c r="F10" s="200">
        <f>IF(AND('A-10'!E58="-",'A-10'!E105="-",'A-10'!E152="-"),"-",SUM('A-10'!E58,'A-10'!E105,'A-10'!E152))</f>
        <v>553</v>
      </c>
      <c r="G10" s="200">
        <f>IF(AND('A-10'!F58="-",'A-10'!F105="-",'A-10'!F152="-"),"-",SUM('A-10'!F58,'A-10'!F105,'A-10'!F152))</f>
        <v>3962</v>
      </c>
      <c r="H10" s="200">
        <f>IF(AND('A-10'!G58="-",'A-10'!G105="-",'A-10'!G152="-"),"-",SUM('A-10'!G58,'A-10'!G105,'A-10'!G152))</f>
        <v>3135</v>
      </c>
      <c r="I10" s="200">
        <f>IF(AND('A-10'!H58="-",'A-10'!H105="-",'A-10'!H152="-"),"-",SUM('A-10'!H58,'A-10'!H105,'A-10'!H152))</f>
        <v>898</v>
      </c>
      <c r="J10" s="60" t="s">
        <v>116</v>
      </c>
      <c r="K10" s="60" t="s">
        <v>116</v>
      </c>
      <c r="L10" s="200">
        <f>IF(AND('A-10'!K58="-",'A-10'!K105="-",'A-10'!K152="-"),"-",SUM('A-10'!K58,'A-10'!K105,'A-10'!K152))</f>
        <v>8762</v>
      </c>
      <c r="N10" s="200" t="s">
        <v>29</v>
      </c>
      <c r="O10" s="200" t="s">
        <v>29</v>
      </c>
      <c r="P10" s="200" t="s">
        <v>29</v>
      </c>
      <c r="Q10" s="200">
        <f>IF(AND('A-10'!M58="-",'A-10'!M105="-",'A-10'!M152="-"),"-",SUM('A-10'!M58,'A-10'!M105,'A-10'!M152))</f>
        <v>6962</v>
      </c>
      <c r="R10" s="200">
        <f>IF(AND('A-10'!N58="-",'A-10'!N105="-",'A-10'!N152="-"),"-",SUM('A-10'!N58,'A-10'!N105,'A-10'!N152))</f>
        <v>15393</v>
      </c>
      <c r="S10" s="200">
        <f>IF(AND('A-10'!O58="-",'A-10'!O105="-",'A-10'!O152="-"),"-",SUM('A-10'!O58,'A-10'!O105,'A-10'!O152))</f>
        <v>51310</v>
      </c>
      <c r="T10" s="200">
        <f>IF(AND('A-10'!P58="-",'A-10'!P105="-",'A-10'!P152="-"),"-",SUM('A-10'!P58,'A-10'!P105,'A-10'!P152))</f>
        <v>56592</v>
      </c>
      <c r="U10" s="200">
        <f>IF(AND('A-10'!Q58="-",'A-10'!Q105="-",'A-10'!Q152="-"),"-",SUM('A-10'!Q58,'A-10'!Q105,'A-10'!Q152))</f>
        <v>6937</v>
      </c>
      <c r="V10" s="200" t="str">
        <f>IF(AND('A-10'!R58="-",'A-10'!R105="-",'A-10'!R152="-"),"-",SUM('A-10'!R58,'A-10'!R105,'A-10'!R152))</f>
        <v>-</v>
      </c>
      <c r="W10" s="200" t="s">
        <v>29</v>
      </c>
      <c r="X10" s="200">
        <f>IF(AND('A-10'!S58="-",'A-10'!S105="-",'A-10'!S152="-"),"-",SUM('A-10'!S58,'A-10'!S105,'A-10'!S152))</f>
        <v>137194</v>
      </c>
    </row>
    <row r="11" spans="1:24" ht="11.25" customHeight="1" x14ac:dyDescent="0.25">
      <c r="A11" s="383">
        <v>1982</v>
      </c>
      <c r="B11" s="200" t="s">
        <v>29</v>
      </c>
      <c r="C11" s="200" t="str">
        <f>IF(AND('A-10'!B59="-",'A-10'!B106="-",'A-10'!B153="-"),"-",SUM('A-10'!B59,'A-10'!B106,'A-10'!B153))</f>
        <v>-</v>
      </c>
      <c r="D11" s="200" t="str">
        <f>IF(AND('A-10'!C59="-",'A-10'!C106="-",'A-10'!C153="-"),"-",SUM('A-10'!C59,'A-10'!C106,'A-10'!C153))</f>
        <v>-</v>
      </c>
      <c r="E11" s="200">
        <f>IF(AND('A-10'!D59="-",'A-10'!D106="-",'A-10'!D153="-"),"-",SUM('A-10'!D59,'A-10'!D106,'A-10'!D153))</f>
        <v>5</v>
      </c>
      <c r="F11" s="200">
        <f>IF(AND('A-10'!E59="-",'A-10'!E106="-",'A-10'!E153="-"),"-",SUM('A-10'!E59,'A-10'!E106,'A-10'!E153))</f>
        <v>1704</v>
      </c>
      <c r="G11" s="200">
        <f>IF(AND('A-10'!F59="-",'A-10'!F106="-",'A-10'!F153="-"),"-",SUM('A-10'!F59,'A-10'!F106,'A-10'!F153))</f>
        <v>13234</v>
      </c>
      <c r="H11" s="200">
        <f>IF(AND('A-10'!G59="-",'A-10'!G106="-",'A-10'!G153="-"),"-",SUM('A-10'!G59,'A-10'!G106,'A-10'!G153))</f>
        <v>0</v>
      </c>
      <c r="I11" s="200">
        <f>IF(AND('A-10'!H59="-",'A-10'!H106="-",'A-10'!H153="-"),"-",SUM('A-10'!H59,'A-10'!H106,'A-10'!H153))</f>
        <v>0</v>
      </c>
      <c r="J11" s="60" t="s">
        <v>116</v>
      </c>
      <c r="K11" s="60" t="s">
        <v>116</v>
      </c>
      <c r="L11" s="200">
        <f>IF(AND('A-10'!K59="-",'A-10'!K106="-",'A-10'!K153="-"),"-",SUM('A-10'!K59,'A-10'!K106,'A-10'!K153))</f>
        <v>14943</v>
      </c>
      <c r="N11" s="200" t="s">
        <v>29</v>
      </c>
      <c r="O11" s="200" t="s">
        <v>29</v>
      </c>
      <c r="P11" s="200" t="s">
        <v>29</v>
      </c>
      <c r="Q11" s="200">
        <f>IF(AND('A-10'!M59="-",'A-10'!M106="-",'A-10'!M153="-"),"-",SUM('A-10'!M59,'A-10'!M106,'A-10'!M153))</f>
        <v>0</v>
      </c>
      <c r="R11" s="200">
        <f>IF(AND('A-10'!N59="-",'A-10'!N106="-",'A-10'!N153="-"),"-",SUM('A-10'!N59,'A-10'!N106,'A-10'!N153))</f>
        <v>17129</v>
      </c>
      <c r="S11" s="200">
        <f>IF(AND('A-10'!O59="-",'A-10'!O106="-",'A-10'!O153="-"),"-",SUM('A-10'!O59,'A-10'!O106,'A-10'!O153))</f>
        <v>105612</v>
      </c>
      <c r="T11" s="200">
        <f>IF(AND('A-10'!P59="-",'A-10'!P106="-",'A-10'!P153="-"),"-",SUM('A-10'!P59,'A-10'!P106,'A-10'!P153))</f>
        <v>0</v>
      </c>
      <c r="U11" s="200" t="str">
        <f>IF(AND('A-10'!Q59="-",'A-10'!Q106="-",'A-10'!Q153="-"),"-",SUM('A-10'!Q59,'A-10'!Q106,'A-10'!Q153))</f>
        <v>-</v>
      </c>
      <c r="V11" s="200" t="str">
        <f>IF(AND('A-10'!R59="-",'A-10'!R106="-",'A-10'!R153="-"),"-",SUM('A-10'!R59,'A-10'!R106,'A-10'!R153))</f>
        <v>-</v>
      </c>
      <c r="W11" s="200" t="s">
        <v>29</v>
      </c>
      <c r="X11" s="200">
        <f>IF(AND('A-10'!S59="-",'A-10'!S106="-",'A-10'!S153="-"),"-",SUM('A-10'!S59,'A-10'!S106,'A-10'!S153))</f>
        <v>122741</v>
      </c>
    </row>
    <row r="12" spans="1:24" ht="11.25" customHeight="1" x14ac:dyDescent="0.25">
      <c r="A12" s="383">
        <v>1983</v>
      </c>
      <c r="B12" s="200" t="s">
        <v>29</v>
      </c>
      <c r="C12" s="200" t="str">
        <f>IF(AND('A-10'!B60="-",'A-10'!B107="-",'A-10'!B154="-"),"-",SUM('A-10'!B60,'A-10'!B107,'A-10'!B154))</f>
        <v>-</v>
      </c>
      <c r="D12" s="200" t="str">
        <f>IF(AND('A-10'!C60="-",'A-10'!C107="-",'A-10'!C154="-"),"-",SUM('A-10'!C60,'A-10'!C107,'A-10'!C154))</f>
        <v>-</v>
      </c>
      <c r="E12" s="200">
        <f>IF(AND('A-10'!D60="-",'A-10'!D107="-",'A-10'!D154="-"),"-",SUM('A-10'!D60,'A-10'!D107,'A-10'!D154))</f>
        <v>0</v>
      </c>
      <c r="F12" s="200">
        <f>IF(AND('A-10'!E60="-",'A-10'!E107="-",'A-10'!E154="-"),"-",SUM('A-10'!E60,'A-10'!E107,'A-10'!E154))</f>
        <v>1678</v>
      </c>
      <c r="G12" s="200">
        <f>IF(AND('A-10'!F60="-",'A-10'!F107="-",'A-10'!F154="-"),"-",SUM('A-10'!F60,'A-10'!F107,'A-10'!F154))</f>
        <v>3569</v>
      </c>
      <c r="H12" s="200">
        <f>IF(AND('A-10'!G60="-",'A-10'!G107="-",'A-10'!G154="-"),"-",SUM('A-10'!G60,'A-10'!G107,'A-10'!G154))</f>
        <v>1642</v>
      </c>
      <c r="I12" s="200">
        <f>IF(AND('A-10'!H60="-",'A-10'!H107="-",'A-10'!H154="-"),"-",SUM('A-10'!H60,'A-10'!H107,'A-10'!H154))</f>
        <v>1994</v>
      </c>
      <c r="J12" s="60" t="s">
        <v>116</v>
      </c>
      <c r="K12" s="60" t="s">
        <v>116</v>
      </c>
      <c r="L12" s="200">
        <f>IF(AND('A-10'!K60="-",'A-10'!K107="-",'A-10'!K154="-"),"-",SUM('A-10'!K60,'A-10'!K107,'A-10'!K154))</f>
        <v>8883</v>
      </c>
      <c r="N12" s="200" t="s">
        <v>29</v>
      </c>
      <c r="O12" s="200" t="s">
        <v>29</v>
      </c>
      <c r="P12" s="200" t="s">
        <v>29</v>
      </c>
      <c r="Q12" s="200" t="str">
        <f>IF(AND('A-10'!M60="-",'A-10'!M107="-",'A-10'!M154="-"),"-",SUM('A-10'!M60,'A-10'!M107,'A-10'!M154))</f>
        <v>-</v>
      </c>
      <c r="R12" s="200">
        <f>IF(AND('A-10'!N60="-",'A-10'!N107="-",'A-10'!N154="-"),"-",SUM('A-10'!N60,'A-10'!N107,'A-10'!N154))</f>
        <v>21507</v>
      </c>
      <c r="S12" s="200">
        <f>IF(AND('A-10'!O60="-",'A-10'!O107="-",'A-10'!O154="-"),"-",SUM('A-10'!O60,'A-10'!O107,'A-10'!O154))</f>
        <v>47891</v>
      </c>
      <c r="T12" s="200">
        <f>IF(AND('A-10'!P60="-",'A-10'!P107="-",'A-10'!P154="-"),"-",SUM('A-10'!P60,'A-10'!P107,'A-10'!P154))</f>
        <v>15074</v>
      </c>
      <c r="U12" s="200">
        <f>IF(AND('A-10'!Q60="-",'A-10'!Q107="-",'A-10'!Q154="-"),"-",SUM('A-10'!Q60,'A-10'!Q107,'A-10'!Q154))</f>
        <v>8838</v>
      </c>
      <c r="V12" s="200" t="str">
        <f>IF(AND('A-10'!R60="-",'A-10'!R107="-",'A-10'!R154="-"),"-",SUM('A-10'!R60,'A-10'!R107,'A-10'!R154))</f>
        <v>-</v>
      </c>
      <c r="W12" s="200" t="s">
        <v>29</v>
      </c>
      <c r="X12" s="200">
        <f>IF(AND('A-10'!S60="-",'A-10'!S107="-",'A-10'!S154="-"),"-",SUM('A-10'!S60,'A-10'!S107,'A-10'!S154))</f>
        <v>93310</v>
      </c>
    </row>
    <row r="13" spans="1:24" ht="11.25" customHeight="1" x14ac:dyDescent="0.25">
      <c r="A13" s="383">
        <v>1984</v>
      </c>
      <c r="B13" s="200" t="s">
        <v>29</v>
      </c>
      <c r="C13" s="200" t="str">
        <f>IF(AND('A-10'!B61="-",'A-10'!B108="-",'A-10'!B155="-"),"-",SUM('A-10'!B61,'A-10'!B108,'A-10'!B155))</f>
        <v>-</v>
      </c>
      <c r="D13" s="200" t="str">
        <f>IF(AND('A-10'!C61="-",'A-10'!C108="-",'A-10'!C155="-"),"-",SUM('A-10'!C61,'A-10'!C108,'A-10'!C155))</f>
        <v>-</v>
      </c>
      <c r="E13" s="200" t="str">
        <f>IF(AND('A-10'!D61="-",'A-10'!D108="-",'A-10'!D155="-"),"-",SUM('A-10'!D61,'A-10'!D108,'A-10'!D155))</f>
        <v>-</v>
      </c>
      <c r="F13" s="200">
        <f>IF(AND('A-10'!E61="-",'A-10'!E108="-",'A-10'!E155="-"),"-",SUM('A-10'!E61,'A-10'!E108,'A-10'!E155))</f>
        <v>0</v>
      </c>
      <c r="G13" s="200">
        <f>IF(AND('A-10'!F61="-",'A-10'!F108="-",'A-10'!F155="-"),"-",SUM('A-10'!F61,'A-10'!F108,'A-10'!F155))</f>
        <v>3877</v>
      </c>
      <c r="H13" s="200">
        <f>IF(AND('A-10'!G61="-",'A-10'!G108="-",'A-10'!G155="-"),"-",SUM('A-10'!G61,'A-10'!G108,'A-10'!G155))</f>
        <v>3903</v>
      </c>
      <c r="I13" s="200">
        <f>IF(AND('A-10'!H61="-",'A-10'!H108="-",'A-10'!H155="-"),"-",SUM('A-10'!H61,'A-10'!H108,'A-10'!H155))</f>
        <v>106</v>
      </c>
      <c r="J13" s="60" t="s">
        <v>116</v>
      </c>
      <c r="K13" s="60" t="s">
        <v>116</v>
      </c>
      <c r="L13" s="200">
        <f>IF(AND('A-10'!K61="-",'A-10'!K108="-",'A-10'!K155="-"),"-",SUM('A-10'!K61,'A-10'!K108,'A-10'!K155))</f>
        <v>7886</v>
      </c>
      <c r="N13" s="200" t="s">
        <v>29</v>
      </c>
      <c r="O13" s="200" t="s">
        <v>29</v>
      </c>
      <c r="P13" s="200" t="s">
        <v>29</v>
      </c>
      <c r="Q13" s="200" t="str">
        <f>IF(AND('A-10'!M61="-",'A-10'!M108="-",'A-10'!M155="-"),"-",SUM('A-10'!M61,'A-10'!M108,'A-10'!M155))</f>
        <v>-</v>
      </c>
      <c r="R13" s="200" t="str">
        <f>IF(AND('A-10'!N61="-",'A-10'!N108="-",'A-10'!N155="-"),"-",SUM('A-10'!N61,'A-10'!N108,'A-10'!N155))</f>
        <v>-</v>
      </c>
      <c r="S13" s="200">
        <f>IF(AND('A-10'!O61="-",'A-10'!O108="-",'A-10'!O155="-"),"-",SUM('A-10'!O61,'A-10'!O108,'A-10'!O155))</f>
        <v>53616</v>
      </c>
      <c r="T13" s="200">
        <f>IF(AND('A-10'!P61="-",'A-10'!P108="-",'A-10'!P155="-"),"-",SUM('A-10'!P61,'A-10'!P108,'A-10'!P155))</f>
        <v>45909</v>
      </c>
      <c r="U13" s="200">
        <f>IF(AND('A-10'!Q61="-",'A-10'!Q108="-",'A-10'!Q155="-"),"-",SUM('A-10'!Q61,'A-10'!Q108,'A-10'!Q155))</f>
        <v>743</v>
      </c>
      <c r="V13" s="200" t="str">
        <f>IF(AND('A-10'!R61="-",'A-10'!R108="-",'A-10'!R155="-"),"-",SUM('A-10'!R61,'A-10'!R108,'A-10'!R155))</f>
        <v>-</v>
      </c>
      <c r="W13" s="200" t="s">
        <v>29</v>
      </c>
      <c r="X13" s="200">
        <f>IF(AND('A-10'!S61="-",'A-10'!S108="-",'A-10'!S155="-"),"-",SUM('A-10'!S61,'A-10'!S108,'A-10'!S155))</f>
        <v>100268</v>
      </c>
    </row>
    <row r="14" spans="1:24" ht="11.25" customHeight="1" x14ac:dyDescent="0.25">
      <c r="A14" s="383">
        <v>1985</v>
      </c>
      <c r="B14" s="200" t="s">
        <v>29</v>
      </c>
      <c r="C14" s="200" t="str">
        <f>IF(AND('A-10'!B62="-",'A-10'!B109="-",'A-10'!B156="-"),"-",SUM('A-10'!B62,'A-10'!B109,'A-10'!B156))</f>
        <v>-</v>
      </c>
      <c r="D14" s="200" t="str">
        <f>IF(AND('A-10'!C62="-",'A-10'!C109="-",'A-10'!C156="-"),"-",SUM('A-10'!C62,'A-10'!C109,'A-10'!C156))</f>
        <v>-</v>
      </c>
      <c r="E14" s="200">
        <f>IF(AND('A-10'!D62="-",'A-10'!D109="-",'A-10'!D156="-"),"-",SUM('A-10'!D62,'A-10'!D109,'A-10'!D156))</f>
        <v>0</v>
      </c>
      <c r="F14" s="200">
        <f>IF(AND('A-10'!E62="-",'A-10'!E109="-",'A-10'!E156="-"),"-",SUM('A-10'!E62,'A-10'!E109,'A-10'!E156))</f>
        <v>0</v>
      </c>
      <c r="G14" s="200">
        <f>IF(AND('A-10'!F62="-",'A-10'!F109="-",'A-10'!F156="-"),"-",SUM('A-10'!F62,'A-10'!F109,'A-10'!F156))</f>
        <v>6994</v>
      </c>
      <c r="H14" s="200">
        <f>IF(AND('A-10'!G62="-",'A-10'!G109="-",'A-10'!G156="-"),"-",SUM('A-10'!G62,'A-10'!G109,'A-10'!G156))</f>
        <v>8910</v>
      </c>
      <c r="I14" s="200">
        <f>IF(AND('A-10'!H62="-",'A-10'!H109="-",'A-10'!H156="-"),"-",SUM('A-10'!H62,'A-10'!H109,'A-10'!H156))</f>
        <v>212</v>
      </c>
      <c r="J14" s="200">
        <f>IF(AND('A-10'!I62="-",'A-10'!I109="-",'A-10'!I156="-"),"-",SUM('A-10'!I62,'A-10'!I109,'A-10'!I156))</f>
        <v>42</v>
      </c>
      <c r="K14" s="60" t="s">
        <v>116</v>
      </c>
      <c r="L14" s="200">
        <f>IF(AND('A-10'!K62="-",'A-10'!K109="-",'A-10'!K156="-"),"-",SUM('A-10'!K62,'A-10'!K109,'A-10'!K156))</f>
        <v>16158</v>
      </c>
      <c r="N14" s="200" t="s">
        <v>29</v>
      </c>
      <c r="O14" s="200" t="s">
        <v>29</v>
      </c>
      <c r="P14" s="200" t="s">
        <v>29</v>
      </c>
      <c r="Q14" s="200">
        <f>IF(AND('A-10'!M62="-",'A-10'!M109="-",'A-10'!M156="-"),"-",SUM('A-10'!M62,'A-10'!M109,'A-10'!M156))</f>
        <v>0</v>
      </c>
      <c r="R14" s="200" t="str">
        <f>IF(AND('A-10'!N62="-",'A-10'!N109="-",'A-10'!N156="-"),"-",SUM('A-10'!N62,'A-10'!N109,'A-10'!N156))</f>
        <v>-</v>
      </c>
      <c r="S14" s="200">
        <f>IF(AND('A-10'!O62="-",'A-10'!O109="-",'A-10'!O156="-"),"-",SUM('A-10'!O62,'A-10'!O109,'A-10'!O156))</f>
        <v>54700</v>
      </c>
      <c r="T14" s="200">
        <f>IF(AND('A-10'!P62="-",'A-10'!P109="-",'A-10'!P156="-"),"-",SUM('A-10'!P62,'A-10'!P109,'A-10'!P156))</f>
        <v>87037</v>
      </c>
      <c r="U14" s="200">
        <f>IF(AND('A-10'!Q62="-",'A-10'!Q109="-",'A-10'!Q156="-"),"-",SUM('A-10'!Q62,'A-10'!Q109,'A-10'!Q156))</f>
        <v>2305</v>
      </c>
      <c r="V14" s="200" t="str">
        <f>IF(AND('A-10'!R62="-",'A-10'!R109="-",'A-10'!R156="-"),"-",SUM('A-10'!R62,'A-10'!R109,'A-10'!R156))</f>
        <v>-</v>
      </c>
      <c r="W14" s="200" t="s">
        <v>29</v>
      </c>
      <c r="X14" s="200">
        <f>IF(AND('A-10'!S62="-",'A-10'!S109="-",'A-10'!S156="-"),"-",SUM('A-10'!S62,'A-10'!S109,'A-10'!S156))</f>
        <v>144042</v>
      </c>
    </row>
    <row r="15" spans="1:24" ht="11.25" customHeight="1" x14ac:dyDescent="0.25">
      <c r="A15" s="383">
        <v>1986</v>
      </c>
      <c r="B15" s="200" t="s">
        <v>29</v>
      </c>
      <c r="C15" s="200" t="str">
        <f>IF(AND('A-10'!B63="-",'A-10'!B110="-",'A-10'!B157="-"),"-",SUM('A-10'!B63,'A-10'!B110,'A-10'!B157))</f>
        <v>-</v>
      </c>
      <c r="D15" s="200" t="str">
        <f>IF(AND('A-10'!C63="-",'A-10'!C110="-",'A-10'!C157="-"),"-",SUM('A-10'!C63,'A-10'!C110,'A-10'!C157))</f>
        <v>-</v>
      </c>
      <c r="E15" s="200">
        <f>IF(AND('A-10'!D63="-",'A-10'!D110="-",'A-10'!D157="-"),"-",SUM('A-10'!D63,'A-10'!D110,'A-10'!D157))</f>
        <v>128</v>
      </c>
      <c r="F15" s="200">
        <f>IF(AND('A-10'!E63="-",'A-10'!E110="-",'A-10'!E157="-"),"-",SUM('A-10'!E63,'A-10'!E110,'A-10'!E157))</f>
        <v>1202</v>
      </c>
      <c r="G15" s="200">
        <f>IF(AND('A-10'!F63="-",'A-10'!F110="-",'A-10'!F157="-"),"-",SUM('A-10'!F63,'A-10'!F110,'A-10'!F157))</f>
        <v>6480</v>
      </c>
      <c r="H15" s="200">
        <f>IF(AND('A-10'!G63="-",'A-10'!G110="-",'A-10'!G157="-"),"-",SUM('A-10'!G63,'A-10'!G110,'A-10'!G157))</f>
        <v>774</v>
      </c>
      <c r="I15" s="200">
        <f>IF(AND('A-10'!H63="-",'A-10'!H110="-",'A-10'!H157="-"),"-",SUM('A-10'!H63,'A-10'!H110,'A-10'!H157))</f>
        <v>0</v>
      </c>
      <c r="J15" s="60" t="s">
        <v>116</v>
      </c>
      <c r="K15" s="60" t="s">
        <v>116</v>
      </c>
      <c r="L15" s="200">
        <f>IF(AND('A-10'!K63="-",'A-10'!K110="-",'A-10'!K157="-"),"-",SUM('A-10'!K63,'A-10'!K110,'A-10'!K157))</f>
        <v>8584</v>
      </c>
      <c r="N15" s="200" t="s">
        <v>29</v>
      </c>
      <c r="O15" s="200" t="s">
        <v>29</v>
      </c>
      <c r="P15" s="200" t="s">
        <v>29</v>
      </c>
      <c r="Q15" s="200">
        <f>IF(AND('A-10'!M63="-",'A-10'!M110="-",'A-10'!M157="-"),"-",SUM('A-10'!M63,'A-10'!M110,'A-10'!M157))</f>
        <v>2559</v>
      </c>
      <c r="R15" s="200">
        <f>IF(AND('A-10'!N63="-",'A-10'!N110="-",'A-10'!N157="-"),"-",SUM('A-10'!N63,'A-10'!N110,'A-10'!N157))</f>
        <v>18307</v>
      </c>
      <c r="S15" s="200">
        <f>IF(AND('A-10'!O63="-",'A-10'!O110="-",'A-10'!O157="-"),"-",SUM('A-10'!O63,'A-10'!O110,'A-10'!O157))</f>
        <v>117649</v>
      </c>
      <c r="T15" s="200">
        <f>IF(AND('A-10'!P63="-",'A-10'!P110="-",'A-10'!P157="-"),"-",SUM('A-10'!P63,'A-10'!P110,'A-10'!P157))</f>
        <v>24811</v>
      </c>
      <c r="U15" s="200" t="str">
        <f>IF(AND('A-10'!Q63="-",'A-10'!Q110="-",'A-10'!Q157="-"),"-",SUM('A-10'!Q63,'A-10'!Q110,'A-10'!Q157))</f>
        <v>-</v>
      </c>
      <c r="V15" s="200" t="str">
        <f>IF(AND('A-10'!R63="-",'A-10'!R110="-",'A-10'!R157="-"),"-",SUM('A-10'!R63,'A-10'!R110,'A-10'!R157))</f>
        <v>-</v>
      </c>
      <c r="W15" s="200" t="s">
        <v>29</v>
      </c>
      <c r="X15" s="200">
        <f>IF(AND('A-10'!S63="-",'A-10'!S110="-",'A-10'!S157="-"),"-",SUM('A-10'!S63,'A-10'!S110,'A-10'!S157))</f>
        <v>163326</v>
      </c>
    </row>
    <row r="16" spans="1:24" ht="11.25" customHeight="1" x14ac:dyDescent="0.25">
      <c r="A16" s="383">
        <v>1987</v>
      </c>
      <c r="B16" s="200" t="s">
        <v>29</v>
      </c>
      <c r="C16" s="200" t="str">
        <f>IF(AND('A-10'!B64="-",'A-10'!B111="-",'A-10'!B158="-"),"-",SUM('A-10'!B64,'A-10'!B111,'A-10'!B158))</f>
        <v>-</v>
      </c>
      <c r="D16" s="200" t="str">
        <f>IF(AND('A-10'!C64="-",'A-10'!C111="-",'A-10'!C158="-"),"-",SUM('A-10'!C64,'A-10'!C111,'A-10'!C158))</f>
        <v>-</v>
      </c>
      <c r="E16" s="200" t="str">
        <f>IF(AND('A-10'!D64="-",'A-10'!D111="-",'A-10'!D158="-"),"-",SUM('A-10'!D64,'A-10'!D111,'A-10'!D158))</f>
        <v>-</v>
      </c>
      <c r="F16" s="200">
        <f>IF(AND('A-10'!E64="-",'A-10'!E111="-",'A-10'!E158="-"),"-",SUM('A-10'!E64,'A-10'!E111,'A-10'!E158))</f>
        <v>1014</v>
      </c>
      <c r="G16" s="200">
        <f>IF(AND('A-10'!F64="-",'A-10'!F111="-",'A-10'!F158="-"),"-",SUM('A-10'!F64,'A-10'!F111,'A-10'!F158))</f>
        <v>13905</v>
      </c>
      <c r="H16" s="200">
        <f>IF(AND('A-10'!G64="-",'A-10'!G111="-",'A-10'!G158="-"),"-",SUM('A-10'!G64,'A-10'!G111,'A-10'!G158))</f>
        <v>8699</v>
      </c>
      <c r="I16" s="200">
        <f>IF(AND('A-10'!H64="-",'A-10'!H111="-",'A-10'!H158="-"),"-",SUM('A-10'!H64,'A-10'!H111,'A-10'!H158))</f>
        <v>5110</v>
      </c>
      <c r="J16" s="60" t="s">
        <v>116</v>
      </c>
      <c r="K16" s="60" t="s">
        <v>116</v>
      </c>
      <c r="L16" s="200">
        <f>IF(AND('A-10'!K64="-",'A-10'!K111="-",'A-10'!K158="-"),"-",SUM('A-10'!K64,'A-10'!K111,'A-10'!K158))</f>
        <v>28728</v>
      </c>
      <c r="N16" s="200" t="s">
        <v>29</v>
      </c>
      <c r="O16" s="200" t="s">
        <v>29</v>
      </c>
      <c r="P16" s="200" t="s">
        <v>29</v>
      </c>
      <c r="Q16" s="200" t="str">
        <f>IF(AND('A-10'!M64="-",'A-10'!M111="-",'A-10'!M158="-"),"-",SUM('A-10'!M64,'A-10'!M111,'A-10'!M158))</f>
        <v>-</v>
      </c>
      <c r="R16" s="200">
        <f>IF(AND('A-10'!N64="-",'A-10'!N111="-",'A-10'!N158="-"),"-",SUM('A-10'!N64,'A-10'!N111,'A-10'!N158))</f>
        <v>2936</v>
      </c>
      <c r="S16" s="200">
        <f>IF(AND('A-10'!O64="-",'A-10'!O111="-",'A-10'!O158="-"),"-",SUM('A-10'!O64,'A-10'!O111,'A-10'!O158))</f>
        <v>97971</v>
      </c>
      <c r="T16" s="200">
        <f>IF(AND('A-10'!P64="-",'A-10'!P111="-",'A-10'!P158="-"),"-",SUM('A-10'!P64,'A-10'!P111,'A-10'!P158))</f>
        <v>25810</v>
      </c>
      <c r="U16" s="200">
        <f>IF(AND('A-10'!Q64="-",'A-10'!Q111="-",'A-10'!Q158="-"),"-",SUM('A-10'!Q64,'A-10'!Q111,'A-10'!Q158))</f>
        <v>9126</v>
      </c>
      <c r="V16" s="200" t="str">
        <f>IF(AND('A-10'!R64="-",'A-10'!R111="-",'A-10'!R158="-"),"-",SUM('A-10'!R64,'A-10'!R111,'A-10'!R158))</f>
        <v>-</v>
      </c>
      <c r="W16" s="200" t="s">
        <v>29</v>
      </c>
      <c r="X16" s="200">
        <f>IF(AND('A-10'!S64="-",'A-10'!S111="-",'A-10'!S158="-"),"-",SUM('A-10'!S64,'A-10'!S111,'A-10'!S158))</f>
        <v>135843</v>
      </c>
    </row>
    <row r="17" spans="1:24" ht="11.25" customHeight="1" x14ac:dyDescent="0.25">
      <c r="A17" s="383">
        <v>1988</v>
      </c>
      <c r="B17" s="200" t="s">
        <v>29</v>
      </c>
      <c r="C17" s="200" t="str">
        <f>IF(AND('A-10'!B65="-",'A-10'!B112="-",'A-10'!B159="-"),"-",SUM('A-10'!B65,'A-10'!B112,'A-10'!B159))</f>
        <v>-</v>
      </c>
      <c r="D17" s="200" t="str">
        <f>IF(AND('A-10'!C65="-",'A-10'!C112="-",'A-10'!C159="-"),"-",SUM('A-10'!C65,'A-10'!C112,'A-10'!C159))</f>
        <v>-</v>
      </c>
      <c r="E17" s="200">
        <f>IF(AND('A-10'!D65="-",'A-10'!D112="-",'A-10'!D159="-"),"-",SUM('A-10'!D65,'A-10'!D112,'A-10'!D159))</f>
        <v>255</v>
      </c>
      <c r="F17" s="200">
        <f>IF(AND('A-10'!E65="-",'A-10'!E112="-",'A-10'!E159="-"),"-",SUM('A-10'!E65,'A-10'!E112,'A-10'!E159))</f>
        <v>2587</v>
      </c>
      <c r="G17" s="200">
        <f>IF(AND('A-10'!F65="-",'A-10'!F112="-",'A-10'!F159="-"),"-",SUM('A-10'!F65,'A-10'!F112,'A-10'!F159))</f>
        <v>5410</v>
      </c>
      <c r="H17" s="200">
        <f>IF(AND('A-10'!G65="-",'A-10'!G112="-",'A-10'!G159="-"),"-",SUM('A-10'!G65,'A-10'!G112,'A-10'!G159))</f>
        <v>6099</v>
      </c>
      <c r="I17" s="200">
        <f>IF(AND('A-10'!H65="-",'A-10'!H112="-",'A-10'!H159="-"),"-",SUM('A-10'!H65,'A-10'!H112,'A-10'!H159))</f>
        <v>1776</v>
      </c>
      <c r="J17" s="60" t="s">
        <v>116</v>
      </c>
      <c r="K17" s="60" t="s">
        <v>116</v>
      </c>
      <c r="L17" s="200">
        <f>IF(AND('A-10'!K65="-",'A-10'!K112="-",'A-10'!K159="-"),"-",SUM('A-10'!K65,'A-10'!K112,'A-10'!K159))</f>
        <v>16127</v>
      </c>
      <c r="N17" s="200" t="s">
        <v>29</v>
      </c>
      <c r="O17" s="200" t="s">
        <v>29</v>
      </c>
      <c r="P17" s="200" t="s">
        <v>29</v>
      </c>
      <c r="Q17" s="200">
        <f>IF(AND('A-10'!M65="-",'A-10'!M112="-",'A-10'!M159="-"),"-",SUM('A-10'!M65,'A-10'!M112,'A-10'!M159))</f>
        <v>318</v>
      </c>
      <c r="R17" s="200">
        <f>IF(AND('A-10'!N65="-",'A-10'!N112="-",'A-10'!N159="-"),"-",SUM('A-10'!N65,'A-10'!N112,'A-10'!N159))</f>
        <v>18929</v>
      </c>
      <c r="S17" s="200">
        <f>IF(AND('A-10'!O65="-",'A-10'!O112="-",'A-10'!O159="-"),"-",SUM('A-10'!O65,'A-10'!O112,'A-10'!O159))</f>
        <v>96188</v>
      </c>
      <c r="T17" s="200">
        <f>IF(AND('A-10'!P65="-",'A-10'!P112="-",'A-10'!P159="-"),"-",SUM('A-10'!P65,'A-10'!P112,'A-10'!P159))</f>
        <v>74313</v>
      </c>
      <c r="U17" s="200">
        <f>IF(AND('A-10'!Q65="-",'A-10'!Q112="-",'A-10'!Q159="-"),"-",SUM('A-10'!Q65,'A-10'!Q112,'A-10'!Q159))</f>
        <v>12265</v>
      </c>
      <c r="V17" s="200" t="str">
        <f>IF(AND('A-10'!R65="-",'A-10'!R112="-",'A-10'!R159="-"),"-",SUM('A-10'!R65,'A-10'!R112,'A-10'!R159))</f>
        <v>-</v>
      </c>
      <c r="W17" s="200" t="s">
        <v>29</v>
      </c>
      <c r="X17" s="200">
        <f>IF(AND('A-10'!S65="-",'A-10'!S112="-",'A-10'!S159="-"),"-",SUM('A-10'!S65,'A-10'!S112,'A-10'!S159))</f>
        <v>202013</v>
      </c>
    </row>
    <row r="18" spans="1:24" ht="11.25" customHeight="1" x14ac:dyDescent="0.25">
      <c r="A18" s="383">
        <v>1989</v>
      </c>
      <c r="B18" s="200" t="s">
        <v>29</v>
      </c>
      <c r="C18" s="200" t="str">
        <f>IF(AND('A-10'!B66="-",'A-10'!B113="-",'A-10'!B160="-"),"-",SUM('A-10'!B66,'A-10'!B113,'A-10'!B160))</f>
        <v>-</v>
      </c>
      <c r="D18" s="200" t="str">
        <f>IF(AND('A-10'!C66="-",'A-10'!C113="-",'A-10'!C160="-"),"-",SUM('A-10'!C66,'A-10'!C113,'A-10'!C160))</f>
        <v>-</v>
      </c>
      <c r="E18" s="200">
        <f>IF(AND('A-10'!D66="-",'A-10'!D113="-",'A-10'!D160="-"),"-",SUM('A-10'!D66,'A-10'!D113,'A-10'!D160))</f>
        <v>189</v>
      </c>
      <c r="F18" s="200">
        <f>IF(AND('A-10'!E66="-",'A-10'!E113="-",'A-10'!E160="-"),"-",SUM('A-10'!E66,'A-10'!E113,'A-10'!E160))</f>
        <v>2578</v>
      </c>
      <c r="G18" s="200">
        <f>IF(AND('A-10'!F66="-",'A-10'!F113="-",'A-10'!F160="-"),"-",SUM('A-10'!F66,'A-10'!F113,'A-10'!F160))</f>
        <v>5137</v>
      </c>
      <c r="H18" s="200">
        <f>IF(AND('A-10'!G66="-",'A-10'!G113="-",'A-10'!G160="-"),"-",SUM('A-10'!G66,'A-10'!G113,'A-10'!G160))</f>
        <v>1427</v>
      </c>
      <c r="I18" s="200">
        <f>IF(AND('A-10'!H66="-",'A-10'!H113="-",'A-10'!H160="-"),"-",SUM('A-10'!H66,'A-10'!H113,'A-10'!H160))</f>
        <v>53</v>
      </c>
      <c r="J18" s="60" t="s">
        <v>116</v>
      </c>
      <c r="K18" s="60" t="s">
        <v>116</v>
      </c>
      <c r="L18" s="200">
        <f>IF(AND('A-10'!K66="-",'A-10'!K113="-",'A-10'!K160="-"),"-",SUM('A-10'!K66,'A-10'!K113,'A-10'!K160))</f>
        <v>9384</v>
      </c>
      <c r="N18" s="200" t="s">
        <v>29</v>
      </c>
      <c r="O18" s="200" t="s">
        <v>29</v>
      </c>
      <c r="P18" s="200" t="s">
        <v>29</v>
      </c>
      <c r="Q18" s="200">
        <f>IF(AND('A-10'!M66="-",'A-10'!M113="-",'A-10'!M160="-"),"-",SUM('A-10'!M66,'A-10'!M113,'A-10'!M160))</f>
        <v>1474</v>
      </c>
      <c r="R18" s="200">
        <f>IF(AND('A-10'!N66="-",'A-10'!N113="-",'A-10'!N160="-"),"-",SUM('A-10'!N66,'A-10'!N113,'A-10'!N160))</f>
        <v>49983</v>
      </c>
      <c r="S18" s="200">
        <f>IF(AND('A-10'!O66="-",'A-10'!O113="-",'A-10'!O160="-"),"-",SUM('A-10'!O66,'A-10'!O113,'A-10'!O160))</f>
        <v>105615</v>
      </c>
      <c r="T18" s="200">
        <f>IF(AND('A-10'!P66="-",'A-10'!P113="-",'A-10'!P160="-"),"-",SUM('A-10'!P66,'A-10'!P113,'A-10'!P160))</f>
        <v>48155</v>
      </c>
      <c r="U18" s="200">
        <f>IF(AND('A-10'!Q66="-",'A-10'!Q113="-",'A-10'!Q160="-"),"-",SUM('A-10'!Q66,'A-10'!Q113,'A-10'!Q160))</f>
        <v>712</v>
      </c>
      <c r="V18" s="200" t="str">
        <f>IF(AND('A-10'!R66="-",'A-10'!R113="-",'A-10'!R160="-"),"-",SUM('A-10'!R66,'A-10'!R113,'A-10'!R160))</f>
        <v>-</v>
      </c>
      <c r="W18" s="200" t="s">
        <v>29</v>
      </c>
      <c r="X18" s="200">
        <f>IF(AND('A-10'!S66="-",'A-10'!S113="-",'A-10'!S160="-"),"-",SUM('A-10'!S66,'A-10'!S113,'A-10'!S160))</f>
        <v>205939</v>
      </c>
    </row>
    <row r="19" spans="1:24" ht="11.25" customHeight="1" x14ac:dyDescent="0.25">
      <c r="A19" s="383">
        <v>1990</v>
      </c>
      <c r="B19" s="200" t="s">
        <v>29</v>
      </c>
      <c r="C19" s="200" t="str">
        <f>IF(AND('A-10'!B67="-",'A-10'!B114="-",'A-10'!B161="-"),"-",SUM('A-10'!B67,'A-10'!B114,'A-10'!B161))</f>
        <v>-</v>
      </c>
      <c r="D19" s="200" t="str">
        <f>IF(AND('A-10'!C67="-",'A-10'!C114="-",'A-10'!C161="-"),"-",SUM('A-10'!C67,'A-10'!C114,'A-10'!C161))</f>
        <v>-</v>
      </c>
      <c r="E19" s="200">
        <f>IF(AND('A-10'!D67="-",'A-10'!D114="-",'A-10'!D161="-"),"-",SUM('A-10'!D67,'A-10'!D114,'A-10'!D161))</f>
        <v>29</v>
      </c>
      <c r="F19" s="200">
        <f>IF(AND('A-10'!E67="-",'A-10'!E114="-",'A-10'!E161="-"),"-",SUM('A-10'!E67,'A-10'!E114,'A-10'!E161))</f>
        <v>1009</v>
      </c>
      <c r="G19" s="200">
        <f>IF(AND('A-10'!F67="-",'A-10'!F114="-",'A-10'!F161="-"),"-",SUM('A-10'!F67,'A-10'!F114,'A-10'!F161))</f>
        <v>4707</v>
      </c>
      <c r="H19" s="200">
        <f>IF(AND('A-10'!G67="-",'A-10'!G114="-",'A-10'!G161="-"),"-",SUM('A-10'!G67,'A-10'!G114,'A-10'!G161))</f>
        <v>3495</v>
      </c>
      <c r="I19" s="200">
        <f>IF(AND('A-10'!H67="-",'A-10'!H114="-",'A-10'!H161="-"),"-",SUM('A-10'!H67,'A-10'!H114,'A-10'!H161))</f>
        <v>1256</v>
      </c>
      <c r="J19" s="60" t="s">
        <v>116</v>
      </c>
      <c r="K19" s="200" t="str">
        <f>IF(AND('A-10'!J67="-",'A-10'!J114="-",'A-10'!J161="-"),"-",SUM('A-10'!J67,'A-10'!J114,'A-10'!J161))</f>
        <v>-</v>
      </c>
      <c r="L19" s="200">
        <f>IF(AND('A-10'!K67="-",'A-10'!K114="-",'A-10'!K161="-"),"-",SUM('A-10'!K67,'A-10'!K114,'A-10'!K161))</f>
        <v>10496</v>
      </c>
      <c r="N19" s="200" t="s">
        <v>29</v>
      </c>
      <c r="O19" s="200" t="s">
        <v>29</v>
      </c>
      <c r="P19" s="200" t="s">
        <v>29</v>
      </c>
      <c r="Q19" s="200">
        <f>IF(AND('A-10'!M67="-",'A-10'!M114="-",'A-10'!M161="-"),"-",SUM('A-10'!M67,'A-10'!M114,'A-10'!M161))</f>
        <v>194</v>
      </c>
      <c r="R19" s="200">
        <f>IF(AND('A-10'!N67="-",'A-10'!N114="-",'A-10'!N161="-"),"-",SUM('A-10'!N67,'A-10'!N114,'A-10'!N161))</f>
        <v>19169</v>
      </c>
      <c r="S19" s="200">
        <f>IF(AND('A-10'!O67="-",'A-10'!O114="-",'A-10'!O161="-"),"-",SUM('A-10'!O67,'A-10'!O114,'A-10'!O161))</f>
        <v>70100</v>
      </c>
      <c r="T19" s="200">
        <f>IF(AND('A-10'!P67="-",'A-10'!P114="-",'A-10'!P161="-"),"-",SUM('A-10'!P67,'A-10'!P114,'A-10'!P161))</f>
        <v>54563</v>
      </c>
      <c r="U19" s="200">
        <f>IF(AND('A-10'!Q67="-",'A-10'!Q114="-",'A-10'!Q161="-"),"-",SUM('A-10'!Q67,'A-10'!Q114,'A-10'!Q161))</f>
        <v>5191</v>
      </c>
      <c r="V19" s="200" t="str">
        <f>IF(AND('A-10'!R67="-",'A-10'!R114="-",'A-10'!R161="-"),"-",SUM('A-10'!R67,'A-10'!R114,'A-10'!R161))</f>
        <v>-</v>
      </c>
      <c r="W19" s="200" t="s">
        <v>29</v>
      </c>
      <c r="X19" s="200">
        <f>IF(AND('A-10'!S67="-",'A-10'!S114="-",'A-10'!S161="-"),"-",SUM('A-10'!S67,'A-10'!S114,'A-10'!S161))</f>
        <v>149217</v>
      </c>
    </row>
    <row r="20" spans="1:24" ht="11.25" customHeight="1" x14ac:dyDescent="0.25">
      <c r="A20" s="383">
        <v>1991</v>
      </c>
      <c r="B20" s="200" t="s">
        <v>29</v>
      </c>
      <c r="C20" s="200" t="str">
        <f>IF(AND('A-10'!B68="-",'A-10'!B115="-",'A-10'!B162="-"),"-",SUM('A-10'!B68,'A-10'!B115,'A-10'!B162))</f>
        <v>-</v>
      </c>
      <c r="D20" s="200" t="str">
        <f>IF(AND('A-10'!C68="-",'A-10'!C115="-",'A-10'!C162="-"),"-",SUM('A-10'!C68,'A-10'!C115,'A-10'!C162))</f>
        <v>-</v>
      </c>
      <c r="E20" s="200">
        <f>IF(AND('A-10'!D68="-",'A-10'!D115="-",'A-10'!D162="-"),"-",SUM('A-10'!D68,'A-10'!D115,'A-10'!D162))</f>
        <v>155</v>
      </c>
      <c r="F20" s="200">
        <f>IF(AND('A-10'!E68="-",'A-10'!E115="-",'A-10'!E162="-"),"-",SUM('A-10'!E68,'A-10'!E115,'A-10'!E162))</f>
        <v>2815</v>
      </c>
      <c r="G20" s="200">
        <f>IF(AND('A-10'!F68="-",'A-10'!F115="-",'A-10'!F162="-"),"-",SUM('A-10'!F68,'A-10'!F115,'A-10'!F162))</f>
        <v>3652</v>
      </c>
      <c r="H20" s="200" t="str">
        <f>IF(AND('A-10'!G68="-",'A-10'!G115="-",'A-10'!G162="-"),"-",SUM('A-10'!G68,'A-10'!G115,'A-10'!G162))</f>
        <v>-</v>
      </c>
      <c r="I20" s="200" t="str">
        <f>IF(AND('A-10'!H68="-",'A-10'!H115="-",'A-10'!H162="-"),"-",SUM('A-10'!H68,'A-10'!H115,'A-10'!H162))</f>
        <v>-</v>
      </c>
      <c r="J20" s="60" t="s">
        <v>116</v>
      </c>
      <c r="K20" s="200" t="str">
        <f>IF(AND('A-10'!J68="-",'A-10'!J115="-",'A-10'!J162="-"),"-",SUM('A-10'!J68,'A-10'!J115,'A-10'!J162))</f>
        <v>-</v>
      </c>
      <c r="L20" s="200">
        <f>IF(AND('A-10'!K68="-",'A-10'!K115="-",'A-10'!K162="-"),"-",SUM('A-10'!K68,'A-10'!K115,'A-10'!K162))</f>
        <v>6622</v>
      </c>
      <c r="N20" s="200" t="s">
        <v>29</v>
      </c>
      <c r="O20" s="200" t="s">
        <v>29</v>
      </c>
      <c r="P20" s="200" t="s">
        <v>29</v>
      </c>
      <c r="Q20" s="200">
        <f>IF(AND('A-10'!M68="-",'A-10'!M115="-",'A-10'!M162="-"),"-",SUM('A-10'!M68,'A-10'!M115,'A-10'!M162))</f>
        <v>866</v>
      </c>
      <c r="R20" s="200">
        <f>IF(AND('A-10'!N68="-",'A-10'!N115="-",'A-10'!N162="-"),"-",SUM('A-10'!N68,'A-10'!N115,'A-10'!N162))</f>
        <v>41180</v>
      </c>
      <c r="S20" s="200">
        <f>IF(AND('A-10'!O68="-",'A-10'!O115="-",'A-10'!O162="-"),"-",SUM('A-10'!O68,'A-10'!O115,'A-10'!O162))</f>
        <v>155451</v>
      </c>
      <c r="T20" s="200" t="str">
        <f>IF(AND('A-10'!P68="-",'A-10'!P115="-",'A-10'!P162="-"),"-",SUM('A-10'!P68,'A-10'!P115,'A-10'!P162))</f>
        <v>-</v>
      </c>
      <c r="U20" s="200" t="str">
        <f>IF(AND('A-10'!Q68="-",'A-10'!Q115="-",'A-10'!Q162="-"),"-",SUM('A-10'!Q68,'A-10'!Q115,'A-10'!Q162))</f>
        <v>-</v>
      </c>
      <c r="V20" s="200" t="str">
        <f>IF(AND('A-10'!R68="-",'A-10'!R115="-",'A-10'!R162="-"),"-",SUM('A-10'!R68,'A-10'!R115,'A-10'!R162))</f>
        <v>-</v>
      </c>
      <c r="W20" s="200" t="s">
        <v>29</v>
      </c>
      <c r="X20" s="200">
        <f>IF(AND('A-10'!S68="-",'A-10'!S115="-",'A-10'!S162="-"),"-",SUM('A-10'!S68,'A-10'!S115,'A-10'!S162))</f>
        <v>197497</v>
      </c>
    </row>
    <row r="21" spans="1:24" ht="11.25" customHeight="1" x14ac:dyDescent="0.25">
      <c r="A21" s="383">
        <v>1992</v>
      </c>
      <c r="B21" s="200" t="s">
        <v>29</v>
      </c>
      <c r="C21" s="200" t="str">
        <f>IF(AND('A-10'!B69="-",'A-10'!B116="-",'A-10'!B163="-"),"-",SUM('A-10'!B69,'A-10'!B116,'A-10'!B163))</f>
        <v>-</v>
      </c>
      <c r="D21" s="200" t="str">
        <f>IF(AND('A-10'!C69="-",'A-10'!C116="-",'A-10'!C163="-"),"-",SUM('A-10'!C69,'A-10'!C116,'A-10'!C163))</f>
        <v>-</v>
      </c>
      <c r="E21" s="200">
        <f>IF(AND('A-10'!D69="-",'A-10'!D116="-",'A-10'!D163="-"),"-",SUM('A-10'!D69,'A-10'!D116,'A-10'!D163))</f>
        <v>248</v>
      </c>
      <c r="F21" s="200">
        <f>IF(AND('A-10'!E69="-",'A-10'!E116="-",'A-10'!E163="-"),"-",SUM('A-10'!E69,'A-10'!E116,'A-10'!E163))</f>
        <v>2531</v>
      </c>
      <c r="G21" s="200">
        <f>IF(AND('A-10'!F69="-",'A-10'!F116="-",'A-10'!F163="-"),"-",SUM('A-10'!F69,'A-10'!F116,'A-10'!F163))</f>
        <v>4385</v>
      </c>
      <c r="H21" s="200">
        <f>IF(AND('A-10'!G69="-",'A-10'!G116="-",'A-10'!G163="-"),"-",SUM('A-10'!G69,'A-10'!G116,'A-10'!G163))</f>
        <v>1506</v>
      </c>
      <c r="I21" s="200">
        <f>IF(AND('A-10'!H69="-",'A-10'!H116="-",'A-10'!H163="-"),"-",SUM('A-10'!H69,'A-10'!H116,'A-10'!H163))</f>
        <v>733</v>
      </c>
      <c r="J21" s="60" t="s">
        <v>116</v>
      </c>
      <c r="K21" s="200" t="str">
        <f>IF(AND('A-10'!J69="-",'A-10'!J116="-",'A-10'!J163="-"),"-",SUM('A-10'!J69,'A-10'!J116,'A-10'!J163))</f>
        <v>-</v>
      </c>
      <c r="L21" s="200">
        <f>IF(AND('A-10'!K69="-",'A-10'!K116="-",'A-10'!K163="-"),"-",SUM('A-10'!K69,'A-10'!K116,'A-10'!K163))</f>
        <v>9403</v>
      </c>
      <c r="N21" s="200" t="s">
        <v>29</v>
      </c>
      <c r="O21" s="200" t="s">
        <v>29</v>
      </c>
      <c r="P21" s="200" t="s">
        <v>29</v>
      </c>
      <c r="Q21" s="200">
        <f>IF(AND('A-10'!M69="-",'A-10'!M116="-",'A-10'!M163="-"),"-",SUM('A-10'!M69,'A-10'!M116,'A-10'!M163))</f>
        <v>615</v>
      </c>
      <c r="R21" s="200">
        <f>IF(AND('A-10'!N69="-",'A-10'!N116="-",'A-10'!N163="-"),"-",SUM('A-10'!N69,'A-10'!N116,'A-10'!N163))</f>
        <v>24685</v>
      </c>
      <c r="S21" s="200">
        <f>IF(AND('A-10'!O69="-",'A-10'!O116="-",'A-10'!O163="-"),"-",SUM('A-10'!O69,'A-10'!O116,'A-10'!O163))</f>
        <v>89858</v>
      </c>
      <c r="T21" s="200">
        <f>IF(AND('A-10'!P69="-",'A-10'!P116="-",'A-10'!P163="-"),"-",SUM('A-10'!P69,'A-10'!P116,'A-10'!P163))</f>
        <v>38737</v>
      </c>
      <c r="U21" s="200">
        <f>IF(AND('A-10'!Q69="-",'A-10'!Q116="-",'A-10'!Q163="-"),"-",SUM('A-10'!Q69,'A-10'!Q116,'A-10'!Q163))</f>
        <v>6374</v>
      </c>
      <c r="V21" s="200" t="str">
        <f>IF(AND('A-10'!R69="-",'A-10'!R116="-",'A-10'!R163="-"),"-",SUM('A-10'!R69,'A-10'!R116,'A-10'!R163))</f>
        <v>-</v>
      </c>
      <c r="W21" s="200" t="s">
        <v>29</v>
      </c>
      <c r="X21" s="200">
        <f>IF(AND('A-10'!S69="-",'A-10'!S116="-",'A-10'!S163="-"),"-",SUM('A-10'!S69,'A-10'!S116,'A-10'!S163))</f>
        <v>160269</v>
      </c>
    </row>
    <row r="22" spans="1:24" ht="11.25" customHeight="1" x14ac:dyDescent="0.25">
      <c r="A22" s="383">
        <v>1993</v>
      </c>
      <c r="B22" s="200" t="s">
        <v>29</v>
      </c>
      <c r="C22" s="200" t="str">
        <f>IF(AND('A-10'!B70="-",'A-10'!B117="-",'A-10'!B164="-"),"-",SUM('A-10'!B70,'A-10'!B117,'A-10'!B164))</f>
        <v>-</v>
      </c>
      <c r="D22" s="200" t="str">
        <f>IF(AND('A-10'!C70="-",'A-10'!C117="-",'A-10'!C164="-"),"-",SUM('A-10'!C70,'A-10'!C117,'A-10'!C164))</f>
        <v>-</v>
      </c>
      <c r="E22" s="200">
        <f>IF(AND('A-10'!D70="-",'A-10'!D117="-",'A-10'!D164="-"),"-",SUM('A-10'!D70,'A-10'!D117,'A-10'!D164))</f>
        <v>169</v>
      </c>
      <c r="F22" s="200">
        <f>IF(AND('A-10'!E70="-",'A-10'!E117="-",'A-10'!E164="-"),"-",SUM('A-10'!E70,'A-10'!E117,'A-10'!E164))</f>
        <v>15</v>
      </c>
      <c r="G22" s="200">
        <f>IF(AND('A-10'!F70="-",'A-10'!F117="-",'A-10'!F164="-"),"-",SUM('A-10'!F70,'A-10'!F117,'A-10'!F164))</f>
        <v>1052</v>
      </c>
      <c r="H22" s="200">
        <f>IF(AND('A-10'!G70="-",'A-10'!G117="-",'A-10'!G164="-"),"-",SUM('A-10'!G70,'A-10'!G117,'A-10'!G164))</f>
        <v>581</v>
      </c>
      <c r="I22" s="60" t="s">
        <v>116</v>
      </c>
      <c r="J22" s="60" t="s">
        <v>116</v>
      </c>
      <c r="K22" s="60" t="s">
        <v>116</v>
      </c>
      <c r="L22" s="200">
        <f>IF(AND('A-10'!K70="-",'A-10'!K117="-",'A-10'!K164="-"),"-",SUM('A-10'!K70,'A-10'!K117,'A-10'!K164))</f>
        <v>1817</v>
      </c>
      <c r="N22" s="200" t="s">
        <v>29</v>
      </c>
      <c r="O22" s="200" t="s">
        <v>29</v>
      </c>
      <c r="P22" s="200" t="s">
        <v>29</v>
      </c>
      <c r="Q22" s="200">
        <f>IF(AND('A-10'!M70="-",'A-10'!M117="-",'A-10'!M164="-"),"-",SUM('A-10'!M70,'A-10'!M117,'A-10'!M164))</f>
        <v>85</v>
      </c>
      <c r="R22" s="200">
        <f>IF(AND('A-10'!N70="-",'A-10'!N117="-",'A-10'!N164="-"),"-",SUM('A-10'!N70,'A-10'!N117,'A-10'!N164))</f>
        <v>90</v>
      </c>
      <c r="S22" s="200">
        <f>IF(AND('A-10'!O70="-",'A-10'!O117="-",'A-10'!O164="-"),"-",SUM('A-10'!O70,'A-10'!O117,'A-10'!O164))</f>
        <v>17993</v>
      </c>
      <c r="T22" s="200">
        <f>IF(AND('A-10'!P70="-",'A-10'!P117="-",'A-10'!P164="-"),"-",SUM('A-10'!P70,'A-10'!P117,'A-10'!P164))</f>
        <v>12730</v>
      </c>
      <c r="U22" s="200" t="str">
        <f>IF(AND('A-10'!Q70="-",'A-10'!Q117="-",'A-10'!Q164="-"),"-",SUM('A-10'!Q70,'A-10'!Q117,'A-10'!Q164))</f>
        <v>-</v>
      </c>
      <c r="V22" s="200" t="str">
        <f>IF(AND('A-10'!R70="-",'A-10'!R117="-",'A-10'!R164="-"),"-",SUM('A-10'!R70,'A-10'!R117,'A-10'!R164))</f>
        <v>-</v>
      </c>
      <c r="W22" s="200" t="s">
        <v>29</v>
      </c>
      <c r="X22" s="200">
        <f>IF(AND('A-10'!S70="-",'A-10'!S117="-",'A-10'!S164="-"),"-",SUM('A-10'!S70,'A-10'!S117,'A-10'!S164))</f>
        <v>30898</v>
      </c>
    </row>
    <row r="23" spans="1:24" ht="11.25" customHeight="1" x14ac:dyDescent="0.25">
      <c r="A23" s="383">
        <v>1994</v>
      </c>
      <c r="B23" s="200" t="s">
        <v>29</v>
      </c>
      <c r="C23" s="200" t="str">
        <f>IF(AND('A-10'!B71="-",'A-10'!B118="-",'A-10'!B165="-"),"-",SUM('A-10'!B71,'A-10'!B118,'A-10'!B165))</f>
        <v>-</v>
      </c>
      <c r="D23" s="200" t="str">
        <f>IF(AND('A-10'!C71="-",'A-10'!C118="-",'A-10'!C165="-"),"-",SUM('A-10'!C71,'A-10'!C118,'A-10'!C165))</f>
        <v>-</v>
      </c>
      <c r="E23" s="200">
        <f>IF(AND('A-10'!D71="-",'A-10'!D118="-",'A-10'!D165="-"),"-",SUM('A-10'!D71,'A-10'!D118,'A-10'!D165))</f>
        <v>70</v>
      </c>
      <c r="F23" s="200">
        <f>IF(AND('A-10'!E71="-",'A-10'!E118="-",'A-10'!E165="-"),"-",SUM('A-10'!E71,'A-10'!E118,'A-10'!E165))</f>
        <v>147</v>
      </c>
      <c r="G23" s="200" t="str">
        <f>IF(AND('A-10'!F71="-",'A-10'!F118="-",'A-10'!F165="-"),"-",SUM('A-10'!F71,'A-10'!F118,'A-10'!F165))</f>
        <v>-</v>
      </c>
      <c r="H23" s="200" t="str">
        <f>IF(AND('A-10'!G71="-",'A-10'!G118="-",'A-10'!G165="-"),"-",SUM('A-10'!G71,'A-10'!G118,'A-10'!G165))</f>
        <v>-</v>
      </c>
      <c r="I23" s="200" t="str">
        <f>IF(AND('A-10'!H71="-",'A-10'!H118="-",'A-10'!H165="-"),"-",SUM('A-10'!H71,'A-10'!H118,'A-10'!H165))</f>
        <v>-</v>
      </c>
      <c r="J23" s="200">
        <f>IF(AND('A-10'!I71="-",'A-10'!I118="-",'A-10'!I165="-"),"-",SUM('A-10'!I71,'A-10'!I118,'A-10'!I165))</f>
        <v>2204</v>
      </c>
      <c r="K23" s="200">
        <f>IF(AND('A-10'!J71="-",'A-10'!J118="-",'A-10'!J165="-"),"-",SUM('A-10'!J71,'A-10'!J118,'A-10'!J165))</f>
        <v>0</v>
      </c>
      <c r="L23" s="200">
        <f>IF(AND('A-10'!K71="-",'A-10'!K118="-",'A-10'!K165="-"),"-",SUM('A-10'!K71,'A-10'!K118,'A-10'!K165))</f>
        <v>2421</v>
      </c>
      <c r="N23" s="200" t="s">
        <v>29</v>
      </c>
      <c r="O23" s="200" t="s">
        <v>29</v>
      </c>
      <c r="P23" s="200" t="s">
        <v>29</v>
      </c>
      <c r="Q23" s="200" t="str">
        <f>IF(AND('A-10'!M71="-",'A-10'!M118="-",'A-10'!M165="-"),"-",SUM('A-10'!M71,'A-10'!M118,'A-10'!M165))</f>
        <v>-</v>
      </c>
      <c r="R23" s="200" t="str">
        <f>IF(AND('A-10'!N71="-",'A-10'!N118="-",'A-10'!N165="-"),"-",SUM('A-10'!N71,'A-10'!N118,'A-10'!N165))</f>
        <v>-</v>
      </c>
      <c r="S23" s="200" t="str">
        <f>IF(AND('A-10'!O71="-",'A-10'!O118="-",'A-10'!O165="-"),"-",SUM('A-10'!O71,'A-10'!O118,'A-10'!O165))</f>
        <v>-</v>
      </c>
      <c r="T23" s="200" t="str">
        <f>IF(AND('A-10'!P71="-",'A-10'!P118="-",'A-10'!P165="-"),"-",SUM('A-10'!P71,'A-10'!P118,'A-10'!P165))</f>
        <v>-</v>
      </c>
      <c r="U23" s="200" t="str">
        <f>IF(AND('A-10'!Q71="-",'A-10'!Q118="-",'A-10'!Q165="-"),"-",SUM('A-10'!Q71,'A-10'!Q118,'A-10'!Q165))</f>
        <v>-</v>
      </c>
      <c r="V23" s="200" t="str">
        <f>IF(AND('A-10'!R71="-",'A-10'!R118="-",'A-10'!R165="-"),"-",SUM('A-10'!R71,'A-10'!R118,'A-10'!R165))</f>
        <v>-</v>
      </c>
      <c r="W23" s="200" t="s">
        <v>29</v>
      </c>
      <c r="X23" s="200" t="str">
        <f>IF(AND('A-10'!S71="-",'A-10'!S118="-",'A-10'!S165="-"),"-",SUM('A-10'!S71,'A-10'!S118,'A-10'!S165))</f>
        <v>-</v>
      </c>
    </row>
    <row r="24" spans="1:24" ht="11.25" customHeight="1" x14ac:dyDescent="0.25">
      <c r="A24" s="383">
        <v>1995</v>
      </c>
      <c r="B24" s="200" t="s">
        <v>29</v>
      </c>
      <c r="C24" s="200" t="str">
        <f>IF(AND('A-10'!B72="-",'A-10'!B119="-",'A-10'!B166="-"),"-",SUM('A-10'!B72,'A-10'!B119,'A-10'!B166))</f>
        <v>-</v>
      </c>
      <c r="D24" s="200" t="str">
        <f>IF(AND('A-10'!C72="-",'A-10'!C119="-",'A-10'!C166="-"),"-",SUM('A-10'!C72,'A-10'!C119,'A-10'!C166))</f>
        <v>-</v>
      </c>
      <c r="E24" s="200">
        <f>IF(AND('A-10'!D72="-",'A-10'!D119="-",'A-10'!D166="-"),"-",SUM('A-10'!D72,'A-10'!D119,'A-10'!D166))</f>
        <v>88</v>
      </c>
      <c r="F24" s="200">
        <f>IF(AND('A-10'!E72="-",'A-10'!E119="-",'A-10'!E166="-"),"-",SUM('A-10'!E72,'A-10'!E119,'A-10'!E166))</f>
        <v>214</v>
      </c>
      <c r="G24" s="200" t="str">
        <f>IF(AND('A-10'!F72="-",'A-10'!F119="-",'A-10'!F166="-"),"-",SUM('A-10'!F72,'A-10'!F119,'A-10'!F166))</f>
        <v>-</v>
      </c>
      <c r="H24" s="200" t="str">
        <f>IF(AND('A-10'!G72="-",'A-10'!G119="-",'A-10'!G166="-"),"-",SUM('A-10'!G72,'A-10'!G119,'A-10'!G166))</f>
        <v>-</v>
      </c>
      <c r="I24" s="200">
        <f>IF(AND('A-10'!H72="-",'A-10'!H119="-",'A-10'!H166="-"),"-",SUM('A-10'!H72,'A-10'!H119,'A-10'!H166))</f>
        <v>196</v>
      </c>
      <c r="J24" s="200">
        <f>IF(AND('A-10'!I72="-",'A-10'!I119="-",'A-10'!I166="-"),"-",SUM('A-10'!I72,'A-10'!I119,'A-10'!I166))</f>
        <v>304</v>
      </c>
      <c r="K24" s="200">
        <f>IF(AND('A-10'!J72="-",'A-10'!J119="-",'A-10'!J166="-"),"-",SUM('A-10'!J72,'A-10'!J119,'A-10'!J166))</f>
        <v>84</v>
      </c>
      <c r="L24" s="200">
        <f>IF(AND('A-10'!K72="-",'A-10'!K119="-",'A-10'!K166="-"),"-",SUM('A-10'!K72,'A-10'!K119,'A-10'!K166))</f>
        <v>886</v>
      </c>
      <c r="N24" s="200" t="s">
        <v>29</v>
      </c>
      <c r="O24" s="200" t="s">
        <v>29</v>
      </c>
      <c r="P24" s="200" t="s">
        <v>29</v>
      </c>
      <c r="Q24" s="200" t="str">
        <f>IF(AND('A-10'!M72="-",'A-10'!M119="-",'A-10'!M166="-"),"-",SUM('A-10'!M72,'A-10'!M119,'A-10'!M166))</f>
        <v>-</v>
      </c>
      <c r="R24" s="200" t="str">
        <f>IF(AND('A-10'!N72="-",'A-10'!N119="-",'A-10'!N166="-"),"-",SUM('A-10'!N72,'A-10'!N119,'A-10'!N166))</f>
        <v>-</v>
      </c>
      <c r="S24" s="200" t="str">
        <f>IF(AND('A-10'!O72="-",'A-10'!O119="-",'A-10'!O166="-"),"-",SUM('A-10'!O72,'A-10'!O119,'A-10'!O166))</f>
        <v>-</v>
      </c>
      <c r="T24" s="200" t="str">
        <f>IF(AND('A-10'!P72="-",'A-10'!P119="-",'A-10'!P166="-"),"-",SUM('A-10'!P72,'A-10'!P119,'A-10'!P166))</f>
        <v>-</v>
      </c>
      <c r="U24" s="200">
        <f>IF(AND('A-10'!Q72="-",'A-10'!Q119="-",'A-10'!Q166="-"),"-",SUM('A-10'!Q72,'A-10'!Q119,'A-10'!Q166))</f>
        <v>10</v>
      </c>
      <c r="V24" s="200" t="str">
        <f>IF(AND('A-10'!R72="-",'A-10'!R119="-",'A-10'!R166="-"),"-",SUM('A-10'!R72,'A-10'!R119,'A-10'!R166))</f>
        <v>-</v>
      </c>
      <c r="W24" s="200" t="s">
        <v>29</v>
      </c>
      <c r="X24" s="200">
        <f>IF(AND('A-10'!S72="-",'A-10'!S119="-",'A-10'!S166="-"),"-",SUM('A-10'!S72,'A-10'!S119,'A-10'!S166))</f>
        <v>10</v>
      </c>
    </row>
    <row r="25" spans="1:24" ht="11.25" customHeight="1" x14ac:dyDescent="0.25">
      <c r="A25" s="383">
        <v>1996</v>
      </c>
      <c r="B25" s="200" t="s">
        <v>29</v>
      </c>
      <c r="C25" s="200" t="str">
        <f>IF(AND('A-10'!B73="-",'A-10'!B120="-",'A-10'!B167="-"),"-",SUM('A-10'!B73,'A-10'!B120,'A-10'!B167))</f>
        <v>-</v>
      </c>
      <c r="D25" s="200" t="str">
        <f>IF(AND('A-10'!C73="-",'A-10'!C120="-",'A-10'!C167="-"),"-",SUM('A-10'!C73,'A-10'!C120,'A-10'!C167))</f>
        <v>-</v>
      </c>
      <c r="E25" s="200">
        <f>IF(AND('A-10'!D73="-",'A-10'!D120="-",'A-10'!D167="-"),"-",SUM('A-10'!D73,'A-10'!D120,'A-10'!D167))</f>
        <v>163</v>
      </c>
      <c r="F25" s="200">
        <f>IF(AND('A-10'!E73="-",'A-10'!E120="-",'A-10'!E167="-"),"-",SUM('A-10'!E73,'A-10'!E120,'A-10'!E167))</f>
        <v>189</v>
      </c>
      <c r="G25" s="200">
        <f>IF(AND('A-10'!F73="-",'A-10'!F120="-",'A-10'!F167="-"),"-",SUM('A-10'!F73,'A-10'!F120,'A-10'!F167))</f>
        <v>307</v>
      </c>
      <c r="H25" s="200">
        <f>IF(AND('A-10'!G73="-",'A-10'!G120="-",'A-10'!G167="-"),"-",SUM('A-10'!G73,'A-10'!G120,'A-10'!G167))</f>
        <v>702</v>
      </c>
      <c r="I25" s="200">
        <f>IF(AND('A-10'!H73="-",'A-10'!H120="-",'A-10'!H167="-"),"-",SUM('A-10'!H73,'A-10'!H120,'A-10'!H167))</f>
        <v>891</v>
      </c>
      <c r="J25" s="200">
        <f>IF(AND('A-10'!I73="-",'A-10'!I120="-",'A-10'!I167="-"),"-",SUM('A-10'!I73,'A-10'!I120,'A-10'!I167))</f>
        <v>733</v>
      </c>
      <c r="K25" s="60" t="s">
        <v>116</v>
      </c>
      <c r="L25" s="200">
        <f>IF(AND('A-10'!K73="-",'A-10'!K120="-",'A-10'!K167="-"),"-",SUM('A-10'!K73,'A-10'!K120,'A-10'!K167))</f>
        <v>2985</v>
      </c>
      <c r="N25" s="200" t="s">
        <v>29</v>
      </c>
      <c r="O25" s="200" t="s">
        <v>29</v>
      </c>
      <c r="P25" s="200" t="s">
        <v>29</v>
      </c>
      <c r="Q25" s="200" t="str">
        <f>IF(AND('A-10'!M73="-",'A-10'!M120="-",'A-10'!M167="-"),"-",SUM('A-10'!M73,'A-10'!M120,'A-10'!M167))</f>
        <v>-</v>
      </c>
      <c r="R25" s="200" t="str">
        <f>IF(AND('A-10'!N73="-",'A-10'!N120="-",'A-10'!N167="-"),"-",SUM('A-10'!N73,'A-10'!N120,'A-10'!N167))</f>
        <v>-</v>
      </c>
      <c r="S25" s="200" t="str">
        <f>IF(AND('A-10'!O73="-",'A-10'!O120="-",'A-10'!O167="-"),"-",SUM('A-10'!O73,'A-10'!O120,'A-10'!O167))</f>
        <v>-</v>
      </c>
      <c r="T25" s="200">
        <f>IF(AND('A-10'!P73="-",'A-10'!P120="-",'A-10'!P167="-"),"-",SUM('A-10'!P73,'A-10'!P120,'A-10'!P167))</f>
        <v>47</v>
      </c>
      <c r="U25" s="200">
        <f>IF(AND('A-10'!Q73="-",'A-10'!Q120="-",'A-10'!Q167="-"),"-",SUM('A-10'!Q73,'A-10'!Q120,'A-10'!Q167))</f>
        <v>11</v>
      </c>
      <c r="V25" s="200">
        <f>IF(AND('A-10'!R73="-",'A-10'!R120="-",'A-10'!R167="-"),"-",SUM('A-10'!R73,'A-10'!R120,'A-10'!R167))</f>
        <v>1</v>
      </c>
      <c r="W25" s="200" t="s">
        <v>29</v>
      </c>
      <c r="X25" s="200">
        <f>IF(AND('A-10'!S73="-",'A-10'!S120="-",'A-10'!S167="-"),"-",SUM('A-10'!S73,'A-10'!S120,'A-10'!S167))</f>
        <v>59</v>
      </c>
    </row>
    <row r="26" spans="1:24" ht="11.25" customHeight="1" x14ac:dyDescent="0.25">
      <c r="A26" s="383">
        <v>1997</v>
      </c>
      <c r="B26" s="200" t="s">
        <v>29</v>
      </c>
      <c r="C26" s="200" t="str">
        <f>IF(AND('A-10'!B74="-",'A-10'!B121="-",'A-10'!B168="-"),"-",SUM('A-10'!B74,'A-10'!B121,'A-10'!B168))</f>
        <v>-</v>
      </c>
      <c r="D26" s="200">
        <f>IF(AND('A-10'!C74="-",'A-10'!C121="-",'A-10'!C168="-"),"-",SUM('A-10'!C74,'A-10'!C121,'A-10'!C168))</f>
        <v>2</v>
      </c>
      <c r="E26" s="200">
        <f>IF(AND('A-10'!D74="-",'A-10'!D121="-",'A-10'!D168="-"),"-",SUM('A-10'!D74,'A-10'!D121,'A-10'!D168))</f>
        <v>80</v>
      </c>
      <c r="F26" s="200">
        <f>IF(AND('A-10'!E74="-",'A-10'!E121="-",'A-10'!E168="-"),"-",SUM('A-10'!E74,'A-10'!E121,'A-10'!E168))</f>
        <v>166</v>
      </c>
      <c r="G26" s="200">
        <f>IF(AND('A-10'!F74="-",'A-10'!F121="-",'A-10'!F168="-"),"-",SUM('A-10'!F74,'A-10'!F121,'A-10'!F168))</f>
        <v>162</v>
      </c>
      <c r="H26" s="200">
        <f>IF(AND('A-10'!G74="-",'A-10'!G121="-",'A-10'!G168="-"),"-",SUM('A-10'!G74,'A-10'!G121,'A-10'!G168))</f>
        <v>1402</v>
      </c>
      <c r="I26" s="200">
        <f>IF(AND('A-10'!H74="-",'A-10'!H121="-",'A-10'!H168="-"),"-",SUM('A-10'!H74,'A-10'!H121,'A-10'!H168))</f>
        <v>309</v>
      </c>
      <c r="J26" s="200">
        <f>IF(AND('A-10'!I74="-",'A-10'!I121="-",'A-10'!I168="-"),"-",SUM('A-10'!I74,'A-10'!I121,'A-10'!I168))</f>
        <v>287</v>
      </c>
      <c r="K26" s="60" t="s">
        <v>116</v>
      </c>
      <c r="L26" s="200">
        <f>IF(AND('A-10'!K74="-",'A-10'!K121="-",'A-10'!K168="-"),"-",SUM('A-10'!K74,'A-10'!K121,'A-10'!K168))</f>
        <v>2408</v>
      </c>
      <c r="N26" s="200" t="s">
        <v>29</v>
      </c>
      <c r="O26" s="200" t="s">
        <v>29</v>
      </c>
      <c r="P26" s="200" t="s">
        <v>29</v>
      </c>
      <c r="Q26" s="200" t="str">
        <f>IF(AND('A-10'!M74="-",'A-10'!M121="-",'A-10'!M168="-"),"-",SUM('A-10'!M74,'A-10'!M121,'A-10'!M168))</f>
        <v>-</v>
      </c>
      <c r="R26" s="200" t="str">
        <f>IF(AND('A-10'!N74="-",'A-10'!N121="-",'A-10'!N168="-"),"-",SUM('A-10'!N74,'A-10'!N121,'A-10'!N168))</f>
        <v>-</v>
      </c>
      <c r="S26" s="200">
        <f>IF(AND('A-10'!O74="-",'A-10'!O121="-",'A-10'!O168="-"),"-",SUM('A-10'!O74,'A-10'!O121,'A-10'!O168))</f>
        <v>8</v>
      </c>
      <c r="T26" s="200">
        <f>IF(AND('A-10'!P74="-",'A-10'!P121="-",'A-10'!P168="-"),"-",SUM('A-10'!P74,'A-10'!P121,'A-10'!P168))</f>
        <v>24</v>
      </c>
      <c r="U26" s="200">
        <f>IF(AND('A-10'!Q74="-",'A-10'!Q121="-",'A-10'!Q168="-"),"-",SUM('A-10'!Q74,'A-10'!Q121,'A-10'!Q168))</f>
        <v>6</v>
      </c>
      <c r="V26" s="200" t="str">
        <f>IF(AND('A-10'!R74="-",'A-10'!R121="-",'A-10'!R168="-"),"-",SUM('A-10'!R74,'A-10'!R121,'A-10'!R168))</f>
        <v>-</v>
      </c>
      <c r="W26" s="200" t="s">
        <v>29</v>
      </c>
      <c r="X26" s="200">
        <f>IF(AND('A-10'!S74="-",'A-10'!S121="-",'A-10'!S168="-"),"-",SUM('A-10'!S74,'A-10'!S121,'A-10'!S168))</f>
        <v>38</v>
      </c>
    </row>
    <row r="27" spans="1:24" ht="11.25" customHeight="1" x14ac:dyDescent="0.25">
      <c r="A27" s="383">
        <v>1998</v>
      </c>
      <c r="B27" s="200" t="s">
        <v>29</v>
      </c>
      <c r="C27" s="200" t="str">
        <f>IF(AND('A-10'!B75="-",'A-10'!B122="-",'A-10'!B169="-"),"-",SUM('A-10'!B75,'A-10'!B122,'A-10'!B169))</f>
        <v>-</v>
      </c>
      <c r="D27" s="200">
        <f>IF(AND('A-10'!C75="-",'A-10'!C122="-",'A-10'!C169="-"),"-",SUM('A-10'!C75,'A-10'!C122,'A-10'!C169))</f>
        <v>0</v>
      </c>
      <c r="E27" s="200">
        <f>IF(AND('A-10'!D75="-",'A-10'!D122="-",'A-10'!D169="-"),"-",SUM('A-10'!D75,'A-10'!D122,'A-10'!D169))</f>
        <v>101</v>
      </c>
      <c r="F27" s="200">
        <f>IF(AND('A-10'!E75="-",'A-10'!E122="-",'A-10'!E169="-"),"-",SUM('A-10'!E75,'A-10'!E122,'A-10'!E169))</f>
        <v>81</v>
      </c>
      <c r="G27" s="200">
        <f>IF(AND('A-10'!F75="-",'A-10'!F122="-",'A-10'!F169="-"),"-",SUM('A-10'!F75,'A-10'!F122,'A-10'!F169))</f>
        <v>173</v>
      </c>
      <c r="H27" s="200">
        <f>IF(AND('A-10'!G75="-",'A-10'!G122="-",'A-10'!G169="-"),"-",SUM('A-10'!G75,'A-10'!G122,'A-10'!G169))</f>
        <v>609</v>
      </c>
      <c r="I27" s="200">
        <f>IF(AND('A-10'!H75="-",'A-10'!H122="-",'A-10'!H169="-"),"-",SUM('A-10'!H75,'A-10'!H122,'A-10'!H169))</f>
        <v>524</v>
      </c>
      <c r="J27" s="200">
        <f>IF(AND('A-10'!I75="-",'A-10'!I122="-",'A-10'!I169="-"),"-",SUM('A-10'!I75,'A-10'!I122,'A-10'!I169))</f>
        <v>531</v>
      </c>
      <c r="K27" s="60" t="s">
        <v>116</v>
      </c>
      <c r="L27" s="200">
        <f>IF(AND('A-10'!K75="-",'A-10'!K122="-",'A-10'!K169="-"),"-",SUM('A-10'!K75,'A-10'!K122,'A-10'!K169))</f>
        <v>2019</v>
      </c>
      <c r="N27" s="200" t="s">
        <v>29</v>
      </c>
      <c r="O27" s="200" t="s">
        <v>29</v>
      </c>
      <c r="P27" s="200" t="s">
        <v>29</v>
      </c>
      <c r="Q27" s="200" t="str">
        <f>IF(AND('A-10'!M75="-",'A-10'!M122="-",'A-10'!M169="-"),"-",SUM('A-10'!M75,'A-10'!M122,'A-10'!M169))</f>
        <v>-</v>
      </c>
      <c r="R27" s="200" t="str">
        <f>IF(AND('A-10'!N75="-",'A-10'!N122="-",'A-10'!N169="-"),"-",SUM('A-10'!N75,'A-10'!N122,'A-10'!N169))</f>
        <v>-</v>
      </c>
      <c r="S27" s="200" t="str">
        <f>IF(AND('A-10'!O75="-",'A-10'!O122="-",'A-10'!O169="-"),"-",SUM('A-10'!O75,'A-10'!O122,'A-10'!O169))</f>
        <v>-</v>
      </c>
      <c r="T27" s="200">
        <f>IF(AND('A-10'!P75="-",'A-10'!P122="-",'A-10'!P169="-"),"-",SUM('A-10'!P75,'A-10'!P122,'A-10'!P169))</f>
        <v>80</v>
      </c>
      <c r="U27" s="200">
        <f>IF(AND('A-10'!Q75="-",'A-10'!Q122="-",'A-10'!Q169="-"),"-",SUM('A-10'!Q75,'A-10'!Q122,'A-10'!Q169))</f>
        <v>11</v>
      </c>
      <c r="V27" s="200">
        <f>IF(AND('A-10'!R75="-",'A-10'!R122="-",'A-10'!R169="-"),"-",SUM('A-10'!R75,'A-10'!R122,'A-10'!R169))</f>
        <v>2</v>
      </c>
      <c r="W27" s="200" t="s">
        <v>29</v>
      </c>
      <c r="X27" s="200">
        <f>IF(AND('A-10'!S75="-",'A-10'!S122="-",'A-10'!S169="-"),"-",SUM('A-10'!S75,'A-10'!S122,'A-10'!S169))</f>
        <v>93</v>
      </c>
    </row>
    <row r="28" spans="1:24" ht="11.25" customHeight="1" x14ac:dyDescent="0.25">
      <c r="A28" s="383">
        <v>1999</v>
      </c>
      <c r="B28" s="200" t="s">
        <v>29</v>
      </c>
      <c r="C28" s="200" t="str">
        <f>IF(AND('A-10'!B76="-",'A-10'!B123="-",'A-10'!B170="-"),"-",SUM('A-10'!B76,'A-10'!B123,'A-10'!B170))</f>
        <v>-</v>
      </c>
      <c r="D28" s="200">
        <f>IF(AND('A-10'!C76="-",'A-10'!C123="-",'A-10'!C170="-"),"-",SUM('A-10'!C76,'A-10'!C123,'A-10'!C170))</f>
        <v>0</v>
      </c>
      <c r="E28" s="200">
        <f>IF(AND('A-10'!D76="-",'A-10'!D123="-",'A-10'!D170="-"),"-",SUM('A-10'!D76,'A-10'!D123,'A-10'!D170))</f>
        <v>129</v>
      </c>
      <c r="F28" s="200">
        <f>IF(AND('A-10'!E76="-",'A-10'!E123="-",'A-10'!E170="-"),"-",SUM('A-10'!E76,'A-10'!E123,'A-10'!E170))</f>
        <v>233</v>
      </c>
      <c r="G28" s="200">
        <f>IF(AND('A-10'!F76="-",'A-10'!F123="-",'A-10'!F170="-"),"-",SUM('A-10'!F76,'A-10'!F123,'A-10'!F170))</f>
        <v>1327</v>
      </c>
      <c r="H28" s="200">
        <f>IF(AND('A-10'!G76="-",'A-10'!G123="-",'A-10'!G170="-"),"-",SUM('A-10'!G76,'A-10'!G123,'A-10'!G170))</f>
        <v>412</v>
      </c>
      <c r="I28" s="200">
        <f>IF(AND('A-10'!H76="-",'A-10'!H123="-",'A-10'!H170="-"),"-",SUM('A-10'!H76,'A-10'!H123,'A-10'!H170))</f>
        <v>704</v>
      </c>
      <c r="J28" s="200">
        <f>IF(AND('A-10'!I76="-",'A-10'!I123="-",'A-10'!I170="-"),"-",SUM('A-10'!I76,'A-10'!I123,'A-10'!I170))</f>
        <v>527</v>
      </c>
      <c r="K28" s="200">
        <f>IF(AND('A-10'!J76="-",'A-10'!J123="-",'A-10'!J170="-"),"-",SUM('A-10'!J76,'A-10'!J123,'A-10'!J170))</f>
        <v>8</v>
      </c>
      <c r="L28" s="200">
        <f>IF(AND('A-10'!K76="-",'A-10'!K123="-",'A-10'!K170="-"),"-",SUM('A-10'!K76,'A-10'!K123,'A-10'!K170))</f>
        <v>3340</v>
      </c>
      <c r="N28" s="200" t="s">
        <v>29</v>
      </c>
      <c r="O28" s="200" t="s">
        <v>29</v>
      </c>
      <c r="P28" s="200" t="s">
        <v>29</v>
      </c>
      <c r="Q28" s="200" t="str">
        <f>IF(AND('A-10'!M76="-",'A-10'!M123="-",'A-10'!M170="-"),"-",SUM('A-10'!M76,'A-10'!M123,'A-10'!M170))</f>
        <v>-</v>
      </c>
      <c r="R28" s="200" t="str">
        <f>IF(AND('A-10'!N76="-",'A-10'!N123="-",'A-10'!N170="-"),"-",SUM('A-10'!N76,'A-10'!N123,'A-10'!N170))</f>
        <v>-</v>
      </c>
      <c r="S28" s="200">
        <f>IF(AND('A-10'!O76="-",'A-10'!O123="-",'A-10'!O170="-"),"-",SUM('A-10'!O76,'A-10'!O123,'A-10'!O170))</f>
        <v>6031</v>
      </c>
      <c r="T28" s="200">
        <f>IF(AND('A-10'!P76="-",'A-10'!P123="-",'A-10'!P170="-"),"-",SUM('A-10'!P76,'A-10'!P123,'A-10'!P170))</f>
        <v>2</v>
      </c>
      <c r="U28" s="200">
        <f>IF(AND('A-10'!Q76="-",'A-10'!Q123="-",'A-10'!Q170="-"),"-",SUM('A-10'!Q76,'A-10'!Q123,'A-10'!Q170))</f>
        <v>11</v>
      </c>
      <c r="V28" s="200">
        <f>IF(AND('A-10'!R76="-",'A-10'!R123="-",'A-10'!R170="-"),"-",SUM('A-10'!R76,'A-10'!R123,'A-10'!R170))</f>
        <v>2</v>
      </c>
      <c r="W28" s="200" t="s">
        <v>29</v>
      </c>
      <c r="X28" s="200">
        <f>IF(AND('A-10'!S76="-",'A-10'!S123="-",'A-10'!S170="-"),"-",SUM('A-10'!S76,'A-10'!S123,'A-10'!S170))</f>
        <v>6046</v>
      </c>
    </row>
    <row r="29" spans="1:24" ht="11.25" customHeight="1" x14ac:dyDescent="0.25">
      <c r="A29" s="383">
        <v>2000</v>
      </c>
      <c r="B29" s="200" t="s">
        <v>29</v>
      </c>
      <c r="C29" s="200" t="str">
        <f>IF(AND('A-10'!B77="-",'A-10'!B124="-",'A-10'!B171="-"),"-",SUM('A-10'!B77,'A-10'!B124,'A-10'!B171))</f>
        <v>-</v>
      </c>
      <c r="D29" s="200">
        <f>IF(AND('A-10'!C77="-",'A-10'!C124="-",'A-10'!C171="-"),"-",SUM('A-10'!C77,'A-10'!C124,'A-10'!C171))</f>
        <v>4</v>
      </c>
      <c r="E29" s="200">
        <f>IF(AND('A-10'!D77="-",'A-10'!D124="-",'A-10'!D171="-"),"-",SUM('A-10'!D77,'A-10'!D124,'A-10'!D171))</f>
        <v>63</v>
      </c>
      <c r="F29" s="200">
        <f>IF(AND('A-10'!E77="-",'A-10'!E124="-",'A-10'!E171="-"),"-",SUM('A-10'!E77,'A-10'!E124,'A-10'!E171))</f>
        <v>43</v>
      </c>
      <c r="G29" s="200">
        <f>IF(AND('A-10'!F77="-",'A-10'!F124="-",'A-10'!F171="-"),"-",SUM('A-10'!F77,'A-10'!F124,'A-10'!F171))</f>
        <v>7966</v>
      </c>
      <c r="H29" s="200">
        <f>IF(AND('A-10'!G77="-",'A-10'!G124="-",'A-10'!G171="-"),"-",SUM('A-10'!G77,'A-10'!G124,'A-10'!G171))</f>
        <v>3040</v>
      </c>
      <c r="I29" s="200">
        <f>IF(AND('A-10'!H77="-",'A-10'!H124="-",'A-10'!H171="-"),"-",SUM('A-10'!H77,'A-10'!H124,'A-10'!H171))</f>
        <v>1264</v>
      </c>
      <c r="J29" s="200">
        <f>IF(AND('A-10'!I77="-",'A-10'!I124="-",'A-10'!I171="-"),"-",SUM('A-10'!I77,'A-10'!I124,'A-10'!I171))</f>
        <v>435</v>
      </c>
      <c r="K29" s="200">
        <f>IF(AND('A-10'!J77="-",'A-10'!J124="-",'A-10'!J171="-"),"-",SUM('A-10'!J77,'A-10'!J124,'A-10'!J171))</f>
        <v>63</v>
      </c>
      <c r="L29" s="200">
        <f>IF(AND('A-10'!K77="-",'A-10'!K124="-",'A-10'!K171="-"),"-",SUM('A-10'!K77,'A-10'!K124,'A-10'!K171))</f>
        <v>12878</v>
      </c>
      <c r="N29" s="200" t="s">
        <v>29</v>
      </c>
      <c r="O29" s="200" t="s">
        <v>29</v>
      </c>
      <c r="P29" s="200" t="s">
        <v>29</v>
      </c>
      <c r="Q29" s="200" t="str">
        <f>IF(AND('A-10'!M77="-",'A-10'!M124="-",'A-10'!M171="-"),"-",SUM('A-10'!M77,'A-10'!M124,'A-10'!M171))</f>
        <v>-</v>
      </c>
      <c r="R29" s="200" t="str">
        <f>IF(AND('A-10'!N77="-",'A-10'!N124="-",'A-10'!N171="-"),"-",SUM('A-10'!N77,'A-10'!N124,'A-10'!N171))</f>
        <v>-</v>
      </c>
      <c r="S29" s="200">
        <f>IF(AND('A-10'!O77="-",'A-10'!O124="-",'A-10'!O171="-"),"-",SUM('A-10'!O77,'A-10'!O124,'A-10'!O171))</f>
        <v>19316</v>
      </c>
      <c r="T29" s="200">
        <f>IF(AND('A-10'!P77="-",'A-10'!P124="-",'A-10'!P171="-"),"-",SUM('A-10'!P77,'A-10'!P124,'A-10'!P171))</f>
        <v>57</v>
      </c>
      <c r="U29" s="200">
        <f>IF(AND('A-10'!Q77="-",'A-10'!Q124="-",'A-10'!Q171="-"),"-",SUM('A-10'!Q77,'A-10'!Q124,'A-10'!Q171))</f>
        <v>20</v>
      </c>
      <c r="V29" s="200">
        <f>IF(AND('A-10'!R77="-",'A-10'!R124="-",'A-10'!R171="-"),"-",SUM('A-10'!R77,'A-10'!R124,'A-10'!R171))</f>
        <v>8</v>
      </c>
      <c r="W29" s="200" t="s">
        <v>29</v>
      </c>
      <c r="X29" s="200">
        <f>IF(AND('A-10'!S77="-",'A-10'!S124="-",'A-10'!S171="-"),"-",SUM('A-10'!S77,'A-10'!S124,'A-10'!S171))</f>
        <v>19401</v>
      </c>
    </row>
    <row r="30" spans="1:24" ht="11.25" customHeight="1" x14ac:dyDescent="0.25">
      <c r="A30" s="383">
        <v>2001</v>
      </c>
      <c r="B30" s="200" t="s">
        <v>29</v>
      </c>
      <c r="C30" s="200" t="str">
        <f>IF(AND('A-10'!B78="-",'A-10'!B125="-",'A-10'!B172="-"),"-",SUM('A-10'!B78,'A-10'!B125,'A-10'!B172))</f>
        <v>-</v>
      </c>
      <c r="D30" s="200">
        <f>IF(AND('A-10'!C78="-",'A-10'!C125="-",'A-10'!C172="-"),"-",SUM('A-10'!C78,'A-10'!C125,'A-10'!C172))</f>
        <v>0</v>
      </c>
      <c r="E30" s="200">
        <f>IF(AND('A-10'!D78="-",'A-10'!D125="-",'A-10'!D172="-"),"-",SUM('A-10'!D78,'A-10'!D125,'A-10'!D172))</f>
        <v>217</v>
      </c>
      <c r="F30" s="200">
        <f>IF(AND('A-10'!E78="-",'A-10'!E125="-",'A-10'!E172="-"),"-",SUM('A-10'!E78,'A-10'!E125,'A-10'!E172))</f>
        <v>2038</v>
      </c>
      <c r="G30" s="200">
        <f>IF(AND('A-10'!F78="-",'A-10'!F125="-",'A-10'!F172="-"),"-",SUM('A-10'!F78,'A-10'!F125,'A-10'!F172))</f>
        <v>7816</v>
      </c>
      <c r="H30" s="200">
        <f>IF(AND('A-10'!G78="-",'A-10'!G125="-",'A-10'!G172="-"),"-",SUM('A-10'!G78,'A-10'!G125,'A-10'!G172))</f>
        <v>4721</v>
      </c>
      <c r="I30" s="200">
        <f>IF(AND('A-10'!H78="-",'A-10'!H125="-",'A-10'!H172="-"),"-",SUM('A-10'!H78,'A-10'!H125,'A-10'!H172))</f>
        <v>1965</v>
      </c>
      <c r="J30" s="200">
        <f>IF(AND('A-10'!I78="-",'A-10'!I125="-",'A-10'!I172="-"),"-",SUM('A-10'!I78,'A-10'!I125,'A-10'!I172))</f>
        <v>594</v>
      </c>
      <c r="K30" s="200">
        <f>IF(AND('A-10'!J78="-",'A-10'!J125="-",'A-10'!J172="-"),"-",SUM('A-10'!J78,'A-10'!J125,'A-10'!J172))</f>
        <v>23</v>
      </c>
      <c r="L30" s="200"/>
      <c r="N30" s="200" t="s">
        <v>29</v>
      </c>
      <c r="O30" s="200" t="s">
        <v>29</v>
      </c>
      <c r="P30" s="200" t="s">
        <v>29</v>
      </c>
      <c r="Q30" s="200">
        <f>IF(AND('A-10'!M78="-",'A-10'!M125="-",'A-10'!M172="-"),"-",SUM('A-10'!M78,'A-10'!M125,'A-10'!M172))</f>
        <v>21</v>
      </c>
      <c r="R30" s="200">
        <f>IF(AND('A-10'!N78="-",'A-10'!N125="-",'A-10'!N172="-"),"-",SUM('A-10'!N78,'A-10'!N125,'A-10'!N172))</f>
        <v>17671</v>
      </c>
      <c r="S30" s="200">
        <f>IF(AND('A-10'!O78="-",'A-10'!O125="-",'A-10'!O172="-"),"-",SUM('A-10'!O78,'A-10'!O125,'A-10'!O172))</f>
        <v>37093</v>
      </c>
      <c r="T30" s="200">
        <f>IF(AND('A-10'!P78="-",'A-10'!P125="-",'A-10'!P172="-"),"-",SUM('A-10'!P78,'A-10'!P125,'A-10'!P172))</f>
        <v>205</v>
      </c>
      <c r="U30" s="200">
        <f>IF(AND('A-10'!Q78="-",'A-10'!Q125="-",'A-10'!Q172="-"),"-",SUM('A-10'!Q78,'A-10'!Q125,'A-10'!Q172))</f>
        <v>76</v>
      </c>
      <c r="V30" s="200">
        <f>IF(AND('A-10'!R78="-",'A-10'!R125="-",'A-10'!R172="-"),"-",SUM('A-10'!R78,'A-10'!R125,'A-10'!R172))</f>
        <v>22</v>
      </c>
      <c r="W30" s="200" t="s">
        <v>29</v>
      </c>
      <c r="X30" s="200">
        <f>IF(AND('A-10'!S78="-",'A-10'!S125="-",'A-10'!S172="-"),"-",SUM('A-10'!S78,'A-10'!S125,'A-10'!S172))</f>
        <v>55088</v>
      </c>
    </row>
    <row r="31" spans="1:24" ht="11.25" customHeight="1" x14ac:dyDescent="0.25">
      <c r="A31" s="383">
        <v>2002</v>
      </c>
      <c r="B31" s="200" t="s">
        <v>29</v>
      </c>
      <c r="C31" s="200" t="str">
        <f>IF(AND('A-10'!B79="-",'A-10'!B126="-",'A-10'!B173="-"),"-",SUM('A-10'!B79,'A-10'!B126,'A-10'!B173))</f>
        <v>-</v>
      </c>
      <c r="D31" s="200">
        <f>IF(AND('A-10'!C79="-",'A-10'!C126="-",'A-10'!C173="-"),"-",SUM('A-10'!C79,'A-10'!C126,'A-10'!C173))</f>
        <v>155</v>
      </c>
      <c r="E31" s="200">
        <f>IF(AND('A-10'!D79="-",'A-10'!D126="-",'A-10'!D173="-"),"-",SUM('A-10'!D79,'A-10'!D126,'A-10'!D173))</f>
        <v>330</v>
      </c>
      <c r="F31" s="200">
        <f>IF(AND('A-10'!E79="-",'A-10'!E126="-",'A-10'!E173="-"),"-",SUM('A-10'!E79,'A-10'!E126,'A-10'!E173))</f>
        <v>5144</v>
      </c>
      <c r="G31" s="200">
        <f>IF(AND('A-10'!F79="-",'A-10'!F126="-",'A-10'!F173="-"),"-",SUM('A-10'!F79,'A-10'!F126,'A-10'!F173))</f>
        <v>16609</v>
      </c>
      <c r="H31" s="200">
        <f>IF(AND('A-10'!G79="-",'A-10'!G126="-",'A-10'!G173="-"),"-",SUM('A-10'!G79,'A-10'!G126,'A-10'!G173))</f>
        <v>5995</v>
      </c>
      <c r="I31" s="200">
        <f>IF(AND('A-10'!H79="-",'A-10'!H126="-",'A-10'!H173="-"),"-",SUM('A-10'!H79,'A-10'!H126,'A-10'!H173))</f>
        <v>3923</v>
      </c>
      <c r="J31" s="200">
        <f>IF(AND('A-10'!I79="-",'A-10'!I126="-",'A-10'!I173="-"),"-",SUM('A-10'!I79,'A-10'!I126,'A-10'!I173))</f>
        <v>2636</v>
      </c>
      <c r="K31" s="200">
        <f>IF(AND('A-10'!J79="-",'A-10'!J126="-",'A-10'!J173="-"),"-",SUM('A-10'!J79,'A-10'!J126,'A-10'!J173))</f>
        <v>0</v>
      </c>
      <c r="L31" s="200">
        <f>IF(AND('A-10'!K79="-",'A-10'!K126="-",'A-10'!K173="-"),"-",SUM('A-10'!K79,'A-10'!K126,'A-10'!K173))</f>
        <v>34792</v>
      </c>
      <c r="N31" s="200" t="s">
        <v>29</v>
      </c>
      <c r="O31" s="200" t="s">
        <v>29</v>
      </c>
      <c r="P31" s="200" t="s">
        <v>29</v>
      </c>
      <c r="Q31" s="200" t="str">
        <f>IF(AND('A-10'!M79="-",'A-10'!M126="-",'A-10'!M173="-"),"-",SUM('A-10'!M79,'A-10'!M126,'A-10'!M173))</f>
        <v>-</v>
      </c>
      <c r="R31" s="200">
        <f>IF(AND('A-10'!N79="-",'A-10'!N126="-",'A-10'!N173="-"),"-",SUM('A-10'!N79,'A-10'!N126,'A-10'!N173))</f>
        <v>35</v>
      </c>
      <c r="S31" s="200">
        <f>IF(AND('A-10'!O79="-",'A-10'!O126="-",'A-10'!O173="-"),"-",SUM('A-10'!O79,'A-10'!O126,'A-10'!O173))</f>
        <v>19701</v>
      </c>
      <c r="T31" s="200">
        <f>IF(AND('A-10'!P79="-",'A-10'!P126="-",'A-10'!P173="-"),"-",SUM('A-10'!P79,'A-10'!P126,'A-10'!P173))</f>
        <v>2163</v>
      </c>
      <c r="U31" s="200">
        <f>IF(AND('A-10'!Q79="-",'A-10'!Q126="-",'A-10'!Q173="-"),"-",SUM('A-10'!Q79,'A-10'!Q126,'A-10'!Q173))</f>
        <v>103</v>
      </c>
      <c r="V31" s="200">
        <f>IF(AND('A-10'!R79="-",'A-10'!R126="-",'A-10'!R173="-"),"-",SUM('A-10'!R79,'A-10'!R126,'A-10'!R173))</f>
        <v>24</v>
      </c>
      <c r="W31" s="200" t="s">
        <v>29</v>
      </c>
      <c r="X31" s="200">
        <f>IF(AND('A-10'!S79="-",'A-10'!S126="-",'A-10'!S173="-"),"-",SUM('A-10'!S79,'A-10'!S126,'A-10'!S173))</f>
        <v>22026</v>
      </c>
    </row>
    <row r="32" spans="1:24" ht="11.25" customHeight="1" x14ac:dyDescent="0.25">
      <c r="A32" s="383">
        <v>2003</v>
      </c>
      <c r="B32" s="200" t="s">
        <v>29</v>
      </c>
      <c r="C32" s="200">
        <f>IF(AND('A-10'!B80="-",'A-10'!B127="-",'A-10'!B174="-"),"-",SUM('A-10'!B80,'A-10'!B127,'A-10'!B174))</f>
        <v>2</v>
      </c>
      <c r="D32" s="200">
        <f>IF(AND('A-10'!C80="-",'A-10'!C127="-",'A-10'!C174="-"),"-",SUM('A-10'!C80,'A-10'!C127,'A-10'!C174))</f>
        <v>22</v>
      </c>
      <c r="E32" s="200">
        <f>IF(AND('A-10'!D80="-",'A-10'!D127="-",'A-10'!D174="-"),"-",SUM('A-10'!D80,'A-10'!D127,'A-10'!D174))</f>
        <v>268</v>
      </c>
      <c r="F32" s="200">
        <f>IF(AND('A-10'!E80="-",'A-10'!E127="-",'A-10'!E174="-"),"-",SUM('A-10'!E80,'A-10'!E127,'A-10'!E174))</f>
        <v>2936</v>
      </c>
      <c r="G32" s="200">
        <f>IF(AND('A-10'!F80="-",'A-10'!F127="-",'A-10'!F174="-"),"-",SUM('A-10'!F80,'A-10'!F127,'A-10'!F174))</f>
        <v>15116</v>
      </c>
      <c r="H32" s="200">
        <f>IF(AND('A-10'!G80="-",'A-10'!G127="-",'A-10'!G174="-"),"-",SUM('A-10'!G80,'A-10'!G127,'A-10'!G174))</f>
        <v>9235</v>
      </c>
      <c r="I32" s="200">
        <f>IF(AND('A-10'!H80="-",'A-10'!H127="-",'A-10'!H174="-"),"-",SUM('A-10'!H80,'A-10'!H127,'A-10'!H174))</f>
        <v>3960</v>
      </c>
      <c r="J32" s="200">
        <f>IF(AND('A-10'!I80="-",'A-10'!I127="-",'A-10'!I174="-"),"-",SUM('A-10'!I80,'A-10'!I127,'A-10'!I174))</f>
        <v>1273</v>
      </c>
      <c r="K32" s="200">
        <f>IF(AND('A-10'!J80="-",'A-10'!J127="-",'A-10'!J174="-"),"-",SUM('A-10'!J80,'A-10'!J127,'A-10'!J174))</f>
        <v>64</v>
      </c>
      <c r="L32" s="200">
        <f>IF(AND('A-10'!K80="-",'A-10'!K127="-",'A-10'!K174="-"),"-",SUM('A-10'!K80,'A-10'!K127,'A-10'!K174))</f>
        <v>32876</v>
      </c>
      <c r="N32" s="200" t="s">
        <v>29</v>
      </c>
      <c r="O32" s="200" t="s">
        <v>29</v>
      </c>
      <c r="P32" s="200" t="s">
        <v>29</v>
      </c>
      <c r="Q32" s="200">
        <f>IF(AND('A-10'!M80="-",'A-10'!M127="-",'A-10'!M174="-"),"-",SUM('A-10'!M80,'A-10'!M127,'A-10'!M174))</f>
        <v>2</v>
      </c>
      <c r="R32" s="200">
        <f>IF(AND('A-10'!N80="-",'A-10'!N127="-",'A-10'!N174="-"),"-",SUM('A-10'!N80,'A-10'!N127,'A-10'!N174))</f>
        <v>7578</v>
      </c>
      <c r="S32" s="200">
        <f>IF(AND('A-10'!O80="-",'A-10'!O127="-",'A-10'!O174="-"),"-",SUM('A-10'!O80,'A-10'!O127,'A-10'!O174))</f>
        <v>50861</v>
      </c>
      <c r="T32" s="200">
        <f>IF(AND('A-10'!P80="-",'A-10'!P127="-",'A-10'!P174="-"),"-",SUM('A-10'!P80,'A-10'!P127,'A-10'!P174))</f>
        <v>25318</v>
      </c>
      <c r="U32" s="200">
        <f>IF(AND('A-10'!Q80="-",'A-10'!Q127="-",'A-10'!Q174="-"),"-",SUM('A-10'!Q80,'A-10'!Q127,'A-10'!Q174))</f>
        <v>64</v>
      </c>
      <c r="V32" s="198">
        <f>IF(AND('A-10'!R80="-",'A-10'!R127="-",'A-10'!R174="-"),"-",SUM('A-10'!R80,'A-10'!R127,'A-10'!R174))</f>
        <v>14</v>
      </c>
      <c r="W32" s="198" t="s">
        <v>29</v>
      </c>
      <c r="X32" s="200">
        <f>IF(AND('A-10'!S80="-",'A-10'!S127="-",'A-10'!S174="-"),"-",SUM('A-10'!S80,'A-10'!S127,'A-10'!S174))</f>
        <v>83837</v>
      </c>
    </row>
    <row r="33" spans="1:27" ht="11.25" customHeight="1" x14ac:dyDescent="0.25">
      <c r="A33" s="383">
        <v>2004</v>
      </c>
      <c r="B33" s="200" t="s">
        <v>29</v>
      </c>
      <c r="C33" s="200">
        <f>IF(AND('A-10'!B81="-",'A-10'!B128="-",'A-10'!B175="-"),"-",SUM('A-10'!B81,'A-10'!B128,'A-10'!B175))</f>
        <v>2</v>
      </c>
      <c r="D33" s="200">
        <f>IF(AND('A-10'!C81="-",'A-10'!C128="-",'A-10'!C175="-"),"-",SUM('A-10'!C81,'A-10'!C128,'A-10'!C175))</f>
        <v>24</v>
      </c>
      <c r="E33" s="200">
        <f>IF(AND('A-10'!D81="-",'A-10'!D128="-",'A-10'!D175="-"),"-",SUM('A-10'!D81,'A-10'!D128,'A-10'!D175))</f>
        <v>315</v>
      </c>
      <c r="F33" s="200">
        <f>IF(AND('A-10'!E81="-",'A-10'!E128="-",'A-10'!E175="-"),"-",SUM('A-10'!E81,'A-10'!E128,'A-10'!E175))</f>
        <v>3904</v>
      </c>
      <c r="G33" s="200">
        <f>IF(AND('A-10'!F81="-",'A-10'!F128="-",'A-10'!F175="-"),"-",SUM('A-10'!F81,'A-10'!F128,'A-10'!F175))</f>
        <v>21493</v>
      </c>
      <c r="H33" s="200">
        <f>IF(AND('A-10'!G81="-",'A-10'!G128="-",'A-10'!G175="-"),"-",SUM('A-10'!G81,'A-10'!G128,'A-10'!G175))</f>
        <v>14646</v>
      </c>
      <c r="I33" s="200">
        <f>IF(AND('A-10'!H81="-",'A-10'!H128="-",'A-10'!H175="-"),"-",SUM('A-10'!H81,'A-10'!H128,'A-10'!H175))</f>
        <v>5053</v>
      </c>
      <c r="J33" s="200">
        <f>IF(AND('A-10'!I81="-",'A-10'!I128="-",'A-10'!I175="-"),"-",SUM('A-10'!I81,'A-10'!I128,'A-10'!I175))</f>
        <v>1907</v>
      </c>
      <c r="K33" s="200">
        <f>IF(AND('A-10'!J81="-",'A-10'!J128="-",'A-10'!J175="-"),"-",SUM('A-10'!J81,'A-10'!J128,'A-10'!J175))</f>
        <v>69</v>
      </c>
      <c r="L33" s="200">
        <f>IF(AND('A-10'!K81="-",'A-10'!K128="-",'A-10'!K175="-"),"-",SUM('A-10'!K81,'A-10'!K128,'A-10'!K175))</f>
        <v>47413</v>
      </c>
      <c r="N33" s="200" t="s">
        <v>29</v>
      </c>
      <c r="O33" s="200" t="s">
        <v>29</v>
      </c>
      <c r="P33" s="200" t="s">
        <v>29</v>
      </c>
      <c r="Q33" s="200">
        <f>IF(AND('A-10'!M81="-",'A-10'!M128="-",'A-10'!M175="-"),"-",SUM('A-10'!M81,'A-10'!M128,'A-10'!M175))</f>
        <v>2</v>
      </c>
      <c r="R33" s="200">
        <f>IF(AND('A-10'!N81="-",'A-10'!N128="-",'A-10'!N175="-"),"-",SUM('A-10'!N81,'A-10'!N128,'A-10'!N175))</f>
        <v>4955</v>
      </c>
      <c r="S33" s="200">
        <f>IF(AND('A-10'!O81="-",'A-10'!O128="-",'A-10'!O175="-"),"-",SUM('A-10'!O81,'A-10'!O128,'A-10'!O175))</f>
        <v>30949</v>
      </c>
      <c r="T33" s="200">
        <f>IF(AND('A-10'!P81="-",'A-10'!P128="-",'A-10'!P175="-"),"-",SUM('A-10'!P81,'A-10'!P128,'A-10'!P175))</f>
        <v>11667</v>
      </c>
      <c r="U33" s="200">
        <f>IF(AND('A-10'!Q81="-",'A-10'!Q128="-",'A-10'!Q175="-"),"-",SUM('A-10'!Q81,'A-10'!Q128,'A-10'!Q175))</f>
        <v>466</v>
      </c>
      <c r="V33" s="198">
        <f>IF(AND('A-10'!R81="-",'A-10'!R128="-",'A-10'!R175="-"),"-",SUM('A-10'!R81,'A-10'!R128,'A-10'!R175))</f>
        <v>23</v>
      </c>
      <c r="W33" s="198" t="s">
        <v>29</v>
      </c>
      <c r="X33" s="200">
        <f>IF(AND('A-10'!S81="-",'A-10'!S128="-",'A-10'!S175="-"),"-",SUM('A-10'!S81,'A-10'!S128,'A-10'!S175))</f>
        <v>48062</v>
      </c>
    </row>
    <row r="34" spans="1:27" ht="11.25" customHeight="1" x14ac:dyDescent="0.25">
      <c r="A34" s="402">
        <v>2005</v>
      </c>
      <c r="B34" s="203" t="s">
        <v>29</v>
      </c>
      <c r="C34" s="203">
        <f>IF(AND('A-10'!B82="-",'A-10'!B129="-",'A-10'!B176="-"),"-",SUM('A-10'!B82,'A-10'!B129,'A-10'!B176))</f>
        <v>6</v>
      </c>
      <c r="D34" s="203">
        <f>IF(AND('A-10'!C82="-",'A-10'!C129="-",'A-10'!C176="-"),"-",SUM('A-10'!C82,'A-10'!C129,'A-10'!C176))</f>
        <v>104</v>
      </c>
      <c r="E34" s="203">
        <f>IF(AND('A-10'!D82="-",'A-10'!D129="-",'A-10'!D176="-"),"-",SUM('A-10'!D82,'A-10'!D129,'A-10'!D176))</f>
        <v>201</v>
      </c>
      <c r="F34" s="203">
        <f>IF(AND('A-10'!E82="-",'A-10'!E129="-",'A-10'!E176="-"),"-",SUM('A-10'!E82,'A-10'!E129,'A-10'!E176))</f>
        <v>3696</v>
      </c>
      <c r="G34" s="203">
        <f>IF(AND('A-10'!F82="-",'A-10'!F129="-",'A-10'!F176="-"),"-",SUM('A-10'!F82,'A-10'!F129,'A-10'!F176))</f>
        <v>4228</v>
      </c>
      <c r="H34" s="203">
        <f>IF(AND('A-10'!G82="-",'A-10'!G129="-",'A-10'!G176="-"),"-",SUM('A-10'!G82,'A-10'!G129,'A-10'!G176))</f>
        <v>4564</v>
      </c>
      <c r="I34" s="203">
        <f>IF(AND('A-10'!H82="-",'A-10'!H129="-",'A-10'!H176="-"),"-",SUM('A-10'!H82,'A-10'!H129,'A-10'!H176))</f>
        <v>5524</v>
      </c>
      <c r="J34" s="203">
        <f>IF(AND('A-10'!I82="-",'A-10'!I129="-",'A-10'!I176="-"),"-",SUM('A-10'!I82,'A-10'!I129,'A-10'!I176))</f>
        <v>280</v>
      </c>
      <c r="K34" s="203">
        <f>IF(AND('A-10'!J82="-",'A-10'!J129="-",'A-10'!J176="-"),"-",SUM('A-10'!J82,'A-10'!J129,'A-10'!J176))</f>
        <v>0</v>
      </c>
      <c r="L34" s="203">
        <f>IF(AND('A-10'!K82="-",'A-10'!K129="-",'A-10'!K176="-"),"-",SUM('A-10'!K82,'A-10'!K129,'A-10'!K176))</f>
        <v>18603</v>
      </c>
      <c r="M34" s="197"/>
      <c r="N34" s="203" t="s">
        <v>29</v>
      </c>
      <c r="O34" s="203" t="s">
        <v>29</v>
      </c>
      <c r="P34" s="203" t="s">
        <v>29</v>
      </c>
      <c r="Q34" s="203" t="str">
        <f>IF(AND('A-10'!M82="-",'A-10'!M129="-",'A-10'!M176="-"),"-",SUM('A-10'!M82,'A-10'!M129,'A-10'!M176))</f>
        <v>-</v>
      </c>
      <c r="R34" s="203">
        <f>IF(AND('A-10'!N82="-",'A-10'!N129="-",'A-10'!N176="-"),"-",SUM('A-10'!N82,'A-10'!N129,'A-10'!N176))</f>
        <v>2064</v>
      </c>
      <c r="S34" s="203">
        <f>IF(AND('A-10'!O82="-",'A-10'!O129="-",'A-10'!O176="-"),"-",SUM('A-10'!O82,'A-10'!O129,'A-10'!O176))</f>
        <v>1422</v>
      </c>
      <c r="T34" s="203">
        <f>IF(AND('A-10'!P82="-",'A-10'!P129="-",'A-10'!P176="-"),"-",SUM('A-10'!P82,'A-10'!P129,'A-10'!P176))</f>
        <v>37</v>
      </c>
      <c r="U34" s="203">
        <f>IF(AND('A-10'!Q82="-",'A-10'!Q129="-",'A-10'!Q176="-"),"-",SUM('A-10'!Q82,'A-10'!Q129,'A-10'!Q176))</f>
        <v>107</v>
      </c>
      <c r="V34" s="199" t="str">
        <f>IF(AND('A-10'!R82="-",'A-10'!R129="-",'A-10'!R176="-"),"-",SUM('A-10'!R82,'A-10'!R129,'A-10'!R176))</f>
        <v>-</v>
      </c>
      <c r="W34" s="199" t="s">
        <v>29</v>
      </c>
      <c r="X34" s="203">
        <f>IF(AND('A-10'!S82="-",'A-10'!S129="-",'A-10'!S176="-"),"-",SUM('A-10'!S82,'A-10'!S129,'A-10'!S176))</f>
        <v>3630</v>
      </c>
    </row>
    <row r="35" spans="1:27" ht="11.25" customHeight="1" x14ac:dyDescent="0.25">
      <c r="A35" s="383">
        <v>2006</v>
      </c>
      <c r="B35" s="200" t="s">
        <v>29</v>
      </c>
      <c r="C35" s="200">
        <f>IF(AND('A-10'!B83="-",'A-10'!B130="-",'A-10'!B177="-"),"-",SUM('A-10'!B83,'A-10'!B130,'A-10'!B177))</f>
        <v>2</v>
      </c>
      <c r="D35" s="200">
        <f>IF(AND('A-10'!C83="-",'A-10'!C130="-",'A-10'!C177="-"),"-",SUM('A-10'!C83,'A-10'!C130,'A-10'!C177))</f>
        <v>4</v>
      </c>
      <c r="E35" s="200">
        <f>IF(AND('A-10'!D83="-",'A-10'!D130="-",'A-10'!D177="-"),"-",SUM('A-10'!D83,'A-10'!D130,'A-10'!D177))</f>
        <v>68</v>
      </c>
      <c r="F35" s="200">
        <f>IF(AND('A-10'!E83="-",'A-10'!E130="-",'A-10'!E177="-"),"-",SUM('A-10'!E83,'A-10'!E130,'A-10'!E177))</f>
        <v>540</v>
      </c>
      <c r="G35" s="200">
        <f>IF(AND('A-10'!F83="-",'A-10'!F130="-",'A-10'!F177="-"),"-",SUM('A-10'!F83,'A-10'!F130,'A-10'!F177))</f>
        <v>3755</v>
      </c>
      <c r="H35" s="200">
        <f>IF(AND('A-10'!G83="-",'A-10'!G130="-",'A-10'!G177="-"),"-",SUM('A-10'!G83,'A-10'!G130,'A-10'!G177))</f>
        <v>982</v>
      </c>
      <c r="I35" s="200">
        <f>IF(AND('A-10'!H83="-",'A-10'!H130="-",'A-10'!H177="-"),"-",SUM('A-10'!H83,'A-10'!H130,'A-10'!H177))</f>
        <v>1863</v>
      </c>
      <c r="J35" s="200">
        <f>IF(AND('A-10'!I83="-",'A-10'!I130="-",'A-10'!I177="-"),"-",SUM('A-10'!I83,'A-10'!I130,'A-10'!I177))</f>
        <v>2024</v>
      </c>
      <c r="K35" s="200">
        <f>IF(AND('A-10'!J83="-",'A-10'!J130="-",'A-10'!J177="-"),"-",SUM('A-10'!J83,'A-10'!J130,'A-10'!J177))</f>
        <v>49</v>
      </c>
      <c r="L35" s="200">
        <f>IF(AND('A-10'!K83="-",'A-10'!K130="-",'A-10'!K177="-"),"-",SUM('A-10'!K83,'A-10'!K130,'A-10'!K177))</f>
        <v>9287</v>
      </c>
      <c r="N35" s="200" t="s">
        <v>29</v>
      </c>
      <c r="O35" s="200" t="s">
        <v>29</v>
      </c>
      <c r="P35" s="200" t="s">
        <v>29</v>
      </c>
      <c r="Q35" s="200" t="str">
        <f>IF(AND('A-10'!M83="-",'A-10'!M130="-",'A-10'!M177="-"),"-",SUM('A-10'!M83,'A-10'!M130,'A-10'!M177))</f>
        <v>-</v>
      </c>
      <c r="R35" s="200">
        <f>IF(AND('A-10'!N83="-",'A-10'!N130="-",'A-10'!N177="-"),"-",SUM('A-10'!N83,'A-10'!N130,'A-10'!N177))</f>
        <v>469</v>
      </c>
      <c r="S35" s="200">
        <f>IF(AND('A-10'!O83="-",'A-10'!O130="-",'A-10'!O177="-"),"-",SUM('A-10'!O83,'A-10'!O130,'A-10'!O177))</f>
        <v>8346</v>
      </c>
      <c r="T35" s="200">
        <f>IF(AND('A-10'!P83="-",'A-10'!P130="-",'A-10'!P177="-"),"-",SUM('A-10'!P83,'A-10'!P130,'A-10'!P177))</f>
        <v>36</v>
      </c>
      <c r="U35" s="200">
        <f>IF(AND('A-10'!Q83="-",'A-10'!Q130="-",'A-10'!Q177="-"),"-",SUM('A-10'!Q83,'A-10'!Q130,'A-10'!Q177))</f>
        <v>634</v>
      </c>
      <c r="V35" s="198" t="str">
        <f>IF(AND('A-10'!R83="-",'A-10'!R130="-",'A-10'!R177="-"),"-",SUM('A-10'!R83,'A-10'!R130,'A-10'!R177))</f>
        <v>-</v>
      </c>
      <c r="W35" s="198" t="s">
        <v>29</v>
      </c>
      <c r="X35" s="200">
        <f>IF(AND('A-10'!S83="-",'A-10'!S130="-",'A-10'!S177="-"),"-",SUM('A-10'!S83,'A-10'!S130,'A-10'!S177))</f>
        <v>9485</v>
      </c>
      <c r="Y35" s="1"/>
      <c r="Z35" s="1"/>
      <c r="AA35" s="1"/>
    </row>
    <row r="36" spans="1:27" ht="11.25" customHeight="1" x14ac:dyDescent="0.25">
      <c r="A36" s="402">
        <v>2007</v>
      </c>
      <c r="B36" s="203" t="s">
        <v>29</v>
      </c>
      <c r="C36" s="203">
        <f>IF(AND('A-10'!B84="-",'A-10'!B131="-",'A-10'!B178="-"),"-",SUM('A-10'!B84,'A-10'!B131,'A-10'!B178))</f>
        <v>3</v>
      </c>
      <c r="D36" s="203">
        <f>IF(AND('A-10'!C84="-",'A-10'!C131="-",'A-10'!C178="-"),"-",SUM('A-10'!C84,'A-10'!C131,'A-10'!C178))</f>
        <v>0</v>
      </c>
      <c r="E36" s="203">
        <f>IF(AND('A-10'!D84="-",'A-10'!D131="-",'A-10'!D178="-"),"-",SUM('A-10'!D84,'A-10'!D131,'A-10'!D178))</f>
        <v>72</v>
      </c>
      <c r="F36" s="203">
        <f>IF(AND('A-10'!E84="-",'A-10'!E131="-",'A-10'!E178="-"),"-",SUM('A-10'!E84,'A-10'!E131,'A-10'!E178))</f>
        <v>255</v>
      </c>
      <c r="G36" s="203">
        <f>IF(AND('A-10'!F84="-",'A-10'!F131="-",'A-10'!F178="-"),"-",SUM('A-10'!F84,'A-10'!F131,'A-10'!F178))</f>
        <v>804</v>
      </c>
      <c r="H36" s="203">
        <f>IF(AND('A-10'!G84="-",'A-10'!G131="-",'A-10'!G178="-"),"-",SUM('A-10'!G84,'A-10'!G131,'A-10'!G178))</f>
        <v>1076</v>
      </c>
      <c r="I36" s="203">
        <f>IF(AND('A-10'!H84="-",'A-10'!H131="-",'A-10'!H178="-"),"-",SUM('A-10'!H84,'A-10'!H131,'A-10'!H178))</f>
        <v>597</v>
      </c>
      <c r="J36" s="203">
        <f>IF(AND('A-10'!I84="-",'A-10'!I131="-",'A-10'!I178="-"),"-",SUM('A-10'!I84,'A-10'!I131,'A-10'!I178))</f>
        <v>474</v>
      </c>
      <c r="K36" s="203">
        <f>IF(AND('A-10'!J84="-",'A-10'!J131="-",'A-10'!J178="-"),"-",SUM('A-10'!J84,'A-10'!J131,'A-10'!J178))</f>
        <v>16</v>
      </c>
      <c r="L36" s="203">
        <f>IF(AND('A-10'!K84="-",'A-10'!K131="-",'A-10'!K178="-"),"-",SUM('A-10'!K84,'A-10'!K131,'A-10'!K178))</f>
        <v>3297</v>
      </c>
      <c r="M36" s="197"/>
      <c r="N36" s="203" t="s">
        <v>29</v>
      </c>
      <c r="O36" s="203" t="s">
        <v>29</v>
      </c>
      <c r="P36" s="203" t="s">
        <v>29</v>
      </c>
      <c r="Q36" s="203">
        <f>IF(AND('A-10'!M84="-",'A-10'!M131="-",'A-10'!M178="-"),"-",SUM('A-10'!M84,'A-10'!M131,'A-10'!M178))</f>
        <v>2</v>
      </c>
      <c r="R36" s="203">
        <f>IF(AND('A-10'!N84="-",'A-10'!N131="-",'A-10'!N178="-"),"-",SUM('A-10'!N84,'A-10'!N131,'A-10'!N178))</f>
        <v>4734</v>
      </c>
      <c r="S36" s="203">
        <f>IF(AND('A-10'!O84="-",'A-10'!O131="-",'A-10'!O178="-"),"-",SUM('A-10'!O84,'A-10'!O131,'A-10'!O178))</f>
        <v>19223</v>
      </c>
      <c r="T36" s="203">
        <f>IF(AND('A-10'!P84="-",'A-10'!P131="-",'A-10'!P178="-"),"-",SUM('A-10'!P84,'A-10'!P131,'A-10'!P178))</f>
        <v>16417</v>
      </c>
      <c r="U36" s="203">
        <f>IF(AND('A-10'!Q84="-",'A-10'!Q131="-",'A-10'!Q178="-"),"-",SUM('A-10'!Q84,'A-10'!Q131,'A-10'!Q178))</f>
        <v>311</v>
      </c>
      <c r="V36" s="199" t="str">
        <f>IF(AND('A-10'!R84="-",'A-10'!R131="-",'A-10'!R178="-"),"-",SUM('A-10'!R84,'A-10'!R131,'A-10'!R178))</f>
        <v>-</v>
      </c>
      <c r="W36" s="199" t="s">
        <v>29</v>
      </c>
      <c r="X36" s="203">
        <f>IF(AND('A-10'!S84="-",'A-10'!S131="-",'A-10'!S178="-"),"-",SUM('A-10'!S84,'A-10'!S131,'A-10'!S178))</f>
        <v>40687</v>
      </c>
    </row>
    <row r="37" spans="1:27" ht="11.25" customHeight="1" x14ac:dyDescent="0.25">
      <c r="A37" s="402">
        <v>2008</v>
      </c>
      <c r="B37" s="203" t="s">
        <v>29</v>
      </c>
      <c r="C37" s="203" t="str">
        <f>IF(AND('A-10'!B85="-",'A-10'!B132="-",'A-10'!B179="-"),"-",SUM('A-10'!B85,'A-10'!B132,'A-10'!B179))</f>
        <v>-</v>
      </c>
      <c r="D37" s="203" t="str">
        <f>IF(AND('A-10'!C85="-",'A-10'!C132="-",'A-10'!C179="-"),"-",SUM('A-10'!C85,'A-10'!C132,'A-10'!C179))</f>
        <v>-</v>
      </c>
      <c r="E37" s="203" t="str">
        <f>IF(AND('A-10'!D85="-",'A-10'!D132="-",'A-10'!D179="-"),"-",SUM('A-10'!D85,'A-10'!D132,'A-10'!D179))</f>
        <v>-</v>
      </c>
      <c r="F37" s="203">
        <f>IF(AND('A-10'!E85="-",'A-10'!E132="-",'A-10'!E179="-"),"-",SUM('A-10'!E85,'A-10'!E132,'A-10'!E179))</f>
        <v>9</v>
      </c>
      <c r="G37" s="203">
        <f>IF(AND('A-10'!F85="-",'A-10'!F132="-",'A-10'!F179="-"),"-",SUM('A-10'!F85,'A-10'!F132,'A-10'!F179))</f>
        <v>6</v>
      </c>
      <c r="H37" s="203">
        <f>IF(AND('A-10'!G85="-",'A-10'!G132="-",'A-10'!G179="-"),"-",SUM('A-10'!G85,'A-10'!G132,'A-10'!G179))</f>
        <v>3</v>
      </c>
      <c r="I37" s="203">
        <f>IF(AND('A-10'!H85="-",'A-10'!H132="-",'A-10'!H179="-"),"-",SUM('A-10'!H85,'A-10'!H132,'A-10'!H179))</f>
        <v>262</v>
      </c>
      <c r="J37" s="203">
        <f>IF(AND('A-10'!I85="-",'A-10'!I132="-",'A-10'!I179="-"),"-",SUM('A-10'!I85,'A-10'!I132,'A-10'!I179))</f>
        <v>201</v>
      </c>
      <c r="K37" s="101" t="s">
        <v>116</v>
      </c>
      <c r="L37" s="203">
        <f>IF(AND('A-10'!K85="-",'A-10'!K132="-",'A-10'!K179="-"),"-",SUM('A-10'!K85,'A-10'!K132,'A-10'!K179))</f>
        <v>481</v>
      </c>
      <c r="M37" s="197"/>
      <c r="N37" s="203" t="s">
        <v>29</v>
      </c>
      <c r="O37" s="203" t="s">
        <v>29</v>
      </c>
      <c r="P37" s="203" t="s">
        <v>29</v>
      </c>
      <c r="Q37" s="203" t="str">
        <f>IF(AND('A-10'!M85="-",'A-10'!M132="-",'A-10'!M179="-"),"-",SUM('A-10'!M85,'A-10'!M132,'A-10'!M179))</f>
        <v>-</v>
      </c>
      <c r="R37" s="203">
        <f>IF(AND('A-10'!N85="-",'A-10'!N132="-",'A-10'!N179="-"),"-",SUM('A-10'!N85,'A-10'!N132,'A-10'!N179))</f>
        <v>770</v>
      </c>
      <c r="S37" s="203">
        <f>IF(AND('A-10'!O85="-",'A-10'!O132="-",'A-10'!O179="-"),"-",SUM('A-10'!O85,'A-10'!O132,'A-10'!O179))</f>
        <v>2811</v>
      </c>
      <c r="T37" s="203">
        <f>IF(AND('A-10'!P85="-",'A-10'!P132="-",'A-10'!P179="-"),"-",SUM('A-10'!P85,'A-10'!P132,'A-10'!P179))</f>
        <v>4131</v>
      </c>
      <c r="U37" s="203">
        <f>IF(AND('A-10'!Q85="-",'A-10'!Q132="-",'A-10'!Q179="-"),"-",SUM('A-10'!Q85,'A-10'!Q132,'A-10'!Q179))</f>
        <v>45</v>
      </c>
      <c r="V37" s="199">
        <f>IF(AND('A-10'!R85="-",'A-10'!R132="-",'A-10'!R179="-"),"-",SUM('A-10'!R85,'A-10'!R132,'A-10'!R179))</f>
        <v>3</v>
      </c>
      <c r="W37" s="199" t="s">
        <v>29</v>
      </c>
      <c r="X37" s="203">
        <f>IF(AND('A-10'!S85="-",'A-10'!S132="-",'A-10'!S179="-"),"-",SUM('A-10'!S85,'A-10'!S132,'A-10'!S179))</f>
        <v>7760</v>
      </c>
    </row>
    <row r="38" spans="1:27" ht="11.25" customHeight="1" x14ac:dyDescent="0.25">
      <c r="A38" s="402">
        <v>2009</v>
      </c>
      <c r="B38" s="203" t="s">
        <v>29</v>
      </c>
      <c r="C38" s="203" t="str">
        <f>IF(AND('A-10'!B86="-",'A-10'!B133="-",'A-10'!B180="-"),"-",SUM('A-10'!B86,'A-10'!B133,'A-10'!B180))</f>
        <v>-</v>
      </c>
      <c r="D38" s="203" t="str">
        <f>IF(AND('A-10'!C86="-",'A-10'!C133="-",'A-10'!C180="-"),"-",SUM('A-10'!C86,'A-10'!C133,'A-10'!C180))</f>
        <v>-</v>
      </c>
      <c r="E38" s="203" t="str">
        <f>IF(AND('A-10'!D86="-",'A-10'!D133="-",'A-10'!D180="-"),"-",SUM('A-10'!D86,'A-10'!D133,'A-10'!D180))</f>
        <v>-</v>
      </c>
      <c r="F38" s="203">
        <f>IF(AND('A-10'!E86="-",'A-10'!E133="-",'A-10'!E180="-"),"-",SUM('A-10'!E86,'A-10'!E133,'A-10'!E180))</f>
        <v>9</v>
      </c>
      <c r="G38" s="203">
        <f>IF(AND('A-10'!F86="-",'A-10'!F133="-",'A-10'!F180="-"),"-",SUM('A-10'!F86,'A-10'!F133,'A-10'!F180))</f>
        <v>36</v>
      </c>
      <c r="H38" s="203">
        <f>IF(AND('A-10'!G86="-",'A-10'!G133="-",'A-10'!G180="-"),"-",SUM('A-10'!G86,'A-10'!G133,'A-10'!G180))</f>
        <v>47</v>
      </c>
      <c r="I38" s="203">
        <f>IF(AND('A-10'!H86="-",'A-10'!H133="-",'A-10'!H180="-"),"-",SUM('A-10'!H86,'A-10'!H133,'A-10'!H180))</f>
        <v>92</v>
      </c>
      <c r="J38" s="203">
        <f>IF(AND('A-10'!I86="-",'A-10'!I133="-",'A-10'!I180="-"),"-",SUM('A-10'!I86,'A-10'!I133,'A-10'!I180))</f>
        <v>226</v>
      </c>
      <c r="K38" s="101" t="s">
        <v>116</v>
      </c>
      <c r="L38" s="203">
        <f>IF(AND('A-10'!K86="-",'A-10'!K133="-",'A-10'!K180="-"),"-",SUM('A-10'!K86,'A-10'!K133,'A-10'!K180))</f>
        <v>410</v>
      </c>
      <c r="M38" s="197"/>
      <c r="N38" s="203" t="s">
        <v>29</v>
      </c>
      <c r="O38" s="203" t="s">
        <v>29</v>
      </c>
      <c r="P38" s="203" t="s">
        <v>29</v>
      </c>
      <c r="Q38" s="203" t="str">
        <f>IF(AND('A-10'!M86="-",'A-10'!M133="-",'A-10'!M180="-"),"-",SUM('A-10'!M86,'A-10'!M133,'A-10'!M180))</f>
        <v>-</v>
      </c>
      <c r="R38" s="203">
        <f>IF(AND('A-10'!N86="-",'A-10'!N133="-",'A-10'!N180="-"),"-",SUM('A-10'!N86,'A-10'!N133,'A-10'!N180))</f>
        <v>4859</v>
      </c>
      <c r="S38" s="203">
        <f>IF(AND('A-10'!O86="-",'A-10'!O133="-",'A-10'!O180="-"),"-",SUM('A-10'!O86,'A-10'!O133,'A-10'!O180))</f>
        <v>38001</v>
      </c>
      <c r="T38" s="203">
        <f>IF(AND('A-10'!P86="-",'A-10'!P133="-",'A-10'!P180="-"),"-",SUM('A-10'!P86,'A-10'!P133,'A-10'!P180))</f>
        <v>25325</v>
      </c>
      <c r="U38" s="203">
        <f>IF(AND('A-10'!Q86="-",'A-10'!Q133="-",'A-10'!Q180="-"),"-",SUM('A-10'!Q86,'A-10'!Q133,'A-10'!Q180))</f>
        <v>799</v>
      </c>
      <c r="V38" s="199">
        <f>IF(AND('A-10'!R86="-",'A-10'!R133="-",'A-10'!R180="-"),"-",SUM('A-10'!R86,'A-10'!R133,'A-10'!R180))</f>
        <v>6</v>
      </c>
      <c r="W38" s="199" t="s">
        <v>29</v>
      </c>
      <c r="X38" s="203">
        <f>IF(AND('A-10'!S86="-",'A-10'!S133="-",'A-10'!S180="-"),"-",SUM('A-10'!S86,'A-10'!S133,'A-10'!S180))</f>
        <v>68990</v>
      </c>
    </row>
    <row r="39" spans="1:27" ht="11.25" customHeight="1" x14ac:dyDescent="0.25">
      <c r="A39" s="402">
        <v>2010</v>
      </c>
      <c r="B39" s="203" t="s">
        <v>29</v>
      </c>
      <c r="C39" s="203" t="str">
        <f>IF(AND('A-10'!B87="-",'A-10'!B134="-",'A-10'!B181="-"),"-",SUM('A-10'!B87,'A-10'!B134,'A-10'!B181))</f>
        <v>-</v>
      </c>
      <c r="D39" s="203" t="str">
        <f>IF(AND('A-10'!C87="-",'A-10'!C134="-",'A-10'!C181="-"),"-",SUM('A-10'!C87,'A-10'!C134,'A-10'!C181))</f>
        <v>-</v>
      </c>
      <c r="E39" s="203">
        <f>IF(AND('A-10'!D87="-",'A-10'!D134="-",'A-10'!D181="-"),"-",SUM('A-10'!D87,'A-10'!D134,'A-10'!D181))</f>
        <v>75</v>
      </c>
      <c r="F39" s="203">
        <f>IF(AND('A-10'!E87="-",'A-10'!E134="-",'A-10'!E181="-"),"-",SUM('A-10'!E87,'A-10'!E134,'A-10'!E181))</f>
        <v>207</v>
      </c>
      <c r="G39" s="203">
        <f>IF(AND('A-10'!F87="-",'A-10'!F134="-",'A-10'!F181="-"),"-",SUM('A-10'!F87,'A-10'!F134,'A-10'!F181))</f>
        <v>380</v>
      </c>
      <c r="H39" s="203">
        <f>IF(AND('A-10'!G87="-",'A-10'!G134="-",'A-10'!G181="-"),"-",SUM('A-10'!G87,'A-10'!G134,'A-10'!G181))</f>
        <v>1108</v>
      </c>
      <c r="I39" s="203">
        <f>IF(AND('A-10'!H87="-",'A-10'!H134="-",'A-10'!H181="-"),"-",SUM('A-10'!H87,'A-10'!H134,'A-10'!H181))</f>
        <v>439</v>
      </c>
      <c r="J39" s="203">
        <f>IF(AND('A-10'!I87="-",'A-10'!I134="-",'A-10'!I181="-"),"-",SUM('A-10'!I87,'A-10'!I134,'A-10'!I181))</f>
        <v>122</v>
      </c>
      <c r="K39" s="101" t="s">
        <v>116</v>
      </c>
      <c r="L39" s="203">
        <f>IF(AND('A-10'!K87="-",'A-10'!K134="-",'A-10'!K181="-"),"-",SUM('A-10'!K87,'A-10'!K134,'A-10'!K181))</f>
        <v>2331</v>
      </c>
      <c r="M39" s="197"/>
      <c r="N39" s="203" t="s">
        <v>29</v>
      </c>
      <c r="O39" s="203" t="s">
        <v>29</v>
      </c>
      <c r="P39" s="203" t="s">
        <v>29</v>
      </c>
      <c r="Q39" s="203" t="str">
        <f>IF(AND('A-10'!M87="-",'A-10'!M134="-",'A-10'!M181="-"),"-",SUM('A-10'!M87,'A-10'!M134,'A-10'!M181))</f>
        <v>-</v>
      </c>
      <c r="R39" s="203">
        <f>IF(AND('A-10'!N87="-",'A-10'!N134="-",'A-10'!N181="-"),"-",SUM('A-10'!N87,'A-10'!N134,'A-10'!N181))</f>
        <v>368</v>
      </c>
      <c r="S39" s="203">
        <f>IF(AND('A-10'!O87="-",'A-10'!O134="-",'A-10'!O181="-"),"-",SUM('A-10'!O87,'A-10'!O134,'A-10'!O181))</f>
        <v>2181</v>
      </c>
      <c r="T39" s="203">
        <f>IF(AND('A-10'!P87="-",'A-10'!P134="-",'A-10'!P181="-"),"-",SUM('A-10'!P87,'A-10'!P134,'A-10'!P181))</f>
        <v>8336</v>
      </c>
      <c r="U39" s="203">
        <f>IF(AND('A-10'!Q87="-",'A-10'!Q134="-",'A-10'!Q181="-"),"-",SUM('A-10'!Q87,'A-10'!Q134,'A-10'!Q181))</f>
        <v>1242</v>
      </c>
      <c r="V39" s="199" t="str">
        <f>IF(AND('A-10'!R87="-",'A-10'!R134="-",'A-10'!R181="-"),"-",SUM('A-10'!R87,'A-10'!R134,'A-10'!R181))</f>
        <v>-</v>
      </c>
      <c r="W39" s="199" t="s">
        <v>29</v>
      </c>
      <c r="X39" s="203">
        <f>IF(AND('A-10'!S87="-",'A-10'!S134="-",'A-10'!S181="-"),"-",SUM('A-10'!S87,'A-10'!S134,'A-10'!S181))</f>
        <v>12127</v>
      </c>
    </row>
    <row r="40" spans="1:27" ht="11.25" customHeight="1" x14ac:dyDescent="0.25">
      <c r="A40" s="402">
        <v>2011</v>
      </c>
      <c r="B40" s="203" t="s">
        <v>29</v>
      </c>
      <c r="C40" s="203">
        <f>IF(AND('A-10'!B88="-",'A-10'!B135="-",'A-10'!B182="-"),"-",SUM('A-10'!B88,'A-10'!B135,'A-10'!B182))</f>
        <v>0</v>
      </c>
      <c r="D40" s="203">
        <f>IF(AND('A-10'!C88="-",'A-10'!C135="-",'A-10'!C182="-"),"-",SUM('A-10'!C88,'A-10'!C135,'A-10'!C182))</f>
        <v>7</v>
      </c>
      <c r="E40" s="203">
        <f>IF(AND('A-10'!D88="-",'A-10'!D135="-",'A-10'!D182="-"),"-",SUM('A-10'!D88,'A-10'!D135,'A-10'!D182))</f>
        <v>56</v>
      </c>
      <c r="F40" s="203">
        <f>IF(AND('A-10'!E88="-",'A-10'!E135="-",'A-10'!E182="-"),"-",SUM('A-10'!E88,'A-10'!E135,'A-10'!E182))</f>
        <v>161</v>
      </c>
      <c r="G40" s="203">
        <f>IF(AND('A-10'!F88="-",'A-10'!F135="-",'A-10'!F182="-"),"-",SUM('A-10'!F88,'A-10'!F135,'A-10'!F182))</f>
        <v>493</v>
      </c>
      <c r="H40" s="203">
        <f>IF(AND('A-10'!G88="-",'A-10'!G135="-",'A-10'!G182="-"),"-",SUM('A-10'!G88,'A-10'!G135,'A-10'!G182))</f>
        <v>623</v>
      </c>
      <c r="I40" s="203">
        <f>IF(AND('A-10'!H88="-",'A-10'!H135="-",'A-10'!H182="-"),"-",SUM('A-10'!H88,'A-10'!H135,'A-10'!H182))</f>
        <v>1056</v>
      </c>
      <c r="J40" s="203">
        <f>IF(AND('A-10'!I88="-",'A-10'!I135="-",'A-10'!I182="-"),"-",SUM('A-10'!I88,'A-10'!I135,'A-10'!I182))</f>
        <v>207</v>
      </c>
      <c r="K40" s="203">
        <f>IF(AND('A-10'!J88="-",'A-10'!J135="-",'A-10'!J182="-"),"-",SUM('A-10'!J88,'A-10'!J135,'A-10'!J182))</f>
        <v>6</v>
      </c>
      <c r="L40" s="203">
        <f>IF(AND('A-10'!K88="-",'A-10'!K135="-",'A-10'!K182="-"),"-",SUM('A-10'!K88,'A-10'!K135,'A-10'!K182))</f>
        <v>2609</v>
      </c>
      <c r="M40" s="197"/>
      <c r="N40" s="203" t="s">
        <v>29</v>
      </c>
      <c r="O40" s="203" t="s">
        <v>29</v>
      </c>
      <c r="P40" s="203" t="s">
        <v>29</v>
      </c>
      <c r="Q40" s="203" t="str">
        <f>IF(AND('A-10'!M88="-",'A-10'!M135="-",'A-10'!M182="-"),"-",SUM('A-10'!M88,'A-10'!M135,'A-10'!M182))</f>
        <v>-</v>
      </c>
      <c r="R40" s="203">
        <f>IF(AND('A-10'!N88="-",'A-10'!N135="-",'A-10'!N182="-"),"-",SUM('A-10'!N88,'A-10'!N135,'A-10'!N182))</f>
        <v>556</v>
      </c>
      <c r="S40" s="203">
        <f>IF(AND('A-10'!O88="-",'A-10'!O135="-",'A-10'!O182="-"),"-",SUM('A-10'!O88,'A-10'!O135,'A-10'!O182))</f>
        <v>3568</v>
      </c>
      <c r="T40" s="203">
        <f>IF(AND('A-10'!P88="-",'A-10'!P135="-",'A-10'!P182="-"),"-",SUM('A-10'!P88,'A-10'!P135,'A-10'!P182))</f>
        <v>2011</v>
      </c>
      <c r="U40" s="203">
        <f>IF(AND('A-10'!Q88="-",'A-10'!Q135="-",'A-10'!Q182="-"),"-",SUM('A-10'!Q88,'A-10'!Q135,'A-10'!Q182))</f>
        <v>6623</v>
      </c>
      <c r="V40" s="199" t="str">
        <f>IF(AND('A-10'!R88="-",'A-10'!R135="-",'A-10'!R182="-"),"-",SUM('A-10'!R88,'A-10'!R135,'A-10'!R182))</f>
        <v>-</v>
      </c>
      <c r="W40" s="199" t="s">
        <v>29</v>
      </c>
      <c r="X40" s="203">
        <f>IF(AND('A-10'!S88="-",'A-10'!S135="-",'A-10'!S182="-"),"-",SUM('A-10'!S88,'A-10'!S135,'A-10'!S182))</f>
        <v>12758</v>
      </c>
    </row>
    <row r="41" spans="1:27" ht="11.25" customHeight="1" x14ac:dyDescent="0.25">
      <c r="A41" s="402">
        <v>2012</v>
      </c>
      <c r="B41" s="203" t="s">
        <v>29</v>
      </c>
      <c r="C41" s="203">
        <f>IF(AND('A-10'!B89="-",'A-10'!B136="-",'A-10'!B183="-"),"-",SUM('A-10'!B89,'A-10'!B136,'A-10'!B183))</f>
        <v>21</v>
      </c>
      <c r="D41" s="203">
        <f>IF(AND('A-10'!C89="-",'A-10'!C136="-",'A-10'!C183="-"),"-",SUM('A-10'!C89,'A-10'!C136,'A-10'!C183))</f>
        <v>108</v>
      </c>
      <c r="E41" s="203">
        <f>IF(AND('A-10'!D89="-",'A-10'!D136="-",'A-10'!D183="-"),"-",SUM('A-10'!D89,'A-10'!D136,'A-10'!D183))</f>
        <v>530</v>
      </c>
      <c r="F41" s="203">
        <f>IF(AND('A-10'!E89="-",'A-10'!E136="-",'A-10'!E183="-"),"-",SUM('A-10'!E89,'A-10'!E136,'A-10'!E183))</f>
        <v>687</v>
      </c>
      <c r="G41" s="203">
        <f>IF(AND('A-10'!F89="-",'A-10'!F136="-",'A-10'!F183="-"),"-",SUM('A-10'!F89,'A-10'!F136,'A-10'!F183))</f>
        <v>858</v>
      </c>
      <c r="H41" s="203">
        <f>IF(AND('A-10'!G89="-",'A-10'!G136="-",'A-10'!G183="-"),"-",SUM('A-10'!G89,'A-10'!G136,'A-10'!G183))</f>
        <v>2258</v>
      </c>
      <c r="I41" s="203">
        <f>IF(AND('A-10'!H89="-",'A-10'!H136="-",'A-10'!H183="-"),"-",SUM('A-10'!H89,'A-10'!H136,'A-10'!H183))</f>
        <v>2791</v>
      </c>
      <c r="J41" s="203">
        <f>IF(AND('A-10'!I89="-",'A-10'!I136="-",'A-10'!I183="-"),"-",SUM('A-10'!I89,'A-10'!I136,'A-10'!I183))</f>
        <v>506</v>
      </c>
      <c r="K41" s="203">
        <f>IF(AND('A-10'!J89="-",'A-10'!J136="-",'A-10'!J183="-"),"-",SUM('A-10'!J89,'A-10'!J136,'A-10'!J183))</f>
        <v>8</v>
      </c>
      <c r="L41" s="203">
        <f>IF(AND('A-10'!K89="-",'A-10'!K136="-",'A-10'!K183="-"),"-",SUM('A-10'!K89,'A-10'!K136,'A-10'!K183))</f>
        <v>7767</v>
      </c>
      <c r="M41" s="197"/>
      <c r="N41" s="203" t="s">
        <v>29</v>
      </c>
      <c r="O41" s="203" t="s">
        <v>29</v>
      </c>
      <c r="P41" s="203" t="s">
        <v>29</v>
      </c>
      <c r="Q41" s="203" t="str">
        <f>IF(AND('A-10'!M89="-",'A-10'!M136="-",'A-10'!M183="-"),"-",SUM('A-10'!M89,'A-10'!M136,'A-10'!M183))</f>
        <v>-</v>
      </c>
      <c r="R41" s="203">
        <f>IF(AND('A-10'!N89="-",'A-10'!N136="-",'A-10'!N183="-"),"-",SUM('A-10'!N89,'A-10'!N136,'A-10'!N183))</f>
        <v>55</v>
      </c>
      <c r="S41" s="203">
        <f>IF(AND('A-10'!O89="-",'A-10'!O136="-",'A-10'!O183="-"),"-",SUM('A-10'!O89,'A-10'!O136,'A-10'!O183))</f>
        <v>2251</v>
      </c>
      <c r="T41" s="203">
        <f>IF(AND('A-10'!P89="-",'A-10'!P136="-",'A-10'!P183="-"),"-",SUM('A-10'!P89,'A-10'!P136,'A-10'!P183))</f>
        <v>4927</v>
      </c>
      <c r="U41" s="203">
        <f>IF(AND('A-10'!Q89="-",'A-10'!Q136="-",'A-10'!Q183="-"),"-",SUM('A-10'!Q89,'A-10'!Q136,'A-10'!Q183))</f>
        <v>6965</v>
      </c>
      <c r="V41" s="199" t="str">
        <f>IF(AND('A-10'!R89="-",'A-10'!R136="-",'A-10'!R183="-"),"-",SUM('A-10'!R89,'A-10'!R136,'A-10'!R183))</f>
        <v>-</v>
      </c>
      <c r="W41" s="199" t="s">
        <v>29</v>
      </c>
      <c r="X41" s="203">
        <f>IF(AND('A-10'!S89="-",'A-10'!S136="-",'A-10'!S183="-"),"-",SUM('A-10'!S89,'A-10'!S136,'A-10'!S183))</f>
        <v>14198</v>
      </c>
    </row>
    <row r="42" spans="1:27" ht="11.25" customHeight="1" x14ac:dyDescent="0.25">
      <c r="A42" s="402">
        <v>2013</v>
      </c>
      <c r="B42" s="203" t="s">
        <v>29</v>
      </c>
      <c r="C42" s="203">
        <f>IF(AND('A-10'!B90="-",'A-10'!B137="-",'A-10'!B184="-"),"-",SUM('A-10'!B90,'A-10'!B137,'A-10'!B184))</f>
        <v>257</v>
      </c>
      <c r="D42" s="203">
        <f>IF(AND('A-10'!C90="-",'A-10'!C137="-",'A-10'!C184="-"),"-",SUM('A-10'!C90,'A-10'!C137,'A-10'!C184))</f>
        <v>196</v>
      </c>
      <c r="E42" s="203">
        <f>IF(AND('A-10'!D90="-",'A-10'!D137="-",'A-10'!D184="-"),"-",SUM('A-10'!D90,'A-10'!D137,'A-10'!D184))</f>
        <v>191</v>
      </c>
      <c r="F42" s="203">
        <f>IF(AND('A-10'!E90="-",'A-10'!E137="-",'A-10'!E184="-"),"-",SUM('A-10'!E90,'A-10'!E137,'A-10'!E184))</f>
        <v>1397</v>
      </c>
      <c r="G42" s="203">
        <f>IF(AND('A-10'!F90="-",'A-10'!F137="-",'A-10'!F184="-"),"-",SUM('A-10'!F90,'A-10'!F137,'A-10'!F184))</f>
        <v>1477</v>
      </c>
      <c r="H42" s="203">
        <f>IF(AND('A-10'!G90="-",'A-10'!G137="-",'A-10'!G184="-"),"-",SUM('A-10'!G90,'A-10'!G137,'A-10'!G184))</f>
        <v>11886</v>
      </c>
      <c r="I42" s="203">
        <f>IF(AND('A-10'!H90="-",'A-10'!H137="-",'A-10'!H184="-"),"-",SUM('A-10'!H90,'A-10'!H137,'A-10'!H184))</f>
        <v>1671</v>
      </c>
      <c r="J42" s="203">
        <f>IF(AND('A-10'!I90="-",'A-10'!I137="-",'A-10'!I184="-"),"-",SUM('A-10'!I90,'A-10'!I137,'A-10'!I184))</f>
        <v>792</v>
      </c>
      <c r="K42" s="101" t="s">
        <v>116</v>
      </c>
      <c r="L42" s="203">
        <f>IF(AND('A-10'!K90="-",'A-10'!K137="-",'A-10'!K184="-"),"-",SUM('A-10'!K90,'A-10'!K137,'A-10'!K184))</f>
        <v>17867</v>
      </c>
      <c r="M42" s="197"/>
      <c r="N42" s="203" t="s">
        <v>29</v>
      </c>
      <c r="O42" s="203" t="s">
        <v>29</v>
      </c>
      <c r="P42" s="203" t="s">
        <v>29</v>
      </c>
      <c r="Q42" s="203" t="str">
        <f>IF(AND('A-10'!M90="-",'A-10'!M137="-",'A-10'!M184="-"),"-",SUM('A-10'!M90,'A-10'!M137,'A-10'!M184))</f>
        <v>-</v>
      </c>
      <c r="R42" s="203">
        <f>IF(AND('A-10'!N90="-",'A-10'!N137="-",'A-10'!N184="-"),"-",SUM('A-10'!N90,'A-10'!N137,'A-10'!N184))</f>
        <v>9</v>
      </c>
      <c r="S42" s="203">
        <f>IF(AND('A-10'!O90="-",'A-10'!O137="-",'A-10'!O184="-"),"-",SUM('A-10'!O90,'A-10'!O137,'A-10'!O184))</f>
        <v>4748</v>
      </c>
      <c r="T42" s="203">
        <f>IF(AND('A-10'!P90="-",'A-10'!P137="-",'A-10'!P184="-"),"-",SUM('A-10'!P90,'A-10'!P137,'A-10'!P184))</f>
        <v>2650</v>
      </c>
      <c r="U42" s="203">
        <f>IF(AND('A-10'!Q90="-",'A-10'!Q137="-",'A-10'!Q184="-"),"-",SUM('A-10'!Q90,'A-10'!Q137,'A-10'!Q184))</f>
        <v>2658</v>
      </c>
      <c r="V42" s="199">
        <f>IF(AND('A-10'!R90="-",'A-10'!R137="-",'A-10'!R184="-"),"-",SUM('A-10'!R90,'A-10'!R137,'A-10'!R184))</f>
        <v>19</v>
      </c>
      <c r="W42" s="199" t="s">
        <v>29</v>
      </c>
      <c r="X42" s="203">
        <f>IF(AND('A-10'!S90="-",'A-10'!S137="-",'A-10'!S184="-"),"-",SUM('A-10'!S90,'A-10'!S137,'A-10'!S184))</f>
        <v>10084</v>
      </c>
    </row>
    <row r="43" spans="1:27" ht="11.25" customHeight="1" x14ac:dyDescent="0.25">
      <c r="A43" s="402">
        <v>2014</v>
      </c>
      <c r="B43" s="203" t="s">
        <v>29</v>
      </c>
      <c r="C43" s="203">
        <f>IF(AND('A-10'!B91="-",'A-10'!B138="-",'A-10'!B185="-"),"-",SUM('A-10'!B91,'A-10'!B138,'A-10'!B185))</f>
        <v>10</v>
      </c>
      <c r="D43" s="203">
        <f>IF(AND('A-10'!C91="-",'A-10'!C138="-",'A-10'!C185="-"),"-",SUM('A-10'!C91,'A-10'!C138,'A-10'!C185))</f>
        <v>32</v>
      </c>
      <c r="E43" s="203">
        <f>IF(AND('A-10'!D91="-",'A-10'!D138="-",'A-10'!D185="-"),"-",SUM('A-10'!D91,'A-10'!D138,'A-10'!D185))</f>
        <v>266</v>
      </c>
      <c r="F43" s="203">
        <f>IF(AND('A-10'!E91="-",'A-10'!E138="-",'A-10'!E185="-"),"-",SUM('A-10'!E91,'A-10'!E138,'A-10'!E185))</f>
        <v>826</v>
      </c>
      <c r="G43" s="203">
        <f>IF(AND('A-10'!F91="-",'A-10'!F138="-",'A-10'!F185="-"),"-",SUM('A-10'!F91,'A-10'!F138,'A-10'!F185))</f>
        <v>2973</v>
      </c>
      <c r="H43" s="203">
        <f>IF(AND('A-10'!G91="-",'A-10'!G138="-",'A-10'!G185="-"),"-",SUM('A-10'!G91,'A-10'!G138,'A-10'!G185))</f>
        <v>3241</v>
      </c>
      <c r="I43" s="203">
        <f>IF(AND('A-10'!H91="-",'A-10'!H138="-",'A-10'!H185="-"),"-",SUM('A-10'!H91,'A-10'!H138,'A-10'!H185))</f>
        <v>1870</v>
      </c>
      <c r="J43" s="203">
        <f>IF(AND('A-10'!I91="-",'A-10'!I138="-",'A-10'!I185="-"),"-",SUM('A-10'!I91,'A-10'!I138,'A-10'!I185))</f>
        <v>137</v>
      </c>
      <c r="K43" s="101" t="s">
        <v>116</v>
      </c>
      <c r="L43" s="203">
        <f>IF(AND('A-10'!K91="-",'A-10'!K138="-",'A-10'!K185="-"),"-",SUM('A-10'!K91,'A-10'!K138,'A-10'!K185))</f>
        <v>9355</v>
      </c>
      <c r="M43" s="197"/>
      <c r="N43" s="203" t="s">
        <v>29</v>
      </c>
      <c r="O43" s="203" t="s">
        <v>29</v>
      </c>
      <c r="P43" s="203" t="s">
        <v>29</v>
      </c>
      <c r="Q43" s="203">
        <f>IF(AND('A-10'!M91="-",'A-10'!M138="-",'A-10'!M185="-"),"-",SUM('A-10'!M91,'A-10'!M138,'A-10'!M185))</f>
        <v>1</v>
      </c>
      <c r="R43" s="203">
        <f>IF(AND('A-10'!N91="-",'A-10'!N138="-",'A-10'!N185="-"),"-",SUM('A-10'!N91,'A-10'!N138,'A-10'!N185))</f>
        <v>3530</v>
      </c>
      <c r="S43" s="203">
        <f>IF(AND('A-10'!O91="-",'A-10'!O138="-",'A-10'!O185="-"),"-",SUM('A-10'!O91,'A-10'!O138,'A-10'!O185))</f>
        <v>32851</v>
      </c>
      <c r="T43" s="203">
        <f>IF(AND('A-10'!P91="-",'A-10'!P138="-",'A-10'!P185="-"),"-",SUM('A-10'!P91,'A-10'!P138,'A-10'!P185))</f>
        <v>19275</v>
      </c>
      <c r="U43" s="203">
        <f>IF(AND('A-10'!Q91="-",'A-10'!Q138="-",'A-10'!Q185="-"),"-",SUM('A-10'!Q91,'A-10'!Q138,'A-10'!Q185))</f>
        <v>26494</v>
      </c>
      <c r="V43" s="199">
        <f>IF(AND('A-10'!R91="-",'A-10'!R138="-",'A-10'!R185="-"),"-",SUM('A-10'!R91,'A-10'!R138,'A-10'!R185))</f>
        <v>49</v>
      </c>
      <c r="W43" s="199" t="s">
        <v>29</v>
      </c>
      <c r="X43" s="203">
        <f>IF(AND('A-10'!S91="-",'A-10'!S138="-",'A-10'!S185="-"),"-",SUM('A-10'!S91,'A-10'!S138,'A-10'!S185))</f>
        <v>82200</v>
      </c>
    </row>
    <row r="44" spans="1:27" ht="11.25" customHeight="1" x14ac:dyDescent="0.25">
      <c r="A44" s="402">
        <v>2015</v>
      </c>
      <c r="B44" s="203" t="s">
        <v>29</v>
      </c>
      <c r="C44" s="203">
        <f>IF(AND('A-10'!B92="-",'A-10'!B139="-",'A-10'!B186="-"),"-",SUM('A-10'!B92,'A-10'!B139,'A-10'!B186))</f>
        <v>30</v>
      </c>
      <c r="D44" s="203">
        <f>IF(AND('A-10'!C92="-",'A-10'!C139="-",'A-10'!C186="-"),"-",SUM('A-10'!C92,'A-10'!C139,'A-10'!C186))</f>
        <v>8</v>
      </c>
      <c r="E44" s="203">
        <f>IF(AND('A-10'!D92="-",'A-10'!D139="-",'A-10'!D186="-"),"-",SUM('A-10'!D92,'A-10'!D139,'A-10'!D186))</f>
        <v>151</v>
      </c>
      <c r="F44" s="203">
        <f>IF(AND('A-10'!E92="-",'A-10'!E139="-",'A-10'!E186="-"),"-",SUM('A-10'!E92,'A-10'!E139,'A-10'!E186))</f>
        <v>267</v>
      </c>
      <c r="G44" s="203">
        <f>IF(AND('A-10'!F92="-",'A-10'!F139="-",'A-10'!F186="-"),"-",SUM('A-10'!F92,'A-10'!F139,'A-10'!F186))</f>
        <v>401</v>
      </c>
      <c r="H44" s="203">
        <f>IF(AND('A-10'!G92="-",'A-10'!G139="-",'A-10'!G186="-"),"-",SUM('A-10'!G92,'A-10'!G139,'A-10'!G186))</f>
        <v>376</v>
      </c>
      <c r="I44" s="203">
        <f>IF(AND('A-10'!H92="-",'A-10'!H139="-",'A-10'!H186="-"),"-",SUM('A-10'!H92,'A-10'!H139,'A-10'!H186))</f>
        <v>2814</v>
      </c>
      <c r="J44" s="203">
        <f>IF(AND('A-10'!I92="-",'A-10'!I139="-",'A-10'!I186="-"),"-",SUM('A-10'!I92,'A-10'!I139,'A-10'!I186))</f>
        <v>1454</v>
      </c>
      <c r="K44" s="101" t="s">
        <v>116</v>
      </c>
      <c r="L44" s="203">
        <f>IF(AND('A-10'!K92="-",'A-10'!K139="-",'A-10'!K186="-"),"-",SUM('A-10'!K92,'A-10'!K139,'A-10'!K186))</f>
        <v>5501</v>
      </c>
      <c r="M44" s="197"/>
      <c r="N44" s="203" t="s">
        <v>29</v>
      </c>
      <c r="O44" s="203" t="s">
        <v>29</v>
      </c>
      <c r="P44" s="203" t="s">
        <v>29</v>
      </c>
      <c r="Q44" s="203" t="str">
        <f>IF(AND('A-10'!M92="-",'A-10'!M139="-",'A-10'!M186="-"),"-",SUM('A-10'!M92,'A-10'!M139,'A-10'!M186))</f>
        <v>-</v>
      </c>
      <c r="R44" s="203">
        <f>IF(AND('A-10'!N92="-",'A-10'!N139="-",'A-10'!N186="-"),"-",SUM('A-10'!N92,'A-10'!N139,'A-10'!N186))</f>
        <v>458</v>
      </c>
      <c r="S44" s="203">
        <f>IF(AND('A-10'!O92="-",'A-10'!O139="-",'A-10'!O186="-"),"-",SUM('A-10'!O92,'A-10'!O139,'A-10'!O186))</f>
        <v>11841</v>
      </c>
      <c r="T44" s="203">
        <f>IF(AND('A-10'!P92="-",'A-10'!P139="-",'A-10'!P186="-"),"-",SUM('A-10'!P92,'A-10'!P139,'A-10'!P186))</f>
        <v>2557</v>
      </c>
      <c r="U44" s="203">
        <f>IF(AND('A-10'!Q92="-",'A-10'!Q139="-",'A-10'!Q186="-"),"-",SUM('A-10'!Q92,'A-10'!Q139,'A-10'!Q186))</f>
        <v>4426</v>
      </c>
      <c r="V44" s="199">
        <f>IF(AND('A-10'!R92="-",'A-10'!R139="-",'A-10'!R186="-"),"-",SUM('A-10'!R92,'A-10'!R139,'A-10'!R186))</f>
        <v>22</v>
      </c>
      <c r="W44" s="199" t="s">
        <v>29</v>
      </c>
      <c r="X44" s="203">
        <f>IF(AND('A-10'!S92="-",'A-10'!S139="-",'A-10'!S186="-"),"-",SUM('A-10'!S92,'A-10'!S139,'A-10'!S186))</f>
        <v>19304</v>
      </c>
    </row>
    <row r="45" spans="1:27" ht="11.25" customHeight="1" x14ac:dyDescent="0.25">
      <c r="A45" s="402">
        <v>2016</v>
      </c>
      <c r="B45" s="203" t="s">
        <v>29</v>
      </c>
      <c r="C45" s="203">
        <f>IF(AND('A-10'!B93="-",'A-10'!B140="-",'A-10'!B187="-"),"-",SUM('A-10'!B93,'A-10'!B140,'A-10'!B187))</f>
        <v>32</v>
      </c>
      <c r="D45" s="203">
        <f>IF(AND('A-10'!C93="-",'A-10'!C140="-",'A-10'!C187="-"),"-",SUM('A-10'!C93,'A-10'!C140,'A-10'!C187))</f>
        <v>9</v>
      </c>
      <c r="E45" s="203">
        <f>IF(AND('A-10'!D93="-",'A-10'!D140="-",'A-10'!D187="-"),"-",SUM('A-10'!D93,'A-10'!D140,'A-10'!D187))</f>
        <v>128</v>
      </c>
      <c r="F45" s="203">
        <f>IF(AND('A-10'!E93="-",'A-10'!E140="-",'A-10'!E187="-"),"-",SUM('A-10'!E93,'A-10'!E140,'A-10'!E187))</f>
        <v>237</v>
      </c>
      <c r="G45" s="203">
        <f>IF(AND('A-10'!F93="-",'A-10'!F140="-",'A-10'!F187="-"),"-",SUM('A-10'!F93,'A-10'!F140,'A-10'!F187))</f>
        <v>238</v>
      </c>
      <c r="H45" s="203">
        <f>IF(AND('A-10'!G93="-",'A-10'!G140="-",'A-10'!G187="-"),"-",SUM('A-10'!G93,'A-10'!G140,'A-10'!G187))</f>
        <v>692</v>
      </c>
      <c r="I45" s="203">
        <f>IF(AND('A-10'!H93="-",'A-10'!H140="-",'A-10'!H187="-"),"-",SUM('A-10'!H93,'A-10'!H140,'A-10'!H187))</f>
        <v>1140</v>
      </c>
      <c r="J45" s="203">
        <f>IF(AND('A-10'!I93="-",'A-10'!I140="-",'A-10'!I187="-"),"-",SUM('A-10'!I93,'A-10'!I140,'A-10'!I187))</f>
        <v>76</v>
      </c>
      <c r="K45" s="101" t="s">
        <v>116</v>
      </c>
      <c r="L45" s="203">
        <f>IF(AND('A-10'!K93="-",'A-10'!K140="-",'A-10'!K187="-"),"-",SUM('A-10'!K93,'A-10'!K140,'A-10'!K187))</f>
        <v>2552</v>
      </c>
      <c r="M45" s="197"/>
      <c r="N45" s="203" t="s">
        <v>29</v>
      </c>
      <c r="O45" s="203" t="s">
        <v>29</v>
      </c>
      <c r="P45" s="203" t="s">
        <v>29</v>
      </c>
      <c r="Q45" s="203" t="str">
        <f>IF(AND('A-10'!M93="-",'A-10'!M140="-",'A-10'!M187="-"),"-",SUM('A-10'!M93,'A-10'!M140,'A-10'!M187))</f>
        <v>-</v>
      </c>
      <c r="R45" s="203">
        <f>IF(AND('A-10'!N93="-",'A-10'!N140="-",'A-10'!N187="-"),"-",SUM('A-10'!N93,'A-10'!N140,'A-10'!N187))</f>
        <v>245</v>
      </c>
      <c r="S45" s="203">
        <f>IF(AND('A-10'!O93="-",'A-10'!O140="-",'A-10'!O187="-"),"-",SUM('A-10'!O93,'A-10'!O140,'A-10'!O187))</f>
        <v>1180</v>
      </c>
      <c r="T45" s="203">
        <f>IF(AND('A-10'!P93="-",'A-10'!P140="-",'A-10'!P187="-"),"-",SUM('A-10'!P93,'A-10'!P140,'A-10'!P187))</f>
        <v>79</v>
      </c>
      <c r="U45" s="203">
        <f>IF(AND('A-10'!Q93="-",'A-10'!Q140="-",'A-10'!Q187="-"),"-",SUM('A-10'!Q93,'A-10'!Q140,'A-10'!Q187))</f>
        <v>4178</v>
      </c>
      <c r="V45" s="199">
        <f>IF(AND('A-10'!R93="-",'A-10'!R140="-",'A-10'!R187="-"),"-",SUM('A-10'!R93,'A-10'!R140,'A-10'!R187))</f>
        <v>22</v>
      </c>
      <c r="W45" s="199" t="s">
        <v>29</v>
      </c>
      <c r="X45" s="203">
        <f>IF(AND('A-10'!S93="-",'A-10'!S140="-",'A-10'!S187="-"),"-",SUM('A-10'!S93,'A-10'!S140,'A-10'!S187))</f>
        <v>5704</v>
      </c>
    </row>
    <row r="46" spans="1:27" ht="11.25" customHeight="1" x14ac:dyDescent="0.25">
      <c r="A46" s="402">
        <v>2017</v>
      </c>
      <c r="B46" s="203" t="s">
        <v>29</v>
      </c>
      <c r="C46" s="203">
        <f>IF(AND('A-10'!B94="-",'A-10'!B141="-",'A-10'!B188="-"),"-",SUM('A-10'!B94,'A-10'!B141,'A-10'!B188))</f>
        <v>0</v>
      </c>
      <c r="D46" s="203">
        <f>IF(AND('A-10'!C94="-",'A-10'!C141="-",'A-10'!C188="-"),"-",SUM('A-10'!C94,'A-10'!C141,'A-10'!C188))</f>
        <v>6</v>
      </c>
      <c r="E46" s="203">
        <f>IF(AND('A-10'!D94="-",'A-10'!D141="-",'A-10'!D188="-"),"-",SUM('A-10'!D94,'A-10'!D141,'A-10'!D188))</f>
        <v>89</v>
      </c>
      <c r="F46" s="203">
        <f>IF(AND('A-10'!E94="-",'A-10'!E141="-",'A-10'!E188="-"),"-",SUM('A-10'!E94,'A-10'!E141,'A-10'!E188))</f>
        <v>139</v>
      </c>
      <c r="G46" s="203">
        <f>IF(AND('A-10'!F94="-",'A-10'!F141="-",'A-10'!F188="-"),"-",SUM('A-10'!F94,'A-10'!F141,'A-10'!F188))</f>
        <v>508</v>
      </c>
      <c r="H46" s="203">
        <f>IF(AND('A-10'!G94="-",'A-10'!G141="-",'A-10'!G188="-"),"-",SUM('A-10'!G94,'A-10'!G141,'A-10'!G188))</f>
        <v>807</v>
      </c>
      <c r="I46" s="203">
        <f>IF(AND('A-10'!H94="-",'A-10'!H141="-",'A-10'!H188="-"),"-",SUM('A-10'!H94,'A-10'!H141,'A-10'!H188))</f>
        <v>592</v>
      </c>
      <c r="J46" s="203">
        <f>IF(AND('A-10'!I94="-",'A-10'!I141="-",'A-10'!I188="-"),"-",SUM('A-10'!I94,'A-10'!I141,'A-10'!I188))</f>
        <v>39</v>
      </c>
      <c r="K46" s="101" t="s">
        <v>116</v>
      </c>
      <c r="L46" s="203">
        <f>IF(AND('A-10'!K94="-",'A-10'!K141="-",'A-10'!K188="-"),"-",SUM('A-10'!K94,'A-10'!K141,'A-10'!K188))</f>
        <v>2180</v>
      </c>
      <c r="M46" s="197"/>
      <c r="N46" s="203" t="s">
        <v>29</v>
      </c>
      <c r="O46" s="203" t="s">
        <v>29</v>
      </c>
      <c r="P46" s="203" t="s">
        <v>29</v>
      </c>
      <c r="Q46" s="203" t="str">
        <f>IF(AND('A-10'!M94="-",'A-10'!M141="-",'A-10'!M188="-"),"-",SUM('A-10'!M94,'A-10'!M141,'A-10'!M188))</f>
        <v>-</v>
      </c>
      <c r="R46" s="203">
        <f>IF(AND('A-10'!N94="-",'A-10'!N141="-",'A-10'!N188="-"),"-",SUM('A-10'!N94,'A-10'!N141,'A-10'!N188))</f>
        <v>363</v>
      </c>
      <c r="S46" s="203">
        <f>IF(AND('A-10'!O94="-",'A-10'!O141="-",'A-10'!O188="-"),"-",SUM('A-10'!O94,'A-10'!O141,'A-10'!O188))</f>
        <v>5772</v>
      </c>
      <c r="T46" s="203">
        <f>IF(AND('A-10'!P94="-",'A-10'!P141="-",'A-10'!P188="-"),"-",SUM('A-10'!P94,'A-10'!P141,'A-10'!P188))</f>
        <v>3940</v>
      </c>
      <c r="U46" s="203">
        <f>IF(AND('A-10'!Q94="-",'A-10'!Q141="-",'A-10'!Q188="-"),"-",SUM('A-10'!Q94,'A-10'!Q141,'A-10'!Q188))</f>
        <v>4590</v>
      </c>
      <c r="V46" s="199" t="str">
        <f>IF(AND('A-10'!R94="-",'A-10'!R141="-",'A-10'!R188="-"),"-",SUM('A-10'!R94,'A-10'!R141,'A-10'!R188))</f>
        <v>-</v>
      </c>
      <c r="W46" s="199" t="s">
        <v>29</v>
      </c>
      <c r="X46" s="203">
        <f>IF(AND('A-10'!S94="-",'A-10'!S141="-",'A-10'!S188="-"),"-",SUM('A-10'!S94,'A-10'!S141,'A-10'!S188))</f>
        <v>14665</v>
      </c>
    </row>
    <row r="47" spans="1:27" s="358" customFormat="1" ht="11.25" customHeight="1" x14ac:dyDescent="0.25">
      <c r="A47" s="402">
        <v>2018</v>
      </c>
      <c r="B47" s="203" t="s">
        <v>29</v>
      </c>
      <c r="C47" s="203">
        <f>IF(AND('A-10'!B95="-",'A-10'!B142="-",'A-10'!B189="-"),"-",SUM('A-10'!B95,'A-10'!B142,'A-10'!B189))</f>
        <v>0</v>
      </c>
      <c r="D47" s="203">
        <f>IF(AND('A-10'!C95="-",'A-10'!C142="-",'A-10'!C189="-"),"-",SUM('A-10'!C95,'A-10'!C142,'A-10'!C189))</f>
        <v>4</v>
      </c>
      <c r="E47" s="203">
        <f>IF(AND('A-10'!D95="-",'A-10'!D142="-",'A-10'!D189="-"),"-",SUM('A-10'!D95,'A-10'!D142,'A-10'!D189))</f>
        <v>48</v>
      </c>
      <c r="F47" s="203">
        <f>IF(AND('A-10'!E95="-",'A-10'!E142="-",'A-10'!E189="-"),"-",SUM('A-10'!E95,'A-10'!E142,'A-10'!E189))</f>
        <v>139</v>
      </c>
      <c r="G47" s="203">
        <f>IF(AND('A-10'!F95="-",'A-10'!F142="-",'A-10'!F189="-"),"-",SUM('A-10'!F95,'A-10'!F142,'A-10'!F189))</f>
        <v>655</v>
      </c>
      <c r="H47" s="203">
        <f>IF(AND('A-10'!G95="-",'A-10'!G142="-",'A-10'!G189="-"),"-",SUM('A-10'!G95,'A-10'!G142,'A-10'!G189))</f>
        <v>1167</v>
      </c>
      <c r="I47" s="203">
        <f>IF(AND('A-10'!H95="-",'A-10'!H142="-",'A-10'!H189="-"),"-",SUM('A-10'!H95,'A-10'!H142,'A-10'!H189))</f>
        <v>621</v>
      </c>
      <c r="J47" s="203">
        <f>IF(AND('A-10'!I95="-",'A-10'!I142="-",'A-10'!I189="-"),"-",SUM('A-10'!I95,'A-10'!I142,'A-10'!I189))</f>
        <v>74</v>
      </c>
      <c r="K47" s="101" t="s">
        <v>116</v>
      </c>
      <c r="L47" s="203">
        <f>IF(AND('A-10'!K95="-",'A-10'!K142="-",'A-10'!K189="-"),"-",SUM('A-10'!K95,'A-10'!K142,'A-10'!K189))</f>
        <v>2708</v>
      </c>
      <c r="N47" s="203" t="s">
        <v>29</v>
      </c>
      <c r="O47" s="203" t="s">
        <v>29</v>
      </c>
      <c r="P47" s="203" t="s">
        <v>29</v>
      </c>
      <c r="Q47" s="203" t="str">
        <f>IF(AND('A-10'!M95="-",'A-10'!M142="-",'A-10'!M189="-"),"-",SUM('A-10'!M95,'A-10'!M142,'A-10'!M189))</f>
        <v>-</v>
      </c>
      <c r="R47" s="203">
        <f>IF(AND('A-10'!N95="-",'A-10'!N142="-",'A-10'!N189="-"),"-",SUM('A-10'!N95,'A-10'!N142,'A-10'!N189))</f>
        <v>31</v>
      </c>
      <c r="S47" s="203">
        <f>IF(AND('A-10'!O95="-",'A-10'!O142="-",'A-10'!O189="-"),"-",SUM('A-10'!O95,'A-10'!O142,'A-10'!O189))</f>
        <v>2978</v>
      </c>
      <c r="T47" s="203">
        <f>IF(AND('A-10'!P95="-",'A-10'!P142="-",'A-10'!P189="-"),"-",SUM('A-10'!P95,'A-10'!P142,'A-10'!P189))</f>
        <v>8581</v>
      </c>
      <c r="U47" s="203">
        <f>IF(AND('A-10'!Q95="-",'A-10'!Q142="-",'A-10'!Q189="-"),"-",SUM('A-10'!Q95,'A-10'!Q142,'A-10'!Q189))</f>
        <v>6936</v>
      </c>
      <c r="V47" s="199" t="str">
        <f>IF(AND('A-10'!R95="-",'A-10'!R142="-",'A-10'!R189="-"),"-",SUM('A-10'!R95,'A-10'!R142,'A-10'!R189))</f>
        <v>-</v>
      </c>
      <c r="W47" s="199" t="s">
        <v>29</v>
      </c>
      <c r="X47" s="203">
        <f>IF(AND('A-10'!S95="-",'A-10'!S142="-",'A-10'!S189="-"),"-",SUM('A-10'!S95,'A-10'!S142,'A-10'!S189))</f>
        <v>18526</v>
      </c>
    </row>
    <row r="48" spans="1:27" s="358" customFormat="1" ht="11.25" customHeight="1" x14ac:dyDescent="0.25">
      <c r="A48" s="491">
        <v>2019</v>
      </c>
      <c r="B48" s="203" t="s">
        <v>29</v>
      </c>
      <c r="C48" s="203">
        <f>IF(AND('A-10'!B96="-",'A-10'!B143="-",'A-10'!B190="-"),"-",SUM('A-10'!B96,'A-10'!B143,'A-10'!B190))</f>
        <v>10</v>
      </c>
      <c r="D48" s="203">
        <f>IF(AND('A-10'!C96="-",'A-10'!C143="-",'A-10'!C190="-"),"-",SUM('A-10'!C96,'A-10'!C143,'A-10'!C190))</f>
        <v>3</v>
      </c>
      <c r="E48" s="203">
        <f>IF(AND('A-10'!D96="-",'A-10'!D143="-",'A-10'!D190="-"),"-",SUM('A-10'!D96,'A-10'!D143,'A-10'!D190))</f>
        <v>103</v>
      </c>
      <c r="F48" s="203">
        <f>IF(AND('A-10'!E96="-",'A-10'!E143="-",'A-10'!E190="-"),"-",SUM('A-10'!E96,'A-10'!E143,'A-10'!E190))</f>
        <v>530</v>
      </c>
      <c r="G48" s="203">
        <f>IF(AND('A-10'!F96="-",'A-10'!F143="-",'A-10'!F190="-"),"-",SUM('A-10'!F96,'A-10'!F143,'A-10'!F190))</f>
        <v>2430</v>
      </c>
      <c r="H48" s="203">
        <f>IF(AND('A-10'!G96="-",'A-10'!G143="-",'A-10'!G190="-"),"-",SUM('A-10'!G96,'A-10'!G143,'A-10'!G190))</f>
        <v>725</v>
      </c>
      <c r="I48" s="203">
        <f>IF(AND('A-10'!H96="-",'A-10'!H143="-",'A-10'!H190="-"),"-",SUM('A-10'!H96,'A-10'!H143,'A-10'!H190))</f>
        <v>682</v>
      </c>
      <c r="J48" s="203">
        <f>IF(AND('A-10'!I96="-",'A-10'!I143="-",'A-10'!I190="-"),"-",SUM('A-10'!I96,'A-10'!I143,'A-10'!I190))</f>
        <v>256</v>
      </c>
      <c r="K48" s="101" t="s">
        <v>29</v>
      </c>
      <c r="L48" s="203">
        <f>IF(AND('A-10'!K96="-",'A-10'!K143="-",'A-10'!K190="-"),"-",SUM('A-10'!K96,'A-10'!K143,'A-10'!K190))</f>
        <v>4739</v>
      </c>
      <c r="N48" s="203" t="s">
        <v>29</v>
      </c>
      <c r="O48" s="203" t="s">
        <v>29</v>
      </c>
      <c r="P48" s="203" t="s">
        <v>29</v>
      </c>
      <c r="Q48" s="203" t="str">
        <f>IF(AND('A-10'!M96="-",'A-10'!M143="-",'A-10'!M190="-"),"-",SUM('A-10'!M96,'A-10'!M143,'A-10'!M190))</f>
        <v>-</v>
      </c>
      <c r="R48" s="203">
        <f>IF(AND('A-10'!N96="-",'A-10'!N143="-",'A-10'!N190="-"),"-",SUM('A-10'!N96,'A-10'!N143,'A-10'!N190))</f>
        <v>3805</v>
      </c>
      <c r="S48" s="203">
        <f>IF(AND('A-10'!O96="-",'A-10'!O143="-",'A-10'!O190="-"),"-",SUM('A-10'!O96,'A-10'!O143,'A-10'!O190))</f>
        <v>27301</v>
      </c>
      <c r="T48" s="203">
        <f>IF(AND('A-10'!P96="-",'A-10'!P143="-",'A-10'!P190="-"),"-",SUM('A-10'!P96,'A-10'!P143,'A-10'!P190))</f>
        <v>12366</v>
      </c>
      <c r="U48" s="203">
        <f>IF(AND('A-10'!Q96="-",'A-10'!Q143="-",'A-10'!Q190="-"),"-",SUM('A-10'!Q96,'A-10'!Q143,'A-10'!Q190))</f>
        <v>5070</v>
      </c>
      <c r="V48" s="199">
        <f>IF(AND('A-10'!R96="-",'A-10'!R143="-",'A-10'!R190="-"),"-",SUM('A-10'!R96,'A-10'!R143,'A-10'!R190))</f>
        <v>5</v>
      </c>
      <c r="W48" s="199" t="s">
        <v>29</v>
      </c>
      <c r="X48" s="203">
        <f>IF(AND('A-10'!S96="-",'A-10'!S143="-",'A-10'!S190="-"),"-",SUM('A-10'!S96,'A-10'!S143,'A-10'!S190))</f>
        <v>48547</v>
      </c>
    </row>
    <row r="49" spans="1:24" ht="11.25" customHeight="1" x14ac:dyDescent="0.25">
      <c r="A49" s="491" t="s">
        <v>393</v>
      </c>
      <c r="B49" s="200" t="s">
        <v>29</v>
      </c>
      <c r="C49" s="200">
        <f>IF(AND('A-10'!B97="-",'A-10'!B144="-",'A-10'!B191="-"),"-",SUM('A-10'!B97,'A-10'!B144,'A-10'!B191))</f>
        <v>0</v>
      </c>
      <c r="D49" s="200">
        <f>IF(AND('A-10'!C97="-",'A-10'!C144="-",'A-10'!C191="-"),"-",SUM('A-10'!C97,'A-10'!C144,'A-10'!C191))</f>
        <v>4</v>
      </c>
      <c r="E49" s="200">
        <f>IF(AND('A-10'!D97="-",'A-10'!D144="-",'A-10'!D191="-"),"-",SUM('A-10'!D97,'A-10'!D144,'A-10'!D191))</f>
        <v>38</v>
      </c>
      <c r="F49" s="200">
        <f>IF(AND('A-10'!E97="-",'A-10'!E144="-",'A-10'!E191="-"),"-",SUM('A-10'!E97,'A-10'!E144,'A-10'!E191))</f>
        <v>89</v>
      </c>
      <c r="G49" s="200">
        <f>IF(AND('A-10'!F97="-",'A-10'!F144="-",'A-10'!F191="-"),"-",SUM('A-10'!F97,'A-10'!F144,'A-10'!F191))</f>
        <v>2825</v>
      </c>
      <c r="H49" s="200">
        <f>IF(AND('A-10'!G97="-",'A-10'!G144="-",'A-10'!G191="-"),"-",SUM('A-10'!G97,'A-10'!G144,'A-10'!G191))</f>
        <v>846</v>
      </c>
      <c r="I49" s="200">
        <f>IF(AND('A-10'!H97="-",'A-10'!H144="-",'A-10'!H191="-"),"-",SUM('A-10'!H97,'A-10'!H144,'A-10'!H191))</f>
        <v>1338</v>
      </c>
      <c r="J49" s="200">
        <f>IF(AND('A-10'!I97="-",'A-10'!I144="-",'A-10'!I191="-"),"-",SUM('A-10'!I97,'A-10'!I144,'A-10'!I191))</f>
        <v>219</v>
      </c>
      <c r="K49" s="101" t="s">
        <v>29</v>
      </c>
      <c r="L49" s="200">
        <f>IF(AND('A-10'!K97="-",'A-10'!K144="-",'A-10'!K191="-"),"-",SUM('A-10'!K97,'A-10'!K144,'A-10'!K191))</f>
        <v>5359</v>
      </c>
      <c r="N49" s="200" t="s">
        <v>29</v>
      </c>
      <c r="O49" s="200" t="s">
        <v>29</v>
      </c>
      <c r="P49" s="200" t="s">
        <v>29</v>
      </c>
      <c r="Q49" s="200" t="str">
        <f>IF(AND('A-10'!M97="-",'A-10'!M144="-",'A-10'!M191="-"),"-",SUM('A-10'!M97,'A-10'!M144,'A-10'!M191))</f>
        <v>-</v>
      </c>
      <c r="R49" s="200">
        <f>IF(AND('A-10'!N97="-",'A-10'!N144="-",'A-10'!N191="-"),"-",SUM('A-10'!N97,'A-10'!N144,'A-10'!N191))</f>
        <v>0</v>
      </c>
      <c r="S49" s="200">
        <f>IF(AND('A-10'!O97="-",'A-10'!O144="-",'A-10'!O191="-"),"-",SUM('A-10'!O97,'A-10'!O144,'A-10'!O191))</f>
        <v>7727</v>
      </c>
      <c r="T49" s="200">
        <f>IF(AND('A-10'!P97="-",'A-10'!P144="-",'A-10'!P191="-"),"-",SUM('A-10'!P97,'A-10'!P144,'A-10'!P191))</f>
        <v>5115</v>
      </c>
      <c r="U49" s="200">
        <f>IF(AND('A-10'!Q97="-",'A-10'!Q144="-",'A-10'!Q191="-"),"-",SUM('A-10'!Q97,'A-10'!Q144,'A-10'!Q191))</f>
        <v>4245</v>
      </c>
      <c r="V49" s="198" t="str">
        <f>IF(AND('A-10'!R97="-",'A-10'!R144="-",'A-10'!R191="-"),"-",SUM('A-10'!R97,'A-10'!R144,'A-10'!R191))</f>
        <v>-</v>
      </c>
      <c r="W49" s="198" t="s">
        <v>29</v>
      </c>
      <c r="X49" s="200">
        <f>IF(AND('A-10'!S97="-",'A-10'!S144="-",'A-10'!S191="-"),"-",SUM('A-10'!S97,'A-10'!S144,'A-10'!S191))</f>
        <v>17087</v>
      </c>
    </row>
    <row r="50" spans="1:24" ht="11.25" customHeight="1" x14ac:dyDescent="0.25">
      <c r="A50" s="383"/>
    </row>
    <row r="51" spans="1:24" ht="11.25" customHeight="1" x14ac:dyDescent="0.25">
      <c r="A51" s="116" t="s">
        <v>304</v>
      </c>
    </row>
    <row r="52" spans="1:24" ht="11.25" customHeight="1" x14ac:dyDescent="0.25">
      <c r="A52" s="383">
        <v>1976</v>
      </c>
      <c r="B52" s="200" t="s">
        <v>29</v>
      </c>
      <c r="C52" s="200">
        <f>IF(AND('A-10'!B194="-",'A-5'!C5="-",'A-5'!C52="-"),"-",SUM('A-10'!B194,'A-5'!C5,'A-5'!C52))</f>
        <v>0</v>
      </c>
      <c r="D52" s="200">
        <f>IF(AND('A-10'!C194="-",'A-5'!D5="-",'A-5'!D52="-"),"-",SUM('A-10'!C194,'A-5'!D5,'A-5'!D52))</f>
        <v>0</v>
      </c>
      <c r="E52" s="200">
        <f>IF(AND('A-10'!D194="-",'A-5'!E5="-",'A-5'!E52="-"),"-",SUM('A-10'!D194,'A-5'!E5,'A-5'!E52))</f>
        <v>66</v>
      </c>
      <c r="F52" s="200">
        <f>IF(AND('A-10'!E194="-",'A-5'!F5="-",'A-5'!F52="-"),"-",SUM('A-10'!E194,'A-5'!F5,'A-5'!F52))</f>
        <v>4875</v>
      </c>
      <c r="G52" s="200">
        <f>IF(AND('A-10'!F194="-",'A-5'!G5="-",'A-5'!G52="-"),"-",SUM('A-10'!F194,'A-5'!G5,'A-5'!G52))</f>
        <v>7298</v>
      </c>
      <c r="H52" s="200">
        <f>IF(AND('A-10'!G194="-",'A-5'!H5="-",'A-5'!H52="-"),"-",SUM('A-10'!G194,'A-5'!H5,'A-5'!H52))</f>
        <v>9136</v>
      </c>
      <c r="I52" s="200">
        <f>IF(AND('A-10'!H194="-",'A-5'!I5="-",'A-5'!I52="-"),"-",SUM('A-10'!H194,'A-5'!I5,'A-5'!I52))</f>
        <v>1054</v>
      </c>
      <c r="J52" s="200">
        <f>IF(AND('A-10'!I194="-",'A-5'!J5="-",'A-5'!J52="-"),"-",SUM('A-10'!I194,'A-5'!J5,'A-5'!J52))</f>
        <v>723</v>
      </c>
      <c r="K52" s="200">
        <f>IF(AND('A-10'!J194="-",'A-5'!K5="-",'A-5'!K52="-"),"-",SUM('A-10'!J194,'A-5'!K5,'A-5'!K52))</f>
        <v>112</v>
      </c>
      <c r="L52" s="200">
        <f t="shared" ref="L52:L79" si="0">SUM(B52:K52)</f>
        <v>23264</v>
      </c>
      <c r="N52" s="200" t="str">
        <f>IF(OR(ISNUMBER('A-5'!N5),ISNUMBER('A-5'!N52)),SUM('A-5'!N5,'A-5'!N52),IF(OR('A-5'!N5="--",'A-5'!N52="--"),"--","-"))</f>
        <v>--</v>
      </c>
      <c r="O52" s="200" t="str">
        <f>IF(OR(ISNUMBER('A-5'!O5),ISNUMBER('A-5'!O52)),SUM('A-5'!O5,'A-5'!O52),IF(OR('A-5'!O5="--",'A-5'!O52="--"),"--","-"))</f>
        <v>--</v>
      </c>
      <c r="P52" s="200">
        <f>IF(OR(ISNUMBER('A-5'!P5),ISNUMBER('A-5'!P52)),SUM('A-5'!P5,'A-5'!P52),IF(OR('A-5'!P5="--",'A-5'!P52="--"),"--","-"))</f>
        <v>0</v>
      </c>
      <c r="Q52" s="200">
        <f>IF(AND('A-10'!M194="-",'A-5'!Q5="-",'A-5'!Q52="-"),"-",SUM('A-10'!M194,'A-5'!Q5,'A-5'!Q52))</f>
        <v>1480</v>
      </c>
      <c r="R52" s="200">
        <f>IF(AND('A-10'!N194="-",'A-5'!R5="-",'A-5'!R52="-"),"-",SUM('A-10'!N194,'A-5'!R5,'A-5'!R52))</f>
        <v>13574</v>
      </c>
      <c r="S52" s="200">
        <f>IF(AND('A-10'!O194="-",'A-5'!S5="-",'A-5'!S52="-"),"-",SUM('A-10'!O194,'A-5'!S5,'A-5'!S52))</f>
        <v>45902</v>
      </c>
      <c r="T52" s="200">
        <f>IF(AND('A-10'!P194="-",'A-5'!T5="-",'A-5'!T52="-"),"-",SUM('A-10'!P194,'A-5'!T5,'A-5'!T52))</f>
        <v>23212</v>
      </c>
      <c r="U52" s="200">
        <f>IF(AND('A-10'!Q194="-",'A-5'!U5="-",'A-5'!U52="-"),"-",SUM('A-10'!Q194,'A-5'!U5,'A-5'!U52))</f>
        <v>1934</v>
      </c>
      <c r="V52" s="200">
        <f>IF(AND('A-10'!R194="-",'A-5'!V5="-",'A-5'!V52="-"),"-",SUM('A-10'!R194,'A-5'!V5,'A-5'!V52))</f>
        <v>2072</v>
      </c>
      <c r="W52" s="200">
        <f>IF(AND('A-5'!W5="-",'A-5'!W52="-"),"-",SUM('A-5'!W5,'A-5'!W52))</f>
        <v>0</v>
      </c>
      <c r="X52" s="200">
        <f t="shared" ref="X52:X79" si="1">SUM(N52:W52)</f>
        <v>88174</v>
      </c>
    </row>
    <row r="53" spans="1:24" ht="11.25" customHeight="1" x14ac:dyDescent="0.25">
      <c r="A53" s="383">
        <v>1977</v>
      </c>
      <c r="B53" s="200" t="s">
        <v>29</v>
      </c>
      <c r="C53" s="200">
        <f>IF(AND('A-10'!B195="-",'A-5'!C6="-",'A-5'!C53="-"),"-",SUM('A-10'!B195,'A-5'!C6,'A-5'!C53))</f>
        <v>0</v>
      </c>
      <c r="D53" s="200">
        <f>IF(AND('A-10'!C195="-",'A-5'!D6="-",'A-5'!D53="-"),"-",SUM('A-10'!C195,'A-5'!D6,'A-5'!D53))</f>
        <v>0</v>
      </c>
      <c r="E53" s="200">
        <f>IF(AND('A-10'!D195="-",'A-5'!E6="-",'A-5'!E53="-"),"-",SUM('A-10'!D195,'A-5'!E6,'A-5'!E53))</f>
        <v>1053</v>
      </c>
      <c r="F53" s="200">
        <f>IF(AND('A-10'!E195="-",'A-5'!F6="-",'A-5'!F53="-"),"-",SUM('A-10'!E195,'A-5'!F6,'A-5'!F53))</f>
        <v>887</v>
      </c>
      <c r="G53" s="200">
        <f>IF(AND('A-10'!F195="-",'A-5'!G6="-",'A-5'!G53="-"),"-",SUM('A-10'!F195,'A-5'!G6,'A-5'!G53))</f>
        <v>20272</v>
      </c>
      <c r="H53" s="200">
        <f>IF(AND('A-10'!G195="-",'A-5'!H6="-",'A-5'!H53="-"),"-",SUM('A-10'!G195,'A-5'!H6,'A-5'!H53))</f>
        <v>7491</v>
      </c>
      <c r="I53" s="200">
        <f>IF(AND('A-10'!H195="-",'A-5'!I6="-",'A-5'!I53="-"),"-",SUM('A-10'!H195,'A-5'!I6,'A-5'!I53))</f>
        <v>1184</v>
      </c>
      <c r="J53" s="200">
        <f>IF(AND('A-10'!I195="-",'A-5'!J6="-",'A-5'!J53="-"),"-",SUM('A-10'!I195,'A-5'!J6,'A-5'!J53))</f>
        <v>1175</v>
      </c>
      <c r="K53" s="200">
        <f>IF(AND('A-10'!J195="-",'A-5'!K6="-",'A-5'!K53="-"),"-",SUM('A-10'!J195,'A-5'!K6,'A-5'!K53))</f>
        <v>59</v>
      </c>
      <c r="L53" s="200">
        <f t="shared" si="0"/>
        <v>32121</v>
      </c>
      <c r="N53" s="200" t="str">
        <f>IF(OR(ISNUMBER('A-5'!N6),ISNUMBER('A-5'!N53)),SUM('A-5'!N6,'A-5'!N53),IF(OR('A-5'!N6="--",'A-5'!N53="--"),"--","-"))</f>
        <v>--</v>
      </c>
      <c r="O53" s="200" t="str">
        <f>IF(OR(ISNUMBER('A-5'!O6),ISNUMBER('A-5'!O53)),SUM('A-5'!O6,'A-5'!O53),IF(OR('A-5'!O6="--",'A-5'!O53="--"),"--","-"))</f>
        <v>--</v>
      </c>
      <c r="P53" s="200">
        <f>IF(OR(ISNUMBER('A-5'!P6),ISNUMBER('A-5'!P53)),SUM('A-5'!P6,'A-5'!P53),IF(OR('A-5'!P6="--",'A-5'!P53="--"),"--","-"))</f>
        <v>0</v>
      </c>
      <c r="Q53" s="200">
        <f>IF(AND('A-10'!M195="-",'A-5'!Q6="-",'A-5'!Q53="-"),"-",SUM('A-10'!M195,'A-5'!Q6,'A-5'!Q53))</f>
        <v>596</v>
      </c>
      <c r="R53" s="200">
        <f>IF(AND('A-10'!N195="-",'A-5'!R6="-",'A-5'!R53="-"),"-",SUM('A-10'!N195,'A-5'!R6,'A-5'!R53))</f>
        <v>239</v>
      </c>
      <c r="S53" s="200">
        <f>IF(AND('A-10'!O195="-",'A-5'!S6="-",'A-5'!S53="-"),"-",SUM('A-10'!O195,'A-5'!S6,'A-5'!S53))</f>
        <v>17464</v>
      </c>
      <c r="T53" s="200">
        <f>IF(AND('A-10'!P195="-",'A-5'!T6="-",'A-5'!T53="-"),"-",SUM('A-10'!P195,'A-5'!T6,'A-5'!T53))</f>
        <v>5736</v>
      </c>
      <c r="U53" s="200">
        <f>IF(AND('A-10'!Q195="-",'A-5'!U6="-",'A-5'!U53="-"),"-",SUM('A-10'!Q195,'A-5'!U6,'A-5'!U53))</f>
        <v>267</v>
      </c>
      <c r="V53" s="200">
        <f>IF(AND('A-10'!R195="-",'A-5'!V6="-",'A-5'!V53="-"),"-",SUM('A-10'!R195,'A-5'!V6,'A-5'!V53))</f>
        <v>59</v>
      </c>
      <c r="W53" s="200">
        <f>IF(AND('A-5'!W6="-",'A-5'!W53="-"),"-",SUM('A-5'!W6,'A-5'!W53))</f>
        <v>0</v>
      </c>
      <c r="X53" s="200">
        <f t="shared" si="1"/>
        <v>24361</v>
      </c>
    </row>
    <row r="54" spans="1:24" ht="11.25" customHeight="1" x14ac:dyDescent="0.25">
      <c r="A54" s="383">
        <v>1978</v>
      </c>
      <c r="B54" s="200" t="s">
        <v>29</v>
      </c>
      <c r="C54" s="200">
        <f>IF(AND('A-10'!B196="-",'A-5'!C7="-",'A-5'!C54="-"),"-",SUM('A-10'!B196,'A-5'!C7,'A-5'!C54))</f>
        <v>0</v>
      </c>
      <c r="D54" s="200">
        <f>IF(AND('A-10'!C196="-",'A-5'!D7="-",'A-5'!D54="-"),"-",SUM('A-10'!C196,'A-5'!D7,'A-5'!D54))</f>
        <v>0</v>
      </c>
      <c r="E54" s="200">
        <f>IF(AND('A-10'!D196="-",'A-5'!E7="-",'A-5'!E54="-"),"-",SUM('A-10'!D196,'A-5'!E7,'A-5'!E54))</f>
        <v>83</v>
      </c>
      <c r="F54" s="200">
        <f>IF(AND('A-10'!E196="-",'A-5'!F7="-",'A-5'!F54="-"),"-",SUM('A-10'!E196,'A-5'!F7,'A-5'!F54))</f>
        <v>3072</v>
      </c>
      <c r="G54" s="200">
        <f>IF(AND('A-10'!F196="-",'A-5'!G7="-",'A-5'!G54="-"),"-",SUM('A-10'!F196,'A-5'!G7,'A-5'!G54))</f>
        <v>3240</v>
      </c>
      <c r="H54" s="200">
        <f>IF(AND('A-10'!G196="-",'A-5'!H7="-",'A-5'!H54="-"),"-",SUM('A-10'!G196,'A-5'!H7,'A-5'!H54))</f>
        <v>3612</v>
      </c>
      <c r="I54" s="200">
        <f>IF(AND('A-10'!H196="-",'A-5'!I7="-",'A-5'!I54="-"),"-",SUM('A-10'!H196,'A-5'!I7,'A-5'!I54))</f>
        <v>615</v>
      </c>
      <c r="J54" s="200">
        <f>IF(AND('A-10'!I196="-",'A-5'!J7="-",'A-5'!J54="-"),"-",SUM('A-10'!I196,'A-5'!J7,'A-5'!J54))</f>
        <v>771</v>
      </c>
      <c r="K54" s="200">
        <f>IF(AND('A-10'!J196="-",'A-5'!K7="-",'A-5'!K54="-"),"-",SUM('A-10'!J196,'A-5'!K7,'A-5'!K54))</f>
        <v>79</v>
      </c>
      <c r="L54" s="200">
        <f t="shared" si="0"/>
        <v>11472</v>
      </c>
      <c r="N54" s="200" t="str">
        <f>IF(OR(ISNUMBER('A-5'!N7),ISNUMBER('A-5'!N54)),SUM('A-5'!N7,'A-5'!N54),IF(OR('A-5'!N7="--",'A-5'!N54="--"),"--","-"))</f>
        <v>--</v>
      </c>
      <c r="O54" s="200" t="str">
        <f>IF(OR(ISNUMBER('A-5'!O7),ISNUMBER('A-5'!O54)),SUM('A-5'!O7,'A-5'!O54),IF(OR('A-5'!O7="--",'A-5'!O54="--"),"--","-"))</f>
        <v>--</v>
      </c>
      <c r="P54" s="200">
        <f>IF(OR(ISNUMBER('A-5'!P7),ISNUMBER('A-5'!P54)),SUM('A-5'!P7,'A-5'!P54),IF(OR('A-5'!P7="--",'A-5'!P54="--"),"--","-"))</f>
        <v>1</v>
      </c>
      <c r="Q54" s="200">
        <f>IF(AND('A-10'!M196="-",'A-5'!Q7="-",'A-5'!Q54="-"),"-",SUM('A-10'!M196,'A-5'!Q7,'A-5'!Q54))</f>
        <v>196</v>
      </c>
      <c r="R54" s="200">
        <f>IF(AND('A-10'!N196="-",'A-5'!R7="-",'A-5'!R54="-"),"-",SUM('A-10'!N196,'A-5'!R7,'A-5'!R54))</f>
        <v>48335</v>
      </c>
      <c r="S54" s="200">
        <f>IF(AND('A-10'!O196="-",'A-5'!S7="-",'A-5'!S54="-"),"-",SUM('A-10'!O196,'A-5'!S7,'A-5'!S54))</f>
        <v>28996</v>
      </c>
      <c r="T54" s="200">
        <f>IF(AND('A-10'!P196="-",'A-5'!T7="-",'A-5'!T54="-"),"-",SUM('A-10'!P196,'A-5'!T7,'A-5'!T54))</f>
        <v>6869</v>
      </c>
      <c r="U54" s="200">
        <f>IF(AND('A-10'!Q196="-",'A-5'!U7="-",'A-5'!U54="-"),"-",SUM('A-10'!Q196,'A-5'!U7,'A-5'!U54))</f>
        <v>699</v>
      </c>
      <c r="V54" s="200">
        <f>IF(AND('A-10'!R196="-",'A-5'!V7="-",'A-5'!V54="-"),"-",SUM('A-10'!R196,'A-5'!V7,'A-5'!V54))</f>
        <v>18</v>
      </c>
      <c r="W54" s="200">
        <f>IF(AND('A-5'!W7="-",'A-5'!W54="-"),"-",SUM('A-5'!W7,'A-5'!W54))</f>
        <v>0</v>
      </c>
      <c r="X54" s="200">
        <f t="shared" si="1"/>
        <v>85114</v>
      </c>
    </row>
    <row r="55" spans="1:24" ht="11.25" customHeight="1" x14ac:dyDescent="0.25">
      <c r="A55" s="383">
        <v>1979</v>
      </c>
      <c r="B55" s="200" t="s">
        <v>29</v>
      </c>
      <c r="C55" s="200">
        <f>IF(AND('A-10'!B197="-",'A-5'!C8="-",'A-5'!C55="-"),"-",SUM('A-10'!B197,'A-5'!C8,'A-5'!C55))</f>
        <v>0</v>
      </c>
      <c r="D55" s="200">
        <f>IF(AND('A-10'!C197="-",'A-5'!D8="-",'A-5'!D55="-"),"-",SUM('A-10'!C197,'A-5'!D8,'A-5'!D55))</f>
        <v>1</v>
      </c>
      <c r="E55" s="200">
        <f>IF(AND('A-10'!D197="-",'A-5'!E8="-",'A-5'!E55="-"),"-",SUM('A-10'!D197,'A-5'!E8,'A-5'!E55))</f>
        <v>14</v>
      </c>
      <c r="F55" s="200">
        <f>IF(AND('A-10'!E197="-",'A-5'!F8="-",'A-5'!F55="-"),"-",SUM('A-10'!E197,'A-5'!F8,'A-5'!F55))</f>
        <v>1547</v>
      </c>
      <c r="G55" s="200">
        <f>IF(AND('A-10'!F197="-",'A-5'!G8="-",'A-5'!G55="-"),"-",SUM('A-10'!F197,'A-5'!G8,'A-5'!G55))</f>
        <v>5146</v>
      </c>
      <c r="H55" s="200">
        <f>IF(AND('A-10'!G197="-",'A-5'!H8="-",'A-5'!H55="-"),"-",SUM('A-10'!G197,'A-5'!H8,'A-5'!H55))</f>
        <v>5486</v>
      </c>
      <c r="I55" s="200">
        <f>IF(AND('A-10'!H197="-",'A-5'!I8="-",'A-5'!I55="-"),"-",SUM('A-10'!H197,'A-5'!I8,'A-5'!I55))</f>
        <v>65</v>
      </c>
      <c r="J55" s="200">
        <f>IF(AND('A-10'!I197="-",'A-5'!J8="-",'A-5'!J55="-"),"-",SUM('A-10'!I197,'A-5'!J8,'A-5'!J55))</f>
        <v>618</v>
      </c>
      <c r="K55" s="200">
        <f>IF(AND('A-10'!J197="-",'A-5'!K8="-",'A-5'!K55="-"),"-",SUM('A-10'!J197,'A-5'!K8,'A-5'!K55))</f>
        <v>60</v>
      </c>
      <c r="L55" s="200">
        <f t="shared" si="0"/>
        <v>12937</v>
      </c>
      <c r="N55" s="200" t="str">
        <f>IF(OR(ISNUMBER('A-5'!N8),ISNUMBER('A-5'!N55)),SUM('A-5'!N8,'A-5'!N55),IF(OR('A-5'!N8="--",'A-5'!N55="--"),"--","-"))</f>
        <v>--</v>
      </c>
      <c r="O55" s="200" t="str">
        <f>IF(OR(ISNUMBER('A-5'!O8),ISNUMBER('A-5'!O55)),SUM('A-5'!O8,'A-5'!O55),IF(OR('A-5'!O8="--",'A-5'!O55="--"),"--","-"))</f>
        <v>--</v>
      </c>
      <c r="P55" s="200">
        <f>IF(OR(ISNUMBER('A-5'!P8),ISNUMBER('A-5'!P55)),SUM('A-5'!P8,'A-5'!P55),IF(OR('A-5'!P8="--",'A-5'!P55="--"),"--","-"))</f>
        <v>3</v>
      </c>
      <c r="Q55" s="200">
        <f>IF(AND('A-10'!M197="-",'A-5'!Q8="-",'A-5'!Q55="-"),"-",SUM('A-10'!M197,'A-5'!Q8,'A-5'!Q55))</f>
        <v>53</v>
      </c>
      <c r="R55" s="200">
        <f>IF(AND('A-10'!N197="-",'A-5'!R8="-",'A-5'!R55="-"),"-",SUM('A-10'!N197,'A-5'!R8,'A-5'!R55))</f>
        <v>5704</v>
      </c>
      <c r="S55" s="200">
        <f>IF(AND('A-10'!O197="-",'A-5'!S8="-",'A-5'!S55="-"),"-",SUM('A-10'!O197,'A-5'!S8,'A-5'!S55))</f>
        <v>25563</v>
      </c>
      <c r="T55" s="200">
        <f>IF(AND('A-10'!P197="-",'A-5'!T8="-",'A-5'!T55="-"),"-",SUM('A-10'!P197,'A-5'!T8,'A-5'!T55))</f>
        <v>6184</v>
      </c>
      <c r="U55" s="200">
        <f>IF(AND('A-10'!Q197="-",'A-5'!U8="-",'A-5'!U55="-"),"-",SUM('A-10'!Q197,'A-5'!U8,'A-5'!U55))</f>
        <v>0</v>
      </c>
      <c r="V55" s="200">
        <f>IF(AND('A-10'!R197="-",'A-5'!V8="-",'A-5'!V55="-"),"-",SUM('A-10'!R197,'A-5'!V8,'A-5'!V55))</f>
        <v>0</v>
      </c>
      <c r="W55" s="200" t="str">
        <f>IF(AND('A-5'!W8="-",'A-5'!W55="-"),"-",SUM('A-5'!W8,'A-5'!W55))</f>
        <v>-</v>
      </c>
      <c r="X55" s="200">
        <f t="shared" si="1"/>
        <v>37507</v>
      </c>
    </row>
    <row r="56" spans="1:24" ht="11.25" customHeight="1" x14ac:dyDescent="0.25">
      <c r="A56" s="383">
        <v>1980</v>
      </c>
      <c r="B56" s="200" t="s">
        <v>29</v>
      </c>
      <c r="C56" s="200">
        <f>IF(AND('A-10'!B198="-",'A-5'!C9="-",'A-5'!C56="-"),"-",SUM('A-10'!B198,'A-5'!C9,'A-5'!C56))</f>
        <v>0</v>
      </c>
      <c r="D56" s="200">
        <f>IF(AND('A-10'!C198="-",'A-5'!D9="-",'A-5'!D56="-"),"-",SUM('A-10'!C198,'A-5'!D9,'A-5'!D56))</f>
        <v>0</v>
      </c>
      <c r="E56" s="200">
        <f>IF(AND('A-10'!D198="-",'A-5'!E9="-",'A-5'!E56="-"),"-",SUM('A-10'!D198,'A-5'!E9,'A-5'!E56))</f>
        <v>45</v>
      </c>
      <c r="F56" s="200">
        <f>IF(AND('A-10'!E198="-",'A-5'!F9="-",'A-5'!F56="-"),"-",SUM('A-10'!E198,'A-5'!F9,'A-5'!F56))</f>
        <v>3112</v>
      </c>
      <c r="G56" s="200">
        <f>IF(AND('A-10'!F198="-",'A-5'!G9="-",'A-5'!G56="-"),"-",SUM('A-10'!F198,'A-5'!G9,'A-5'!G56))</f>
        <v>5116</v>
      </c>
      <c r="H56" s="200">
        <f>IF(AND('A-10'!G198="-",'A-5'!H9="-",'A-5'!H56="-"),"-",SUM('A-10'!G198,'A-5'!H9,'A-5'!H56))</f>
        <v>2297</v>
      </c>
      <c r="I56" s="200">
        <f>IF(AND('A-10'!H198="-",'A-5'!I9="-",'A-5'!I56="-"),"-",SUM('A-10'!H198,'A-5'!I9,'A-5'!I56))</f>
        <v>613</v>
      </c>
      <c r="J56" s="200">
        <f>IF(AND('A-10'!I198="-",'A-5'!J9="-",'A-5'!J56="-"),"-",SUM('A-10'!I198,'A-5'!J9,'A-5'!J56))</f>
        <v>319</v>
      </c>
      <c r="K56" s="200">
        <f>IF(AND('A-10'!J198="-",'A-5'!K9="-",'A-5'!K56="-"),"-",SUM('A-10'!J198,'A-5'!K9,'A-5'!K56))</f>
        <v>63</v>
      </c>
      <c r="L56" s="200">
        <f t="shared" si="0"/>
        <v>11565</v>
      </c>
      <c r="N56" s="200" t="str">
        <f>IF(OR(ISNUMBER('A-5'!N9),ISNUMBER('A-5'!N56)),SUM('A-5'!N9,'A-5'!N56),IF(OR('A-5'!N9="--",'A-5'!N56="--"),"--","-"))</f>
        <v>--</v>
      </c>
      <c r="O56" s="200" t="str">
        <f>IF(OR(ISNUMBER('A-5'!O9),ISNUMBER('A-5'!O56)),SUM('A-5'!O9,'A-5'!O56),IF(OR('A-5'!O9="--",'A-5'!O56="--"),"--","-"))</f>
        <v>--</v>
      </c>
      <c r="P56" s="200">
        <f>IF(OR(ISNUMBER('A-5'!P9),ISNUMBER('A-5'!P56)),SUM('A-5'!P9,'A-5'!P56),IF(OR('A-5'!P9="--",'A-5'!P56="--"),"--","-"))</f>
        <v>0</v>
      </c>
      <c r="Q56" s="200">
        <f>IF(AND('A-10'!M198="-",'A-5'!Q9="-",'A-5'!Q56="-"),"-",SUM('A-10'!M198,'A-5'!Q9,'A-5'!Q56))</f>
        <v>92</v>
      </c>
      <c r="R56" s="200">
        <f>IF(AND('A-10'!N198="-",'A-5'!R9="-",'A-5'!R56="-"),"-",SUM('A-10'!N198,'A-5'!R9,'A-5'!R56))</f>
        <v>21103</v>
      </c>
      <c r="S56" s="200">
        <f>IF(AND('A-10'!O198="-",'A-5'!S9="-",'A-5'!S56="-"),"-",SUM('A-10'!O198,'A-5'!S9,'A-5'!S56))</f>
        <v>27549</v>
      </c>
      <c r="T56" s="200">
        <f>IF(AND('A-10'!P198="-",'A-5'!T9="-",'A-5'!T56="-"),"-",SUM('A-10'!P198,'A-5'!T9,'A-5'!T56))</f>
        <v>3171</v>
      </c>
      <c r="U56" s="200">
        <f>IF(AND('A-10'!Q198="-",'A-5'!U9="-",'A-5'!U56="-"),"-",SUM('A-10'!Q198,'A-5'!U9,'A-5'!U56))</f>
        <v>667</v>
      </c>
      <c r="V56" s="200">
        <f>IF(AND('A-10'!R198="-",'A-5'!V9="-",'A-5'!V56="-"),"-",SUM('A-10'!R198,'A-5'!V9,'A-5'!V56))</f>
        <v>0</v>
      </c>
      <c r="W56" s="200" t="str">
        <f>IF(AND('A-5'!W9="-",'A-5'!W56="-"),"-",SUM('A-5'!W9,'A-5'!W56))</f>
        <v>-</v>
      </c>
      <c r="X56" s="200">
        <f t="shared" si="1"/>
        <v>52582</v>
      </c>
    </row>
    <row r="57" spans="1:24" ht="11.25" customHeight="1" x14ac:dyDescent="0.25">
      <c r="A57" s="383">
        <v>1981</v>
      </c>
      <c r="B57" s="200" t="s">
        <v>29</v>
      </c>
      <c r="C57" s="200">
        <f>IF(AND('A-10'!B199="-",'A-5'!C10="-",'A-5'!C57="-"),"-",SUM('A-10'!B199,'A-5'!C10,'A-5'!C57))</f>
        <v>0</v>
      </c>
      <c r="D57" s="200">
        <f>IF(AND('A-10'!C199="-",'A-5'!D10="-",'A-5'!D57="-"),"-",SUM('A-10'!C199,'A-5'!D10,'A-5'!D57))</f>
        <v>0</v>
      </c>
      <c r="E57" s="200">
        <f>IF(AND('A-10'!D199="-",'A-5'!E10="-",'A-5'!E57="-"),"-",SUM('A-10'!D199,'A-5'!E10,'A-5'!E57))</f>
        <v>469</v>
      </c>
      <c r="F57" s="200">
        <f>IF(AND('A-10'!E199="-",'A-5'!F10="-",'A-5'!F57="-"),"-",SUM('A-10'!E199,'A-5'!F10,'A-5'!F57))</f>
        <v>3062</v>
      </c>
      <c r="G57" s="200">
        <f>IF(AND('A-10'!F199="-",'A-5'!G10="-",'A-5'!G57="-"),"-",SUM('A-10'!F199,'A-5'!G10,'A-5'!G57))</f>
        <v>6838</v>
      </c>
      <c r="H57" s="200">
        <f>IF(AND('A-10'!G199="-",'A-5'!H10="-",'A-5'!H57="-"),"-",SUM('A-10'!G199,'A-5'!H10,'A-5'!H57))</f>
        <v>6516</v>
      </c>
      <c r="I57" s="200">
        <f>IF(AND('A-10'!H199="-",'A-5'!I10="-",'A-5'!I57="-"),"-",SUM('A-10'!H199,'A-5'!I10,'A-5'!I57))</f>
        <v>126</v>
      </c>
      <c r="J57" s="200">
        <f>IF(AND('A-10'!I199="-",'A-5'!J10="-",'A-5'!J57="-"),"-",SUM('A-10'!I199,'A-5'!J10,'A-5'!J57))</f>
        <v>289</v>
      </c>
      <c r="K57" s="200">
        <f>IF(AND('A-10'!J199="-",'A-5'!K10="-",'A-5'!K57="-"),"-",SUM('A-10'!J199,'A-5'!K10,'A-5'!K57))</f>
        <v>10</v>
      </c>
      <c r="L57" s="200">
        <f t="shared" si="0"/>
        <v>17310</v>
      </c>
      <c r="N57" s="200" t="str">
        <f>IF(OR(ISNUMBER('A-5'!N10),ISNUMBER('A-5'!N57)),SUM('A-5'!N10,'A-5'!N57),IF(OR('A-5'!N10="--",'A-5'!N57="--"),"--","-"))</f>
        <v>--</v>
      </c>
      <c r="O57" s="200" t="str">
        <f>IF(OR(ISNUMBER('A-5'!O10),ISNUMBER('A-5'!O57)),SUM('A-5'!O10,'A-5'!O57),IF(OR('A-5'!O10="--",'A-5'!O57="--"),"--","-"))</f>
        <v>--</v>
      </c>
      <c r="P57" s="200">
        <f>IF(OR(ISNUMBER('A-5'!P10),ISNUMBER('A-5'!P57)),SUM('A-5'!P10,'A-5'!P57),IF(OR('A-5'!P10="--",'A-5'!P57="--"),"--","-"))</f>
        <v>0</v>
      </c>
      <c r="Q57" s="200">
        <f>IF(AND('A-10'!M199="-",'A-5'!Q10="-",'A-5'!Q57="-"),"-",SUM('A-10'!M199,'A-5'!Q10,'A-5'!Q57))</f>
        <v>520</v>
      </c>
      <c r="R57" s="200">
        <f>IF(AND('A-10'!N199="-",'A-5'!R10="-",'A-5'!R57="-"),"-",SUM('A-10'!N199,'A-5'!R10,'A-5'!R57))</f>
        <v>3362</v>
      </c>
      <c r="S57" s="200">
        <f>IF(AND('A-10'!O199="-",'A-5'!S10="-",'A-5'!S57="-"),"-",SUM('A-10'!O199,'A-5'!S10,'A-5'!S57))</f>
        <v>5661</v>
      </c>
      <c r="T57" s="200">
        <f>IF(AND('A-10'!P199="-",'A-5'!T10="-",'A-5'!T57="-"),"-",SUM('A-10'!P199,'A-5'!T10,'A-5'!T57))</f>
        <v>7072</v>
      </c>
      <c r="U57" s="200">
        <f>IF(AND('A-10'!Q199="-",'A-5'!U10="-",'A-5'!U57="-"),"-",SUM('A-10'!Q199,'A-5'!U10,'A-5'!U57))</f>
        <v>48</v>
      </c>
      <c r="V57" s="200">
        <f>IF(AND('A-10'!R199="-",'A-5'!V10="-",'A-5'!V57="-"),"-",SUM('A-10'!R199,'A-5'!V10,'A-5'!V57))</f>
        <v>0</v>
      </c>
      <c r="W57" s="200">
        <f>IF(AND('A-5'!W10="-",'A-5'!W57="-"),"-",SUM('A-5'!W10,'A-5'!W57))</f>
        <v>0</v>
      </c>
      <c r="X57" s="200">
        <f t="shared" si="1"/>
        <v>16663</v>
      </c>
    </row>
    <row r="58" spans="1:24" ht="11.25" customHeight="1" x14ac:dyDescent="0.25">
      <c r="A58" s="383">
        <v>1982</v>
      </c>
      <c r="B58" s="200" t="s">
        <v>29</v>
      </c>
      <c r="C58" s="200">
        <f>IF(AND('A-10'!B200="-",'A-5'!C11="-",'A-5'!C58="-"),"-",SUM('A-10'!B200,'A-5'!C11,'A-5'!C58))</f>
        <v>0</v>
      </c>
      <c r="D58" s="200">
        <f>IF(AND('A-10'!C200="-",'A-5'!D11="-",'A-5'!D58="-"),"-",SUM('A-10'!C200,'A-5'!D11,'A-5'!D58))</f>
        <v>0</v>
      </c>
      <c r="E58" s="200">
        <f>IF(AND('A-10'!D200="-",'A-5'!E11="-",'A-5'!E58="-"),"-",SUM('A-10'!D200,'A-5'!E11,'A-5'!E58))</f>
        <v>6</v>
      </c>
      <c r="F58" s="200">
        <f>IF(AND('A-10'!E200="-",'A-5'!F11="-",'A-5'!F58="-"),"-",SUM('A-10'!E200,'A-5'!F11,'A-5'!F58))</f>
        <v>5216</v>
      </c>
      <c r="G58" s="200">
        <f>IF(AND('A-10'!F200="-",'A-5'!G11="-",'A-5'!G58="-"),"-",SUM('A-10'!F200,'A-5'!G11,'A-5'!G58))</f>
        <v>17751</v>
      </c>
      <c r="H58" s="200">
        <f>IF(AND('A-10'!G200="-",'A-5'!H11="-",'A-5'!H58="-"),"-",SUM('A-10'!G200,'A-5'!H11,'A-5'!H58))</f>
        <v>5208</v>
      </c>
      <c r="I58" s="200">
        <f>IF(AND('A-10'!H200="-",'A-5'!I11="-",'A-5'!I58="-"),"-",SUM('A-10'!H200,'A-5'!I11,'A-5'!I58))</f>
        <v>385</v>
      </c>
      <c r="J58" s="200">
        <f>IF(AND('A-10'!I200="-",'A-5'!J11="-",'A-5'!J58="-"),"-",SUM('A-10'!I200,'A-5'!J11,'A-5'!J58))</f>
        <v>236</v>
      </c>
      <c r="K58" s="200">
        <f>IF(AND('A-10'!J200="-",'A-5'!K11="-",'A-5'!K58="-"),"-",SUM('A-10'!J200,'A-5'!K11,'A-5'!K58))</f>
        <v>16</v>
      </c>
      <c r="L58" s="200">
        <f t="shared" si="0"/>
        <v>28818</v>
      </c>
      <c r="N58" s="200" t="str">
        <f>IF(OR(ISNUMBER('A-5'!N11),ISNUMBER('A-5'!N58)),SUM('A-5'!N11,'A-5'!N58),IF(OR('A-5'!N11="--",'A-5'!N58="--"),"--","-"))</f>
        <v>--</v>
      </c>
      <c r="O58" s="200" t="str">
        <f>IF(OR(ISNUMBER('A-5'!O11),ISNUMBER('A-5'!O58)),SUM('A-5'!O11,'A-5'!O58),IF(OR('A-5'!O11="--",'A-5'!O58="--"),"--","-"))</f>
        <v>--</v>
      </c>
      <c r="P58" s="200">
        <f>IF(OR(ISNUMBER('A-5'!P11),ISNUMBER('A-5'!P58)),SUM('A-5'!P11,'A-5'!P58),IF(OR('A-5'!P11="--",'A-5'!P58="--"),"--","-"))</f>
        <v>0</v>
      </c>
      <c r="Q58" s="200">
        <f>IF(AND('A-10'!M200="-",'A-5'!Q11="-",'A-5'!Q58="-"),"-",SUM('A-10'!M200,'A-5'!Q11,'A-5'!Q58))</f>
        <v>5</v>
      </c>
      <c r="R58" s="200">
        <f>IF(AND('A-10'!N200="-",'A-5'!R11="-",'A-5'!R58="-"),"-",SUM('A-10'!N200,'A-5'!R11,'A-5'!R58))</f>
        <v>10456</v>
      </c>
      <c r="S58" s="200">
        <f>IF(AND('A-10'!O200="-",'A-5'!S11="-",'A-5'!S58="-"),"-",SUM('A-10'!O200,'A-5'!S11,'A-5'!S58))</f>
        <v>26477</v>
      </c>
      <c r="T58" s="200">
        <f>IF(AND('A-10'!P200="-",'A-5'!T11="-",'A-5'!T58="-"),"-",SUM('A-10'!P200,'A-5'!T11,'A-5'!T58))</f>
        <v>3026</v>
      </c>
      <c r="U58" s="200">
        <f>IF(AND('A-10'!Q200="-",'A-5'!U11="-",'A-5'!U58="-"),"-",SUM('A-10'!Q200,'A-5'!U11,'A-5'!U58))</f>
        <v>112</v>
      </c>
      <c r="V58" s="200">
        <f>IF(AND('A-10'!R200="-",'A-5'!V11="-",'A-5'!V58="-"),"-",SUM('A-10'!R200,'A-5'!V11,'A-5'!V58))</f>
        <v>0</v>
      </c>
      <c r="W58" s="200">
        <f>IF(AND('A-5'!W11="-",'A-5'!W58="-"),"-",SUM('A-5'!W11,'A-5'!W58))</f>
        <v>0</v>
      </c>
      <c r="X58" s="200">
        <f t="shared" si="1"/>
        <v>40076</v>
      </c>
    </row>
    <row r="59" spans="1:24" ht="11.25" customHeight="1" x14ac:dyDescent="0.25">
      <c r="A59" s="383">
        <v>1983</v>
      </c>
      <c r="B59" s="200" t="s">
        <v>29</v>
      </c>
      <c r="C59" s="200">
        <f>IF(AND('A-10'!B201="-",'A-5'!C12="-",'A-5'!C59="-"),"-",SUM('A-10'!B201,'A-5'!C12,'A-5'!C59))</f>
        <v>0</v>
      </c>
      <c r="D59" s="200">
        <f>IF(AND('A-10'!C201="-",'A-5'!D12="-",'A-5'!D59="-"),"-",SUM('A-10'!C201,'A-5'!D12,'A-5'!D59))</f>
        <v>0</v>
      </c>
      <c r="E59" s="200">
        <f>IF(AND('A-10'!D201="-",'A-5'!E12="-",'A-5'!E59="-"),"-",SUM('A-10'!D201,'A-5'!E12,'A-5'!E59))</f>
        <v>507</v>
      </c>
      <c r="F59" s="200">
        <f>IF(AND('A-10'!E201="-",'A-5'!F12="-",'A-5'!F59="-"),"-",SUM('A-10'!E201,'A-5'!F12,'A-5'!F59))</f>
        <v>6813</v>
      </c>
      <c r="G59" s="200">
        <f>IF(AND('A-10'!F201="-",'A-5'!G12="-",'A-5'!G59="-"),"-",SUM('A-10'!F201,'A-5'!G12,'A-5'!G59))</f>
        <v>9097</v>
      </c>
      <c r="H59" s="200">
        <f>IF(AND('A-10'!G201="-",'A-5'!H12="-",'A-5'!H59="-"),"-",SUM('A-10'!G201,'A-5'!H12,'A-5'!H59))</f>
        <v>2600</v>
      </c>
      <c r="I59" s="200">
        <f>IF(AND('A-10'!H201="-",'A-5'!I12="-",'A-5'!I59="-"),"-",SUM('A-10'!H201,'A-5'!I12,'A-5'!I59))</f>
        <v>1216</v>
      </c>
      <c r="J59" s="200">
        <f>IF(AND('A-10'!I201="-",'A-5'!J12="-",'A-5'!J59="-"),"-",SUM('A-10'!I201,'A-5'!J12,'A-5'!J59))</f>
        <v>1033</v>
      </c>
      <c r="K59" s="200">
        <f>IF(AND('A-10'!J201="-",'A-5'!K12="-",'A-5'!K59="-"),"-",SUM('A-10'!J201,'A-5'!K12,'A-5'!K59))</f>
        <v>17</v>
      </c>
      <c r="L59" s="200">
        <f t="shared" si="0"/>
        <v>21283</v>
      </c>
      <c r="N59" s="200" t="str">
        <f>IF(OR(ISNUMBER('A-5'!N12),ISNUMBER('A-5'!N59)),SUM('A-5'!N12,'A-5'!N59),IF(OR('A-5'!N12="--",'A-5'!N59="--"),"--","-"))</f>
        <v>--</v>
      </c>
      <c r="O59" s="200" t="str">
        <f>IF(OR(ISNUMBER('A-5'!O12),ISNUMBER('A-5'!O59)),SUM('A-5'!O12,'A-5'!O59),IF(OR('A-5'!O12="--",'A-5'!O59="--"),"--","-"))</f>
        <v>--</v>
      </c>
      <c r="P59" s="200">
        <f>IF(OR(ISNUMBER('A-5'!P12),ISNUMBER('A-5'!P59)),SUM('A-5'!P12,'A-5'!P59),IF(OR('A-5'!P12="--",'A-5'!P59="--"),"--","-"))</f>
        <v>0</v>
      </c>
      <c r="Q59" s="200">
        <f>IF(AND('A-10'!M201="-",'A-5'!Q12="-",'A-5'!Q59="-"),"-",SUM('A-10'!M201,'A-5'!Q12,'A-5'!Q59))</f>
        <v>458</v>
      </c>
      <c r="R59" s="200">
        <f>IF(AND('A-10'!N201="-",'A-5'!R12="-",'A-5'!R59="-"),"-",SUM('A-10'!N201,'A-5'!R12,'A-5'!R59))</f>
        <v>14039</v>
      </c>
      <c r="S59" s="200">
        <f>IF(AND('A-10'!O201="-",'A-5'!S12="-",'A-5'!S59="-"),"-",SUM('A-10'!O201,'A-5'!S12,'A-5'!S59))</f>
        <v>20699</v>
      </c>
      <c r="T59" s="200">
        <f>IF(AND('A-10'!P201="-",'A-5'!T12="-",'A-5'!T59="-"),"-",SUM('A-10'!P201,'A-5'!T12,'A-5'!T59))</f>
        <v>5295</v>
      </c>
      <c r="U59" s="200">
        <f>IF(AND('A-10'!Q201="-",'A-5'!U12="-",'A-5'!U59="-"),"-",SUM('A-10'!Q201,'A-5'!U12,'A-5'!U59))</f>
        <v>760</v>
      </c>
      <c r="V59" s="200">
        <f>IF(AND('A-10'!R201="-",'A-5'!V12="-",'A-5'!V59="-"),"-",SUM('A-10'!R201,'A-5'!V12,'A-5'!V59))</f>
        <v>0</v>
      </c>
      <c r="W59" s="200">
        <f>IF(AND('A-5'!W12="-",'A-5'!W59="-"),"-",SUM('A-5'!W12,'A-5'!W59))</f>
        <v>0</v>
      </c>
      <c r="X59" s="200">
        <f t="shared" si="1"/>
        <v>41251</v>
      </c>
    </row>
    <row r="60" spans="1:24" ht="11.25" customHeight="1" x14ac:dyDescent="0.25">
      <c r="A60" s="383">
        <v>1984</v>
      </c>
      <c r="B60" s="200" t="s">
        <v>29</v>
      </c>
      <c r="C60" s="200">
        <f>IF(AND('A-10'!B202="-",'A-5'!C13="-",'A-5'!C60="-"),"-",SUM('A-10'!B202,'A-5'!C13,'A-5'!C60))</f>
        <v>0</v>
      </c>
      <c r="D60" s="200">
        <f>IF(AND('A-10'!C202="-",'A-5'!D13="-",'A-5'!D60="-"),"-",SUM('A-10'!C202,'A-5'!D13,'A-5'!D60))</f>
        <v>0</v>
      </c>
      <c r="E60" s="200">
        <f>IF(AND('A-10'!D202="-",'A-5'!E13="-",'A-5'!E60="-"),"-",SUM('A-10'!D202,'A-5'!E13,'A-5'!E60))</f>
        <v>19</v>
      </c>
      <c r="F60" s="200">
        <f>IF(AND('A-10'!E202="-",'A-5'!F13="-",'A-5'!F60="-"),"-",SUM('A-10'!E202,'A-5'!F13,'A-5'!F60))</f>
        <v>128</v>
      </c>
      <c r="G60" s="200">
        <f>IF(AND('A-10'!F202="-",'A-5'!G13="-",'A-5'!G60="-"),"-",SUM('A-10'!F202,'A-5'!G13,'A-5'!G60))</f>
        <v>7621</v>
      </c>
      <c r="H60" s="200">
        <f>IF(AND('A-10'!G202="-",'A-5'!H13="-",'A-5'!H60="-"),"-",SUM('A-10'!G202,'A-5'!H13,'A-5'!H60))</f>
        <v>7803</v>
      </c>
      <c r="I60" s="200">
        <f>IF(AND('A-10'!H202="-",'A-5'!I13="-",'A-5'!I60="-"),"-",SUM('A-10'!H202,'A-5'!I13,'A-5'!I60))</f>
        <v>1155</v>
      </c>
      <c r="J60" s="200">
        <f>IF(AND('A-10'!I202="-",'A-5'!J13="-",'A-5'!J60="-"),"-",SUM('A-10'!I202,'A-5'!J13,'A-5'!J60))</f>
        <v>453</v>
      </c>
      <c r="K60" s="200">
        <f>IF(AND('A-10'!J202="-",'A-5'!K13="-",'A-5'!K60="-"),"-",SUM('A-10'!J202,'A-5'!K13,'A-5'!K60))</f>
        <v>0</v>
      </c>
      <c r="L60" s="200">
        <f t="shared" si="0"/>
        <v>17179</v>
      </c>
      <c r="N60" s="200" t="str">
        <f>IF(OR(ISNUMBER('A-5'!N13),ISNUMBER('A-5'!N60)),SUM('A-5'!N13,'A-5'!N60),IF(OR('A-5'!N13="--",'A-5'!N60="--"),"--","-"))</f>
        <v>--</v>
      </c>
      <c r="O60" s="200" t="str">
        <f>IF(OR(ISNUMBER('A-5'!O13),ISNUMBER('A-5'!O60)),SUM('A-5'!O13,'A-5'!O60),IF(OR('A-5'!O13="--",'A-5'!O60="--"),"--","-"))</f>
        <v>--</v>
      </c>
      <c r="P60" s="200">
        <f>IF(OR(ISNUMBER('A-5'!P13),ISNUMBER('A-5'!P60)),SUM('A-5'!P13,'A-5'!P60),IF(OR('A-5'!P13="--",'A-5'!P60="--"),"--","-"))</f>
        <v>0</v>
      </c>
      <c r="Q60" s="200">
        <f>IF(AND('A-10'!M202="-",'A-5'!Q13="-",'A-5'!Q60="-"),"-",SUM('A-10'!M202,'A-5'!Q13,'A-5'!Q60))</f>
        <v>0</v>
      </c>
      <c r="R60" s="200">
        <f>IF(AND('A-10'!N202="-",'A-5'!R13="-",'A-5'!R60="-"),"-",SUM('A-10'!N202,'A-5'!R13,'A-5'!R60))</f>
        <v>59</v>
      </c>
      <c r="S60" s="200">
        <f>IF(AND('A-10'!O202="-",'A-5'!S13="-",'A-5'!S60="-"),"-",SUM('A-10'!O202,'A-5'!S13,'A-5'!S60))</f>
        <v>22283</v>
      </c>
      <c r="T60" s="200">
        <f>IF(AND('A-10'!P202="-",'A-5'!T13="-",'A-5'!T60="-"),"-",SUM('A-10'!P202,'A-5'!T13,'A-5'!T60))</f>
        <v>6489</v>
      </c>
      <c r="U60" s="200">
        <f>IF(AND('A-10'!Q202="-",'A-5'!U13="-",'A-5'!U60="-"),"-",SUM('A-10'!Q202,'A-5'!U13,'A-5'!U60))</f>
        <v>215</v>
      </c>
      <c r="V60" s="200">
        <f>IF(AND('A-10'!R202="-",'A-5'!V13="-",'A-5'!V60="-"),"-",SUM('A-10'!R202,'A-5'!V13,'A-5'!V60))</f>
        <v>0</v>
      </c>
      <c r="W60" s="200">
        <f>IF(AND('A-5'!W13="-",'A-5'!W60="-"),"-",SUM('A-5'!W13,'A-5'!W60))</f>
        <v>0</v>
      </c>
      <c r="X60" s="200">
        <f t="shared" si="1"/>
        <v>29046</v>
      </c>
    </row>
    <row r="61" spans="1:24" ht="11.25" customHeight="1" x14ac:dyDescent="0.25">
      <c r="A61" s="383">
        <v>1985</v>
      </c>
      <c r="B61" s="200" t="s">
        <v>29</v>
      </c>
      <c r="C61" s="200">
        <f>IF(AND('A-10'!B203="-",'A-5'!C14="-",'A-5'!C61="-"),"-",SUM('A-10'!B203,'A-5'!C14,'A-5'!C61))</f>
        <v>0</v>
      </c>
      <c r="D61" s="200">
        <f>IF(AND('A-10'!C203="-",'A-5'!D14="-",'A-5'!D61="-"),"-",SUM('A-10'!C203,'A-5'!D14,'A-5'!D61))</f>
        <v>5</v>
      </c>
      <c r="E61" s="200">
        <f>IF(AND('A-10'!D203="-",'A-5'!E14="-",'A-5'!E61="-"),"-",SUM('A-10'!D203,'A-5'!E14,'A-5'!E61))</f>
        <v>11316</v>
      </c>
      <c r="F61" s="200">
        <f>IF(AND('A-10'!E203="-",'A-5'!F14="-",'A-5'!F61="-"),"-",SUM('A-10'!E203,'A-5'!F14,'A-5'!F61))</f>
        <v>9524</v>
      </c>
      <c r="G61" s="200">
        <f>IF(AND('A-10'!F203="-",'A-5'!G14="-",'A-5'!G61="-"),"-",SUM('A-10'!F203,'A-5'!G14,'A-5'!G61))</f>
        <v>44672</v>
      </c>
      <c r="H61" s="200">
        <f>IF(AND('A-10'!G203="-",'A-5'!H14="-",'A-5'!H61="-"),"-",SUM('A-10'!G203,'A-5'!H14,'A-5'!H61))</f>
        <v>13800</v>
      </c>
      <c r="I61" s="200">
        <f>IF(AND('A-10'!H203="-",'A-5'!I14="-",'A-5'!I61="-"),"-",SUM('A-10'!H203,'A-5'!I14,'A-5'!I61))</f>
        <v>634</v>
      </c>
      <c r="J61" s="200">
        <f>IF(AND('A-10'!I203="-",'A-5'!J14="-",'A-5'!J61="-"),"-",SUM('A-10'!I203,'A-5'!J14,'A-5'!J61))</f>
        <v>564</v>
      </c>
      <c r="K61" s="200">
        <f>IF(AND('A-10'!J203="-",'A-5'!K14="-",'A-5'!K61="-"),"-",SUM('A-10'!J203,'A-5'!K14,'A-5'!K61))</f>
        <v>0</v>
      </c>
      <c r="L61" s="200">
        <f t="shared" si="0"/>
        <v>80515</v>
      </c>
      <c r="N61" s="200" t="str">
        <f>IF(OR(ISNUMBER('A-5'!N14),ISNUMBER('A-5'!N61)),SUM('A-5'!N14,'A-5'!N61),IF(OR('A-5'!N14="--",'A-5'!N61="--"),"--","-"))</f>
        <v>--</v>
      </c>
      <c r="O61" s="200" t="str">
        <f>IF(OR(ISNUMBER('A-5'!O14),ISNUMBER('A-5'!O61)),SUM('A-5'!O14,'A-5'!O61),IF(OR('A-5'!O14="--",'A-5'!O61="--"),"--","-"))</f>
        <v>--</v>
      </c>
      <c r="P61" s="200">
        <f>IF(OR(ISNUMBER('A-5'!P14),ISNUMBER('A-5'!P61)),SUM('A-5'!P14,'A-5'!P61),IF(OR('A-5'!P14="--",'A-5'!P61="--"),"--","-"))</f>
        <v>0</v>
      </c>
      <c r="Q61" s="200">
        <f>IF(AND('A-10'!M203="-",'A-5'!Q14="-",'A-5'!Q61="-"),"-",SUM('A-10'!M203,'A-5'!Q14,'A-5'!Q61))</f>
        <v>906</v>
      </c>
      <c r="R61" s="200">
        <f>IF(AND('A-10'!N203="-",'A-5'!R14="-",'A-5'!R61="-"),"-",SUM('A-10'!N203,'A-5'!R14,'A-5'!R61))</f>
        <v>422</v>
      </c>
      <c r="S61" s="200">
        <f>IF(AND('A-10'!O203="-",'A-5'!S14="-",'A-5'!S61="-"),"-",SUM('A-10'!O203,'A-5'!S14,'A-5'!S61))</f>
        <v>13378</v>
      </c>
      <c r="T61" s="200">
        <f>IF(AND('A-10'!P203="-",'A-5'!T14="-",'A-5'!T61="-"),"-",SUM('A-10'!P203,'A-5'!T14,'A-5'!T61))</f>
        <v>6838</v>
      </c>
      <c r="U61" s="200">
        <f>IF(AND('A-10'!Q203="-",'A-5'!U14="-",'A-5'!U61="-"),"-",SUM('A-10'!Q203,'A-5'!U14,'A-5'!U61))</f>
        <v>635</v>
      </c>
      <c r="V61" s="200">
        <f>IF(AND('A-10'!R203="-",'A-5'!V14="-",'A-5'!V61="-"),"-",SUM('A-10'!R203,'A-5'!V14,'A-5'!V61))</f>
        <v>4</v>
      </c>
      <c r="W61" s="200">
        <f>IF(AND('A-5'!W14="-",'A-5'!W61="-"),"-",SUM('A-5'!W14,'A-5'!W61))</f>
        <v>0</v>
      </c>
      <c r="X61" s="200">
        <f t="shared" si="1"/>
        <v>22183</v>
      </c>
    </row>
    <row r="62" spans="1:24" ht="11.25" customHeight="1" x14ac:dyDescent="0.25">
      <c r="A62" s="383">
        <v>1986</v>
      </c>
      <c r="B62" s="200" t="s">
        <v>29</v>
      </c>
      <c r="C62" s="200">
        <f>IF(AND('A-10'!B204="-",'A-5'!C15="-",'A-5'!C62="-"),"-",SUM('A-10'!B204,'A-5'!C15,'A-5'!C62))</f>
        <v>0</v>
      </c>
      <c r="D62" s="200" t="str">
        <f>IF(AND('A-10'!C204="-",'A-5'!D15="-",'A-5'!D62="-"),"-",SUM('A-10'!C204,'A-5'!D15,'A-5'!D62))</f>
        <v>-</v>
      </c>
      <c r="E62" s="200">
        <f>IF(AND('A-10'!D204="-",'A-5'!E15="-",'A-5'!E62="-"),"-",SUM('A-10'!D204,'A-5'!E15,'A-5'!E62))</f>
        <v>1822</v>
      </c>
      <c r="F62" s="200">
        <f>IF(AND('A-10'!E204="-",'A-5'!F15="-",'A-5'!F62="-"),"-",SUM('A-10'!E204,'A-5'!F15,'A-5'!F62))</f>
        <v>6912</v>
      </c>
      <c r="G62" s="200">
        <f>IF(AND('A-10'!F204="-",'A-5'!G15="-",'A-5'!G62="-"),"-",SUM('A-10'!F204,'A-5'!G15,'A-5'!G62))</f>
        <v>9394</v>
      </c>
      <c r="H62" s="200">
        <f>IF(AND('A-10'!G204="-",'A-5'!H15="-",'A-5'!H62="-"),"-",SUM('A-10'!G204,'A-5'!H15,'A-5'!H62))</f>
        <v>9315</v>
      </c>
      <c r="I62" s="200">
        <f>IF(AND('A-10'!H204="-",'A-5'!I15="-",'A-5'!I62="-"),"-",SUM('A-10'!H204,'A-5'!I15,'A-5'!I62))</f>
        <v>54</v>
      </c>
      <c r="J62" s="200">
        <f>IF(AND('A-10'!I204="-",'A-5'!J15="-",'A-5'!J62="-"),"-",SUM('A-10'!I204,'A-5'!J15,'A-5'!J62))</f>
        <v>611</v>
      </c>
      <c r="K62" s="200" t="str">
        <f>IF(AND('A-10'!J204="-",'A-5'!K15="-",'A-5'!K62="-"),"-",SUM('A-10'!J204,'A-5'!K15,'A-5'!K62))</f>
        <v>-</v>
      </c>
      <c r="L62" s="200">
        <f t="shared" si="0"/>
        <v>28108</v>
      </c>
      <c r="N62" s="200" t="str">
        <f>IF(OR(ISNUMBER('A-5'!N15),ISNUMBER('A-5'!N62)),SUM('A-5'!N15,'A-5'!N62),IF(OR('A-5'!N15="--",'A-5'!N62="--"),"--","-"))</f>
        <v>--</v>
      </c>
      <c r="O62" s="200" t="str">
        <f>IF(OR(ISNUMBER('A-5'!O15),ISNUMBER('A-5'!O62)),SUM('A-5'!O15,'A-5'!O62),IF(OR('A-5'!O15="--",'A-5'!O62="--"),"--","-"))</f>
        <v>--</v>
      </c>
      <c r="P62" s="200" t="str">
        <f>IF(OR(ISNUMBER('A-5'!P15),ISNUMBER('A-5'!P62)),SUM('A-5'!P15,'A-5'!P62),IF(OR('A-5'!P15="--",'A-5'!P62="--"),"--","-"))</f>
        <v>-</v>
      </c>
      <c r="Q62" s="200">
        <f>IF(AND('A-10'!M204="-",'A-5'!Q15="-",'A-5'!Q62="-"),"-",SUM('A-10'!M204,'A-5'!Q15,'A-5'!Q62))</f>
        <v>1892</v>
      </c>
      <c r="R62" s="200">
        <f>IF(AND('A-10'!N204="-",'A-5'!R15="-",'A-5'!R62="-"),"-",SUM('A-10'!N204,'A-5'!R15,'A-5'!R62))</f>
        <v>7782</v>
      </c>
      <c r="S62" s="200">
        <f>IF(AND('A-10'!O204="-",'A-5'!S15="-",'A-5'!S62="-"),"-",SUM('A-10'!O204,'A-5'!S15,'A-5'!S62))</f>
        <v>13477</v>
      </c>
      <c r="T62" s="200">
        <f>IF(AND('A-10'!P204="-",'A-5'!T15="-",'A-5'!T62="-"),"-",SUM('A-10'!P204,'A-5'!T15,'A-5'!T62))</f>
        <v>5450</v>
      </c>
      <c r="U62" s="200">
        <f>IF(AND('A-10'!Q204="-",'A-5'!U15="-",'A-5'!U62="-"),"-",SUM('A-10'!Q204,'A-5'!U15,'A-5'!U62))</f>
        <v>6</v>
      </c>
      <c r="V62" s="200">
        <f>IF(AND('A-10'!R204="-",'A-5'!V15="-",'A-5'!V62="-"),"-",SUM('A-10'!R204,'A-5'!V15,'A-5'!V62))</f>
        <v>3</v>
      </c>
      <c r="W62" s="200" t="str">
        <f>IF(AND('A-5'!W15="-",'A-5'!W62="-"),"-",SUM('A-5'!W15,'A-5'!W62))</f>
        <v>-</v>
      </c>
      <c r="X62" s="200">
        <f t="shared" si="1"/>
        <v>28610</v>
      </c>
    </row>
    <row r="63" spans="1:24" ht="11.25" customHeight="1" x14ac:dyDescent="0.25">
      <c r="A63" s="383">
        <v>1987</v>
      </c>
      <c r="B63" s="200" t="s">
        <v>29</v>
      </c>
      <c r="C63" s="200" t="str">
        <f>IF(AND('A-10'!B205="-",'A-5'!C16="-",'A-5'!C63="-"),"-",SUM('A-10'!B205,'A-5'!C16,'A-5'!C63))</f>
        <v>-</v>
      </c>
      <c r="D63" s="200" t="str">
        <f>IF(AND('A-10'!C205="-",'A-5'!D16="-",'A-5'!D63="-"),"-",SUM('A-10'!C205,'A-5'!D16,'A-5'!D63))</f>
        <v>-</v>
      </c>
      <c r="E63" s="200">
        <f>IF(AND('A-10'!D205="-",'A-5'!E16="-",'A-5'!E63="-"),"-",SUM('A-10'!D205,'A-5'!E16,'A-5'!E63))</f>
        <v>1513</v>
      </c>
      <c r="F63" s="200">
        <f>IF(AND('A-10'!E205="-",'A-5'!F16="-",'A-5'!F63="-"),"-",SUM('A-10'!E205,'A-5'!F16,'A-5'!F63))</f>
        <v>11285</v>
      </c>
      <c r="G63" s="200">
        <f>IF(AND('A-10'!F205="-",'A-5'!G16="-",'A-5'!G63="-"),"-",SUM('A-10'!F205,'A-5'!G16,'A-5'!G63))</f>
        <v>20629</v>
      </c>
      <c r="H63" s="200">
        <f>IF(AND('A-10'!G205="-",'A-5'!H16="-",'A-5'!H63="-"),"-",SUM('A-10'!G205,'A-5'!H16,'A-5'!H63))</f>
        <v>14350</v>
      </c>
      <c r="I63" s="200">
        <f>IF(AND('A-10'!H205="-",'A-5'!I16="-",'A-5'!I63="-"),"-",SUM('A-10'!H205,'A-5'!I16,'A-5'!I63))</f>
        <v>7990</v>
      </c>
      <c r="J63" s="200">
        <f>IF(AND('A-10'!I205="-",'A-5'!J16="-",'A-5'!J63="-"),"-",SUM('A-10'!I205,'A-5'!J16,'A-5'!J63))</f>
        <v>1133</v>
      </c>
      <c r="K63" s="200" t="str">
        <f>IF(AND('A-10'!J205="-",'A-5'!K16="-",'A-5'!K63="-"),"-",SUM('A-10'!J205,'A-5'!K16,'A-5'!K63))</f>
        <v>-</v>
      </c>
      <c r="L63" s="200">
        <f t="shared" si="0"/>
        <v>56900</v>
      </c>
      <c r="N63" s="200" t="str">
        <f>IF(OR(ISNUMBER('A-5'!N16),ISNUMBER('A-5'!N63)),SUM('A-5'!N16,'A-5'!N63),IF(OR('A-5'!N16="--",'A-5'!N63="--"),"--","-"))</f>
        <v>-</v>
      </c>
      <c r="O63" s="200" t="str">
        <f>IF(OR(ISNUMBER('A-5'!O16),ISNUMBER('A-5'!O63)),SUM('A-5'!O16,'A-5'!O63),IF(OR('A-5'!O16="--",'A-5'!O63="--"),"--","-"))</f>
        <v>-</v>
      </c>
      <c r="P63" s="200" t="str">
        <f>IF(OR(ISNUMBER('A-5'!P16),ISNUMBER('A-5'!P63)),SUM('A-5'!P16,'A-5'!P63),IF(OR('A-5'!P16="--",'A-5'!P63="--"),"--","-"))</f>
        <v>-</v>
      </c>
      <c r="Q63" s="200">
        <f>IF(AND('A-10'!M205="-",'A-5'!Q16="-",'A-5'!Q63="-"),"-",SUM('A-10'!M205,'A-5'!Q16,'A-5'!Q63))</f>
        <v>82</v>
      </c>
      <c r="R63" s="200">
        <f>IF(AND('A-10'!N205="-",'A-5'!R16="-",'A-5'!R63="-"),"-",SUM('A-10'!N205,'A-5'!R16,'A-5'!R63))</f>
        <v>4878</v>
      </c>
      <c r="S63" s="200">
        <f>IF(AND('A-10'!O205="-",'A-5'!S16="-",'A-5'!S63="-"),"-",SUM('A-10'!O205,'A-5'!S16,'A-5'!S63))</f>
        <v>45908</v>
      </c>
      <c r="T63" s="200">
        <f>IF(AND('A-10'!P205="-",'A-5'!T16="-",'A-5'!T63="-"),"-",SUM('A-10'!P205,'A-5'!T16,'A-5'!T63))</f>
        <v>10184</v>
      </c>
      <c r="U63" s="200">
        <f>IF(AND('A-10'!Q205="-",'A-5'!U16="-",'A-5'!U63="-"),"-",SUM('A-10'!Q205,'A-5'!U16,'A-5'!U63))</f>
        <v>2649</v>
      </c>
      <c r="V63" s="200">
        <f>IF(AND('A-10'!R205="-",'A-5'!V16="-",'A-5'!V63="-"),"-",SUM('A-10'!R205,'A-5'!V16,'A-5'!V63))</f>
        <v>28</v>
      </c>
      <c r="W63" s="200" t="str">
        <f>IF(AND('A-5'!W16="-",'A-5'!W63="-"),"-",SUM('A-5'!W16,'A-5'!W63))</f>
        <v>-</v>
      </c>
      <c r="X63" s="200">
        <f t="shared" si="1"/>
        <v>63729</v>
      </c>
    </row>
    <row r="64" spans="1:24" ht="11.25" customHeight="1" x14ac:dyDescent="0.25">
      <c r="A64" s="383">
        <v>1988</v>
      </c>
      <c r="B64" s="200" t="s">
        <v>29</v>
      </c>
      <c r="C64" s="200" t="str">
        <f>IF(AND('A-10'!B206="-",'A-5'!C17="-",'A-5'!C64="-"),"-",SUM('A-10'!B206,'A-5'!C17,'A-5'!C64))</f>
        <v>-</v>
      </c>
      <c r="D64" s="200" t="str">
        <f>IF(AND('A-10'!C206="-",'A-5'!D17="-",'A-5'!D64="-"),"-",SUM('A-10'!C206,'A-5'!D17,'A-5'!D64))</f>
        <v>-</v>
      </c>
      <c r="E64" s="200">
        <f>IF(AND('A-10'!D206="-",'A-5'!E17="-",'A-5'!E64="-"),"-",SUM('A-10'!D206,'A-5'!E17,'A-5'!E64))</f>
        <v>1674</v>
      </c>
      <c r="F64" s="200">
        <f>IF(AND('A-10'!E206="-",'A-5'!F17="-",'A-5'!F64="-"),"-",SUM('A-10'!E206,'A-5'!F17,'A-5'!F64))</f>
        <v>25484</v>
      </c>
      <c r="G64" s="200">
        <f>IF(AND('A-10'!F206="-",'A-5'!G17="-",'A-5'!G64="-"),"-",SUM('A-10'!F206,'A-5'!G17,'A-5'!G64))</f>
        <v>21084</v>
      </c>
      <c r="H64" s="200">
        <f>IF(AND('A-10'!G206="-",'A-5'!H17="-",'A-5'!H64="-"),"-",SUM('A-10'!G206,'A-5'!H17,'A-5'!H64))</f>
        <v>4774</v>
      </c>
      <c r="I64" s="200">
        <f>IF(AND('A-10'!H206="-",'A-5'!I17="-",'A-5'!I64="-"),"-",SUM('A-10'!H206,'A-5'!I17,'A-5'!I64))</f>
        <v>277</v>
      </c>
      <c r="J64" s="200" t="str">
        <f>IF(AND('A-10'!I206="-",'A-5'!J17="-",'A-5'!J64="-"),"-",SUM('A-10'!I206,'A-5'!J17,'A-5'!J64))</f>
        <v>-</v>
      </c>
      <c r="K64" s="200" t="str">
        <f>IF(AND('A-10'!J206="-",'A-5'!K17="-",'A-5'!K64="-"),"-",SUM('A-10'!J206,'A-5'!K17,'A-5'!K64))</f>
        <v>-</v>
      </c>
      <c r="L64" s="200">
        <f t="shared" si="0"/>
        <v>53293</v>
      </c>
      <c r="N64" s="200" t="str">
        <f>IF(OR(ISNUMBER('A-5'!N17),ISNUMBER('A-5'!N64)),SUM('A-5'!N17,'A-5'!N64),IF(OR('A-5'!N17="--",'A-5'!N64="--"),"--","-"))</f>
        <v>-</v>
      </c>
      <c r="O64" s="200" t="str">
        <f>IF(OR(ISNUMBER('A-5'!O17),ISNUMBER('A-5'!O64)),SUM('A-5'!O17,'A-5'!O64),IF(OR('A-5'!O17="--",'A-5'!O64="--"),"--","-"))</f>
        <v>-</v>
      </c>
      <c r="P64" s="200" t="str">
        <f>IF(OR(ISNUMBER('A-5'!P17),ISNUMBER('A-5'!P64)),SUM('A-5'!P17,'A-5'!P64),IF(OR('A-5'!P17="--",'A-5'!P64="--"),"--","-"))</f>
        <v>-</v>
      </c>
      <c r="Q64" s="200">
        <f>IF(AND('A-10'!M206="-",'A-5'!Q17="-",'A-5'!Q64="-"),"-",SUM('A-10'!M206,'A-5'!Q17,'A-5'!Q64))</f>
        <v>686</v>
      </c>
      <c r="R64" s="200">
        <f>IF(AND('A-10'!N206="-",'A-5'!R17="-",'A-5'!R64="-"),"-",SUM('A-10'!N206,'A-5'!R17,'A-5'!R64))</f>
        <v>5097</v>
      </c>
      <c r="S64" s="200">
        <f>IF(AND('A-10'!O206="-",'A-5'!S17="-",'A-5'!S64="-"),"-",SUM('A-10'!O206,'A-5'!S17,'A-5'!S64))</f>
        <v>34555</v>
      </c>
      <c r="T64" s="200">
        <f>IF(AND('A-10'!P206="-",'A-5'!T17="-",'A-5'!T64="-"),"-",SUM('A-10'!P206,'A-5'!T17,'A-5'!T64))</f>
        <v>5376</v>
      </c>
      <c r="U64" s="200">
        <f>IF(AND('A-10'!Q206="-",'A-5'!U17="-",'A-5'!U64="-"),"-",SUM('A-10'!Q206,'A-5'!U17,'A-5'!U64))</f>
        <v>505</v>
      </c>
      <c r="V64" s="200" t="str">
        <f>IF(AND('A-10'!R206="-",'A-5'!V17="-",'A-5'!V64="-"),"-",SUM('A-10'!R206,'A-5'!V17,'A-5'!V64))</f>
        <v>-</v>
      </c>
      <c r="W64" s="200" t="str">
        <f>IF(AND('A-5'!W17="-",'A-5'!W64="-"),"-",SUM('A-5'!W17,'A-5'!W64))</f>
        <v>-</v>
      </c>
      <c r="X64" s="200">
        <f t="shared" si="1"/>
        <v>46219</v>
      </c>
    </row>
    <row r="65" spans="1:24" ht="11.25" customHeight="1" x14ac:dyDescent="0.25">
      <c r="A65" s="383">
        <v>1989</v>
      </c>
      <c r="B65" s="200" t="s">
        <v>29</v>
      </c>
      <c r="C65" s="200" t="str">
        <f>IF(AND('A-10'!B207="-",'A-5'!C18="-",'A-5'!C65="-"),"-",SUM('A-10'!B207,'A-5'!C18,'A-5'!C65))</f>
        <v>-</v>
      </c>
      <c r="D65" s="200" t="str">
        <f>IF(AND('A-10'!C207="-",'A-5'!D18="-",'A-5'!D65="-"),"-",SUM('A-10'!C207,'A-5'!D18,'A-5'!D65))</f>
        <v>-</v>
      </c>
      <c r="E65" s="200">
        <f>IF(AND('A-10'!D207="-",'A-5'!E18="-",'A-5'!E65="-"),"-",SUM('A-10'!D207,'A-5'!E18,'A-5'!E65))</f>
        <v>2459</v>
      </c>
      <c r="F65" s="200">
        <f>IF(AND('A-10'!E207="-",'A-5'!F18="-",'A-5'!F65="-"),"-",SUM('A-10'!E207,'A-5'!F18,'A-5'!F65))</f>
        <v>14727</v>
      </c>
      <c r="G65" s="200">
        <f>IF(AND('A-10'!F207="-",'A-5'!G18="-",'A-5'!G65="-"),"-",SUM('A-10'!F207,'A-5'!G18,'A-5'!G65))</f>
        <v>39566</v>
      </c>
      <c r="H65" s="200">
        <f>IF(AND('A-10'!G207="-",'A-5'!H18="-",'A-5'!H65="-"),"-",SUM('A-10'!G207,'A-5'!H18,'A-5'!H65))</f>
        <v>13187</v>
      </c>
      <c r="I65" s="200">
        <f>IF(AND('A-10'!H207="-",'A-5'!I18="-",'A-5'!I65="-"),"-",SUM('A-10'!H207,'A-5'!I18,'A-5'!I65))</f>
        <v>1256</v>
      </c>
      <c r="J65" s="200" t="str">
        <f>IF(AND('A-10'!I207="-",'A-5'!J18="-",'A-5'!J65="-"),"-",SUM('A-10'!I207,'A-5'!J18,'A-5'!J65))</f>
        <v>-</v>
      </c>
      <c r="K65" s="200" t="str">
        <f>IF(AND('A-10'!J207="-",'A-5'!K18="-",'A-5'!K65="-"),"-",SUM('A-10'!J207,'A-5'!K18,'A-5'!K65))</f>
        <v>-</v>
      </c>
      <c r="L65" s="200">
        <f t="shared" si="0"/>
        <v>71195</v>
      </c>
      <c r="N65" s="200" t="str">
        <f>IF(OR(ISNUMBER('A-5'!N18),ISNUMBER('A-5'!N65)),SUM('A-5'!N18,'A-5'!N65),IF(OR('A-5'!N18="--",'A-5'!N65="--"),"--","-"))</f>
        <v>-</v>
      </c>
      <c r="O65" s="200" t="str">
        <f>IF(OR(ISNUMBER('A-5'!O18),ISNUMBER('A-5'!O65)),SUM('A-5'!O18,'A-5'!O65),IF(OR('A-5'!O18="--",'A-5'!O65="--"),"--","-"))</f>
        <v>-</v>
      </c>
      <c r="P65" s="200" t="str">
        <f>IF(OR(ISNUMBER('A-5'!P18),ISNUMBER('A-5'!P65)),SUM('A-5'!P18,'A-5'!P65),IF(OR('A-5'!P18="--",'A-5'!P65="--"),"--","-"))</f>
        <v>-</v>
      </c>
      <c r="Q65" s="200">
        <f>IF(AND('A-10'!M207="-",'A-5'!Q18="-",'A-5'!Q65="-"),"-",SUM('A-10'!M207,'A-5'!Q18,'A-5'!Q65))</f>
        <v>1782</v>
      </c>
      <c r="R65" s="200">
        <f>IF(AND('A-10'!N207="-",'A-5'!R18="-",'A-5'!R65="-"),"-",SUM('A-10'!N207,'A-5'!R18,'A-5'!R65))</f>
        <v>16619</v>
      </c>
      <c r="S65" s="200">
        <f>IF(AND('A-10'!O207="-",'A-5'!S18="-",'A-5'!S65="-"),"-",SUM('A-10'!O207,'A-5'!S18,'A-5'!S65))</f>
        <v>45337</v>
      </c>
      <c r="T65" s="200">
        <f>IF(AND('A-10'!P207="-",'A-5'!T18="-",'A-5'!T65="-"),"-",SUM('A-10'!P207,'A-5'!T18,'A-5'!T65))</f>
        <v>13233</v>
      </c>
      <c r="U65" s="200">
        <f>IF(AND('A-10'!Q207="-",'A-5'!U18="-",'A-5'!U65="-"),"-",SUM('A-10'!Q207,'A-5'!U18,'A-5'!U65))</f>
        <v>934</v>
      </c>
      <c r="V65" s="200" t="str">
        <f>IF(AND('A-10'!R207="-",'A-5'!V18="-",'A-5'!V65="-"),"-",SUM('A-10'!R207,'A-5'!V18,'A-5'!V65))</f>
        <v>-</v>
      </c>
      <c r="W65" s="200" t="str">
        <f>IF(AND('A-5'!W18="-",'A-5'!W65="-"),"-",SUM('A-5'!W18,'A-5'!W65))</f>
        <v>-</v>
      </c>
      <c r="X65" s="200">
        <f t="shared" si="1"/>
        <v>77905</v>
      </c>
    </row>
    <row r="66" spans="1:24" ht="11.25" customHeight="1" x14ac:dyDescent="0.25">
      <c r="A66" s="383">
        <v>1990</v>
      </c>
      <c r="B66" s="200" t="s">
        <v>29</v>
      </c>
      <c r="C66" s="200" t="str">
        <f>IF(AND('A-10'!B208="-",'A-5'!C19="-",'A-5'!C66="-"),"-",SUM('A-10'!B208,'A-5'!C19,'A-5'!C66))</f>
        <v>-</v>
      </c>
      <c r="D66" s="200" t="str">
        <f>IF(AND('A-10'!C208="-",'A-5'!D19="-",'A-5'!D66="-"),"-",SUM('A-10'!C208,'A-5'!D19,'A-5'!D66))</f>
        <v>-</v>
      </c>
      <c r="E66" s="200">
        <f>IF(AND('A-10'!D208="-",'A-5'!E19="-",'A-5'!E66="-"),"-",SUM('A-10'!D208,'A-5'!E19,'A-5'!E66))</f>
        <v>1440</v>
      </c>
      <c r="F66" s="200">
        <f>IF(AND('A-10'!E208="-",'A-5'!F19="-",'A-5'!F66="-"),"-",SUM('A-10'!E208,'A-5'!F19,'A-5'!F66))</f>
        <v>16213</v>
      </c>
      <c r="G66" s="200">
        <f>IF(AND('A-10'!F208="-",'A-5'!G19="-",'A-5'!G66="-"),"-",SUM('A-10'!F208,'A-5'!G19,'A-5'!G66))</f>
        <v>17111</v>
      </c>
      <c r="H66" s="200">
        <f>IF(AND('A-10'!G208="-",'A-5'!H19="-",'A-5'!H66="-"),"-",SUM('A-10'!G208,'A-5'!H19,'A-5'!H66))</f>
        <v>1695</v>
      </c>
      <c r="I66" s="200">
        <f>IF(AND('A-10'!H208="-",'A-5'!I19="-",'A-5'!I66="-"),"-",SUM('A-10'!H208,'A-5'!I19,'A-5'!I66))</f>
        <v>100</v>
      </c>
      <c r="J66" s="200">
        <f>IF(AND('A-10'!I208="-",'A-5'!J19="-",'A-5'!J66="-"),"-",SUM('A-10'!I208,'A-5'!J19,'A-5'!J66))</f>
        <v>0</v>
      </c>
      <c r="K66" s="200" t="str">
        <f>IF(AND('A-10'!J208="-",'A-5'!K19="-",'A-5'!K66="-"),"-",SUM('A-10'!J208,'A-5'!K19,'A-5'!K66))</f>
        <v>-</v>
      </c>
      <c r="L66" s="200">
        <f t="shared" si="0"/>
        <v>36559</v>
      </c>
      <c r="N66" s="200" t="str">
        <f>IF(OR(ISNUMBER('A-5'!N19),ISNUMBER('A-5'!N66)),SUM('A-5'!N19,'A-5'!N66),IF(OR('A-5'!N19="--",'A-5'!N66="--"),"--","-"))</f>
        <v>-</v>
      </c>
      <c r="O66" s="200" t="str">
        <f>IF(OR(ISNUMBER('A-5'!O19),ISNUMBER('A-5'!O66)),SUM('A-5'!O19,'A-5'!O66),IF(OR('A-5'!O19="--",'A-5'!O66="--"),"--","-"))</f>
        <v>-</v>
      </c>
      <c r="P66" s="200" t="str">
        <f>IF(OR(ISNUMBER('A-5'!P19),ISNUMBER('A-5'!P66)),SUM('A-5'!P19,'A-5'!P66),IF(OR('A-5'!P19="--",'A-5'!P66="--"),"--","-"))</f>
        <v>-</v>
      </c>
      <c r="Q66" s="200">
        <f>IF(AND('A-10'!M208="-",'A-5'!Q19="-",'A-5'!Q66="-"),"-",SUM('A-10'!M208,'A-5'!Q19,'A-5'!Q66))</f>
        <v>964</v>
      </c>
      <c r="R66" s="200">
        <f>IF(AND('A-10'!N208="-",'A-5'!R19="-",'A-5'!R66="-"),"-",SUM('A-10'!N208,'A-5'!R19,'A-5'!R66))</f>
        <v>27913</v>
      </c>
      <c r="S66" s="200">
        <f>IF(AND('A-10'!O208="-",'A-5'!S19="-",'A-5'!S66="-"),"-",SUM('A-10'!O208,'A-5'!S19,'A-5'!S66))</f>
        <v>22166</v>
      </c>
      <c r="T66" s="200">
        <f>IF(AND('A-10'!P208="-",'A-5'!T19="-",'A-5'!T66="-"),"-",SUM('A-10'!P208,'A-5'!T19,'A-5'!T66))</f>
        <v>4009</v>
      </c>
      <c r="U66" s="200">
        <f>IF(AND('A-10'!Q208="-",'A-5'!U19="-",'A-5'!U66="-"),"-",SUM('A-10'!Q208,'A-5'!U19,'A-5'!U66))</f>
        <v>290</v>
      </c>
      <c r="V66" s="200">
        <f>IF(AND('A-10'!R208="-",'A-5'!V19="-",'A-5'!V66="-"),"-",SUM('A-10'!R208,'A-5'!V19,'A-5'!V66))</f>
        <v>0</v>
      </c>
      <c r="W66" s="200" t="str">
        <f>IF(AND('A-5'!W19="-",'A-5'!W66="-"),"-",SUM('A-5'!W19,'A-5'!W66))</f>
        <v>-</v>
      </c>
      <c r="X66" s="200">
        <f t="shared" si="1"/>
        <v>55342</v>
      </c>
    </row>
    <row r="67" spans="1:24" ht="11.25" customHeight="1" x14ac:dyDescent="0.25">
      <c r="A67" s="383">
        <v>1991</v>
      </c>
      <c r="B67" s="200" t="s">
        <v>29</v>
      </c>
      <c r="C67" s="200" t="str">
        <f>IF(AND('A-10'!B209="-",'A-5'!C20="-",'A-5'!C67="-"),"-",SUM('A-10'!B209,'A-5'!C20,'A-5'!C67))</f>
        <v>-</v>
      </c>
      <c r="D67" s="200" t="str">
        <f>IF(AND('A-10'!C209="-",'A-5'!D20="-",'A-5'!D67="-"),"-",SUM('A-10'!C209,'A-5'!D20,'A-5'!D67))</f>
        <v>-</v>
      </c>
      <c r="E67" s="200">
        <f>IF(AND('A-10'!D209="-",'A-5'!E20="-",'A-5'!E67="-"),"-",SUM('A-10'!D209,'A-5'!E20,'A-5'!E67))</f>
        <v>112</v>
      </c>
      <c r="F67" s="200">
        <f>IF(AND('A-10'!E209="-",'A-5'!F20="-",'A-5'!F67="-"),"-",SUM('A-10'!E209,'A-5'!F20,'A-5'!F67))</f>
        <v>11783</v>
      </c>
      <c r="G67" s="200">
        <f>IF(AND('A-10'!F209="-",'A-5'!G20="-",'A-5'!G67="-"),"-",SUM('A-10'!F209,'A-5'!G20,'A-5'!G67))</f>
        <v>7052</v>
      </c>
      <c r="H67" s="200">
        <f>IF(AND('A-10'!G209="-",'A-5'!H20="-",'A-5'!H67="-"),"-",SUM('A-10'!G209,'A-5'!H20,'A-5'!H67))</f>
        <v>112</v>
      </c>
      <c r="I67" s="200">
        <f>IF(AND('A-10'!H209="-",'A-5'!I20="-",'A-5'!I67="-"),"-",SUM('A-10'!H209,'A-5'!I20,'A-5'!I67))</f>
        <v>626</v>
      </c>
      <c r="J67" s="200">
        <f>IF(AND('A-10'!I209="-",'A-5'!J20="-",'A-5'!J67="-"),"-",SUM('A-10'!I209,'A-5'!J20,'A-5'!J67))</f>
        <v>1</v>
      </c>
      <c r="K67" s="200" t="str">
        <f>IF(AND('A-10'!J209="-",'A-5'!K20="-",'A-5'!K67="-"),"-",SUM('A-10'!J209,'A-5'!K20,'A-5'!K67))</f>
        <v>-</v>
      </c>
      <c r="L67" s="200">
        <f t="shared" si="0"/>
        <v>19686</v>
      </c>
      <c r="N67" s="200" t="str">
        <f>IF(OR(ISNUMBER('A-5'!N20),ISNUMBER('A-5'!N67)),SUM('A-5'!N20,'A-5'!N67),IF(OR('A-5'!N20="--",'A-5'!N67="--"),"--","-"))</f>
        <v>-</v>
      </c>
      <c r="O67" s="200" t="str">
        <f>IF(OR(ISNUMBER('A-5'!O20),ISNUMBER('A-5'!O67)),SUM('A-5'!O20,'A-5'!O67),IF(OR('A-5'!O20="--",'A-5'!O67="--"),"--","-"))</f>
        <v>-</v>
      </c>
      <c r="P67" s="200" t="str">
        <f>IF(OR(ISNUMBER('A-5'!P20),ISNUMBER('A-5'!P67)),SUM('A-5'!P20,'A-5'!P67),IF(OR('A-5'!P20="--",'A-5'!P67="--"),"--","-"))</f>
        <v>-</v>
      </c>
      <c r="Q67" s="200">
        <f>IF(AND('A-10'!M209="-",'A-5'!Q20="-",'A-5'!Q67="-"),"-",SUM('A-10'!M209,'A-5'!Q20,'A-5'!Q67))</f>
        <v>62</v>
      </c>
      <c r="R67" s="200">
        <f>IF(AND('A-10'!N209="-",'A-5'!R20="-",'A-5'!R67="-"),"-",SUM('A-10'!N209,'A-5'!R20,'A-5'!R67))</f>
        <v>31596</v>
      </c>
      <c r="S67" s="200">
        <f>IF(AND('A-10'!O209="-",'A-5'!S20="-",'A-5'!S67="-"),"-",SUM('A-10'!O209,'A-5'!S20,'A-5'!S67))</f>
        <v>28480</v>
      </c>
      <c r="T67" s="200">
        <f>IF(AND('A-10'!P209="-",'A-5'!T20="-",'A-5'!T67="-"),"-",SUM('A-10'!P209,'A-5'!T20,'A-5'!T67))</f>
        <v>807</v>
      </c>
      <c r="U67" s="200">
        <f>IF(AND('A-10'!Q209="-",'A-5'!U20="-",'A-5'!U67="-"),"-",SUM('A-10'!Q209,'A-5'!U20,'A-5'!U67))</f>
        <v>1368</v>
      </c>
      <c r="V67" s="200">
        <f>IF(AND('A-10'!R209="-",'A-5'!V20="-",'A-5'!V67="-"),"-",SUM('A-10'!R209,'A-5'!V20,'A-5'!V67))</f>
        <v>2</v>
      </c>
      <c r="W67" s="200" t="str">
        <f>IF(AND('A-5'!W20="-",'A-5'!W67="-"),"-",SUM('A-5'!W20,'A-5'!W67))</f>
        <v>-</v>
      </c>
      <c r="X67" s="200">
        <f t="shared" si="1"/>
        <v>62315</v>
      </c>
    </row>
    <row r="68" spans="1:24" ht="11.25" customHeight="1" x14ac:dyDescent="0.25">
      <c r="A68" s="383">
        <v>1992</v>
      </c>
      <c r="B68" s="200" t="s">
        <v>29</v>
      </c>
      <c r="C68" s="200" t="str">
        <f>IF(AND('A-10'!B210="-",'A-5'!C21="-",'A-5'!C68="-"),"-",SUM('A-10'!B210,'A-5'!C21,'A-5'!C68))</f>
        <v>-</v>
      </c>
      <c r="D68" s="200" t="str">
        <f>IF(AND('A-10'!C210="-",'A-5'!D21="-",'A-5'!D68="-"),"-",SUM('A-10'!C210,'A-5'!D21,'A-5'!D68))</f>
        <v>-</v>
      </c>
      <c r="E68" s="200" t="str">
        <f>IF(AND('A-10'!D210="-",'A-5'!E21="-",'A-5'!E68="-"),"-",SUM('A-10'!D210,'A-5'!E21,'A-5'!E68))</f>
        <v>-</v>
      </c>
      <c r="F68" s="200" t="str">
        <f>IF(AND('A-10'!E210="-",'A-5'!F21="-",'A-5'!F68="-"),"-",SUM('A-10'!E210,'A-5'!F21,'A-5'!F68))</f>
        <v>-</v>
      </c>
      <c r="G68" s="200">
        <f>IF(AND('A-10'!F210="-",'A-5'!G21="-",'A-5'!G68="-"),"-",SUM('A-10'!F210,'A-5'!G21,'A-5'!G68))</f>
        <v>3757</v>
      </c>
      <c r="H68" s="200" t="str">
        <f>IF(AND('A-10'!G210="-",'A-5'!H21="-",'A-5'!H68="-"),"-",SUM('A-10'!G210,'A-5'!H21,'A-5'!H68))</f>
        <v>-</v>
      </c>
      <c r="I68" s="200">
        <f>IF(AND('A-10'!H210="-",'A-5'!I21="-",'A-5'!I68="-"),"-",SUM('A-10'!H210,'A-5'!I21,'A-5'!I68))</f>
        <v>796</v>
      </c>
      <c r="J68" s="200">
        <f>IF(AND('A-10'!I210="-",'A-5'!J21="-",'A-5'!J68="-"),"-",SUM('A-10'!I210,'A-5'!J21,'A-5'!J68))</f>
        <v>704</v>
      </c>
      <c r="K68" s="200" t="str">
        <f>IF(AND('A-10'!J210="-",'A-5'!K21="-",'A-5'!K68="-"),"-",SUM('A-10'!J210,'A-5'!K21,'A-5'!K68))</f>
        <v>-</v>
      </c>
      <c r="L68" s="200">
        <f t="shared" si="0"/>
        <v>5257</v>
      </c>
      <c r="N68" s="200" t="str">
        <f>IF(OR(ISNUMBER('A-5'!N21),ISNUMBER('A-5'!N68)),SUM('A-5'!N21,'A-5'!N68),IF(OR('A-5'!N21="--",'A-5'!N68="--"),"--","-"))</f>
        <v>-</v>
      </c>
      <c r="O68" s="200" t="str">
        <f>IF(OR(ISNUMBER('A-5'!O21),ISNUMBER('A-5'!O68)),SUM('A-5'!O21,'A-5'!O68),IF(OR('A-5'!O21="--",'A-5'!O68="--"),"--","-"))</f>
        <v>-</v>
      </c>
      <c r="P68" s="200" t="str">
        <f>IF(OR(ISNUMBER('A-5'!P21),ISNUMBER('A-5'!P68)),SUM('A-5'!P21,'A-5'!P68),IF(OR('A-5'!P21="--",'A-5'!P68="--"),"--","-"))</f>
        <v>-</v>
      </c>
      <c r="Q68" s="200" t="str">
        <f>IF(AND('A-10'!M210="-",'A-5'!Q21="-",'A-5'!Q68="-"),"-",SUM('A-10'!M210,'A-5'!Q21,'A-5'!Q68))</f>
        <v>-</v>
      </c>
      <c r="R68" s="200" t="str">
        <f>IF(AND('A-10'!N210="-",'A-5'!R21="-",'A-5'!R68="-"),"-",SUM('A-10'!N210,'A-5'!R21,'A-5'!R68))</f>
        <v>-</v>
      </c>
      <c r="S68" s="200">
        <f>IF(AND('A-10'!O210="-",'A-5'!S21="-",'A-5'!S68="-"),"-",SUM('A-10'!O210,'A-5'!S21,'A-5'!S68))</f>
        <v>8224</v>
      </c>
      <c r="T68" s="200" t="str">
        <f>IF(AND('A-10'!P210="-",'A-5'!T21="-",'A-5'!T68="-"),"-",SUM('A-10'!P210,'A-5'!T21,'A-5'!T68))</f>
        <v>-</v>
      </c>
      <c r="U68" s="200">
        <f>IF(AND('A-10'!Q210="-",'A-5'!U21="-",'A-5'!U68="-"),"-",SUM('A-10'!Q210,'A-5'!U21,'A-5'!U68))</f>
        <v>1501</v>
      </c>
      <c r="V68" s="200">
        <f>IF(AND('A-10'!R210="-",'A-5'!V21="-",'A-5'!V68="-"),"-",SUM('A-10'!R210,'A-5'!V21,'A-5'!V68))</f>
        <v>2</v>
      </c>
      <c r="W68" s="200" t="str">
        <f>IF(AND('A-5'!W21="-",'A-5'!W68="-"),"-",SUM('A-5'!W21,'A-5'!W68))</f>
        <v>-</v>
      </c>
      <c r="X68" s="200">
        <f t="shared" si="1"/>
        <v>9727</v>
      </c>
    </row>
    <row r="69" spans="1:24" ht="11.25" customHeight="1" x14ac:dyDescent="0.25">
      <c r="A69" s="383">
        <v>1993</v>
      </c>
      <c r="B69" s="200" t="s">
        <v>29</v>
      </c>
      <c r="C69" s="200" t="str">
        <f>IF(AND('A-10'!B211="-",'A-5'!C22="-",'A-5'!C69="-"),"-",SUM('A-10'!B211,'A-5'!C22,'A-5'!C69))</f>
        <v>-</v>
      </c>
      <c r="D69" s="200" t="str">
        <f>IF(AND('A-10'!C211="-",'A-5'!D22="-",'A-5'!D69="-"),"-",SUM('A-10'!C211,'A-5'!D22,'A-5'!D69))</f>
        <v>-</v>
      </c>
      <c r="E69" s="200">
        <f>IF(AND('A-10'!D211="-",'A-5'!E22="-",'A-5'!E69="-"),"-",SUM('A-10'!D211,'A-5'!E22,'A-5'!E69))</f>
        <v>1507</v>
      </c>
      <c r="F69" s="200">
        <f>IF(AND('A-10'!E211="-",'A-5'!F22="-",'A-5'!F69="-"),"-",SUM('A-10'!E211,'A-5'!F22,'A-5'!F69))</f>
        <v>492</v>
      </c>
      <c r="G69" s="200">
        <f>IF(AND('A-10'!F211="-",'A-5'!G22="-",'A-5'!G69="-"),"-",SUM('A-10'!F211,'A-5'!G22,'A-5'!G69))</f>
        <v>2632</v>
      </c>
      <c r="H69" s="200">
        <f>IF(AND('A-10'!G211="-",'A-5'!H22="-",'A-5'!H69="-"),"-",SUM('A-10'!G211,'A-5'!H22,'A-5'!H69))</f>
        <v>2924</v>
      </c>
      <c r="I69" s="200">
        <f>IF(AND('A-10'!H211="-",'A-5'!I22="-",'A-5'!I69="-"),"-",SUM('A-10'!H211,'A-5'!I22,'A-5'!I69))</f>
        <v>1098</v>
      </c>
      <c r="J69" s="200" t="str">
        <f>IF(AND('A-10'!I211="-",'A-5'!J22="-",'A-5'!J69="-"),"-",SUM('A-10'!I211,'A-5'!J22,'A-5'!J69))</f>
        <v>-</v>
      </c>
      <c r="K69" s="200" t="str">
        <f>IF(AND('A-10'!J211="-",'A-5'!K22="-",'A-5'!K69="-"),"-",SUM('A-10'!J211,'A-5'!K22,'A-5'!K69))</f>
        <v>-</v>
      </c>
      <c r="L69" s="200">
        <f t="shared" si="0"/>
        <v>8653</v>
      </c>
      <c r="N69" s="200" t="str">
        <f>IF(OR(ISNUMBER('A-5'!N22),ISNUMBER('A-5'!N69)),SUM('A-5'!N22,'A-5'!N69),IF(OR('A-5'!N22="--",'A-5'!N69="--"),"--","-"))</f>
        <v>-</v>
      </c>
      <c r="O69" s="200" t="str">
        <f>IF(OR(ISNUMBER('A-5'!O22),ISNUMBER('A-5'!O69)),SUM('A-5'!O22,'A-5'!O69),IF(OR('A-5'!O22="--",'A-5'!O69="--"),"--","-"))</f>
        <v>-</v>
      </c>
      <c r="P69" s="200" t="str">
        <f>IF(OR(ISNUMBER('A-5'!P22),ISNUMBER('A-5'!P69)),SUM('A-5'!P22,'A-5'!P69),IF(OR('A-5'!P22="--",'A-5'!P69="--"),"--","-"))</f>
        <v>-</v>
      </c>
      <c r="Q69" s="200">
        <f>IF(AND('A-10'!M211="-",'A-5'!Q22="-",'A-5'!Q69="-"),"-",SUM('A-10'!M211,'A-5'!Q22,'A-5'!Q69))</f>
        <v>669</v>
      </c>
      <c r="R69" s="200">
        <f>IF(AND('A-10'!N211="-",'A-5'!R22="-",'A-5'!R69="-"),"-",SUM('A-10'!N211,'A-5'!R22,'A-5'!R69))</f>
        <v>929</v>
      </c>
      <c r="S69" s="200">
        <f>IF(AND('A-10'!O211="-",'A-5'!S22="-",'A-5'!S69="-"),"-",SUM('A-10'!O211,'A-5'!S22,'A-5'!S69))</f>
        <v>9364</v>
      </c>
      <c r="T69" s="200">
        <f>IF(AND('A-10'!P211="-",'A-5'!T22="-",'A-5'!T69="-"),"-",SUM('A-10'!P211,'A-5'!T22,'A-5'!T69))</f>
        <v>7974</v>
      </c>
      <c r="U69" s="200">
        <f>IF(AND('A-10'!Q211="-",'A-5'!U22="-",'A-5'!U69="-"),"-",SUM('A-10'!Q211,'A-5'!U22,'A-5'!U69))</f>
        <v>1416</v>
      </c>
      <c r="V69" s="200" t="str">
        <f>IF(AND('A-10'!R211="-",'A-5'!V22="-",'A-5'!V69="-"),"-",SUM('A-10'!R211,'A-5'!V22,'A-5'!V69))</f>
        <v>-</v>
      </c>
      <c r="W69" s="200" t="str">
        <f>IF(AND('A-5'!W22="-",'A-5'!W69="-"),"-",SUM('A-5'!W22,'A-5'!W69))</f>
        <v>-</v>
      </c>
      <c r="X69" s="200">
        <f t="shared" si="1"/>
        <v>20352</v>
      </c>
    </row>
    <row r="70" spans="1:24" ht="11.25" customHeight="1" x14ac:dyDescent="0.25">
      <c r="A70" s="383">
        <v>1994</v>
      </c>
      <c r="B70" s="200" t="s">
        <v>29</v>
      </c>
      <c r="C70" s="200" t="str">
        <f>IF(AND('A-10'!B212="-",'A-5'!C23="-",'A-5'!C70="-"),"-",SUM('A-10'!B212,'A-5'!C23,'A-5'!C70))</f>
        <v>-</v>
      </c>
      <c r="D70" s="200" t="str">
        <f>IF(AND('A-10'!C212="-",'A-5'!D23="-",'A-5'!D70="-"),"-",SUM('A-10'!C212,'A-5'!D23,'A-5'!D70))</f>
        <v>-</v>
      </c>
      <c r="E70" s="200">
        <f>IF(AND('A-10'!D212="-",'A-5'!E23="-",'A-5'!E70="-"),"-",SUM('A-10'!D212,'A-5'!E23,'A-5'!E70))</f>
        <v>7790</v>
      </c>
      <c r="F70" s="200">
        <f>IF(AND('A-10'!E212="-",'A-5'!F23="-",'A-5'!F70="-"),"-",SUM('A-10'!E212,'A-5'!F23,'A-5'!F70))</f>
        <v>3156</v>
      </c>
      <c r="G70" s="200" t="str">
        <f>IF(AND('A-10'!F212="-",'A-5'!G23="-",'A-5'!G70="-"),"-",SUM('A-10'!F212,'A-5'!G23,'A-5'!G70))</f>
        <v>-</v>
      </c>
      <c r="H70" s="200">
        <f>IF(AND('A-10'!G212="-",'A-5'!H23="-",'A-5'!H70="-"),"-",SUM('A-10'!G212,'A-5'!H23,'A-5'!H70))</f>
        <v>1072</v>
      </c>
      <c r="I70" s="200">
        <f>IF(AND('A-10'!H212="-",'A-5'!I23="-",'A-5'!I70="-"),"-",SUM('A-10'!H212,'A-5'!I23,'A-5'!I70))</f>
        <v>505</v>
      </c>
      <c r="J70" s="200">
        <f>IF(AND('A-10'!I212="-",'A-5'!J23="-",'A-5'!J70="-"),"-",SUM('A-10'!I212,'A-5'!J23,'A-5'!J70))</f>
        <v>1078</v>
      </c>
      <c r="K70" s="200" t="str">
        <f>IF(AND('A-10'!J212="-",'A-5'!K23="-",'A-5'!K70="-"),"-",SUM('A-10'!J212,'A-5'!K23,'A-5'!K70))</f>
        <v>-</v>
      </c>
      <c r="L70" s="200">
        <f t="shared" si="0"/>
        <v>13601</v>
      </c>
      <c r="N70" s="200" t="str">
        <f>IF(OR(ISNUMBER('A-5'!N23),ISNUMBER('A-5'!N70)),SUM('A-5'!N23,'A-5'!N70),IF(OR('A-5'!N23="--",'A-5'!N70="--"),"--","-"))</f>
        <v>-</v>
      </c>
      <c r="O70" s="200" t="str">
        <f>IF(OR(ISNUMBER('A-5'!O23),ISNUMBER('A-5'!O70)),SUM('A-5'!O23,'A-5'!O70),IF(OR('A-5'!O23="--",'A-5'!O70="--"),"--","-"))</f>
        <v>-</v>
      </c>
      <c r="P70" s="200" t="str">
        <f>IF(OR(ISNUMBER('A-5'!P23),ISNUMBER('A-5'!P70)),SUM('A-5'!P23,'A-5'!P70),IF(OR('A-5'!P23="--",'A-5'!P70="--"),"--","-"))</f>
        <v>-</v>
      </c>
      <c r="Q70" s="200">
        <f>IF(AND('A-10'!M212="-",'A-5'!Q23="-",'A-5'!Q70="-"),"-",SUM('A-10'!M212,'A-5'!Q23,'A-5'!Q70))</f>
        <v>3</v>
      </c>
      <c r="R70" s="200">
        <f>IF(AND('A-10'!N212="-",'A-5'!R23="-",'A-5'!R70="-"),"-",SUM('A-10'!N212,'A-5'!R23,'A-5'!R70))</f>
        <v>3</v>
      </c>
      <c r="S70" s="200" t="str">
        <f>IF(AND('A-10'!O212="-",'A-5'!S23="-",'A-5'!S70="-"),"-",SUM('A-10'!O212,'A-5'!S23,'A-5'!S70))</f>
        <v>-</v>
      </c>
      <c r="T70" s="200">
        <f>IF(AND('A-10'!P212="-",'A-5'!T23="-",'A-5'!T70="-"),"-",SUM('A-10'!P212,'A-5'!T23,'A-5'!T70))</f>
        <v>93</v>
      </c>
      <c r="U70" s="200">
        <f>IF(AND('A-10'!Q212="-",'A-5'!U23="-",'A-5'!U70="-"),"-",SUM('A-10'!Q212,'A-5'!U23,'A-5'!U70))</f>
        <v>7</v>
      </c>
      <c r="V70" s="200" t="str">
        <f>IF(AND('A-10'!R212="-",'A-5'!V23="-",'A-5'!V70="-"),"-",SUM('A-10'!R212,'A-5'!V23,'A-5'!V70))</f>
        <v>-</v>
      </c>
      <c r="W70" s="200" t="str">
        <f>IF(AND('A-5'!W23="-",'A-5'!W70="-"),"-",SUM('A-5'!W23,'A-5'!W70))</f>
        <v>-</v>
      </c>
      <c r="X70" s="200">
        <f t="shared" si="1"/>
        <v>106</v>
      </c>
    </row>
    <row r="71" spans="1:24" ht="11.25" customHeight="1" x14ac:dyDescent="0.25">
      <c r="A71" s="383">
        <v>1995</v>
      </c>
      <c r="B71" s="200" t="s">
        <v>29</v>
      </c>
      <c r="C71" s="200" t="str">
        <f>IF(AND('A-10'!B213="-",'A-5'!C24="-",'A-5'!C71="-"),"-",SUM('A-10'!B213,'A-5'!C24,'A-5'!C71))</f>
        <v>-</v>
      </c>
      <c r="D71" s="200" t="str">
        <f>IF(AND('A-10'!C213="-",'A-5'!D24="-",'A-5'!D71="-"),"-",SUM('A-10'!C213,'A-5'!D24,'A-5'!D71))</f>
        <v>-</v>
      </c>
      <c r="E71" s="200">
        <f>IF(AND('A-10'!D213="-",'A-5'!E24="-",'A-5'!E71="-"),"-",SUM('A-10'!D213,'A-5'!E24,'A-5'!E71))</f>
        <v>1597</v>
      </c>
      <c r="F71" s="200">
        <f>IF(AND('A-10'!E213="-",'A-5'!F24="-",'A-5'!F71="-"),"-",SUM('A-10'!E213,'A-5'!F24,'A-5'!F71))</f>
        <v>8587</v>
      </c>
      <c r="G71" s="200" t="str">
        <f>IF(AND('A-10'!F213="-",'A-5'!G24="-",'A-5'!G71="-"),"-",SUM('A-10'!F213,'A-5'!G24,'A-5'!G71))</f>
        <v>-</v>
      </c>
      <c r="H71" s="200">
        <f>IF(AND('A-10'!G213="-",'A-5'!H24="-",'A-5'!H71="-"),"-",SUM('A-10'!G213,'A-5'!H24,'A-5'!H71))</f>
        <v>2128</v>
      </c>
      <c r="I71" s="200">
        <f>IF(AND('A-10'!H213="-",'A-5'!I24="-",'A-5'!I71="-"),"-",SUM('A-10'!H213,'A-5'!I24,'A-5'!I71))</f>
        <v>6221</v>
      </c>
      <c r="J71" s="200">
        <f>IF(AND('A-10'!I213="-",'A-5'!J24="-",'A-5'!J71="-"),"-",SUM('A-10'!I213,'A-5'!J24,'A-5'!J71))</f>
        <v>829</v>
      </c>
      <c r="K71" s="200" t="str">
        <f>IF(AND('A-10'!J213="-",'A-5'!K24="-",'A-5'!K71="-"),"-",SUM('A-10'!J213,'A-5'!K24,'A-5'!K71))</f>
        <v>-</v>
      </c>
      <c r="L71" s="200">
        <f t="shared" si="0"/>
        <v>19362</v>
      </c>
      <c r="N71" s="200" t="str">
        <f>IF(OR(ISNUMBER('A-5'!N24),ISNUMBER('A-5'!N71)),SUM('A-5'!N24,'A-5'!N71),IF(OR('A-5'!N24="--",'A-5'!N71="--"),"--","-"))</f>
        <v>-</v>
      </c>
      <c r="O71" s="200" t="str">
        <f>IF(OR(ISNUMBER('A-5'!O24),ISNUMBER('A-5'!O71)),SUM('A-5'!O24,'A-5'!O71),IF(OR('A-5'!O24="--",'A-5'!O71="--"),"--","-"))</f>
        <v>-</v>
      </c>
      <c r="P71" s="200" t="str">
        <f>IF(OR(ISNUMBER('A-5'!P24),ISNUMBER('A-5'!P71)),SUM('A-5'!P24,'A-5'!P71),IF(OR('A-5'!P24="--",'A-5'!P71="--"),"--","-"))</f>
        <v>-</v>
      </c>
      <c r="Q71" s="200">
        <f>IF(AND('A-10'!M213="-",'A-5'!Q24="-",'A-5'!Q71="-"),"-",SUM('A-10'!M213,'A-5'!Q24,'A-5'!Q71))</f>
        <v>9</v>
      </c>
      <c r="R71" s="200">
        <f>IF(AND('A-10'!N213="-",'A-5'!R24="-",'A-5'!R71="-"),"-",SUM('A-10'!N213,'A-5'!R24,'A-5'!R71))</f>
        <v>162</v>
      </c>
      <c r="S71" s="200" t="str">
        <f>IF(AND('A-10'!O213="-",'A-5'!S24="-",'A-5'!S71="-"),"-",SUM('A-10'!O213,'A-5'!S24,'A-5'!S71))</f>
        <v>-</v>
      </c>
      <c r="T71" s="200">
        <f>IF(AND('A-10'!P213="-",'A-5'!T24="-",'A-5'!T71="-"),"-",SUM('A-10'!P213,'A-5'!T24,'A-5'!T71))</f>
        <v>20</v>
      </c>
      <c r="U71" s="200">
        <f>IF(AND('A-10'!Q213="-",'A-5'!U24="-",'A-5'!U71="-"),"-",SUM('A-10'!Q213,'A-5'!U24,'A-5'!U71))</f>
        <v>206</v>
      </c>
      <c r="V71" s="200">
        <f>IF(AND('A-10'!R213="-",'A-5'!V24="-",'A-5'!V71="-"),"-",SUM('A-10'!R213,'A-5'!V24,'A-5'!V71))</f>
        <v>3</v>
      </c>
      <c r="W71" s="200" t="str">
        <f>IF(AND('A-5'!W24="-",'A-5'!W71="-"),"-",SUM('A-5'!W24,'A-5'!W71))</f>
        <v>-</v>
      </c>
      <c r="X71" s="200">
        <f t="shared" si="1"/>
        <v>400</v>
      </c>
    </row>
    <row r="72" spans="1:24" ht="11.25" customHeight="1" x14ac:dyDescent="0.25">
      <c r="A72" s="383">
        <v>1996</v>
      </c>
      <c r="B72" s="200" t="s">
        <v>29</v>
      </c>
      <c r="C72" s="200" t="str">
        <f>IF(AND('A-10'!B214="-",'A-5'!C25="-",'A-5'!C72="-"),"-",SUM('A-10'!B214,'A-5'!C25,'A-5'!C72))</f>
        <v>-</v>
      </c>
      <c r="D72" s="200" t="str">
        <f>IF(AND('A-10'!C214="-",'A-5'!D25="-",'A-5'!D72="-"),"-",SUM('A-10'!C214,'A-5'!D25,'A-5'!D72))</f>
        <v>-</v>
      </c>
      <c r="E72" s="200">
        <f>IF(AND('A-10'!D214="-",'A-5'!E25="-",'A-5'!E72="-"),"-",SUM('A-10'!D214,'A-5'!E25,'A-5'!E72))</f>
        <v>2575</v>
      </c>
      <c r="F72" s="200">
        <f>IF(AND('A-10'!E214="-",'A-5'!F25="-",'A-5'!F72="-"),"-",SUM('A-10'!E214,'A-5'!F25,'A-5'!F72))</f>
        <v>8556</v>
      </c>
      <c r="G72" s="200">
        <f>IF(AND('A-10'!F214="-",'A-5'!G25="-",'A-5'!G72="-"),"-",SUM('A-10'!F214,'A-5'!G25,'A-5'!G72))</f>
        <v>1256</v>
      </c>
      <c r="H72" s="200">
        <f>IF(AND('A-10'!G214="-",'A-5'!H25="-",'A-5'!H72="-"),"-",SUM('A-10'!G214,'A-5'!H25,'A-5'!H72))</f>
        <v>4056</v>
      </c>
      <c r="I72" s="200">
        <f>IF(AND('A-10'!H214="-",'A-5'!I25="-",'A-5'!I72="-"),"-",SUM('A-10'!H214,'A-5'!I25,'A-5'!I72))</f>
        <v>1220</v>
      </c>
      <c r="J72" s="200">
        <f>IF(AND('A-10'!I214="-",'A-5'!J25="-",'A-5'!J72="-"),"-",SUM('A-10'!I214,'A-5'!J25,'A-5'!J72))</f>
        <v>1281</v>
      </c>
      <c r="K72" s="200" t="str">
        <f>IF(AND('A-10'!J214="-",'A-5'!K25="-",'A-5'!K72="-"),"-",SUM('A-10'!J214,'A-5'!K25,'A-5'!K72))</f>
        <v>-</v>
      </c>
      <c r="L72" s="200">
        <f t="shared" si="0"/>
        <v>18944</v>
      </c>
      <c r="N72" s="200" t="str">
        <f>IF(OR(ISNUMBER('A-5'!N25),ISNUMBER('A-5'!N72)),SUM('A-5'!N25,'A-5'!N72),IF(OR('A-5'!N25="--",'A-5'!N72="--"),"--","-"))</f>
        <v>-</v>
      </c>
      <c r="O72" s="200" t="str">
        <f>IF(OR(ISNUMBER('A-5'!O25),ISNUMBER('A-5'!O72)),SUM('A-5'!O25,'A-5'!O72),IF(OR('A-5'!O25="--",'A-5'!O72="--"),"--","-"))</f>
        <v>-</v>
      </c>
      <c r="P72" s="200" t="str">
        <f>IF(OR(ISNUMBER('A-5'!P25),ISNUMBER('A-5'!P72)),SUM('A-5'!P25,'A-5'!P72),IF(OR('A-5'!P25="--",'A-5'!P72="--"),"--","-"))</f>
        <v>-</v>
      </c>
      <c r="Q72" s="200" t="str">
        <f>IF(AND('A-10'!M214="-",'A-5'!Q25="-",'A-5'!Q72="-"),"-",SUM('A-10'!M214,'A-5'!Q25,'A-5'!Q72))</f>
        <v>-</v>
      </c>
      <c r="R72" s="200">
        <f>IF(AND('A-10'!N214="-",'A-5'!R25="-",'A-5'!R72="-"),"-",SUM('A-10'!N214,'A-5'!R25,'A-5'!R72))</f>
        <v>175</v>
      </c>
      <c r="S72" s="200">
        <f>IF(AND('A-10'!O214="-",'A-5'!S25="-",'A-5'!S72="-"),"-",SUM('A-10'!O214,'A-5'!S25,'A-5'!S72))</f>
        <v>49</v>
      </c>
      <c r="T72" s="200">
        <f>IF(AND('A-10'!P214="-",'A-5'!T25="-",'A-5'!T72="-"),"-",SUM('A-10'!P214,'A-5'!T25,'A-5'!T72))</f>
        <v>58</v>
      </c>
      <c r="U72" s="200">
        <f>IF(AND('A-10'!Q214="-",'A-5'!U25="-",'A-5'!U72="-"),"-",SUM('A-10'!Q214,'A-5'!U25,'A-5'!U72))</f>
        <v>67</v>
      </c>
      <c r="V72" s="200">
        <f>IF(AND('A-10'!R214="-",'A-5'!V25="-",'A-5'!V72="-"),"-",SUM('A-10'!R214,'A-5'!V25,'A-5'!V72))</f>
        <v>11</v>
      </c>
      <c r="W72" s="200" t="str">
        <f>IF(AND('A-5'!W25="-",'A-5'!W72="-"),"-",SUM('A-5'!W25,'A-5'!W72))</f>
        <v>-</v>
      </c>
      <c r="X72" s="200">
        <f t="shared" si="1"/>
        <v>360</v>
      </c>
    </row>
    <row r="73" spans="1:24" ht="11.25" customHeight="1" x14ac:dyDescent="0.25">
      <c r="A73" s="383">
        <v>1997</v>
      </c>
      <c r="B73" s="200" t="s">
        <v>29</v>
      </c>
      <c r="C73" s="200" t="str">
        <f>IF(AND('A-10'!B215="-",'A-5'!C26="-",'A-5'!C73="-"),"-",SUM('A-10'!B215,'A-5'!C26,'A-5'!C73))</f>
        <v>-</v>
      </c>
      <c r="D73" s="200" t="str">
        <f>IF(AND('A-10'!C215="-",'A-5'!D26="-",'A-5'!D73="-"),"-",SUM('A-10'!C215,'A-5'!D26,'A-5'!D73))</f>
        <v>-</v>
      </c>
      <c r="E73" s="200">
        <f>IF(AND('A-10'!D215="-",'A-5'!E26="-",'A-5'!E73="-"),"-",SUM('A-10'!D215,'A-5'!E26,'A-5'!E73))</f>
        <v>2616</v>
      </c>
      <c r="F73" s="200">
        <f>IF(AND('A-10'!E215="-",'A-5'!F26="-",'A-5'!F73="-"),"-",SUM('A-10'!E215,'A-5'!F26,'A-5'!F73))</f>
        <v>3047</v>
      </c>
      <c r="G73" s="200">
        <f>IF(AND('A-10'!F215="-",'A-5'!G26="-",'A-5'!G73="-"),"-",SUM('A-10'!F215,'A-5'!G26,'A-5'!G73))</f>
        <v>3034</v>
      </c>
      <c r="H73" s="200">
        <f>IF(AND('A-10'!G215="-",'A-5'!H26="-",'A-5'!H73="-"),"-",SUM('A-10'!G215,'A-5'!H26,'A-5'!H73))</f>
        <v>4465</v>
      </c>
      <c r="I73" s="200">
        <f>IF(AND('A-10'!H215="-",'A-5'!I26="-",'A-5'!I73="-"),"-",SUM('A-10'!H215,'A-5'!I26,'A-5'!I73))</f>
        <v>233</v>
      </c>
      <c r="J73" s="200">
        <f>IF(AND('A-10'!I215="-",'A-5'!J26="-",'A-5'!J73="-"),"-",SUM('A-10'!I215,'A-5'!J26,'A-5'!J73))</f>
        <v>675</v>
      </c>
      <c r="K73" s="200" t="str">
        <f>IF(AND('A-10'!J215="-",'A-5'!K26="-",'A-5'!K73="-"),"-",SUM('A-10'!J215,'A-5'!K26,'A-5'!K73))</f>
        <v>-</v>
      </c>
      <c r="L73" s="200">
        <f t="shared" si="0"/>
        <v>14070</v>
      </c>
      <c r="N73" s="200" t="str">
        <f>IF(OR(ISNUMBER('A-5'!N26),ISNUMBER('A-5'!N73)),SUM('A-5'!N26,'A-5'!N73),IF(OR('A-5'!N26="--",'A-5'!N73="--"),"--","-"))</f>
        <v>-</v>
      </c>
      <c r="O73" s="200" t="str">
        <f>IF(OR(ISNUMBER('A-5'!O26),ISNUMBER('A-5'!O73)),SUM('A-5'!O26,'A-5'!O73),IF(OR('A-5'!O26="--",'A-5'!O73="--"),"--","-"))</f>
        <v>-</v>
      </c>
      <c r="P73" s="200" t="str">
        <f>IF(OR(ISNUMBER('A-5'!P26),ISNUMBER('A-5'!P73)),SUM('A-5'!P26,'A-5'!P73),IF(OR('A-5'!P26="--",'A-5'!P73="--"),"--","-"))</f>
        <v>-</v>
      </c>
      <c r="Q73" s="200">
        <f>IF(AND('A-10'!M215="-",'A-5'!Q26="-",'A-5'!Q73="-"),"-",SUM('A-10'!M215,'A-5'!Q26,'A-5'!Q73))</f>
        <v>33</v>
      </c>
      <c r="R73" s="200">
        <f>IF(AND('A-10'!N215="-",'A-5'!R26="-",'A-5'!R73="-"),"-",SUM('A-10'!N215,'A-5'!R26,'A-5'!R73))</f>
        <v>66</v>
      </c>
      <c r="S73" s="200">
        <f>IF(AND('A-10'!O215="-",'A-5'!S26="-",'A-5'!S73="-"),"-",SUM('A-10'!O215,'A-5'!S26,'A-5'!S73))</f>
        <v>113</v>
      </c>
      <c r="T73" s="200">
        <f>IF(AND('A-10'!P215="-",'A-5'!T26="-",'A-5'!T73="-"),"-",SUM('A-10'!P215,'A-5'!T26,'A-5'!T73))</f>
        <v>107</v>
      </c>
      <c r="U73" s="200">
        <f>IF(AND('A-10'!Q215="-",'A-5'!U26="-",'A-5'!U73="-"),"-",SUM('A-10'!Q215,'A-5'!U26,'A-5'!U73))</f>
        <v>9</v>
      </c>
      <c r="V73" s="200" t="str">
        <f>IF(AND('A-10'!R215="-",'A-5'!V26="-",'A-5'!V73="-"),"-",SUM('A-10'!R215,'A-5'!V26,'A-5'!V73))</f>
        <v>-</v>
      </c>
      <c r="W73" s="200" t="str">
        <f>IF(AND('A-5'!W26="-",'A-5'!W73="-"),"-",SUM('A-5'!W26,'A-5'!W73))</f>
        <v>-</v>
      </c>
      <c r="X73" s="200">
        <f t="shared" si="1"/>
        <v>328</v>
      </c>
    </row>
    <row r="74" spans="1:24" ht="11.25" customHeight="1" x14ac:dyDescent="0.25">
      <c r="A74" s="383">
        <v>1998</v>
      </c>
      <c r="B74" s="200" t="s">
        <v>29</v>
      </c>
      <c r="C74" s="200" t="str">
        <f>IF(AND('A-10'!B216="-",'A-5'!C27="-",'A-5'!C74="-"),"-",SUM('A-10'!B216,'A-5'!C27,'A-5'!C74))</f>
        <v>-</v>
      </c>
      <c r="D74" s="200" t="str">
        <f>IF(AND('A-10'!C216="-",'A-5'!D27="-",'A-5'!D74="-"),"-",SUM('A-10'!C216,'A-5'!D27,'A-5'!D74))</f>
        <v>-</v>
      </c>
      <c r="E74" s="200">
        <f>IF(AND('A-10'!D216="-",'A-5'!E27="-",'A-5'!E74="-"),"-",SUM('A-10'!D216,'A-5'!E27,'A-5'!E74))</f>
        <v>974</v>
      </c>
      <c r="F74" s="200">
        <f>IF(AND('A-10'!E216="-",'A-5'!F27="-",'A-5'!F74="-"),"-",SUM('A-10'!E216,'A-5'!F27,'A-5'!F74))</f>
        <v>1500</v>
      </c>
      <c r="G74" s="200">
        <f>IF(AND('A-10'!F216="-",'A-5'!G27="-",'A-5'!G74="-"),"-",SUM('A-10'!F216,'A-5'!G27,'A-5'!G74))</f>
        <v>686</v>
      </c>
      <c r="H74" s="200">
        <f>IF(AND('A-10'!G216="-",'A-5'!H27="-",'A-5'!H74="-"),"-",SUM('A-10'!G216,'A-5'!H27,'A-5'!H74))</f>
        <v>968</v>
      </c>
      <c r="I74" s="200">
        <f>IF(AND('A-10'!H216="-",'A-5'!I27="-",'A-5'!I74="-"),"-",SUM('A-10'!H216,'A-5'!I27,'A-5'!I74))</f>
        <v>353</v>
      </c>
      <c r="J74" s="200">
        <f>IF(AND('A-10'!I216="-",'A-5'!J27="-",'A-5'!J74="-"),"-",SUM('A-10'!I216,'A-5'!J27,'A-5'!J74))</f>
        <v>394</v>
      </c>
      <c r="K74" s="200" t="str">
        <f>IF(AND('A-10'!J216="-",'A-5'!K27="-",'A-5'!K74="-"),"-",SUM('A-10'!J216,'A-5'!K27,'A-5'!K74))</f>
        <v>-</v>
      </c>
      <c r="L74" s="200">
        <f t="shared" si="0"/>
        <v>4875</v>
      </c>
      <c r="N74" s="200" t="str">
        <f>IF(OR(ISNUMBER('A-5'!N27),ISNUMBER('A-5'!N74)),SUM('A-5'!N27,'A-5'!N74),IF(OR('A-5'!N27="--",'A-5'!N74="--"),"--","-"))</f>
        <v>-</v>
      </c>
      <c r="O74" s="200" t="str">
        <f>IF(OR(ISNUMBER('A-5'!O27),ISNUMBER('A-5'!O74)),SUM('A-5'!O27,'A-5'!O74),IF(OR('A-5'!O27="--",'A-5'!O74="--"),"--","-"))</f>
        <v>-</v>
      </c>
      <c r="P74" s="200" t="str">
        <f>IF(OR(ISNUMBER('A-5'!P27),ISNUMBER('A-5'!P74)),SUM('A-5'!P27,'A-5'!P74),IF(OR('A-5'!P27="--",'A-5'!P74="--"),"--","-"))</f>
        <v>-</v>
      </c>
      <c r="Q74" s="200" t="str">
        <f>IF(AND('A-10'!M216="-",'A-5'!Q27="-",'A-5'!Q74="-"),"-",SUM('A-10'!M216,'A-5'!Q27,'A-5'!Q74))</f>
        <v>-</v>
      </c>
      <c r="R74" s="200">
        <f>IF(AND('A-10'!N216="-",'A-5'!R27="-",'A-5'!R74="-"),"-",SUM('A-10'!N216,'A-5'!R27,'A-5'!R74))</f>
        <v>21</v>
      </c>
      <c r="S74" s="200">
        <f>IF(AND('A-10'!O216="-",'A-5'!S27="-",'A-5'!S74="-"),"-",SUM('A-10'!O216,'A-5'!S27,'A-5'!S74))</f>
        <v>23</v>
      </c>
      <c r="T74" s="200">
        <f>IF(AND('A-10'!P216="-",'A-5'!T27="-",'A-5'!T74="-"),"-",SUM('A-10'!P216,'A-5'!T27,'A-5'!T74))</f>
        <v>50</v>
      </c>
      <c r="U74" s="200" t="str">
        <f>IF(AND('A-10'!Q216="-",'A-5'!U27="-",'A-5'!U74="-"),"-",SUM('A-10'!Q216,'A-5'!U27,'A-5'!U74))</f>
        <v>-</v>
      </c>
      <c r="V74" s="200">
        <f>IF(AND('A-10'!R216="-",'A-5'!V27="-",'A-5'!V74="-"),"-",SUM('A-10'!R216,'A-5'!V27,'A-5'!V74))</f>
        <v>6</v>
      </c>
      <c r="W74" s="200" t="str">
        <f>IF(AND('A-5'!W27="-",'A-5'!W74="-"),"-",SUM('A-5'!W27,'A-5'!W74))</f>
        <v>-</v>
      </c>
      <c r="X74" s="200">
        <f t="shared" si="1"/>
        <v>100</v>
      </c>
    </row>
    <row r="75" spans="1:24" ht="11.25" customHeight="1" x14ac:dyDescent="0.25">
      <c r="A75" s="383">
        <v>1999</v>
      </c>
      <c r="B75" s="200" t="s">
        <v>29</v>
      </c>
      <c r="C75" s="200" t="str">
        <f>IF(AND('A-10'!B217="-",'A-5'!C28="-",'A-5'!C75="-"),"-",SUM('A-10'!B217,'A-5'!C28,'A-5'!C75))</f>
        <v>-</v>
      </c>
      <c r="D75" s="200" t="str">
        <f>IF(AND('A-10'!C217="-",'A-5'!D28="-",'A-5'!D75="-"),"-",SUM('A-10'!C217,'A-5'!D28,'A-5'!D75))</f>
        <v>-</v>
      </c>
      <c r="E75" s="200">
        <f>IF(AND('A-10'!D217="-",'A-5'!E28="-",'A-5'!E75="-"),"-",SUM('A-10'!D217,'A-5'!E28,'A-5'!E75))</f>
        <v>13</v>
      </c>
      <c r="F75" s="200">
        <f>IF(AND('A-10'!E217="-",'A-5'!F28="-",'A-5'!F75="-"),"-",SUM('A-10'!E217,'A-5'!F28,'A-5'!F75))</f>
        <v>2328</v>
      </c>
      <c r="G75" s="200">
        <f>IF(AND('A-10'!F217="-",'A-5'!G28="-",'A-5'!G75="-"),"-",SUM('A-10'!F217,'A-5'!G28,'A-5'!G75))</f>
        <v>2152</v>
      </c>
      <c r="H75" s="200">
        <f>IF(AND('A-10'!G217="-",'A-5'!H28="-",'A-5'!H75="-"),"-",SUM('A-10'!G217,'A-5'!H28,'A-5'!H75))</f>
        <v>4172</v>
      </c>
      <c r="I75" s="200">
        <f>IF(AND('A-10'!H217="-",'A-5'!I28="-",'A-5'!I75="-"),"-",SUM('A-10'!H217,'A-5'!I28,'A-5'!I75))</f>
        <v>625</v>
      </c>
      <c r="J75" s="200">
        <f>IF(AND('A-10'!I217="-",'A-5'!J28="-",'A-5'!J75="-"),"-",SUM('A-10'!I217,'A-5'!J28,'A-5'!J75))</f>
        <v>348</v>
      </c>
      <c r="K75" s="200" t="str">
        <f>IF(AND('A-10'!J217="-",'A-5'!K28="-",'A-5'!K75="-"),"-",SUM('A-10'!J217,'A-5'!K28,'A-5'!K75))</f>
        <v>-</v>
      </c>
      <c r="L75" s="200">
        <f t="shared" si="0"/>
        <v>9638</v>
      </c>
      <c r="N75" s="200" t="str">
        <f>IF(OR(ISNUMBER('A-5'!N28),ISNUMBER('A-5'!N75)),SUM('A-5'!N28,'A-5'!N75),IF(OR('A-5'!N28="--",'A-5'!N75="--"),"--","-"))</f>
        <v>-</v>
      </c>
      <c r="O75" s="200" t="str">
        <f>IF(OR(ISNUMBER('A-5'!O28),ISNUMBER('A-5'!O75)),SUM('A-5'!O28,'A-5'!O75),IF(OR('A-5'!O28="--",'A-5'!O75="--"),"--","-"))</f>
        <v>-</v>
      </c>
      <c r="P75" s="200" t="str">
        <f>IF(OR(ISNUMBER('A-5'!P28),ISNUMBER('A-5'!P75)),SUM('A-5'!P28,'A-5'!P75),IF(OR('A-5'!P28="--",'A-5'!P75="--"),"--","-"))</f>
        <v>-</v>
      </c>
      <c r="Q75" s="200" t="str">
        <f>IF(AND('A-10'!M217="-",'A-5'!Q28="-",'A-5'!Q75="-"),"-",SUM('A-10'!M217,'A-5'!Q28,'A-5'!Q75))</f>
        <v>-</v>
      </c>
      <c r="R75" s="200">
        <f>IF(AND('A-10'!N217="-",'A-5'!R28="-",'A-5'!R75="-"),"-",SUM('A-10'!N217,'A-5'!R28,'A-5'!R75))</f>
        <v>36</v>
      </c>
      <c r="S75" s="200">
        <f>IF(AND('A-10'!O217="-",'A-5'!S28="-",'A-5'!S75="-"),"-",SUM('A-10'!O217,'A-5'!S28,'A-5'!S75))</f>
        <v>42</v>
      </c>
      <c r="T75" s="200">
        <f>IF(AND('A-10'!P217="-",'A-5'!T28="-",'A-5'!T75="-"),"-",SUM('A-10'!P217,'A-5'!T28,'A-5'!T75))</f>
        <v>95</v>
      </c>
      <c r="U75" s="200">
        <f>IF(AND('A-10'!Q217="-",'A-5'!U28="-",'A-5'!U75="-"),"-",SUM('A-10'!Q217,'A-5'!U28,'A-5'!U75))</f>
        <v>4</v>
      </c>
      <c r="V75" s="200" t="str">
        <f>IF(AND('A-10'!R217="-",'A-5'!V28="-",'A-5'!V75="-"),"-",SUM('A-10'!R217,'A-5'!V28,'A-5'!V75))</f>
        <v>-</v>
      </c>
      <c r="W75" s="200" t="str">
        <f>IF(AND('A-5'!W28="-",'A-5'!W75="-"),"-",SUM('A-5'!W28,'A-5'!W75))</f>
        <v>-</v>
      </c>
      <c r="X75" s="200">
        <f t="shared" si="1"/>
        <v>177</v>
      </c>
    </row>
    <row r="76" spans="1:24" ht="11.25" customHeight="1" x14ac:dyDescent="0.25">
      <c r="A76" s="383">
        <v>2000</v>
      </c>
      <c r="B76" s="200" t="s">
        <v>29</v>
      </c>
      <c r="C76" s="200" t="str">
        <f>IF(AND('A-10'!B218="-",'A-5'!C29="-",'A-5'!C76="-"),"-",SUM('A-10'!B218,'A-5'!C29,'A-5'!C76))</f>
        <v>-</v>
      </c>
      <c r="D76" s="200" t="str">
        <f>IF(AND('A-10'!C218="-",'A-5'!D29="-",'A-5'!D76="-"),"-",SUM('A-10'!C218,'A-5'!D29,'A-5'!D76))</f>
        <v>-</v>
      </c>
      <c r="E76" s="200">
        <f>IF(AND('A-10'!D218="-",'A-5'!E29="-",'A-5'!E76="-"),"-",SUM('A-10'!D218,'A-5'!E29,'A-5'!E76))</f>
        <v>312</v>
      </c>
      <c r="F76" s="200">
        <f>IF(AND('A-10'!E218="-",'A-5'!F29="-",'A-5'!F76="-"),"-",SUM('A-10'!E218,'A-5'!F29,'A-5'!F76))</f>
        <v>2754</v>
      </c>
      <c r="G76" s="200">
        <f>IF(AND('A-10'!F218="-",'A-5'!G29="-",'A-5'!G76="-"),"-",SUM('A-10'!F218,'A-5'!G29,'A-5'!G76))</f>
        <v>5853</v>
      </c>
      <c r="H76" s="200">
        <f>IF(AND('A-10'!G218="-",'A-5'!H29="-",'A-5'!H76="-"),"-",SUM('A-10'!G218,'A-5'!H29,'A-5'!H76))</f>
        <v>14449</v>
      </c>
      <c r="I76" s="200">
        <f>IF(AND('A-10'!H218="-",'A-5'!I29="-",'A-5'!I76="-"),"-",SUM('A-10'!H218,'A-5'!I29,'A-5'!I76))</f>
        <v>1114</v>
      </c>
      <c r="J76" s="200">
        <f>IF(AND('A-10'!I218="-",'A-5'!J29="-",'A-5'!J76="-"),"-",SUM('A-10'!I218,'A-5'!J29,'A-5'!J76))</f>
        <v>810</v>
      </c>
      <c r="K76" s="200" t="str">
        <f>IF(AND('A-10'!J218="-",'A-5'!K29="-",'A-5'!K76="-"),"-",SUM('A-10'!J218,'A-5'!K29,'A-5'!K76))</f>
        <v>-</v>
      </c>
      <c r="L76" s="200">
        <f t="shared" si="0"/>
        <v>25292</v>
      </c>
      <c r="N76" s="200" t="str">
        <f>IF(OR(ISNUMBER('A-5'!N29),ISNUMBER('A-5'!N76)),SUM('A-5'!N29,'A-5'!N76),IF(OR('A-5'!N29="--",'A-5'!N76="--"),"--","-"))</f>
        <v>-</v>
      </c>
      <c r="O76" s="200" t="str">
        <f>IF(OR(ISNUMBER('A-5'!O29),ISNUMBER('A-5'!O76)),SUM('A-5'!O29,'A-5'!O76),IF(OR('A-5'!O29="--",'A-5'!O76="--"),"--","-"))</f>
        <v>-</v>
      </c>
      <c r="P76" s="200" t="str">
        <f>IF(OR(ISNUMBER('A-5'!P29),ISNUMBER('A-5'!P76)),SUM('A-5'!P29,'A-5'!P76),IF(OR('A-5'!P29="--",'A-5'!P76="--"),"--","-"))</f>
        <v>-</v>
      </c>
      <c r="Q76" s="200" t="str">
        <f>IF(AND('A-10'!M218="-",'A-5'!Q29="-",'A-5'!Q76="-"),"-",SUM('A-10'!M218,'A-5'!Q29,'A-5'!Q76))</f>
        <v>-</v>
      </c>
      <c r="R76" s="200">
        <f>IF(AND('A-10'!N218="-",'A-5'!R29="-",'A-5'!R76="-"),"-",SUM('A-10'!N218,'A-5'!R29,'A-5'!R76))</f>
        <v>19</v>
      </c>
      <c r="S76" s="200">
        <f>IF(AND('A-10'!O218="-",'A-5'!S29="-",'A-5'!S76="-"),"-",SUM('A-10'!O218,'A-5'!S29,'A-5'!S76))</f>
        <v>50</v>
      </c>
      <c r="T76" s="200">
        <f>IF(AND('A-10'!P218="-",'A-5'!T29="-",'A-5'!T76="-"),"-",SUM('A-10'!P218,'A-5'!T29,'A-5'!T76))</f>
        <v>180</v>
      </c>
      <c r="U76" s="200">
        <f>IF(AND('A-10'!Q218="-",'A-5'!U29="-",'A-5'!U76="-"),"-",SUM('A-10'!Q218,'A-5'!U29,'A-5'!U76))</f>
        <v>8</v>
      </c>
      <c r="V76" s="200" t="str">
        <f>IF(AND('A-10'!R218="-",'A-5'!V29="-",'A-5'!V76="-"),"-",SUM('A-10'!R218,'A-5'!V29,'A-5'!V76))</f>
        <v>-</v>
      </c>
      <c r="W76" s="200" t="str">
        <f>IF(AND('A-5'!W29="-",'A-5'!W76="-"),"-",SUM('A-5'!W29,'A-5'!W76))</f>
        <v>-</v>
      </c>
      <c r="X76" s="200">
        <f t="shared" si="1"/>
        <v>257</v>
      </c>
    </row>
    <row r="77" spans="1:24" ht="11.25" customHeight="1" x14ac:dyDescent="0.25">
      <c r="A77" s="383">
        <v>2001</v>
      </c>
      <c r="B77" s="200" t="s">
        <v>29</v>
      </c>
      <c r="C77" s="200" t="str">
        <f>IF(AND('A-10'!B219="-",'A-5'!C30="-",'A-5'!C77="-"),"-",SUM('A-10'!B219,'A-5'!C30,'A-5'!C77))</f>
        <v>-</v>
      </c>
      <c r="D77" s="200" t="str">
        <f>IF(AND('A-10'!C219="-",'A-5'!D30="-",'A-5'!D77="-"),"-",SUM('A-10'!C219,'A-5'!D30,'A-5'!D77))</f>
        <v>-</v>
      </c>
      <c r="E77" s="200">
        <f>IF(AND('A-10'!D219="-",'A-5'!E30="-",'A-5'!E77="-"),"-",SUM('A-10'!D219,'A-5'!E30,'A-5'!E77))</f>
        <v>2690</v>
      </c>
      <c r="F77" s="200">
        <f>IF(AND('A-10'!E219="-",'A-5'!F30="-",'A-5'!F77="-"),"-",SUM('A-10'!E219,'A-5'!F30,'A-5'!F77))</f>
        <v>5225</v>
      </c>
      <c r="G77" s="200">
        <f>IF(AND('A-10'!F219="-",'A-5'!G30="-",'A-5'!G77="-"),"-",SUM('A-10'!F219,'A-5'!G30,'A-5'!G77))</f>
        <v>3859</v>
      </c>
      <c r="H77" s="200">
        <f>IF(AND('A-10'!G219="-",'A-5'!H30="-",'A-5'!H77="-"),"-",SUM('A-10'!G219,'A-5'!H30,'A-5'!H77))</f>
        <v>5554</v>
      </c>
      <c r="I77" s="200">
        <f>IF(AND('A-10'!H219="-",'A-5'!I30="-",'A-5'!I77="-"),"-",SUM('A-10'!H219,'A-5'!I30,'A-5'!I77))</f>
        <v>1848</v>
      </c>
      <c r="J77" s="200">
        <f>IF(AND('A-10'!I219="-",'A-5'!J30="-",'A-5'!J77="-"),"-",SUM('A-10'!I219,'A-5'!J30,'A-5'!J77))</f>
        <v>856</v>
      </c>
      <c r="K77" s="200" t="str">
        <f>IF(AND('A-10'!J219="-",'A-5'!K30="-",'A-5'!K77="-"),"-",SUM('A-10'!J219,'A-5'!K30,'A-5'!K77))</f>
        <v>-</v>
      </c>
      <c r="L77" s="200">
        <f t="shared" si="0"/>
        <v>20032</v>
      </c>
      <c r="N77" s="200" t="str">
        <f>IF(OR(ISNUMBER('A-5'!N30),ISNUMBER('A-5'!N77)),SUM('A-5'!N30,'A-5'!N77),IF(OR('A-5'!N30="--",'A-5'!N77="--"),"--","-"))</f>
        <v>-</v>
      </c>
      <c r="O77" s="200" t="str">
        <f>IF(OR(ISNUMBER('A-5'!O30),ISNUMBER('A-5'!O77)),SUM('A-5'!O30,'A-5'!O77),IF(OR('A-5'!O30="--",'A-5'!O77="--"),"--","-"))</f>
        <v>-</v>
      </c>
      <c r="P77" s="200" t="str">
        <f>IF(OR(ISNUMBER('A-5'!P30),ISNUMBER('A-5'!P77)),SUM('A-5'!P30,'A-5'!P77),IF(OR('A-5'!P30="--",'A-5'!P77="--"),"--","-"))</f>
        <v>-</v>
      </c>
      <c r="Q77" s="200">
        <f>IF(AND('A-10'!M219="-",'A-5'!Q30="-",'A-5'!Q77="-"),"-",SUM('A-10'!M219,'A-5'!Q30,'A-5'!Q77))</f>
        <v>11</v>
      </c>
      <c r="R77" s="200">
        <f>IF(AND('A-10'!N219="-",'A-5'!R30="-",'A-5'!R77="-"),"-",SUM('A-10'!N219,'A-5'!R30,'A-5'!R77))</f>
        <v>118</v>
      </c>
      <c r="S77" s="200">
        <f>IF(AND('A-10'!O219="-",'A-5'!S30="-",'A-5'!S77="-"),"-",SUM('A-10'!O219,'A-5'!S30,'A-5'!S77))</f>
        <v>55</v>
      </c>
      <c r="T77" s="200">
        <f>IF(AND('A-10'!P219="-",'A-5'!T30="-",'A-5'!T77="-"),"-",SUM('A-10'!P219,'A-5'!T30,'A-5'!T77))</f>
        <v>58</v>
      </c>
      <c r="U77" s="200" t="str">
        <f>IF(AND('A-10'!Q219="-",'A-5'!U30="-",'A-5'!U77="-"),"-",SUM('A-10'!Q219,'A-5'!U30,'A-5'!U77))</f>
        <v>-</v>
      </c>
      <c r="V77" s="200">
        <f>IF(AND('A-10'!R219="-",'A-5'!V30="-",'A-5'!V77="-"),"-",SUM('A-10'!R219,'A-5'!V30,'A-5'!V77))</f>
        <v>13</v>
      </c>
      <c r="W77" s="200" t="str">
        <f>IF(AND('A-5'!W30="-",'A-5'!W77="-"),"-",SUM('A-5'!W30,'A-5'!W77))</f>
        <v>-</v>
      </c>
      <c r="X77" s="200">
        <f t="shared" si="1"/>
        <v>255</v>
      </c>
    </row>
    <row r="78" spans="1:24" ht="11.25" customHeight="1" x14ac:dyDescent="0.25">
      <c r="A78" s="383">
        <v>2002</v>
      </c>
      <c r="B78" s="200" t="s">
        <v>29</v>
      </c>
      <c r="C78" s="200" t="str">
        <f>IF(AND('A-10'!B220="-",'A-5'!C31="-",'A-5'!C78="-"),"-",SUM('A-10'!B220,'A-5'!C31,'A-5'!C78))</f>
        <v>-</v>
      </c>
      <c r="D78" s="200" t="str">
        <f>IF(AND('A-10'!C220="-",'A-5'!D31="-",'A-5'!D78="-"),"-",SUM('A-10'!C220,'A-5'!D31,'A-5'!D78))</f>
        <v>-</v>
      </c>
      <c r="E78" s="200">
        <f>IF(AND('A-10'!D220="-",'A-5'!E31="-",'A-5'!E78="-"),"-",SUM('A-10'!D220,'A-5'!E31,'A-5'!E78))</f>
        <v>3048</v>
      </c>
      <c r="F78" s="200">
        <f>IF(AND('A-10'!E220="-",'A-5'!F31="-",'A-5'!F78="-"),"-",SUM('A-10'!E220,'A-5'!F31,'A-5'!F78))</f>
        <v>7768</v>
      </c>
      <c r="G78" s="200">
        <f>IF(AND('A-10'!F220="-",'A-5'!G31="-",'A-5'!G78="-"),"-",SUM('A-10'!F220,'A-5'!G31,'A-5'!G78))</f>
        <v>630</v>
      </c>
      <c r="H78" s="200">
        <f>IF(AND('A-10'!G220="-",'A-5'!H31="-",'A-5'!H78="-"),"-",SUM('A-10'!G220,'A-5'!H31,'A-5'!H78))</f>
        <v>8533</v>
      </c>
      <c r="I78" s="200">
        <f>IF(AND('A-10'!H220="-",'A-5'!I31="-",'A-5'!I78="-"),"-",SUM('A-10'!H220,'A-5'!I31,'A-5'!I78))</f>
        <v>5785</v>
      </c>
      <c r="J78" s="200">
        <f>IF(AND('A-10'!I220="-",'A-5'!J31="-",'A-5'!J78="-"),"-",SUM('A-10'!I220,'A-5'!J31,'A-5'!J78))</f>
        <v>301</v>
      </c>
      <c r="K78" s="200" t="str">
        <f>IF(AND('A-10'!J220="-",'A-5'!K31="-",'A-5'!K78="-"),"-",SUM('A-10'!J220,'A-5'!K31,'A-5'!K78))</f>
        <v>-</v>
      </c>
      <c r="L78" s="200">
        <f t="shared" si="0"/>
        <v>26065</v>
      </c>
      <c r="N78" s="200" t="str">
        <f>IF(OR(ISNUMBER('A-5'!N31),ISNUMBER('A-5'!N78)),SUM('A-5'!N31,'A-5'!N78),IF(OR('A-5'!N31="--",'A-5'!N78="--"),"--","-"))</f>
        <v>-</v>
      </c>
      <c r="O78" s="200" t="str">
        <f>IF(OR(ISNUMBER('A-5'!O31),ISNUMBER('A-5'!O78)),SUM('A-5'!O31,'A-5'!O78),IF(OR('A-5'!O31="--",'A-5'!O78="--"),"--","-"))</f>
        <v>-</v>
      </c>
      <c r="P78" s="200" t="str">
        <f>IF(OR(ISNUMBER('A-5'!P31),ISNUMBER('A-5'!P78)),SUM('A-5'!P31,'A-5'!P78),IF(OR('A-5'!P31="--",'A-5'!P78="--"),"--","-"))</f>
        <v>-</v>
      </c>
      <c r="Q78" s="200">
        <f>IF(AND('A-10'!M220="-",'A-5'!Q31="-",'A-5'!Q78="-"),"-",SUM('A-10'!M220,'A-5'!Q31,'A-5'!Q78))</f>
        <v>10</v>
      </c>
      <c r="R78" s="200">
        <f>IF(AND('A-10'!N220="-",'A-5'!R31="-",'A-5'!R78="-"),"-",SUM('A-10'!N220,'A-5'!R31,'A-5'!R78))</f>
        <v>253</v>
      </c>
      <c r="S78" s="200">
        <f>IF(AND('A-10'!O220="-",'A-5'!S31="-",'A-5'!S78="-"),"-",SUM('A-10'!O220,'A-5'!S31,'A-5'!S78))</f>
        <v>42</v>
      </c>
      <c r="T78" s="200">
        <f>IF(AND('A-10'!P220="-",'A-5'!T31="-",'A-5'!T78="-"),"-",SUM('A-10'!P220,'A-5'!T31,'A-5'!T78))</f>
        <v>57</v>
      </c>
      <c r="U78" s="200">
        <f>IF(AND('A-10'!Q220="-",'A-5'!U31="-",'A-5'!U78="-"),"-",SUM('A-10'!Q220,'A-5'!U31,'A-5'!U78))</f>
        <v>41</v>
      </c>
      <c r="V78" s="200" t="str">
        <f>IF(AND('A-10'!R220="-",'A-5'!V31="-",'A-5'!V78="-"),"-",SUM('A-10'!R220,'A-5'!V31,'A-5'!V78))</f>
        <v>-</v>
      </c>
      <c r="W78" s="200" t="str">
        <f>IF(AND('A-5'!W31="-",'A-5'!W78="-"),"-",SUM('A-5'!W31,'A-5'!W78))</f>
        <v>-</v>
      </c>
      <c r="X78" s="200">
        <f t="shared" si="1"/>
        <v>403</v>
      </c>
    </row>
    <row r="79" spans="1:24" ht="11.25" customHeight="1" x14ac:dyDescent="0.25">
      <c r="A79" s="383">
        <v>2003</v>
      </c>
      <c r="B79" s="200" t="s">
        <v>29</v>
      </c>
      <c r="C79" s="200" t="str">
        <f>IF(AND('A-10'!B221="-",'A-5'!C32="-",'A-5'!C79="-"),"-",SUM('A-10'!B221,'A-5'!C32,'A-5'!C79))</f>
        <v>-</v>
      </c>
      <c r="D79" s="200" t="str">
        <f>IF(AND('A-10'!C221="-",'A-5'!D32="-",'A-5'!D79="-"),"-",SUM('A-10'!C221,'A-5'!D32,'A-5'!D79))</f>
        <v>-</v>
      </c>
      <c r="E79" s="200">
        <f>IF(AND('A-10'!D221="-",'A-5'!E32="-",'A-5'!E79="-"),"-",SUM('A-10'!D221,'A-5'!E32,'A-5'!E79))</f>
        <v>3385</v>
      </c>
      <c r="F79" s="200">
        <f>IF(AND('A-10'!E221="-",'A-5'!F32="-",'A-5'!F79="-"),"-",SUM('A-10'!E221,'A-5'!F32,'A-5'!F79))</f>
        <v>2156</v>
      </c>
      <c r="G79" s="200">
        <f>IF(AND('A-10'!F221="-",'A-5'!G32="-",'A-5'!G79="-"),"-",SUM('A-10'!F221,'A-5'!G32,'A-5'!G79))</f>
        <v>2638</v>
      </c>
      <c r="H79" s="200">
        <f>IF(AND('A-10'!G221="-",'A-5'!H32="-",'A-5'!H79="-"),"-",SUM('A-10'!G221,'A-5'!H32,'A-5'!H79))</f>
        <v>3130</v>
      </c>
      <c r="I79" s="200">
        <f>IF(AND('A-10'!H221="-",'A-5'!I32="-",'A-5'!I79="-"),"-",SUM('A-10'!H221,'A-5'!I32,'A-5'!I79))</f>
        <v>2339</v>
      </c>
      <c r="J79" s="200">
        <f>IF(AND('A-10'!I221="-",'A-5'!J32="-",'A-5'!J79="-"),"-",SUM('A-10'!I221,'A-5'!J32,'A-5'!J79))</f>
        <v>552</v>
      </c>
      <c r="K79" s="200" t="str">
        <f>IF(AND('A-10'!J221="-",'A-5'!K32="-",'A-5'!K79="-"),"-",SUM('A-10'!J221,'A-5'!K32,'A-5'!K79))</f>
        <v>-</v>
      </c>
      <c r="L79" s="200">
        <f t="shared" si="0"/>
        <v>14200</v>
      </c>
      <c r="N79" s="200" t="str">
        <f>IF(OR(ISNUMBER('A-5'!N32),ISNUMBER('A-5'!N79)),SUM('A-5'!N32,'A-5'!N79),IF(OR('A-5'!N32="--",'A-5'!N79="--"),"--","-"))</f>
        <v>-</v>
      </c>
      <c r="O79" s="200" t="str">
        <f>IF(OR(ISNUMBER('A-5'!O32),ISNUMBER('A-5'!O79)),SUM('A-5'!O32,'A-5'!O79),IF(OR('A-5'!O32="--",'A-5'!O79="--"),"--","-"))</f>
        <v>-</v>
      </c>
      <c r="P79" s="200" t="str">
        <f>IF(OR(ISNUMBER('A-5'!P32),ISNUMBER('A-5'!P79)),SUM('A-5'!P32,'A-5'!P79),IF(OR('A-5'!P32="--",'A-5'!P79="--"),"--","-"))</f>
        <v>-</v>
      </c>
      <c r="Q79" s="200">
        <f>IF(AND('A-10'!M221="-",'A-5'!Q32="-",'A-5'!Q79="-"),"-",SUM('A-10'!M221,'A-5'!Q32,'A-5'!Q79))</f>
        <v>29</v>
      </c>
      <c r="R79" s="200">
        <f>IF(AND('A-10'!N221="-",'A-5'!R32="-",'A-5'!R79="-"),"-",SUM('A-10'!N221,'A-5'!R32,'A-5'!R79))</f>
        <v>59</v>
      </c>
      <c r="S79" s="200">
        <f>IF(AND('A-10'!O221="-",'A-5'!S32="-",'A-5'!S79="-"),"-",SUM('A-10'!O221,'A-5'!S32,'A-5'!S79))</f>
        <v>25</v>
      </c>
      <c r="T79" s="200">
        <f>IF(AND('A-10'!P221="-",'A-5'!T32="-",'A-5'!T79="-"),"-",SUM('A-10'!P221,'A-5'!T32,'A-5'!T79))</f>
        <v>63</v>
      </c>
      <c r="U79" s="200">
        <f>IF(AND('A-10'!Q221="-",'A-5'!U32="-",'A-5'!U79="-"),"-",SUM('A-10'!Q221,'A-5'!U32,'A-5'!U79))</f>
        <v>12</v>
      </c>
      <c r="V79" s="200" t="str">
        <f>IF(AND('A-10'!R221="-",'A-5'!V32="-",'A-5'!V79="-"),"-",SUM('A-10'!R221,'A-5'!V32,'A-5'!V79))</f>
        <v>-</v>
      </c>
      <c r="W79" s="200" t="str">
        <f>IF(AND('A-5'!W32="-",'A-5'!W79="-"),"-",SUM('A-5'!W32,'A-5'!W79))</f>
        <v>-</v>
      </c>
      <c r="X79" s="200">
        <f t="shared" si="1"/>
        <v>188</v>
      </c>
    </row>
    <row r="80" spans="1:24" ht="11.25" customHeight="1" x14ac:dyDescent="0.25">
      <c r="A80" s="383">
        <v>2004</v>
      </c>
      <c r="B80" s="200" t="s">
        <v>29</v>
      </c>
      <c r="C80" s="200" t="str">
        <f>IF(AND('A-10'!B222="-",'A-5'!C33="-",'A-5'!C80="-"),"-",SUM('A-10'!B222,'A-5'!C33,'A-5'!C80))</f>
        <v>-</v>
      </c>
      <c r="D80" s="200" t="str">
        <f>IF(AND('A-10'!C222="-",'A-5'!D33="-",'A-5'!D80="-"),"-",SUM('A-10'!C222,'A-5'!D33,'A-5'!D80))</f>
        <v>-</v>
      </c>
      <c r="E80" s="200">
        <f>IF(AND('A-10'!D222="-",'A-5'!E33="-",'A-5'!E80="-"),"-",SUM('A-10'!D222,'A-5'!E33,'A-5'!E80))</f>
        <v>6514</v>
      </c>
      <c r="F80" s="200">
        <f>IF(AND('A-10'!E222="-",'A-5'!F33="-",'A-5'!F80="-"),"-",SUM('A-10'!E222,'A-5'!F33,'A-5'!F80))</f>
        <v>4530</v>
      </c>
      <c r="G80" s="200">
        <f>IF(AND('A-10'!F222="-",'A-5'!G33="-",'A-5'!G80="-"),"-",SUM('A-10'!F222,'A-5'!G33,'A-5'!G80))</f>
        <v>6090</v>
      </c>
      <c r="H80" s="200">
        <f>IF(AND('A-10'!G222="-",'A-5'!H33="-",'A-5'!H80="-"),"-",SUM('A-10'!G222,'A-5'!H33,'A-5'!H80))</f>
        <v>9100</v>
      </c>
      <c r="I80" s="200">
        <f>IF(AND('A-10'!H222="-",'A-5'!I33="-",'A-5'!I80="-"),"-",SUM('A-10'!H222,'A-5'!I33,'A-5'!I80))</f>
        <v>3214</v>
      </c>
      <c r="J80" s="200">
        <f>IF(AND('A-10'!I222="-",'A-5'!J33="-",'A-5'!J80="-"),"-",SUM('A-10'!I222,'A-5'!J33,'A-5'!J80))</f>
        <v>233</v>
      </c>
      <c r="K80" s="200" t="str">
        <f>IF(AND('A-10'!J222="-",'A-5'!K33="-",'A-5'!K80="-"),"-",SUM('A-10'!J222,'A-5'!K33,'A-5'!K80))</f>
        <v>-</v>
      </c>
      <c r="L80" s="200">
        <f>SUM(B80:K80)</f>
        <v>29681</v>
      </c>
      <c r="N80" s="200" t="str">
        <f>IF(OR(ISNUMBER('A-5'!N33),ISNUMBER('A-5'!N80)),SUM('A-5'!N33,'A-5'!N80),IF(OR('A-5'!N33="--",'A-5'!N80="--"),"--","-"))</f>
        <v>-</v>
      </c>
      <c r="O80" s="200" t="str">
        <f>IF(OR(ISNUMBER('A-5'!O33),ISNUMBER('A-5'!O80)),SUM('A-5'!O33,'A-5'!O80),IF(OR('A-5'!O33="--",'A-5'!O80="--"),"--","-"))</f>
        <v>-</v>
      </c>
      <c r="P80" s="200" t="str">
        <f>IF(OR(ISNUMBER('A-5'!P33),ISNUMBER('A-5'!P80)),SUM('A-5'!P33,'A-5'!P80),IF(OR('A-5'!P33="--",'A-5'!P80="--"),"--","-"))</f>
        <v>-</v>
      </c>
      <c r="Q80" s="200">
        <f>IF(AND('A-10'!M222="-",'A-5'!Q33="-",'A-5'!Q80="-"),"-",SUM('A-10'!M222,'A-5'!Q33,'A-5'!Q80))</f>
        <v>194</v>
      </c>
      <c r="R80" s="200">
        <f>IF(AND('A-10'!N222="-",'A-5'!R33="-",'A-5'!R80="-"),"-",SUM('A-10'!N222,'A-5'!R33,'A-5'!R80))</f>
        <v>440</v>
      </c>
      <c r="S80" s="200">
        <f>IF(AND('A-10'!O222="-",'A-5'!S33="-",'A-5'!S80="-"),"-",SUM('A-10'!O222,'A-5'!S33,'A-5'!S80))</f>
        <v>787</v>
      </c>
      <c r="T80" s="200">
        <f>IF(AND('A-10'!P222="-",'A-5'!T33="-",'A-5'!T80="-"),"-",SUM('A-10'!P222,'A-5'!T33,'A-5'!T80))</f>
        <v>369</v>
      </c>
      <c r="U80" s="200">
        <f>IF(AND('A-10'!Q222="-",'A-5'!U33="-",'A-5'!U80="-"),"-",SUM('A-10'!Q222,'A-5'!U33,'A-5'!U80))</f>
        <v>42</v>
      </c>
      <c r="V80" s="200">
        <f>IF(AND('A-10'!R222="-",'A-5'!V33="-",'A-5'!V80="-"),"-",SUM('A-10'!R222,'A-5'!V33,'A-5'!V80))</f>
        <v>3</v>
      </c>
      <c r="W80" s="200" t="str">
        <f>IF(AND('A-5'!W33="-",'A-5'!W80="-"),"-",SUM('A-5'!W33,'A-5'!W80))</f>
        <v>-</v>
      </c>
      <c r="X80" s="200">
        <f>SUM(N80:W80)</f>
        <v>1835</v>
      </c>
    </row>
    <row r="81" spans="1:24" ht="11.25" customHeight="1" x14ac:dyDescent="0.25">
      <c r="A81" s="402">
        <v>2005</v>
      </c>
      <c r="B81" s="203" t="s">
        <v>29</v>
      </c>
      <c r="C81" s="203" t="str">
        <f>IF(AND('A-10'!B223="-",'A-5'!C34="-",'A-5'!C81="-"),"-",SUM('A-10'!B223,'A-5'!C34,'A-5'!C81))</f>
        <v>-</v>
      </c>
      <c r="D81" s="203" t="str">
        <f>IF(AND('A-10'!C223="-",'A-5'!D34="-",'A-5'!D81="-"),"-",SUM('A-10'!C223,'A-5'!D34,'A-5'!D81))</f>
        <v>-</v>
      </c>
      <c r="E81" s="203">
        <f>IF(AND('A-10'!D223="-",'A-5'!E34="-",'A-5'!E81="-"),"-",SUM('A-10'!D223,'A-5'!E34,'A-5'!E81))</f>
        <v>1206</v>
      </c>
      <c r="F81" s="203">
        <f>IF(AND('A-10'!E223="-",'A-5'!F34="-",'A-5'!F81="-"),"-",SUM('A-10'!E223,'A-5'!F34,'A-5'!F81))</f>
        <v>10218</v>
      </c>
      <c r="G81" s="203">
        <f>IF(AND('A-10'!F223="-",'A-5'!G34="-",'A-5'!G81="-"),"-",SUM('A-10'!F223,'A-5'!G34,'A-5'!G81))</f>
        <v>2317</v>
      </c>
      <c r="H81" s="203">
        <f>IF(AND('A-10'!G223="-",'A-5'!H34="-",'A-5'!H81="-"),"-",SUM('A-10'!G223,'A-5'!H34,'A-5'!H81))</f>
        <v>5249</v>
      </c>
      <c r="I81" s="203">
        <f>IF(AND('A-10'!H223="-",'A-5'!I34="-",'A-5'!I81="-"),"-",SUM('A-10'!H223,'A-5'!I34,'A-5'!I81))</f>
        <v>3857</v>
      </c>
      <c r="J81" s="203">
        <f>IF(AND('A-10'!I223="-",'A-5'!J34="-",'A-5'!J81="-"),"-",SUM('A-10'!I223,'A-5'!J34,'A-5'!J81))</f>
        <v>404</v>
      </c>
      <c r="K81" s="203" t="str">
        <f>IF(AND('A-10'!J223="-",'A-5'!K34="-",'A-5'!K81="-"),"-",SUM('A-10'!J223,'A-5'!K34,'A-5'!K81))</f>
        <v>-</v>
      </c>
      <c r="L81" s="203">
        <f>SUM(B81:K81)</f>
        <v>23251</v>
      </c>
      <c r="M81" s="197"/>
      <c r="N81" s="200" t="str">
        <f>IF(OR(ISNUMBER('A-5'!N34),ISNUMBER('A-5'!N81)),SUM('A-5'!N34,'A-5'!N81),IF(OR('A-5'!N34="--",'A-5'!N81="--"),"--","-"))</f>
        <v>-</v>
      </c>
      <c r="O81" s="200" t="str">
        <f>IF(OR(ISNUMBER('A-5'!O34),ISNUMBER('A-5'!O81)),SUM('A-5'!O34,'A-5'!O81),IF(OR('A-5'!O34="--",'A-5'!O81="--"),"--","-"))</f>
        <v>-</v>
      </c>
      <c r="P81" s="200" t="str">
        <f>IF(OR(ISNUMBER('A-5'!P34),ISNUMBER('A-5'!P81)),SUM('A-5'!P34,'A-5'!P81),IF(OR('A-5'!P34="--",'A-5'!P81="--"),"--","-"))</f>
        <v>-</v>
      </c>
      <c r="Q81" s="200">
        <f>IF(AND('A-10'!M223="-",'A-5'!Q34="-",'A-5'!Q81="-"),"-",SUM('A-10'!M223,'A-5'!Q34,'A-5'!Q81))</f>
        <v>24</v>
      </c>
      <c r="R81" s="200">
        <f>IF(AND('A-10'!N223="-",'A-5'!R34="-",'A-5'!R81="-"),"-",SUM('A-10'!N223,'A-5'!R34,'A-5'!R81))</f>
        <v>137</v>
      </c>
      <c r="S81" s="200">
        <f>IF(AND('A-10'!O223="-",'A-5'!S34="-",'A-5'!S81="-"),"-",SUM('A-10'!O223,'A-5'!S34,'A-5'!S81))</f>
        <v>3</v>
      </c>
      <c r="T81" s="200">
        <f>IF(AND('A-10'!P223="-",'A-5'!T34="-",'A-5'!T81="-"),"-",SUM('A-10'!P223,'A-5'!T34,'A-5'!T81))</f>
        <v>40</v>
      </c>
      <c r="U81" s="200">
        <f>IF(AND('A-10'!Q223="-",'A-5'!U34="-",'A-5'!U81="-"),"-",SUM('A-10'!Q223,'A-5'!U34,'A-5'!U81))</f>
        <v>57</v>
      </c>
      <c r="V81" s="200" t="str">
        <f>IF(AND('A-10'!R223="-",'A-5'!V34="-",'A-5'!V81="-"),"-",SUM('A-10'!R223,'A-5'!V34,'A-5'!V81))</f>
        <v>-</v>
      </c>
      <c r="W81" s="200" t="str">
        <f>IF(AND('A-5'!W34="-",'A-5'!W81="-"),"-",SUM('A-5'!W34,'A-5'!W81))</f>
        <v>-</v>
      </c>
      <c r="X81" s="200">
        <f>SUM(N81:W81)</f>
        <v>261</v>
      </c>
    </row>
    <row r="82" spans="1:24" ht="11.25" customHeight="1" x14ac:dyDescent="0.25">
      <c r="A82" s="383">
        <v>2006</v>
      </c>
      <c r="B82" s="200" t="s">
        <v>29</v>
      </c>
      <c r="C82" s="200" t="str">
        <f>IF(AND('A-10'!B224="-",'A-5'!C35="-",'A-5'!C82="-"),"-",SUM('A-10'!B224,'A-5'!C35,'A-5'!C82))</f>
        <v>-</v>
      </c>
      <c r="D82" s="200" t="str">
        <f>IF(AND('A-10'!C224="-",'A-5'!D35="-",'A-5'!D82="-"),"-",SUM('A-10'!C224,'A-5'!D35,'A-5'!D82))</f>
        <v>-</v>
      </c>
      <c r="E82" s="200">
        <f>IF(AND('A-10'!D224="-",'A-5'!E35="-",'A-5'!E82="-"),"-",SUM('A-10'!D224,'A-5'!E35,'A-5'!E82))</f>
        <v>4620</v>
      </c>
      <c r="F82" s="200">
        <f>IF(AND('A-10'!E224="-",'A-5'!F35="-",'A-5'!F82="-"),"-",SUM('A-10'!E224,'A-5'!F35,'A-5'!F82))</f>
        <v>6199</v>
      </c>
      <c r="G82" s="200">
        <f>IF(AND('A-10'!F224="-",'A-5'!G35="-",'A-5'!G82="-"),"-",SUM('A-10'!F224,'A-5'!G35,'A-5'!G82))</f>
        <v>2515</v>
      </c>
      <c r="H82" s="200" t="str">
        <f>IF(AND('A-10'!G224="-",'A-5'!H35="-",'A-5'!H82="-"),"-",SUM('A-10'!G224,'A-5'!H35,'A-5'!H82))</f>
        <v>-</v>
      </c>
      <c r="I82" s="200">
        <f>IF(AND('A-10'!H224="-",'A-5'!I35="-",'A-5'!I82="-"),"-",SUM('A-10'!H224,'A-5'!I35,'A-5'!I82))</f>
        <v>4464</v>
      </c>
      <c r="J82" s="200">
        <f>IF(AND('A-10'!I224="-",'A-5'!J35="-",'A-5'!J82="-"),"-",SUM('A-10'!I224,'A-5'!J35,'A-5'!J82))</f>
        <v>397</v>
      </c>
      <c r="K82" s="200" t="str">
        <f>IF(AND('A-10'!J224="-",'A-5'!K35="-",'A-5'!K82="-"),"-",SUM('A-10'!J224,'A-5'!K35,'A-5'!K82))</f>
        <v>-</v>
      </c>
      <c r="L82" s="200">
        <f>SUM(B82:K82)</f>
        <v>18195</v>
      </c>
      <c r="N82" s="200" t="str">
        <f>IF(OR(ISNUMBER('A-5'!N35),ISNUMBER('A-5'!N82)),SUM('A-5'!N35,'A-5'!N82),IF(OR('A-5'!N35="--",'A-5'!N82="--"),"--","-"))</f>
        <v>-</v>
      </c>
      <c r="O82" s="200" t="str">
        <f>IF(OR(ISNUMBER('A-5'!O35),ISNUMBER('A-5'!O82)),SUM('A-5'!O35,'A-5'!O82),IF(OR('A-5'!O35="--",'A-5'!O82="--"),"--","-"))</f>
        <v>-</v>
      </c>
      <c r="P82" s="200" t="str">
        <f>IF(OR(ISNUMBER('A-5'!P35),ISNUMBER('A-5'!P82)),SUM('A-5'!P35,'A-5'!P82),IF(OR('A-5'!P35="--",'A-5'!P82="--"),"--","-"))</f>
        <v>-</v>
      </c>
      <c r="Q82" s="200">
        <f>IF(AND('A-10'!M224="-",'A-5'!Q35="-",'A-5'!Q82="-"),"-",SUM('A-10'!M224,'A-5'!Q35,'A-5'!Q82))</f>
        <v>93</v>
      </c>
      <c r="R82" s="200">
        <f>IF(AND('A-10'!N224="-",'A-5'!R35="-",'A-5'!R82="-"),"-",SUM('A-10'!N224,'A-5'!R35,'A-5'!R82))</f>
        <v>503</v>
      </c>
      <c r="S82" s="200">
        <f>IF(AND('A-10'!O224="-",'A-5'!S35="-",'A-5'!S82="-"),"-",SUM('A-10'!O224,'A-5'!S35,'A-5'!S82))</f>
        <v>150</v>
      </c>
      <c r="T82" s="200" t="str">
        <f>IF(AND('A-10'!P224="-",'A-5'!T35="-",'A-5'!T82="-"),"-",SUM('A-10'!P224,'A-5'!T35,'A-5'!T82))</f>
        <v>-</v>
      </c>
      <c r="U82" s="200">
        <f>IF(AND('A-10'!Q224="-",'A-5'!U35="-",'A-5'!U82="-"),"-",SUM('A-10'!Q224,'A-5'!U35,'A-5'!U82))</f>
        <v>169</v>
      </c>
      <c r="V82" s="200">
        <f>IF(AND('A-10'!R224="-",'A-5'!V35="-",'A-5'!V82="-"),"-",SUM('A-10'!R224,'A-5'!V35,'A-5'!V82))</f>
        <v>7</v>
      </c>
      <c r="W82" s="200" t="str">
        <f>IF(AND('A-5'!W35="-",'A-5'!W82="-"),"-",SUM('A-5'!W35,'A-5'!W82))</f>
        <v>-</v>
      </c>
      <c r="X82" s="200">
        <f>SUM(N82:W82)</f>
        <v>922</v>
      </c>
    </row>
    <row r="83" spans="1:24" ht="11.25" customHeight="1" x14ac:dyDescent="0.25">
      <c r="A83" s="402">
        <v>2007</v>
      </c>
      <c r="B83" s="203" t="s">
        <v>29</v>
      </c>
      <c r="C83" s="203" t="str">
        <f>IF(AND('A-10'!B225="-",'A-5'!C36="-",'A-5'!C83="-"),"-",SUM('A-10'!B225,'A-5'!C36,'A-5'!C83))</f>
        <v>-</v>
      </c>
      <c r="D83" s="203" t="str">
        <f>IF(AND('A-10'!C225="-",'A-5'!D36="-",'A-5'!D83="-"),"-",SUM('A-10'!C225,'A-5'!D36,'A-5'!D83))</f>
        <v>-</v>
      </c>
      <c r="E83" s="203">
        <f>IF(AND('A-10'!D225="-",'A-5'!E36="-",'A-5'!E83="-"),"-",SUM('A-10'!D225,'A-5'!E36,'A-5'!E83))</f>
        <v>841</v>
      </c>
      <c r="F83" s="203">
        <f>IF(AND('A-10'!E225="-",'A-5'!F36="-",'A-5'!F83="-"),"-",SUM('A-10'!E225,'A-5'!F36,'A-5'!F83))</f>
        <v>5290</v>
      </c>
      <c r="G83" s="203">
        <f>IF(AND('A-10'!F225="-",'A-5'!G36="-",'A-5'!G83="-"),"-",SUM('A-10'!F225,'A-5'!G36,'A-5'!G83))</f>
        <v>5001</v>
      </c>
      <c r="H83" s="203">
        <f>IF(AND('A-10'!G225="-",'A-5'!H36="-",'A-5'!H83="-"),"-",SUM('A-10'!G225,'A-5'!H36,'A-5'!H83))</f>
        <v>8064</v>
      </c>
      <c r="I83" s="203">
        <f>IF(AND('A-10'!H225="-",'A-5'!I36="-",'A-5'!I83="-"),"-",SUM('A-10'!H225,'A-5'!I36,'A-5'!I83))</f>
        <v>2215</v>
      </c>
      <c r="J83" s="203">
        <f>IF(AND('A-10'!I225="-",'A-5'!J36="-",'A-5'!J83="-"),"-",SUM('A-10'!I225,'A-5'!J36,'A-5'!J83))</f>
        <v>535</v>
      </c>
      <c r="K83" s="203" t="str">
        <f>IF(AND('A-10'!J225="-",'A-5'!K36="-",'A-5'!K83="-"),"-",SUM('A-10'!J225,'A-5'!K36,'A-5'!K83))</f>
        <v>-</v>
      </c>
      <c r="L83" s="203">
        <f>SUM(B83:K83)</f>
        <v>21946</v>
      </c>
      <c r="M83" s="197"/>
      <c r="N83" s="200" t="str">
        <f>IF(OR(ISNUMBER('A-5'!N36),ISNUMBER('A-5'!N83)),SUM('A-5'!N36,'A-5'!N83),IF(OR('A-5'!N36="--",'A-5'!N83="--"),"--","-"))</f>
        <v>-</v>
      </c>
      <c r="O83" s="200" t="str">
        <f>IF(OR(ISNUMBER('A-5'!O36),ISNUMBER('A-5'!O83)),SUM('A-5'!O36,'A-5'!O83),IF(OR('A-5'!O36="--",'A-5'!O83="--"),"--","-"))</f>
        <v>-</v>
      </c>
      <c r="P83" s="200" t="str">
        <f>IF(OR(ISNUMBER('A-5'!P36),ISNUMBER('A-5'!P83)),SUM('A-5'!P36,'A-5'!P83),IF(OR('A-5'!P36="--",'A-5'!P83="--"),"--","-"))</f>
        <v>-</v>
      </c>
      <c r="Q83" s="203" t="str">
        <f>IF(AND('A-10'!M225="-",'A-5'!Q36="-",'A-5'!Q83="-"),"-",SUM('A-10'!M225,'A-5'!Q36,'A-5'!Q83))</f>
        <v>-</v>
      </c>
      <c r="R83" s="203">
        <f>IF(AND('A-10'!N225="-",'A-5'!R36="-",'A-5'!R83="-"),"-",SUM('A-10'!N225,'A-5'!R36,'A-5'!R83))</f>
        <v>245</v>
      </c>
      <c r="S83" s="203">
        <f>IF(AND('A-10'!O225="-",'A-5'!S36="-",'A-5'!S83="-"),"-",SUM('A-10'!O225,'A-5'!S36,'A-5'!S83))</f>
        <v>745</v>
      </c>
      <c r="T83" s="203">
        <f>IF(AND('A-10'!P225="-",'A-5'!T36="-",'A-5'!T83="-"),"-",SUM('A-10'!P225,'A-5'!T36,'A-5'!T83))</f>
        <v>917</v>
      </c>
      <c r="U83" s="203">
        <f>IF(AND('A-10'!Q225="-",'A-5'!U36="-",'A-5'!U83="-"),"-",SUM('A-10'!Q225,'A-5'!U36,'A-5'!U83))</f>
        <v>60</v>
      </c>
      <c r="V83" s="203">
        <f>IF(AND('A-10'!R225="-",'A-5'!V36="-",'A-5'!V83="-"),"-",SUM('A-10'!R225,'A-5'!V36,'A-5'!V83))</f>
        <v>3</v>
      </c>
      <c r="W83" s="203" t="str">
        <f>IF(AND('A-5'!W36="-",'A-5'!W83="-"),"-",SUM('A-5'!W36,'A-5'!W83))</f>
        <v>-</v>
      </c>
      <c r="X83" s="203">
        <f>SUM(N83:W83)</f>
        <v>1970</v>
      </c>
    </row>
    <row r="84" spans="1:24" ht="11.25" customHeight="1" x14ac:dyDescent="0.25">
      <c r="A84" s="402">
        <v>2008</v>
      </c>
      <c r="B84" s="203" t="s">
        <v>29</v>
      </c>
      <c r="C84" s="203" t="str">
        <f>IF(AND('A-10'!B226="-",'A-5'!C37="-",'A-5'!C84="-"),"-",SUM('A-10'!B226,'A-5'!C37,'A-5'!C84))</f>
        <v>-</v>
      </c>
      <c r="D84" s="203" t="str">
        <f>IF(AND('A-10'!C226="-",'A-5'!D37="-",'A-5'!D84="-"),"-",SUM('A-10'!C226,'A-5'!D37,'A-5'!D84))</f>
        <v>-</v>
      </c>
      <c r="E84" s="203" t="str">
        <f>IF(AND('A-10'!D226="-",'A-5'!E37="-",'A-5'!E84="-"),"-",SUM('A-10'!D226,'A-5'!E37,'A-5'!E84))</f>
        <v>-</v>
      </c>
      <c r="F84" s="203" t="str">
        <f>IF(AND('A-10'!E226="-",'A-5'!F37="-",'A-5'!F84="-"),"-",SUM('A-10'!E226,'A-5'!F37,'A-5'!F84))</f>
        <v>-</v>
      </c>
      <c r="G84" s="203" t="str">
        <f>IF(AND('A-10'!F226="-",'A-5'!G37="-",'A-5'!G84="-"),"-",SUM('A-10'!F226,'A-5'!G37,'A-5'!G84))</f>
        <v>-</v>
      </c>
      <c r="H84" s="203" t="str">
        <f>IF(AND('A-10'!G226="-",'A-5'!H37="-",'A-5'!H84="-"),"-",SUM('A-10'!G226,'A-5'!H37,'A-5'!H84))</f>
        <v>-</v>
      </c>
      <c r="I84" s="203" t="str">
        <f>IF(AND('A-10'!H226="-",'A-5'!I37="-",'A-5'!I84="-"),"-",SUM('A-10'!H226,'A-5'!I37,'A-5'!I84))</f>
        <v>-</v>
      </c>
      <c r="J84" s="203">
        <f>IF(AND('A-10'!I226="-",'A-5'!J37="-",'A-5'!J84="-"),"-",SUM('A-10'!I226,'A-5'!J37,'A-5'!J84))</f>
        <v>280</v>
      </c>
      <c r="K84" s="203" t="s">
        <v>29</v>
      </c>
      <c r="L84" s="203">
        <f>SUM(B84:K84)</f>
        <v>280</v>
      </c>
      <c r="M84" s="197"/>
      <c r="N84" s="203" t="str">
        <f>IF(OR(ISNUMBER('A-5'!N37),ISNUMBER('A-5'!N84)),SUM('A-5'!N37,'A-5'!N84),IF(OR('A-5'!N37="--",'A-5'!N84="--"),"--","-"))</f>
        <v>-</v>
      </c>
      <c r="O84" s="203" t="str">
        <f>IF(OR(ISNUMBER('A-5'!O37),ISNUMBER('A-5'!O84)),SUM('A-5'!O37,'A-5'!O84),IF(OR('A-5'!O37="--",'A-5'!O84="--"),"--","-"))</f>
        <v>-</v>
      </c>
      <c r="P84" s="203" t="str">
        <f>IF(OR(ISNUMBER('A-5'!P37),ISNUMBER('A-5'!P84)),SUM('A-5'!P37,'A-5'!P84),IF(OR('A-5'!P37="--",'A-5'!P84="--"),"--","-"))</f>
        <v>-</v>
      </c>
      <c r="Q84" s="203" t="str">
        <f>IF(AND('A-10'!M226="-",'A-5'!Q37="-",'A-5'!Q84="-"),"-",SUM('A-10'!M226,'A-5'!Q37,'A-5'!Q84))</f>
        <v>-</v>
      </c>
      <c r="R84" s="203">
        <f>IF(AND('A-10'!N226="-",'A-5'!R37="-",'A-5'!R84="-"),"-",SUM('A-10'!N226,'A-5'!R37,'A-5'!R84))</f>
        <v>449</v>
      </c>
      <c r="S84" s="203">
        <f>IF(AND('A-10'!O226="-",'A-5'!S37="-",'A-5'!S84="-"),"-",SUM('A-10'!O226,'A-5'!S37,'A-5'!S84))</f>
        <v>1273</v>
      </c>
      <c r="T84" s="203">
        <f>IF(AND('A-10'!P226="-",'A-5'!T37="-",'A-5'!T84="-"),"-",SUM('A-10'!P226,'A-5'!T37,'A-5'!T84))</f>
        <v>409</v>
      </c>
      <c r="U84" s="203" t="str">
        <f>IF(AND('A-10'!Q226="-",'A-5'!U37="-",'A-5'!U84="-"),"-",SUM('A-10'!Q226,'A-5'!U37,'A-5'!U84))</f>
        <v>-</v>
      </c>
      <c r="V84" s="203">
        <f>IF(AND('A-10'!R226="-",'A-5'!V37="-",'A-5'!V84="-"),"-",SUM('A-10'!R226,'A-5'!V37,'A-5'!V84))</f>
        <v>3</v>
      </c>
      <c r="W84" s="203" t="str">
        <f>IF(AND('A-5'!W37="-",'A-5'!W84="-"),"-",SUM('A-5'!W37,'A-5'!W84))</f>
        <v>-</v>
      </c>
      <c r="X84" s="203">
        <f>SUM(N84:W84)</f>
        <v>2134</v>
      </c>
    </row>
    <row r="85" spans="1:24" ht="11.25" customHeight="1" x14ac:dyDescent="0.25">
      <c r="A85" s="402">
        <v>2009</v>
      </c>
      <c r="B85" s="203" t="s">
        <v>29</v>
      </c>
      <c r="C85" s="203" t="str">
        <f>IF(AND('A-10'!B227="-",'A-5'!C38="-",'A-5'!C85="-"),"-",SUM('A-10'!B227,'A-5'!C38,'A-5'!C85))</f>
        <v>-</v>
      </c>
      <c r="D85" s="203" t="str">
        <f>IF(AND('A-10'!C227="-",'A-5'!D38="-",'A-5'!D85="-"),"-",SUM('A-10'!C227,'A-5'!D38,'A-5'!D85))</f>
        <v>-</v>
      </c>
      <c r="E85" s="203" t="str">
        <f>IF(AND('A-10'!D227="-",'A-5'!E38="-",'A-5'!E85="-"),"-",SUM('A-10'!D227,'A-5'!E38,'A-5'!E85))</f>
        <v>-</v>
      </c>
      <c r="F85" s="203" t="str">
        <f>IF(AND('A-10'!E227="-",'A-5'!F38="-",'A-5'!F85="-"),"-",SUM('A-10'!E227,'A-5'!F38,'A-5'!F85))</f>
        <v>-</v>
      </c>
      <c r="G85" s="203">
        <f>IF(AND('A-10'!F227="-",'A-5'!G38="-",'A-5'!G85="-"),"-",SUM('A-10'!F227,'A-5'!G38,'A-5'!G85))</f>
        <v>9</v>
      </c>
      <c r="H85" s="203">
        <f>IF(AND('A-10'!G227="-",'A-5'!H38="-",'A-5'!H85="-"),"-",SUM('A-10'!G227,'A-5'!H38,'A-5'!H85))</f>
        <v>325</v>
      </c>
      <c r="I85" s="203">
        <f>IF(AND('A-10'!H227="-",'A-5'!I38="-",'A-5'!I85="-"),"-",SUM('A-10'!H227,'A-5'!I38,'A-5'!I85))</f>
        <v>533</v>
      </c>
      <c r="J85" s="203" t="str">
        <f>IF(AND('A-10'!I227="-",'A-5'!J38="-",'A-5'!J85="-"),"-",SUM('A-10'!I227,'A-5'!J38,'A-5'!J85))</f>
        <v>-</v>
      </c>
      <c r="K85" s="203" t="s">
        <v>29</v>
      </c>
      <c r="L85" s="203">
        <f t="shared" ref="L85:L94" si="2">SUM(B85:K85)</f>
        <v>867</v>
      </c>
      <c r="M85" s="197"/>
      <c r="N85" s="203" t="str">
        <f>IF(OR(ISNUMBER('A-5'!N38),ISNUMBER('A-5'!N85)),SUM('A-5'!N38,'A-5'!N85),IF(OR('A-5'!N38="--",'A-5'!N85="--"),"--","-"))</f>
        <v>-</v>
      </c>
      <c r="O85" s="203" t="str">
        <f>IF(OR(ISNUMBER('A-5'!O38),ISNUMBER('A-5'!O85)),SUM('A-5'!O38,'A-5'!O85),IF(OR('A-5'!O38="--",'A-5'!O85="--"),"--","-"))</f>
        <v>-</v>
      </c>
      <c r="P85" s="203" t="str">
        <f>IF(OR(ISNUMBER('A-5'!P38),ISNUMBER('A-5'!P85)),SUM('A-5'!P38,'A-5'!P85),IF(OR('A-5'!P38="--",'A-5'!P85="--"),"--","-"))</f>
        <v>-</v>
      </c>
      <c r="Q85" s="203" t="str">
        <f>IF(AND('A-10'!M227="-",'A-5'!Q38="-",'A-5'!Q85="-"),"-",SUM('A-10'!M227,'A-5'!Q38,'A-5'!Q85))</f>
        <v>-</v>
      </c>
      <c r="R85" s="203">
        <f>IF(AND('A-10'!N227="-",'A-5'!R38="-",'A-5'!R85="-"),"-",SUM('A-10'!N227,'A-5'!R38,'A-5'!R85))</f>
        <v>6</v>
      </c>
      <c r="S85" s="203">
        <f>IF(AND('A-10'!O227="-",'A-5'!S38="-",'A-5'!S85="-"),"-",SUM('A-10'!O227,'A-5'!S38,'A-5'!S85))</f>
        <v>1123</v>
      </c>
      <c r="T85" s="203">
        <f>IF(AND('A-10'!P227="-",'A-5'!T38="-",'A-5'!T85="-"),"-",SUM('A-10'!P227,'A-5'!T38,'A-5'!T85))</f>
        <v>59</v>
      </c>
      <c r="U85" s="203">
        <f>IF(AND('A-10'!Q227="-",'A-5'!U38="-",'A-5'!U85="-"),"-",SUM('A-10'!Q227,'A-5'!U38,'A-5'!U85))</f>
        <v>17</v>
      </c>
      <c r="V85" s="203" t="str">
        <f>IF(AND('A-10'!R227="-",'A-5'!V38="-",'A-5'!V85="-"),"-",SUM('A-10'!R227,'A-5'!V38,'A-5'!V85))</f>
        <v>-</v>
      </c>
      <c r="W85" s="203" t="str">
        <f>IF(AND('A-5'!W38="-",'A-5'!W85="-"),"-",SUM('A-5'!W38,'A-5'!W85))</f>
        <v>-</v>
      </c>
      <c r="X85" s="203">
        <f t="shared" ref="X85:X96" si="3">SUM(N85:W85)</f>
        <v>1205</v>
      </c>
    </row>
    <row r="86" spans="1:24" ht="11.25" customHeight="1" x14ac:dyDescent="0.25">
      <c r="A86" s="402">
        <v>2010</v>
      </c>
      <c r="B86" s="203" t="s">
        <v>29</v>
      </c>
      <c r="C86" s="203" t="str">
        <f>IF(AND('A-10'!B228="-",'A-5'!C39="-",'A-5'!C86="-"),"-",SUM('A-10'!B228,'A-5'!C39,'A-5'!C86))</f>
        <v>-</v>
      </c>
      <c r="D86" s="203" t="str">
        <f>IF(AND('A-10'!C228="-",'A-5'!D39="-",'A-5'!D86="-"),"-",SUM('A-10'!C228,'A-5'!D39,'A-5'!D86))</f>
        <v>-</v>
      </c>
      <c r="E86" s="203">
        <f>IF(AND('A-10'!D228="-",'A-5'!E39="-",'A-5'!E86="-"),"-",SUM('A-10'!D228,'A-5'!E39,'A-5'!E86))</f>
        <v>24</v>
      </c>
      <c r="F86" s="203">
        <f>IF(AND('A-10'!E228="-",'A-5'!F39="-",'A-5'!F86="-"),"-",SUM('A-10'!E228,'A-5'!F39,'A-5'!F86))</f>
        <v>160</v>
      </c>
      <c r="G86" s="203">
        <f>IF(AND('A-10'!F228="-",'A-5'!G39="-",'A-5'!G86="-"),"-",SUM('A-10'!F228,'A-5'!G39,'A-5'!G86))</f>
        <v>40</v>
      </c>
      <c r="H86" s="203">
        <f>IF(AND('A-10'!G228="-",'A-5'!H39="-",'A-5'!H86="-"),"-",SUM('A-10'!G228,'A-5'!H39,'A-5'!H86))</f>
        <v>501</v>
      </c>
      <c r="I86" s="203">
        <f>IF(AND('A-10'!H228="-",'A-5'!I39="-",'A-5'!I86="-"),"-",SUM('A-10'!H228,'A-5'!I39,'A-5'!I86))</f>
        <v>278</v>
      </c>
      <c r="J86" s="203">
        <f>IF(AND('A-10'!I228="-",'A-5'!J39="-",'A-5'!J86="-"),"-",SUM('A-10'!I228,'A-5'!J39,'A-5'!J86))</f>
        <v>541</v>
      </c>
      <c r="K86" s="203" t="s">
        <v>29</v>
      </c>
      <c r="L86" s="203">
        <f t="shared" si="2"/>
        <v>1544</v>
      </c>
      <c r="M86" s="197"/>
      <c r="N86" s="203" t="str">
        <f>IF(OR(ISNUMBER('A-5'!N39),ISNUMBER('A-5'!N86)),SUM('A-5'!N39,'A-5'!N86),IF(OR('A-5'!N39="--",'A-5'!N86="--"),"--","-"))</f>
        <v>-</v>
      </c>
      <c r="O86" s="203" t="str">
        <f>IF(OR(ISNUMBER('A-5'!O39),ISNUMBER('A-5'!O86)),SUM('A-5'!O39,'A-5'!O86),IF(OR('A-5'!O39="--",'A-5'!O86="--"),"--","-"))</f>
        <v>-</v>
      </c>
      <c r="P86" s="203" t="str">
        <f>IF(OR(ISNUMBER('A-5'!P39),ISNUMBER('A-5'!P86)),SUM('A-5'!P39,'A-5'!P86),IF(OR('A-5'!P39="--",'A-5'!P86="--"),"--","-"))</f>
        <v>-</v>
      </c>
      <c r="Q86" s="203" t="str">
        <f>IF(AND('A-10'!M228="-",'A-5'!Q39="-",'A-5'!Q86="-"),"-",SUM('A-10'!M228,'A-5'!Q39,'A-5'!Q86))</f>
        <v>-</v>
      </c>
      <c r="R86" s="203" t="str">
        <f>IF(AND('A-10'!N228="-",'A-5'!R39="-",'A-5'!R86="-"),"-",SUM('A-10'!N228,'A-5'!R39,'A-5'!R86))</f>
        <v>-</v>
      </c>
      <c r="S86" s="203">
        <f>IF(AND('A-10'!O228="-",'A-5'!S39="-",'A-5'!S86="-"),"-",SUM('A-10'!O228,'A-5'!S39,'A-5'!S86))</f>
        <v>19</v>
      </c>
      <c r="T86" s="203">
        <f>IF(AND('A-10'!P228="-",'A-5'!T39="-",'A-5'!T86="-"),"-",SUM('A-10'!P228,'A-5'!T39,'A-5'!T86))</f>
        <v>75</v>
      </c>
      <c r="U86" s="203">
        <f>IF(AND('A-10'!Q228="-",'A-5'!U39="-",'A-5'!U86="-"),"-",SUM('A-10'!Q228,'A-5'!U39,'A-5'!U86))</f>
        <v>16</v>
      </c>
      <c r="V86" s="203" t="str">
        <f>IF(AND('A-10'!R228="-",'A-5'!V39="-",'A-5'!V86="-"),"-",SUM('A-10'!R228,'A-5'!V39,'A-5'!V86))</f>
        <v>-</v>
      </c>
      <c r="W86" s="203" t="str">
        <f>IF(AND('A-5'!W39="-",'A-5'!W86="-"),"-",SUM('A-5'!W39,'A-5'!W86))</f>
        <v>-</v>
      </c>
      <c r="X86" s="203">
        <f t="shared" si="3"/>
        <v>110</v>
      </c>
    </row>
    <row r="87" spans="1:24" ht="11.25" customHeight="1" x14ac:dyDescent="0.25">
      <c r="A87" s="402">
        <v>2011</v>
      </c>
      <c r="B87" s="203" t="s">
        <v>29</v>
      </c>
      <c r="C87" s="203" t="str">
        <f>IF(AND('A-10'!B229="-",'A-5'!C40="-",'A-5'!C87="-"),"-",SUM('A-10'!B229,'A-5'!C40,'A-5'!C87))</f>
        <v>-</v>
      </c>
      <c r="D87" s="203" t="str">
        <f>IF(AND('A-10'!C229="-",'A-5'!D40="-",'A-5'!D87="-"),"-",SUM('A-10'!C229,'A-5'!D40,'A-5'!D87))</f>
        <v>-</v>
      </c>
      <c r="E87" s="203">
        <f>IF(AND('A-10'!D229="-",'A-5'!E40="-",'A-5'!E87="-"),"-",SUM('A-10'!D229,'A-5'!E40,'A-5'!E87))</f>
        <v>814</v>
      </c>
      <c r="F87" s="203">
        <f>IF(AND('A-10'!E229="-",'A-5'!F40="-",'A-5'!F87="-"),"-",SUM('A-10'!E229,'A-5'!F40,'A-5'!F87))</f>
        <v>970</v>
      </c>
      <c r="G87" s="203">
        <f>IF(AND('A-10'!F229="-",'A-5'!G40="-",'A-5'!G87="-"),"-",SUM('A-10'!F229,'A-5'!G40,'A-5'!G87))</f>
        <v>4391</v>
      </c>
      <c r="H87" s="203">
        <f>IF(AND('A-10'!G229="-",'A-5'!H40="-",'A-5'!H87="-"),"-",SUM('A-10'!G229,'A-5'!H40,'A-5'!H87))</f>
        <v>4018</v>
      </c>
      <c r="I87" s="203">
        <f>IF(AND('A-10'!H229="-",'A-5'!I40="-",'A-5'!I87="-"),"-",SUM('A-10'!H229,'A-5'!I40,'A-5'!I87))</f>
        <v>497</v>
      </c>
      <c r="J87" s="203">
        <f>IF(AND('A-10'!I229="-",'A-5'!J40="-",'A-5'!J87="-"),"-",SUM('A-10'!I229,'A-5'!J40,'A-5'!J87))</f>
        <v>233</v>
      </c>
      <c r="K87" s="203" t="s">
        <v>29</v>
      </c>
      <c r="L87" s="203">
        <f t="shared" si="2"/>
        <v>10923</v>
      </c>
      <c r="M87" s="197"/>
      <c r="N87" s="203" t="str">
        <f>IF(OR(ISNUMBER('A-5'!N40),ISNUMBER('A-5'!N87)),SUM('A-5'!N40,'A-5'!N87),IF(OR('A-5'!N40="--",'A-5'!N87="--"),"--","-"))</f>
        <v>-</v>
      </c>
      <c r="O87" s="203" t="str">
        <f>IF(OR(ISNUMBER('A-5'!O40),ISNUMBER('A-5'!O87)),SUM('A-5'!O40,'A-5'!O87),IF(OR('A-5'!O40="--",'A-5'!O87="--"),"--","-"))</f>
        <v>-</v>
      </c>
      <c r="P87" s="203" t="str">
        <f>IF(OR(ISNUMBER('A-5'!P40),ISNUMBER('A-5'!P87)),SUM('A-5'!P40,'A-5'!P87),IF(OR('A-5'!P40="--",'A-5'!P87="--"),"--","-"))</f>
        <v>-</v>
      </c>
      <c r="Q87" s="203">
        <f>IF(AND('A-10'!M229="-",'A-5'!Q40="-",'A-5'!Q87="-"),"-",SUM('A-10'!M229,'A-5'!Q40,'A-5'!Q87))</f>
        <v>5</v>
      </c>
      <c r="R87" s="203">
        <f>IF(AND('A-10'!N229="-",'A-5'!R40="-",'A-5'!R87="-"),"-",SUM('A-10'!N229,'A-5'!R40,'A-5'!R87))</f>
        <v>10</v>
      </c>
      <c r="S87" s="203">
        <f>IF(AND('A-10'!O229="-",'A-5'!S40="-",'A-5'!S87="-"),"-",SUM('A-10'!O229,'A-5'!S40,'A-5'!S87))</f>
        <v>62</v>
      </c>
      <c r="T87" s="203">
        <f>IF(AND('A-10'!P229="-",'A-5'!T40="-",'A-5'!T87="-"),"-",SUM('A-10'!P229,'A-5'!T40,'A-5'!T87))</f>
        <v>37</v>
      </c>
      <c r="U87" s="203">
        <f>IF(AND('A-10'!Q229="-",'A-5'!U40="-",'A-5'!U87="-"),"-",SUM('A-10'!Q229,'A-5'!U40,'A-5'!U87))</f>
        <v>12</v>
      </c>
      <c r="V87" s="203" t="str">
        <f>IF(AND('A-10'!R229="-",'A-5'!V40="-",'A-5'!V87="-"),"-",SUM('A-10'!R229,'A-5'!V40,'A-5'!V87))</f>
        <v>-</v>
      </c>
      <c r="W87" s="203" t="str">
        <f>IF(AND('A-5'!W40="-",'A-5'!W87="-"),"-",SUM('A-5'!W40,'A-5'!W87))</f>
        <v>-</v>
      </c>
      <c r="X87" s="203">
        <f t="shared" si="3"/>
        <v>126</v>
      </c>
    </row>
    <row r="88" spans="1:24" ht="11.25" customHeight="1" x14ac:dyDescent="0.25">
      <c r="A88" s="402">
        <v>2012</v>
      </c>
      <c r="B88" s="203" t="s">
        <v>29</v>
      </c>
      <c r="C88" s="203" t="str">
        <f>IF(AND('A-10'!B230="-",'A-5'!C41="-",'A-5'!C88="-"),"-",SUM('A-10'!B230,'A-5'!C41,'A-5'!C88))</f>
        <v>-</v>
      </c>
      <c r="D88" s="203" t="str">
        <f>IF(AND('A-10'!C230="-",'A-5'!D41="-",'A-5'!D88="-"),"-",SUM('A-10'!C230,'A-5'!D41,'A-5'!D88))</f>
        <v>-</v>
      </c>
      <c r="E88" s="203">
        <f>IF(AND('A-10'!D230="-",'A-5'!E41="-",'A-5'!E88="-"),"-",SUM('A-10'!D230,'A-5'!E41,'A-5'!E88))</f>
        <v>3911</v>
      </c>
      <c r="F88" s="203">
        <f>IF(AND('A-10'!E230="-",'A-5'!F41="-",'A-5'!F88="-"),"-",SUM('A-10'!E230,'A-5'!F41,'A-5'!F88))</f>
        <v>11769</v>
      </c>
      <c r="G88" s="203">
        <f>IF(AND('A-10'!F230="-",'A-5'!G41="-",'A-5'!G88="-"),"-",SUM('A-10'!F230,'A-5'!G41,'A-5'!G88))</f>
        <v>14139</v>
      </c>
      <c r="H88" s="203">
        <f>IF(AND('A-10'!G230="-",'A-5'!H41="-",'A-5'!H88="-"),"-",SUM('A-10'!G230,'A-5'!H41,'A-5'!H88))</f>
        <v>14502</v>
      </c>
      <c r="I88" s="203">
        <f>IF(AND('A-10'!H230="-",'A-5'!I41="-",'A-5'!I88="-"),"-",SUM('A-10'!H230,'A-5'!I41,'A-5'!I88))</f>
        <v>3912</v>
      </c>
      <c r="J88" s="203">
        <f>IF(AND('A-10'!I230="-",'A-5'!J41="-",'A-5'!J88="-"),"-",SUM('A-10'!I230,'A-5'!J41,'A-5'!J88))</f>
        <v>534</v>
      </c>
      <c r="K88" s="203" t="s">
        <v>29</v>
      </c>
      <c r="L88" s="203">
        <f t="shared" si="2"/>
        <v>48767</v>
      </c>
      <c r="M88" s="197"/>
      <c r="N88" s="203" t="str">
        <f>IF(OR(ISNUMBER('A-5'!N41),ISNUMBER('A-5'!N88)),SUM('A-5'!N41,'A-5'!N88),IF(OR('A-5'!N41="--",'A-5'!N88="--"),"--","-"))</f>
        <v>-</v>
      </c>
      <c r="O88" s="203" t="str">
        <f>IF(OR(ISNUMBER('A-5'!O41),ISNUMBER('A-5'!O88)),SUM('A-5'!O41,'A-5'!O88),IF(OR('A-5'!O41="--",'A-5'!O88="--"),"--","-"))</f>
        <v>-</v>
      </c>
      <c r="P88" s="203" t="str">
        <f>IF(OR(ISNUMBER('A-5'!P41),ISNUMBER('A-5'!P88)),SUM('A-5'!P41,'A-5'!P88),IF(OR('A-5'!P41="--",'A-5'!P88="--"),"--","-"))</f>
        <v>-</v>
      </c>
      <c r="Q88" s="203" t="str">
        <f>IF(AND('A-10'!M230="-",'A-5'!Q41="-",'A-5'!Q88="-"),"-",SUM('A-10'!M230,'A-5'!Q41,'A-5'!Q88))</f>
        <v>-</v>
      </c>
      <c r="R88" s="203">
        <f>IF(AND('A-10'!N230="-",'A-5'!R41="-",'A-5'!R88="-"),"-",SUM('A-10'!N230,'A-5'!R41,'A-5'!R88))</f>
        <v>50</v>
      </c>
      <c r="S88" s="203">
        <f>IF(AND('A-10'!O230="-",'A-5'!S41="-",'A-5'!S88="-"),"-",SUM('A-10'!O230,'A-5'!S41,'A-5'!S88))</f>
        <v>176</v>
      </c>
      <c r="T88" s="203">
        <f>IF(AND('A-10'!P230="-",'A-5'!T41="-",'A-5'!T88="-"),"-",SUM('A-10'!P230,'A-5'!T41,'A-5'!T88))</f>
        <v>48</v>
      </c>
      <c r="U88" s="203" t="str">
        <f>IF(AND('A-10'!Q230="-",'A-5'!U41="-",'A-5'!U88="-"),"-",SUM('A-10'!Q230,'A-5'!U41,'A-5'!U88))</f>
        <v>-</v>
      </c>
      <c r="V88" s="203">
        <f>IF(AND('A-10'!R230="-",'A-5'!V41="-",'A-5'!V88="-"),"-",SUM('A-10'!R230,'A-5'!V41,'A-5'!V88))</f>
        <v>2</v>
      </c>
      <c r="W88" s="203" t="str">
        <f>IF(AND('A-5'!W41="-",'A-5'!W88="-"),"-",SUM('A-5'!W41,'A-5'!W88))</f>
        <v>-</v>
      </c>
      <c r="X88" s="203">
        <f t="shared" si="3"/>
        <v>276</v>
      </c>
    </row>
    <row r="89" spans="1:24" ht="11.25" customHeight="1" x14ac:dyDescent="0.25">
      <c r="A89" s="402">
        <v>2013</v>
      </c>
      <c r="B89" s="203" t="s">
        <v>29</v>
      </c>
      <c r="C89" s="203" t="str">
        <f>IF(AND('A-10'!B231="-",'A-5'!C42="-",'A-5'!C89="-"),"-",SUM('A-10'!B231,'A-5'!C42,'A-5'!C89))</f>
        <v>-</v>
      </c>
      <c r="D89" s="203" t="str">
        <f>IF(AND('A-10'!C231="-",'A-5'!D42="-",'A-5'!D89="-"),"-",SUM('A-10'!C231,'A-5'!D42,'A-5'!D89))</f>
        <v>-</v>
      </c>
      <c r="E89" s="203">
        <f>IF(AND('A-10'!D231="-",'A-5'!E42="-",'A-5'!E89="-"),"-",SUM('A-10'!D231,'A-5'!E42,'A-5'!E89))</f>
        <v>2585</v>
      </c>
      <c r="F89" s="203">
        <f>IF(AND('A-10'!E231="-",'A-5'!F42="-",'A-5'!F89="-"),"-",SUM('A-10'!E231,'A-5'!F42,'A-5'!F89))</f>
        <v>12329</v>
      </c>
      <c r="G89" s="203">
        <f>IF(AND('A-10'!F231="-",'A-5'!G42="-",'A-5'!G89="-"),"-",SUM('A-10'!F231,'A-5'!G42,'A-5'!G89))</f>
        <v>16247</v>
      </c>
      <c r="H89" s="203">
        <f>IF(AND('A-10'!G231="-",'A-5'!H42="-",'A-5'!H89="-"),"-",SUM('A-10'!G231,'A-5'!H42,'A-5'!H89))</f>
        <v>11996</v>
      </c>
      <c r="I89" s="203">
        <f>IF(AND('A-10'!H231="-",'A-5'!I42="-",'A-5'!I89="-"),"-",SUM('A-10'!H231,'A-5'!I42,'A-5'!I89))</f>
        <v>459</v>
      </c>
      <c r="J89" s="203">
        <f>IF(AND('A-10'!I231="-",'A-5'!J42="-",'A-5'!J89="-"),"-",SUM('A-10'!I231,'A-5'!J42,'A-5'!J89))</f>
        <v>814</v>
      </c>
      <c r="K89" s="203" t="s">
        <v>29</v>
      </c>
      <c r="L89" s="203">
        <f t="shared" si="2"/>
        <v>44430</v>
      </c>
      <c r="M89" s="197"/>
      <c r="N89" s="203" t="str">
        <f>IF(OR(ISNUMBER('A-5'!N42),ISNUMBER('A-5'!N89)),SUM('A-5'!N42,'A-5'!N89),IF(OR('A-5'!N42="--",'A-5'!N89="--"),"--","-"))</f>
        <v>-</v>
      </c>
      <c r="O89" s="203" t="str">
        <f>IF(OR(ISNUMBER('A-5'!O42),ISNUMBER('A-5'!O89)),SUM('A-5'!O42,'A-5'!O89),IF(OR('A-5'!O42="--",'A-5'!O89="--"),"--","-"))</f>
        <v>-</v>
      </c>
      <c r="P89" s="203" t="str">
        <f>IF(OR(ISNUMBER('A-5'!P42),ISNUMBER('A-5'!P89)),SUM('A-5'!P42,'A-5'!P89),IF(OR('A-5'!P42="--",'A-5'!P89="--"),"--","-"))</f>
        <v>-</v>
      </c>
      <c r="Q89" s="203" t="str">
        <f>IF(AND('A-10'!M231="-",'A-5'!Q42="-",'A-5'!Q89="-"),"-",SUM('A-10'!M231,'A-5'!Q42,'A-5'!Q89))</f>
        <v>-</v>
      </c>
      <c r="R89" s="203">
        <f>IF(AND('A-10'!N231="-",'A-5'!R42="-",'A-5'!R89="-"),"-",SUM('A-10'!N231,'A-5'!R42,'A-5'!R89))</f>
        <v>65</v>
      </c>
      <c r="S89" s="203">
        <f>IF(AND('A-10'!O231="-",'A-5'!S42="-",'A-5'!S89="-"),"-",SUM('A-10'!O231,'A-5'!S42,'A-5'!S89))</f>
        <v>360</v>
      </c>
      <c r="T89" s="203">
        <f>IF(AND('A-10'!P231="-",'A-5'!T42="-",'A-5'!T89="-"),"-",SUM('A-10'!P231,'A-5'!T42,'A-5'!T89))</f>
        <v>245</v>
      </c>
      <c r="U89" s="203" t="str">
        <f>IF(AND('A-10'!Q231="-",'A-5'!U42="-",'A-5'!U89="-"),"-",SUM('A-10'!Q231,'A-5'!U42,'A-5'!U89))</f>
        <v>-</v>
      </c>
      <c r="V89" s="203">
        <f>IF(AND('A-10'!R231="-",'A-5'!V42="-",'A-5'!V89="-"),"-",SUM('A-10'!R231,'A-5'!V42,'A-5'!V89))</f>
        <v>6</v>
      </c>
      <c r="W89" s="203" t="str">
        <f>IF(AND('A-5'!W42="-",'A-5'!W89="-"),"-",SUM('A-5'!W42,'A-5'!W89))</f>
        <v>-</v>
      </c>
      <c r="X89" s="203">
        <f t="shared" si="3"/>
        <v>676</v>
      </c>
    </row>
    <row r="90" spans="1:24" ht="11.25" customHeight="1" x14ac:dyDescent="0.25">
      <c r="A90" s="402">
        <v>2014</v>
      </c>
      <c r="B90" s="203" t="s">
        <v>29</v>
      </c>
      <c r="C90" s="203" t="str">
        <f>IF(AND('A-10'!B232="-",'A-5'!C43="-",'A-5'!C90="-"),"-",SUM('A-10'!B232,'A-5'!C43,'A-5'!C90))</f>
        <v>-</v>
      </c>
      <c r="D90" s="203" t="str">
        <f>IF(AND('A-10'!C232="-",'A-5'!D43="-",'A-5'!D90="-"),"-",SUM('A-10'!C232,'A-5'!D43,'A-5'!D90))</f>
        <v>-</v>
      </c>
      <c r="E90" s="203">
        <f>IF(AND('A-10'!D232="-",'A-5'!E43="-",'A-5'!E90="-"),"-",SUM('A-10'!D232,'A-5'!E43,'A-5'!E90))</f>
        <v>4413</v>
      </c>
      <c r="F90" s="203">
        <f>IF(AND('A-10'!E232="-",'A-5'!F43="-",'A-5'!F90="-"),"-",SUM('A-10'!E232,'A-5'!F43,'A-5'!F90))</f>
        <v>5756</v>
      </c>
      <c r="G90" s="203">
        <f>IF(AND('A-10'!F232="-",'A-5'!G43="-",'A-5'!G90="-"),"-",SUM('A-10'!F232,'A-5'!G43,'A-5'!G90))</f>
        <v>7784</v>
      </c>
      <c r="H90" s="203">
        <f>IF(AND('A-10'!G232="-",'A-5'!H43="-",'A-5'!H90="-"),"-",SUM('A-10'!G232,'A-5'!H43,'A-5'!H90))</f>
        <v>3259</v>
      </c>
      <c r="I90" s="203">
        <f>IF(AND('A-10'!H232="-",'A-5'!I43="-",'A-5'!I90="-"),"-",SUM('A-10'!H232,'A-5'!I43,'A-5'!I90))</f>
        <v>319</v>
      </c>
      <c r="J90" s="203">
        <f>IF(AND('A-10'!I232="-",'A-5'!J43="-",'A-5'!J90="-"),"-",SUM('A-10'!I232,'A-5'!J43,'A-5'!J90))</f>
        <v>1115</v>
      </c>
      <c r="K90" s="203" t="s">
        <v>29</v>
      </c>
      <c r="L90" s="203">
        <f t="shared" si="2"/>
        <v>22646</v>
      </c>
      <c r="M90" s="197"/>
      <c r="N90" s="203" t="str">
        <f>IF(OR(ISNUMBER('A-5'!N43),ISNUMBER('A-5'!N90)),SUM('A-5'!N43,'A-5'!N90),IF(OR('A-5'!N43="--",'A-5'!N90="--"),"--","-"))</f>
        <v>-</v>
      </c>
      <c r="O90" s="203" t="str">
        <f>IF(OR(ISNUMBER('A-5'!O43),ISNUMBER('A-5'!O90)),SUM('A-5'!O43,'A-5'!O90),IF(OR('A-5'!O43="--",'A-5'!O90="--"),"--","-"))</f>
        <v>-</v>
      </c>
      <c r="P90" s="203" t="str">
        <f>IF(OR(ISNUMBER('A-5'!P43),ISNUMBER('A-5'!P90)),SUM('A-5'!P43,'A-5'!P90),IF(OR('A-5'!P43="--",'A-5'!P90="--"),"--","-"))</f>
        <v>-</v>
      </c>
      <c r="Q90" s="203">
        <f>IF(AND('A-10'!M232="-",'A-5'!Q43="-",'A-5'!Q90="-"),"-",SUM('A-10'!M232,'A-5'!Q43,'A-5'!Q90))</f>
        <v>22</v>
      </c>
      <c r="R90" s="203">
        <f>IF(AND('A-10'!N232="-",'A-5'!R43="-",'A-5'!R90="-"),"-",SUM('A-10'!N232,'A-5'!R43,'A-5'!R90))</f>
        <v>119</v>
      </c>
      <c r="S90" s="203">
        <f>IF(AND('A-10'!O232="-",'A-5'!S43="-",'A-5'!S90="-"),"-",SUM('A-10'!O232,'A-5'!S43,'A-5'!S90))</f>
        <v>696</v>
      </c>
      <c r="T90" s="203">
        <f>IF(AND('A-10'!P232="-",'A-5'!T43="-",'A-5'!T90="-"),"-",SUM('A-10'!P232,'A-5'!T43,'A-5'!T90))</f>
        <v>9</v>
      </c>
      <c r="U90" s="203">
        <f>IF(AND('A-10'!Q232="-",'A-5'!U43="-",'A-5'!U90="-"),"-",SUM('A-10'!Q232,'A-5'!U43,'A-5'!U90))</f>
        <v>3</v>
      </c>
      <c r="V90" s="203" t="str">
        <f>IF(AND('A-10'!R232="-",'A-5'!V43="-",'A-5'!V90="-"),"-",SUM('A-10'!R232,'A-5'!V43,'A-5'!V90))</f>
        <v>-</v>
      </c>
      <c r="W90" s="203" t="str">
        <f>IF(AND('A-5'!W43="-",'A-5'!W90="-"),"-",SUM('A-5'!W43,'A-5'!W90))</f>
        <v>-</v>
      </c>
      <c r="X90" s="203">
        <f t="shared" si="3"/>
        <v>849</v>
      </c>
    </row>
    <row r="91" spans="1:24" ht="11.25" customHeight="1" x14ac:dyDescent="0.25">
      <c r="A91" s="402">
        <v>2015</v>
      </c>
      <c r="B91" s="203" t="s">
        <v>29</v>
      </c>
      <c r="C91" s="203" t="str">
        <f>IF(AND('A-10'!B233="-",'A-5'!C44="-",'A-5'!C91="-"),"-",SUM('A-10'!B233,'A-5'!C44,'A-5'!C91))</f>
        <v>-</v>
      </c>
      <c r="D91" s="203" t="str">
        <f>IF(AND('A-10'!C233="-",'A-5'!D44="-",'A-5'!D91="-"),"-",SUM('A-10'!C233,'A-5'!D44,'A-5'!D91))</f>
        <v>-</v>
      </c>
      <c r="E91" s="203">
        <f>IF(AND('A-10'!D233="-",'A-5'!E44="-",'A-5'!E91="-"),"-",SUM('A-10'!D233,'A-5'!E44,'A-5'!E91))</f>
        <v>930</v>
      </c>
      <c r="F91" s="203">
        <f>IF(AND('A-10'!E233="-",'A-5'!F44="-",'A-5'!F91="-"),"-",SUM('A-10'!E233,'A-5'!F44,'A-5'!F91))</f>
        <v>376</v>
      </c>
      <c r="G91" s="203">
        <f>IF(AND('A-10'!F233="-",'A-5'!G44="-",'A-5'!G91="-"),"-",SUM('A-10'!F233,'A-5'!G44,'A-5'!G91))</f>
        <v>1237</v>
      </c>
      <c r="H91" s="203">
        <f>IF(AND('A-10'!G233="-",'A-5'!H44="-",'A-5'!H91="-"),"-",SUM('A-10'!G233,'A-5'!H44,'A-5'!H91))</f>
        <v>1454</v>
      </c>
      <c r="I91" s="203">
        <f>IF(AND('A-10'!H233="-",'A-5'!I44="-",'A-5'!I91="-"),"-",SUM('A-10'!H233,'A-5'!I44,'A-5'!I91))</f>
        <v>85</v>
      </c>
      <c r="J91" s="203">
        <f>IF(AND('A-10'!I233="-",'A-5'!J44="-",'A-5'!J91="-"),"-",SUM('A-10'!I233,'A-5'!J44,'A-5'!J91))</f>
        <v>792</v>
      </c>
      <c r="K91" s="203" t="s">
        <v>29</v>
      </c>
      <c r="L91" s="203">
        <f t="shared" si="2"/>
        <v>4874</v>
      </c>
      <c r="M91" s="197"/>
      <c r="N91" s="203" t="str">
        <f>IF(OR(ISNUMBER('A-5'!N44),ISNUMBER('A-5'!N91)),SUM('A-5'!N44,'A-5'!N91),IF(OR('A-5'!N44="--",'A-5'!N91="--"),"--","-"))</f>
        <v>-</v>
      </c>
      <c r="O91" s="203" t="str">
        <f>IF(OR(ISNUMBER('A-5'!O44),ISNUMBER('A-5'!O91)),SUM('A-5'!O44,'A-5'!O91),IF(OR('A-5'!O44="--",'A-5'!O91="--"),"--","-"))</f>
        <v>-</v>
      </c>
      <c r="P91" s="203" t="str">
        <f>IF(OR(ISNUMBER('A-5'!P44),ISNUMBER('A-5'!P91)),SUM('A-5'!P44,'A-5'!P91),IF(OR('A-5'!P44="--",'A-5'!P91="--"),"--","-"))</f>
        <v>-</v>
      </c>
      <c r="Q91" s="203" t="str">
        <f>IF(AND('A-10'!M233="-",'A-5'!Q44="-",'A-5'!Q91="-"),"-",SUM('A-10'!M233,'A-5'!Q44,'A-5'!Q91))</f>
        <v>-</v>
      </c>
      <c r="R91" s="203">
        <f>IF(AND('A-10'!N233="-",'A-5'!R44="-",'A-5'!R91="-"),"-",SUM('A-10'!N233,'A-5'!R44,'A-5'!R91))</f>
        <v>13</v>
      </c>
      <c r="S91" s="203">
        <f>IF(AND('A-10'!O233="-",'A-5'!S44="-",'A-5'!S91="-"),"-",SUM('A-10'!O233,'A-5'!S44,'A-5'!S91))</f>
        <v>122</v>
      </c>
      <c r="T91" s="203">
        <f>IF(AND('A-10'!P233="-",'A-5'!T44="-",'A-5'!T91="-"),"-",SUM('A-10'!P233,'A-5'!T44,'A-5'!T91))</f>
        <v>5</v>
      </c>
      <c r="U91" s="203">
        <f>IF(AND('A-10'!Q233="-",'A-5'!U44="-",'A-5'!U91="-"),"-",SUM('A-10'!Q233,'A-5'!U44,'A-5'!U91))</f>
        <v>4</v>
      </c>
      <c r="V91" s="203">
        <f>IF(AND('A-10'!R233="-",'A-5'!V44="-",'A-5'!V91="-"),"-",SUM('A-10'!R233,'A-5'!V44,'A-5'!V91))</f>
        <v>6</v>
      </c>
      <c r="W91" s="203" t="str">
        <f>IF(AND('A-5'!W44="-",'A-5'!W91="-"),"-",SUM('A-5'!W44,'A-5'!W91))</f>
        <v>-</v>
      </c>
      <c r="X91" s="203">
        <f t="shared" si="3"/>
        <v>150</v>
      </c>
    </row>
    <row r="92" spans="1:24" ht="11.25" customHeight="1" x14ac:dyDescent="0.25">
      <c r="A92" s="402">
        <v>2016</v>
      </c>
      <c r="B92" s="203" t="s">
        <v>29</v>
      </c>
      <c r="C92" s="203" t="str">
        <f>IF(AND('A-10'!B234="-",'A-5'!C45="-",'A-5'!C92="-"),"-",SUM('A-10'!B234,'A-5'!C45,'A-5'!C92))</f>
        <v>-</v>
      </c>
      <c r="D92" s="203" t="str">
        <f>IF(AND('A-10'!C234="-",'A-5'!D45="-",'A-5'!D92="-"),"-",SUM('A-10'!C234,'A-5'!D45,'A-5'!D92))</f>
        <v>-</v>
      </c>
      <c r="E92" s="203">
        <f>IF(AND('A-10'!D234="-",'A-5'!E45="-",'A-5'!E92="-"),"-",SUM('A-10'!D234,'A-5'!E45,'A-5'!E92))</f>
        <v>1454</v>
      </c>
      <c r="F92" s="203">
        <f>IF(AND('A-10'!E234="-",'A-5'!F45="-",'A-5'!F92="-"),"-",SUM('A-10'!E234,'A-5'!F45,'A-5'!F92))</f>
        <v>1025</v>
      </c>
      <c r="G92" s="203">
        <f>IF(AND('A-10'!F234="-",'A-5'!G45="-",'A-5'!G92="-"),"-",SUM('A-10'!F234,'A-5'!G45,'A-5'!G92))</f>
        <v>1506</v>
      </c>
      <c r="H92" s="203">
        <f>IF(AND('A-10'!G234="-",'A-5'!H45="-",'A-5'!H92="-"),"-",SUM('A-10'!G234,'A-5'!H45,'A-5'!H92))</f>
        <v>649</v>
      </c>
      <c r="I92" s="203">
        <f>IF(AND('A-10'!H234="-",'A-5'!I45="-",'A-5'!I92="-"),"-",SUM('A-10'!H234,'A-5'!I45,'A-5'!I92))</f>
        <v>582</v>
      </c>
      <c r="J92" s="203">
        <f>IF(AND('A-10'!I234="-",'A-5'!J45="-",'A-5'!J92="-"),"-",SUM('A-10'!I234,'A-5'!J45,'A-5'!J92))</f>
        <v>287</v>
      </c>
      <c r="K92" s="203" t="s">
        <v>29</v>
      </c>
      <c r="L92" s="203">
        <f t="shared" si="2"/>
        <v>5503</v>
      </c>
      <c r="M92" s="197"/>
      <c r="N92" s="203" t="str">
        <f>IF(OR(ISNUMBER('A-5'!N45),ISNUMBER('A-5'!N92)),SUM('A-5'!N45,'A-5'!N92),IF(OR('A-5'!N45="--",'A-5'!N92="--"),"--","-"))</f>
        <v>-</v>
      </c>
      <c r="O92" s="203" t="str">
        <f>IF(OR(ISNUMBER('A-5'!O45),ISNUMBER('A-5'!O92)),SUM('A-5'!O45,'A-5'!O92),IF(OR('A-5'!O45="--",'A-5'!O92="--"),"--","-"))</f>
        <v>-</v>
      </c>
      <c r="P92" s="203" t="str">
        <f>IF(OR(ISNUMBER('A-5'!P45),ISNUMBER('A-5'!P92)),SUM('A-5'!P45,'A-5'!P92),IF(OR('A-5'!P45="--",'A-5'!P92="--"),"--","-"))</f>
        <v>-</v>
      </c>
      <c r="Q92" s="203" t="str">
        <f>IF(AND('A-10'!M234="-",'A-5'!Q45="-",'A-5'!Q92="-"),"-",SUM('A-10'!M234,'A-5'!Q45,'A-5'!Q92))</f>
        <v>-</v>
      </c>
      <c r="R92" s="203">
        <f>IF(AND('A-10'!N234="-",'A-5'!R45="-",'A-5'!R92="-"),"-",SUM('A-10'!N234,'A-5'!R45,'A-5'!R92))</f>
        <v>29</v>
      </c>
      <c r="S92" s="203">
        <f>IF(AND('A-10'!O234="-",'A-5'!S45="-",'A-5'!S92="-"),"-",SUM('A-10'!O234,'A-5'!S45,'A-5'!S92))</f>
        <v>45</v>
      </c>
      <c r="T92" s="203">
        <f>IF(AND('A-10'!P234="-",'A-5'!T45="-",'A-5'!T92="-"),"-",SUM('A-10'!P234,'A-5'!T45,'A-5'!T92))</f>
        <v>3</v>
      </c>
      <c r="U92" s="203">
        <f>IF(AND('A-10'!Q234="-",'A-5'!U45="-",'A-5'!U92="-"),"-",SUM('A-10'!Q234,'A-5'!U45,'A-5'!U92))</f>
        <v>2</v>
      </c>
      <c r="V92" s="203" t="str">
        <f>IF(AND('A-10'!R234="-",'A-5'!V45="-",'A-5'!V92="-"),"-",SUM('A-10'!R234,'A-5'!V45,'A-5'!V92))</f>
        <v>-</v>
      </c>
      <c r="W92" s="203" t="str">
        <f>IF(AND('A-5'!W45="-",'A-5'!W92="-"),"-",SUM('A-5'!W45,'A-5'!W92))</f>
        <v>-</v>
      </c>
      <c r="X92" s="203">
        <f t="shared" si="3"/>
        <v>79</v>
      </c>
    </row>
    <row r="93" spans="1:24" ht="11.25" customHeight="1" x14ac:dyDescent="0.25">
      <c r="A93" s="402">
        <v>2017</v>
      </c>
      <c r="B93" s="200" t="s">
        <v>29</v>
      </c>
      <c r="C93" s="200" t="str">
        <f>IF(AND('A-10'!B235="-",'A-5'!C46="-",'A-5'!C93="-"),"-",SUM('A-10'!B235,'A-5'!C46,'A-5'!C93))</f>
        <v>-</v>
      </c>
      <c r="D93" s="200" t="str">
        <f>IF(AND('A-10'!C235="-",'A-5'!D46="-",'A-5'!D93="-"),"-",SUM('A-10'!C235,'A-5'!D46,'A-5'!D93))</f>
        <v>-</v>
      </c>
      <c r="E93" s="200" t="str">
        <f>IF(AND('A-10'!D235="-",'A-5'!E46="-",'A-5'!E93="-"),"-",SUM('A-10'!D235,'A-5'!E46,'A-5'!E93))</f>
        <v>-</v>
      </c>
      <c r="F93" s="200" t="str">
        <f>IF(AND('A-10'!E235="-",'A-5'!F46="-",'A-5'!F93="-"),"-",SUM('A-10'!E235,'A-5'!F46,'A-5'!F93))</f>
        <v>-</v>
      </c>
      <c r="G93" s="200" t="str">
        <f>IF(AND('A-10'!F235="-",'A-5'!G46="-",'A-5'!G93="-"),"-",SUM('A-10'!F235,'A-5'!G46,'A-5'!G93))</f>
        <v>-</v>
      </c>
      <c r="H93" s="200" t="str">
        <f>IF(AND('A-10'!G235="-",'A-5'!H46="-",'A-5'!H93="-"),"-",SUM('A-10'!G235,'A-5'!H46,'A-5'!H93))</f>
        <v>-</v>
      </c>
      <c r="I93" s="200" t="str">
        <f>IF(AND('A-10'!H235="-",'A-5'!I46="-",'A-5'!I93="-"),"-",SUM('A-10'!H235,'A-5'!I46,'A-5'!I93))</f>
        <v>-</v>
      </c>
      <c r="J93" s="200">
        <f>IF(AND('A-10'!I235="-",'A-5'!J46="-",'A-5'!J93="-"),"-",SUM('A-10'!I235,'A-5'!J46,'A-5'!J93))</f>
        <v>506</v>
      </c>
      <c r="K93" s="200" t="s">
        <v>29</v>
      </c>
      <c r="L93" s="200">
        <f t="shared" si="2"/>
        <v>506</v>
      </c>
      <c r="M93" s="193"/>
      <c r="N93" s="200" t="str">
        <f>IF(OR(ISNUMBER('A-5'!N46),ISNUMBER('A-5'!N93)),SUM('A-5'!N46,'A-5'!N93),IF(OR('A-5'!N46="--",'A-5'!N93="--"),"--","-"))</f>
        <v>-</v>
      </c>
      <c r="O93" s="200" t="str">
        <f>IF(OR(ISNUMBER('A-5'!O46),ISNUMBER('A-5'!O93)),SUM('A-5'!O46,'A-5'!O93),IF(OR('A-5'!O46="--",'A-5'!O93="--"),"--","-"))</f>
        <v>-</v>
      </c>
      <c r="P93" s="200" t="str">
        <f>IF(OR(ISNUMBER('A-5'!P46),ISNUMBER('A-5'!P93)),SUM('A-5'!P46,'A-5'!P93),IF(OR('A-5'!P46="--",'A-5'!P93="--"),"--","-"))</f>
        <v>-</v>
      </c>
      <c r="Q93" s="200" t="str">
        <f>IF(AND('A-10'!M235="-",'A-5'!Q46="-",'A-5'!Q93="-"),"-",SUM('A-10'!M235,'A-5'!Q46,'A-5'!Q93))</f>
        <v>-</v>
      </c>
      <c r="R93" s="200" t="str">
        <f>IF(AND('A-10'!N235="-",'A-5'!R46="-",'A-5'!R93="-"),"-",SUM('A-10'!N235,'A-5'!R46,'A-5'!R93))</f>
        <v>-</v>
      </c>
      <c r="S93" s="200" t="str">
        <f>IF(AND('A-10'!O235="-",'A-5'!S46="-",'A-5'!S93="-"),"-",SUM('A-10'!O235,'A-5'!S46,'A-5'!S93))</f>
        <v>-</v>
      </c>
      <c r="T93" s="200" t="str">
        <f>IF(AND('A-10'!P235="-",'A-5'!T46="-",'A-5'!T93="-"),"-",SUM('A-10'!P235,'A-5'!T46,'A-5'!T93))</f>
        <v>-</v>
      </c>
      <c r="U93" s="200" t="str">
        <f>IF(AND('A-10'!Q235="-",'A-5'!U46="-",'A-5'!U93="-"),"-",SUM('A-10'!Q235,'A-5'!U46,'A-5'!U93))</f>
        <v>-</v>
      </c>
      <c r="V93" s="200" t="str">
        <f>IF(AND('A-10'!R235="-",'A-5'!V46="-",'A-5'!V93="-"),"-",SUM('A-10'!R235,'A-5'!V46,'A-5'!V93))</f>
        <v>-</v>
      </c>
      <c r="W93" s="200" t="str">
        <f>IF(AND('A-5'!W46="-",'A-5'!W93="-"),"-",SUM('A-5'!W46,'A-5'!W93))</f>
        <v>-</v>
      </c>
      <c r="X93" s="266" t="s">
        <v>29</v>
      </c>
    </row>
    <row r="94" spans="1:24" s="358" customFormat="1" ht="11.25" customHeight="1" x14ac:dyDescent="0.25">
      <c r="A94" s="402">
        <v>2018</v>
      </c>
      <c r="B94" s="203" t="s">
        <v>29</v>
      </c>
      <c r="C94" s="203" t="str">
        <f>IF(AND('A-10'!B236="-",'A-5'!C47="-",'A-5'!C94="-"),"-",SUM('A-10'!B236,'A-5'!C47,'A-5'!C94))</f>
        <v>-</v>
      </c>
      <c r="D94" s="203" t="str">
        <f>IF(AND('A-10'!C236="-",'A-5'!D47="-",'A-5'!D94="-"),"-",SUM('A-10'!C236,'A-5'!D47,'A-5'!D94))</f>
        <v>-</v>
      </c>
      <c r="E94" s="203">
        <f>IF(AND('A-10'!D236="-",'A-5'!E47="-",'A-5'!E94="-"),"-",SUM('A-10'!D236,'A-5'!E47,'A-5'!E94))</f>
        <v>105</v>
      </c>
      <c r="F94" s="203">
        <f>IF(AND('A-10'!E236="-",'A-5'!F47="-",'A-5'!F94="-"),"-",SUM('A-10'!E236,'A-5'!F47,'A-5'!F94))</f>
        <v>1863</v>
      </c>
      <c r="G94" s="203">
        <f>IF(AND('A-10'!F236="-",'A-5'!G47="-",'A-5'!G94="-"),"-",SUM('A-10'!F236,'A-5'!G47,'A-5'!G94))</f>
        <v>1320</v>
      </c>
      <c r="H94" s="203">
        <f>IF(AND('A-10'!G236="-",'A-5'!H47="-",'A-5'!H94="-"),"-",SUM('A-10'!G236,'A-5'!H47,'A-5'!H94))</f>
        <v>1583</v>
      </c>
      <c r="I94" s="203">
        <f>IF(AND('A-10'!H236="-",'A-5'!I47="-",'A-5'!I94="-"),"-",SUM('A-10'!H236,'A-5'!I47,'A-5'!I94))</f>
        <v>31</v>
      </c>
      <c r="J94" s="203">
        <f>IF(AND('A-10'!I236="-",'A-5'!J47="-",'A-5'!J94="-"),"-",SUM('A-10'!I236,'A-5'!J47,'A-5'!J94))</f>
        <v>429</v>
      </c>
      <c r="K94" s="203" t="s">
        <v>29</v>
      </c>
      <c r="L94" s="203">
        <f t="shared" si="2"/>
        <v>5331</v>
      </c>
      <c r="N94" s="203" t="str">
        <f>IF(OR(ISNUMBER('A-5'!N47),ISNUMBER('A-5'!N94)),SUM('A-5'!N47,'A-5'!N94),IF(OR('A-5'!N47="--",'A-5'!N94="--"),"--","-"))</f>
        <v>-</v>
      </c>
      <c r="O94" s="203" t="str">
        <f>IF(OR(ISNUMBER('A-5'!O47),ISNUMBER('A-5'!O94)),SUM('A-5'!O47,'A-5'!O94),IF(OR('A-5'!O47="--",'A-5'!O94="--"),"--","-"))</f>
        <v>-</v>
      </c>
      <c r="P94" s="203" t="str">
        <f>IF(OR(ISNUMBER('A-5'!P47),ISNUMBER('A-5'!P94)),SUM('A-5'!P47,'A-5'!P94),IF(OR('A-5'!P47="--",'A-5'!P94="--"),"--","-"))</f>
        <v>-</v>
      </c>
      <c r="Q94" s="203" t="str">
        <f>IF(AND('A-10'!M236="-",'A-5'!Q47="-",'A-5'!Q94="-"),"-",SUM('A-10'!M236,'A-5'!Q47,'A-5'!Q94))</f>
        <v>-</v>
      </c>
      <c r="R94" s="203">
        <f>IF(AND('A-10'!N236="-",'A-5'!R47="-",'A-5'!R94="-"),"-",SUM('A-10'!N236,'A-5'!R47,'A-5'!R94))</f>
        <v>52</v>
      </c>
      <c r="S94" s="203">
        <f>IF(AND('A-10'!O236="-",'A-5'!S47="-",'A-5'!S94="-"),"-",SUM('A-10'!O236,'A-5'!S47,'A-5'!S94))</f>
        <v>23</v>
      </c>
      <c r="T94" s="203">
        <f>IF(AND('A-10'!P236="-",'A-5'!T47="-",'A-5'!T94="-"),"-",SUM('A-10'!P236,'A-5'!T47,'A-5'!T94))</f>
        <v>45</v>
      </c>
      <c r="U94" s="203" t="str">
        <f>IF(AND('A-10'!Q236="-",'A-5'!U47="-",'A-5'!U94="-"),"-",SUM('A-10'!Q236,'A-5'!U47,'A-5'!U94))</f>
        <v>-</v>
      </c>
      <c r="V94" s="203" t="str">
        <f>IF(AND('A-10'!R236="-",'A-5'!V47="-",'A-5'!V94="-"),"-",SUM('A-10'!R236,'A-5'!V47,'A-5'!V94))</f>
        <v>-</v>
      </c>
      <c r="W94" s="203" t="str">
        <f>IF(AND('A-5'!W47="-",'A-5'!W94="-"),"-",SUM('A-5'!W47,'A-5'!W94))</f>
        <v>-</v>
      </c>
      <c r="X94" s="203">
        <f>SUM(N94:W94)</f>
        <v>120</v>
      </c>
    </row>
    <row r="95" spans="1:24" s="358" customFormat="1" ht="11.25" customHeight="1" x14ac:dyDescent="0.25">
      <c r="A95" s="123" t="s">
        <v>403</v>
      </c>
      <c r="B95" s="203" t="s">
        <v>29</v>
      </c>
      <c r="C95" s="203" t="str">
        <f>IF(AND('A-10'!B237="-",'A-5'!C48="-",'A-5'!C95="-"),"-",SUM('A-10'!B237,'A-5'!C48,'A-5'!C95))</f>
        <v>-</v>
      </c>
      <c r="D95" s="203" t="str">
        <f>IF(AND('A-10'!C237="-",'A-5'!D48="-",'A-5'!D95="-"),"-",SUM('A-10'!C237,'A-5'!D48,'A-5'!D95))</f>
        <v>-</v>
      </c>
      <c r="E95" s="203">
        <f>IF(AND('A-10'!D237="-",'A-5'!E48="-",'A-5'!E95="-"),"-",SUM('A-10'!D237,'A-5'!E48,'A-5'!E95))</f>
        <v>325</v>
      </c>
      <c r="F95" s="203">
        <f>IF(AND('A-10'!E237="-",'A-5'!F48="-",'A-5'!F95="-"),"-",SUM('A-10'!E237,'A-5'!F48,'A-5'!F95))</f>
        <v>2423</v>
      </c>
      <c r="G95" s="203">
        <f>IF(AND('A-10'!F237="-",'A-5'!G48="-",'A-5'!G95="-"),"-",SUM('A-10'!F237,'A-5'!G48,'A-5'!G95))</f>
        <v>1530</v>
      </c>
      <c r="H95" s="203">
        <f>IF(AND('A-10'!G237="-",'A-5'!H48="-",'A-5'!H95="-"),"-",SUM('A-10'!G237,'A-5'!H48,'A-5'!H95))</f>
        <v>1177</v>
      </c>
      <c r="I95" s="203">
        <f>IF(AND('A-10'!H237="-",'A-5'!I48="-",'A-5'!I95="-"),"-",SUM('A-10'!H237,'A-5'!I48,'A-5'!I95))</f>
        <v>74</v>
      </c>
      <c r="J95" s="203" t="str">
        <f>IF(AND('A-10'!I237="-",'A-5'!J48="-",'A-5'!J95="-"),"-",SUM('A-10'!I237,'A-5'!J48,'A-5'!J95))</f>
        <v>-</v>
      </c>
      <c r="K95" s="203" t="s">
        <v>29</v>
      </c>
      <c r="L95" s="203">
        <f>SUM(B95:K95)</f>
        <v>5529</v>
      </c>
      <c r="N95" s="203" t="str">
        <f>IF(OR(ISNUMBER('A-5'!N48),ISNUMBER('A-5'!N95)),SUM('A-5'!N48,'A-5'!N95),IF(OR('A-5'!N48="--",'A-5'!N95="--"),"--","-"))</f>
        <v>-</v>
      </c>
      <c r="O95" s="203" t="str">
        <f>IF(OR(ISNUMBER('A-5'!O48),ISNUMBER('A-5'!O95)),SUM('A-5'!O48,'A-5'!O95),IF(OR('A-5'!O48="--",'A-5'!O95="--"),"--","-"))</f>
        <v>-</v>
      </c>
      <c r="P95" s="203" t="str">
        <f>IF(OR(ISNUMBER('A-5'!P48),ISNUMBER('A-5'!P95)),SUM('A-5'!P48,'A-5'!P95),IF(OR('A-5'!P48="--",'A-5'!P95="--"),"--","-"))</f>
        <v>-</v>
      </c>
      <c r="Q95" s="203" t="str">
        <f>IF(AND('A-10'!M237="-",'A-5'!Q48="-",'A-5'!Q95="-"),"-",SUM('A-10'!M237,'A-5'!Q48,'A-5'!Q95))</f>
        <v>-</v>
      </c>
      <c r="R95" s="203">
        <f>IF(AND('A-10'!N237="-",'A-5'!R48="-",'A-5'!R95="-"),"-",SUM('A-10'!N237,'A-5'!R48,'A-5'!R95))</f>
        <v>186</v>
      </c>
      <c r="S95" s="203">
        <f>IF(AND('A-10'!O237="-",'A-5'!S48="-",'A-5'!S95="-"),"-",SUM('A-10'!O237,'A-5'!S48,'A-5'!S95))</f>
        <v>408</v>
      </c>
      <c r="T95" s="203">
        <f>IF(AND('A-10'!P237="-",'A-5'!T48="-",'A-5'!T95="-"),"-",SUM('A-10'!P237,'A-5'!T48,'A-5'!T95))</f>
        <v>103</v>
      </c>
      <c r="U95" s="203" t="str">
        <f>IF(AND('A-10'!Q237="-",'A-5'!U48="-",'A-5'!U95="-"),"-",SUM('A-10'!Q237,'A-5'!U48,'A-5'!U95))</f>
        <v>-</v>
      </c>
      <c r="V95" s="203" t="str">
        <f>IF(AND('A-10'!R237="-",'A-5'!V48="-",'A-5'!V95="-"),"-",SUM('A-10'!R237,'A-5'!V48,'A-5'!V95))</f>
        <v>-</v>
      </c>
      <c r="W95" s="203" t="str">
        <f>IF(AND('A-5'!W48="-",'A-5'!W95="-"),"-",SUM('A-5'!W48,'A-5'!W95))</f>
        <v>-</v>
      </c>
      <c r="X95" s="203">
        <f t="shared" ref="X95" si="4">SUM(N95:W95)</f>
        <v>697</v>
      </c>
    </row>
    <row r="96" spans="1:24" ht="11.25" customHeight="1" x14ac:dyDescent="0.25">
      <c r="A96" s="123" t="s">
        <v>404</v>
      </c>
      <c r="B96" s="200" t="s">
        <v>29</v>
      </c>
      <c r="C96" s="200" t="str">
        <f>IF(AND('A-10'!B238="-",'A-5'!C49="-",'A-5'!C96="-"),"-",SUM('A-10'!B238,'A-5'!C49,'A-5'!C96))</f>
        <v>-</v>
      </c>
      <c r="D96" s="200" t="str">
        <f>IF(AND('A-10'!C238="-",'A-5'!D49="-",'A-5'!D96="-"),"-",SUM('A-10'!C238,'A-5'!D49,'A-5'!D96))</f>
        <v>-</v>
      </c>
      <c r="E96" s="200" t="str">
        <f>IF(AND('A-10'!D238="-",'A-5'!E49="-",'A-5'!E96="-"),"-",SUM('A-10'!D238,'A-5'!E49,'A-5'!E96))</f>
        <v>-</v>
      </c>
      <c r="F96" s="200">
        <f>IF(AND('A-10'!E238="-",'A-5'!F49="-",'A-5'!F96="-"),"-",SUM('A-10'!E238,'A-5'!F49,'A-5'!F96))</f>
        <v>566</v>
      </c>
      <c r="G96" s="200">
        <f>IF(AND('A-10'!F238="-",'A-5'!G49="-",'A-5'!G96="-"),"-",SUM('A-10'!F238,'A-5'!G49,'A-5'!G96))</f>
        <v>2514</v>
      </c>
      <c r="H96" s="200">
        <f>IF(AND('A-10'!G238="-",'A-5'!H49="-",'A-5'!H96="-"),"-",SUM('A-10'!G238,'A-5'!H49,'A-5'!H96))</f>
        <v>371</v>
      </c>
      <c r="I96" s="200" t="str">
        <f>IF(AND('A-10'!H238="-",'A-5'!I49="-",'A-5'!I96="-"),"-",SUM('A-10'!H238,'A-5'!I49,'A-5'!I96))</f>
        <v>-</v>
      </c>
      <c r="J96" s="200" t="str">
        <f>IF(AND('A-10'!I238="-",'A-5'!J49="-",'A-5'!J96="-"),"-",SUM('A-10'!I238,'A-5'!J49,'A-5'!J96))</f>
        <v>-</v>
      </c>
      <c r="K96" s="200" t="s">
        <v>29</v>
      </c>
      <c r="L96" s="200">
        <f>SUM(B96:K96)</f>
        <v>3451</v>
      </c>
      <c r="N96" s="200" t="str">
        <f>IF(OR(ISNUMBER('A-5'!N49),ISNUMBER('A-5'!N96)),SUM('A-5'!N49,'A-5'!N96),IF(OR('A-5'!N49="--",'A-5'!N96="--"),"--","-"))</f>
        <v>-</v>
      </c>
      <c r="O96" s="200" t="str">
        <f>IF(OR(ISNUMBER('A-5'!O49),ISNUMBER('A-5'!O96)),SUM('A-5'!O49,'A-5'!O96),IF(OR('A-5'!O49="--",'A-5'!O96="--"),"--","-"))</f>
        <v>-</v>
      </c>
      <c r="P96" s="200" t="str">
        <f>IF(OR(ISNUMBER('A-5'!P49),ISNUMBER('A-5'!P96)),SUM('A-5'!P49,'A-5'!P96),IF(OR('A-5'!P49="--",'A-5'!P96="--"),"--","-"))</f>
        <v>-</v>
      </c>
      <c r="Q96" s="200" t="str">
        <f>IF(AND('A-10'!M238="-",'A-5'!Q49="-",'A-5'!Q96="-"),"-",SUM('A-10'!M238,'A-5'!Q49,'A-5'!Q96))</f>
        <v>-</v>
      </c>
      <c r="R96" s="200" t="str">
        <f>IF(AND('A-10'!N238="-",'A-5'!R49="-",'A-5'!R96="-"),"-",SUM('A-10'!N238,'A-5'!R49,'A-5'!R96))</f>
        <v>-</v>
      </c>
      <c r="S96" s="200">
        <f>IF(AND('A-10'!O238="-",'A-5'!S49="-",'A-5'!S96="-"),"-",SUM('A-10'!O238,'A-5'!S49,'A-5'!S96))</f>
        <v>18</v>
      </c>
      <c r="T96" s="200" t="str">
        <f>IF(AND('A-10'!P238="-",'A-5'!T49="-",'A-5'!T96="-"),"-",SUM('A-10'!P238,'A-5'!T49,'A-5'!T96))</f>
        <v>-</v>
      </c>
      <c r="U96" s="200" t="str">
        <f>IF(AND('A-10'!Q238="-",'A-5'!U49="-",'A-5'!U96="-"),"-",SUM('A-10'!Q238,'A-5'!U49,'A-5'!U96))</f>
        <v>-</v>
      </c>
      <c r="V96" s="200" t="str">
        <f>IF(AND('A-10'!R238="-",'A-5'!V49="-",'A-5'!V96="-"),"-",SUM('A-10'!R238,'A-5'!V49,'A-5'!V96))</f>
        <v>-</v>
      </c>
      <c r="W96" s="200" t="str">
        <f>IF(AND('A-5'!W49="-",'A-5'!W96="-"),"-",SUM('A-5'!W49,'A-5'!W96))</f>
        <v>-</v>
      </c>
      <c r="X96" s="203">
        <f t="shared" si="3"/>
        <v>18</v>
      </c>
    </row>
    <row r="97" spans="1:24" ht="11.25" customHeight="1" x14ac:dyDescent="0.25">
      <c r="A97" s="383"/>
    </row>
    <row r="98" spans="1:24" ht="11.25" customHeight="1" x14ac:dyDescent="0.25">
      <c r="A98" s="116" t="s">
        <v>85</v>
      </c>
    </row>
    <row r="99" spans="1:24" ht="11.25" customHeight="1" x14ac:dyDescent="0.25">
      <c r="A99" s="383">
        <v>1976</v>
      </c>
      <c r="B99" s="200">
        <f>IF(AND('A-5'!B99="-",'A-5'!B146="-",'A-5'!B193="-"),"-",SUM('A-5'!B99,'A-5'!B146,'A-5'!B193))</f>
        <v>2686</v>
      </c>
      <c r="C99" s="200">
        <f>IF(AND('A-5'!C99="-",'A-5'!C146="-",'A-5'!C193="-"),"-",SUM('A-5'!C99,'A-5'!C146,'A-5'!C193))</f>
        <v>1221</v>
      </c>
      <c r="D99" s="200">
        <f>IF(AND('A-5'!D99="-",'A-5'!D146="-",'A-5'!D193="-"),"-",SUM('A-5'!D99,'A-5'!D146,'A-5'!D193))</f>
        <v>6634</v>
      </c>
      <c r="E99" s="200">
        <f>IF(AND('A-5'!E99="-",'A-5'!E146="-",'A-5'!E193="-"),"-",SUM('A-5'!E99,'A-5'!E146,'A-5'!E193))</f>
        <v>13016</v>
      </c>
      <c r="F99" s="200">
        <f>IF(AND('A-5'!F99="-",'A-5'!F146="-",'A-5'!F193="-"),"-",SUM('A-5'!F99,'A-5'!F146,'A-5'!F193))</f>
        <v>10427</v>
      </c>
      <c r="G99" s="200">
        <f>IF(AND('A-5'!G99="-",'A-5'!G146="-",'A-5'!G193="-"),"-",SUM('A-5'!G99,'A-5'!G146,'A-5'!G193))</f>
        <v>8199</v>
      </c>
      <c r="H99" s="200">
        <f>IF(AND('A-5'!H99="-",'A-5'!H146="-",'A-5'!H193="-"),"-",SUM('A-5'!H99,'A-5'!H146,'A-5'!H193))</f>
        <v>10227</v>
      </c>
      <c r="I99" s="200">
        <f>IF(AND('A-5'!I99="-",'A-5'!I146="-",'A-5'!I193="-"),"-",SUM('A-5'!I99,'A-5'!I146,'A-5'!I193))</f>
        <v>5271</v>
      </c>
      <c r="J99" s="200">
        <f>IF(AND('A-5'!J99="-",'A-5'!J146="-",'A-5'!J193="-"),"-",SUM('A-5'!J99,'A-5'!J146,'A-5'!J193))</f>
        <v>10616</v>
      </c>
      <c r="K99" s="200">
        <f>IF(AND('A-5'!K99="-",'A-5'!K146="-",'A-5'!K193="-"),"-",SUM('A-5'!K99,'A-5'!K146,'A-5'!K193))</f>
        <v>2594</v>
      </c>
      <c r="L99" s="200">
        <f>IF(AND('A-5'!L99="-",'A-5'!L146="-",'A-5'!L193="-"),"-",SUM('A-5'!L99,'A-5'!L146,'A-5'!L193))</f>
        <v>70891</v>
      </c>
      <c r="N99" s="200">
        <f>IF(OR(ISNUMBER('A-5'!N146),ISNUMBER('A-5'!N99),ISNUMBER('A-5'!N193)),SUM('A-5'!N146,'A-5'!N99,'A-5'!N193),IF(OR('A-5'!N146="--",'A-5'!N99="--",'A-5'!N193="--"),"--","-"))</f>
        <v>29</v>
      </c>
      <c r="O99" s="200">
        <f>IF(OR(ISNUMBER('A-5'!O146),ISNUMBER('A-5'!O99),ISNUMBER('A-5'!O193)),SUM('A-5'!O146,'A-5'!O99,'A-5'!O193),IF(OR('A-5'!O146="--",'A-5'!O99="--",'A-5'!O193="--"),"--","-"))</f>
        <v>32</v>
      </c>
      <c r="P99" s="200">
        <f>IF(OR(ISNUMBER('A-5'!P146),ISNUMBER('A-5'!P99),ISNUMBER('A-5'!P193)),SUM('A-5'!P146,'A-5'!P99,'A-5'!P193),IF(OR('A-5'!P146="--",'A-5'!P99="--",'A-5'!P193="--"),"--","-"))</f>
        <v>805</v>
      </c>
      <c r="Q99" s="200">
        <f>IF(OR(ISNUMBER('A-5'!Q146),ISNUMBER('A-5'!Q99),ISNUMBER('A-5'!Q193)),SUM('A-5'!Q146,'A-5'!Q99,'A-5'!Q193),IF(OR('A-5'!Q146="--",'A-5'!Q99="--",'A-5'!Q193="--"),"--","-"))</f>
        <v>6080</v>
      </c>
      <c r="R99" s="200">
        <f>IF(OR(ISNUMBER('A-5'!R146),ISNUMBER('A-5'!R99),ISNUMBER('A-5'!R193)),SUM('A-5'!R146,'A-5'!R99,'A-5'!R193),IF(OR('A-5'!R146="--",'A-5'!R99="--",'A-5'!R193="--"),"--","-"))</f>
        <v>4660</v>
      </c>
      <c r="S99" s="200">
        <f>IF(OR(ISNUMBER('A-5'!S146),ISNUMBER('A-5'!S99),ISNUMBER('A-5'!S193)),SUM('A-5'!S146,'A-5'!S99,'A-5'!S193),IF(OR('A-5'!S146="--",'A-5'!S99="--",'A-5'!S193="--"),"--","-"))</f>
        <v>7228</v>
      </c>
      <c r="T99" s="200">
        <f>IF(OR(ISNUMBER('A-5'!T146),ISNUMBER('A-5'!T99),ISNUMBER('A-5'!T193)),SUM('A-5'!T146,'A-5'!T99,'A-5'!T193),IF(OR('A-5'!T146="--",'A-5'!T99="--",'A-5'!T193="--"),"--","-"))</f>
        <v>2137</v>
      </c>
      <c r="U99" s="200">
        <f>IF(OR(ISNUMBER('A-5'!U146),ISNUMBER('A-5'!U99),ISNUMBER('A-5'!U193)),SUM('A-5'!U146,'A-5'!U99,'A-5'!U193),IF(OR('A-5'!U146="--",'A-5'!U99="--",'A-5'!U193="--"),"--","-"))</f>
        <v>209</v>
      </c>
      <c r="V99" s="200">
        <f>IF(OR(ISNUMBER('A-5'!V146),ISNUMBER('A-5'!V99),ISNUMBER('A-5'!V193)),SUM('A-5'!V146,'A-5'!V99,'A-5'!V193),IF(OR('A-5'!V146="--",'A-5'!V99="--",'A-5'!V193="--"),"--","-"))</f>
        <v>1</v>
      </c>
      <c r="W99" s="200">
        <f>IF(OR(ISNUMBER('A-5'!W146),ISNUMBER('A-5'!W99),ISNUMBER('A-5'!W193)),SUM('A-5'!W146,'A-5'!W99,'A-5'!W193),IF(OR('A-5'!W146="--",'A-5'!W99="--",'A-5'!W193="--"),"--","-"))</f>
        <v>0</v>
      </c>
      <c r="X99" s="200">
        <f>IF(AND('A-5'!X99="-",'A-5'!X146="-",'A-5'!X193="-"),"-",SUM('A-5'!X99,'A-5'!X146,'A-5'!X193))</f>
        <v>21181</v>
      </c>
    </row>
    <row r="100" spans="1:24" ht="11.25" customHeight="1" x14ac:dyDescent="0.25">
      <c r="A100" s="383">
        <v>1977</v>
      </c>
      <c r="B100" s="200">
        <f>IF(AND('A-5'!B100="-",'A-5'!B147="-",'A-5'!B194="-"),"-",SUM('A-5'!B100,'A-5'!B147,'A-5'!B194))</f>
        <v>4096</v>
      </c>
      <c r="C100" s="200">
        <f>IF(AND('A-5'!C100="-",'A-5'!C147="-",'A-5'!C194="-"),"-",SUM('A-5'!C100,'A-5'!C147,'A-5'!C194))</f>
        <v>5510</v>
      </c>
      <c r="D100" s="200">
        <f>IF(AND('A-5'!D100="-",'A-5'!D147="-",'A-5'!D194="-"),"-",SUM('A-5'!D100,'A-5'!D147,'A-5'!D194))</f>
        <v>15525</v>
      </c>
      <c r="E100" s="200">
        <f>IF(AND('A-5'!E100="-",'A-5'!E147="-",'A-5'!E194="-"),"-",SUM('A-5'!E100,'A-5'!E147,'A-5'!E194))</f>
        <v>4270</v>
      </c>
      <c r="F100" s="200">
        <f>IF(AND('A-5'!F100="-",'A-5'!F147="-",'A-5'!F194="-"),"-",SUM('A-5'!F100,'A-5'!F147,'A-5'!F194))</f>
        <v>8834</v>
      </c>
      <c r="G100" s="200">
        <f>IF(AND('A-5'!G100="-",'A-5'!G147="-",'A-5'!G194="-"),"-",SUM('A-5'!G100,'A-5'!G147,'A-5'!G194))</f>
        <v>20114</v>
      </c>
      <c r="H100" s="200">
        <f>IF(AND('A-5'!H100="-",'A-5'!H147="-",'A-5'!H194="-"),"-",SUM('A-5'!H100,'A-5'!H147,'A-5'!H194))</f>
        <v>10665</v>
      </c>
      <c r="I100" s="200">
        <f>IF(AND('A-5'!I100="-",'A-5'!I147="-",'A-5'!I194="-"),"-",SUM('A-5'!I100,'A-5'!I147,'A-5'!I194))</f>
        <v>8354</v>
      </c>
      <c r="J100" s="200">
        <f>IF(AND('A-5'!J100="-",'A-5'!J147="-",'A-5'!J194="-"),"-",SUM('A-5'!J100,'A-5'!J147,'A-5'!J194))</f>
        <v>4063</v>
      </c>
      <c r="K100" s="200">
        <f>IF(AND('A-5'!K100="-",'A-5'!K147="-",'A-5'!K194="-"),"-",SUM('A-5'!K100,'A-5'!K147,'A-5'!K194))</f>
        <v>1492</v>
      </c>
      <c r="L100" s="200">
        <f>IF(AND('A-5'!L100="-",'A-5'!L147="-",'A-5'!L194="-"),"-",SUM('A-5'!L100,'A-5'!L147,'A-5'!L194))</f>
        <v>82923</v>
      </c>
      <c r="N100" s="200">
        <f>IF(OR(ISNUMBER('A-5'!N147),ISNUMBER('A-5'!N100),ISNUMBER('A-5'!N194)),SUM('A-5'!N147,'A-5'!N100,'A-5'!N194),IF(OR('A-5'!N147="--",'A-5'!N100="--",'A-5'!N194="--"),"--","-"))</f>
        <v>12</v>
      </c>
      <c r="O100" s="200">
        <f>IF(OR(ISNUMBER('A-5'!O147),ISNUMBER('A-5'!O100),ISNUMBER('A-5'!O194)),SUM('A-5'!O147,'A-5'!O100,'A-5'!O194),IF(OR('A-5'!O147="--",'A-5'!O100="--",'A-5'!O194="--"),"--","-"))</f>
        <v>0</v>
      </c>
      <c r="P100" s="200">
        <f>IF(OR(ISNUMBER('A-5'!P147),ISNUMBER('A-5'!P100),ISNUMBER('A-5'!P194)),SUM('A-5'!P147,'A-5'!P100,'A-5'!P194),IF(OR('A-5'!P147="--",'A-5'!P100="--",'A-5'!P194="--"),"--","-"))</f>
        <v>348</v>
      </c>
      <c r="Q100" s="200">
        <f>IF(OR(ISNUMBER('A-5'!Q147),ISNUMBER('A-5'!Q100),ISNUMBER('A-5'!Q194)),SUM('A-5'!Q147,'A-5'!Q100,'A-5'!Q194),IF(OR('A-5'!Q147="--",'A-5'!Q100="--",'A-5'!Q194="--"),"--","-"))</f>
        <v>861</v>
      </c>
      <c r="R100" s="200">
        <f>IF(OR(ISNUMBER('A-5'!R147),ISNUMBER('A-5'!R100),ISNUMBER('A-5'!R194)),SUM('A-5'!R147,'A-5'!R100,'A-5'!R194),IF(OR('A-5'!R147="--",'A-5'!R100="--",'A-5'!R194="--"),"--","-"))</f>
        <v>602</v>
      </c>
      <c r="S100" s="200">
        <f>IF(OR(ISNUMBER('A-5'!S147),ISNUMBER('A-5'!S100),ISNUMBER('A-5'!S194)),SUM('A-5'!S147,'A-5'!S100,'A-5'!S194),IF(OR('A-5'!S147="--",'A-5'!S100="--",'A-5'!S194="--"),"--","-"))</f>
        <v>416</v>
      </c>
      <c r="T100" s="200">
        <f>IF(OR(ISNUMBER('A-5'!T147),ISNUMBER('A-5'!T100),ISNUMBER('A-5'!T194)),SUM('A-5'!T147,'A-5'!T100,'A-5'!T194),IF(OR('A-5'!T147="--",'A-5'!T100="--",'A-5'!T194="--"),"--","-"))</f>
        <v>276</v>
      </c>
      <c r="U100" s="200">
        <f>IF(OR(ISNUMBER('A-5'!U147),ISNUMBER('A-5'!U100),ISNUMBER('A-5'!U194)),SUM('A-5'!U147,'A-5'!U100,'A-5'!U194),IF(OR('A-5'!U147="--",'A-5'!U100="--",'A-5'!U194="--"),"--","-"))</f>
        <v>383</v>
      </c>
      <c r="V100" s="200">
        <f>IF(OR(ISNUMBER('A-5'!V147),ISNUMBER('A-5'!V100),ISNUMBER('A-5'!V194)),SUM('A-5'!V147,'A-5'!V100,'A-5'!V194),IF(OR('A-5'!V147="--",'A-5'!V100="--",'A-5'!V194="--"),"--","-"))</f>
        <v>63</v>
      </c>
      <c r="W100" s="200">
        <f>IF(OR(ISNUMBER('A-5'!W147),ISNUMBER('A-5'!W100),ISNUMBER('A-5'!W194)),SUM('A-5'!W147,'A-5'!W100,'A-5'!W194),IF(OR('A-5'!W147="--",'A-5'!W100="--",'A-5'!W194="--"),"--","-"))</f>
        <v>6</v>
      </c>
      <c r="X100" s="200">
        <f>IF(AND('A-5'!X100="-",'A-5'!X147="-",'A-5'!X194="-"),"-",SUM('A-5'!X100,'A-5'!X147,'A-5'!X194))</f>
        <v>2967</v>
      </c>
    </row>
    <row r="101" spans="1:24" ht="11.25" customHeight="1" x14ac:dyDescent="0.25">
      <c r="A101" s="383">
        <v>1978</v>
      </c>
      <c r="B101" s="200">
        <f>IF(AND('A-5'!B101="-",'A-5'!B148="-",'A-5'!B195="-"),"-",SUM('A-5'!B101,'A-5'!B148,'A-5'!B195))</f>
        <v>9790</v>
      </c>
      <c r="C101" s="200">
        <f>IF(AND('A-5'!C101="-",'A-5'!C148="-",'A-5'!C195="-"),"-",SUM('A-5'!C101,'A-5'!C148,'A-5'!C195))</f>
        <v>8594</v>
      </c>
      <c r="D101" s="200">
        <f>IF(AND('A-5'!D101="-",'A-5'!D148="-",'A-5'!D195="-"),"-",SUM('A-5'!D101,'A-5'!D148,'A-5'!D195))</f>
        <v>3149</v>
      </c>
      <c r="E101" s="200">
        <f>IF(AND('A-5'!E101="-",'A-5'!E148="-",'A-5'!E195="-"),"-",SUM('A-5'!E101,'A-5'!E148,'A-5'!E195))</f>
        <v>2892</v>
      </c>
      <c r="F101" s="200">
        <f>IF(AND('A-5'!F101="-",'A-5'!F148="-",'A-5'!F195="-"),"-",SUM('A-5'!F101,'A-5'!F148,'A-5'!F195))</f>
        <v>7936</v>
      </c>
      <c r="G101" s="200">
        <f>IF(AND('A-5'!G101="-",'A-5'!G148="-",'A-5'!G195="-"),"-",SUM('A-5'!G101,'A-5'!G148,'A-5'!G195))</f>
        <v>13232</v>
      </c>
      <c r="H101" s="200">
        <f>IF(AND('A-5'!H101="-",'A-5'!H148="-",'A-5'!H195="-"),"-",SUM('A-5'!H101,'A-5'!H148,'A-5'!H195))</f>
        <v>7662</v>
      </c>
      <c r="I101" s="200">
        <f>IF(AND('A-5'!I101="-",'A-5'!I148="-",'A-5'!I195="-"),"-",SUM('A-5'!I101,'A-5'!I148,'A-5'!I195))</f>
        <v>4925</v>
      </c>
      <c r="J101" s="200">
        <f>IF(AND('A-5'!J101="-",'A-5'!J148="-",'A-5'!J195="-"),"-",SUM('A-5'!J101,'A-5'!J148,'A-5'!J195))</f>
        <v>7642</v>
      </c>
      <c r="K101" s="200">
        <f>IF(AND('A-5'!K101="-",'A-5'!K148="-",'A-5'!K195="-"),"-",SUM('A-5'!K101,'A-5'!K148,'A-5'!K195))</f>
        <v>2606</v>
      </c>
      <c r="L101" s="200">
        <f>IF(AND('A-5'!L101="-",'A-5'!L148="-",'A-5'!L195="-"),"-",SUM('A-5'!L101,'A-5'!L148,'A-5'!L195))</f>
        <v>68428</v>
      </c>
      <c r="N101" s="200">
        <f>IF(OR(ISNUMBER('A-5'!N148),ISNUMBER('A-5'!N101),ISNUMBER('A-5'!N195)),SUM('A-5'!N148,'A-5'!N101,'A-5'!N195),IF(OR('A-5'!N148="--",'A-5'!N101="--",'A-5'!N195="--"),"--","-"))</f>
        <v>0</v>
      </c>
      <c r="O101" s="200">
        <f>IF(OR(ISNUMBER('A-5'!O148),ISNUMBER('A-5'!O101),ISNUMBER('A-5'!O195)),SUM('A-5'!O148,'A-5'!O101,'A-5'!O195),IF(OR('A-5'!O148="--",'A-5'!O101="--",'A-5'!O195="--"),"--","-"))</f>
        <v>0</v>
      </c>
      <c r="P101" s="200">
        <f>IF(OR(ISNUMBER('A-5'!P148),ISNUMBER('A-5'!P101),ISNUMBER('A-5'!P195)),SUM('A-5'!P148,'A-5'!P101,'A-5'!P195),IF(OR('A-5'!P148="--",'A-5'!P101="--",'A-5'!P195="--"),"--","-"))</f>
        <v>0</v>
      </c>
      <c r="Q101" s="200">
        <f>IF(OR(ISNUMBER('A-5'!Q148),ISNUMBER('A-5'!Q101),ISNUMBER('A-5'!Q195)),SUM('A-5'!Q148,'A-5'!Q101,'A-5'!Q195),IF(OR('A-5'!Q148="--",'A-5'!Q101="--",'A-5'!Q195="--"),"--","-"))</f>
        <v>12</v>
      </c>
      <c r="R101" s="200">
        <f>IF(OR(ISNUMBER('A-5'!R148),ISNUMBER('A-5'!R101),ISNUMBER('A-5'!R195)),SUM('A-5'!R148,'A-5'!R101,'A-5'!R195),IF(OR('A-5'!R148="--",'A-5'!R101="--",'A-5'!R195="--"),"--","-"))</f>
        <v>1351</v>
      </c>
      <c r="S101" s="200">
        <f>IF(OR(ISNUMBER('A-5'!S148),ISNUMBER('A-5'!S101),ISNUMBER('A-5'!S195)),SUM('A-5'!S148,'A-5'!S101,'A-5'!S195),IF(OR('A-5'!S148="--",'A-5'!S101="--",'A-5'!S195="--"),"--","-"))</f>
        <v>1435</v>
      </c>
      <c r="T101" s="200">
        <f>IF(OR(ISNUMBER('A-5'!T148),ISNUMBER('A-5'!T101),ISNUMBER('A-5'!T195)),SUM('A-5'!T148,'A-5'!T101,'A-5'!T195),IF(OR('A-5'!T148="--",'A-5'!T101="--",'A-5'!T195="--"),"--","-"))</f>
        <v>276</v>
      </c>
      <c r="U101" s="200">
        <f>IF(OR(ISNUMBER('A-5'!U148),ISNUMBER('A-5'!U101),ISNUMBER('A-5'!U195)),SUM('A-5'!U148,'A-5'!U101,'A-5'!U195),IF(OR('A-5'!U148="--",'A-5'!U101="--",'A-5'!U195="--"),"--","-"))</f>
        <v>30</v>
      </c>
      <c r="V101" s="200">
        <f>IF(OR(ISNUMBER('A-5'!V148),ISNUMBER('A-5'!V101),ISNUMBER('A-5'!V195)),SUM('A-5'!V148,'A-5'!V101,'A-5'!V195),IF(OR('A-5'!V148="--",'A-5'!V101="--",'A-5'!V195="--"),"--","-"))</f>
        <v>0</v>
      </c>
      <c r="W101" s="200">
        <f>IF(OR(ISNUMBER('A-5'!W148),ISNUMBER('A-5'!W101),ISNUMBER('A-5'!W195)),SUM('A-5'!W148,'A-5'!W101,'A-5'!W195),IF(OR('A-5'!W148="--",'A-5'!W101="--",'A-5'!W195="--"),"--","-"))</f>
        <v>0</v>
      </c>
      <c r="X101" s="200">
        <f>IF(AND('A-5'!X101="-",'A-5'!X148="-",'A-5'!X195="-"),"-",SUM('A-5'!X101,'A-5'!X148,'A-5'!X195))</f>
        <v>3104</v>
      </c>
    </row>
    <row r="102" spans="1:24" ht="11.25" customHeight="1" x14ac:dyDescent="0.25">
      <c r="A102" s="383">
        <v>1979</v>
      </c>
      <c r="B102" s="200">
        <f>IF(AND('A-5'!B102="-",'A-5'!B149="-",'A-5'!B196="-"),"-",SUM('A-5'!B102,'A-5'!B149,'A-5'!B196))</f>
        <v>7876</v>
      </c>
      <c r="C102" s="200">
        <f>IF(AND('A-5'!C102="-",'A-5'!C149="-",'A-5'!C196="-"),"-",SUM('A-5'!C102,'A-5'!C149,'A-5'!C196))</f>
        <v>15161</v>
      </c>
      <c r="D102" s="200">
        <f>IF(AND('A-5'!D102="-",'A-5'!D149="-",'A-5'!D196="-"),"-",SUM('A-5'!D102,'A-5'!D149,'A-5'!D196))</f>
        <v>11596</v>
      </c>
      <c r="E102" s="200">
        <f>IF(AND('A-5'!E102="-",'A-5'!E149="-",'A-5'!E196="-"),"-",SUM('A-5'!E102,'A-5'!E149,'A-5'!E196))</f>
        <v>5208</v>
      </c>
      <c r="F102" s="200">
        <f>IF(AND('A-5'!F102="-",'A-5'!F149="-",'A-5'!F196="-"),"-",SUM('A-5'!F102,'A-5'!F149,'A-5'!F196))</f>
        <v>15333</v>
      </c>
      <c r="G102" s="200">
        <f>IF(AND('A-5'!G102="-",'A-5'!G149="-",'A-5'!G196="-"),"-",SUM('A-5'!G102,'A-5'!G149,'A-5'!G196))</f>
        <v>25303</v>
      </c>
      <c r="H102" s="200">
        <f>IF(AND('A-5'!H102="-",'A-5'!H149="-",'A-5'!H196="-"),"-",SUM('A-5'!H102,'A-5'!H149,'A-5'!H196))</f>
        <v>12273</v>
      </c>
      <c r="I102" s="200">
        <f>IF(AND('A-5'!I102="-",'A-5'!I149="-",'A-5'!I196="-"),"-",SUM('A-5'!I102,'A-5'!I149,'A-5'!I196))</f>
        <v>13406</v>
      </c>
      <c r="J102" s="200">
        <f>IF(AND('A-5'!J102="-",'A-5'!J149="-",'A-5'!J196="-"),"-",SUM('A-5'!J102,'A-5'!J149,'A-5'!J196))</f>
        <v>6946</v>
      </c>
      <c r="K102" s="200">
        <f>IF(AND('A-5'!K102="-",'A-5'!K149="-",'A-5'!K196="-"),"-",SUM('A-5'!K102,'A-5'!K149,'A-5'!K196))</f>
        <v>0</v>
      </c>
      <c r="L102" s="200">
        <f>IF(AND('A-5'!L102="-",'A-5'!L149="-",'A-5'!L196="-"),"-",SUM('A-5'!L102,'A-5'!L149,'A-5'!L196))</f>
        <v>113102</v>
      </c>
      <c r="N102" s="200">
        <f>IF(OR(ISNUMBER('A-5'!N149),ISNUMBER('A-5'!N102),ISNUMBER('A-5'!N196)),SUM('A-5'!N149,'A-5'!N102,'A-5'!N196),IF(OR('A-5'!N149="--",'A-5'!N102="--",'A-5'!N196="--"),"--","-"))</f>
        <v>10</v>
      </c>
      <c r="O102" s="200">
        <f>IF(OR(ISNUMBER('A-5'!O149),ISNUMBER('A-5'!O102),ISNUMBER('A-5'!O196)),SUM('A-5'!O149,'A-5'!O102,'A-5'!O196),IF(OR('A-5'!O149="--",'A-5'!O102="--",'A-5'!O196="--"),"--","-"))</f>
        <v>39</v>
      </c>
      <c r="P102" s="200">
        <f>IF(OR(ISNUMBER('A-5'!P149),ISNUMBER('A-5'!P102),ISNUMBER('A-5'!P196)),SUM('A-5'!P149,'A-5'!P102,'A-5'!P196),IF(OR('A-5'!P149="--",'A-5'!P102="--",'A-5'!P196="--"),"--","-"))</f>
        <v>20</v>
      </c>
      <c r="Q102" s="200">
        <f>IF(OR(ISNUMBER('A-5'!Q149),ISNUMBER('A-5'!Q102),ISNUMBER('A-5'!Q196)),SUM('A-5'!Q149,'A-5'!Q102,'A-5'!Q196),IF(OR('A-5'!Q149="--",'A-5'!Q102="--",'A-5'!Q196="--"),"--","-"))</f>
        <v>169</v>
      </c>
      <c r="R102" s="200">
        <f>IF(OR(ISNUMBER('A-5'!R149),ISNUMBER('A-5'!R102),ISNUMBER('A-5'!R196)),SUM('A-5'!R149,'A-5'!R102,'A-5'!R196),IF(OR('A-5'!R149="--",'A-5'!R102="--",'A-5'!R196="--"),"--","-"))</f>
        <v>691</v>
      </c>
      <c r="S102" s="200">
        <f>IF(OR(ISNUMBER('A-5'!S149),ISNUMBER('A-5'!S102),ISNUMBER('A-5'!S196)),SUM('A-5'!S149,'A-5'!S102,'A-5'!S196),IF(OR('A-5'!S149="--",'A-5'!S102="--",'A-5'!S196="--"),"--","-"))</f>
        <v>788</v>
      </c>
      <c r="T102" s="200">
        <f>IF(OR(ISNUMBER('A-5'!T149),ISNUMBER('A-5'!T102),ISNUMBER('A-5'!T196)),SUM('A-5'!T149,'A-5'!T102,'A-5'!T196),IF(OR('A-5'!T149="--",'A-5'!T102="--",'A-5'!T196="--"),"--","-"))</f>
        <v>148</v>
      </c>
      <c r="U102" s="200">
        <f>IF(OR(ISNUMBER('A-5'!U149),ISNUMBER('A-5'!U102),ISNUMBER('A-5'!U196)),SUM('A-5'!U149,'A-5'!U102,'A-5'!U196),IF(OR('A-5'!U149="--",'A-5'!U102="--",'A-5'!U196="--"),"--","-"))</f>
        <v>57</v>
      </c>
      <c r="V102" s="200">
        <f>IF(OR(ISNUMBER('A-5'!V149),ISNUMBER('A-5'!V102),ISNUMBER('A-5'!V196)),SUM('A-5'!V149,'A-5'!V102,'A-5'!V196),IF(OR('A-5'!V149="--",'A-5'!V102="--",'A-5'!V196="--"),"--","-"))</f>
        <v>0</v>
      </c>
      <c r="W102" s="200" t="str">
        <f>IF(OR(ISNUMBER('A-5'!W149),ISNUMBER('A-5'!W102),ISNUMBER('A-5'!W196)),SUM('A-5'!W149,'A-5'!W102,'A-5'!W196),IF(OR('A-5'!W149="--",'A-5'!W102="--",'A-5'!W196="--"),"--","-"))</f>
        <v>-</v>
      </c>
      <c r="X102" s="200">
        <f>IF(AND('A-5'!X102="-",'A-5'!X149="-",'A-5'!X196="-"),"-",SUM('A-5'!X102,'A-5'!X149,'A-5'!X196))</f>
        <v>1922</v>
      </c>
    </row>
    <row r="103" spans="1:24" ht="11.25" customHeight="1" x14ac:dyDescent="0.25">
      <c r="A103" s="383">
        <v>1980</v>
      </c>
      <c r="B103" s="200">
        <f>IF(AND('A-5'!B103="-",'A-5'!B150="-",'A-5'!B197="-"),"-",SUM('A-5'!B103,'A-5'!B150,'A-5'!B197))</f>
        <v>4703</v>
      </c>
      <c r="C103" s="200">
        <f>IF(AND('A-5'!C103="-",'A-5'!C150="-",'A-5'!C197="-"),"-",SUM('A-5'!C103,'A-5'!C150,'A-5'!C197))</f>
        <v>12033</v>
      </c>
      <c r="D103" s="200">
        <f>IF(AND('A-5'!D103="-",'A-5'!D150="-",'A-5'!D197="-"),"-",SUM('A-5'!D103,'A-5'!D150,'A-5'!D197))</f>
        <v>6671</v>
      </c>
      <c r="E103" s="200">
        <f>IF(AND('A-5'!E103="-",'A-5'!E150="-",'A-5'!E197="-"),"-",SUM('A-5'!E103,'A-5'!E150,'A-5'!E197))</f>
        <v>5804</v>
      </c>
      <c r="F103" s="200">
        <f>IF(AND('A-5'!F103="-",'A-5'!F150="-",'A-5'!F197="-"),"-",SUM('A-5'!F103,'A-5'!F150,'A-5'!F197))</f>
        <v>16373</v>
      </c>
      <c r="G103" s="200">
        <f>IF(AND('A-5'!G103="-",'A-5'!G150="-",'A-5'!G197="-"),"-",SUM('A-5'!G103,'A-5'!G150,'A-5'!G197))</f>
        <v>15938</v>
      </c>
      <c r="H103" s="200">
        <f>IF(AND('A-5'!H103="-",'A-5'!H150="-",'A-5'!H197="-"),"-",SUM('A-5'!H103,'A-5'!H150,'A-5'!H197))</f>
        <v>7645</v>
      </c>
      <c r="I103" s="200">
        <f>IF(AND('A-5'!I103="-",'A-5'!I150="-",'A-5'!I197="-"),"-",SUM('A-5'!I103,'A-5'!I150,'A-5'!I197))</f>
        <v>5206</v>
      </c>
      <c r="J103" s="200">
        <f>IF(AND('A-5'!J103="-",'A-5'!J150="-",'A-5'!J197="-"),"-",SUM('A-5'!J103,'A-5'!J150,'A-5'!J197))</f>
        <v>4048</v>
      </c>
      <c r="K103" s="200">
        <f>IF(AND('A-5'!K103="-",'A-5'!K150="-",'A-5'!K197="-"),"-",SUM('A-5'!K103,'A-5'!K150,'A-5'!K197))</f>
        <v>0</v>
      </c>
      <c r="L103" s="200">
        <f>IF(AND('A-5'!L103="-",'A-5'!L150="-",'A-5'!L197="-"),"-",SUM('A-5'!L103,'A-5'!L150,'A-5'!L197))</f>
        <v>78421</v>
      </c>
      <c r="N103" s="200">
        <f>IF(OR(ISNUMBER('A-5'!N150),ISNUMBER('A-5'!N103),ISNUMBER('A-5'!N197)),SUM('A-5'!N150,'A-5'!N103,'A-5'!N197),IF(OR('A-5'!N150="--",'A-5'!N103="--",'A-5'!N197="--"),"--","-"))</f>
        <v>0</v>
      </c>
      <c r="O103" s="200">
        <f>IF(OR(ISNUMBER('A-5'!O150),ISNUMBER('A-5'!O103),ISNUMBER('A-5'!O197)),SUM('A-5'!O150,'A-5'!O103,'A-5'!O197),IF(OR('A-5'!O150="--",'A-5'!O103="--",'A-5'!O197="--"),"--","-"))</f>
        <v>0</v>
      </c>
      <c r="P103" s="200">
        <f>IF(OR(ISNUMBER('A-5'!P150),ISNUMBER('A-5'!P103),ISNUMBER('A-5'!P197)),SUM('A-5'!P150,'A-5'!P103,'A-5'!P197),IF(OR('A-5'!P150="--",'A-5'!P103="--",'A-5'!P197="--"),"--","-"))</f>
        <v>17</v>
      </c>
      <c r="Q103" s="200">
        <f>IF(OR(ISNUMBER('A-5'!Q150),ISNUMBER('A-5'!Q103),ISNUMBER('A-5'!Q197)),SUM('A-5'!Q150,'A-5'!Q103,'A-5'!Q197),IF(OR('A-5'!Q150="--",'A-5'!Q103="--",'A-5'!Q197="--"),"--","-"))</f>
        <v>72</v>
      </c>
      <c r="R103" s="200">
        <f>IF(OR(ISNUMBER('A-5'!R150),ISNUMBER('A-5'!R103),ISNUMBER('A-5'!R197)),SUM('A-5'!R150,'A-5'!R103,'A-5'!R197),IF(OR('A-5'!R150="--",'A-5'!R103="--",'A-5'!R197="--"),"--","-"))</f>
        <v>453</v>
      </c>
      <c r="S103" s="200">
        <f>IF(OR(ISNUMBER('A-5'!S150),ISNUMBER('A-5'!S103),ISNUMBER('A-5'!S197)),SUM('A-5'!S150,'A-5'!S103,'A-5'!S197),IF(OR('A-5'!S150="--",'A-5'!S103="--",'A-5'!S197="--"),"--","-"))</f>
        <v>887</v>
      </c>
      <c r="T103" s="200">
        <f>IF(OR(ISNUMBER('A-5'!T150),ISNUMBER('A-5'!T103),ISNUMBER('A-5'!T197)),SUM('A-5'!T150,'A-5'!T103,'A-5'!T197),IF(OR('A-5'!T150="--",'A-5'!T103="--",'A-5'!T197="--"),"--","-"))</f>
        <v>165</v>
      </c>
      <c r="U103" s="200">
        <f>IF(OR(ISNUMBER('A-5'!U150),ISNUMBER('A-5'!U103),ISNUMBER('A-5'!U197)),SUM('A-5'!U150,'A-5'!U103,'A-5'!U197),IF(OR('A-5'!U150="--",'A-5'!U103="--",'A-5'!U197="--"),"--","-"))</f>
        <v>0</v>
      </c>
      <c r="V103" s="200">
        <f>IF(OR(ISNUMBER('A-5'!V150),ISNUMBER('A-5'!V103),ISNUMBER('A-5'!V197)),SUM('A-5'!V150,'A-5'!V103,'A-5'!V197),IF(OR('A-5'!V150="--",'A-5'!V103="--",'A-5'!V197="--"),"--","-"))</f>
        <v>8</v>
      </c>
      <c r="W103" s="200" t="str">
        <f>IF(OR(ISNUMBER('A-5'!W150),ISNUMBER('A-5'!W103),ISNUMBER('A-5'!W197)),SUM('A-5'!W150,'A-5'!W103,'A-5'!W197),IF(OR('A-5'!W150="--",'A-5'!W103="--",'A-5'!W197="--"),"--","-"))</f>
        <v>-</v>
      </c>
      <c r="X103" s="200">
        <f>IF(AND('A-5'!X103="-",'A-5'!X150="-",'A-5'!X197="-"),"-",SUM('A-5'!X103,'A-5'!X150,'A-5'!X197))</f>
        <v>1602</v>
      </c>
    </row>
    <row r="104" spans="1:24" ht="11.25" customHeight="1" x14ac:dyDescent="0.25">
      <c r="A104" s="383">
        <v>1981</v>
      </c>
      <c r="B104" s="200">
        <f>IF(AND('A-5'!B104="-",'A-5'!B151="-",'A-5'!B198="-"),"-",SUM('A-5'!B104,'A-5'!B151,'A-5'!B198))</f>
        <v>3393</v>
      </c>
      <c r="C104" s="200">
        <f>IF(AND('A-5'!C104="-",'A-5'!C151="-",'A-5'!C198="-"),"-",SUM('A-5'!C104,'A-5'!C151,'A-5'!C198))</f>
        <v>3141</v>
      </c>
      <c r="D104" s="200">
        <f>IF(AND('A-5'!D104="-",'A-5'!D151="-",'A-5'!D198="-"),"-",SUM('A-5'!D104,'A-5'!D151,'A-5'!D198))</f>
        <v>8471</v>
      </c>
      <c r="E104" s="200">
        <f>IF(AND('A-5'!E104="-",'A-5'!E151="-",'A-5'!E198="-"),"-",SUM('A-5'!E104,'A-5'!E151,'A-5'!E198))</f>
        <v>3360</v>
      </c>
      <c r="F104" s="200">
        <f>IF(AND('A-5'!F104="-",'A-5'!F151="-",'A-5'!F198="-"),"-",SUM('A-5'!F104,'A-5'!F151,'A-5'!F198))</f>
        <v>9792</v>
      </c>
      <c r="G104" s="200">
        <f>IF(AND('A-5'!G104="-",'A-5'!G151="-",'A-5'!G198="-"),"-",SUM('A-5'!G104,'A-5'!G151,'A-5'!G198))</f>
        <v>20051</v>
      </c>
      <c r="H104" s="200">
        <f>IF(AND('A-5'!H104="-",'A-5'!H151="-",'A-5'!H198="-"),"-",SUM('A-5'!H104,'A-5'!H151,'A-5'!H198))</f>
        <v>12188</v>
      </c>
      <c r="I104" s="200">
        <f>IF(AND('A-5'!I104="-",'A-5'!I151="-",'A-5'!I198="-"),"-",SUM('A-5'!I104,'A-5'!I151,'A-5'!I198))</f>
        <v>8906</v>
      </c>
      <c r="J104" s="200">
        <f>IF(AND('A-5'!J104="-",'A-5'!J151="-",'A-5'!J198="-"),"-",SUM('A-5'!J104,'A-5'!J151,'A-5'!J198))</f>
        <v>4993</v>
      </c>
      <c r="K104" s="200">
        <f>IF(AND('A-5'!K104="-",'A-5'!K151="-",'A-5'!K198="-"),"-",SUM('A-5'!K104,'A-5'!K151,'A-5'!K198))</f>
        <v>1319</v>
      </c>
      <c r="L104" s="200">
        <f>IF(AND('A-5'!L104="-",'A-5'!L151="-",'A-5'!L198="-"),"-",SUM('A-5'!L104,'A-5'!L151,'A-5'!L198))</f>
        <v>75614</v>
      </c>
      <c r="N104" s="200">
        <f>IF(OR(ISNUMBER('A-5'!N151),ISNUMBER('A-5'!N104),ISNUMBER('A-5'!N198)),SUM('A-5'!N151,'A-5'!N104,'A-5'!N198),IF(OR('A-5'!N151="--",'A-5'!N104="--",'A-5'!N198="--"),"--","-"))</f>
        <v>0</v>
      </c>
      <c r="O104" s="200">
        <f>IF(OR(ISNUMBER('A-5'!O151),ISNUMBER('A-5'!O104),ISNUMBER('A-5'!O198)),SUM('A-5'!O151,'A-5'!O104,'A-5'!O198),IF(OR('A-5'!O151="--",'A-5'!O104="--",'A-5'!O198="--"),"--","-"))</f>
        <v>0</v>
      </c>
      <c r="P104" s="200">
        <f>IF(OR(ISNUMBER('A-5'!P151),ISNUMBER('A-5'!P104),ISNUMBER('A-5'!P198)),SUM('A-5'!P151,'A-5'!P104,'A-5'!P198),IF(OR('A-5'!P151="--",'A-5'!P104="--",'A-5'!P198="--"),"--","-"))</f>
        <v>0</v>
      </c>
      <c r="Q104" s="200">
        <f>IF(OR(ISNUMBER('A-5'!Q151),ISNUMBER('A-5'!Q104),ISNUMBER('A-5'!Q198)),SUM('A-5'!Q151,'A-5'!Q104,'A-5'!Q198),IF(OR('A-5'!Q151="--",'A-5'!Q104="--",'A-5'!Q198="--"),"--","-"))</f>
        <v>0</v>
      </c>
      <c r="R104" s="200">
        <f>IF(OR(ISNUMBER('A-5'!R151),ISNUMBER('A-5'!R104),ISNUMBER('A-5'!R198)),SUM('A-5'!R151,'A-5'!R104,'A-5'!R198),IF(OR('A-5'!R151="--",'A-5'!R104="--",'A-5'!R198="--"),"--","-"))</f>
        <v>233</v>
      </c>
      <c r="S104" s="200">
        <f>IF(OR(ISNUMBER('A-5'!S151),ISNUMBER('A-5'!S104),ISNUMBER('A-5'!S198)),SUM('A-5'!S151,'A-5'!S104,'A-5'!S198),IF(OR('A-5'!S151="--",'A-5'!S104="--",'A-5'!S198="--"),"--","-"))</f>
        <v>1009</v>
      </c>
      <c r="T104" s="200">
        <f>IF(OR(ISNUMBER('A-5'!T151),ISNUMBER('A-5'!T104),ISNUMBER('A-5'!T198)),SUM('A-5'!T151,'A-5'!T104,'A-5'!T198),IF(OR('A-5'!T151="--",'A-5'!T104="--",'A-5'!T198="--"),"--","-"))</f>
        <v>696</v>
      </c>
      <c r="U104" s="200">
        <f>IF(OR(ISNUMBER('A-5'!U151),ISNUMBER('A-5'!U104),ISNUMBER('A-5'!U198)),SUM('A-5'!U151,'A-5'!U104,'A-5'!U198),IF(OR('A-5'!U151="--",'A-5'!U104="--",'A-5'!U198="--"),"--","-"))</f>
        <v>157</v>
      </c>
      <c r="V104" s="200">
        <f>IF(OR(ISNUMBER('A-5'!V151),ISNUMBER('A-5'!V104),ISNUMBER('A-5'!V198)),SUM('A-5'!V151,'A-5'!V104,'A-5'!V198),IF(OR('A-5'!V151="--",'A-5'!V104="--",'A-5'!V198="--"),"--","-"))</f>
        <v>147</v>
      </c>
      <c r="W104" s="200">
        <f>IF(OR(ISNUMBER('A-5'!W151),ISNUMBER('A-5'!W104),ISNUMBER('A-5'!W198)),SUM('A-5'!W151,'A-5'!W104,'A-5'!W198),IF(OR('A-5'!W151="--",'A-5'!W104="--",'A-5'!W198="--"),"--","-"))</f>
        <v>0</v>
      </c>
      <c r="X104" s="200">
        <f>IF(AND('A-5'!X104="-",'A-5'!X151="-",'A-5'!X198="-"),"-",SUM('A-5'!X104,'A-5'!X151,'A-5'!X198))</f>
        <v>2242</v>
      </c>
    </row>
    <row r="105" spans="1:24" ht="11.25" customHeight="1" x14ac:dyDescent="0.25">
      <c r="A105" s="383">
        <v>1982</v>
      </c>
      <c r="B105" s="200">
        <f>IF(AND('A-5'!B105="-",'A-5'!B152="-",'A-5'!B199="-"),"-",SUM('A-5'!B105,'A-5'!B152,'A-5'!B199))</f>
        <v>11187</v>
      </c>
      <c r="C105" s="200">
        <f>IF(AND('A-5'!C105="-",'A-5'!C152="-",'A-5'!C199="-"),"-",SUM('A-5'!C105,'A-5'!C152,'A-5'!C199))</f>
        <v>11379</v>
      </c>
      <c r="D105" s="200">
        <f>IF(AND('A-5'!D105="-",'A-5'!D152="-",'A-5'!D199="-"),"-",SUM('A-5'!D105,'A-5'!D152,'A-5'!D199))</f>
        <v>5052</v>
      </c>
      <c r="E105" s="200">
        <f>IF(AND('A-5'!E105="-",'A-5'!E152="-",'A-5'!E199="-"),"-",SUM('A-5'!E105,'A-5'!E152,'A-5'!E199))</f>
        <v>7402</v>
      </c>
      <c r="F105" s="200">
        <f>IF(AND('A-5'!F105="-",'A-5'!F152="-",'A-5'!F199="-"),"-",SUM('A-5'!F105,'A-5'!F152,'A-5'!F199))</f>
        <v>11495</v>
      </c>
      <c r="G105" s="200">
        <f>IF(AND('A-5'!G105="-",'A-5'!G152="-",'A-5'!G199="-"),"-",SUM('A-5'!G105,'A-5'!G152,'A-5'!G199))</f>
        <v>19269</v>
      </c>
      <c r="H105" s="200">
        <f>IF(AND('A-5'!H105="-",'A-5'!H152="-",'A-5'!H199="-"),"-",SUM('A-5'!H105,'A-5'!H152,'A-5'!H199))</f>
        <v>27556</v>
      </c>
      <c r="I105" s="200">
        <f>IF(AND('A-5'!I105="-",'A-5'!I152="-",'A-5'!I199="-"),"-",SUM('A-5'!I105,'A-5'!I152,'A-5'!I199))</f>
        <v>14954</v>
      </c>
      <c r="J105" s="200">
        <f>IF(AND('A-5'!J105="-",'A-5'!J152="-",'A-5'!J199="-"),"-",SUM('A-5'!J105,'A-5'!J152,'A-5'!J199))</f>
        <v>13952</v>
      </c>
      <c r="K105" s="200">
        <f>IF(AND('A-5'!K105="-",'A-5'!K152="-",'A-5'!K199="-"),"-",SUM('A-5'!K105,'A-5'!K152,'A-5'!K199))</f>
        <v>3198</v>
      </c>
      <c r="L105" s="200">
        <f>IF(AND('A-5'!L105="-",'A-5'!L152="-",'A-5'!L199="-"),"-",SUM('A-5'!L105,'A-5'!L152,'A-5'!L199))</f>
        <v>125444</v>
      </c>
      <c r="N105" s="200">
        <f>IF(OR(ISNUMBER('A-5'!N152),ISNUMBER('A-5'!N105),ISNUMBER('A-5'!N199)),SUM('A-5'!N152,'A-5'!N105,'A-5'!N199),IF(OR('A-5'!N152="--",'A-5'!N105="--",'A-5'!N199="--"),"--","-"))</f>
        <v>0</v>
      </c>
      <c r="O105" s="200">
        <f>IF(OR(ISNUMBER('A-5'!O152),ISNUMBER('A-5'!O105),ISNUMBER('A-5'!O199)),SUM('A-5'!O152,'A-5'!O105,'A-5'!O199),IF(OR('A-5'!O152="--",'A-5'!O105="--",'A-5'!O199="--"),"--","-"))</f>
        <v>0</v>
      </c>
      <c r="P105" s="200">
        <f>IF(OR(ISNUMBER('A-5'!P152),ISNUMBER('A-5'!P105),ISNUMBER('A-5'!P199)),SUM('A-5'!P152,'A-5'!P105,'A-5'!P199),IF(OR('A-5'!P152="--",'A-5'!P105="--",'A-5'!P199="--"),"--","-"))</f>
        <v>0</v>
      </c>
      <c r="Q105" s="200">
        <f>IF(OR(ISNUMBER('A-5'!Q152),ISNUMBER('A-5'!Q105),ISNUMBER('A-5'!Q199)),SUM('A-5'!Q152,'A-5'!Q105,'A-5'!Q199),IF(OR('A-5'!Q152="--",'A-5'!Q105="--",'A-5'!Q199="--"),"--","-"))</f>
        <v>532</v>
      </c>
      <c r="R105" s="200">
        <f>IF(OR(ISNUMBER('A-5'!R152),ISNUMBER('A-5'!R105),ISNUMBER('A-5'!R199)),SUM('A-5'!R152,'A-5'!R105,'A-5'!R199),IF(OR('A-5'!R152="--",'A-5'!R105="--",'A-5'!R199="--"),"--","-"))</f>
        <v>1903</v>
      </c>
      <c r="S105" s="200">
        <f>IF(OR(ISNUMBER('A-5'!S152),ISNUMBER('A-5'!S105),ISNUMBER('A-5'!S199)),SUM('A-5'!S152,'A-5'!S105,'A-5'!S199),IF(OR('A-5'!S152="--",'A-5'!S105="--",'A-5'!S199="--"),"--","-"))</f>
        <v>851</v>
      </c>
      <c r="T105" s="200">
        <f>IF(OR(ISNUMBER('A-5'!T152),ISNUMBER('A-5'!T105),ISNUMBER('A-5'!T199)),SUM('A-5'!T152,'A-5'!T105,'A-5'!T199),IF(OR('A-5'!T152="--",'A-5'!T105="--",'A-5'!T199="--"),"--","-"))</f>
        <v>216</v>
      </c>
      <c r="U105" s="200">
        <f>IF(OR(ISNUMBER('A-5'!U152),ISNUMBER('A-5'!U105),ISNUMBER('A-5'!U199)),SUM('A-5'!U152,'A-5'!U105,'A-5'!U199),IF(OR('A-5'!U152="--",'A-5'!U105="--",'A-5'!U199="--"),"--","-"))</f>
        <v>27</v>
      </c>
      <c r="V105" s="200">
        <f>IF(OR(ISNUMBER('A-5'!V152),ISNUMBER('A-5'!V105),ISNUMBER('A-5'!V199)),SUM('A-5'!V152,'A-5'!V105,'A-5'!V199),IF(OR('A-5'!V152="--",'A-5'!V105="--",'A-5'!V199="--"),"--","-"))</f>
        <v>0</v>
      </c>
      <c r="W105" s="200">
        <f>IF(OR(ISNUMBER('A-5'!W152),ISNUMBER('A-5'!W105),ISNUMBER('A-5'!W199)),SUM('A-5'!W152,'A-5'!W105,'A-5'!W199),IF(OR('A-5'!W152="--",'A-5'!W105="--",'A-5'!W199="--"),"--","-"))</f>
        <v>0</v>
      </c>
      <c r="X105" s="200">
        <f>IF(AND('A-5'!X105="-",'A-5'!X152="-",'A-5'!X199="-"),"-",SUM('A-5'!X105,'A-5'!X152,'A-5'!X199))</f>
        <v>3529</v>
      </c>
    </row>
    <row r="106" spans="1:24" ht="11.25" customHeight="1" x14ac:dyDescent="0.25">
      <c r="A106" s="383">
        <v>1983</v>
      </c>
      <c r="B106" s="200">
        <f>IF(AND('A-5'!B106="-",'A-5'!B153="-",'A-5'!B200="-"),"-",SUM('A-5'!B106,'A-5'!B153,'A-5'!B200))</f>
        <v>2627</v>
      </c>
      <c r="C106" s="200">
        <f>IF(AND('A-5'!C106="-",'A-5'!C153="-",'A-5'!C200="-"),"-",SUM('A-5'!C106,'A-5'!C153,'A-5'!C200))</f>
        <v>3080</v>
      </c>
      <c r="D106" s="200">
        <f>IF(AND('A-5'!D106="-",'A-5'!D153="-",'A-5'!D200="-"),"-",SUM('A-5'!D106,'A-5'!D153,'A-5'!D200))</f>
        <v>4790</v>
      </c>
      <c r="E106" s="200">
        <f>IF(AND('A-5'!E106="-",'A-5'!E153="-",'A-5'!E200="-"),"-",SUM('A-5'!E106,'A-5'!E153,'A-5'!E200))</f>
        <v>11386</v>
      </c>
      <c r="F106" s="200">
        <f>IF(AND('A-5'!F106="-",'A-5'!F153="-",'A-5'!F200="-"),"-",SUM('A-5'!F106,'A-5'!F153,'A-5'!F200))</f>
        <v>9030</v>
      </c>
      <c r="G106" s="200">
        <f>IF(AND('A-5'!G106="-",'A-5'!G153="-",'A-5'!G200="-"),"-",SUM('A-5'!G106,'A-5'!G153,'A-5'!G200))</f>
        <v>10934</v>
      </c>
      <c r="H106" s="200">
        <f>IF(AND('A-5'!H106="-",'A-5'!H153="-",'A-5'!H200="-"),"-",SUM('A-5'!H106,'A-5'!H153,'A-5'!H200))</f>
        <v>7046</v>
      </c>
      <c r="I106" s="200">
        <f>IF(AND('A-5'!I106="-",'A-5'!I153="-",'A-5'!I200="-"),"-",SUM('A-5'!I106,'A-5'!I153,'A-5'!I200))</f>
        <v>4368</v>
      </c>
      <c r="J106" s="200">
        <f>IF(AND('A-5'!J106="-",'A-5'!J153="-",'A-5'!J200="-"),"-",SUM('A-5'!J106,'A-5'!J153,'A-5'!J200))</f>
        <v>1576</v>
      </c>
      <c r="K106" s="200">
        <f>IF(AND('A-5'!K106="-",'A-5'!K153="-",'A-5'!K200="-"),"-",SUM('A-5'!K106,'A-5'!K153,'A-5'!K200))</f>
        <v>56</v>
      </c>
      <c r="L106" s="200">
        <f>IF(AND('A-5'!L106="-",'A-5'!L153="-",'A-5'!L200="-"),"-",SUM('A-5'!L106,'A-5'!L153,'A-5'!L200))</f>
        <v>54893</v>
      </c>
      <c r="N106" s="200">
        <f>IF(OR(ISNUMBER('A-5'!N153),ISNUMBER('A-5'!N106),ISNUMBER('A-5'!N200)),SUM('A-5'!N153,'A-5'!N106,'A-5'!N200),IF(OR('A-5'!N153="--",'A-5'!N106="--",'A-5'!N200="--"),"--","-"))</f>
        <v>0</v>
      </c>
      <c r="O106" s="200">
        <f>IF(OR(ISNUMBER('A-5'!O153),ISNUMBER('A-5'!O106),ISNUMBER('A-5'!O200)),SUM('A-5'!O153,'A-5'!O106,'A-5'!O200),IF(OR('A-5'!O153="--",'A-5'!O106="--",'A-5'!O200="--"),"--","-"))</f>
        <v>3</v>
      </c>
      <c r="P106" s="200">
        <f>IF(OR(ISNUMBER('A-5'!P153),ISNUMBER('A-5'!P106),ISNUMBER('A-5'!P200)),SUM('A-5'!P153,'A-5'!P106,'A-5'!P200),IF(OR('A-5'!P153="--",'A-5'!P106="--",'A-5'!P200="--"),"--","-"))</f>
        <v>56</v>
      </c>
      <c r="Q106" s="200">
        <f>IF(OR(ISNUMBER('A-5'!Q153),ISNUMBER('A-5'!Q106),ISNUMBER('A-5'!Q200)),SUM('A-5'!Q153,'A-5'!Q106,'A-5'!Q200),IF(OR('A-5'!Q153="--",'A-5'!Q106="--",'A-5'!Q200="--"),"--","-"))</f>
        <v>49</v>
      </c>
      <c r="R106" s="200">
        <f>IF(OR(ISNUMBER('A-5'!R153),ISNUMBER('A-5'!R106),ISNUMBER('A-5'!R200)),SUM('A-5'!R153,'A-5'!R106,'A-5'!R200),IF(OR('A-5'!R153="--",'A-5'!R106="--",'A-5'!R200="--"),"--","-"))</f>
        <v>547</v>
      </c>
      <c r="S106" s="200">
        <f>IF(OR(ISNUMBER('A-5'!S153),ISNUMBER('A-5'!S106),ISNUMBER('A-5'!S200)),SUM('A-5'!S153,'A-5'!S106,'A-5'!S200),IF(OR('A-5'!S153="--",'A-5'!S106="--",'A-5'!S200="--"),"--","-"))</f>
        <v>1422</v>
      </c>
      <c r="T106" s="200">
        <f>IF(OR(ISNUMBER('A-5'!T153),ISNUMBER('A-5'!T106),ISNUMBER('A-5'!T200)),SUM('A-5'!T153,'A-5'!T106,'A-5'!T200),IF(OR('A-5'!T153="--",'A-5'!T106="--",'A-5'!T200="--"),"--","-"))</f>
        <v>267</v>
      </c>
      <c r="U106" s="200">
        <f>IF(OR(ISNUMBER('A-5'!U153),ISNUMBER('A-5'!U106),ISNUMBER('A-5'!U200)),SUM('A-5'!U153,'A-5'!U106,'A-5'!U200),IF(OR('A-5'!U153="--",'A-5'!U106="--",'A-5'!U200="--"),"--","-"))</f>
        <v>0</v>
      </c>
      <c r="V106" s="200">
        <f>IF(OR(ISNUMBER('A-5'!V153),ISNUMBER('A-5'!V106),ISNUMBER('A-5'!V200)),SUM('A-5'!V153,'A-5'!V106,'A-5'!V200),IF(OR('A-5'!V153="--",'A-5'!V106="--",'A-5'!V200="--"),"--","-"))</f>
        <v>0</v>
      </c>
      <c r="W106" s="200">
        <f>IF(OR(ISNUMBER('A-5'!W153),ISNUMBER('A-5'!W106),ISNUMBER('A-5'!W200)),SUM('A-5'!W153,'A-5'!W106,'A-5'!W200),IF(OR('A-5'!W153="--",'A-5'!W106="--",'A-5'!W200="--"),"--","-"))</f>
        <v>0</v>
      </c>
      <c r="X106" s="200">
        <f>IF(AND('A-5'!X106="-",'A-5'!X153="-",'A-5'!X200="-"),"-",SUM('A-5'!X106,'A-5'!X153,'A-5'!X200))</f>
        <v>2344</v>
      </c>
    </row>
    <row r="107" spans="1:24" ht="11.25" customHeight="1" x14ac:dyDescent="0.25">
      <c r="A107" s="383">
        <v>1984</v>
      </c>
      <c r="B107" s="200">
        <f>IF(AND('A-5'!B107="-",'A-5'!B154="-",'A-5'!B201="-"),"-",SUM('A-5'!B107,'A-5'!B154,'A-5'!B201))</f>
        <v>392</v>
      </c>
      <c r="C107" s="200">
        <f>IF(AND('A-5'!C107="-",'A-5'!C154="-",'A-5'!C201="-"),"-",SUM('A-5'!C107,'A-5'!C154,'A-5'!C201))</f>
        <v>758</v>
      </c>
      <c r="D107" s="200">
        <f>IF(AND('A-5'!D107="-",'A-5'!D154="-",'A-5'!D201="-"),"-",SUM('A-5'!D107,'A-5'!D154,'A-5'!D201))</f>
        <v>5932</v>
      </c>
      <c r="E107" s="200">
        <f>IF(AND('A-5'!E107="-",'A-5'!E154="-",'A-5'!E201="-"),"-",SUM('A-5'!E107,'A-5'!E154,'A-5'!E201))</f>
        <v>7415</v>
      </c>
      <c r="F107" s="200">
        <f>IF(AND('A-5'!F107="-",'A-5'!F154="-",'A-5'!F201="-"),"-",SUM('A-5'!F107,'A-5'!F154,'A-5'!F201))</f>
        <v>17136</v>
      </c>
      <c r="G107" s="200">
        <f>IF(AND('A-5'!G107="-",'A-5'!G154="-",'A-5'!G201="-"),"-",SUM('A-5'!G107,'A-5'!G154,'A-5'!G201))</f>
        <v>20904</v>
      </c>
      <c r="H107" s="200">
        <f>IF(AND('A-5'!H107="-",'A-5'!H154="-",'A-5'!H201="-"),"-",SUM('A-5'!H107,'A-5'!H154,'A-5'!H201))</f>
        <v>16696</v>
      </c>
      <c r="I107" s="200">
        <f>IF(AND('A-5'!I107="-",'A-5'!I154="-",'A-5'!I201="-"),"-",SUM('A-5'!I107,'A-5'!I154,'A-5'!I201))</f>
        <v>7365</v>
      </c>
      <c r="J107" s="200">
        <f>IF(AND('A-5'!J107="-",'A-5'!J154="-",'A-5'!J201="-"),"-",SUM('A-5'!J107,'A-5'!J154,'A-5'!J201))</f>
        <v>2312</v>
      </c>
      <c r="K107" s="200">
        <f>IF(AND('A-5'!K107="-",'A-5'!K154="-",'A-5'!K201="-"),"-",SUM('A-5'!K107,'A-5'!K154,'A-5'!K201))</f>
        <v>759</v>
      </c>
      <c r="L107" s="200">
        <f>IF(AND('A-5'!L107="-",'A-5'!L154="-",'A-5'!L201="-"),"-",SUM('A-5'!L107,'A-5'!L154,'A-5'!L201))</f>
        <v>79669</v>
      </c>
      <c r="N107" s="200">
        <f>IF(OR(ISNUMBER('A-5'!N154),ISNUMBER('A-5'!N107),ISNUMBER('A-5'!N201)),SUM('A-5'!N154,'A-5'!N107,'A-5'!N201),IF(OR('A-5'!N154="--",'A-5'!N107="--",'A-5'!N201="--"),"--","-"))</f>
        <v>0</v>
      </c>
      <c r="O107" s="200">
        <f>IF(OR(ISNUMBER('A-5'!O154),ISNUMBER('A-5'!O107),ISNUMBER('A-5'!O201)),SUM('A-5'!O154,'A-5'!O107,'A-5'!O201),IF(OR('A-5'!O154="--",'A-5'!O107="--",'A-5'!O201="--"),"--","-"))</f>
        <v>0</v>
      </c>
      <c r="P107" s="200">
        <f>IF(OR(ISNUMBER('A-5'!P154),ISNUMBER('A-5'!P107),ISNUMBER('A-5'!P201)),SUM('A-5'!P154,'A-5'!P107,'A-5'!P201),IF(OR('A-5'!P154="--",'A-5'!P107="--",'A-5'!P201="--"),"--","-"))</f>
        <v>2</v>
      </c>
      <c r="Q107" s="200">
        <f>IF(OR(ISNUMBER('A-5'!Q154),ISNUMBER('A-5'!Q107),ISNUMBER('A-5'!Q201)),SUM('A-5'!Q154,'A-5'!Q107,'A-5'!Q201),IF(OR('A-5'!Q154="--",'A-5'!Q107="--",'A-5'!Q201="--"),"--","-"))</f>
        <v>79</v>
      </c>
      <c r="R107" s="200">
        <f>IF(OR(ISNUMBER('A-5'!R154),ISNUMBER('A-5'!R107),ISNUMBER('A-5'!R201)),SUM('A-5'!R154,'A-5'!R107,'A-5'!R201),IF(OR('A-5'!R154="--",'A-5'!R107="--",'A-5'!R201="--"),"--","-"))</f>
        <v>116</v>
      </c>
      <c r="S107" s="200">
        <f>IF(OR(ISNUMBER('A-5'!S154),ISNUMBER('A-5'!S107),ISNUMBER('A-5'!S201)),SUM('A-5'!S154,'A-5'!S107,'A-5'!S201),IF(OR('A-5'!S154="--",'A-5'!S107="--",'A-5'!S201="--"),"--","-"))</f>
        <v>919</v>
      </c>
      <c r="T107" s="200">
        <f>IF(OR(ISNUMBER('A-5'!T154),ISNUMBER('A-5'!T107),ISNUMBER('A-5'!T201)),SUM('A-5'!T154,'A-5'!T107,'A-5'!T201),IF(OR('A-5'!T154="--",'A-5'!T107="--",'A-5'!T201="--"),"--","-"))</f>
        <v>313</v>
      </c>
      <c r="U107" s="200">
        <f>IF(OR(ISNUMBER('A-5'!U154),ISNUMBER('A-5'!U107),ISNUMBER('A-5'!U201)),SUM('A-5'!U154,'A-5'!U107,'A-5'!U201),IF(OR('A-5'!U154="--",'A-5'!U107="--",'A-5'!U201="--"),"--","-"))</f>
        <v>0</v>
      </c>
      <c r="V107" s="200">
        <f>IF(OR(ISNUMBER('A-5'!V154),ISNUMBER('A-5'!V107),ISNUMBER('A-5'!V201)),SUM('A-5'!V154,'A-5'!V107,'A-5'!V201),IF(OR('A-5'!V154="--",'A-5'!V107="--",'A-5'!V201="--"),"--","-"))</f>
        <v>0</v>
      </c>
      <c r="W107" s="200">
        <f>IF(OR(ISNUMBER('A-5'!W154),ISNUMBER('A-5'!W107),ISNUMBER('A-5'!W201)),SUM('A-5'!W154,'A-5'!W107,'A-5'!W201),IF(OR('A-5'!W154="--",'A-5'!W107="--",'A-5'!W201="--"),"--","-"))</f>
        <v>0</v>
      </c>
      <c r="X107" s="200">
        <f>IF(AND('A-5'!X107="-",'A-5'!X154="-",'A-5'!X201="-"),"-",SUM('A-5'!X107,'A-5'!X154,'A-5'!X201))</f>
        <v>1429</v>
      </c>
    </row>
    <row r="108" spans="1:24" ht="11.25" customHeight="1" x14ac:dyDescent="0.25">
      <c r="A108" s="383">
        <v>1985</v>
      </c>
      <c r="B108" s="200">
        <f>IF(AND('A-5'!B108="-",'A-5'!B155="-",'A-5'!B202="-"),"-",SUM('A-5'!B108,'A-5'!B155,'A-5'!B202))</f>
        <v>12134</v>
      </c>
      <c r="C108" s="200">
        <f>IF(AND('A-5'!C108="-",'A-5'!C155="-",'A-5'!C202="-"),"-",SUM('A-5'!C108,'A-5'!C155,'A-5'!C202))</f>
        <v>17970</v>
      </c>
      <c r="D108" s="200">
        <f>IF(AND('A-5'!D108="-",'A-5'!D155="-",'A-5'!D202="-"),"-",SUM('A-5'!D108,'A-5'!D155,'A-5'!D202))</f>
        <v>11945</v>
      </c>
      <c r="E108" s="200">
        <f>IF(AND('A-5'!E108="-",'A-5'!E155="-",'A-5'!E202="-"),"-",SUM('A-5'!E108,'A-5'!E155,'A-5'!E202))</f>
        <v>8709</v>
      </c>
      <c r="F108" s="200">
        <f>IF(AND('A-5'!F108="-",'A-5'!F155="-",'A-5'!F202="-"),"-",SUM('A-5'!F108,'A-5'!F155,'A-5'!F202))</f>
        <v>19063</v>
      </c>
      <c r="G108" s="200">
        <f>IF(AND('A-5'!G108="-",'A-5'!G155="-",'A-5'!G202="-"),"-",SUM('A-5'!G108,'A-5'!G155,'A-5'!G202))</f>
        <v>23793</v>
      </c>
      <c r="H108" s="200">
        <f>IF(AND('A-5'!H108="-",'A-5'!H155="-",'A-5'!H202="-"),"-",SUM('A-5'!H108,'A-5'!H155,'A-5'!H202))</f>
        <v>19449</v>
      </c>
      <c r="I108" s="200">
        <f>IF(AND('A-5'!I108="-",'A-5'!I155="-",'A-5'!I202="-"),"-",SUM('A-5'!I108,'A-5'!I155,'A-5'!I202))</f>
        <v>7056</v>
      </c>
      <c r="J108" s="200">
        <f>IF(AND('A-5'!J108="-",'A-5'!J155="-",'A-5'!J202="-"),"-",SUM('A-5'!J108,'A-5'!J155,'A-5'!J202))</f>
        <v>4898</v>
      </c>
      <c r="K108" s="200">
        <f>IF(AND('A-5'!K108="-",'A-5'!K155="-",'A-5'!K202="-"),"-",SUM('A-5'!K108,'A-5'!K155,'A-5'!K202))</f>
        <v>1719</v>
      </c>
      <c r="L108" s="200">
        <f>IF(AND('A-5'!L108="-",'A-5'!L155="-",'A-5'!L202="-"),"-",SUM('A-5'!L108,'A-5'!L155,'A-5'!L202))</f>
        <v>126736</v>
      </c>
      <c r="N108" s="200">
        <f>IF(OR(ISNUMBER('A-5'!N155),ISNUMBER('A-5'!N108),ISNUMBER('A-5'!N202)),SUM('A-5'!N155,'A-5'!N108,'A-5'!N202),IF(OR('A-5'!N155="--",'A-5'!N108="--",'A-5'!N202="--"),"--","-"))</f>
        <v>0</v>
      </c>
      <c r="O108" s="200">
        <f>IF(OR(ISNUMBER('A-5'!O155),ISNUMBER('A-5'!O108),ISNUMBER('A-5'!O202)),SUM('A-5'!O155,'A-5'!O108,'A-5'!O202),IF(OR('A-5'!O155="--",'A-5'!O108="--",'A-5'!O202="--"),"--","-"))</f>
        <v>0</v>
      </c>
      <c r="P108" s="200">
        <f>IF(OR(ISNUMBER('A-5'!P155),ISNUMBER('A-5'!P108),ISNUMBER('A-5'!P202)),SUM('A-5'!P155,'A-5'!P108,'A-5'!P202),IF(OR('A-5'!P155="--",'A-5'!P108="--",'A-5'!P202="--"),"--","-"))</f>
        <v>48</v>
      </c>
      <c r="Q108" s="200">
        <f>IF(OR(ISNUMBER('A-5'!Q155),ISNUMBER('A-5'!Q108),ISNUMBER('A-5'!Q202)),SUM('A-5'!Q155,'A-5'!Q108,'A-5'!Q202),IF(OR('A-5'!Q155="--",'A-5'!Q108="--",'A-5'!Q202="--"),"--","-"))</f>
        <v>83</v>
      </c>
      <c r="R108" s="200">
        <f>IF(OR(ISNUMBER('A-5'!R155),ISNUMBER('A-5'!R108),ISNUMBER('A-5'!R202)),SUM('A-5'!R155,'A-5'!R108,'A-5'!R202),IF(OR('A-5'!R155="--",'A-5'!R108="--",'A-5'!R202="--"),"--","-"))</f>
        <v>601</v>
      </c>
      <c r="S108" s="200">
        <f>IF(OR(ISNUMBER('A-5'!S155),ISNUMBER('A-5'!S108),ISNUMBER('A-5'!S202)),SUM('A-5'!S155,'A-5'!S108,'A-5'!S202),IF(OR('A-5'!S155="--",'A-5'!S108="--",'A-5'!S202="--"),"--","-"))</f>
        <v>312</v>
      </c>
      <c r="T108" s="200">
        <f>IF(OR(ISNUMBER('A-5'!T155),ISNUMBER('A-5'!T108),ISNUMBER('A-5'!T202)),SUM('A-5'!T155,'A-5'!T108,'A-5'!T202),IF(OR('A-5'!T155="--",'A-5'!T108="--",'A-5'!T202="--"),"--","-"))</f>
        <v>21</v>
      </c>
      <c r="U108" s="200">
        <f>IF(OR(ISNUMBER('A-5'!U155),ISNUMBER('A-5'!U108),ISNUMBER('A-5'!U202)),SUM('A-5'!U155,'A-5'!U108,'A-5'!U202),IF(OR('A-5'!U155="--",'A-5'!U108="--",'A-5'!U202="--"),"--","-"))</f>
        <v>14</v>
      </c>
      <c r="V108" s="200">
        <f>IF(OR(ISNUMBER('A-5'!V155),ISNUMBER('A-5'!V108),ISNUMBER('A-5'!V202)),SUM('A-5'!V155,'A-5'!V108,'A-5'!V202),IF(OR('A-5'!V155="--",'A-5'!V108="--",'A-5'!V202="--"),"--","-"))</f>
        <v>0</v>
      </c>
      <c r="W108" s="200">
        <f>IF(OR(ISNUMBER('A-5'!W155),ISNUMBER('A-5'!W108),ISNUMBER('A-5'!W202)),SUM('A-5'!W155,'A-5'!W108,'A-5'!W202),IF(OR('A-5'!W155="--",'A-5'!W108="--",'A-5'!W202="--"),"--","-"))</f>
        <v>0</v>
      </c>
      <c r="X108" s="200">
        <f>IF(AND('A-5'!X108="-",'A-5'!X155="-",'A-5'!X202="-"),"-",SUM('A-5'!X108,'A-5'!X155,'A-5'!X202))</f>
        <v>1079</v>
      </c>
    </row>
    <row r="109" spans="1:24" ht="11.25" customHeight="1" x14ac:dyDescent="0.25">
      <c r="A109" s="383">
        <v>1986</v>
      </c>
      <c r="B109" s="200">
        <f>IF(AND('A-5'!B109="-",'A-5'!B156="-",'A-5'!B203="-"),"-",SUM('A-5'!B109,'A-5'!B156,'A-5'!B203))</f>
        <v>1183</v>
      </c>
      <c r="C109" s="200">
        <f>IF(AND('A-5'!C109="-",'A-5'!C156="-",'A-5'!C203="-"),"-",SUM('A-5'!C109,'A-5'!C156,'A-5'!C203))</f>
        <v>16091</v>
      </c>
      <c r="D109" s="200">
        <f>IF(AND('A-5'!D109="-",'A-5'!D156="-",'A-5'!D203="-"),"-",SUM('A-5'!D109,'A-5'!D156,'A-5'!D203))</f>
        <v>23458</v>
      </c>
      <c r="E109" s="200">
        <f>IF(AND('A-5'!E109="-",'A-5'!E156="-",'A-5'!E203="-"),"-",SUM('A-5'!E109,'A-5'!E156,'A-5'!E203))</f>
        <v>8781</v>
      </c>
      <c r="F109" s="200">
        <f>IF(AND('A-5'!F109="-",'A-5'!F156="-",'A-5'!F203="-"),"-",SUM('A-5'!F109,'A-5'!F156,'A-5'!F203))</f>
        <v>20584</v>
      </c>
      <c r="G109" s="200">
        <f>IF(AND('A-5'!G109="-",'A-5'!G156="-",'A-5'!G203="-"),"-",SUM('A-5'!G109,'A-5'!G156,'A-5'!G203))</f>
        <v>31513</v>
      </c>
      <c r="H109" s="200">
        <f>IF(AND('A-5'!H109="-",'A-5'!H156="-",'A-5'!H203="-"),"-",SUM('A-5'!H109,'A-5'!H156,'A-5'!H203))</f>
        <v>16000</v>
      </c>
      <c r="I109" s="200">
        <f>IF(AND('A-5'!I109="-",'A-5'!I156="-",'A-5'!I203="-"),"-",SUM('A-5'!I109,'A-5'!I156,'A-5'!I203))</f>
        <v>5241</v>
      </c>
      <c r="J109" s="200">
        <f>IF(AND('A-5'!J109="-",'A-5'!J156="-",'A-5'!J203="-"),"-",SUM('A-5'!J109,'A-5'!J156,'A-5'!J203))</f>
        <v>1962</v>
      </c>
      <c r="K109" s="200">
        <f>IF(AND('A-5'!K109="-",'A-5'!K156="-",'A-5'!K203="-"),"-",SUM('A-5'!K109,'A-5'!K156,'A-5'!K203))</f>
        <v>584</v>
      </c>
      <c r="L109" s="200">
        <f>IF(AND('A-5'!L109="-",'A-5'!L156="-",'A-5'!L203="-"),"-",SUM('A-5'!L109,'A-5'!L156,'A-5'!L203))</f>
        <v>125397</v>
      </c>
      <c r="N109" s="200">
        <f>IF(OR(ISNUMBER('A-5'!N156),ISNUMBER('A-5'!N109),ISNUMBER('A-5'!N203)),SUM('A-5'!N156,'A-5'!N109,'A-5'!N203),IF(OR('A-5'!N156="--",'A-5'!N109="--",'A-5'!N203="--"),"--","-"))</f>
        <v>0</v>
      </c>
      <c r="O109" s="200">
        <f>IF(OR(ISNUMBER('A-5'!O156),ISNUMBER('A-5'!O109),ISNUMBER('A-5'!O203)),SUM('A-5'!O156,'A-5'!O109,'A-5'!O203),IF(OR('A-5'!O156="--",'A-5'!O109="--",'A-5'!O203="--"),"--","-"))</f>
        <v>2</v>
      </c>
      <c r="P109" s="200">
        <f>IF(OR(ISNUMBER('A-5'!P156),ISNUMBER('A-5'!P109),ISNUMBER('A-5'!P203)),SUM('A-5'!P156,'A-5'!P109,'A-5'!P203),IF(OR('A-5'!P156="--",'A-5'!P109="--",'A-5'!P203="--"),"--","-"))</f>
        <v>0</v>
      </c>
      <c r="Q109" s="200">
        <f>IF(OR(ISNUMBER('A-5'!Q156),ISNUMBER('A-5'!Q109),ISNUMBER('A-5'!Q203)),SUM('A-5'!Q156,'A-5'!Q109,'A-5'!Q203),IF(OR('A-5'!Q156="--",'A-5'!Q109="--",'A-5'!Q203="--"),"--","-"))</f>
        <v>79</v>
      </c>
      <c r="R109" s="200">
        <f>IF(OR(ISNUMBER('A-5'!R156),ISNUMBER('A-5'!R109),ISNUMBER('A-5'!R203)),SUM('A-5'!R156,'A-5'!R109,'A-5'!R203),IF(OR('A-5'!R156="--",'A-5'!R109="--",'A-5'!R203="--"),"--","-"))</f>
        <v>346</v>
      </c>
      <c r="S109" s="200">
        <f>IF(OR(ISNUMBER('A-5'!S156),ISNUMBER('A-5'!S109),ISNUMBER('A-5'!S203)),SUM('A-5'!S156,'A-5'!S109,'A-5'!S203),IF(OR('A-5'!S156="--",'A-5'!S109="--",'A-5'!S203="--"),"--","-"))</f>
        <v>1276</v>
      </c>
      <c r="T109" s="200">
        <f>IF(OR(ISNUMBER('A-5'!T156),ISNUMBER('A-5'!T109),ISNUMBER('A-5'!T203)),SUM('A-5'!T156,'A-5'!T109,'A-5'!T203),IF(OR('A-5'!T156="--",'A-5'!T109="--",'A-5'!T203="--"),"--","-"))</f>
        <v>264</v>
      </c>
      <c r="U109" s="200">
        <f>IF(OR(ISNUMBER('A-5'!U156),ISNUMBER('A-5'!U109),ISNUMBER('A-5'!U203)),SUM('A-5'!U156,'A-5'!U109,'A-5'!U203),IF(OR('A-5'!U156="--",'A-5'!U109="--",'A-5'!U203="--"),"--","-"))</f>
        <v>9</v>
      </c>
      <c r="V109" s="200">
        <f>IF(OR(ISNUMBER('A-5'!V156),ISNUMBER('A-5'!V109),ISNUMBER('A-5'!V203)),SUM('A-5'!V156,'A-5'!V109,'A-5'!V203),IF(OR('A-5'!V156="--",'A-5'!V109="--",'A-5'!V203="--"),"--","-"))</f>
        <v>2</v>
      </c>
      <c r="W109" s="200">
        <f>IF(OR(ISNUMBER('A-5'!W156),ISNUMBER('A-5'!W109),ISNUMBER('A-5'!W203)),SUM('A-5'!W156,'A-5'!W109,'A-5'!W203),IF(OR('A-5'!W156="--",'A-5'!W109="--",'A-5'!W203="--"),"--","-"))</f>
        <v>0</v>
      </c>
      <c r="X109" s="200">
        <f>IF(AND('A-5'!X109="-",'A-5'!X156="-",'A-5'!X203="-"),"-",SUM('A-5'!X109,'A-5'!X156,'A-5'!X203))</f>
        <v>1978</v>
      </c>
    </row>
    <row r="110" spans="1:24" ht="11.25" customHeight="1" x14ac:dyDescent="0.25">
      <c r="A110" s="383">
        <v>1987</v>
      </c>
      <c r="B110" s="200">
        <f>IF(AND('A-5'!B110="-",'A-5'!B157="-",'A-5'!B204="-"),"-",SUM('A-5'!B110,'A-5'!B157,'A-5'!B204))</f>
        <v>5520</v>
      </c>
      <c r="C110" s="200">
        <f>IF(AND('A-5'!C110="-",'A-5'!C157="-",'A-5'!C204="-"),"-",SUM('A-5'!C110,'A-5'!C157,'A-5'!C204))</f>
        <v>14084</v>
      </c>
      <c r="D110" s="200">
        <f>IF(AND('A-5'!D110="-",'A-5'!D157="-",'A-5'!D204="-"),"-",SUM('A-5'!D110,'A-5'!D157,'A-5'!D204))</f>
        <v>19211</v>
      </c>
      <c r="E110" s="200">
        <f>IF(AND('A-5'!E110="-",'A-5'!E157="-",'A-5'!E204="-"),"-",SUM('A-5'!E110,'A-5'!E157,'A-5'!E204))</f>
        <v>10970</v>
      </c>
      <c r="F110" s="200">
        <f>IF(AND('A-5'!F110="-",'A-5'!F157="-",'A-5'!F204="-"),"-",SUM('A-5'!F110,'A-5'!F157,'A-5'!F204))</f>
        <v>15662</v>
      </c>
      <c r="G110" s="200">
        <f>IF(AND('A-5'!G110="-",'A-5'!G157="-",'A-5'!G204="-"),"-",SUM('A-5'!G110,'A-5'!G157,'A-5'!G204))</f>
        <v>40257</v>
      </c>
      <c r="H110" s="200">
        <f>IF(AND('A-5'!H110="-",'A-5'!H157="-",'A-5'!H204="-"),"-",SUM('A-5'!H110,'A-5'!H157,'A-5'!H204))</f>
        <v>35265</v>
      </c>
      <c r="I110" s="200">
        <f>IF(AND('A-5'!I110="-",'A-5'!I157="-",'A-5'!I204="-"),"-",SUM('A-5'!I110,'A-5'!I157,'A-5'!I204))</f>
        <v>12869</v>
      </c>
      <c r="J110" s="200">
        <f>IF(AND('A-5'!J110="-",'A-5'!J157="-",'A-5'!J204="-"),"-",SUM('A-5'!J110,'A-5'!J157,'A-5'!J204))</f>
        <v>7126</v>
      </c>
      <c r="K110" s="200">
        <f>IF(AND('A-5'!K110="-",'A-5'!K157="-",'A-5'!K204="-"),"-",SUM('A-5'!K110,'A-5'!K157,'A-5'!K204))</f>
        <v>1083</v>
      </c>
      <c r="L110" s="200">
        <f>IF(AND('A-5'!L110="-",'A-5'!L157="-",'A-5'!L204="-"),"-",SUM('A-5'!L110,'A-5'!L157,'A-5'!L204))</f>
        <v>162047</v>
      </c>
      <c r="N110" s="200">
        <f>IF(OR(ISNUMBER('A-5'!N157),ISNUMBER('A-5'!N110),ISNUMBER('A-5'!N204)),SUM('A-5'!N157,'A-5'!N110,'A-5'!N204),IF(OR('A-5'!N157="--",'A-5'!N110="--",'A-5'!N204="--"),"--","-"))</f>
        <v>0</v>
      </c>
      <c r="O110" s="200">
        <f>IF(OR(ISNUMBER('A-5'!O157),ISNUMBER('A-5'!O110),ISNUMBER('A-5'!O204)),SUM('A-5'!O157,'A-5'!O110,'A-5'!O204),IF(OR('A-5'!O157="--",'A-5'!O110="--",'A-5'!O204="--"),"--","-"))</f>
        <v>0</v>
      </c>
      <c r="P110" s="200">
        <f>IF(OR(ISNUMBER('A-5'!P157),ISNUMBER('A-5'!P110),ISNUMBER('A-5'!P204)),SUM('A-5'!P157,'A-5'!P110,'A-5'!P204),IF(OR('A-5'!P157="--",'A-5'!P110="--",'A-5'!P204="--"),"--","-"))</f>
        <v>0</v>
      </c>
      <c r="Q110" s="200">
        <f>IF(OR(ISNUMBER('A-5'!Q157),ISNUMBER('A-5'!Q110),ISNUMBER('A-5'!Q204)),SUM('A-5'!Q157,'A-5'!Q110,'A-5'!Q204),IF(OR('A-5'!Q157="--",'A-5'!Q110="--",'A-5'!Q204="--"),"--","-"))</f>
        <v>4</v>
      </c>
      <c r="R110" s="200">
        <f>IF(OR(ISNUMBER('A-5'!R157),ISNUMBER('A-5'!R110),ISNUMBER('A-5'!R204)),SUM('A-5'!R157,'A-5'!R110,'A-5'!R204),IF(OR('A-5'!R157="--",'A-5'!R110="--",'A-5'!R204="--"),"--","-"))</f>
        <v>685</v>
      </c>
      <c r="S110" s="200">
        <f>IF(OR(ISNUMBER('A-5'!S157),ISNUMBER('A-5'!S110),ISNUMBER('A-5'!S204)),SUM('A-5'!S157,'A-5'!S110,'A-5'!S204),IF(OR('A-5'!S157="--",'A-5'!S110="--",'A-5'!S204="--"),"--","-"))</f>
        <v>1149</v>
      </c>
      <c r="T110" s="200">
        <f>IF(OR(ISNUMBER('A-5'!T157),ISNUMBER('A-5'!T110),ISNUMBER('A-5'!T204)),SUM('A-5'!T157,'A-5'!T110,'A-5'!T204),IF(OR('A-5'!T157="--",'A-5'!T110="--",'A-5'!T204="--"),"--","-"))</f>
        <v>480</v>
      </c>
      <c r="U110" s="200">
        <f>IF(OR(ISNUMBER('A-5'!U157),ISNUMBER('A-5'!U110),ISNUMBER('A-5'!U204)),SUM('A-5'!U157,'A-5'!U110,'A-5'!U204),IF(OR('A-5'!U157="--",'A-5'!U110="--",'A-5'!U204="--"),"--","-"))</f>
        <v>250</v>
      </c>
      <c r="V110" s="200">
        <f>IF(OR(ISNUMBER('A-5'!V157),ISNUMBER('A-5'!V110),ISNUMBER('A-5'!V204)),SUM('A-5'!V157,'A-5'!V110,'A-5'!V204),IF(OR('A-5'!V157="--",'A-5'!V110="--",'A-5'!V204="--"),"--","-"))</f>
        <v>0</v>
      </c>
      <c r="W110" s="200">
        <f>IF(OR(ISNUMBER('A-5'!W157),ISNUMBER('A-5'!W110),ISNUMBER('A-5'!W204)),SUM('A-5'!W157,'A-5'!W110,'A-5'!W204),IF(OR('A-5'!W157="--",'A-5'!W110="--",'A-5'!W204="--"),"--","-"))</f>
        <v>0</v>
      </c>
      <c r="X110" s="200">
        <f>IF(AND('A-5'!X110="-",'A-5'!X157="-",'A-5'!X204="-"),"-",SUM('A-5'!X110,'A-5'!X157,'A-5'!X204))</f>
        <v>2568</v>
      </c>
    </row>
    <row r="111" spans="1:24" ht="11.25" customHeight="1" x14ac:dyDescent="0.25">
      <c r="A111" s="383">
        <v>1988</v>
      </c>
      <c r="B111" s="200">
        <f>IF(AND('A-5'!B111="-",'A-5'!B158="-",'A-5'!B205="-"),"-",SUM('A-5'!B111,'A-5'!B158,'A-5'!B205))</f>
        <v>6808</v>
      </c>
      <c r="C111" s="200">
        <f>IF(AND('A-5'!C111="-",'A-5'!C158="-",'A-5'!C205="-"),"-",SUM('A-5'!C111,'A-5'!C158,'A-5'!C205))</f>
        <v>15934</v>
      </c>
      <c r="D111" s="200">
        <f>IF(AND('A-5'!D111="-",'A-5'!D158="-",'A-5'!D205="-"),"-",SUM('A-5'!D111,'A-5'!D158,'A-5'!D205))</f>
        <v>24943</v>
      </c>
      <c r="E111" s="200">
        <f>IF(AND('A-5'!E111="-",'A-5'!E158="-",'A-5'!E205="-"),"-",SUM('A-5'!E111,'A-5'!E158,'A-5'!E205))</f>
        <v>18904</v>
      </c>
      <c r="F111" s="200">
        <f>IF(AND('A-5'!F111="-",'A-5'!F158="-",'A-5'!F205="-"),"-",SUM('A-5'!F111,'A-5'!F158,'A-5'!F205))</f>
        <v>25112</v>
      </c>
      <c r="G111" s="200">
        <f>IF(AND('A-5'!G111="-",'A-5'!G158="-",'A-5'!G205="-"),"-",SUM('A-5'!G111,'A-5'!G158,'A-5'!G205))</f>
        <v>28751</v>
      </c>
      <c r="H111" s="200">
        <f>IF(AND('A-5'!H111="-",'A-5'!H158="-",'A-5'!H205="-"),"-",SUM('A-5'!H111,'A-5'!H158,'A-5'!H205))</f>
        <v>10045</v>
      </c>
      <c r="I111" s="200">
        <f>IF(AND('A-5'!I111="-",'A-5'!I158="-",'A-5'!I205="-"),"-",SUM('A-5'!I111,'A-5'!I158,'A-5'!I205))</f>
        <v>3859</v>
      </c>
      <c r="J111" s="200">
        <f>IF(AND('A-5'!J111="-",'A-5'!J158="-",'A-5'!J205="-"),"-",SUM('A-5'!J111,'A-5'!J158,'A-5'!J205))</f>
        <v>4610</v>
      </c>
      <c r="K111" s="200">
        <f>IF(AND('A-5'!K111="-",'A-5'!K158="-",'A-5'!K205="-"),"-",SUM('A-5'!K111,'A-5'!K158,'A-5'!K205))</f>
        <v>814</v>
      </c>
      <c r="L111" s="200">
        <f>IF(AND('A-5'!L111="-",'A-5'!L158="-",'A-5'!L205="-"),"-",SUM('A-5'!L111,'A-5'!L158,'A-5'!L205))</f>
        <v>139780</v>
      </c>
      <c r="N111" s="200">
        <f>IF(OR(ISNUMBER('A-5'!N158),ISNUMBER('A-5'!N111),ISNUMBER('A-5'!N205)),SUM('A-5'!N158,'A-5'!N111,'A-5'!N205),IF(OR('A-5'!N158="--",'A-5'!N111="--",'A-5'!N205="--"),"--","-"))</f>
        <v>0</v>
      </c>
      <c r="O111" s="200">
        <f>IF(OR(ISNUMBER('A-5'!O158),ISNUMBER('A-5'!O111),ISNUMBER('A-5'!O205)),SUM('A-5'!O158,'A-5'!O111,'A-5'!O205),IF(OR('A-5'!O158="--",'A-5'!O111="--",'A-5'!O205="--"),"--","-"))</f>
        <v>1</v>
      </c>
      <c r="P111" s="200">
        <f>IF(OR(ISNUMBER('A-5'!P158),ISNUMBER('A-5'!P111),ISNUMBER('A-5'!P205)),SUM('A-5'!P158,'A-5'!P111,'A-5'!P205),IF(OR('A-5'!P158="--",'A-5'!P111="--",'A-5'!P205="--"),"--","-"))</f>
        <v>21</v>
      </c>
      <c r="Q111" s="200">
        <f>IF(OR(ISNUMBER('A-5'!Q158),ISNUMBER('A-5'!Q111),ISNUMBER('A-5'!Q205)),SUM('A-5'!Q158,'A-5'!Q111,'A-5'!Q205),IF(OR('A-5'!Q158="--",'A-5'!Q111="--",'A-5'!Q205="--"),"--","-"))</f>
        <v>197</v>
      </c>
      <c r="R111" s="200">
        <f>IF(OR(ISNUMBER('A-5'!R158),ISNUMBER('A-5'!R111),ISNUMBER('A-5'!R205)),SUM('A-5'!R158,'A-5'!R111,'A-5'!R205),IF(OR('A-5'!R158="--",'A-5'!R111="--",'A-5'!R205="--"),"--","-"))</f>
        <v>279</v>
      </c>
      <c r="S111" s="200">
        <f>IF(OR(ISNUMBER('A-5'!S158),ISNUMBER('A-5'!S111),ISNUMBER('A-5'!S205)),SUM('A-5'!S158,'A-5'!S111,'A-5'!S205),IF(OR('A-5'!S158="--",'A-5'!S111="--",'A-5'!S205="--"),"--","-"))</f>
        <v>2910</v>
      </c>
      <c r="T111" s="200">
        <f>IF(OR(ISNUMBER('A-5'!T158),ISNUMBER('A-5'!T111),ISNUMBER('A-5'!T205)),SUM('A-5'!T158,'A-5'!T111,'A-5'!T205),IF(OR('A-5'!T158="--",'A-5'!T111="--",'A-5'!T205="--"),"--","-"))</f>
        <v>114</v>
      </c>
      <c r="U111" s="200">
        <f>IF(OR(ISNUMBER('A-5'!U158),ISNUMBER('A-5'!U111),ISNUMBER('A-5'!U205)),SUM('A-5'!U158,'A-5'!U111,'A-5'!U205),IF(OR('A-5'!U158="--",'A-5'!U111="--",'A-5'!U205="--"),"--","-"))</f>
        <v>2</v>
      </c>
      <c r="V111" s="200">
        <f>IF(OR(ISNUMBER('A-5'!V158),ISNUMBER('A-5'!V111),ISNUMBER('A-5'!V205)),SUM('A-5'!V158,'A-5'!V111,'A-5'!V205),IF(OR('A-5'!V158="--",'A-5'!V111="--",'A-5'!V205="--"),"--","-"))</f>
        <v>0</v>
      </c>
      <c r="W111" s="200">
        <f>IF(OR(ISNUMBER('A-5'!W158),ISNUMBER('A-5'!W111),ISNUMBER('A-5'!W205)),SUM('A-5'!W158,'A-5'!W111,'A-5'!W205),IF(OR('A-5'!W158="--",'A-5'!W111="--",'A-5'!W205="--"),"--","-"))</f>
        <v>0</v>
      </c>
      <c r="X111" s="200">
        <f>IF(AND('A-5'!X111="-",'A-5'!X158="-",'A-5'!X205="-"),"-",SUM('A-5'!X111,'A-5'!X158,'A-5'!X205))</f>
        <v>3524</v>
      </c>
    </row>
    <row r="112" spans="1:24" ht="11.25" customHeight="1" x14ac:dyDescent="0.25">
      <c r="A112" s="383">
        <v>1989</v>
      </c>
      <c r="B112" s="200">
        <f>IF(AND('A-5'!B112="-",'A-5'!B159="-",'A-5'!B206="-"),"-",SUM('A-5'!B112,'A-5'!B159,'A-5'!B206))</f>
        <v>7950</v>
      </c>
      <c r="C112" s="200">
        <f>IF(AND('A-5'!C112="-",'A-5'!C159="-",'A-5'!C206="-"),"-",SUM('A-5'!C112,'A-5'!C159,'A-5'!C206))</f>
        <v>12734</v>
      </c>
      <c r="D112" s="200">
        <f>IF(AND('A-5'!D112="-",'A-5'!D159="-",'A-5'!D206="-"),"-",SUM('A-5'!D112,'A-5'!D159,'A-5'!D206))</f>
        <v>42566</v>
      </c>
      <c r="E112" s="200">
        <f>IF(AND('A-5'!E112="-",'A-5'!E159="-",'A-5'!E206="-"),"-",SUM('A-5'!E112,'A-5'!E159,'A-5'!E206))</f>
        <v>6492</v>
      </c>
      <c r="F112" s="200">
        <f>IF(AND('A-5'!F112="-",'A-5'!F159="-",'A-5'!F206="-"),"-",SUM('A-5'!F112,'A-5'!F159,'A-5'!F206))</f>
        <v>16747</v>
      </c>
      <c r="G112" s="200">
        <f>IF(AND('A-5'!G112="-",'A-5'!G159="-",'A-5'!G206="-"),"-",SUM('A-5'!G112,'A-5'!G159,'A-5'!G206))</f>
        <v>18527</v>
      </c>
      <c r="H112" s="200">
        <f>IF(AND('A-5'!H112="-",'A-5'!H159="-",'A-5'!H206="-"),"-",SUM('A-5'!H112,'A-5'!H159,'A-5'!H206))</f>
        <v>13321</v>
      </c>
      <c r="I112" s="200">
        <f>IF(AND('A-5'!I112="-",'A-5'!I159="-",'A-5'!I206="-"),"-",SUM('A-5'!I112,'A-5'!I159,'A-5'!I206))</f>
        <v>12219</v>
      </c>
      <c r="J112" s="200">
        <f>IF(AND('A-5'!J112="-",'A-5'!J159="-",'A-5'!J206="-"),"-",SUM('A-5'!J112,'A-5'!J159,'A-5'!J206))</f>
        <v>3744</v>
      </c>
      <c r="K112" s="200">
        <f>IF(AND('A-5'!K112="-",'A-5'!K159="-",'A-5'!K206="-"),"-",SUM('A-5'!K112,'A-5'!K159,'A-5'!K206))</f>
        <v>2410</v>
      </c>
      <c r="L112" s="200">
        <f>IF(AND('A-5'!L112="-",'A-5'!L159="-",'A-5'!L206="-"),"-",SUM('A-5'!L112,'A-5'!L159,'A-5'!L206))</f>
        <v>136710</v>
      </c>
      <c r="N112" s="200">
        <f>IF(OR(ISNUMBER('A-5'!N159),ISNUMBER('A-5'!N112),ISNUMBER('A-5'!N206)),SUM('A-5'!N159,'A-5'!N112,'A-5'!N206),IF(OR('A-5'!N159="--",'A-5'!N112="--",'A-5'!N206="--"),"--","-"))</f>
        <v>0</v>
      </c>
      <c r="O112" s="200">
        <f>IF(OR(ISNUMBER('A-5'!O159),ISNUMBER('A-5'!O112),ISNUMBER('A-5'!O206)),SUM('A-5'!O159,'A-5'!O112,'A-5'!O206),IF(OR('A-5'!O159="--",'A-5'!O112="--",'A-5'!O206="--"),"--","-"))</f>
        <v>0</v>
      </c>
      <c r="P112" s="200">
        <f>IF(OR(ISNUMBER('A-5'!P159),ISNUMBER('A-5'!P112),ISNUMBER('A-5'!P206)),SUM('A-5'!P159,'A-5'!P112,'A-5'!P206),IF(OR('A-5'!P159="--",'A-5'!P112="--",'A-5'!P206="--"),"--","-"))</f>
        <v>115</v>
      </c>
      <c r="Q112" s="200">
        <f>IF(OR(ISNUMBER('A-5'!Q159),ISNUMBER('A-5'!Q112),ISNUMBER('A-5'!Q206)),SUM('A-5'!Q159,'A-5'!Q112,'A-5'!Q206),IF(OR('A-5'!Q159="--",'A-5'!Q112="--",'A-5'!Q206="--"),"--","-"))</f>
        <v>212</v>
      </c>
      <c r="R112" s="200">
        <f>IF(OR(ISNUMBER('A-5'!R159),ISNUMBER('A-5'!R112),ISNUMBER('A-5'!R206)),SUM('A-5'!R159,'A-5'!R112,'A-5'!R206),IF(OR('A-5'!R159="--",'A-5'!R112="--",'A-5'!R206="--"),"--","-"))</f>
        <v>1688</v>
      </c>
      <c r="S112" s="200">
        <f>IF(OR(ISNUMBER('A-5'!S159),ISNUMBER('A-5'!S112),ISNUMBER('A-5'!S206)),SUM('A-5'!S159,'A-5'!S112,'A-5'!S206),IF(OR('A-5'!S159="--",'A-5'!S112="--",'A-5'!S206="--"),"--","-"))</f>
        <v>2170</v>
      </c>
      <c r="T112" s="200">
        <f>IF(OR(ISNUMBER('A-5'!T159),ISNUMBER('A-5'!T112),ISNUMBER('A-5'!T206)),SUM('A-5'!T159,'A-5'!T112,'A-5'!T206),IF(OR('A-5'!T159="--",'A-5'!T112="--",'A-5'!T206="--"),"--","-"))</f>
        <v>494</v>
      </c>
      <c r="U112" s="200">
        <f>IF(OR(ISNUMBER('A-5'!U159),ISNUMBER('A-5'!U112),ISNUMBER('A-5'!U206)),SUM('A-5'!U159,'A-5'!U112,'A-5'!U206),IF(OR('A-5'!U159="--",'A-5'!U112="--",'A-5'!U206="--"),"--","-"))</f>
        <v>79</v>
      </c>
      <c r="V112" s="200">
        <f>IF(OR(ISNUMBER('A-5'!V159),ISNUMBER('A-5'!V112),ISNUMBER('A-5'!V206)),SUM('A-5'!V159,'A-5'!V112,'A-5'!V206),IF(OR('A-5'!V159="--",'A-5'!V112="--",'A-5'!V206="--"),"--","-"))</f>
        <v>0</v>
      </c>
      <c r="W112" s="200">
        <f>IF(OR(ISNUMBER('A-5'!W159),ISNUMBER('A-5'!W112),ISNUMBER('A-5'!W206)),SUM('A-5'!W159,'A-5'!W112,'A-5'!W206),IF(OR('A-5'!W159="--",'A-5'!W112="--",'A-5'!W206="--"),"--","-"))</f>
        <v>0</v>
      </c>
      <c r="X112" s="200">
        <f>IF(AND('A-5'!X112="-",'A-5'!X159="-",'A-5'!X206="-"),"-",SUM('A-5'!X112,'A-5'!X159,'A-5'!X206))</f>
        <v>4758</v>
      </c>
    </row>
    <row r="113" spans="1:24" ht="11.25" customHeight="1" x14ac:dyDescent="0.25">
      <c r="A113" s="383">
        <v>1990</v>
      </c>
      <c r="B113" s="200">
        <f>IF(AND('A-5'!B113="-",'A-5'!B160="-",'A-5'!B207="-"),"-",SUM('A-5'!B113,'A-5'!B160,'A-5'!B207))</f>
        <v>6690</v>
      </c>
      <c r="C113" s="200">
        <f>IF(AND('A-5'!C113="-",'A-5'!C160="-",'A-5'!C207="-"),"-",SUM('A-5'!C113,'A-5'!C160,'A-5'!C207))</f>
        <v>17599</v>
      </c>
      <c r="D113" s="200">
        <f>IF(AND('A-5'!D113="-",'A-5'!D160="-",'A-5'!D207="-"),"-",SUM('A-5'!D113,'A-5'!D160,'A-5'!D207))</f>
        <v>21645</v>
      </c>
      <c r="E113" s="200">
        <f>IF(AND('A-5'!E113="-",'A-5'!E160="-",'A-5'!E207="-"),"-",SUM('A-5'!E113,'A-5'!E160,'A-5'!E207))</f>
        <v>5039</v>
      </c>
      <c r="F113" s="200">
        <f>IF(AND('A-5'!F113="-",'A-5'!F160="-",'A-5'!F207="-"),"-",SUM('A-5'!F113,'A-5'!F160,'A-5'!F207))</f>
        <v>16518</v>
      </c>
      <c r="G113" s="200">
        <f>IF(AND('A-5'!G113="-",'A-5'!G160="-",'A-5'!G207="-"),"-",SUM('A-5'!G113,'A-5'!G160,'A-5'!G207))</f>
        <v>23409</v>
      </c>
      <c r="H113" s="200">
        <f>IF(AND('A-5'!H113="-",'A-5'!H160="-",'A-5'!H207="-"),"-",SUM('A-5'!H113,'A-5'!H160,'A-5'!H207))</f>
        <v>14660</v>
      </c>
      <c r="I113" s="200">
        <f>IF(AND('A-5'!I113="-",'A-5'!I160="-",'A-5'!I207="-"),"-",SUM('A-5'!I113,'A-5'!I160,'A-5'!I207))</f>
        <v>4984</v>
      </c>
      <c r="J113" s="200">
        <f>IF(AND('A-5'!J113="-",'A-5'!J160="-",'A-5'!J207="-"),"-",SUM('A-5'!J113,'A-5'!J160,'A-5'!J207))</f>
        <v>3756</v>
      </c>
      <c r="K113" s="200">
        <f>IF(AND('A-5'!K113="-",'A-5'!K160="-",'A-5'!K207="-"),"-",SUM('A-5'!K113,'A-5'!K160,'A-5'!K207))</f>
        <v>1703</v>
      </c>
      <c r="L113" s="200">
        <f>IF(AND('A-5'!L113="-",'A-5'!L160="-",'A-5'!L207="-"),"-",SUM('A-5'!L113,'A-5'!L160,'A-5'!L207))</f>
        <v>116003</v>
      </c>
      <c r="N113" s="200">
        <f>IF(OR(ISNUMBER('A-5'!N160),ISNUMBER('A-5'!N113),ISNUMBER('A-5'!N207)),SUM('A-5'!N160,'A-5'!N113,'A-5'!N207),IF(OR('A-5'!N160="--",'A-5'!N113="--",'A-5'!N207="--"),"--","-"))</f>
        <v>0</v>
      </c>
      <c r="O113" s="200">
        <f>IF(OR(ISNUMBER('A-5'!O160),ISNUMBER('A-5'!O113),ISNUMBER('A-5'!O207)),SUM('A-5'!O160,'A-5'!O113,'A-5'!O207),IF(OR('A-5'!O160="--",'A-5'!O113="--",'A-5'!O207="--"),"--","-"))</f>
        <v>0</v>
      </c>
      <c r="P113" s="200">
        <f>IF(OR(ISNUMBER('A-5'!P160),ISNUMBER('A-5'!P113),ISNUMBER('A-5'!P207)),SUM('A-5'!P160,'A-5'!P113,'A-5'!P207),IF(OR('A-5'!P160="--",'A-5'!P113="--",'A-5'!P207="--"),"--","-"))</f>
        <v>144</v>
      </c>
      <c r="Q113" s="200">
        <f>IF(OR(ISNUMBER('A-5'!Q160),ISNUMBER('A-5'!Q113),ISNUMBER('A-5'!Q207)),SUM('A-5'!Q160,'A-5'!Q113,'A-5'!Q207),IF(OR('A-5'!Q160="--",'A-5'!Q113="--",'A-5'!Q207="--"),"--","-"))</f>
        <v>568</v>
      </c>
      <c r="R113" s="200">
        <f>IF(OR(ISNUMBER('A-5'!R160),ISNUMBER('A-5'!R113),ISNUMBER('A-5'!R207)),SUM('A-5'!R160,'A-5'!R113,'A-5'!R207),IF(OR('A-5'!R160="--",'A-5'!R113="--",'A-5'!R207="--"),"--","-"))</f>
        <v>3502</v>
      </c>
      <c r="S113" s="200">
        <f>IF(OR(ISNUMBER('A-5'!S160),ISNUMBER('A-5'!S113),ISNUMBER('A-5'!S207)),SUM('A-5'!S160,'A-5'!S113,'A-5'!S207),IF(OR('A-5'!S160="--",'A-5'!S113="--",'A-5'!S207="--"),"--","-"))</f>
        <v>4416</v>
      </c>
      <c r="T113" s="200">
        <f>IF(OR(ISNUMBER('A-5'!T160),ISNUMBER('A-5'!T113),ISNUMBER('A-5'!T207)),SUM('A-5'!T160,'A-5'!T113,'A-5'!T207),IF(OR('A-5'!T160="--",'A-5'!T113="--",'A-5'!T207="--"),"--","-"))</f>
        <v>2507</v>
      </c>
      <c r="U113" s="200">
        <f>IF(OR(ISNUMBER('A-5'!U160),ISNUMBER('A-5'!U113),ISNUMBER('A-5'!U207)),SUM('A-5'!U160,'A-5'!U113,'A-5'!U207),IF(OR('A-5'!U160="--",'A-5'!U113="--",'A-5'!U207="--"),"--","-"))</f>
        <v>426</v>
      </c>
      <c r="V113" s="200">
        <f>IF(OR(ISNUMBER('A-5'!V160),ISNUMBER('A-5'!V113),ISNUMBER('A-5'!V207)),SUM('A-5'!V160,'A-5'!V113,'A-5'!V207),IF(OR('A-5'!V160="--",'A-5'!V113="--",'A-5'!V207="--"),"--","-"))</f>
        <v>59</v>
      </c>
      <c r="W113" s="200">
        <f>IF(OR(ISNUMBER('A-5'!W160),ISNUMBER('A-5'!W113),ISNUMBER('A-5'!W207)),SUM('A-5'!W160,'A-5'!W113,'A-5'!W207),IF(OR('A-5'!W160="--",'A-5'!W113="--",'A-5'!W207="--"),"--","-"))</f>
        <v>0</v>
      </c>
      <c r="X113" s="200">
        <f>IF(AND('A-5'!X113="-",'A-5'!X160="-",'A-5'!X207="-"),"-",SUM('A-5'!X113,'A-5'!X160,'A-5'!X207))</f>
        <v>11622</v>
      </c>
    </row>
    <row r="114" spans="1:24" ht="11.25" customHeight="1" x14ac:dyDescent="0.25">
      <c r="A114" s="383">
        <v>1991</v>
      </c>
      <c r="B114" s="200">
        <f>IF(AND('A-5'!B114="-",'A-5'!B161="-",'A-5'!B208="-"),"-",SUM('A-5'!B114,'A-5'!B161,'A-5'!B208))</f>
        <v>53</v>
      </c>
      <c r="C114" s="200">
        <f>IF(AND('A-5'!C114="-",'A-5'!C161="-",'A-5'!C208="-"),"-",SUM('A-5'!C114,'A-5'!C161,'A-5'!C208))</f>
        <v>7948</v>
      </c>
      <c r="D114" s="200">
        <f>IF(AND('A-5'!D114="-",'A-5'!D161="-",'A-5'!D208="-"),"-",SUM('A-5'!D114,'A-5'!D161,'A-5'!D208))</f>
        <v>13029</v>
      </c>
      <c r="E114" s="200">
        <f>IF(AND('A-5'!E114="-",'A-5'!E161="-",'A-5'!E208="-"),"-",SUM('A-5'!E114,'A-5'!E161,'A-5'!E208))</f>
        <v>4761</v>
      </c>
      <c r="F114" s="200">
        <f>IF(AND('A-5'!F114="-",'A-5'!F161="-",'A-5'!F208="-"),"-",SUM('A-5'!F114,'A-5'!F161,'A-5'!F208))</f>
        <v>12203</v>
      </c>
      <c r="G114" s="200">
        <f>IF(AND('A-5'!G114="-",'A-5'!G161="-",'A-5'!G208="-"),"-",SUM('A-5'!G114,'A-5'!G161,'A-5'!G208))</f>
        <v>20392</v>
      </c>
      <c r="H114" s="200">
        <f>IF(AND('A-5'!H114="-",'A-5'!H161="-",'A-5'!H208="-"),"-",SUM('A-5'!H114,'A-5'!H161,'A-5'!H208))</f>
        <v>5694</v>
      </c>
      <c r="I114" s="200">
        <f>IF(AND('A-5'!I114="-",'A-5'!I161="-",'A-5'!I208="-"),"-",SUM('A-5'!I114,'A-5'!I161,'A-5'!I208))</f>
        <v>1624</v>
      </c>
      <c r="J114" s="200">
        <f>IF(AND('A-5'!J114="-",'A-5'!J161="-",'A-5'!J208="-"),"-",SUM('A-5'!J114,'A-5'!J161,'A-5'!J208))</f>
        <v>2231</v>
      </c>
      <c r="K114" s="200">
        <f>IF(AND('A-5'!K114="-",'A-5'!K161="-",'A-5'!K208="-"),"-",SUM('A-5'!K114,'A-5'!K161,'A-5'!K208))</f>
        <v>23</v>
      </c>
      <c r="L114" s="200">
        <f>IF(AND('A-5'!L114="-",'A-5'!L161="-",'A-5'!L208="-"),"-",SUM('A-5'!L114,'A-5'!L161,'A-5'!L208))</f>
        <v>67958</v>
      </c>
      <c r="N114" s="200">
        <f>IF(OR(ISNUMBER('A-5'!N161),ISNUMBER('A-5'!N114),ISNUMBER('A-5'!N208)),SUM('A-5'!N161,'A-5'!N114,'A-5'!N208),IF(OR('A-5'!N161="--",'A-5'!N114="--",'A-5'!N208="--"),"--","-"))</f>
        <v>0</v>
      </c>
      <c r="O114" s="200">
        <f>IF(OR(ISNUMBER('A-5'!O161),ISNUMBER('A-5'!O114),ISNUMBER('A-5'!O208)),SUM('A-5'!O161,'A-5'!O114,'A-5'!O208),IF(OR('A-5'!O161="--",'A-5'!O114="--",'A-5'!O208="--"),"--","-"))</f>
        <v>2</v>
      </c>
      <c r="P114" s="200">
        <f>IF(OR(ISNUMBER('A-5'!P161),ISNUMBER('A-5'!P114),ISNUMBER('A-5'!P208)),SUM('A-5'!P161,'A-5'!P114,'A-5'!P208),IF(OR('A-5'!P161="--",'A-5'!P114="--",'A-5'!P208="--"),"--","-"))</f>
        <v>11</v>
      </c>
      <c r="Q114" s="200">
        <f>IF(OR(ISNUMBER('A-5'!Q161),ISNUMBER('A-5'!Q114),ISNUMBER('A-5'!Q208)),SUM('A-5'!Q161,'A-5'!Q114,'A-5'!Q208),IF(OR('A-5'!Q161="--",'A-5'!Q114="--",'A-5'!Q208="--"),"--","-"))</f>
        <v>619</v>
      </c>
      <c r="R114" s="200">
        <f>IF(OR(ISNUMBER('A-5'!R161),ISNUMBER('A-5'!R114),ISNUMBER('A-5'!R208)),SUM('A-5'!R161,'A-5'!R114,'A-5'!R208),IF(OR('A-5'!R161="--",'A-5'!R114="--",'A-5'!R208="--"),"--","-"))</f>
        <v>13125</v>
      </c>
      <c r="S114" s="200">
        <f>IF(OR(ISNUMBER('A-5'!S161),ISNUMBER('A-5'!S114),ISNUMBER('A-5'!S208)),SUM('A-5'!S161,'A-5'!S114,'A-5'!S208),IF(OR('A-5'!S161="--",'A-5'!S114="--",'A-5'!S208="--"),"--","-"))</f>
        <v>13995</v>
      </c>
      <c r="T114" s="200">
        <f>IF(OR(ISNUMBER('A-5'!T161),ISNUMBER('A-5'!T114),ISNUMBER('A-5'!T208)),SUM('A-5'!T161,'A-5'!T114,'A-5'!T208),IF(OR('A-5'!T161="--",'A-5'!T114="--",'A-5'!T208="--"),"--","-"))</f>
        <v>1305</v>
      </c>
      <c r="U114" s="200">
        <f>IF(OR(ISNUMBER('A-5'!U161),ISNUMBER('A-5'!U114),ISNUMBER('A-5'!U208)),SUM('A-5'!U161,'A-5'!U114,'A-5'!U208),IF(OR('A-5'!U161="--",'A-5'!U114="--",'A-5'!U208="--"),"--","-"))</f>
        <v>70</v>
      </c>
      <c r="V114" s="200">
        <f>IF(OR(ISNUMBER('A-5'!V161),ISNUMBER('A-5'!V114),ISNUMBER('A-5'!V208)),SUM('A-5'!V161,'A-5'!V114,'A-5'!V208),IF(OR('A-5'!V161="--",'A-5'!V114="--",'A-5'!V208="--"),"--","-"))</f>
        <v>47</v>
      </c>
      <c r="W114" s="200">
        <f>IF(OR(ISNUMBER('A-5'!W161),ISNUMBER('A-5'!W114),ISNUMBER('A-5'!W208)),SUM('A-5'!W161,'A-5'!W114,'A-5'!W208),IF(OR('A-5'!W161="--",'A-5'!W114="--",'A-5'!W208="--"),"--","-"))</f>
        <v>0</v>
      </c>
      <c r="X114" s="200">
        <f>IF(AND('A-5'!X114="-",'A-5'!X161="-",'A-5'!X208="-"),"-",SUM('A-5'!X114,'A-5'!X161,'A-5'!X208))</f>
        <v>29174</v>
      </c>
    </row>
    <row r="115" spans="1:24" ht="11.25" customHeight="1" x14ac:dyDescent="0.25">
      <c r="A115" s="383">
        <v>1992</v>
      </c>
      <c r="B115" s="200">
        <f>IF(AND('A-5'!B115="-",'A-5'!B162="-",'A-5'!B209="-"),"-",SUM('A-5'!B115,'A-5'!B162,'A-5'!B209))</f>
        <v>473</v>
      </c>
      <c r="C115" s="200">
        <f>IF(AND('A-5'!C115="-",'A-5'!C162="-",'A-5'!C209="-"),"-",SUM('A-5'!C115,'A-5'!C162,'A-5'!C209))</f>
        <v>3407</v>
      </c>
      <c r="D115" s="200">
        <f>IF(AND('A-5'!D115="-",'A-5'!D162="-",'A-5'!D209="-"),"-",SUM('A-5'!D115,'A-5'!D162,'A-5'!D209))</f>
        <v>5410</v>
      </c>
      <c r="E115" s="200">
        <f>IF(AND('A-5'!E115="-",'A-5'!E162="-",'A-5'!E209="-"),"-",SUM('A-5'!E115,'A-5'!E162,'A-5'!E209))</f>
        <v>6325</v>
      </c>
      <c r="F115" s="200">
        <f>IF(AND('A-5'!F115="-",'A-5'!F162="-",'A-5'!F209="-"),"-",SUM('A-5'!F115,'A-5'!F162,'A-5'!F209))</f>
        <v>9460</v>
      </c>
      <c r="G115" s="200">
        <f>IF(AND('A-5'!G115="-",'A-5'!G162="-",'A-5'!G209="-"),"-",SUM('A-5'!G115,'A-5'!G162,'A-5'!G209))</f>
        <v>22101</v>
      </c>
      <c r="H115" s="200">
        <f>IF(AND('A-5'!H115="-",'A-5'!H162="-",'A-5'!H209="-"),"-",SUM('A-5'!H115,'A-5'!H162,'A-5'!H209))</f>
        <v>10106</v>
      </c>
      <c r="I115" s="200">
        <f>IF(AND('A-5'!I115="-",'A-5'!I162="-",'A-5'!I209="-"),"-",SUM('A-5'!I115,'A-5'!I162,'A-5'!I209))</f>
        <v>9924</v>
      </c>
      <c r="J115" s="200">
        <f>IF(AND('A-5'!J115="-",'A-5'!J162="-",'A-5'!J209="-"),"-",SUM('A-5'!J115,'A-5'!J162,'A-5'!J209))</f>
        <v>3322</v>
      </c>
      <c r="K115" s="200">
        <f>IF(AND('A-5'!K115="-",'A-5'!K162="-",'A-5'!K209="-"),"-",SUM('A-5'!K115,'A-5'!K162,'A-5'!K209))</f>
        <v>454</v>
      </c>
      <c r="L115" s="200">
        <f>IF(AND('A-5'!L115="-",'A-5'!L162="-",'A-5'!L209="-"),"-",SUM('A-5'!L115,'A-5'!L162,'A-5'!L209))</f>
        <v>70982</v>
      </c>
      <c r="N115" s="200">
        <f>IF(OR(ISNUMBER('A-5'!N162),ISNUMBER('A-5'!N115),ISNUMBER('A-5'!N209)),SUM('A-5'!N162,'A-5'!N115,'A-5'!N209),IF(OR('A-5'!N162="--",'A-5'!N115="--",'A-5'!N209="--"),"--","-"))</f>
        <v>1</v>
      </c>
      <c r="O115" s="200">
        <f>IF(OR(ISNUMBER('A-5'!O162),ISNUMBER('A-5'!O115),ISNUMBER('A-5'!O209)),SUM('A-5'!O162,'A-5'!O115,'A-5'!O209),IF(OR('A-5'!O162="--",'A-5'!O115="--",'A-5'!O209="--"),"--","-"))</f>
        <v>8</v>
      </c>
      <c r="P115" s="200">
        <f>IF(OR(ISNUMBER('A-5'!P162),ISNUMBER('A-5'!P115),ISNUMBER('A-5'!P209)),SUM('A-5'!P162,'A-5'!P115,'A-5'!P209),IF(OR('A-5'!P162="--",'A-5'!P115="--",'A-5'!P209="--"),"--","-"))</f>
        <v>10</v>
      </c>
      <c r="Q115" s="200">
        <f>IF(OR(ISNUMBER('A-5'!Q162),ISNUMBER('A-5'!Q115),ISNUMBER('A-5'!Q209)),SUM('A-5'!Q162,'A-5'!Q115,'A-5'!Q209),IF(OR('A-5'!Q162="--",'A-5'!Q115="--",'A-5'!Q209="--"),"--","-"))</f>
        <v>388</v>
      </c>
      <c r="R115" s="200">
        <f>IF(OR(ISNUMBER('A-5'!R162),ISNUMBER('A-5'!R115),ISNUMBER('A-5'!R209)),SUM('A-5'!R162,'A-5'!R115,'A-5'!R209),IF(OR('A-5'!R162="--",'A-5'!R115="--",'A-5'!R209="--"),"--","-"))</f>
        <v>446</v>
      </c>
      <c r="S115" s="200">
        <f>IF(OR(ISNUMBER('A-5'!S162),ISNUMBER('A-5'!S115),ISNUMBER('A-5'!S209)),SUM('A-5'!S162,'A-5'!S115,'A-5'!S209),IF(OR('A-5'!S162="--",'A-5'!S115="--",'A-5'!S209="--"),"--","-"))</f>
        <v>3579</v>
      </c>
      <c r="T115" s="200">
        <f>IF(OR(ISNUMBER('A-5'!T162),ISNUMBER('A-5'!T115),ISNUMBER('A-5'!T209)),SUM('A-5'!T162,'A-5'!T115,'A-5'!T209),IF(OR('A-5'!T162="--",'A-5'!T115="--",'A-5'!T209="--"),"--","-"))</f>
        <v>149</v>
      </c>
      <c r="U115" s="200">
        <f>IF(OR(ISNUMBER('A-5'!U162),ISNUMBER('A-5'!U115),ISNUMBER('A-5'!U209)),SUM('A-5'!U162,'A-5'!U115,'A-5'!U209),IF(OR('A-5'!U162="--",'A-5'!U115="--",'A-5'!U209="--"),"--","-"))</f>
        <v>460</v>
      </c>
      <c r="V115" s="200">
        <f>IF(OR(ISNUMBER('A-5'!V162),ISNUMBER('A-5'!V115),ISNUMBER('A-5'!V209)),SUM('A-5'!V162,'A-5'!V115,'A-5'!V209),IF(OR('A-5'!V162="--",'A-5'!V115="--",'A-5'!V209="--"),"--","-"))</f>
        <v>49</v>
      </c>
      <c r="W115" s="200">
        <f>IF(OR(ISNUMBER('A-5'!W162),ISNUMBER('A-5'!W115),ISNUMBER('A-5'!W209)),SUM('A-5'!W162,'A-5'!W115,'A-5'!W209),IF(OR('A-5'!W162="--",'A-5'!W115="--",'A-5'!W209="--"),"--","-"))</f>
        <v>0</v>
      </c>
      <c r="X115" s="200">
        <f>IF(AND('A-5'!X115="-",'A-5'!X162="-",'A-5'!X209="-"),"-",SUM('A-5'!X115,'A-5'!X162,'A-5'!X209))</f>
        <v>5090</v>
      </c>
    </row>
    <row r="116" spans="1:24" ht="11.25" customHeight="1" x14ac:dyDescent="0.25">
      <c r="A116" s="383">
        <v>1993</v>
      </c>
      <c r="B116" s="200">
        <f>IF(AND('A-5'!B116="-",'A-5'!B163="-",'A-5'!B210="-"),"-",SUM('A-5'!B116,'A-5'!B163,'A-5'!B210))</f>
        <v>439</v>
      </c>
      <c r="C116" s="200">
        <f>IF(AND('A-5'!C116="-",'A-5'!C163="-",'A-5'!C210="-"),"-",SUM('A-5'!C116,'A-5'!C163,'A-5'!C210))</f>
        <v>9855</v>
      </c>
      <c r="D116" s="200">
        <f>IF(AND('A-5'!D116="-",'A-5'!D163="-",'A-5'!D210="-"),"-",SUM('A-5'!D116,'A-5'!D163,'A-5'!D210))</f>
        <v>15023</v>
      </c>
      <c r="E116" s="200">
        <f>IF(AND('A-5'!E116="-",'A-5'!E163="-",'A-5'!E210="-"),"-",SUM('A-5'!E116,'A-5'!E163,'A-5'!E210))</f>
        <v>8547</v>
      </c>
      <c r="F116" s="200">
        <f>IF(AND('A-5'!F116="-",'A-5'!F163="-",'A-5'!F210="-"),"-",SUM('A-5'!F116,'A-5'!F163,'A-5'!F210))</f>
        <v>7326</v>
      </c>
      <c r="G116" s="200">
        <f>IF(AND('A-5'!G116="-",'A-5'!G163="-",'A-5'!G210="-"),"-",SUM('A-5'!G116,'A-5'!G163,'A-5'!G210))</f>
        <v>38388</v>
      </c>
      <c r="H116" s="200">
        <f>IF(AND('A-5'!H116="-",'A-5'!H163="-",'A-5'!H210="-"),"-",SUM('A-5'!H116,'A-5'!H163,'A-5'!H210))</f>
        <v>17209</v>
      </c>
      <c r="I116" s="200">
        <f>IF(AND('A-5'!I116="-",'A-5'!I163="-",'A-5'!I210="-"),"-",SUM('A-5'!I116,'A-5'!I163,'A-5'!I210))</f>
        <v>4757</v>
      </c>
      <c r="J116" s="200">
        <f>IF(AND('A-5'!J116="-",'A-5'!J163="-",'A-5'!J210="-"),"-",SUM('A-5'!J116,'A-5'!J163,'A-5'!J210))</f>
        <v>3594</v>
      </c>
      <c r="K116" s="200">
        <f>IF(AND('A-5'!K116="-",'A-5'!K163="-",'A-5'!K210="-"),"-",SUM('A-5'!K116,'A-5'!K163,'A-5'!K210))</f>
        <v>0</v>
      </c>
      <c r="L116" s="200">
        <f>IF(AND('A-5'!L116="-",'A-5'!L163="-",'A-5'!L210="-"),"-",SUM('A-5'!L116,'A-5'!L163,'A-5'!L210))</f>
        <v>105138</v>
      </c>
      <c r="N116" s="200">
        <f>IF(OR(ISNUMBER('A-5'!N163),ISNUMBER('A-5'!N116),ISNUMBER('A-5'!N210)),SUM('A-5'!N163,'A-5'!N116,'A-5'!N210),IF(OR('A-5'!N163="--",'A-5'!N116="--",'A-5'!N210="--"),"--","-"))</f>
        <v>0</v>
      </c>
      <c r="O116" s="200">
        <f>IF(OR(ISNUMBER('A-5'!O163),ISNUMBER('A-5'!O116),ISNUMBER('A-5'!O210)),SUM('A-5'!O163,'A-5'!O116,'A-5'!O210),IF(OR('A-5'!O163="--",'A-5'!O116="--",'A-5'!O210="--"),"--","-"))</f>
        <v>37</v>
      </c>
      <c r="P116" s="200">
        <f>IF(OR(ISNUMBER('A-5'!P163),ISNUMBER('A-5'!P116),ISNUMBER('A-5'!P210)),SUM('A-5'!P163,'A-5'!P116,'A-5'!P210),IF(OR('A-5'!P163="--",'A-5'!P116="--",'A-5'!P210="--"),"--","-"))</f>
        <v>58</v>
      </c>
      <c r="Q116" s="200">
        <f>IF(OR(ISNUMBER('A-5'!Q163),ISNUMBER('A-5'!Q116),ISNUMBER('A-5'!Q210)),SUM('A-5'!Q163,'A-5'!Q116,'A-5'!Q210),IF(OR('A-5'!Q163="--",'A-5'!Q116="--",'A-5'!Q210="--"),"--","-"))</f>
        <v>279</v>
      </c>
      <c r="R116" s="200">
        <f>IF(OR(ISNUMBER('A-5'!R163),ISNUMBER('A-5'!R116),ISNUMBER('A-5'!R210)),SUM('A-5'!R163,'A-5'!R116,'A-5'!R210),IF(OR('A-5'!R163="--",'A-5'!R116="--",'A-5'!R210="--"),"--","-"))</f>
        <v>1491</v>
      </c>
      <c r="S116" s="200">
        <f>IF(OR(ISNUMBER('A-5'!S163),ISNUMBER('A-5'!S116),ISNUMBER('A-5'!S210)),SUM('A-5'!S163,'A-5'!S116,'A-5'!S210),IF(OR('A-5'!S163="--",'A-5'!S116="--",'A-5'!S210="--"),"--","-"))</f>
        <v>11367</v>
      </c>
      <c r="T116" s="200">
        <f>IF(OR(ISNUMBER('A-5'!T163),ISNUMBER('A-5'!T116),ISNUMBER('A-5'!T210)),SUM('A-5'!T163,'A-5'!T116,'A-5'!T210),IF(OR('A-5'!T163="--",'A-5'!T116="--",'A-5'!T210="--"),"--","-"))</f>
        <v>2048</v>
      </c>
      <c r="U116" s="200">
        <f>IF(OR(ISNUMBER('A-5'!U163),ISNUMBER('A-5'!U116),ISNUMBER('A-5'!U210)),SUM('A-5'!U163,'A-5'!U116,'A-5'!U210),IF(OR('A-5'!U163="--",'A-5'!U116="--",'A-5'!U210="--"),"--","-"))</f>
        <v>144</v>
      </c>
      <c r="V116" s="200">
        <f>IF(OR(ISNUMBER('A-5'!V163),ISNUMBER('A-5'!V116),ISNUMBER('A-5'!V210)),SUM('A-5'!V163,'A-5'!V116,'A-5'!V210),IF(OR('A-5'!V163="--",'A-5'!V116="--",'A-5'!V210="--"),"--","-"))</f>
        <v>11</v>
      </c>
      <c r="W116" s="200">
        <f>IF(OR(ISNUMBER('A-5'!W163),ISNUMBER('A-5'!W116),ISNUMBER('A-5'!W210)),SUM('A-5'!W163,'A-5'!W116,'A-5'!W210),IF(OR('A-5'!W163="--",'A-5'!W116="--",'A-5'!W210="--"),"--","-"))</f>
        <v>0</v>
      </c>
      <c r="X116" s="200">
        <f>IF(AND('A-5'!X116="-",'A-5'!X163="-",'A-5'!X210="-"),"-",SUM('A-5'!X116,'A-5'!X163,'A-5'!X210))</f>
        <v>15435</v>
      </c>
    </row>
    <row r="117" spans="1:24" ht="11.25" customHeight="1" x14ac:dyDescent="0.25">
      <c r="A117" s="383">
        <v>1994</v>
      </c>
      <c r="B117" s="200">
        <f>IF(AND('A-5'!B117="-",'A-5'!B164="-",'A-5'!B211="-"),"-",SUM('A-5'!B117,'A-5'!B164,'A-5'!B211))</f>
        <v>1228</v>
      </c>
      <c r="C117" s="200">
        <f>IF(AND('A-5'!C117="-",'A-5'!C164="-",'A-5'!C211="-"),"-",SUM('A-5'!C117,'A-5'!C164,'A-5'!C211))</f>
        <v>7133</v>
      </c>
      <c r="D117" s="200">
        <f>IF(AND('A-5'!D117="-",'A-5'!D164="-",'A-5'!D211="-"),"-",SUM('A-5'!D117,'A-5'!D164,'A-5'!D211))</f>
        <v>16428</v>
      </c>
      <c r="E117" s="200">
        <f>IF(AND('A-5'!E117="-",'A-5'!E164="-",'A-5'!E211="-"),"-",SUM('A-5'!E117,'A-5'!E164,'A-5'!E211))</f>
        <v>12334</v>
      </c>
      <c r="F117" s="200">
        <f>IF(AND('A-5'!F117="-",'A-5'!F164="-",'A-5'!F211="-"),"-",SUM('A-5'!F117,'A-5'!F164,'A-5'!F211))</f>
        <v>35976</v>
      </c>
      <c r="G117" s="200">
        <f>IF(AND('A-5'!G117="-",'A-5'!G164="-",'A-5'!G211="-"),"-",SUM('A-5'!G117,'A-5'!G164,'A-5'!G211))</f>
        <v>54545</v>
      </c>
      <c r="H117" s="200">
        <f>IF(AND('A-5'!H117="-",'A-5'!H164="-",'A-5'!H211="-"),"-",SUM('A-5'!H117,'A-5'!H164,'A-5'!H211))</f>
        <v>26266</v>
      </c>
      <c r="I117" s="200">
        <f>IF(AND('A-5'!I117="-",'A-5'!I164="-",'A-5'!I211="-"),"-",SUM('A-5'!I117,'A-5'!I164,'A-5'!I211))</f>
        <v>14933</v>
      </c>
      <c r="J117" s="200">
        <f>IF(AND('A-5'!J117="-",'A-5'!J164="-",'A-5'!J211="-"),"-",SUM('A-5'!J117,'A-5'!J164,'A-5'!J211))</f>
        <v>10987</v>
      </c>
      <c r="K117" s="60" t="s">
        <v>116</v>
      </c>
      <c r="L117" s="200">
        <f>IF(AND('A-5'!L117="-",'A-5'!L164="-",'A-5'!L211="-"),"-",SUM('A-5'!L117,'A-5'!L164,'A-5'!L211))</f>
        <v>179830</v>
      </c>
      <c r="N117" s="200">
        <f>IF(OR(ISNUMBER('A-5'!N164),ISNUMBER('A-5'!N117),ISNUMBER('A-5'!N211)),SUM('A-5'!N164,'A-5'!N117,'A-5'!N211),IF(OR('A-5'!N164="--",'A-5'!N117="--",'A-5'!N211="--"),"--","-"))</f>
        <v>0</v>
      </c>
      <c r="O117" s="200">
        <f>IF(OR(ISNUMBER('A-5'!O164),ISNUMBER('A-5'!O117),ISNUMBER('A-5'!O211)),SUM('A-5'!O164,'A-5'!O117,'A-5'!O211),IF(OR('A-5'!O164="--",'A-5'!O117="--",'A-5'!O211="--"),"--","-"))</f>
        <v>0</v>
      </c>
      <c r="P117" s="200">
        <f>IF(OR(ISNUMBER('A-5'!P164),ISNUMBER('A-5'!P117),ISNUMBER('A-5'!P211)),SUM('A-5'!P164,'A-5'!P117,'A-5'!P211),IF(OR('A-5'!P164="--",'A-5'!P117="--",'A-5'!P211="--"),"--","-"))</f>
        <v>20</v>
      </c>
      <c r="Q117" s="200">
        <f>IF(OR(ISNUMBER('A-5'!Q164),ISNUMBER('A-5'!Q117),ISNUMBER('A-5'!Q211)),SUM('A-5'!Q164,'A-5'!Q117,'A-5'!Q211),IF(OR('A-5'!Q164="--",'A-5'!Q117="--",'A-5'!Q211="--"),"--","-"))</f>
        <v>7</v>
      </c>
      <c r="R117" s="200">
        <f>IF(OR(ISNUMBER('A-5'!R164),ISNUMBER('A-5'!R117),ISNUMBER('A-5'!R211)),SUM('A-5'!R164,'A-5'!R117,'A-5'!R211),IF(OR('A-5'!R164="--",'A-5'!R117="--",'A-5'!R211="--"),"--","-"))</f>
        <v>228</v>
      </c>
      <c r="S117" s="200">
        <f>IF(OR(ISNUMBER('A-5'!S164),ISNUMBER('A-5'!S117),ISNUMBER('A-5'!S211)),SUM('A-5'!S164,'A-5'!S117,'A-5'!S211),IF(OR('A-5'!S164="--",'A-5'!S117="--",'A-5'!S211="--"),"--","-"))</f>
        <v>110</v>
      </c>
      <c r="T117" s="200">
        <f>IF(OR(ISNUMBER('A-5'!T164),ISNUMBER('A-5'!T117),ISNUMBER('A-5'!T211)),SUM('A-5'!T164,'A-5'!T117,'A-5'!T211),IF(OR('A-5'!T164="--",'A-5'!T117="--",'A-5'!T211="--"),"--","-"))</f>
        <v>43</v>
      </c>
      <c r="U117" s="200">
        <f>IF(OR(ISNUMBER('A-5'!U164),ISNUMBER('A-5'!U117),ISNUMBER('A-5'!U211)),SUM('A-5'!U164,'A-5'!U117,'A-5'!U211),IF(OR('A-5'!U164="--",'A-5'!U117="--",'A-5'!U211="--"),"--","-"))</f>
        <v>11</v>
      </c>
      <c r="V117" s="200">
        <f>IF(OR(ISNUMBER('A-5'!V164),ISNUMBER('A-5'!V117),ISNUMBER('A-5'!V211)),SUM('A-5'!V164,'A-5'!V117,'A-5'!V211),IF(OR('A-5'!V164="--",'A-5'!V117="--",'A-5'!V211="--"),"--","-"))</f>
        <v>8</v>
      </c>
      <c r="W117" s="200" t="str">
        <f>IF(OR(ISNUMBER('A-5'!W164),ISNUMBER('A-5'!W117),ISNUMBER('A-5'!W211)),SUM('A-5'!W164,'A-5'!W117,'A-5'!W211),IF(OR('A-5'!W164="--",'A-5'!W117="--",'A-5'!W211="--"),"--","-"))</f>
        <v>--</v>
      </c>
      <c r="X117" s="200">
        <f>IF(AND('A-5'!X117="-",'A-5'!X164="-",'A-5'!X211="-"),"-",SUM('A-5'!X117,'A-5'!X164,'A-5'!X211))</f>
        <v>427</v>
      </c>
    </row>
    <row r="118" spans="1:24" ht="11.25" customHeight="1" x14ac:dyDescent="0.25">
      <c r="A118" s="383">
        <v>1995</v>
      </c>
      <c r="B118" s="200">
        <f>IF(AND('A-5'!B118="-",'A-5'!B165="-",'A-5'!B212="-"),"-",SUM('A-5'!B118,'A-5'!B165,'A-5'!B212))</f>
        <v>229</v>
      </c>
      <c r="C118" s="200">
        <f>IF(AND('A-5'!C118="-",'A-5'!C165="-",'A-5'!C212="-"),"-",SUM('A-5'!C118,'A-5'!C165,'A-5'!C212))</f>
        <v>27335</v>
      </c>
      <c r="D118" s="200">
        <f>IF(AND('A-5'!D118="-",'A-5'!D165="-",'A-5'!D212="-"),"-",SUM('A-5'!D118,'A-5'!D165,'A-5'!D212))</f>
        <v>57929</v>
      </c>
      <c r="E118" s="200">
        <f>IF(AND('A-5'!E118="-",'A-5'!E165="-",'A-5'!E212="-"),"-",SUM('A-5'!E118,'A-5'!E165,'A-5'!E212))</f>
        <v>45836</v>
      </c>
      <c r="F118" s="200">
        <f>IF(AND('A-5'!F118="-",'A-5'!F165="-",'A-5'!F212="-"),"-",SUM('A-5'!F118,'A-5'!F165,'A-5'!F212))</f>
        <v>73351</v>
      </c>
      <c r="G118" s="200">
        <f>IF(AND('A-5'!G118="-",'A-5'!G165="-",'A-5'!G212="-"),"-",SUM('A-5'!G118,'A-5'!G165,'A-5'!G212))</f>
        <v>133651</v>
      </c>
      <c r="H118" s="200">
        <f>IF(AND('A-5'!H118="-",'A-5'!H165="-",'A-5'!H212="-"),"-",SUM('A-5'!H118,'A-5'!H165,'A-5'!H212))</f>
        <v>29762</v>
      </c>
      <c r="I118" s="200">
        <f>IF(AND('A-5'!I118="-",'A-5'!I165="-",'A-5'!I212="-"),"-",SUM('A-5'!I118,'A-5'!I165,'A-5'!I212))</f>
        <v>13388</v>
      </c>
      <c r="J118" s="200">
        <f>IF(AND('A-5'!J118="-",'A-5'!J165="-",'A-5'!J212="-"),"-",SUM('A-5'!J118,'A-5'!J165,'A-5'!J212))</f>
        <v>2119</v>
      </c>
      <c r="K118" s="60" t="s">
        <v>116</v>
      </c>
      <c r="L118" s="200">
        <f>IF(AND('A-5'!L118="-",'A-5'!L165="-",'A-5'!L212="-"),"-",SUM('A-5'!L118,'A-5'!L165,'A-5'!L212))</f>
        <v>383600</v>
      </c>
      <c r="N118" s="200">
        <f>IF(OR(ISNUMBER('A-5'!N165),ISNUMBER('A-5'!N118),ISNUMBER('A-5'!N212)),SUM('A-5'!N165,'A-5'!N118,'A-5'!N212),IF(OR('A-5'!N165="--",'A-5'!N118="--",'A-5'!N212="--"),"--","-"))</f>
        <v>0</v>
      </c>
      <c r="O118" s="200">
        <f>IF(OR(ISNUMBER('A-5'!O165),ISNUMBER('A-5'!O118),ISNUMBER('A-5'!O212)),SUM('A-5'!O165,'A-5'!O118,'A-5'!O212),IF(OR('A-5'!O165="--",'A-5'!O118="--",'A-5'!O212="--"),"--","-"))</f>
        <v>0</v>
      </c>
      <c r="P118" s="200">
        <f>IF(OR(ISNUMBER('A-5'!P165),ISNUMBER('A-5'!P118),ISNUMBER('A-5'!P212)),SUM('A-5'!P165,'A-5'!P118,'A-5'!P212),IF(OR('A-5'!P165="--",'A-5'!P118="--",'A-5'!P212="--"),"--","-"))</f>
        <v>16</v>
      </c>
      <c r="Q118" s="200">
        <f>IF(OR(ISNUMBER('A-5'!Q165),ISNUMBER('A-5'!Q118),ISNUMBER('A-5'!Q212)),SUM('A-5'!Q165,'A-5'!Q118,'A-5'!Q212),IF(OR('A-5'!Q165="--",'A-5'!Q118="--",'A-5'!Q212="--"),"--","-"))</f>
        <v>6</v>
      </c>
      <c r="R118" s="200">
        <f>IF(OR(ISNUMBER('A-5'!R165),ISNUMBER('A-5'!R118),ISNUMBER('A-5'!R212)),SUM('A-5'!R165,'A-5'!R118,'A-5'!R212),IF(OR('A-5'!R165="--",'A-5'!R118="--",'A-5'!R212="--"),"--","-"))</f>
        <v>349</v>
      </c>
      <c r="S118" s="200">
        <f>IF(OR(ISNUMBER('A-5'!S165),ISNUMBER('A-5'!S118),ISNUMBER('A-5'!S212)),SUM('A-5'!S165,'A-5'!S118,'A-5'!S212),IF(OR('A-5'!S165="--",'A-5'!S118="--",'A-5'!S212="--"),"--","-"))</f>
        <v>143</v>
      </c>
      <c r="T118" s="200">
        <f>IF(OR(ISNUMBER('A-5'!T165),ISNUMBER('A-5'!T118),ISNUMBER('A-5'!T212)),SUM('A-5'!T165,'A-5'!T118,'A-5'!T212),IF(OR('A-5'!T165="--",'A-5'!T118="--",'A-5'!T212="--"),"--","-"))</f>
        <v>121</v>
      </c>
      <c r="U118" s="200">
        <f>IF(OR(ISNUMBER('A-5'!U165),ISNUMBER('A-5'!U118),ISNUMBER('A-5'!U212)),SUM('A-5'!U165,'A-5'!U118,'A-5'!U212),IF(OR('A-5'!U165="--",'A-5'!U118="--",'A-5'!U212="--"),"--","-"))</f>
        <v>26</v>
      </c>
      <c r="V118" s="200">
        <f>IF(OR(ISNUMBER('A-5'!V165),ISNUMBER('A-5'!V118),ISNUMBER('A-5'!V212)),SUM('A-5'!V165,'A-5'!V118,'A-5'!V212),IF(OR('A-5'!V165="--",'A-5'!V118="--",'A-5'!V212="--"),"--","-"))</f>
        <v>9</v>
      </c>
      <c r="W118" s="200" t="str">
        <f>IF(OR(ISNUMBER('A-5'!W165),ISNUMBER('A-5'!W118),ISNUMBER('A-5'!W212)),SUM('A-5'!W165,'A-5'!W118,'A-5'!W212),IF(OR('A-5'!W165="--",'A-5'!W118="--",'A-5'!W212="--"),"--","-"))</f>
        <v>--</v>
      </c>
      <c r="X118" s="200">
        <f>IF(AND('A-5'!X118="-",'A-5'!X165="-",'A-5'!X212="-"),"-",SUM('A-5'!X118,'A-5'!X165,'A-5'!X212))</f>
        <v>670</v>
      </c>
    </row>
    <row r="119" spans="1:24" ht="11.25" customHeight="1" x14ac:dyDescent="0.25">
      <c r="A119" s="383">
        <v>1996</v>
      </c>
      <c r="B119" s="200">
        <f>IF(AND('A-5'!B119="-",'A-5'!B166="-",'A-5'!B213="-"),"-",SUM('A-5'!B119,'A-5'!B166,'A-5'!B213))</f>
        <v>11</v>
      </c>
      <c r="C119" s="200">
        <f>IF(AND('A-5'!C119="-",'A-5'!C166="-",'A-5'!C213="-"),"-",SUM('A-5'!C119,'A-5'!C166,'A-5'!C213))</f>
        <v>31966</v>
      </c>
      <c r="D119" s="200">
        <f>IF(AND('A-5'!D119="-",'A-5'!D166="-",'A-5'!D213="-"),"-",SUM('A-5'!D119,'A-5'!D166,'A-5'!D213))</f>
        <v>31658</v>
      </c>
      <c r="E119" s="200">
        <f>IF(AND('A-5'!E119="-",'A-5'!E166="-",'A-5'!E213="-"),"-",SUM('A-5'!E119,'A-5'!E166,'A-5'!E213))</f>
        <v>13223</v>
      </c>
      <c r="F119" s="200">
        <f>IF(AND('A-5'!F119="-",'A-5'!F166="-",'A-5'!F213="-"),"-",SUM('A-5'!F119,'A-5'!F166,'A-5'!F213))</f>
        <v>27212</v>
      </c>
      <c r="G119" s="200">
        <f>IF(AND('A-5'!G119="-",'A-5'!G166="-",'A-5'!G213="-"),"-",SUM('A-5'!G119,'A-5'!G166,'A-5'!G213))</f>
        <v>32339</v>
      </c>
      <c r="H119" s="200">
        <f>IF(AND('A-5'!H119="-",'A-5'!H166="-",'A-5'!H213="-"),"-",SUM('A-5'!H119,'A-5'!H166,'A-5'!H213))</f>
        <v>11163</v>
      </c>
      <c r="I119" s="200">
        <f>IF(AND('A-5'!I119="-",'A-5'!I166="-",'A-5'!I213="-"),"-",SUM('A-5'!I119,'A-5'!I166,'A-5'!I213))</f>
        <v>4371</v>
      </c>
      <c r="J119" s="200">
        <f>IF(AND('A-5'!J119="-",'A-5'!J166="-",'A-5'!J213="-"),"-",SUM('A-5'!J119,'A-5'!J166,'A-5'!J213))</f>
        <v>1342</v>
      </c>
      <c r="K119" s="60" t="s">
        <v>116</v>
      </c>
      <c r="L119" s="200">
        <f>IF(AND('A-5'!L119="-",'A-5'!L166="-",'A-5'!L213="-"),"-",SUM('A-5'!L119,'A-5'!L166,'A-5'!L213))</f>
        <v>153285</v>
      </c>
      <c r="N119" s="200" t="str">
        <f>IF(OR(ISNUMBER('A-5'!N166),ISNUMBER('A-5'!N119),ISNUMBER('A-5'!N213)),SUM('A-5'!N166,'A-5'!N119,'A-5'!N213),IF(OR('A-5'!N166="--",'A-5'!N119="--",'A-5'!N213="--"),"--","-"))</f>
        <v>-</v>
      </c>
      <c r="O119" s="200" t="str">
        <f>IF(OR(ISNUMBER('A-5'!O166),ISNUMBER('A-5'!O119),ISNUMBER('A-5'!O213)),SUM('A-5'!O166,'A-5'!O119,'A-5'!O213),IF(OR('A-5'!O166="--",'A-5'!O119="--",'A-5'!O213="--"),"--","-"))</f>
        <v>-</v>
      </c>
      <c r="P119" s="200">
        <f>IF(OR(ISNUMBER('A-5'!P166),ISNUMBER('A-5'!P119),ISNUMBER('A-5'!P213)),SUM('A-5'!P166,'A-5'!P119,'A-5'!P213),IF(OR('A-5'!P166="--",'A-5'!P119="--",'A-5'!P213="--"),"--","-"))</f>
        <v>3</v>
      </c>
      <c r="Q119" s="200">
        <f>IF(OR(ISNUMBER('A-5'!Q166),ISNUMBER('A-5'!Q119),ISNUMBER('A-5'!Q213)),SUM('A-5'!Q166,'A-5'!Q119,'A-5'!Q213),IF(OR('A-5'!Q166="--",'A-5'!Q119="--",'A-5'!Q213="--"),"--","-"))</f>
        <v>2</v>
      </c>
      <c r="R119" s="200">
        <f>IF(OR(ISNUMBER('A-5'!R166),ISNUMBER('A-5'!R119),ISNUMBER('A-5'!R213)),SUM('A-5'!R166,'A-5'!R119,'A-5'!R213),IF(OR('A-5'!R166="--",'A-5'!R119="--",'A-5'!R213="--"),"--","-"))</f>
        <v>187</v>
      </c>
      <c r="S119" s="200">
        <f>IF(OR(ISNUMBER('A-5'!S166),ISNUMBER('A-5'!S119),ISNUMBER('A-5'!S213)),SUM('A-5'!S166,'A-5'!S119,'A-5'!S213),IF(OR('A-5'!S166="--",'A-5'!S119="--",'A-5'!S213="--"),"--","-"))</f>
        <v>44</v>
      </c>
      <c r="T119" s="200">
        <f>IF(OR(ISNUMBER('A-5'!T166),ISNUMBER('A-5'!T119),ISNUMBER('A-5'!T213)),SUM('A-5'!T166,'A-5'!T119,'A-5'!T213),IF(OR('A-5'!T166="--",'A-5'!T119="--",'A-5'!T213="--"),"--","-"))</f>
        <v>124</v>
      </c>
      <c r="U119" s="200">
        <f>IF(OR(ISNUMBER('A-5'!U166),ISNUMBER('A-5'!U119),ISNUMBER('A-5'!U213)),SUM('A-5'!U166,'A-5'!U119,'A-5'!U213),IF(OR('A-5'!U166="--",'A-5'!U119="--",'A-5'!U213="--"),"--","-"))</f>
        <v>30</v>
      </c>
      <c r="V119" s="200" t="str">
        <f>IF(OR(ISNUMBER('A-5'!V166),ISNUMBER('A-5'!V119),ISNUMBER('A-5'!V213)),SUM('A-5'!V166,'A-5'!V119,'A-5'!V213),IF(OR('A-5'!V166="--",'A-5'!V119="--",'A-5'!V213="--"),"--","-"))</f>
        <v>-</v>
      </c>
      <c r="W119" s="200" t="str">
        <f>IF(OR(ISNUMBER('A-5'!W166),ISNUMBER('A-5'!W119),ISNUMBER('A-5'!W213)),SUM('A-5'!W166,'A-5'!W119,'A-5'!W213),IF(OR('A-5'!W166="--",'A-5'!W119="--",'A-5'!W213="--"),"--","-"))</f>
        <v>-</v>
      </c>
      <c r="X119" s="200">
        <f>IF(AND('A-5'!X119="-",'A-5'!X166="-",'A-5'!X213="-"),"-",SUM('A-5'!X119,'A-5'!X166,'A-5'!X213))</f>
        <v>390</v>
      </c>
    </row>
    <row r="120" spans="1:24" ht="11.25" customHeight="1" x14ac:dyDescent="0.25">
      <c r="A120" s="383">
        <v>1997</v>
      </c>
      <c r="B120" s="60" t="s">
        <v>116</v>
      </c>
      <c r="C120" s="200">
        <f>IF(AND('A-5'!C120="-",'A-5'!C167="-",'A-5'!C214="-"),"-",SUM('A-5'!C120,'A-5'!C167,'A-5'!C214))</f>
        <v>20090</v>
      </c>
      <c r="D120" s="200">
        <f>IF(AND('A-5'!D120="-",'A-5'!D167="-",'A-5'!D214="-"),"-",SUM('A-5'!D120,'A-5'!D167,'A-5'!D214))</f>
        <v>26939</v>
      </c>
      <c r="E120" s="200">
        <f>IF(AND('A-5'!E120="-",'A-5'!E167="-",'A-5'!E214="-"),"-",SUM('A-5'!E120,'A-5'!E167,'A-5'!E214))</f>
        <v>25745</v>
      </c>
      <c r="F120" s="200">
        <f>IF(AND('A-5'!F120="-",'A-5'!F167="-",'A-5'!F214="-"),"-",SUM('A-5'!F120,'A-5'!F167,'A-5'!F214))</f>
        <v>45656</v>
      </c>
      <c r="G120" s="200">
        <f>IF(AND('A-5'!G120="-",'A-5'!G167="-",'A-5'!G214="-"),"-",SUM('A-5'!G120,'A-5'!G167,'A-5'!G214))</f>
        <v>72545</v>
      </c>
      <c r="H120" s="200">
        <f>IF(AND('A-5'!H120="-",'A-5'!H167="-",'A-5'!H214="-"),"-",SUM('A-5'!H120,'A-5'!H167,'A-5'!H214))</f>
        <v>23558</v>
      </c>
      <c r="I120" s="200">
        <f>IF(AND('A-5'!I120="-",'A-5'!I167="-",'A-5'!I214="-"),"-",SUM('A-5'!I120,'A-5'!I167,'A-5'!I214))</f>
        <v>3010</v>
      </c>
      <c r="J120" s="200">
        <f>IF(AND('A-5'!J120="-",'A-5'!J167="-",'A-5'!J214="-"),"-",SUM('A-5'!J120,'A-5'!J167,'A-5'!J214))</f>
        <v>2384</v>
      </c>
      <c r="K120" s="200">
        <f>IF(AND('A-5'!K120="-",'A-5'!K167="-",'A-5'!K214="-"),"-",SUM('A-5'!K120,'A-5'!K167,'A-5'!K214))</f>
        <v>58</v>
      </c>
      <c r="L120" s="200">
        <f>IF(AND('A-5'!L120="-",'A-5'!L167="-",'A-5'!L214="-"),"-",SUM('A-5'!L120,'A-5'!L167,'A-5'!L214))</f>
        <v>219985</v>
      </c>
      <c r="N120" s="200" t="str">
        <f>IF(OR(ISNUMBER('A-5'!N167),ISNUMBER('A-5'!N120),ISNUMBER('A-5'!N214)),SUM('A-5'!N167,'A-5'!N120,'A-5'!N214),IF(OR('A-5'!N167="--",'A-5'!N120="--",'A-5'!N214="--"),"--","-"))</f>
        <v>-</v>
      </c>
      <c r="O120" s="200" t="str">
        <f>IF(OR(ISNUMBER('A-5'!O167),ISNUMBER('A-5'!O120),ISNUMBER('A-5'!O214)),SUM('A-5'!O167,'A-5'!O120,'A-5'!O214),IF(OR('A-5'!O167="--",'A-5'!O120="--",'A-5'!O214="--"),"--","-"))</f>
        <v>-</v>
      </c>
      <c r="P120" s="200" t="str">
        <f>IF(OR(ISNUMBER('A-5'!P167),ISNUMBER('A-5'!P120),ISNUMBER('A-5'!P214)),SUM('A-5'!P167,'A-5'!P120,'A-5'!P214),IF(OR('A-5'!P167="--",'A-5'!P120="--",'A-5'!P214="--"),"--","-"))</f>
        <v>-</v>
      </c>
      <c r="Q120" s="200">
        <f>IF(OR(ISNUMBER('A-5'!Q167),ISNUMBER('A-5'!Q120),ISNUMBER('A-5'!Q214)),SUM('A-5'!Q167,'A-5'!Q120,'A-5'!Q214),IF(OR('A-5'!Q167="--",'A-5'!Q120="--",'A-5'!Q214="--"),"--","-"))</f>
        <v>18</v>
      </c>
      <c r="R120" s="200">
        <f>IF(OR(ISNUMBER('A-5'!R167),ISNUMBER('A-5'!R120),ISNUMBER('A-5'!R214)),SUM('A-5'!R167,'A-5'!R120,'A-5'!R214),IF(OR('A-5'!R167="--",'A-5'!R120="--",'A-5'!R214="--"),"--","-"))</f>
        <v>30</v>
      </c>
      <c r="S120" s="200">
        <f>IF(OR(ISNUMBER('A-5'!S167),ISNUMBER('A-5'!S120),ISNUMBER('A-5'!S214)),SUM('A-5'!S167,'A-5'!S120,'A-5'!S214),IF(OR('A-5'!S167="--",'A-5'!S120="--",'A-5'!S214="--"),"--","-"))</f>
        <v>203</v>
      </c>
      <c r="T120" s="200">
        <f>IF(OR(ISNUMBER('A-5'!T167),ISNUMBER('A-5'!T120),ISNUMBER('A-5'!T214)),SUM('A-5'!T167,'A-5'!T120,'A-5'!T214),IF(OR('A-5'!T167="--",'A-5'!T120="--",'A-5'!T214="--"),"--","-"))</f>
        <v>17</v>
      </c>
      <c r="U120" s="200">
        <f>IF(OR(ISNUMBER('A-5'!U167),ISNUMBER('A-5'!U120),ISNUMBER('A-5'!U214)),SUM('A-5'!U167,'A-5'!U120,'A-5'!U214),IF(OR('A-5'!U167="--",'A-5'!U120="--",'A-5'!U214="--"),"--","-"))</f>
        <v>17</v>
      </c>
      <c r="V120" s="200" t="str">
        <f>IF(OR(ISNUMBER('A-5'!V167),ISNUMBER('A-5'!V120),ISNUMBER('A-5'!V214)),SUM('A-5'!V167,'A-5'!V120,'A-5'!V214),IF(OR('A-5'!V167="--",'A-5'!V120="--",'A-5'!V214="--"),"--","-"))</f>
        <v>-</v>
      </c>
      <c r="W120" s="200" t="str">
        <f>IF(OR(ISNUMBER('A-5'!W167),ISNUMBER('A-5'!W120),ISNUMBER('A-5'!W214)),SUM('A-5'!W167,'A-5'!W120,'A-5'!W214),IF(OR('A-5'!W167="--",'A-5'!W120="--",'A-5'!W214="--"),"--","-"))</f>
        <v>-</v>
      </c>
      <c r="X120" s="200">
        <f>IF(AND('A-5'!X120="-",'A-5'!X167="-",'A-5'!X214="-"),"-",SUM('A-5'!X120,'A-5'!X167,'A-5'!X214))</f>
        <v>285</v>
      </c>
    </row>
    <row r="121" spans="1:24" ht="11.25" customHeight="1" x14ac:dyDescent="0.25">
      <c r="A121" s="383">
        <v>1998</v>
      </c>
      <c r="B121" s="60" t="s">
        <v>116</v>
      </c>
      <c r="C121" s="200">
        <f>IF(AND('A-5'!C121="-",'A-5'!C168="-",'A-5'!C215="-"),"-",SUM('A-5'!C121,'A-5'!C168,'A-5'!C215))</f>
        <v>2989</v>
      </c>
      <c r="D121" s="200">
        <f>IF(AND('A-5'!D121="-",'A-5'!D168="-",'A-5'!D215="-"),"-",SUM('A-5'!D121,'A-5'!D168,'A-5'!D215))</f>
        <v>13130</v>
      </c>
      <c r="E121" s="200">
        <f>IF(AND('A-5'!E121="-",'A-5'!E168="-",'A-5'!E215="-"),"-",SUM('A-5'!E121,'A-5'!E168,'A-5'!E215))</f>
        <v>15270</v>
      </c>
      <c r="F121" s="200">
        <f>IF(AND('A-5'!F121="-",'A-5'!F168="-",'A-5'!F215="-"),"-",SUM('A-5'!F121,'A-5'!F168,'A-5'!F215))</f>
        <v>23741</v>
      </c>
      <c r="G121" s="200">
        <f>IF(AND('A-5'!G121="-",'A-5'!G168="-",'A-5'!G215="-"),"-",SUM('A-5'!G121,'A-5'!G168,'A-5'!G215))</f>
        <v>37085</v>
      </c>
      <c r="H121" s="200">
        <f>IF(AND('A-5'!H121="-",'A-5'!H168="-",'A-5'!H215="-"),"-",SUM('A-5'!H121,'A-5'!H168,'A-5'!H215))</f>
        <v>20675</v>
      </c>
      <c r="I121" s="200">
        <f>IF(AND('A-5'!I121="-",'A-5'!I168="-",'A-5'!I215="-"),"-",SUM('A-5'!I121,'A-5'!I168,'A-5'!I215))</f>
        <v>4421</v>
      </c>
      <c r="J121" s="200">
        <f>IF(AND('A-5'!J121="-",'A-5'!J168="-",'A-5'!J215="-"),"-",SUM('A-5'!J121,'A-5'!J168,'A-5'!J215))</f>
        <v>1789</v>
      </c>
      <c r="K121" s="60" t="s">
        <v>116</v>
      </c>
      <c r="L121" s="200">
        <f>IF(AND('A-5'!L121="-",'A-5'!L168="-",'A-5'!L215="-"),"-",SUM('A-5'!L121,'A-5'!L168,'A-5'!L215))</f>
        <v>119100</v>
      </c>
      <c r="N121" s="200" t="str">
        <f>IF(OR(ISNUMBER('A-5'!N168),ISNUMBER('A-5'!N121),ISNUMBER('A-5'!N215)),SUM('A-5'!N168,'A-5'!N121,'A-5'!N215),IF(OR('A-5'!N168="--",'A-5'!N121="--",'A-5'!N215="--"),"--","-"))</f>
        <v>-</v>
      </c>
      <c r="O121" s="200" t="str">
        <f>IF(OR(ISNUMBER('A-5'!O168),ISNUMBER('A-5'!O121),ISNUMBER('A-5'!O215)),SUM('A-5'!O168,'A-5'!O121,'A-5'!O215),IF(OR('A-5'!O168="--",'A-5'!O121="--",'A-5'!O215="--"),"--","-"))</f>
        <v>-</v>
      </c>
      <c r="P121" s="200" t="str">
        <f>IF(OR(ISNUMBER('A-5'!P168),ISNUMBER('A-5'!P121),ISNUMBER('A-5'!P215)),SUM('A-5'!P168,'A-5'!P121,'A-5'!P215),IF(OR('A-5'!P168="--",'A-5'!P121="--",'A-5'!P215="--"),"--","-"))</f>
        <v>-</v>
      </c>
      <c r="Q121" s="200" t="str">
        <f>IF(OR(ISNUMBER('A-5'!Q168),ISNUMBER('A-5'!Q121),ISNUMBER('A-5'!Q215)),SUM('A-5'!Q168,'A-5'!Q121,'A-5'!Q215),IF(OR('A-5'!Q168="--",'A-5'!Q121="--",'A-5'!Q215="--"),"--","-"))</f>
        <v>-</v>
      </c>
      <c r="R121" s="200">
        <f>IF(OR(ISNUMBER('A-5'!R168),ISNUMBER('A-5'!R121),ISNUMBER('A-5'!R215)),SUM('A-5'!R168,'A-5'!R121,'A-5'!R215),IF(OR('A-5'!R168="--",'A-5'!R121="--",'A-5'!R215="--"),"--","-"))</f>
        <v>12</v>
      </c>
      <c r="S121" s="200">
        <f>IF(OR(ISNUMBER('A-5'!S168),ISNUMBER('A-5'!S121),ISNUMBER('A-5'!S215)),SUM('A-5'!S168,'A-5'!S121,'A-5'!S215),IF(OR('A-5'!S168="--",'A-5'!S121="--",'A-5'!S215="--"),"--","-"))</f>
        <v>21</v>
      </c>
      <c r="T121" s="200">
        <f>IF(OR(ISNUMBER('A-5'!T168),ISNUMBER('A-5'!T121),ISNUMBER('A-5'!T215)),SUM('A-5'!T168,'A-5'!T121,'A-5'!T215),IF(OR('A-5'!T168="--",'A-5'!T121="--",'A-5'!T215="--"),"--","-"))</f>
        <v>7</v>
      </c>
      <c r="U121" s="200" t="str">
        <f>IF(OR(ISNUMBER('A-5'!U168),ISNUMBER('A-5'!U121),ISNUMBER('A-5'!U215)),SUM('A-5'!U168,'A-5'!U121,'A-5'!U215),IF(OR('A-5'!U168="--",'A-5'!U121="--",'A-5'!U215="--"),"--","-"))</f>
        <v>-</v>
      </c>
      <c r="V121" s="200" t="str">
        <f>IF(OR(ISNUMBER('A-5'!V168),ISNUMBER('A-5'!V121),ISNUMBER('A-5'!V215)),SUM('A-5'!V168,'A-5'!V121,'A-5'!V215),IF(OR('A-5'!V168="--",'A-5'!V121="--",'A-5'!V215="--"),"--","-"))</f>
        <v>-</v>
      </c>
      <c r="W121" s="200" t="str">
        <f>IF(OR(ISNUMBER('A-5'!W168),ISNUMBER('A-5'!W121),ISNUMBER('A-5'!W215)),SUM('A-5'!W168,'A-5'!W121,'A-5'!W215),IF(OR('A-5'!W168="--",'A-5'!W121="--",'A-5'!W215="--"),"--","-"))</f>
        <v>-</v>
      </c>
      <c r="X121" s="200">
        <f>IF(AND('A-5'!X121="-",'A-5'!X168="-",'A-5'!X215="-"),"-",SUM('A-5'!X121,'A-5'!X168,'A-5'!X215))</f>
        <v>40</v>
      </c>
    </row>
    <row r="122" spans="1:24" ht="11.25" customHeight="1" x14ac:dyDescent="0.25">
      <c r="A122" s="383">
        <v>1999</v>
      </c>
      <c r="B122" s="200">
        <f>IF(AND('A-5'!B122="-",'A-5'!B169="-",'A-5'!B216="-"),"-",SUM('A-5'!B122,'A-5'!B169,'A-5'!B216))</f>
        <v>0</v>
      </c>
      <c r="C122" s="200">
        <f>IF(AND('A-5'!C122="-",'A-5'!C169="-",'A-5'!C216="-"),"-",SUM('A-5'!C122,'A-5'!C169,'A-5'!C216))</f>
        <v>1691</v>
      </c>
      <c r="D122" s="200">
        <f>IF(AND('A-5'!D122="-",'A-5'!D169="-",'A-5'!D216="-"),"-",SUM('A-5'!D122,'A-5'!D169,'A-5'!D216))</f>
        <v>6631</v>
      </c>
      <c r="E122" s="200">
        <f>IF(AND('A-5'!E122="-",'A-5'!E169="-",'A-5'!E216="-"),"-",SUM('A-5'!E122,'A-5'!E169,'A-5'!E216))</f>
        <v>1633</v>
      </c>
      <c r="F122" s="200">
        <f>IF(AND('A-5'!F122="-",'A-5'!F169="-",'A-5'!F216="-"),"-",SUM('A-5'!F122,'A-5'!F169,'A-5'!F216))</f>
        <v>13444</v>
      </c>
      <c r="G122" s="200">
        <f>IF(AND('A-5'!G122="-",'A-5'!G169="-",'A-5'!G216="-"),"-",SUM('A-5'!G122,'A-5'!G169,'A-5'!G216))</f>
        <v>33990</v>
      </c>
      <c r="H122" s="200">
        <f>IF(AND('A-5'!H122="-",'A-5'!H169="-",'A-5'!H216="-"),"-",SUM('A-5'!H122,'A-5'!H169,'A-5'!H216))</f>
        <v>15172</v>
      </c>
      <c r="I122" s="200">
        <f>IF(AND('A-5'!I122="-",'A-5'!I169="-",'A-5'!I216="-"),"-",SUM('A-5'!I122,'A-5'!I169,'A-5'!I216))</f>
        <v>6538</v>
      </c>
      <c r="J122" s="200">
        <f>IF(AND('A-5'!J122="-",'A-5'!J169="-",'A-5'!J216="-"),"-",SUM('A-5'!J122,'A-5'!J169,'A-5'!J216))</f>
        <v>2555</v>
      </c>
      <c r="K122" s="60" t="s">
        <v>116</v>
      </c>
      <c r="L122" s="200">
        <f>IF(AND('A-5'!L122="-",'A-5'!L169="-",'A-5'!L216="-"),"-",SUM('A-5'!L122,'A-5'!L169,'A-5'!L216))</f>
        <v>81654</v>
      </c>
      <c r="N122" s="200" t="str">
        <f>IF(OR(ISNUMBER('A-5'!N169),ISNUMBER('A-5'!N122),ISNUMBER('A-5'!N216)),SUM('A-5'!N169,'A-5'!N122,'A-5'!N216),IF(OR('A-5'!N169="--",'A-5'!N122="--",'A-5'!N216="--"),"--","-"))</f>
        <v>-</v>
      </c>
      <c r="O122" s="200" t="str">
        <f>IF(OR(ISNUMBER('A-5'!O169),ISNUMBER('A-5'!O122),ISNUMBER('A-5'!O216)),SUM('A-5'!O169,'A-5'!O122,'A-5'!O216),IF(OR('A-5'!O169="--",'A-5'!O122="--",'A-5'!O216="--"),"--","-"))</f>
        <v>-</v>
      </c>
      <c r="P122" s="200" t="str">
        <f>IF(OR(ISNUMBER('A-5'!P169),ISNUMBER('A-5'!P122),ISNUMBER('A-5'!P216)),SUM('A-5'!P169,'A-5'!P122,'A-5'!P216),IF(OR('A-5'!P169="--",'A-5'!P122="--",'A-5'!P216="--"),"--","-"))</f>
        <v>-</v>
      </c>
      <c r="Q122" s="200">
        <f>IF(OR(ISNUMBER('A-5'!Q169),ISNUMBER('A-5'!Q122),ISNUMBER('A-5'!Q216)),SUM('A-5'!Q169,'A-5'!Q122,'A-5'!Q216),IF(OR('A-5'!Q169="--",'A-5'!Q122="--",'A-5'!Q216="--"),"--","-"))</f>
        <v>12</v>
      </c>
      <c r="R122" s="200">
        <f>IF(OR(ISNUMBER('A-5'!R169),ISNUMBER('A-5'!R122),ISNUMBER('A-5'!R216)),SUM('A-5'!R169,'A-5'!R122,'A-5'!R216),IF(OR('A-5'!R169="--",'A-5'!R122="--",'A-5'!R216="--"),"--","-"))</f>
        <v>190</v>
      </c>
      <c r="S122" s="200">
        <f>IF(OR(ISNUMBER('A-5'!S169),ISNUMBER('A-5'!S122),ISNUMBER('A-5'!S216)),SUM('A-5'!S169,'A-5'!S122,'A-5'!S216),IF(OR('A-5'!S169="--",'A-5'!S122="--",'A-5'!S216="--"),"--","-"))</f>
        <v>134</v>
      </c>
      <c r="T122" s="200">
        <f>IF(OR(ISNUMBER('A-5'!T169),ISNUMBER('A-5'!T122),ISNUMBER('A-5'!T216)),SUM('A-5'!T169,'A-5'!T122,'A-5'!T216),IF(OR('A-5'!T169="--",'A-5'!T122="--",'A-5'!T216="--"),"--","-"))</f>
        <v>123</v>
      </c>
      <c r="U122" s="200">
        <f>IF(OR(ISNUMBER('A-5'!U169),ISNUMBER('A-5'!U122),ISNUMBER('A-5'!U216)),SUM('A-5'!U169,'A-5'!U122,'A-5'!U216),IF(OR('A-5'!U169="--",'A-5'!U122="--",'A-5'!U216="--"),"--","-"))</f>
        <v>12</v>
      </c>
      <c r="V122" s="200">
        <f>IF(OR(ISNUMBER('A-5'!V169),ISNUMBER('A-5'!V122),ISNUMBER('A-5'!V216)),SUM('A-5'!V169,'A-5'!V122,'A-5'!V216),IF(OR('A-5'!V169="--",'A-5'!V122="--",'A-5'!V216="--"),"--","-"))</f>
        <v>6</v>
      </c>
      <c r="W122" s="200" t="str">
        <f>IF(OR(ISNUMBER('A-5'!W169),ISNUMBER('A-5'!W122),ISNUMBER('A-5'!W216)),SUM('A-5'!W169,'A-5'!W122,'A-5'!W216),IF(OR('A-5'!W169="--",'A-5'!W122="--",'A-5'!W216="--"),"--","-"))</f>
        <v>-</v>
      </c>
      <c r="X122" s="200">
        <f>IF(AND('A-5'!X122="-",'A-5'!X169="-",'A-5'!X216="-"),"-",SUM('A-5'!X122,'A-5'!X169,'A-5'!X216))</f>
        <v>477</v>
      </c>
    </row>
    <row r="123" spans="1:24" ht="11.25" customHeight="1" x14ac:dyDescent="0.25">
      <c r="A123" s="383">
        <v>2000</v>
      </c>
      <c r="B123" s="60" t="s">
        <v>116</v>
      </c>
      <c r="C123" s="60" t="s">
        <v>116</v>
      </c>
      <c r="D123" s="200">
        <f>IF(AND('A-5'!D123="-",'A-5'!D170="-",'A-5'!D217="-"),"-",SUM('A-5'!D123,'A-5'!D170,'A-5'!D217))</f>
        <v>40311</v>
      </c>
      <c r="E123" s="200">
        <f>IF(AND('A-5'!E123="-",'A-5'!E170="-",'A-5'!E217="-"),"-",SUM('A-5'!E123,'A-5'!E170,'A-5'!E217))</f>
        <v>32110</v>
      </c>
      <c r="F123" s="200">
        <f>IF(AND('A-5'!F123="-",'A-5'!F170="-",'A-5'!F217="-"),"-",SUM('A-5'!F123,'A-5'!F170,'A-5'!F217))</f>
        <v>35298</v>
      </c>
      <c r="G123" s="200">
        <f>IF(AND('A-5'!G123="-",'A-5'!G170="-",'A-5'!G217="-"),"-",SUM('A-5'!G123,'A-5'!G170,'A-5'!G217))</f>
        <v>27377</v>
      </c>
      <c r="H123" s="200">
        <f>IF(AND('A-5'!H123="-",'A-5'!H170="-",'A-5'!H217="-"),"-",SUM('A-5'!H123,'A-5'!H170,'A-5'!H217))</f>
        <v>17509</v>
      </c>
      <c r="I123" s="200">
        <f>IF(AND('A-5'!I123="-",'A-5'!I170="-",'A-5'!I217="-"),"-",SUM('A-5'!I123,'A-5'!I170,'A-5'!I217))</f>
        <v>11052</v>
      </c>
      <c r="J123" s="200">
        <f>IF(AND('A-5'!J123="-",'A-5'!J170="-",'A-5'!J217="-"),"-",SUM('A-5'!J123,'A-5'!J170,'A-5'!J217))</f>
        <v>6815</v>
      </c>
      <c r="K123" s="200">
        <f>IF(AND('A-5'!K123="-",'A-5'!K170="-",'A-5'!K217="-"),"-",SUM('A-5'!K123,'A-5'!K170,'A-5'!K217))</f>
        <v>1905</v>
      </c>
      <c r="L123" s="200">
        <f>IF(AND('A-5'!L123="-",'A-5'!L170="-",'A-5'!L217="-"),"-",SUM('A-5'!L123,'A-5'!L170,'A-5'!L217))</f>
        <v>172377</v>
      </c>
      <c r="N123" s="200" t="str">
        <f>IF(OR(ISNUMBER('A-5'!N170),ISNUMBER('A-5'!N123),ISNUMBER('A-5'!N217)),SUM('A-5'!N170,'A-5'!N123,'A-5'!N217),IF(OR('A-5'!N170="--",'A-5'!N123="--",'A-5'!N217="--"),"--","-"))</f>
        <v>-</v>
      </c>
      <c r="O123" s="200" t="str">
        <f>IF(OR(ISNUMBER('A-5'!O170),ISNUMBER('A-5'!O123),ISNUMBER('A-5'!O217)),SUM('A-5'!O170,'A-5'!O123,'A-5'!O217),IF(OR('A-5'!O170="--",'A-5'!O123="--",'A-5'!O217="--"),"--","-"))</f>
        <v>-</v>
      </c>
      <c r="P123" s="200" t="str">
        <f>IF(OR(ISNUMBER('A-5'!P170),ISNUMBER('A-5'!P123),ISNUMBER('A-5'!P217)),SUM('A-5'!P170,'A-5'!P123,'A-5'!P217),IF(OR('A-5'!P170="--",'A-5'!P123="--",'A-5'!P217="--"),"--","-"))</f>
        <v>-</v>
      </c>
      <c r="Q123" s="200" t="str">
        <f>IF(OR(ISNUMBER('A-5'!Q170),ISNUMBER('A-5'!Q123),ISNUMBER('A-5'!Q217)),SUM('A-5'!Q170,'A-5'!Q123,'A-5'!Q217),IF(OR('A-5'!Q170="--",'A-5'!Q123="--",'A-5'!Q217="--"),"--","-"))</f>
        <v>-</v>
      </c>
      <c r="R123" s="200">
        <f>IF(OR(ISNUMBER('A-5'!R170),ISNUMBER('A-5'!R123),ISNUMBER('A-5'!R217)),SUM('A-5'!R170,'A-5'!R123,'A-5'!R217),IF(OR('A-5'!R170="--",'A-5'!R123="--",'A-5'!R217="--"),"--","-"))</f>
        <v>141</v>
      </c>
      <c r="S123" s="200">
        <f>IF(OR(ISNUMBER('A-5'!S170),ISNUMBER('A-5'!S123),ISNUMBER('A-5'!S217)),SUM('A-5'!S170,'A-5'!S123,'A-5'!S217),IF(OR('A-5'!S170="--",'A-5'!S123="--",'A-5'!S217="--"),"--","-"))</f>
        <v>54</v>
      </c>
      <c r="T123" s="200">
        <f>IF(OR(ISNUMBER('A-5'!T170),ISNUMBER('A-5'!T123),ISNUMBER('A-5'!T217)),SUM('A-5'!T170,'A-5'!T123,'A-5'!T217),IF(OR('A-5'!T170="--",'A-5'!T123="--",'A-5'!T217="--"),"--","-"))</f>
        <v>25</v>
      </c>
      <c r="U123" s="200">
        <f>IF(OR(ISNUMBER('A-5'!U170),ISNUMBER('A-5'!U123),ISNUMBER('A-5'!U217)),SUM('A-5'!U170,'A-5'!U123,'A-5'!U217),IF(OR('A-5'!U170="--",'A-5'!U123="--",'A-5'!U217="--"),"--","-"))</f>
        <v>3</v>
      </c>
      <c r="V123" s="200" t="str">
        <f>IF(OR(ISNUMBER('A-5'!V170),ISNUMBER('A-5'!V123),ISNUMBER('A-5'!V217)),SUM('A-5'!V170,'A-5'!V123,'A-5'!V217),IF(OR('A-5'!V170="--",'A-5'!V123="--",'A-5'!V217="--"),"--","-"))</f>
        <v>-</v>
      </c>
      <c r="W123" s="200" t="str">
        <f>IF(OR(ISNUMBER('A-5'!W170),ISNUMBER('A-5'!W123),ISNUMBER('A-5'!W217)),SUM('A-5'!W170,'A-5'!W123,'A-5'!W217),IF(OR('A-5'!W170="--",'A-5'!W123="--",'A-5'!W217="--"),"--","-"))</f>
        <v>-</v>
      </c>
      <c r="X123" s="200">
        <f>IF(AND('A-5'!X123="-",'A-5'!X170="-",'A-5'!X217="-"),"-",SUM('A-5'!X123,'A-5'!X170,'A-5'!X217))</f>
        <v>223</v>
      </c>
    </row>
    <row r="124" spans="1:24" ht="11.25" customHeight="1" x14ac:dyDescent="0.25">
      <c r="A124" s="383">
        <v>2001</v>
      </c>
      <c r="B124" s="60" t="s">
        <v>116</v>
      </c>
      <c r="C124" s="200">
        <f>IF(AND('A-5'!C124="-",'A-5'!C171="-",'A-5'!C218="-"),"-",SUM('A-5'!C124,'A-5'!C171,'A-5'!C218))</f>
        <v>1256</v>
      </c>
      <c r="D124" s="200">
        <f>IF(AND('A-5'!D124="-",'A-5'!D171="-",'A-5'!D218="-"),"-",SUM('A-5'!D124,'A-5'!D171,'A-5'!D218))</f>
        <v>18059</v>
      </c>
      <c r="E124" s="200">
        <f>IF(AND('A-5'!E124="-",'A-5'!E171="-",'A-5'!E218="-"),"-",SUM('A-5'!E124,'A-5'!E171,'A-5'!E218))</f>
        <v>11892</v>
      </c>
      <c r="F124" s="200">
        <f>IF(AND('A-5'!F124="-",'A-5'!F171="-",'A-5'!F218="-"),"-",SUM('A-5'!F124,'A-5'!F171,'A-5'!F218))</f>
        <v>8153</v>
      </c>
      <c r="G124" s="200">
        <f>IF(AND('A-5'!G124="-",'A-5'!G171="-",'A-5'!G218="-"),"-",SUM('A-5'!G124,'A-5'!G171,'A-5'!G218))</f>
        <v>23121</v>
      </c>
      <c r="H124" s="200">
        <f>IF(AND('A-5'!H124="-",'A-5'!H171="-",'A-5'!H218="-"),"-",SUM('A-5'!H124,'A-5'!H171,'A-5'!H218))</f>
        <v>12154</v>
      </c>
      <c r="I124" s="200">
        <f>IF(AND('A-5'!I124="-",'A-5'!I171="-",'A-5'!I218="-"),"-",SUM('A-5'!I124,'A-5'!I171,'A-5'!I218))</f>
        <v>7030</v>
      </c>
      <c r="J124" s="200">
        <f>IF(AND('A-5'!J124="-",'A-5'!J171="-",'A-5'!J218="-"),"-",SUM('A-5'!J124,'A-5'!J171,'A-5'!J218))</f>
        <v>3071</v>
      </c>
      <c r="K124" s="200">
        <f>IF(AND('A-5'!K124="-",'A-5'!K171="-",'A-5'!K218="-"),"-",SUM('A-5'!K124,'A-5'!K171,'A-5'!K218))</f>
        <v>1223</v>
      </c>
      <c r="L124" s="200">
        <f>IF(AND('A-5'!L124="-",'A-5'!L171="-",'A-5'!L218="-"),"-",SUM('A-5'!L124,'A-5'!L171,'A-5'!L218))</f>
        <v>85959</v>
      </c>
      <c r="N124" s="200" t="str">
        <f>IF(OR(ISNUMBER('A-5'!N171),ISNUMBER('A-5'!N124),ISNUMBER('A-5'!N218)),SUM('A-5'!N171,'A-5'!N124,'A-5'!N218),IF(OR('A-5'!N171="--",'A-5'!N124="--",'A-5'!N218="--"),"--","-"))</f>
        <v>-</v>
      </c>
      <c r="O124" s="200" t="str">
        <f>IF(OR(ISNUMBER('A-5'!O171),ISNUMBER('A-5'!O124),ISNUMBER('A-5'!O218)),SUM('A-5'!O171,'A-5'!O124,'A-5'!O218),IF(OR('A-5'!O171="--",'A-5'!O124="--",'A-5'!O218="--"),"--","-"))</f>
        <v>-</v>
      </c>
      <c r="P124" s="200">
        <f>IF(OR(ISNUMBER('A-5'!P171),ISNUMBER('A-5'!P124),ISNUMBER('A-5'!P218)),SUM('A-5'!P171,'A-5'!P124,'A-5'!P218),IF(OR('A-5'!P171="--",'A-5'!P124="--",'A-5'!P218="--"),"--","-"))</f>
        <v>4</v>
      </c>
      <c r="Q124" s="200">
        <f>IF(OR(ISNUMBER('A-5'!Q171),ISNUMBER('A-5'!Q124),ISNUMBER('A-5'!Q218)),SUM('A-5'!Q171,'A-5'!Q124,'A-5'!Q218),IF(OR('A-5'!Q171="--",'A-5'!Q124="--",'A-5'!Q218="--"),"--","-"))</f>
        <v>420</v>
      </c>
      <c r="R124" s="200">
        <f>IF(OR(ISNUMBER('A-5'!R171),ISNUMBER('A-5'!R124),ISNUMBER('A-5'!R218)),SUM('A-5'!R171,'A-5'!R124,'A-5'!R218),IF(OR('A-5'!R171="--",'A-5'!R124="--",'A-5'!R218="--"),"--","-"))</f>
        <v>211</v>
      </c>
      <c r="S124" s="200">
        <f>IF(OR(ISNUMBER('A-5'!S171),ISNUMBER('A-5'!S124),ISNUMBER('A-5'!S218)),SUM('A-5'!S171,'A-5'!S124,'A-5'!S218),IF(OR('A-5'!S171="--",'A-5'!S124="--",'A-5'!S218="--"),"--","-"))</f>
        <v>462</v>
      </c>
      <c r="T124" s="200">
        <f>IF(OR(ISNUMBER('A-5'!T171),ISNUMBER('A-5'!T124),ISNUMBER('A-5'!T218)),SUM('A-5'!T171,'A-5'!T124,'A-5'!T218),IF(OR('A-5'!T171="--",'A-5'!T124="--",'A-5'!T218="--"),"--","-"))</f>
        <v>46</v>
      </c>
      <c r="U124" s="200" t="str">
        <f>IF(OR(ISNUMBER('A-5'!U171),ISNUMBER('A-5'!U124),ISNUMBER('A-5'!U218)),SUM('A-5'!U171,'A-5'!U124,'A-5'!U218),IF(OR('A-5'!U171="--",'A-5'!U124="--",'A-5'!U218="--"),"--","-"))</f>
        <v>-</v>
      </c>
      <c r="V124" s="200" t="str">
        <f>IF(OR(ISNUMBER('A-5'!V171),ISNUMBER('A-5'!V124),ISNUMBER('A-5'!V218)),SUM('A-5'!V171,'A-5'!V124,'A-5'!V218),IF(OR('A-5'!V171="--",'A-5'!V124="--",'A-5'!V218="--"),"--","-"))</f>
        <v>-</v>
      </c>
      <c r="W124" s="200" t="str">
        <f>IF(OR(ISNUMBER('A-5'!W171),ISNUMBER('A-5'!W124),ISNUMBER('A-5'!W218)),SUM('A-5'!W171,'A-5'!W124,'A-5'!W218),IF(OR('A-5'!W171="--",'A-5'!W124="--",'A-5'!W218="--"),"--","-"))</f>
        <v>-</v>
      </c>
      <c r="X124" s="200">
        <f>IF(AND('A-5'!X124="-",'A-5'!X171="-",'A-5'!X218="-"),"-",SUM('A-5'!X124,'A-5'!X171,'A-5'!X218))</f>
        <v>1143</v>
      </c>
    </row>
    <row r="125" spans="1:24" ht="11.25" customHeight="1" x14ac:dyDescent="0.25">
      <c r="A125" s="383">
        <v>2002</v>
      </c>
      <c r="B125" s="200">
        <f>IF(AND('A-5'!B125="-",'A-5'!B172="-",'A-5'!B219="-"),"-",SUM('A-5'!B125,'A-5'!B172,'A-5'!B219))</f>
        <v>14</v>
      </c>
      <c r="C125" s="200">
        <f>IF(AND('A-5'!C125="-",'A-5'!C172="-",'A-5'!C219="-"),"-",SUM('A-5'!C125,'A-5'!C172,'A-5'!C219))</f>
        <v>2979</v>
      </c>
      <c r="D125" s="200">
        <f>IF(AND('A-5'!D125="-",'A-5'!D172="-",'A-5'!D219="-"),"-",SUM('A-5'!D125,'A-5'!D172,'A-5'!D219))</f>
        <v>37759</v>
      </c>
      <c r="E125" s="200">
        <f>IF(AND('A-5'!E125="-",'A-5'!E172="-",'A-5'!E219="-"),"-",SUM('A-5'!E125,'A-5'!E172,'A-5'!E219))</f>
        <v>21933</v>
      </c>
      <c r="F125" s="200">
        <f>IF(AND('A-5'!F125="-",'A-5'!F172="-",'A-5'!F219="-"),"-",SUM('A-5'!F125,'A-5'!F172,'A-5'!F219))</f>
        <v>30342</v>
      </c>
      <c r="G125" s="200">
        <f>IF(AND('A-5'!G125="-",'A-5'!G172="-",'A-5'!G219="-"),"-",SUM('A-5'!G125,'A-5'!G172,'A-5'!G219))</f>
        <v>51328</v>
      </c>
      <c r="H125" s="200">
        <f>IF(AND('A-5'!H125="-",'A-5'!H172="-",'A-5'!H219="-"),"-",SUM('A-5'!H125,'A-5'!H172,'A-5'!H219))</f>
        <v>17859</v>
      </c>
      <c r="I125" s="200">
        <f>IF(AND('A-5'!I125="-",'A-5'!I172="-",'A-5'!I219="-"),"-",SUM('A-5'!I125,'A-5'!I172,'A-5'!I219))</f>
        <v>3290</v>
      </c>
      <c r="J125" s="200">
        <f>IF(AND('A-5'!J125="-",'A-5'!J172="-",'A-5'!J219="-"),"-",SUM('A-5'!J125,'A-5'!J172,'A-5'!J219))</f>
        <v>348</v>
      </c>
      <c r="K125" s="200">
        <f>IF(AND('A-5'!K125="-",'A-5'!K172="-",'A-5'!K219="-"),"-",SUM('A-5'!K125,'A-5'!K172,'A-5'!K219))</f>
        <v>61</v>
      </c>
      <c r="L125" s="200">
        <f>IF(AND('A-5'!L125="-",'A-5'!L172="-",'A-5'!L219="-"),"-",SUM('A-5'!L125,'A-5'!L172,'A-5'!L219))</f>
        <v>165913</v>
      </c>
      <c r="N125" s="200" t="str">
        <f>IF(OR(ISNUMBER('A-5'!N172),ISNUMBER('A-5'!N125),ISNUMBER('A-5'!N219)),SUM('A-5'!N172,'A-5'!N125,'A-5'!N219),IF(OR('A-5'!N172="--",'A-5'!N125="--",'A-5'!N219="--"),"--","-"))</f>
        <v>-</v>
      </c>
      <c r="O125" s="200" t="str">
        <f>IF(OR(ISNUMBER('A-5'!O172),ISNUMBER('A-5'!O125),ISNUMBER('A-5'!O219)),SUM('A-5'!O172,'A-5'!O125,'A-5'!O219),IF(OR('A-5'!O172="--",'A-5'!O125="--",'A-5'!O219="--"),"--","-"))</f>
        <v>-</v>
      </c>
      <c r="P125" s="200">
        <f>IF(OR(ISNUMBER('A-5'!P172),ISNUMBER('A-5'!P125),ISNUMBER('A-5'!P219)),SUM('A-5'!P172,'A-5'!P125,'A-5'!P219),IF(OR('A-5'!P172="--",'A-5'!P125="--",'A-5'!P219="--"),"--","-"))</f>
        <v>2</v>
      </c>
      <c r="Q125" s="200">
        <f>IF(OR(ISNUMBER('A-5'!Q172),ISNUMBER('A-5'!Q125),ISNUMBER('A-5'!Q219)),SUM('A-5'!Q172,'A-5'!Q125,'A-5'!Q219),IF(OR('A-5'!Q172="--",'A-5'!Q125="--",'A-5'!Q219="--"),"--","-"))</f>
        <v>22</v>
      </c>
      <c r="R125" s="200">
        <f>IF(OR(ISNUMBER('A-5'!R172),ISNUMBER('A-5'!R125),ISNUMBER('A-5'!R219)),SUM('A-5'!R172,'A-5'!R125,'A-5'!R219),IF(OR('A-5'!R172="--",'A-5'!R125="--",'A-5'!R219="--"),"--","-"))</f>
        <v>130</v>
      </c>
      <c r="S125" s="200">
        <f>IF(OR(ISNUMBER('A-5'!S172),ISNUMBER('A-5'!S125),ISNUMBER('A-5'!S219)),SUM('A-5'!S172,'A-5'!S125,'A-5'!S219),IF(OR('A-5'!S172="--",'A-5'!S125="--",'A-5'!S219="--"),"--","-"))</f>
        <v>333</v>
      </c>
      <c r="T125" s="200">
        <f>IF(OR(ISNUMBER('A-5'!T172),ISNUMBER('A-5'!T125),ISNUMBER('A-5'!T219)),SUM('A-5'!T172,'A-5'!T125,'A-5'!T219),IF(OR('A-5'!T172="--",'A-5'!T125="--",'A-5'!T219="--"),"--","-"))</f>
        <v>46</v>
      </c>
      <c r="U125" s="200" t="str">
        <f>IF(OR(ISNUMBER('A-5'!U172),ISNUMBER('A-5'!U125),ISNUMBER('A-5'!U219)),SUM('A-5'!U172,'A-5'!U125,'A-5'!U219),IF(OR('A-5'!U172="--",'A-5'!U125="--",'A-5'!U219="--"),"--","-"))</f>
        <v>-</v>
      </c>
      <c r="V125" s="200" t="str">
        <f>IF(OR(ISNUMBER('A-5'!V172),ISNUMBER('A-5'!V125),ISNUMBER('A-5'!V219)),SUM('A-5'!V172,'A-5'!V125,'A-5'!V219),IF(OR('A-5'!V172="--",'A-5'!V125="--",'A-5'!V219="--"),"--","-"))</f>
        <v>-</v>
      </c>
      <c r="W125" s="200" t="str">
        <f>IF(OR(ISNUMBER('A-5'!W172),ISNUMBER('A-5'!W125),ISNUMBER('A-5'!W219)),SUM('A-5'!W172,'A-5'!W125,'A-5'!W219),IF(OR('A-5'!W172="--",'A-5'!W125="--",'A-5'!W219="--"),"--","-"))</f>
        <v>-</v>
      </c>
      <c r="X125" s="200">
        <f>IF(AND('A-5'!X125="-",'A-5'!X172="-",'A-5'!X219="-"),"-",SUM('A-5'!X125,'A-5'!X172,'A-5'!X219))</f>
        <v>533</v>
      </c>
    </row>
    <row r="126" spans="1:24" ht="11.25" customHeight="1" x14ac:dyDescent="0.25">
      <c r="A126" s="383">
        <v>2003</v>
      </c>
      <c r="B126" s="200">
        <f>IF(AND('A-5'!B126="-",'A-5'!B173="-",'A-5'!B220="-"),"-",SUM('A-5'!B126,'A-5'!B173,'A-5'!B220))</f>
        <v>444</v>
      </c>
      <c r="C126" s="200">
        <f>IF(AND('A-5'!C126="-",'A-5'!C173="-",'A-5'!C220="-"),"-",SUM('A-5'!C126,'A-5'!C173,'A-5'!C220))</f>
        <v>3978</v>
      </c>
      <c r="D126" s="200">
        <f>IF(AND('A-5'!D126="-",'A-5'!D173="-",'A-5'!D220="-"),"-",SUM('A-5'!D126,'A-5'!D173,'A-5'!D220))</f>
        <v>9569</v>
      </c>
      <c r="E126" s="200">
        <f>IF(AND('A-5'!E126="-",'A-5'!E173="-",'A-5'!E220="-"),"-",SUM('A-5'!E126,'A-5'!E173,'A-5'!E220))</f>
        <v>12209</v>
      </c>
      <c r="F126" s="200">
        <f>IF(AND('A-5'!F126="-",'A-5'!F173="-",'A-5'!F220="-"),"-",SUM('A-5'!F126,'A-5'!F173,'A-5'!F220))</f>
        <v>19043</v>
      </c>
      <c r="G126" s="200">
        <f>IF(AND('A-5'!G126="-",'A-5'!G173="-",'A-5'!G220="-"),"-",SUM('A-5'!G126,'A-5'!G173,'A-5'!G220))</f>
        <v>29442</v>
      </c>
      <c r="H126" s="200">
        <f>IF(AND('A-5'!H126="-",'A-5'!H173="-",'A-5'!H220="-"),"-",SUM('A-5'!H126,'A-5'!H173,'A-5'!H220))</f>
        <v>6501</v>
      </c>
      <c r="I126" s="200">
        <f>IF(AND('A-5'!I126="-",'A-5'!I173="-",'A-5'!I220="-"),"-",SUM('A-5'!I126,'A-5'!I173,'A-5'!I220))</f>
        <v>3688</v>
      </c>
      <c r="J126" s="200">
        <f>IF(AND('A-5'!J126="-",'A-5'!J173="-",'A-5'!J220="-"),"-",SUM('A-5'!J126,'A-5'!J173,'A-5'!J220))</f>
        <v>1048</v>
      </c>
      <c r="K126" s="200">
        <f>IF(AND('A-5'!K126="-",'A-5'!K173="-",'A-5'!K220="-"),"-",SUM('A-5'!K126,'A-5'!K173,'A-5'!K220))</f>
        <v>0</v>
      </c>
      <c r="L126" s="200">
        <f>IF(AND('A-5'!L126="-",'A-5'!L173="-",'A-5'!L220="-"),"-",SUM('A-5'!L126,'A-5'!L173,'A-5'!L220))</f>
        <v>85922</v>
      </c>
      <c r="N126" s="200" t="str">
        <f>IF(OR(ISNUMBER('A-5'!N173),ISNUMBER('A-5'!N126),ISNUMBER('A-5'!N220)),SUM('A-5'!N173,'A-5'!N126,'A-5'!N220),IF(OR('A-5'!N173="--",'A-5'!N126="--",'A-5'!N220="--"),"--","-"))</f>
        <v>-</v>
      </c>
      <c r="O126" s="200" t="str">
        <f>IF(OR(ISNUMBER('A-5'!O173),ISNUMBER('A-5'!O126),ISNUMBER('A-5'!O220)),SUM('A-5'!O173,'A-5'!O126,'A-5'!O220),IF(OR('A-5'!O173="--",'A-5'!O126="--",'A-5'!O220="--"),"--","-"))</f>
        <v>-</v>
      </c>
      <c r="P126" s="200" t="str">
        <f>IF(OR(ISNUMBER('A-5'!P173),ISNUMBER('A-5'!P126),ISNUMBER('A-5'!P220)),SUM('A-5'!P173,'A-5'!P126,'A-5'!P220),IF(OR('A-5'!P173="--",'A-5'!P126="--",'A-5'!P220="--"),"--","-"))</f>
        <v>-</v>
      </c>
      <c r="Q126" s="200">
        <f>IF(OR(ISNUMBER('A-5'!Q173),ISNUMBER('A-5'!Q126),ISNUMBER('A-5'!Q220)),SUM('A-5'!Q173,'A-5'!Q126,'A-5'!Q220),IF(OR('A-5'!Q173="--",'A-5'!Q126="--",'A-5'!Q220="--"),"--","-"))</f>
        <v>70</v>
      </c>
      <c r="R126" s="200">
        <f>IF(OR(ISNUMBER('A-5'!R173),ISNUMBER('A-5'!R126),ISNUMBER('A-5'!R220)),SUM('A-5'!R173,'A-5'!R126,'A-5'!R220),IF(OR('A-5'!R173="--",'A-5'!R126="--",'A-5'!R220="--"),"--","-"))</f>
        <v>197</v>
      </c>
      <c r="S126" s="200">
        <f>IF(OR(ISNUMBER('A-5'!S173),ISNUMBER('A-5'!S126),ISNUMBER('A-5'!S220)),SUM('A-5'!S173,'A-5'!S126,'A-5'!S220),IF(OR('A-5'!S173="--",'A-5'!S126="--",'A-5'!S220="--"),"--","-"))</f>
        <v>189</v>
      </c>
      <c r="T126" s="200">
        <f>IF(OR(ISNUMBER('A-5'!T173),ISNUMBER('A-5'!T126),ISNUMBER('A-5'!T220)),SUM('A-5'!T173,'A-5'!T126,'A-5'!T220),IF(OR('A-5'!T173="--",'A-5'!T126="--",'A-5'!T220="--"),"--","-"))</f>
        <v>11</v>
      </c>
      <c r="U126" s="200">
        <f>IF(OR(ISNUMBER('A-5'!U173),ISNUMBER('A-5'!U126),ISNUMBER('A-5'!U220)),SUM('A-5'!U173,'A-5'!U126,'A-5'!U220),IF(OR('A-5'!U173="--",'A-5'!U126="--",'A-5'!U220="--"),"--","-"))</f>
        <v>9</v>
      </c>
      <c r="V126" s="200" t="str">
        <f>IF(OR(ISNUMBER('A-5'!V173),ISNUMBER('A-5'!V126),ISNUMBER('A-5'!V220)),SUM('A-5'!V173,'A-5'!V126,'A-5'!V220),IF(OR('A-5'!V173="--",'A-5'!V126="--",'A-5'!V220="--"),"--","-"))</f>
        <v>-</v>
      </c>
      <c r="W126" s="200" t="str">
        <f>IF(OR(ISNUMBER('A-5'!W173),ISNUMBER('A-5'!W126),ISNUMBER('A-5'!W220)),SUM('A-5'!W173,'A-5'!W126,'A-5'!W220),IF(OR('A-5'!W173="--",'A-5'!W126="--",'A-5'!W220="--"),"--","-"))</f>
        <v>-</v>
      </c>
      <c r="X126" s="200">
        <f>IF(AND('A-5'!X126="-",'A-5'!X173="-",'A-5'!X220="-"),"-",SUM('A-5'!X126,'A-5'!X173,'A-5'!X220))</f>
        <v>476</v>
      </c>
    </row>
    <row r="127" spans="1:24" ht="11.25" customHeight="1" x14ac:dyDescent="0.25">
      <c r="A127" s="383">
        <v>2004</v>
      </c>
      <c r="B127" s="200">
        <f>IF(AND('A-5'!B127="-",'A-5'!B174="-",'A-5'!B221="-"),"-",SUM('A-5'!B127,'A-5'!B174,'A-5'!B221))</f>
        <v>41</v>
      </c>
      <c r="C127" s="200">
        <f>IF(AND('A-5'!C127="-",'A-5'!C174="-",'A-5'!C221="-"),"-",SUM('A-5'!C127,'A-5'!C174,'A-5'!C221))</f>
        <v>510</v>
      </c>
      <c r="D127" s="200">
        <f>IF(AND('A-5'!D127="-",'A-5'!D174="-",'A-5'!D221="-"),"-",SUM('A-5'!D127,'A-5'!D174,'A-5'!D221))</f>
        <v>31470</v>
      </c>
      <c r="E127" s="200">
        <f>IF(AND('A-5'!E127="-",'A-5'!E174="-",'A-5'!E221="-"),"-",SUM('A-5'!E127,'A-5'!E174,'A-5'!E221))</f>
        <v>24847</v>
      </c>
      <c r="F127" s="200">
        <f>IF(AND('A-5'!F127="-",'A-5'!F174="-",'A-5'!F221="-"),"-",SUM('A-5'!F127,'A-5'!F174,'A-5'!F221))</f>
        <v>33948</v>
      </c>
      <c r="G127" s="200">
        <f>IF(AND('A-5'!G127="-",'A-5'!G174="-",'A-5'!G221="-"),"-",SUM('A-5'!G127,'A-5'!G174,'A-5'!G221))</f>
        <v>70611</v>
      </c>
      <c r="H127" s="200">
        <f>IF(AND('A-5'!H127="-",'A-5'!H174="-",'A-5'!H221="-"),"-",SUM('A-5'!H127,'A-5'!H174,'A-5'!H221))</f>
        <v>24970</v>
      </c>
      <c r="I127" s="200">
        <f>IF(AND('A-5'!I127="-",'A-5'!I174="-",'A-5'!I221="-"),"-",SUM('A-5'!I127,'A-5'!I174,'A-5'!I221))</f>
        <v>8717</v>
      </c>
      <c r="J127" s="200">
        <f>IF(AND('A-5'!J127="-",'A-5'!J174="-",'A-5'!J221="-"),"-",SUM('A-5'!J127,'A-5'!J174,'A-5'!J221))</f>
        <v>2818</v>
      </c>
      <c r="K127" s="200">
        <f>IF(AND('A-5'!K127="-",'A-5'!K174="-",'A-5'!K221="-"),"-",SUM('A-5'!K127,'A-5'!K174,'A-5'!K221))</f>
        <v>338</v>
      </c>
      <c r="L127" s="200">
        <f>IF(AND('A-5'!L127="-",'A-5'!L174="-",'A-5'!L221="-"),"-",SUM('A-5'!L127,'A-5'!L174,'A-5'!L221))</f>
        <v>198270</v>
      </c>
      <c r="N127" s="200" t="str">
        <f>IF(OR(ISNUMBER('A-5'!N174),ISNUMBER('A-5'!N127),ISNUMBER('A-5'!N221)),SUM('A-5'!N174,'A-5'!N127,'A-5'!N221),IF(OR('A-5'!N174="--",'A-5'!N127="--",'A-5'!N221="--"),"--","-"))</f>
        <v>-</v>
      </c>
      <c r="O127" s="200" t="str">
        <f>IF(OR(ISNUMBER('A-5'!O174),ISNUMBER('A-5'!O127),ISNUMBER('A-5'!O221)),SUM('A-5'!O174,'A-5'!O127,'A-5'!O221),IF(OR('A-5'!O174="--",'A-5'!O127="--",'A-5'!O221="--"),"--","-"))</f>
        <v>-</v>
      </c>
      <c r="P127" s="200" t="str">
        <f>IF(OR(ISNUMBER('A-5'!P174),ISNUMBER('A-5'!P127),ISNUMBER('A-5'!P221)),SUM('A-5'!P174,'A-5'!P127,'A-5'!P221),IF(OR('A-5'!P174="--",'A-5'!P127="--",'A-5'!P221="--"),"--","-"))</f>
        <v>-</v>
      </c>
      <c r="Q127" s="200">
        <f>IF(OR(ISNUMBER('A-5'!Q174),ISNUMBER('A-5'!Q127),ISNUMBER('A-5'!Q221)),SUM('A-5'!Q174,'A-5'!Q127,'A-5'!Q221),IF(OR('A-5'!Q174="--",'A-5'!Q127="--",'A-5'!Q221="--"),"--","-"))</f>
        <v>41</v>
      </c>
      <c r="R127" s="200">
        <f>IF(OR(ISNUMBER('A-5'!R174),ISNUMBER('A-5'!R127),ISNUMBER('A-5'!R221)),SUM('A-5'!R174,'A-5'!R127,'A-5'!R221),IF(OR('A-5'!R174="--",'A-5'!R127="--",'A-5'!R221="--"),"--","-"))</f>
        <v>113</v>
      </c>
      <c r="S127" s="200">
        <f>IF(OR(ISNUMBER('A-5'!S174),ISNUMBER('A-5'!S127),ISNUMBER('A-5'!S221)),SUM('A-5'!S174,'A-5'!S127,'A-5'!S221),IF(OR('A-5'!S174="--",'A-5'!S127="--",'A-5'!S221="--"),"--","-"))</f>
        <v>475</v>
      </c>
      <c r="T127" s="200">
        <f>IF(OR(ISNUMBER('A-5'!T174),ISNUMBER('A-5'!T127),ISNUMBER('A-5'!T221)),SUM('A-5'!T174,'A-5'!T127,'A-5'!T221),IF(OR('A-5'!T174="--",'A-5'!T127="--",'A-5'!T221="--"),"--","-"))</f>
        <v>201</v>
      </c>
      <c r="U127" s="200">
        <f>IF(OR(ISNUMBER('A-5'!U174),ISNUMBER('A-5'!U127),ISNUMBER('A-5'!U221)),SUM('A-5'!U174,'A-5'!U127,'A-5'!U221),IF(OR('A-5'!U174="--",'A-5'!U127="--",'A-5'!U221="--"),"--","-"))</f>
        <v>34</v>
      </c>
      <c r="V127" s="200" t="str">
        <f>IF(OR(ISNUMBER('A-5'!V174),ISNUMBER('A-5'!V127),ISNUMBER('A-5'!V221)),SUM('A-5'!V174,'A-5'!V127,'A-5'!V221),IF(OR('A-5'!V174="--",'A-5'!V127="--",'A-5'!V221="--"),"--","-"))</f>
        <v>-</v>
      </c>
      <c r="W127" s="200" t="str">
        <f>IF(OR(ISNUMBER('A-5'!W174),ISNUMBER('A-5'!W127),ISNUMBER('A-5'!W221)),SUM('A-5'!W174,'A-5'!W127,'A-5'!W221),IF(OR('A-5'!W174="--",'A-5'!W127="--",'A-5'!W221="--"),"--","-"))</f>
        <v>-</v>
      </c>
      <c r="X127" s="200">
        <f>IF(AND('A-5'!X127="-",'A-5'!X174="-",'A-5'!X221="-"),"-",SUM('A-5'!X127,'A-5'!X174,'A-5'!X221))</f>
        <v>864</v>
      </c>
    </row>
    <row r="128" spans="1:24" ht="11.25" customHeight="1" x14ac:dyDescent="0.25">
      <c r="A128" s="402">
        <v>2005</v>
      </c>
      <c r="B128" s="203">
        <f>IF(AND('A-5'!B128="-",'A-5'!B175="-",'A-5'!B222="-"),"-",SUM('A-5'!B128,'A-5'!B175,'A-5'!B222))</f>
        <v>285</v>
      </c>
      <c r="C128" s="203">
        <f>IF(AND('A-5'!C128="-",'A-5'!C175="-",'A-5'!C222="-"),"-",SUM('A-5'!C128,'A-5'!C175,'A-5'!C222))</f>
        <v>111</v>
      </c>
      <c r="D128" s="203">
        <f>IF(AND('A-5'!D128="-",'A-5'!D175="-",'A-5'!D222="-"),"-",SUM('A-5'!D128,'A-5'!D175,'A-5'!D222))</f>
        <v>14255</v>
      </c>
      <c r="E128" s="203">
        <f>IF(AND('A-5'!E128="-",'A-5'!E175="-",'A-5'!E222="-"),"-",SUM('A-5'!E128,'A-5'!E175,'A-5'!E222))</f>
        <v>14272</v>
      </c>
      <c r="F128" s="203">
        <f>IF(AND('A-5'!F128="-",'A-5'!F175="-",'A-5'!F222="-"),"-",SUM('A-5'!F128,'A-5'!F175,'A-5'!F222))</f>
        <v>31351</v>
      </c>
      <c r="G128" s="203">
        <f>IF(AND('A-5'!G128="-",'A-5'!G175="-",'A-5'!G222="-"),"-",SUM('A-5'!G128,'A-5'!G175,'A-5'!G222))</f>
        <v>34094</v>
      </c>
      <c r="H128" s="203">
        <f>IF(AND('A-5'!H128="-",'A-5'!H175="-",'A-5'!H222="-"),"-",SUM('A-5'!H128,'A-5'!H175,'A-5'!H222))</f>
        <v>16015</v>
      </c>
      <c r="I128" s="203">
        <f>IF(AND('A-5'!I128="-",'A-5'!I175="-",'A-5'!I222="-"),"-",SUM('A-5'!I128,'A-5'!I175,'A-5'!I222))</f>
        <v>11020</v>
      </c>
      <c r="J128" s="203">
        <f>IF(AND('A-5'!J128="-",'A-5'!J175="-",'A-5'!J222="-"),"-",SUM('A-5'!J128,'A-5'!J175,'A-5'!J222))</f>
        <v>3955</v>
      </c>
      <c r="K128" s="203">
        <f>IF(AND('A-5'!K128="-",'A-5'!K175="-",'A-5'!K222="-"),"-",SUM('A-5'!K128,'A-5'!K175,'A-5'!K222))</f>
        <v>355</v>
      </c>
      <c r="L128" s="203">
        <f>IF(AND('A-5'!L128="-",'A-5'!L175="-",'A-5'!L222="-"),"-",SUM('A-5'!L128,'A-5'!L175,'A-5'!L222))</f>
        <v>125713</v>
      </c>
      <c r="M128" s="197"/>
      <c r="N128" s="200" t="str">
        <f>IF(OR(ISNUMBER('A-5'!N175),ISNUMBER('A-5'!N128),ISNUMBER('A-5'!N222)),SUM('A-5'!N175,'A-5'!N128,'A-5'!N222),IF(OR('A-5'!N175="--",'A-5'!N128="--",'A-5'!N222="--"),"--","-"))</f>
        <v>-</v>
      </c>
      <c r="O128" s="200" t="str">
        <f>IF(OR(ISNUMBER('A-5'!O175),ISNUMBER('A-5'!O128),ISNUMBER('A-5'!O222)),SUM('A-5'!O175,'A-5'!O128,'A-5'!O222),IF(OR('A-5'!O175="--",'A-5'!O128="--",'A-5'!O222="--"),"--","-"))</f>
        <v>-</v>
      </c>
      <c r="P128" s="200" t="str">
        <f>IF(OR(ISNUMBER('A-5'!P175),ISNUMBER('A-5'!P128),ISNUMBER('A-5'!P222)),SUM('A-5'!P175,'A-5'!P128,'A-5'!P222),IF(OR('A-5'!P175="--",'A-5'!P128="--",'A-5'!P222="--"),"--","-"))</f>
        <v>-</v>
      </c>
      <c r="Q128" s="200">
        <f>IF(OR(ISNUMBER('A-5'!Q175),ISNUMBER('A-5'!Q128),ISNUMBER('A-5'!Q222)),SUM('A-5'!Q175,'A-5'!Q128,'A-5'!Q222),IF(OR('A-5'!Q175="--",'A-5'!Q128="--",'A-5'!Q222="--"),"--","-"))</f>
        <v>35</v>
      </c>
      <c r="R128" s="200">
        <f>IF(OR(ISNUMBER('A-5'!R175),ISNUMBER('A-5'!R128),ISNUMBER('A-5'!R222)),SUM('A-5'!R175,'A-5'!R128,'A-5'!R222),IF(OR('A-5'!R175="--",'A-5'!R128="--",'A-5'!R222="--"),"--","-"))</f>
        <v>242</v>
      </c>
      <c r="S128" s="200">
        <f>IF(OR(ISNUMBER('A-5'!S175),ISNUMBER('A-5'!S128),ISNUMBER('A-5'!S222)),SUM('A-5'!S175,'A-5'!S128,'A-5'!S222),IF(OR('A-5'!S175="--",'A-5'!S128="--",'A-5'!S222="--"),"--","-"))</f>
        <v>243</v>
      </c>
      <c r="T128" s="200">
        <f>IF(OR(ISNUMBER('A-5'!T175),ISNUMBER('A-5'!T128),ISNUMBER('A-5'!T222)),SUM('A-5'!T175,'A-5'!T128,'A-5'!T222),IF(OR('A-5'!T175="--",'A-5'!T128="--",'A-5'!T222="--"),"--","-"))</f>
        <v>28</v>
      </c>
      <c r="U128" s="200" t="str">
        <f>IF(OR(ISNUMBER('A-5'!U175),ISNUMBER('A-5'!U128),ISNUMBER('A-5'!U222)),SUM('A-5'!U175,'A-5'!U128,'A-5'!U222),IF(OR('A-5'!U175="--",'A-5'!U128="--",'A-5'!U222="--"),"--","-"))</f>
        <v>-</v>
      </c>
      <c r="V128" s="200" t="str">
        <f>IF(OR(ISNUMBER('A-5'!V175),ISNUMBER('A-5'!V128),ISNUMBER('A-5'!V222)),SUM('A-5'!V175,'A-5'!V128,'A-5'!V222),IF(OR('A-5'!V175="--",'A-5'!V128="--",'A-5'!V222="--"),"--","-"))</f>
        <v>-</v>
      </c>
      <c r="W128" s="200" t="str">
        <f>IF(OR(ISNUMBER('A-5'!W175),ISNUMBER('A-5'!W128),ISNUMBER('A-5'!W222)),SUM('A-5'!W175,'A-5'!W128,'A-5'!W222),IF(OR('A-5'!W175="--",'A-5'!W128="--",'A-5'!W222="--"),"--","-"))</f>
        <v>-</v>
      </c>
      <c r="X128" s="203">
        <f>IF(AND('A-5'!X128="-",'A-5'!X175="-",'A-5'!X222="-"),"-",SUM('A-5'!X128,'A-5'!X175,'A-5'!X222))</f>
        <v>548</v>
      </c>
    </row>
    <row r="129" spans="1:25" ht="11.25" customHeight="1" x14ac:dyDescent="0.25">
      <c r="A129" s="383">
        <v>2006</v>
      </c>
      <c r="B129" s="200">
        <f>IF(AND('A-5'!B129="-",'A-5'!B176="-",'A-5'!B223="-"),"-",SUM('A-5'!B129,'A-5'!B176,'A-5'!B223))</f>
        <v>55</v>
      </c>
      <c r="C129" s="200">
        <f>IF(AND('A-5'!C129="-",'A-5'!C176="-",'A-5'!C223="-"),"-",SUM('A-5'!C129,'A-5'!C176,'A-5'!C223))</f>
        <v>109</v>
      </c>
      <c r="D129" s="200">
        <f>IF(AND('A-5'!D129="-",'A-5'!D176="-",'A-5'!D223="-"),"-",SUM('A-5'!D129,'A-5'!D176,'A-5'!D223))</f>
        <v>9408</v>
      </c>
      <c r="E129" s="200">
        <f>IF(AND('A-5'!E129="-",'A-5'!E176="-",'A-5'!E223="-"),"-",SUM('A-5'!E129,'A-5'!E176,'A-5'!E223))</f>
        <v>14233</v>
      </c>
      <c r="F129" s="200">
        <f>IF(AND('A-5'!F129="-",'A-5'!F176="-",'A-5'!F223="-"),"-",SUM('A-5'!F129,'A-5'!F176,'A-5'!F223))</f>
        <v>24099</v>
      </c>
      <c r="G129" s="200">
        <f>IF(AND('A-5'!G129="-",'A-5'!G176="-",'A-5'!G223="-"),"-",SUM('A-5'!G129,'A-5'!G176,'A-5'!G223))</f>
        <v>26657</v>
      </c>
      <c r="H129" s="200">
        <f>IF(AND('A-5'!H129="-",'A-5'!H176="-",'A-5'!H223="-"),"-",SUM('A-5'!H129,'A-5'!H176,'A-5'!H223))</f>
        <v>4023</v>
      </c>
      <c r="I129" s="200">
        <f>IF(AND('A-5'!I129="-",'A-5'!I176="-",'A-5'!I223="-"),"-",SUM('A-5'!I129,'A-5'!I176,'A-5'!I223))</f>
        <v>982</v>
      </c>
      <c r="J129" s="200">
        <f>IF(AND('A-5'!J129="-",'A-5'!J176="-",'A-5'!J223="-"),"-",SUM('A-5'!J129,'A-5'!J176,'A-5'!J223))</f>
        <v>256</v>
      </c>
      <c r="K129" s="200">
        <f>IF(AND('A-5'!K129="-",'A-5'!K176="-",'A-5'!K223="-"),"-",SUM('A-5'!K129,'A-5'!K176,'A-5'!K223))</f>
        <v>67</v>
      </c>
      <c r="L129" s="200">
        <f>IF(AND('A-5'!L129="-",'A-5'!L176="-",'A-5'!L223="-"),"-",SUM('A-5'!L129,'A-5'!L176,'A-5'!L223))</f>
        <v>79889</v>
      </c>
      <c r="N129" s="200" t="str">
        <f>IF(OR(ISNUMBER('A-5'!N176),ISNUMBER('A-5'!N129),ISNUMBER('A-5'!N223)),SUM('A-5'!N176,'A-5'!N129,'A-5'!N223),IF(OR('A-5'!N176="--",'A-5'!N129="--",'A-5'!N223="--"),"--","-"))</f>
        <v>-</v>
      </c>
      <c r="O129" s="200" t="str">
        <f>IF(OR(ISNUMBER('A-5'!O176),ISNUMBER('A-5'!O129),ISNUMBER('A-5'!O223)),SUM('A-5'!O176,'A-5'!O129,'A-5'!O223),IF(OR('A-5'!O176="--",'A-5'!O129="--",'A-5'!O223="--"),"--","-"))</f>
        <v>-</v>
      </c>
      <c r="P129" s="200" t="str">
        <f>IF(OR(ISNUMBER('A-5'!P176),ISNUMBER('A-5'!P129),ISNUMBER('A-5'!P223)),SUM('A-5'!P176,'A-5'!P129,'A-5'!P223),IF(OR('A-5'!P176="--",'A-5'!P129="--",'A-5'!P223="--"),"--","-"))</f>
        <v>-</v>
      </c>
      <c r="Q129" s="200">
        <f>IF(OR(ISNUMBER('A-5'!Q176),ISNUMBER('A-5'!Q129),ISNUMBER('A-5'!Q223)),SUM('A-5'!Q176,'A-5'!Q129,'A-5'!Q223),IF(OR('A-5'!Q176="--",'A-5'!Q129="--",'A-5'!Q223="--"),"--","-"))</f>
        <v>108</v>
      </c>
      <c r="R129" s="200">
        <f>IF(OR(ISNUMBER('A-5'!R176),ISNUMBER('A-5'!R129),ISNUMBER('A-5'!R223)),SUM('A-5'!R176,'A-5'!R129,'A-5'!R223),IF(OR('A-5'!R176="--",'A-5'!R129="--",'A-5'!R223="--"),"--","-"))</f>
        <v>640</v>
      </c>
      <c r="S129" s="200">
        <f>IF(OR(ISNUMBER('A-5'!S176),ISNUMBER('A-5'!S129),ISNUMBER('A-5'!S223)),SUM('A-5'!S176,'A-5'!S129,'A-5'!S223),IF(OR('A-5'!S176="--",'A-5'!S129="--",'A-5'!S223="--"),"--","-"))</f>
        <v>588</v>
      </c>
      <c r="T129" s="200">
        <f>IF(OR(ISNUMBER('A-5'!T176),ISNUMBER('A-5'!T129),ISNUMBER('A-5'!T223)),SUM('A-5'!T176,'A-5'!T129,'A-5'!T223),IF(OR('A-5'!T176="--",'A-5'!T129="--",'A-5'!T223="--"),"--","-"))</f>
        <v>49</v>
      </c>
      <c r="U129" s="200" t="str">
        <f>IF(OR(ISNUMBER('A-5'!U176),ISNUMBER('A-5'!U129),ISNUMBER('A-5'!U223)),SUM('A-5'!U176,'A-5'!U129,'A-5'!U223),IF(OR('A-5'!U176="--",'A-5'!U129="--",'A-5'!U223="--"),"--","-"))</f>
        <v>-</v>
      </c>
      <c r="V129" s="200" t="str">
        <f>IF(OR(ISNUMBER('A-5'!V176),ISNUMBER('A-5'!V129),ISNUMBER('A-5'!V223)),SUM('A-5'!V176,'A-5'!V129,'A-5'!V223),IF(OR('A-5'!V176="--",'A-5'!V129="--",'A-5'!V223="--"),"--","-"))</f>
        <v>-</v>
      </c>
      <c r="W129" s="200" t="str">
        <f>IF(OR(ISNUMBER('A-5'!W176),ISNUMBER('A-5'!W129),ISNUMBER('A-5'!W223)),SUM('A-5'!W176,'A-5'!W129,'A-5'!W223),IF(OR('A-5'!W176="--",'A-5'!W129="--",'A-5'!W223="--"),"--","-"))</f>
        <v>-</v>
      </c>
      <c r="X129" s="200">
        <f>IF(AND('A-5'!X129="-",'A-5'!X176="-",'A-5'!X223="-"),"-",SUM('A-5'!X129,'A-5'!X176,'A-5'!X223))</f>
        <v>1385</v>
      </c>
    </row>
    <row r="130" spans="1:25" ht="11.25" customHeight="1" x14ac:dyDescent="0.25">
      <c r="A130" s="402">
        <v>2007</v>
      </c>
      <c r="B130" s="203">
        <f>IF(AND('A-5'!B130="-",'A-5'!B177="-",'A-5'!B224="-"),"-",SUM('A-5'!B130,'A-5'!B177,'A-5'!B224))</f>
        <v>48</v>
      </c>
      <c r="C130" s="203">
        <f>IF(AND('A-5'!C130="-",'A-5'!C177="-",'A-5'!C224="-"),"-",SUM('A-5'!C130,'A-5'!C177,'A-5'!C224))</f>
        <v>200</v>
      </c>
      <c r="D130" s="203">
        <f>IF(AND('A-5'!D130="-",'A-5'!D177="-",'A-5'!D224="-"),"-",SUM('A-5'!D130,'A-5'!D177,'A-5'!D224))</f>
        <v>3152</v>
      </c>
      <c r="E130" s="203">
        <f>IF(AND('A-5'!E130="-",'A-5'!E177="-",'A-5'!E224="-"),"-",SUM('A-5'!E130,'A-5'!E177,'A-5'!E224))</f>
        <v>6405</v>
      </c>
      <c r="F130" s="203">
        <f>IF(AND('A-5'!F130="-",'A-5'!F177="-",'A-5'!F224="-"),"-",SUM('A-5'!F130,'A-5'!F177,'A-5'!F224))</f>
        <v>8613</v>
      </c>
      <c r="G130" s="203">
        <f>IF(AND('A-5'!G130="-",'A-5'!G177="-",'A-5'!G224="-"),"-",SUM('A-5'!G130,'A-5'!G177,'A-5'!G224))</f>
        <v>8080</v>
      </c>
      <c r="H130" s="203">
        <f>IF(AND('A-5'!H130="-",'A-5'!H177="-",'A-5'!H224="-"),"-",SUM('A-5'!H130,'A-5'!H177,'A-5'!H224))</f>
        <v>1154</v>
      </c>
      <c r="I130" s="203">
        <f>IF(AND('A-5'!I130="-",'A-5'!I177="-",'A-5'!I224="-"),"-",SUM('A-5'!I130,'A-5'!I177,'A-5'!I224))</f>
        <v>390</v>
      </c>
      <c r="J130" s="203">
        <f>IF(AND('A-5'!J130="-",'A-5'!J177="-",'A-5'!J224="-"),"-",SUM('A-5'!J130,'A-5'!J177,'A-5'!J224))</f>
        <v>441</v>
      </c>
      <c r="K130" s="203">
        <f>IF(AND('A-5'!K130="-",'A-5'!K177="-",'A-5'!K224="-"),"-",SUM('A-5'!K130,'A-5'!K177,'A-5'!K224))</f>
        <v>325</v>
      </c>
      <c r="L130" s="203">
        <f>IF(AND('A-5'!L130="-",'A-5'!L177="-",'A-5'!L224="-"),"-",SUM('A-5'!L130,'A-5'!L177,'A-5'!L224))</f>
        <v>28808</v>
      </c>
      <c r="M130" s="197"/>
      <c r="N130" s="200" t="str">
        <f>IF(OR(ISNUMBER('A-5'!N177),ISNUMBER('A-5'!N130),ISNUMBER('A-5'!N224)),SUM('A-5'!N177,'A-5'!N130,'A-5'!N224),IF(OR('A-5'!N177="--",'A-5'!N130="--",'A-5'!N224="--"),"--","-"))</f>
        <v>-</v>
      </c>
      <c r="O130" s="200" t="str">
        <f>IF(OR(ISNUMBER('A-5'!O177),ISNUMBER('A-5'!O130),ISNUMBER('A-5'!O224)),SUM('A-5'!O177,'A-5'!O130,'A-5'!O224),IF(OR('A-5'!O177="--",'A-5'!O130="--",'A-5'!O224="--"),"--","-"))</f>
        <v>-</v>
      </c>
      <c r="P130" s="200" t="str">
        <f>IF(OR(ISNUMBER('A-5'!P177),ISNUMBER('A-5'!P130),ISNUMBER('A-5'!P224)),SUM('A-5'!P177,'A-5'!P130,'A-5'!P224),IF(OR('A-5'!P177="--",'A-5'!P130="--",'A-5'!P224="--"),"--","-"))</f>
        <v>-</v>
      </c>
      <c r="Q130" s="200">
        <f>IF(OR(ISNUMBER('A-5'!Q177),ISNUMBER('A-5'!Q130),ISNUMBER('A-5'!Q224)),SUM('A-5'!Q177,'A-5'!Q130,'A-5'!Q224),IF(OR('A-5'!Q177="--",'A-5'!Q130="--",'A-5'!Q224="--"),"--","-"))</f>
        <v>53</v>
      </c>
      <c r="R130" s="200">
        <f>IF(OR(ISNUMBER('A-5'!R177),ISNUMBER('A-5'!R130),ISNUMBER('A-5'!R224)),SUM('A-5'!R177,'A-5'!R130,'A-5'!R224),IF(OR('A-5'!R177="--",'A-5'!R130="--",'A-5'!R224="--"),"--","-"))</f>
        <v>104</v>
      </c>
      <c r="S130" s="200">
        <f>IF(OR(ISNUMBER('A-5'!S177),ISNUMBER('A-5'!S130),ISNUMBER('A-5'!S224)),SUM('A-5'!S177,'A-5'!S130,'A-5'!S224),IF(OR('A-5'!S177="--",'A-5'!S130="--",'A-5'!S224="--"),"--","-"))</f>
        <v>149</v>
      </c>
      <c r="T130" s="200">
        <f>IF(OR(ISNUMBER('A-5'!T177),ISNUMBER('A-5'!T130),ISNUMBER('A-5'!T224)),SUM('A-5'!T177,'A-5'!T130,'A-5'!T224),IF(OR('A-5'!T177="--",'A-5'!T130="--",'A-5'!T224="--"),"--","-"))</f>
        <v>25</v>
      </c>
      <c r="U130" s="200">
        <f>IF(OR(ISNUMBER('A-5'!U177),ISNUMBER('A-5'!U130),ISNUMBER('A-5'!U224)),SUM('A-5'!U177,'A-5'!U130,'A-5'!U224),IF(OR('A-5'!U177="--",'A-5'!U130="--",'A-5'!U224="--"),"--","-"))</f>
        <v>14</v>
      </c>
      <c r="V130" s="200" t="str">
        <f>IF(OR(ISNUMBER('A-5'!V177),ISNUMBER('A-5'!V130),ISNUMBER('A-5'!V224)),SUM('A-5'!V177,'A-5'!V130,'A-5'!V224),IF(OR('A-5'!V177="--",'A-5'!V130="--",'A-5'!V224="--"),"--","-"))</f>
        <v>-</v>
      </c>
      <c r="W130" s="200" t="str">
        <f>IF(OR(ISNUMBER('A-5'!W177),ISNUMBER('A-5'!W130),ISNUMBER('A-5'!W224)),SUM('A-5'!W177,'A-5'!W130,'A-5'!W224),IF(OR('A-5'!W177="--",'A-5'!W130="--",'A-5'!W224="--"),"--","-"))</f>
        <v>-</v>
      </c>
      <c r="X130" s="203">
        <f>IF(AND('A-5'!X130="-",'A-5'!X177="-",'A-5'!X224="-"),"-",SUM('A-5'!X130,'A-5'!X177,'A-5'!X224))</f>
        <v>345</v>
      </c>
      <c r="Y130" s="374" t="b">
        <f>ISNUMBER(X127:X129)</f>
        <v>0</v>
      </c>
    </row>
    <row r="131" spans="1:25" ht="11.25" customHeight="1" x14ac:dyDescent="0.25">
      <c r="A131" s="402">
        <v>2009</v>
      </c>
      <c r="B131" s="203">
        <f>IF(AND('A-5'!B131="-",'A-5'!B178="-",'A-5'!B225="-"),"-",SUM('A-5'!B131,'A-5'!B178,'A-5'!B225))</f>
        <v>0</v>
      </c>
      <c r="C131" s="203">
        <f>IF(AND('A-5'!C131="-",'A-5'!C178="-",'A-5'!C225="-"),"-",SUM('A-5'!C131,'A-5'!C178,'A-5'!C225))</f>
        <v>6</v>
      </c>
      <c r="D131" s="203" t="str">
        <f>IF(AND('A-5'!D131="-",'A-5'!D178="-",'A-5'!D225="-"),"-",SUM('A-5'!D131,'A-5'!D178,'A-5'!D225))</f>
        <v>-</v>
      </c>
      <c r="E131" s="203" t="str">
        <f>IF(AND('A-5'!E131="-",'A-5'!E178="-",'A-5'!E225="-"),"-",SUM('A-5'!E131,'A-5'!E178,'A-5'!E225))</f>
        <v>-</v>
      </c>
      <c r="F131" s="203" t="str">
        <f>IF(AND('A-5'!F131="-",'A-5'!F178="-",'A-5'!F225="-"),"-",SUM('A-5'!F131,'A-5'!F178,'A-5'!F225))</f>
        <v>-</v>
      </c>
      <c r="G131" s="203" t="str">
        <f>IF(AND('A-5'!G131="-",'A-5'!G178="-",'A-5'!G225="-"),"-",SUM('A-5'!G131,'A-5'!G178,'A-5'!G225))</f>
        <v>-</v>
      </c>
      <c r="H131" s="203" t="str">
        <f>IF(AND('A-5'!H131="-",'A-5'!H178="-",'A-5'!H225="-"),"-",SUM('A-5'!H131,'A-5'!H178,'A-5'!H225))</f>
        <v>-</v>
      </c>
      <c r="I131" s="203" t="str">
        <f>IF(AND('A-5'!I131="-",'A-5'!I178="-",'A-5'!I225="-"),"-",SUM('A-5'!I131,'A-5'!I178,'A-5'!I225))</f>
        <v>-</v>
      </c>
      <c r="J131" s="203" t="str">
        <f>IF(AND('A-5'!J131="-",'A-5'!J178="-",'A-5'!J225="-"),"-",SUM('A-5'!J131,'A-5'!J178,'A-5'!J225))</f>
        <v>-</v>
      </c>
      <c r="K131" s="203" t="str">
        <f>IF(AND('A-5'!K131="-",'A-5'!K178="-",'A-5'!K225="-"),"-",SUM('A-5'!K131,'A-5'!K178,'A-5'!K225))</f>
        <v>-</v>
      </c>
      <c r="L131" s="203">
        <f>IF(AND('A-5'!L131="-",'A-5'!L178="-",'A-5'!L225="-"),"-",SUM('A-5'!L131,'A-5'!L178,'A-5'!L225))</f>
        <v>6</v>
      </c>
      <c r="M131" s="197"/>
      <c r="N131" s="203" t="str">
        <f>IF(OR(ISNUMBER('A-5'!N178),ISNUMBER('A-5'!N131),ISNUMBER('A-5'!N225)),SUM('A-5'!N178,'A-5'!N131,'A-5'!N225),IF(OR('A-5'!N178="--",'A-5'!N131="--",'A-5'!N225="--"),"--","-"))</f>
        <v>-</v>
      </c>
      <c r="O131" s="203" t="str">
        <f>IF(OR(ISNUMBER('A-5'!O178),ISNUMBER('A-5'!O131),ISNUMBER('A-5'!O225)),SUM('A-5'!O178,'A-5'!O131,'A-5'!O225),IF(OR('A-5'!O178="--",'A-5'!O131="--",'A-5'!O225="--"),"--","-"))</f>
        <v>-</v>
      </c>
      <c r="P131" s="203" t="str">
        <f>IF(OR(ISNUMBER('A-5'!P178),ISNUMBER('A-5'!P131),ISNUMBER('A-5'!P225)),SUM('A-5'!P178,'A-5'!P131,'A-5'!P225),IF(OR('A-5'!P178="--",'A-5'!P131="--",'A-5'!P225="--"),"--","-"))</f>
        <v>-</v>
      </c>
      <c r="Q131" s="203" t="str">
        <f>IF(OR(ISNUMBER('A-5'!Q178),ISNUMBER('A-5'!Q131),ISNUMBER('A-5'!Q225)),SUM('A-5'!Q178,'A-5'!Q131,'A-5'!Q225),IF(OR('A-5'!Q178="--",'A-5'!Q131="--",'A-5'!Q225="--"),"--","-"))</f>
        <v>-</v>
      </c>
      <c r="R131" s="203" t="str">
        <f>IF(OR(ISNUMBER('A-5'!R178),ISNUMBER('A-5'!R131),ISNUMBER('A-5'!R225)),SUM('A-5'!R178,'A-5'!R131,'A-5'!R225),IF(OR('A-5'!R178="--",'A-5'!R131="--",'A-5'!R225="--"),"--","-"))</f>
        <v>-</v>
      </c>
      <c r="S131" s="203" t="str">
        <f>IF(OR(ISNUMBER('A-5'!S178),ISNUMBER('A-5'!S131),ISNUMBER('A-5'!S225)),SUM('A-5'!S178,'A-5'!S131,'A-5'!S225),IF(OR('A-5'!S178="--",'A-5'!S131="--",'A-5'!S225="--"),"--","-"))</f>
        <v>-</v>
      </c>
      <c r="T131" s="203" t="str">
        <f>IF(OR(ISNUMBER('A-5'!T178),ISNUMBER('A-5'!T131),ISNUMBER('A-5'!T225)),SUM('A-5'!T178,'A-5'!T131,'A-5'!T225),IF(OR('A-5'!T178="--",'A-5'!T131="--",'A-5'!T225="--"),"--","-"))</f>
        <v>-</v>
      </c>
      <c r="U131" s="203" t="str">
        <f>IF(OR(ISNUMBER('A-5'!U178),ISNUMBER('A-5'!U131),ISNUMBER('A-5'!U225)),SUM('A-5'!U178,'A-5'!U131,'A-5'!U225),IF(OR('A-5'!U178="--",'A-5'!U131="--",'A-5'!U225="--"),"--","-"))</f>
        <v>-</v>
      </c>
      <c r="V131" s="203" t="str">
        <f>IF(OR(ISNUMBER('A-5'!V178),ISNUMBER('A-5'!V131),ISNUMBER('A-5'!V225)),SUM('A-5'!V178,'A-5'!V131,'A-5'!V225),IF(OR('A-5'!V178="--",'A-5'!V131="--",'A-5'!V225="--"),"--","-"))</f>
        <v>-</v>
      </c>
      <c r="W131" s="203" t="str">
        <f>IF(OR(ISNUMBER('A-5'!W178),ISNUMBER('A-5'!W131),ISNUMBER('A-5'!W225)),SUM('A-5'!W178,'A-5'!W131,'A-5'!W225),IF(OR('A-5'!W178="--",'A-5'!W131="--",'A-5'!W225="--"),"--","-"))</f>
        <v>-</v>
      </c>
      <c r="X131" s="203" t="str">
        <f>IF(AND('A-5'!X131="-",'A-5'!X178="-",'A-5'!X225="-"),"-",SUM('A-5'!X131,'A-5'!X178,'A-5'!X225))</f>
        <v>-</v>
      </c>
    </row>
    <row r="132" spans="1:25" ht="11.25" customHeight="1" x14ac:dyDescent="0.25">
      <c r="A132" s="402">
        <v>2009</v>
      </c>
      <c r="B132" s="203" t="str">
        <f>IF(AND('A-5'!B132="-",'A-5'!B179="-",'A-5'!B226="-"),"-",SUM('A-5'!B132,'A-5'!B179,'A-5'!B226))</f>
        <v>-</v>
      </c>
      <c r="C132" s="203" t="str">
        <f>IF(AND('A-5'!C132="-",'A-5'!C179="-",'A-5'!C226="-"),"-",SUM('A-5'!C132,'A-5'!C179,'A-5'!C226))</f>
        <v>-</v>
      </c>
      <c r="D132" s="203" t="str">
        <f>IF(AND('A-5'!D132="-",'A-5'!D179="-",'A-5'!D226="-"),"-",SUM('A-5'!D132,'A-5'!D179,'A-5'!D226))</f>
        <v>-</v>
      </c>
      <c r="E132" s="203" t="str">
        <f>IF(AND('A-5'!E132="-",'A-5'!E179="-",'A-5'!E226="-"),"-",SUM('A-5'!E132,'A-5'!E179,'A-5'!E226))</f>
        <v>-</v>
      </c>
      <c r="F132" s="203" t="str">
        <f>IF(AND('A-5'!F132="-",'A-5'!F179="-",'A-5'!F226="-"),"-",SUM('A-5'!F132,'A-5'!F179,'A-5'!F226))</f>
        <v>-</v>
      </c>
      <c r="G132" s="203" t="str">
        <f>IF(AND('A-5'!G132="-",'A-5'!G179="-",'A-5'!G226="-"),"-",SUM('A-5'!G132,'A-5'!G179,'A-5'!G226))</f>
        <v>-</v>
      </c>
      <c r="H132" s="203" t="str">
        <f>IF(AND('A-5'!H132="-",'A-5'!H179="-",'A-5'!H226="-"),"-",SUM('A-5'!H132,'A-5'!H179,'A-5'!H226))</f>
        <v>-</v>
      </c>
      <c r="I132" s="203" t="str">
        <f>IF(AND('A-5'!I132="-",'A-5'!I179="-",'A-5'!I226="-"),"-",SUM('A-5'!I132,'A-5'!I179,'A-5'!I226))</f>
        <v>-</v>
      </c>
      <c r="J132" s="203" t="str">
        <f>IF(AND('A-5'!J132="-",'A-5'!J179="-",'A-5'!J226="-"),"-",SUM('A-5'!J132,'A-5'!J179,'A-5'!J226))</f>
        <v>-</v>
      </c>
      <c r="K132" s="203" t="str">
        <f>IF(AND('A-5'!K132="-",'A-5'!K179="-",'A-5'!K226="-"),"-",SUM('A-5'!K132,'A-5'!K179,'A-5'!K226))</f>
        <v>-</v>
      </c>
      <c r="L132" s="203" t="s">
        <v>29</v>
      </c>
      <c r="M132" s="197"/>
      <c r="N132" s="203" t="str">
        <f>IF(OR(ISNUMBER('A-5'!N179),ISNUMBER('A-5'!N132),ISNUMBER('A-5'!N226)),SUM('A-5'!N179,'A-5'!N132,'A-5'!N226),IF(OR('A-5'!N179="--",'A-5'!N132="--",'A-5'!N226="--"),"--","-"))</f>
        <v>-</v>
      </c>
      <c r="O132" s="203" t="str">
        <f>IF(OR(ISNUMBER('A-5'!O179),ISNUMBER('A-5'!O132),ISNUMBER('A-5'!O226)),SUM('A-5'!O179,'A-5'!O132,'A-5'!O226),IF(OR('A-5'!O179="--",'A-5'!O132="--",'A-5'!O226="--"),"--","-"))</f>
        <v>-</v>
      </c>
      <c r="P132" s="203" t="str">
        <f>IF(OR(ISNUMBER('A-5'!P179),ISNUMBER('A-5'!P132),ISNUMBER('A-5'!P226)),SUM('A-5'!P179,'A-5'!P132,'A-5'!P226),IF(OR('A-5'!P179="--",'A-5'!P132="--",'A-5'!P226="--"),"--","-"))</f>
        <v>-</v>
      </c>
      <c r="Q132" s="203" t="str">
        <f>IF(OR(ISNUMBER('A-5'!Q179),ISNUMBER('A-5'!Q132),ISNUMBER('A-5'!Q226)),SUM('A-5'!Q179,'A-5'!Q132,'A-5'!Q226),IF(OR('A-5'!Q179="--",'A-5'!Q132="--",'A-5'!Q226="--"),"--","-"))</f>
        <v>-</v>
      </c>
      <c r="R132" s="203" t="str">
        <f>IF(OR(ISNUMBER('A-5'!R179),ISNUMBER('A-5'!R132),ISNUMBER('A-5'!R226)),SUM('A-5'!R179,'A-5'!R132,'A-5'!R226),IF(OR('A-5'!R179="--",'A-5'!R132="--",'A-5'!R226="--"),"--","-"))</f>
        <v>-</v>
      </c>
      <c r="S132" s="203" t="str">
        <f>IF(OR(ISNUMBER('A-5'!S179),ISNUMBER('A-5'!S132),ISNUMBER('A-5'!S226)),SUM('A-5'!S179,'A-5'!S132,'A-5'!S226),IF(OR('A-5'!S179="--",'A-5'!S132="--",'A-5'!S226="--"),"--","-"))</f>
        <v>-</v>
      </c>
      <c r="T132" s="203" t="str">
        <f>IF(OR(ISNUMBER('A-5'!T179),ISNUMBER('A-5'!T132),ISNUMBER('A-5'!T226)),SUM('A-5'!T179,'A-5'!T132,'A-5'!T226),IF(OR('A-5'!T179="--",'A-5'!T132="--",'A-5'!T226="--"),"--","-"))</f>
        <v>-</v>
      </c>
      <c r="U132" s="203" t="str">
        <f>IF(OR(ISNUMBER('A-5'!U179),ISNUMBER('A-5'!U132),ISNUMBER('A-5'!U226)),SUM('A-5'!U179,'A-5'!U132,'A-5'!U226),IF(OR('A-5'!U179="--",'A-5'!U132="--",'A-5'!U226="--"),"--","-"))</f>
        <v>-</v>
      </c>
      <c r="V132" s="203" t="str">
        <f>IF(OR(ISNUMBER('A-5'!V179),ISNUMBER('A-5'!V132),ISNUMBER('A-5'!V226)),SUM('A-5'!V179,'A-5'!V132,'A-5'!V226),IF(OR('A-5'!V179="--",'A-5'!V132="--",'A-5'!V226="--"),"--","-"))</f>
        <v>-</v>
      </c>
      <c r="W132" s="203" t="str">
        <f>IF(OR(ISNUMBER('A-5'!W179),ISNUMBER('A-5'!W132),ISNUMBER('A-5'!W226)),SUM('A-5'!W179,'A-5'!W132,'A-5'!W226),IF(OR('A-5'!W179="--",'A-5'!W132="--",'A-5'!W226="--"),"--","-"))</f>
        <v>-</v>
      </c>
      <c r="X132" s="203" t="str">
        <f>IF(AND('A-5'!X132="-",'A-5'!X179="-",'A-5'!X226="-"),"-",SUM('A-5'!X132,'A-5'!X179,'A-5'!X226))</f>
        <v>-</v>
      </c>
    </row>
    <row r="133" spans="1:25" ht="11.25" customHeight="1" x14ac:dyDescent="0.25">
      <c r="A133" s="402">
        <v>2010</v>
      </c>
      <c r="B133" s="203" t="str">
        <f>IF(AND('A-5'!B133="-",'A-5'!B180="-",'A-5'!B227="-"),"-",SUM('A-5'!B133,'A-5'!B180,'A-5'!B227))</f>
        <v>-</v>
      </c>
      <c r="C133" s="203" t="str">
        <f>IF(AND('A-5'!C133="-",'A-5'!C180="-",'A-5'!C227="-"),"-",SUM('A-5'!C133,'A-5'!C180,'A-5'!C227))</f>
        <v>-</v>
      </c>
      <c r="D133" s="203">
        <f>IF(AND('A-5'!D133="-",'A-5'!D180="-",'A-5'!D227="-"),"-",SUM('A-5'!D133,'A-5'!D180,'A-5'!D227))</f>
        <v>5265</v>
      </c>
      <c r="E133" s="203">
        <f>IF(AND('A-5'!E133="-",'A-5'!E180="-",'A-5'!E227="-"),"-",SUM('A-5'!E133,'A-5'!E180,'A-5'!E227))</f>
        <v>2408</v>
      </c>
      <c r="F133" s="203">
        <f>IF(AND('A-5'!F133="-",'A-5'!F180="-",'A-5'!F227="-"),"-",SUM('A-5'!F133,'A-5'!F180,'A-5'!F227))</f>
        <v>630</v>
      </c>
      <c r="G133" s="203">
        <f>IF(AND('A-5'!G133="-",'A-5'!G180="-",'A-5'!G227="-"),"-",SUM('A-5'!G133,'A-5'!G180,'A-5'!G227))</f>
        <v>2568</v>
      </c>
      <c r="H133" s="203">
        <f>IF(AND('A-5'!H133="-",'A-5'!H180="-",'A-5'!H227="-"),"-",SUM('A-5'!H133,'A-5'!H180,'A-5'!H227))</f>
        <v>2823</v>
      </c>
      <c r="I133" s="203">
        <f>IF(AND('A-5'!I133="-",'A-5'!I180="-",'A-5'!I227="-"),"-",SUM('A-5'!I133,'A-5'!I180,'A-5'!I227))</f>
        <v>395</v>
      </c>
      <c r="J133" s="203" t="str">
        <f>IF(AND('A-5'!J133="-",'A-5'!J180="-",'A-5'!J227="-"),"-",SUM('A-5'!J133,'A-5'!J180,'A-5'!J227))</f>
        <v>-</v>
      </c>
      <c r="K133" s="203" t="str">
        <f>IF(AND('A-5'!K133="-",'A-5'!K180="-",'A-5'!K227="-"),"-",SUM('A-5'!K133,'A-5'!K180,'A-5'!K227))</f>
        <v>-</v>
      </c>
      <c r="L133" s="203">
        <f>IF(AND('A-5'!L133="-",'A-5'!L180="-",'A-5'!L227="-"),"-",SUM('A-5'!L133,'A-5'!L180,'A-5'!L227))</f>
        <v>14089</v>
      </c>
      <c r="M133" s="197"/>
      <c r="N133" s="203" t="str">
        <f>IF(OR(ISNUMBER('A-5'!N180),ISNUMBER('A-5'!N133),ISNUMBER('A-5'!N227)),SUM('A-5'!N180,'A-5'!N133,'A-5'!N227),IF(OR('A-5'!N180="--",'A-5'!N133="--",'A-5'!N227="--"),"--","-"))</f>
        <v>-</v>
      </c>
      <c r="O133" s="203" t="str">
        <f>IF(OR(ISNUMBER('A-5'!O180),ISNUMBER('A-5'!O133),ISNUMBER('A-5'!O227)),SUM('A-5'!O180,'A-5'!O133,'A-5'!O227),IF(OR('A-5'!O180="--",'A-5'!O133="--",'A-5'!O227="--"),"--","-"))</f>
        <v>-</v>
      </c>
      <c r="P133" s="203">
        <f>IF(OR(ISNUMBER('A-5'!P180),ISNUMBER('A-5'!P133),ISNUMBER('A-5'!P227)),SUM('A-5'!P180,'A-5'!P133,'A-5'!P227),IF(OR('A-5'!P180="--",'A-5'!P133="--",'A-5'!P227="--"),"--","-"))</f>
        <v>8</v>
      </c>
      <c r="Q133" s="203">
        <f>IF(OR(ISNUMBER('A-5'!Q180),ISNUMBER('A-5'!Q133),ISNUMBER('A-5'!Q227)),SUM('A-5'!Q180,'A-5'!Q133,'A-5'!Q227),IF(OR('A-5'!Q180="--",'A-5'!Q133="--",'A-5'!Q227="--"),"--","-"))</f>
        <v>7</v>
      </c>
      <c r="R133" s="203">
        <f>IF(OR(ISNUMBER('A-5'!R180),ISNUMBER('A-5'!R133),ISNUMBER('A-5'!R227)),SUM('A-5'!R180,'A-5'!R133,'A-5'!R227),IF(OR('A-5'!R180="--",'A-5'!R133="--",'A-5'!R227="--"),"--","-"))</f>
        <v>68</v>
      </c>
      <c r="S133" s="203">
        <f>IF(OR(ISNUMBER('A-5'!S180),ISNUMBER('A-5'!S133),ISNUMBER('A-5'!S227)),SUM('A-5'!S180,'A-5'!S133,'A-5'!S227),IF(OR('A-5'!S180="--",'A-5'!S133="--",'A-5'!S227="--"),"--","-"))</f>
        <v>15</v>
      </c>
      <c r="T133" s="203">
        <f>IF(OR(ISNUMBER('A-5'!T180),ISNUMBER('A-5'!T133),ISNUMBER('A-5'!T227)),SUM('A-5'!T180,'A-5'!T133,'A-5'!T227),IF(OR('A-5'!T180="--",'A-5'!T133="--",'A-5'!T227="--"),"--","-"))</f>
        <v>19</v>
      </c>
      <c r="U133" s="203">
        <f>IF(OR(ISNUMBER('A-5'!U180),ISNUMBER('A-5'!U133),ISNUMBER('A-5'!U227)),SUM('A-5'!U180,'A-5'!U133,'A-5'!U227),IF(OR('A-5'!U180="--",'A-5'!U133="--",'A-5'!U227="--"),"--","-"))</f>
        <v>8</v>
      </c>
      <c r="V133" s="203" t="str">
        <f>IF(OR(ISNUMBER('A-5'!V180),ISNUMBER('A-5'!V133),ISNUMBER('A-5'!V227)),SUM('A-5'!V180,'A-5'!V133,'A-5'!V227),IF(OR('A-5'!V180="--",'A-5'!V133="--",'A-5'!V227="--"),"--","-"))</f>
        <v>-</v>
      </c>
      <c r="W133" s="203" t="str">
        <f>IF(OR(ISNUMBER('A-5'!W180),ISNUMBER('A-5'!W133),ISNUMBER('A-5'!W227)),SUM('A-5'!W180,'A-5'!W133,'A-5'!W227),IF(OR('A-5'!W180="--",'A-5'!W133="--",'A-5'!W227="--"),"--","-"))</f>
        <v>-</v>
      </c>
      <c r="X133" s="203">
        <f>IF(AND('A-5'!X133="-",'A-5'!X180="-",'A-5'!X227="-"),"-",SUM('A-5'!X133,'A-5'!X180,'A-5'!X227))</f>
        <v>125</v>
      </c>
    </row>
    <row r="134" spans="1:25" ht="11.25" customHeight="1" x14ac:dyDescent="0.25">
      <c r="A134" s="402">
        <v>2011</v>
      </c>
      <c r="B134" s="203" t="str">
        <f>IF(AND('A-5'!B134="-",'A-5'!B181="-",'A-5'!B228="-"),"-",SUM('A-5'!B134,'A-5'!B181,'A-5'!B228))</f>
        <v>-</v>
      </c>
      <c r="C134" s="203" t="str">
        <f>IF(AND('A-5'!C134="-",'A-5'!C181="-",'A-5'!C228="-"),"-",SUM('A-5'!C134,'A-5'!C181,'A-5'!C228))</f>
        <v>-</v>
      </c>
      <c r="D134" s="203">
        <f>IF(AND('A-5'!D134="-",'A-5'!D181="-",'A-5'!D228="-"),"-",SUM('A-5'!D134,'A-5'!D181,'A-5'!D228))</f>
        <v>5522</v>
      </c>
      <c r="E134" s="203">
        <f>IF(AND('A-5'!E134="-",'A-5'!E181="-",'A-5'!E228="-"),"-",SUM('A-5'!E134,'A-5'!E181,'A-5'!E228))</f>
        <v>1919</v>
      </c>
      <c r="F134" s="203">
        <f>IF(AND('A-5'!F134="-",'A-5'!F181="-",'A-5'!F228="-"),"-",SUM('A-5'!F134,'A-5'!F181,'A-5'!F228))</f>
        <v>2434</v>
      </c>
      <c r="G134" s="203">
        <f>IF(AND('A-5'!G134="-",'A-5'!G181="-",'A-5'!G228="-"),"-",SUM('A-5'!G134,'A-5'!G181,'A-5'!G228))</f>
        <v>12498</v>
      </c>
      <c r="H134" s="203">
        <f>IF(AND('A-5'!H134="-",'A-5'!H181="-",'A-5'!H228="-"),"-",SUM('A-5'!H134,'A-5'!H181,'A-5'!H228))</f>
        <v>9410</v>
      </c>
      <c r="I134" s="203">
        <f>IF(AND('A-5'!I134="-",'A-5'!I181="-",'A-5'!I228="-"),"-",SUM('A-5'!I134,'A-5'!I181,'A-5'!I228))</f>
        <v>6794</v>
      </c>
      <c r="J134" s="203">
        <f>IF(AND('A-5'!J134="-",'A-5'!J181="-",'A-5'!J228="-"),"-",SUM('A-5'!J134,'A-5'!J181,'A-5'!J228))</f>
        <v>1258</v>
      </c>
      <c r="K134" s="203" t="str">
        <f>IF(AND('A-5'!K134="-",'A-5'!K181="-",'A-5'!K228="-"),"-",SUM('A-5'!K134,'A-5'!K181,'A-5'!K228))</f>
        <v>-</v>
      </c>
      <c r="L134" s="203">
        <f>IF(AND('A-5'!L134="-",'A-5'!L181="-",'A-5'!L228="-"),"-",SUM('A-5'!L134,'A-5'!L181,'A-5'!L228))</f>
        <v>39835</v>
      </c>
      <c r="M134" s="197"/>
      <c r="N134" s="203" t="str">
        <f>IF(OR(ISNUMBER('A-5'!N181),ISNUMBER('A-5'!N134),ISNUMBER('A-5'!N228)),SUM('A-5'!N181,'A-5'!N134,'A-5'!N228),IF(OR('A-5'!N181="--",'A-5'!N134="--",'A-5'!N228="--"),"--","-"))</f>
        <v>-</v>
      </c>
      <c r="O134" s="203" t="str">
        <f>IF(OR(ISNUMBER('A-5'!O181),ISNUMBER('A-5'!O134),ISNUMBER('A-5'!O228)),SUM('A-5'!O181,'A-5'!O134,'A-5'!O228),IF(OR('A-5'!O181="--",'A-5'!O134="--",'A-5'!O228="--"),"--","-"))</f>
        <v>-</v>
      </c>
      <c r="P134" s="203">
        <f>IF(OR(ISNUMBER('A-5'!P181),ISNUMBER('A-5'!P134),ISNUMBER('A-5'!P228)),SUM('A-5'!P181,'A-5'!P134,'A-5'!P228),IF(OR('A-5'!P181="--",'A-5'!P134="--",'A-5'!P228="--"),"--","-"))</f>
        <v>8</v>
      </c>
      <c r="Q134" s="203">
        <f>IF(OR(ISNUMBER('A-5'!Q181),ISNUMBER('A-5'!Q134),ISNUMBER('A-5'!Q228)),SUM('A-5'!Q181,'A-5'!Q134,'A-5'!Q228),IF(OR('A-5'!Q181="--",'A-5'!Q134="--",'A-5'!Q228="--"),"--","-"))</f>
        <v>10</v>
      </c>
      <c r="R134" s="203">
        <f>IF(OR(ISNUMBER('A-5'!R181),ISNUMBER('A-5'!R134),ISNUMBER('A-5'!R228)),SUM('A-5'!R181,'A-5'!R134,'A-5'!R228),IF(OR('A-5'!R181="--",'A-5'!R134="--",'A-5'!R228="--"),"--","-"))</f>
        <v>62</v>
      </c>
      <c r="S134" s="203">
        <f>IF(OR(ISNUMBER('A-5'!S181),ISNUMBER('A-5'!S134),ISNUMBER('A-5'!S228)),SUM('A-5'!S181,'A-5'!S134,'A-5'!S228),IF(OR('A-5'!S181="--",'A-5'!S134="--",'A-5'!S228="--"),"--","-"))</f>
        <v>116</v>
      </c>
      <c r="T134" s="203">
        <f>IF(OR(ISNUMBER('A-5'!T181),ISNUMBER('A-5'!T134),ISNUMBER('A-5'!T228)),SUM('A-5'!T181,'A-5'!T134,'A-5'!T228),IF(OR('A-5'!T181="--",'A-5'!T134="--",'A-5'!T228="--"),"--","-"))</f>
        <v>17</v>
      </c>
      <c r="U134" s="203" t="str">
        <f>IF(OR(ISNUMBER('A-5'!U181),ISNUMBER('A-5'!U134),ISNUMBER('A-5'!U228)),SUM('A-5'!U181,'A-5'!U134,'A-5'!U228),IF(OR('A-5'!U181="--",'A-5'!U134="--",'A-5'!U228="--"),"--","-"))</f>
        <v>-</v>
      </c>
      <c r="V134" s="203">
        <f>IF(OR(ISNUMBER('A-5'!V181),ISNUMBER('A-5'!V134),ISNUMBER('A-5'!V228)),SUM('A-5'!V181,'A-5'!V134,'A-5'!V228),IF(OR('A-5'!V181="--",'A-5'!V134="--",'A-5'!V228="--"),"--","-"))</f>
        <v>5</v>
      </c>
      <c r="W134" s="203" t="str">
        <f>IF(OR(ISNUMBER('A-5'!W181),ISNUMBER('A-5'!W134),ISNUMBER('A-5'!W228)),SUM('A-5'!W181,'A-5'!W134,'A-5'!W228),IF(OR('A-5'!W181="--",'A-5'!W134="--",'A-5'!W228="--"),"--","-"))</f>
        <v>-</v>
      </c>
      <c r="X134" s="203">
        <f>IF(AND('A-5'!X134="-",'A-5'!X181="-",'A-5'!X228="-"),"-",SUM('A-5'!X134,'A-5'!X181,'A-5'!X228))</f>
        <v>218</v>
      </c>
    </row>
    <row r="135" spans="1:25" ht="11.25" customHeight="1" x14ac:dyDescent="0.25">
      <c r="A135" s="402">
        <v>2012</v>
      </c>
      <c r="B135" s="203" t="str">
        <f>IF(AND('A-5'!B135="-",'A-5'!B182="-",'A-5'!B229="-"),"-",SUM('A-5'!B135,'A-5'!B182,'A-5'!B229))</f>
        <v>-</v>
      </c>
      <c r="C135" s="203" t="str">
        <f>IF(AND('A-5'!C135="-",'A-5'!C182="-",'A-5'!C229="-"),"-",SUM('A-5'!C135,'A-5'!C182,'A-5'!C229))</f>
        <v>-</v>
      </c>
      <c r="D135" s="203">
        <f>IF(AND('A-5'!D135="-",'A-5'!D182="-",'A-5'!D229="-"),"-",SUM('A-5'!D135,'A-5'!D182,'A-5'!D229))</f>
        <v>18786</v>
      </c>
      <c r="E135" s="203">
        <f>IF(AND('A-5'!E135="-",'A-5'!E182="-",'A-5'!E229="-"),"-",SUM('A-5'!E135,'A-5'!E182,'A-5'!E229))</f>
        <v>11146</v>
      </c>
      <c r="F135" s="203">
        <f>IF(AND('A-5'!F135="-",'A-5'!F182="-",'A-5'!F229="-"),"-",SUM('A-5'!F135,'A-5'!F182,'A-5'!F229))</f>
        <v>17027</v>
      </c>
      <c r="G135" s="203">
        <f>IF(AND('A-5'!G135="-",'A-5'!G182="-",'A-5'!G229="-"),"-",SUM('A-5'!G135,'A-5'!G182,'A-5'!G229))</f>
        <v>23897</v>
      </c>
      <c r="H135" s="203">
        <f>IF(AND('A-5'!H135="-",'A-5'!H182="-",'A-5'!H229="-"),"-",SUM('A-5'!H135,'A-5'!H182,'A-5'!H229))</f>
        <v>6987</v>
      </c>
      <c r="I135" s="203">
        <f>IF(AND('A-5'!I135="-",'A-5'!I182="-",'A-5'!I229="-"),"-",SUM('A-5'!I135,'A-5'!I182,'A-5'!I229))</f>
        <v>4385</v>
      </c>
      <c r="J135" s="203">
        <f>IF(AND('A-5'!J135="-",'A-5'!J182="-",'A-5'!J229="-"),"-",SUM('A-5'!J135,'A-5'!J182,'A-5'!J229))</f>
        <v>2094</v>
      </c>
      <c r="K135" s="203">
        <f>IF(AND('A-5'!K135="-",'A-5'!K182="-",'A-5'!K229="-"),"-",SUM('A-5'!K135,'A-5'!K182,'A-5'!K229))</f>
        <v>160</v>
      </c>
      <c r="L135" s="203">
        <f>IF(AND('A-5'!L135="-",'A-5'!L182="-",'A-5'!L229="-"),"-",SUM('A-5'!L135,'A-5'!L182,'A-5'!L229))</f>
        <v>84482</v>
      </c>
      <c r="M135" s="197"/>
      <c r="N135" s="203" t="str">
        <f>IF(OR(ISNUMBER('A-5'!N182),ISNUMBER('A-5'!N135),ISNUMBER('A-5'!N229)),SUM('A-5'!N182,'A-5'!N135,'A-5'!N229),IF(OR('A-5'!N182="--",'A-5'!N135="--",'A-5'!N229="--"),"--","-"))</f>
        <v>-</v>
      </c>
      <c r="O135" s="203" t="str">
        <f>IF(OR(ISNUMBER('A-5'!O182),ISNUMBER('A-5'!O135),ISNUMBER('A-5'!O229)),SUM('A-5'!O182,'A-5'!O135,'A-5'!O229),IF(OR('A-5'!O182="--",'A-5'!O135="--",'A-5'!O229="--"),"--","-"))</f>
        <v>-</v>
      </c>
      <c r="P135" s="203" t="str">
        <f>IF(OR(ISNUMBER('A-5'!P182),ISNUMBER('A-5'!P135),ISNUMBER('A-5'!P229)),SUM('A-5'!P182,'A-5'!P135,'A-5'!P229),IF(OR('A-5'!P182="--",'A-5'!P135="--",'A-5'!P229="--"),"--","-"))</f>
        <v>-</v>
      </c>
      <c r="Q135" s="203">
        <f>IF(OR(ISNUMBER('A-5'!Q182),ISNUMBER('A-5'!Q135),ISNUMBER('A-5'!Q229)),SUM('A-5'!Q182,'A-5'!Q135,'A-5'!Q229),IF(OR('A-5'!Q182="--",'A-5'!Q135="--",'A-5'!Q229="--"),"--","-"))</f>
        <v>3</v>
      </c>
      <c r="R135" s="203">
        <f>IF(OR(ISNUMBER('A-5'!R182),ISNUMBER('A-5'!R135),ISNUMBER('A-5'!R229)),SUM('A-5'!R182,'A-5'!R135,'A-5'!R229),IF(OR('A-5'!R182="--",'A-5'!R135="--",'A-5'!R229="--"),"--","-"))</f>
        <v>14</v>
      </c>
      <c r="S135" s="203">
        <f>IF(OR(ISNUMBER('A-5'!S182),ISNUMBER('A-5'!S135),ISNUMBER('A-5'!S229)),SUM('A-5'!S182,'A-5'!S135,'A-5'!S229),IF(OR('A-5'!S182="--",'A-5'!S135="--",'A-5'!S229="--"),"--","-"))</f>
        <v>14</v>
      </c>
      <c r="T135" s="203" t="str">
        <f>IF(OR(ISNUMBER('A-5'!T182),ISNUMBER('A-5'!T135),ISNUMBER('A-5'!T229)),SUM('A-5'!T182,'A-5'!T135,'A-5'!T229),IF(OR('A-5'!T182="--",'A-5'!T135="--",'A-5'!T229="--"),"--","-"))</f>
        <v>-</v>
      </c>
      <c r="U135" s="203">
        <f>IF(OR(ISNUMBER('A-5'!U182),ISNUMBER('A-5'!U135),ISNUMBER('A-5'!U229)),SUM('A-5'!U182,'A-5'!U135,'A-5'!U229),IF(OR('A-5'!U182="--",'A-5'!U135="--",'A-5'!U229="--"),"--","-"))</f>
        <v>3</v>
      </c>
      <c r="V135" s="203" t="str">
        <f>IF(OR(ISNUMBER('A-5'!V182),ISNUMBER('A-5'!V135),ISNUMBER('A-5'!V229)),SUM('A-5'!V182,'A-5'!V135,'A-5'!V229),IF(OR('A-5'!V182="--",'A-5'!V135="--",'A-5'!V229="--"),"--","-"))</f>
        <v>-</v>
      </c>
      <c r="W135" s="203" t="str">
        <f>IF(OR(ISNUMBER('A-5'!W182),ISNUMBER('A-5'!W135),ISNUMBER('A-5'!W229)),SUM('A-5'!W182,'A-5'!W135,'A-5'!W229),IF(OR('A-5'!W182="--",'A-5'!W135="--",'A-5'!W229="--"),"--","-"))</f>
        <v>-</v>
      </c>
      <c r="X135" s="203">
        <f>IF(AND('A-5'!X135="-",'A-5'!X182="-",'A-5'!X229="-"),"-",SUM('A-5'!X135,'A-5'!X182,'A-5'!X229))</f>
        <v>34</v>
      </c>
    </row>
    <row r="136" spans="1:25" ht="11.25" customHeight="1" x14ac:dyDescent="0.25">
      <c r="A136" s="402">
        <v>2013</v>
      </c>
      <c r="B136" s="203" t="str">
        <f>IF(AND('A-5'!B136="-",'A-5'!B183="-",'A-5'!B230="-"),"-",SUM('A-5'!B136,'A-5'!B183,'A-5'!B230))</f>
        <v>-</v>
      </c>
      <c r="C136" s="203" t="str">
        <f>IF(AND('A-5'!C136="-",'A-5'!C183="-",'A-5'!C230="-"),"-",SUM('A-5'!C136,'A-5'!C183,'A-5'!C230))</f>
        <v>-</v>
      </c>
      <c r="D136" s="203">
        <f>IF(AND('A-5'!D136="-",'A-5'!D183="-",'A-5'!D230="-"),"-",SUM('A-5'!D136,'A-5'!D183,'A-5'!D230))</f>
        <v>13656</v>
      </c>
      <c r="E136" s="203">
        <f>IF(AND('A-5'!E136="-",'A-5'!E183="-",'A-5'!E230="-"),"-",SUM('A-5'!E136,'A-5'!E183,'A-5'!E230))</f>
        <v>11337</v>
      </c>
      <c r="F136" s="203">
        <f>IF(AND('A-5'!F136="-",'A-5'!F183="-",'A-5'!F230="-"),"-",SUM('A-5'!F136,'A-5'!F183,'A-5'!F230))</f>
        <v>15729</v>
      </c>
      <c r="G136" s="203">
        <f>IF(AND('A-5'!G136="-",'A-5'!G183="-",'A-5'!G230="-"),"-",SUM('A-5'!G136,'A-5'!G183,'A-5'!G230))</f>
        <v>29204</v>
      </c>
      <c r="H136" s="203">
        <f>IF(AND('A-5'!H136="-",'A-5'!H183="-",'A-5'!H230="-"),"-",SUM('A-5'!H136,'A-5'!H183,'A-5'!H230))</f>
        <v>8554</v>
      </c>
      <c r="I136" s="203">
        <f>IF(AND('A-5'!I136="-",'A-5'!I183="-",'A-5'!I230="-"),"-",SUM('A-5'!I136,'A-5'!I183,'A-5'!I230))</f>
        <v>2167</v>
      </c>
      <c r="J136" s="203">
        <f>IF(AND('A-5'!J136="-",'A-5'!J183="-",'A-5'!J230="-"),"-",SUM('A-5'!J136,'A-5'!J183,'A-5'!J230))</f>
        <v>1359</v>
      </c>
      <c r="K136" s="203">
        <f>IF(AND('A-5'!K136="-",'A-5'!K183="-",'A-5'!K230="-"),"-",SUM('A-5'!K136,'A-5'!K183,'A-5'!K230))</f>
        <v>87</v>
      </c>
      <c r="L136" s="203">
        <f>IF(AND('A-5'!L136="-",'A-5'!L183="-",'A-5'!L230="-"),"-",SUM('A-5'!L136,'A-5'!L183,'A-5'!L230))</f>
        <v>82093</v>
      </c>
      <c r="M136" s="197"/>
      <c r="N136" s="203" t="str">
        <f>IF(OR(ISNUMBER('A-5'!N183),ISNUMBER('A-5'!N136),ISNUMBER('A-5'!N230)),SUM('A-5'!N183,'A-5'!N136,'A-5'!N230),IF(OR('A-5'!N183="--",'A-5'!N136="--",'A-5'!N230="--"),"--","-"))</f>
        <v>-</v>
      </c>
      <c r="O136" s="203" t="str">
        <f>IF(OR(ISNUMBER('A-5'!O183),ISNUMBER('A-5'!O136),ISNUMBER('A-5'!O230)),SUM('A-5'!O183,'A-5'!O136,'A-5'!O230),IF(OR('A-5'!O183="--",'A-5'!O136="--",'A-5'!O230="--"),"--","-"))</f>
        <v>-</v>
      </c>
      <c r="P136" s="203" t="str">
        <f>IF(OR(ISNUMBER('A-5'!P183),ISNUMBER('A-5'!P136),ISNUMBER('A-5'!P230)),SUM('A-5'!P183,'A-5'!P136,'A-5'!P230),IF(OR('A-5'!P183="--",'A-5'!P136="--",'A-5'!P230="--"),"--","-"))</f>
        <v>-</v>
      </c>
      <c r="Q136" s="203" t="str">
        <f>IF(OR(ISNUMBER('A-5'!Q183),ISNUMBER('A-5'!Q136),ISNUMBER('A-5'!Q230)),SUM('A-5'!Q183,'A-5'!Q136,'A-5'!Q230),IF(OR('A-5'!Q183="--",'A-5'!Q136="--",'A-5'!Q230="--"),"--","-"))</f>
        <v>-</v>
      </c>
      <c r="R136" s="203">
        <f>IF(OR(ISNUMBER('A-5'!R183),ISNUMBER('A-5'!R136),ISNUMBER('A-5'!R230)),SUM('A-5'!R183,'A-5'!R136,'A-5'!R230),IF(OR('A-5'!R183="--",'A-5'!R136="--",'A-5'!R230="--"),"--","-"))</f>
        <v>34</v>
      </c>
      <c r="S136" s="203">
        <f>IF(OR(ISNUMBER('A-5'!S183),ISNUMBER('A-5'!S136),ISNUMBER('A-5'!S230)),SUM('A-5'!S183,'A-5'!S136,'A-5'!S230),IF(OR('A-5'!S183="--",'A-5'!S136="--",'A-5'!S230="--"),"--","-"))</f>
        <v>86</v>
      </c>
      <c r="T136" s="203">
        <f>IF(OR(ISNUMBER('A-5'!T183),ISNUMBER('A-5'!T136),ISNUMBER('A-5'!T230)),SUM('A-5'!T183,'A-5'!T136,'A-5'!T230),IF(OR('A-5'!T183="--",'A-5'!T136="--",'A-5'!T230="--"),"--","-"))</f>
        <v>4</v>
      </c>
      <c r="U136" s="203" t="str">
        <f>IF(OR(ISNUMBER('A-5'!U183),ISNUMBER('A-5'!U136),ISNUMBER('A-5'!U230)),SUM('A-5'!U183,'A-5'!U136,'A-5'!U230),IF(OR('A-5'!U183="--",'A-5'!U136="--",'A-5'!U230="--"),"--","-"))</f>
        <v>-</v>
      </c>
      <c r="V136" s="203" t="str">
        <f>IF(OR(ISNUMBER('A-5'!V183),ISNUMBER('A-5'!V136),ISNUMBER('A-5'!V230)),SUM('A-5'!V183,'A-5'!V136,'A-5'!V230),IF(OR('A-5'!V183="--",'A-5'!V136="--",'A-5'!V230="--"),"--","-"))</f>
        <v>-</v>
      </c>
      <c r="W136" s="203" t="str">
        <f>IF(OR(ISNUMBER('A-5'!W183),ISNUMBER('A-5'!W136),ISNUMBER('A-5'!W230)),SUM('A-5'!W183,'A-5'!W136,'A-5'!W230),IF(OR('A-5'!W183="--",'A-5'!W136="--",'A-5'!W230="--"),"--","-"))</f>
        <v>-</v>
      </c>
      <c r="X136" s="203">
        <f>IF(AND('A-5'!X136="-",'A-5'!X183="-",'A-5'!X230="-"),"-",SUM('A-5'!X136,'A-5'!X183,'A-5'!X230))</f>
        <v>124</v>
      </c>
    </row>
    <row r="137" spans="1:25" ht="11.25" customHeight="1" x14ac:dyDescent="0.25">
      <c r="A137" s="402">
        <v>2014</v>
      </c>
      <c r="B137" s="203" t="str">
        <f>IF(AND('A-5'!B137="-",'A-5'!B184="-",'A-5'!B231="-"),"-",SUM('A-5'!B137,'A-5'!B184,'A-5'!B231))</f>
        <v>-</v>
      </c>
      <c r="C137" s="203" t="str">
        <f>IF(AND('A-5'!C137="-",'A-5'!C184="-",'A-5'!C231="-"),"-",SUM('A-5'!C137,'A-5'!C184,'A-5'!C231))</f>
        <v>-</v>
      </c>
      <c r="D137" s="203">
        <f>IF(AND('A-5'!D137="-",'A-5'!D184="-",'A-5'!D231="-"),"-",SUM('A-5'!D137,'A-5'!D184,'A-5'!D231))</f>
        <v>13924</v>
      </c>
      <c r="E137" s="203">
        <f>IF(AND('A-5'!E137="-",'A-5'!E184="-",'A-5'!E231="-"),"-",SUM('A-5'!E137,'A-5'!E184,'A-5'!E231))</f>
        <v>3912</v>
      </c>
      <c r="F137" s="203">
        <f>IF(AND('A-5'!F137="-",'A-5'!F184="-",'A-5'!F231="-"),"-",SUM('A-5'!F137,'A-5'!F184,'A-5'!F231))</f>
        <v>2699</v>
      </c>
      <c r="G137" s="203">
        <f>IF(AND('A-5'!G137="-",'A-5'!G184="-",'A-5'!G231="-"),"-",SUM('A-5'!G137,'A-5'!G184,'A-5'!G231))</f>
        <v>15235</v>
      </c>
      <c r="H137" s="203">
        <f>IF(AND('A-5'!H137="-",'A-5'!H184="-",'A-5'!H231="-"),"-",SUM('A-5'!H137,'A-5'!H184,'A-5'!H231))</f>
        <v>13642</v>
      </c>
      <c r="I137" s="203">
        <f>IF(AND('A-5'!I137="-",'A-5'!I184="-",'A-5'!I231="-"),"-",SUM('A-5'!I137,'A-5'!I184,'A-5'!I231))</f>
        <v>6403</v>
      </c>
      <c r="J137" s="203">
        <f>IF(AND('A-5'!J137="-",'A-5'!J184="-",'A-5'!J231="-"),"-",SUM('A-5'!J137,'A-5'!J184,'A-5'!J231))</f>
        <v>3073</v>
      </c>
      <c r="K137" s="203">
        <f>IF(AND('A-5'!K137="-",'A-5'!K184="-",'A-5'!K231="-"),"-",SUM('A-5'!K137,'A-5'!K184,'A-5'!K231))</f>
        <v>125</v>
      </c>
      <c r="L137" s="203">
        <f>IF(AND('A-5'!L137="-",'A-5'!L184="-",'A-5'!L231="-"),"-",SUM('A-5'!L137,'A-5'!L184,'A-5'!L231))</f>
        <v>59013</v>
      </c>
      <c r="M137" s="197"/>
      <c r="N137" s="203" t="str">
        <f>IF(OR(ISNUMBER('A-5'!N184),ISNUMBER('A-5'!N137),ISNUMBER('A-5'!N231)),SUM('A-5'!N184,'A-5'!N137,'A-5'!N231),IF(OR('A-5'!N184="--",'A-5'!N137="--",'A-5'!N231="--"),"--","-"))</f>
        <v>-</v>
      </c>
      <c r="O137" s="203" t="str">
        <f>IF(OR(ISNUMBER('A-5'!O184),ISNUMBER('A-5'!O137),ISNUMBER('A-5'!O231)),SUM('A-5'!O184,'A-5'!O137,'A-5'!O231),IF(OR('A-5'!O184="--",'A-5'!O137="--",'A-5'!O231="--"),"--","-"))</f>
        <v>-</v>
      </c>
      <c r="P137" s="203" t="str">
        <f>IF(OR(ISNUMBER('A-5'!P184),ISNUMBER('A-5'!P137),ISNUMBER('A-5'!P231)),SUM('A-5'!P184,'A-5'!P137,'A-5'!P231),IF(OR('A-5'!P184="--",'A-5'!P137="--",'A-5'!P231="--"),"--","-"))</f>
        <v>-</v>
      </c>
      <c r="Q137" s="203">
        <f>IF(OR(ISNUMBER('A-5'!Q184),ISNUMBER('A-5'!Q137),ISNUMBER('A-5'!Q231)),SUM('A-5'!Q184,'A-5'!Q137,'A-5'!Q231),IF(OR('A-5'!Q184="--",'A-5'!Q137="--",'A-5'!Q231="--"),"--","-"))</f>
        <v>4</v>
      </c>
      <c r="R137" s="203">
        <f>IF(OR(ISNUMBER('A-5'!R184),ISNUMBER('A-5'!R137),ISNUMBER('A-5'!R231)),SUM('A-5'!R184,'A-5'!R137,'A-5'!R231),IF(OR('A-5'!R184="--",'A-5'!R137="--",'A-5'!R231="--"),"--","-"))</f>
        <v>30</v>
      </c>
      <c r="S137" s="203">
        <f>IF(OR(ISNUMBER('A-5'!S184),ISNUMBER('A-5'!S137),ISNUMBER('A-5'!S231)),SUM('A-5'!S184,'A-5'!S137,'A-5'!S231),IF(OR('A-5'!S184="--",'A-5'!S137="--",'A-5'!S231="--"),"--","-"))</f>
        <v>163</v>
      </c>
      <c r="T137" s="203" t="str">
        <f>IF(OR(ISNUMBER('A-5'!T184),ISNUMBER('A-5'!T137),ISNUMBER('A-5'!T231)),SUM('A-5'!T184,'A-5'!T137,'A-5'!T231),IF(OR('A-5'!T184="--",'A-5'!T137="--",'A-5'!T231="--"),"--","-"))</f>
        <v>-</v>
      </c>
      <c r="U137" s="203" t="str">
        <f>IF(OR(ISNUMBER('A-5'!U184),ISNUMBER('A-5'!U137),ISNUMBER('A-5'!U231)),SUM('A-5'!U184,'A-5'!U137,'A-5'!U231),IF(OR('A-5'!U184="--",'A-5'!U137="--",'A-5'!U231="--"),"--","-"))</f>
        <v>-</v>
      </c>
      <c r="V137" s="203" t="str">
        <f>IF(OR(ISNUMBER('A-5'!V184),ISNUMBER('A-5'!V137),ISNUMBER('A-5'!V231)),SUM('A-5'!V184,'A-5'!V137,'A-5'!V231),IF(OR('A-5'!V184="--",'A-5'!V137="--",'A-5'!V231="--"),"--","-"))</f>
        <v>-</v>
      </c>
      <c r="W137" s="203" t="str">
        <f>IF(OR(ISNUMBER('A-5'!W184),ISNUMBER('A-5'!W137),ISNUMBER('A-5'!W231)),SUM('A-5'!W184,'A-5'!W137,'A-5'!W231),IF(OR('A-5'!W184="--",'A-5'!W137="--",'A-5'!W231="--"),"--","-"))</f>
        <v>-</v>
      </c>
      <c r="X137" s="203">
        <f>IF(AND('A-5'!X137="-",'A-5'!X184="-",'A-5'!X231="-"),"-",SUM('A-5'!X137,'A-5'!X184,'A-5'!X231))</f>
        <v>197</v>
      </c>
    </row>
    <row r="138" spans="1:25" ht="11.25" customHeight="1" x14ac:dyDescent="0.25">
      <c r="A138" s="402">
        <v>2015</v>
      </c>
      <c r="B138" s="203" t="str">
        <f>IF(AND('A-5'!B138="-",'A-5'!B185="-",'A-5'!B232="-"),"-",SUM('A-5'!B138,'A-5'!B185,'A-5'!B232))</f>
        <v>-</v>
      </c>
      <c r="C138" s="203" t="str">
        <f>IF(AND('A-5'!C138="-",'A-5'!C185="-",'A-5'!C232="-"),"-",SUM('A-5'!C138,'A-5'!C185,'A-5'!C232))</f>
        <v>-</v>
      </c>
      <c r="D138" s="203">
        <f>IF(AND('A-5'!D138="-",'A-5'!D185="-",'A-5'!D232="-"),"-",SUM('A-5'!D138,'A-5'!D185,'A-5'!D232))</f>
        <v>3024</v>
      </c>
      <c r="E138" s="203">
        <f>IF(AND('A-5'!E138="-",'A-5'!E185="-",'A-5'!E232="-"),"-",SUM('A-5'!E138,'A-5'!E185,'A-5'!E232))</f>
        <v>1893</v>
      </c>
      <c r="F138" s="203">
        <f>IF(AND('A-5'!F138="-",'A-5'!F185="-",'A-5'!F232="-"),"-",SUM('A-5'!F138,'A-5'!F185,'A-5'!F232))</f>
        <v>3154</v>
      </c>
      <c r="G138" s="203">
        <f>IF(AND('A-5'!G138="-",'A-5'!G185="-",'A-5'!G232="-"),"-",SUM('A-5'!G138,'A-5'!G185,'A-5'!G232))</f>
        <v>8510</v>
      </c>
      <c r="H138" s="203">
        <f>IF(AND('A-5'!H138="-",'A-5'!H185="-",'A-5'!H232="-"),"-",SUM('A-5'!H138,'A-5'!H185,'A-5'!H232))</f>
        <v>7435</v>
      </c>
      <c r="I138" s="203">
        <f>IF(AND('A-5'!I138="-",'A-5'!I185="-",'A-5'!I232="-"),"-",SUM('A-5'!I138,'A-5'!I185,'A-5'!I232))</f>
        <v>8197</v>
      </c>
      <c r="J138" s="203">
        <f>IF(AND('A-5'!J138="-",'A-5'!J185="-",'A-5'!J232="-"),"-",SUM('A-5'!J138,'A-5'!J185,'A-5'!J232))</f>
        <v>1577</v>
      </c>
      <c r="K138" s="203">
        <f>IF(AND('A-5'!K138="-",'A-5'!K185="-",'A-5'!K232="-"),"-",SUM('A-5'!K138,'A-5'!K185,'A-5'!K232))</f>
        <v>0</v>
      </c>
      <c r="L138" s="203">
        <f>IF(AND('A-5'!L138="-",'A-5'!L185="-",'A-5'!L232="-"),"-",SUM('A-5'!L138,'A-5'!L185,'A-5'!L232))</f>
        <v>33790</v>
      </c>
      <c r="M138" s="197"/>
      <c r="N138" s="203" t="str">
        <f>IF(OR(ISNUMBER('A-5'!N185),ISNUMBER('A-5'!N138),ISNUMBER('A-5'!N232)),SUM('A-5'!N185,'A-5'!N138,'A-5'!N232),IF(OR('A-5'!N185="--",'A-5'!N138="--",'A-5'!N232="--"),"--","-"))</f>
        <v>-</v>
      </c>
      <c r="O138" s="203" t="str">
        <f>IF(OR(ISNUMBER('A-5'!O185),ISNUMBER('A-5'!O138),ISNUMBER('A-5'!O232)),SUM('A-5'!O185,'A-5'!O138,'A-5'!O232),IF(OR('A-5'!O185="--",'A-5'!O138="--",'A-5'!O232="--"),"--","-"))</f>
        <v>-</v>
      </c>
      <c r="P138" s="203" t="str">
        <f>IF(OR(ISNUMBER('A-5'!P185),ISNUMBER('A-5'!P138),ISNUMBER('A-5'!P232)),SUM('A-5'!P185,'A-5'!P138,'A-5'!P232),IF(OR('A-5'!P185="--",'A-5'!P138="--",'A-5'!P232="--"),"--","-"))</f>
        <v>-</v>
      </c>
      <c r="Q138" s="203">
        <f>IF(OR(ISNUMBER('A-5'!Q185),ISNUMBER('A-5'!Q138),ISNUMBER('A-5'!Q232)),SUM('A-5'!Q185,'A-5'!Q138,'A-5'!Q232),IF(OR('A-5'!Q185="--",'A-5'!Q138="--",'A-5'!Q232="--"),"--","-"))</f>
        <v>5</v>
      </c>
      <c r="R138" s="203">
        <f>IF(OR(ISNUMBER('A-5'!R185),ISNUMBER('A-5'!R138),ISNUMBER('A-5'!R232)),SUM('A-5'!R185,'A-5'!R138,'A-5'!R232),IF(OR('A-5'!R185="--",'A-5'!R138="--",'A-5'!R232="--"),"--","-"))</f>
        <v>4</v>
      </c>
      <c r="S138" s="203">
        <f>IF(OR(ISNUMBER('A-5'!S185),ISNUMBER('A-5'!S138),ISNUMBER('A-5'!S232)),SUM('A-5'!S185,'A-5'!S138,'A-5'!S232),IF(OR('A-5'!S185="--",'A-5'!S138="--",'A-5'!S232="--"),"--","-"))</f>
        <v>15</v>
      </c>
      <c r="T138" s="203">
        <f>IF(OR(ISNUMBER('A-5'!T185),ISNUMBER('A-5'!T138),ISNUMBER('A-5'!T232)),SUM('A-5'!T185,'A-5'!T138,'A-5'!T232),IF(OR('A-5'!T185="--",'A-5'!T138="--",'A-5'!T232="--"),"--","-"))</f>
        <v>5</v>
      </c>
      <c r="U138" s="203" t="str">
        <f>IF(OR(ISNUMBER('A-5'!U185),ISNUMBER('A-5'!U138),ISNUMBER('A-5'!U232)),SUM('A-5'!U185,'A-5'!U138,'A-5'!U232),IF(OR('A-5'!U185="--",'A-5'!U138="--",'A-5'!U232="--"),"--","-"))</f>
        <v>-</v>
      </c>
      <c r="V138" s="203" t="str">
        <f>IF(OR(ISNUMBER('A-5'!V185),ISNUMBER('A-5'!V138),ISNUMBER('A-5'!V232)),SUM('A-5'!V185,'A-5'!V138,'A-5'!V232),IF(OR('A-5'!V185="--",'A-5'!V138="--",'A-5'!V232="--"),"--","-"))</f>
        <v>-</v>
      </c>
      <c r="W138" s="203" t="str">
        <f>IF(OR(ISNUMBER('A-5'!W185),ISNUMBER('A-5'!W138),ISNUMBER('A-5'!W232)),SUM('A-5'!W185,'A-5'!W138,'A-5'!W232),IF(OR('A-5'!W185="--",'A-5'!W138="--",'A-5'!W232="--"),"--","-"))</f>
        <v>-</v>
      </c>
      <c r="X138" s="203">
        <f>IF(AND('A-5'!X138="-",'A-5'!X185="-",'A-5'!X232="-"),"-",SUM('A-5'!X138,'A-5'!X185,'A-5'!X232))</f>
        <v>29</v>
      </c>
    </row>
    <row r="139" spans="1:25" ht="11.25" customHeight="1" x14ac:dyDescent="0.25">
      <c r="A139" s="402">
        <v>2016</v>
      </c>
      <c r="B139" s="203" t="str">
        <f>IF(AND('A-5'!B139="-",'A-5'!B186="-",'A-5'!B233="-"),"-",SUM('A-5'!B139,'A-5'!B186,'A-5'!B233))</f>
        <v>-</v>
      </c>
      <c r="C139" s="203" t="str">
        <f>IF(AND('A-5'!C139="-",'A-5'!C186="-",'A-5'!C233="-"),"-",SUM('A-5'!C139,'A-5'!C186,'A-5'!C233))</f>
        <v>-</v>
      </c>
      <c r="D139" s="203">
        <f>IF(AND('A-5'!D139="-",'A-5'!D186="-",'A-5'!D233="-"),"-",SUM('A-5'!D139,'A-5'!D186,'A-5'!D233))</f>
        <v>2030</v>
      </c>
      <c r="E139" s="203">
        <f>IF(AND('A-5'!E139="-",'A-5'!E186="-",'A-5'!E233="-"),"-",SUM('A-5'!E139,'A-5'!E186,'A-5'!E233))</f>
        <v>4239</v>
      </c>
      <c r="F139" s="203">
        <f>IF(AND('A-5'!F139="-",'A-5'!F186="-",'A-5'!F233="-"),"-",SUM('A-5'!F139,'A-5'!F186,'A-5'!F233))</f>
        <v>1522</v>
      </c>
      <c r="G139" s="203">
        <f>IF(AND('A-5'!G139="-",'A-5'!G186="-",'A-5'!G233="-"),"-",SUM('A-5'!G139,'A-5'!G186,'A-5'!G233))</f>
        <v>11549</v>
      </c>
      <c r="H139" s="203">
        <f>IF(AND('A-5'!H139="-",'A-5'!H186="-",'A-5'!H233="-"),"-",SUM('A-5'!H139,'A-5'!H186,'A-5'!H233))</f>
        <v>7101</v>
      </c>
      <c r="I139" s="203">
        <f>IF(AND('A-5'!I139="-",'A-5'!I186="-",'A-5'!I233="-"),"-",SUM('A-5'!I139,'A-5'!I186,'A-5'!I233))</f>
        <v>5933</v>
      </c>
      <c r="J139" s="203">
        <f>IF(AND('A-5'!J139="-",'A-5'!J186="-",'A-5'!J233="-"),"-",SUM('A-5'!J139,'A-5'!J186,'A-5'!J233))</f>
        <v>638</v>
      </c>
      <c r="K139" s="203">
        <f>IF(AND('A-5'!K139="-",'A-5'!K186="-",'A-5'!K233="-"),"-",SUM('A-5'!K139,'A-5'!K186,'A-5'!K233))</f>
        <v>0</v>
      </c>
      <c r="L139" s="203">
        <f>IF(AND('A-5'!L139="-",'A-5'!L186="-",'A-5'!L233="-"),"-",SUM('A-5'!L139,'A-5'!L186,'A-5'!L233))</f>
        <v>33012</v>
      </c>
      <c r="M139" s="197"/>
      <c r="N139" s="203" t="str">
        <f>IF(OR(ISNUMBER('A-5'!N186),ISNUMBER('A-5'!N139),ISNUMBER('A-5'!N233)),SUM('A-5'!N186,'A-5'!N139,'A-5'!N233),IF(OR('A-5'!N186="--",'A-5'!N139="--",'A-5'!N233="--"),"--","-"))</f>
        <v>-</v>
      </c>
      <c r="O139" s="203" t="str">
        <f>IF(OR(ISNUMBER('A-5'!O186),ISNUMBER('A-5'!O139),ISNUMBER('A-5'!O233)),SUM('A-5'!O186,'A-5'!O139,'A-5'!O233),IF(OR('A-5'!O186="--",'A-5'!O139="--",'A-5'!O233="--"),"--","-"))</f>
        <v>-</v>
      </c>
      <c r="P139" s="203" t="str">
        <f>IF(OR(ISNUMBER('A-5'!P186),ISNUMBER('A-5'!P139),ISNUMBER('A-5'!P233)),SUM('A-5'!P186,'A-5'!P139,'A-5'!P233),IF(OR('A-5'!P186="--",'A-5'!P139="--",'A-5'!P233="--"),"--","-"))</f>
        <v>-</v>
      </c>
      <c r="Q139" s="203" t="str">
        <f>IF(OR(ISNUMBER('A-5'!Q186),ISNUMBER('A-5'!Q139),ISNUMBER('A-5'!Q233)),SUM('A-5'!Q186,'A-5'!Q139,'A-5'!Q233),IF(OR('A-5'!Q186="--",'A-5'!Q139="--",'A-5'!Q233="--"),"--","-"))</f>
        <v>-</v>
      </c>
      <c r="R139" s="203" t="str">
        <f>IF(OR(ISNUMBER('A-5'!R186),ISNUMBER('A-5'!R139),ISNUMBER('A-5'!R233)),SUM('A-5'!R186,'A-5'!R139,'A-5'!R233),IF(OR('A-5'!R186="--",'A-5'!R139="--",'A-5'!R233="--"),"--","-"))</f>
        <v>-</v>
      </c>
      <c r="S139" s="203">
        <f>IF(OR(ISNUMBER('A-5'!S186),ISNUMBER('A-5'!S139),ISNUMBER('A-5'!S233)),SUM('A-5'!S186,'A-5'!S139,'A-5'!S233),IF(OR('A-5'!S186="--",'A-5'!S139="--",'A-5'!S233="--"),"--","-"))</f>
        <v>35</v>
      </c>
      <c r="T139" s="203">
        <f>IF(OR(ISNUMBER('A-5'!T186),ISNUMBER('A-5'!T139),ISNUMBER('A-5'!T233)),SUM('A-5'!T186,'A-5'!T139,'A-5'!T233),IF(OR('A-5'!T186="--",'A-5'!T139="--",'A-5'!T233="--"),"--","-"))</f>
        <v>8</v>
      </c>
      <c r="U139" s="203" t="str">
        <f>IF(OR(ISNUMBER('A-5'!U186),ISNUMBER('A-5'!U139),ISNUMBER('A-5'!U233)),SUM('A-5'!U186,'A-5'!U139,'A-5'!U233),IF(OR('A-5'!U186="--",'A-5'!U139="--",'A-5'!U233="--"),"--","-"))</f>
        <v>-</v>
      </c>
      <c r="V139" s="203" t="str">
        <f>IF(OR(ISNUMBER('A-5'!V186),ISNUMBER('A-5'!V139),ISNUMBER('A-5'!V233)),SUM('A-5'!V186,'A-5'!V139,'A-5'!V233),IF(OR('A-5'!V186="--",'A-5'!V139="--",'A-5'!V233="--"),"--","-"))</f>
        <v>-</v>
      </c>
      <c r="W139" s="203" t="str">
        <f>IF(OR(ISNUMBER('A-5'!W186),ISNUMBER('A-5'!W139),ISNUMBER('A-5'!W233)),SUM('A-5'!W186,'A-5'!W139,'A-5'!W233),IF(OR('A-5'!W186="--",'A-5'!W139="--",'A-5'!W233="--"),"--","-"))</f>
        <v>-</v>
      </c>
      <c r="X139" s="203">
        <f>IF(AND('A-5'!X139="-",'A-5'!X186="-",'A-5'!X233="-"),"-",SUM('A-5'!X139,'A-5'!X186,'A-5'!X233))</f>
        <v>43</v>
      </c>
    </row>
    <row r="140" spans="1:25" ht="11.25" customHeight="1" x14ac:dyDescent="0.25">
      <c r="A140" s="402">
        <v>2017</v>
      </c>
      <c r="B140" s="203" t="str">
        <f>IF(AND('A-5'!B140="-",'A-5'!B187="-",'A-5'!B234="-"),"-",SUM('A-5'!B140,'A-5'!B187,'A-5'!B234))</f>
        <v>-</v>
      </c>
      <c r="C140" s="203" t="str">
        <f>IF(AND('A-5'!C140="-",'A-5'!C187="-",'A-5'!C234="-"),"-",SUM('A-5'!C140,'A-5'!C187,'A-5'!C234))</f>
        <v>-</v>
      </c>
      <c r="D140" s="203">
        <f>IF(AND('A-5'!D140="-",'A-5'!D187="-",'A-5'!D234="-"),"-",SUM('A-5'!D140,'A-5'!D187,'A-5'!D234))</f>
        <v>4298</v>
      </c>
      <c r="E140" s="203">
        <f>IF(AND('A-5'!E140="-",'A-5'!E187="-",'A-5'!E234="-"),"-",SUM('A-5'!E140,'A-5'!E187,'A-5'!E234))</f>
        <v>2305</v>
      </c>
      <c r="F140" s="203">
        <f>IF(AND('A-5'!F140="-",'A-5'!F187="-",'A-5'!F234="-"),"-",SUM('A-5'!F140,'A-5'!F187,'A-5'!F234))</f>
        <v>5433</v>
      </c>
      <c r="G140" s="203">
        <f>IF(AND('A-5'!G140="-",'A-5'!G187="-",'A-5'!G234="-"),"-",SUM('A-5'!G140,'A-5'!G187,'A-5'!G234))</f>
        <v>26241</v>
      </c>
      <c r="H140" s="203">
        <f>IF(AND('A-5'!H140="-",'A-5'!H187="-",'A-5'!H234="-"),"-",SUM('A-5'!H140,'A-5'!H187,'A-5'!H234))</f>
        <v>18809</v>
      </c>
      <c r="I140" s="203">
        <f>IF(AND('A-5'!I140="-",'A-5'!I187="-",'A-5'!I234="-"),"-",SUM('A-5'!I140,'A-5'!I187,'A-5'!I234))</f>
        <v>4260</v>
      </c>
      <c r="J140" s="203">
        <f>IF(AND('A-5'!J140="-",'A-5'!J187="-",'A-5'!J234="-"),"-",SUM('A-5'!J140,'A-5'!J187,'A-5'!J234))</f>
        <v>851</v>
      </c>
      <c r="K140" s="203">
        <f>IF(AND('A-5'!K140="-",'A-5'!K187="-",'A-5'!K234="-"),"-",SUM('A-5'!K140,'A-5'!K187,'A-5'!K234))</f>
        <v>0</v>
      </c>
      <c r="L140" s="203">
        <f>IF(AND('A-5'!L140="-",'A-5'!L187="-",'A-5'!L234="-"),"-",SUM('A-5'!L140,'A-5'!L187,'A-5'!L234))</f>
        <v>62197</v>
      </c>
      <c r="M140" s="197"/>
      <c r="N140" s="203" t="str">
        <f>IF(OR(ISNUMBER('A-5'!N187),ISNUMBER('A-5'!N140),ISNUMBER('A-5'!N234)),SUM('A-5'!N187,'A-5'!N140,'A-5'!N234),IF(OR('A-5'!N187="--",'A-5'!N140="--",'A-5'!N234="--"),"--","-"))</f>
        <v>-</v>
      </c>
      <c r="O140" s="203" t="str">
        <f>IF(OR(ISNUMBER('A-5'!O187),ISNUMBER('A-5'!O140),ISNUMBER('A-5'!O234)),SUM('A-5'!O187,'A-5'!O140,'A-5'!O234),IF(OR('A-5'!O187="--",'A-5'!O140="--",'A-5'!O234="--"),"--","-"))</f>
        <v>-</v>
      </c>
      <c r="P140" s="203" t="str">
        <f>IF(OR(ISNUMBER('A-5'!P187),ISNUMBER('A-5'!P140),ISNUMBER('A-5'!P234)),SUM('A-5'!P187,'A-5'!P140,'A-5'!P234),IF(OR('A-5'!P187="--",'A-5'!P140="--",'A-5'!P234="--"),"--","-"))</f>
        <v>-</v>
      </c>
      <c r="Q140" s="203">
        <f>IF(OR(ISNUMBER('A-5'!Q187),ISNUMBER('A-5'!Q140),ISNUMBER('A-5'!Q234)),SUM('A-5'!Q187,'A-5'!Q140,'A-5'!Q234),IF(OR('A-5'!Q187="--",'A-5'!Q140="--",'A-5'!Q234="--"),"--","-"))</f>
        <v>3</v>
      </c>
      <c r="R140" s="203" t="str">
        <f>IF(OR(ISNUMBER('A-5'!R187),ISNUMBER('A-5'!R140),ISNUMBER('A-5'!R234)),SUM('A-5'!R187,'A-5'!R140,'A-5'!R234),IF(OR('A-5'!R187="--",'A-5'!R140="--",'A-5'!R234="--"),"--","-"))</f>
        <v>-</v>
      </c>
      <c r="S140" s="203">
        <f>IF(OR(ISNUMBER('A-5'!S187),ISNUMBER('A-5'!S140),ISNUMBER('A-5'!S234)),SUM('A-5'!S187,'A-5'!S140,'A-5'!S234),IF(OR('A-5'!S187="--",'A-5'!S140="--",'A-5'!S234="--"),"--","-"))</f>
        <v>418</v>
      </c>
      <c r="T140" s="203">
        <f>IF(OR(ISNUMBER('A-5'!T187),ISNUMBER('A-5'!T140),ISNUMBER('A-5'!T234)),SUM('A-5'!T187,'A-5'!T140,'A-5'!T234),IF(OR('A-5'!T187="--",'A-5'!T140="--",'A-5'!T234="--"),"--","-"))</f>
        <v>44</v>
      </c>
      <c r="U140" s="203" t="str">
        <f>IF(OR(ISNUMBER('A-5'!U187),ISNUMBER('A-5'!U140),ISNUMBER('A-5'!U234)),SUM('A-5'!U187,'A-5'!U140,'A-5'!U234),IF(OR('A-5'!U187="--",'A-5'!U140="--",'A-5'!U234="--"),"--","-"))</f>
        <v>-</v>
      </c>
      <c r="V140" s="203" t="str">
        <f>IF(OR(ISNUMBER('A-5'!V187),ISNUMBER('A-5'!V140),ISNUMBER('A-5'!V234)),SUM('A-5'!V187,'A-5'!V140,'A-5'!V234),IF(OR('A-5'!V187="--",'A-5'!V140="--",'A-5'!V234="--"),"--","-"))</f>
        <v>-</v>
      </c>
      <c r="W140" s="203" t="str">
        <f>IF(OR(ISNUMBER('A-5'!W187),ISNUMBER('A-5'!W140),ISNUMBER('A-5'!W234)),SUM('A-5'!W187,'A-5'!W140,'A-5'!W234),IF(OR('A-5'!W187="--",'A-5'!W140="--",'A-5'!W234="--"),"--","-"))</f>
        <v>-</v>
      </c>
      <c r="X140" s="203">
        <f>IF(AND('A-5'!X140="-",'A-5'!X187="-",'A-5'!X234="-"),"-",SUM('A-5'!X140,'A-5'!X187,'A-5'!X234))</f>
        <v>465</v>
      </c>
    </row>
    <row r="141" spans="1:25" s="358" customFormat="1" ht="11.25" customHeight="1" x14ac:dyDescent="0.25">
      <c r="A141" s="402">
        <v>2018</v>
      </c>
      <c r="B141" s="203" t="str">
        <f>IF(AND('A-5'!B141="-",'A-5'!B188="-",'A-5'!B235="-"),"-",SUM('A-5'!B141,'A-5'!B188,'A-5'!B235))</f>
        <v>-</v>
      </c>
      <c r="C141" s="203" t="str">
        <f>IF(AND('A-5'!C141="-",'A-5'!C188="-",'A-5'!C235="-"),"-",SUM('A-5'!C141,'A-5'!C188,'A-5'!C235))</f>
        <v>-</v>
      </c>
      <c r="D141" s="203">
        <f>IF(AND('A-5'!D141="-",'A-5'!D188="-",'A-5'!D235="-"),"-",SUM('A-5'!D141,'A-5'!D188,'A-5'!D235))</f>
        <v>3935</v>
      </c>
      <c r="E141" s="203">
        <f>IF(AND('A-5'!E141="-",'A-5'!E188="-",'A-5'!E235="-"),"-",SUM('A-5'!E141,'A-5'!E188,'A-5'!E235))</f>
        <v>476</v>
      </c>
      <c r="F141" s="203">
        <f>IF(AND('A-5'!F141="-",'A-5'!F188="-",'A-5'!F235="-"),"-",SUM('A-5'!F141,'A-5'!F188,'A-5'!F235))</f>
        <v>13058</v>
      </c>
      <c r="G141" s="203">
        <f>IF(AND('A-5'!G141="-",'A-5'!G188="-",'A-5'!G235="-"),"-",SUM('A-5'!G141,'A-5'!G188,'A-5'!G235))</f>
        <v>41588</v>
      </c>
      <c r="H141" s="203">
        <f>IF(AND('A-5'!H141="-",'A-5'!H188="-",'A-5'!H235="-"),"-",SUM('A-5'!H141,'A-5'!H188,'A-5'!H235))</f>
        <v>13563</v>
      </c>
      <c r="I141" s="203">
        <f>IF(AND('A-5'!I141="-",'A-5'!I188="-",'A-5'!I235="-"),"-",SUM('A-5'!I141,'A-5'!I188,'A-5'!I235))</f>
        <v>6784</v>
      </c>
      <c r="J141" s="203">
        <f>IF(AND('A-5'!J141="-",'A-5'!J188="-",'A-5'!J235="-"),"-",SUM('A-5'!J141,'A-5'!J188,'A-5'!J235))</f>
        <v>4172</v>
      </c>
      <c r="K141" s="203" t="str">
        <f>IF(AND('A-5'!K141="-",'A-5'!K188="-",'A-5'!K235="-"),"-",SUM('A-5'!K141,'A-5'!K188,'A-5'!K235))</f>
        <v>-</v>
      </c>
      <c r="L141" s="203">
        <f>IF(AND('A-5'!L141="-",'A-5'!L188="-",'A-5'!L235="-"),"-",SUM('A-5'!L141,'A-5'!L188,'A-5'!L235))</f>
        <v>83576</v>
      </c>
      <c r="N141" s="203" t="str">
        <f>IF(OR(ISNUMBER('A-5'!N188),ISNUMBER('A-5'!N141),ISNUMBER('A-5'!N235)),SUM('A-5'!N188,'A-5'!N141,'A-5'!N235),IF(OR('A-5'!N188="--",'A-5'!N141="--",'A-5'!N235="--"),"--","-"))</f>
        <v>-</v>
      </c>
      <c r="O141" s="203" t="str">
        <f>IF(OR(ISNUMBER('A-5'!O188),ISNUMBER('A-5'!O141),ISNUMBER('A-5'!O235)),SUM('A-5'!O188,'A-5'!O141,'A-5'!O235),IF(OR('A-5'!O188="--",'A-5'!O141="--",'A-5'!O235="--"),"--","-"))</f>
        <v>-</v>
      </c>
      <c r="P141" s="203" t="str">
        <f>IF(OR(ISNUMBER('A-5'!P188),ISNUMBER('A-5'!P141),ISNUMBER('A-5'!P235)),SUM('A-5'!P188,'A-5'!P141,'A-5'!P235),IF(OR('A-5'!P188="--",'A-5'!P141="--",'A-5'!P235="--"),"--","-"))</f>
        <v>-</v>
      </c>
      <c r="Q141" s="203" t="str">
        <f>IF(OR(ISNUMBER('A-5'!Q188),ISNUMBER('A-5'!Q141),ISNUMBER('A-5'!Q235)),SUM('A-5'!Q188,'A-5'!Q141,'A-5'!Q235),IF(OR('A-5'!Q188="--",'A-5'!Q141="--",'A-5'!Q235="--"),"--","-"))</f>
        <v>-</v>
      </c>
      <c r="R141" s="203">
        <f>IF(OR(ISNUMBER('A-5'!R188),ISNUMBER('A-5'!R141),ISNUMBER('A-5'!R235)),SUM('A-5'!R188,'A-5'!R141,'A-5'!R235),IF(OR('A-5'!R188="--",'A-5'!R141="--",'A-5'!R235="--"),"--","-"))</f>
        <v>5</v>
      </c>
      <c r="S141" s="203">
        <f>IF(OR(ISNUMBER('A-5'!S188),ISNUMBER('A-5'!S141),ISNUMBER('A-5'!S235)),SUM('A-5'!S188,'A-5'!S141,'A-5'!S235),IF(OR('A-5'!S188="--",'A-5'!S141="--",'A-5'!S235="--"),"--","-"))</f>
        <v>76</v>
      </c>
      <c r="T141" s="203">
        <f>IF(OR(ISNUMBER('A-5'!T188),ISNUMBER('A-5'!T141),ISNUMBER('A-5'!T235)),SUM('A-5'!T188,'A-5'!T141,'A-5'!T235),IF(OR('A-5'!T188="--",'A-5'!T141="--",'A-5'!T235="--"),"--","-"))</f>
        <v>4</v>
      </c>
      <c r="U141" s="203">
        <f>IF(OR(ISNUMBER('A-5'!U188),ISNUMBER('A-5'!U141),ISNUMBER('A-5'!U235)),SUM('A-5'!U188,'A-5'!U141,'A-5'!U235),IF(OR('A-5'!U188="--",'A-5'!U141="--",'A-5'!U235="--"),"--","-"))</f>
        <v>8</v>
      </c>
      <c r="V141" s="203" t="str">
        <f>IF(OR(ISNUMBER('A-5'!V188),ISNUMBER('A-5'!V141),ISNUMBER('A-5'!V235)),SUM('A-5'!V188,'A-5'!V141,'A-5'!V235),IF(OR('A-5'!V188="--",'A-5'!V141="--",'A-5'!V235="--"),"--","-"))</f>
        <v>-</v>
      </c>
      <c r="W141" s="203" t="str">
        <f>IF(OR(ISNUMBER('A-5'!W188),ISNUMBER('A-5'!W141),ISNUMBER('A-5'!W235)),SUM('A-5'!W188,'A-5'!W141,'A-5'!W235),IF(OR('A-5'!W188="--",'A-5'!W141="--",'A-5'!W235="--"),"--","-"))</f>
        <v>-</v>
      </c>
      <c r="X141" s="203">
        <f>IF(AND('A-5'!X141="-",'A-5'!X188="-",'A-5'!X235="-"),"-",SUM('A-5'!X141,'A-5'!X188,'A-5'!X235))</f>
        <v>93</v>
      </c>
    </row>
    <row r="142" spans="1:25" s="358" customFormat="1" ht="11.25" customHeight="1" x14ac:dyDescent="0.25">
      <c r="A142" s="123" t="s">
        <v>403</v>
      </c>
      <c r="B142" s="203" t="str">
        <f>IF(AND('A-5'!B142="-",'A-5'!B189="-",'A-5'!B236="-"),"-",SUM('A-5'!B142,'A-5'!B189,'A-5'!B236))</f>
        <v>-</v>
      </c>
      <c r="C142" s="203" t="str">
        <f>IF(AND('A-5'!C142="-",'A-5'!C189="-",'A-5'!C236="-"),"-",SUM('A-5'!C142,'A-5'!C189,'A-5'!C236))</f>
        <v>-</v>
      </c>
      <c r="D142" s="203">
        <f>IF(AND('A-5'!D142="-",'A-5'!D189="-",'A-5'!D236="-"),"-",SUM('A-5'!D142,'A-5'!D189,'A-5'!D236))</f>
        <v>16780</v>
      </c>
      <c r="E142" s="203">
        <f>IF(AND('A-5'!E142="-",'A-5'!E189="-",'A-5'!E236="-"),"-",SUM('A-5'!E142,'A-5'!E189,'A-5'!E236))</f>
        <v>3163</v>
      </c>
      <c r="F142" s="203">
        <f>IF(AND('A-5'!F142="-",'A-5'!F189="-",'A-5'!F236="-"),"-",SUM('A-5'!F142,'A-5'!F189,'A-5'!F236))</f>
        <v>18565</v>
      </c>
      <c r="G142" s="203">
        <f>IF(AND('A-5'!G142="-",'A-5'!G189="-",'A-5'!G236="-"),"-",SUM('A-5'!G142,'A-5'!G189,'A-5'!G236))</f>
        <v>20895</v>
      </c>
      <c r="H142" s="203">
        <f>IF(AND('A-5'!H142="-",'A-5'!H189="-",'A-5'!H236="-"),"-",SUM('A-5'!H142,'A-5'!H189,'A-5'!H236))</f>
        <v>19965</v>
      </c>
      <c r="I142" s="203">
        <f>IF(AND('A-5'!I142="-",'A-5'!I189="-",'A-5'!I236="-"),"-",SUM('A-5'!I142,'A-5'!I189,'A-5'!I236))</f>
        <v>3671</v>
      </c>
      <c r="J142" s="203">
        <f>IF(AND('A-5'!J142="-",'A-5'!J189="-",'A-5'!J236="-"),"-",SUM('A-5'!J142,'A-5'!J189,'A-5'!J236))</f>
        <v>468</v>
      </c>
      <c r="K142" s="203" t="str">
        <f>IF(AND('A-5'!K142="-",'A-5'!K189="-",'A-5'!K236="-"),"-",SUM('A-5'!K142,'A-5'!K189,'A-5'!K236))</f>
        <v>-</v>
      </c>
      <c r="L142" s="203">
        <f>IF(AND('A-5'!L142="-",'A-5'!L189="-",'A-5'!L236="-"),"-",SUM('A-5'!L142,'A-5'!L189,'A-5'!L236))</f>
        <v>83507</v>
      </c>
      <c r="N142" s="203" t="str">
        <f>IF(OR(ISNUMBER('A-5'!N189),ISNUMBER('A-5'!N142),ISNUMBER('A-5'!N236)),SUM('A-5'!N189,'A-5'!N142,'A-5'!N236),IF(OR('A-5'!N189="--",'A-5'!N142="--",'A-5'!N236="--"),"--","-"))</f>
        <v>-</v>
      </c>
      <c r="O142" s="203" t="str">
        <f>IF(OR(ISNUMBER('A-5'!O189),ISNUMBER('A-5'!O142),ISNUMBER('A-5'!O236)),SUM('A-5'!O189,'A-5'!O142,'A-5'!O236),IF(OR('A-5'!O189="--",'A-5'!O142="--",'A-5'!O236="--"),"--","-"))</f>
        <v>-</v>
      </c>
      <c r="P142" s="203" t="str">
        <f>IF(OR(ISNUMBER('A-5'!P189),ISNUMBER('A-5'!P142),ISNUMBER('A-5'!P236)),SUM('A-5'!P189,'A-5'!P142,'A-5'!P236),IF(OR('A-5'!P189="--",'A-5'!P142="--",'A-5'!P236="--"),"--","-"))</f>
        <v>-</v>
      </c>
      <c r="Q142" s="203">
        <f>IF(OR(ISNUMBER('A-5'!Q189),ISNUMBER('A-5'!Q142),ISNUMBER('A-5'!Q236)),SUM('A-5'!Q189,'A-5'!Q142,'A-5'!Q236),IF(OR('A-5'!Q189="--",'A-5'!Q142="--",'A-5'!Q236="--"),"--","-"))</f>
        <v>2</v>
      </c>
      <c r="R142" s="203">
        <f>IF(OR(ISNUMBER('A-5'!R189),ISNUMBER('A-5'!R142),ISNUMBER('A-5'!R236)),SUM('A-5'!R189,'A-5'!R142,'A-5'!R236),IF(OR('A-5'!R189="--",'A-5'!R142="--",'A-5'!R236="--"),"--","-"))</f>
        <v>115</v>
      </c>
      <c r="S142" s="203">
        <f>IF(OR(ISNUMBER('A-5'!S189),ISNUMBER('A-5'!S142),ISNUMBER('A-5'!S236)),SUM('A-5'!S189,'A-5'!S142,'A-5'!S236),IF(OR('A-5'!S189="--",'A-5'!S142="--",'A-5'!S236="--"),"--","-"))</f>
        <v>52</v>
      </c>
      <c r="T142" s="203">
        <f>IF(OR(ISNUMBER('A-5'!T189),ISNUMBER('A-5'!T142),ISNUMBER('A-5'!T236)),SUM('A-5'!T189,'A-5'!T142,'A-5'!T236),IF(OR('A-5'!T189="--",'A-5'!T142="--",'A-5'!T236="--"),"--","-"))</f>
        <v>353</v>
      </c>
      <c r="U142" s="203">
        <f>IF(OR(ISNUMBER('A-5'!U189),ISNUMBER('A-5'!U142),ISNUMBER('A-5'!U236)),SUM('A-5'!U189,'A-5'!U142,'A-5'!U236),IF(OR('A-5'!U189="--",'A-5'!U142="--",'A-5'!U236="--"),"--","-"))</f>
        <v>14</v>
      </c>
      <c r="V142" s="203">
        <f>IF(OR(ISNUMBER('A-5'!V189),ISNUMBER('A-5'!V142),ISNUMBER('A-5'!V236)),SUM('A-5'!V189,'A-5'!V142,'A-5'!V236),IF(OR('A-5'!V189="--",'A-5'!V142="--",'A-5'!V236="--"),"--","-"))</f>
        <v>5</v>
      </c>
      <c r="W142" s="203" t="str">
        <f>IF(OR(ISNUMBER('A-5'!W189),ISNUMBER('A-5'!W142),ISNUMBER('A-5'!W236)),SUM('A-5'!W189,'A-5'!W142,'A-5'!W236),IF(OR('A-5'!W189="--",'A-5'!W142="--",'A-5'!W236="--"),"--","-"))</f>
        <v>-</v>
      </c>
      <c r="X142" s="203">
        <f>IF(AND('A-5'!X142="-",'A-5'!X189="-",'A-5'!X236="-"),"-",SUM('A-5'!X142,'A-5'!X189,'A-5'!X236))</f>
        <v>541</v>
      </c>
    </row>
    <row r="143" spans="1:25" ht="11.25" customHeight="1" x14ac:dyDescent="0.25">
      <c r="A143" s="123" t="s">
        <v>404</v>
      </c>
      <c r="B143" s="200" t="str">
        <f>IF(AND('A-5'!B143="-",'A-5'!B190="-",'A-5'!B237="-"),"-",SUM('A-5'!B143,'A-5'!B190,'A-5'!B237))</f>
        <v>-</v>
      </c>
      <c r="C143" s="200" t="str">
        <f>IF(AND('A-5'!C143="-",'A-5'!C190="-",'A-5'!C237="-"),"-",SUM('A-5'!C143,'A-5'!C190,'A-5'!C237))</f>
        <v>-</v>
      </c>
      <c r="D143" s="200" t="str">
        <f>IF(AND('A-5'!D143="-",'A-5'!D190="-",'A-5'!D237="-"),"-",SUM('A-5'!D143,'A-5'!D190,'A-5'!D237))</f>
        <v>-</v>
      </c>
      <c r="E143" s="501" t="s">
        <v>116</v>
      </c>
      <c r="F143" s="501" t="s">
        <v>116</v>
      </c>
      <c r="G143" s="200">
        <f>IF(AND('A-5'!G143="-",'A-5'!G190="-",'A-5'!G237="-"),"-",SUM('A-5'!G143,'A-5'!G190,'A-5'!G237))</f>
        <v>21947</v>
      </c>
      <c r="H143" s="200">
        <f>IF(AND('A-5'!H143="-",'A-5'!H190="-",'A-5'!H237="-"),"-",SUM('A-5'!H143,'A-5'!H190,'A-5'!H237))</f>
        <v>9662</v>
      </c>
      <c r="I143" s="200">
        <f>IF(AND('A-5'!I143="-",'A-5'!I190="-",'A-5'!I237="-"),"-",SUM('A-5'!I143,'A-5'!I190,'A-5'!I237))</f>
        <v>4047</v>
      </c>
      <c r="J143" s="200">
        <f>IF(AND('A-5'!J143="-",'A-5'!J190="-",'A-5'!J237="-"),"-",SUM('A-5'!J143,'A-5'!J190,'A-5'!J237))</f>
        <v>2279</v>
      </c>
      <c r="K143" s="200">
        <f>IF(AND('A-5'!K143="-",'A-5'!K190="-",'A-5'!K237="-"),"-",SUM('A-5'!K143,'A-5'!K190,'A-5'!K237))</f>
        <v>21</v>
      </c>
      <c r="L143" s="203">
        <f>IF(AND('A-5'!L143="-",'A-5'!L190="-",'A-5'!L237="-"),"-",SUM('A-5'!L143,'A-5'!L190,'A-5'!L237))</f>
        <v>37956</v>
      </c>
      <c r="N143" s="200" t="str">
        <f>IF(OR(ISNUMBER('A-5'!N190),ISNUMBER('A-5'!N143),ISNUMBER('A-5'!N237)),SUM('A-5'!N190,'A-5'!N143,'A-5'!N237),IF(OR('A-5'!N190="--",'A-5'!N143="--",'A-5'!N237="--"),"--","-"))</f>
        <v>-</v>
      </c>
      <c r="O143" s="200" t="str">
        <f>IF(OR(ISNUMBER('A-5'!O190),ISNUMBER('A-5'!O143),ISNUMBER('A-5'!O237)),SUM('A-5'!O190,'A-5'!O143,'A-5'!O237),IF(OR('A-5'!O190="--",'A-5'!O143="--",'A-5'!O237="--"),"--","-"))</f>
        <v>-</v>
      </c>
      <c r="P143" s="200" t="str">
        <f>IF(OR(ISNUMBER('A-5'!P190),ISNUMBER('A-5'!P143),ISNUMBER('A-5'!P237)),SUM('A-5'!P190,'A-5'!P143,'A-5'!P237),IF(OR('A-5'!P190="--",'A-5'!P143="--",'A-5'!P237="--"),"--","-"))</f>
        <v>-</v>
      </c>
      <c r="Q143" s="200" t="str">
        <f>IF(OR(ISNUMBER('A-5'!Q190),ISNUMBER('A-5'!Q143),ISNUMBER('A-5'!Q237)),SUM('A-5'!Q190,'A-5'!Q143,'A-5'!Q237),IF(OR('A-5'!Q190="--",'A-5'!Q143="--",'A-5'!Q237="--"),"--","-"))</f>
        <v>-</v>
      </c>
      <c r="R143" s="200" t="str">
        <f>IF(OR(ISNUMBER('A-5'!R190),ISNUMBER('A-5'!R143),ISNUMBER('A-5'!R237)),SUM('A-5'!R190,'A-5'!R143,'A-5'!R237),IF(OR('A-5'!R190="--",'A-5'!R143="--",'A-5'!R237="--"),"--","-"))</f>
        <v>-</v>
      </c>
      <c r="S143" s="200">
        <f>IF(OR(ISNUMBER('A-5'!S190),ISNUMBER('A-5'!S143),ISNUMBER('A-5'!S237)),SUM('A-5'!S190,'A-5'!S143,'A-5'!S237),IF(OR('A-5'!S190="--",'A-5'!S143="--",'A-5'!S237="--"),"--","-"))</f>
        <v>30</v>
      </c>
      <c r="T143" s="200" t="str">
        <f>IF(OR(ISNUMBER('A-5'!T190),ISNUMBER('A-5'!T143),ISNUMBER('A-5'!T237)),SUM('A-5'!T190,'A-5'!T143,'A-5'!T237),IF(OR('A-5'!T190="--",'A-5'!T143="--",'A-5'!T237="--"),"--","-"))</f>
        <v>-</v>
      </c>
      <c r="U143" s="200">
        <f>IF(OR(ISNUMBER('A-5'!U190),ISNUMBER('A-5'!U143),ISNUMBER('A-5'!U237)),SUM('A-5'!U190,'A-5'!U143,'A-5'!U237),IF(OR('A-5'!U190="--",'A-5'!U143="--",'A-5'!U237="--"),"--","-"))</f>
        <v>4</v>
      </c>
      <c r="V143" s="200" t="str">
        <f>IF(OR(ISNUMBER('A-5'!V190),ISNUMBER('A-5'!V143),ISNUMBER('A-5'!V237)),SUM('A-5'!V190,'A-5'!V143,'A-5'!V237),IF(OR('A-5'!V190="--",'A-5'!V143="--",'A-5'!V237="--"),"--","-"))</f>
        <v>-</v>
      </c>
      <c r="W143" s="200" t="str">
        <f>IF(OR(ISNUMBER('A-5'!W190),ISNUMBER('A-5'!W143),ISNUMBER('A-5'!W237)),SUM('A-5'!W190,'A-5'!W143,'A-5'!W237),IF(OR('A-5'!W190="--",'A-5'!W143="--",'A-5'!W237="--"),"--","-"))</f>
        <v>-</v>
      </c>
      <c r="X143" s="200">
        <f>IF(AND('A-5'!X143="-",'A-5'!X190="-",'A-5'!X237="-"),"-",SUM('A-5'!X143,'A-5'!X190,'A-5'!X237))</f>
        <v>34</v>
      </c>
    </row>
    <row r="144" spans="1:25" ht="11.25" customHeight="1" x14ac:dyDescent="0.25">
      <c r="A144" s="383"/>
    </row>
    <row r="145" spans="1:24" ht="11.25" customHeight="1" x14ac:dyDescent="0.25">
      <c r="A145" s="120" t="s">
        <v>86</v>
      </c>
    </row>
    <row r="146" spans="1:24" ht="11.25" customHeight="1" x14ac:dyDescent="0.25">
      <c r="A146" s="383">
        <v>1976</v>
      </c>
      <c r="B146" s="200">
        <f>IF(AND(B99="-",B52="-",B5="-"),"-",SUM(B99,B52,B5))</f>
        <v>2686</v>
      </c>
      <c r="C146" s="200">
        <f t="shared" ref="C146:L146" si="5">IF(AND(C99="-",C52="-",C5="-"),"-",SUM(C99,C52,C5))</f>
        <v>1221</v>
      </c>
      <c r="D146" s="200">
        <f t="shared" si="5"/>
        <v>6634</v>
      </c>
      <c r="E146" s="200">
        <f t="shared" si="5"/>
        <v>14650</v>
      </c>
      <c r="F146" s="200">
        <f t="shared" si="5"/>
        <v>18708</v>
      </c>
      <c r="G146" s="200">
        <f t="shared" si="5"/>
        <v>19980</v>
      </c>
      <c r="H146" s="200">
        <f t="shared" si="5"/>
        <v>28812</v>
      </c>
      <c r="I146" s="200">
        <f t="shared" si="5"/>
        <v>8623</v>
      </c>
      <c r="J146" s="200">
        <f t="shared" si="5"/>
        <v>11425</v>
      </c>
      <c r="K146" s="200">
        <f t="shared" si="5"/>
        <v>2742</v>
      </c>
      <c r="L146" s="200">
        <f t="shared" si="5"/>
        <v>115481</v>
      </c>
      <c r="N146" s="203">
        <f>IF(AND(N99="-",N52="-",N5="-"),"-",IF(OR(ISNUMBER(N99),ISNUMBER(N52),ISNUMBER(N5)),SUM(N99,N52,N5),"--"))</f>
        <v>29</v>
      </c>
      <c r="O146" s="203">
        <f t="shared" ref="O146:W146" si="6">IF(AND(O99="-",O52="-",O5="-"),"-",IF(OR(ISNUMBER(O99),ISNUMBER(O52),ISNUMBER(O5)),SUM(O99,O52,O5),"--"))</f>
        <v>32</v>
      </c>
      <c r="P146" s="203">
        <f t="shared" si="6"/>
        <v>805</v>
      </c>
      <c r="Q146" s="203">
        <f t="shared" si="6"/>
        <v>24676</v>
      </c>
      <c r="R146" s="203">
        <f t="shared" si="6"/>
        <v>76856</v>
      </c>
      <c r="S146" s="203">
        <f t="shared" si="6"/>
        <v>159909</v>
      </c>
      <c r="T146" s="203">
        <f t="shared" si="6"/>
        <v>159834</v>
      </c>
      <c r="U146" s="203">
        <f t="shared" si="6"/>
        <v>15584</v>
      </c>
      <c r="V146" s="203">
        <f t="shared" si="6"/>
        <v>3516</v>
      </c>
      <c r="W146" s="203">
        <f t="shared" si="6"/>
        <v>0</v>
      </c>
      <c r="X146" s="203">
        <f t="shared" ref="X146:X190" si="7">IF(AND(X99="-",X52="-",X5="-"),"-",SUM(X99,X52,X5))</f>
        <v>441241</v>
      </c>
    </row>
    <row r="147" spans="1:24" ht="11.25" customHeight="1" x14ac:dyDescent="0.25">
      <c r="A147" s="383">
        <v>1977</v>
      </c>
      <c r="B147" s="200">
        <f t="shared" ref="B147:L147" si="8">IF(AND(B100="-",B53="-",B6="-"),"-",SUM(B100,B53,B6))</f>
        <v>4096</v>
      </c>
      <c r="C147" s="200">
        <f t="shared" si="8"/>
        <v>5510</v>
      </c>
      <c r="D147" s="200">
        <f t="shared" si="8"/>
        <v>15525</v>
      </c>
      <c r="E147" s="200">
        <f t="shared" si="8"/>
        <v>6023</v>
      </c>
      <c r="F147" s="200">
        <f t="shared" si="8"/>
        <v>14109</v>
      </c>
      <c r="G147" s="200">
        <f t="shared" si="8"/>
        <v>47824</v>
      </c>
      <c r="H147" s="200">
        <f t="shared" si="8"/>
        <v>27884</v>
      </c>
      <c r="I147" s="200">
        <f t="shared" si="8"/>
        <v>13484</v>
      </c>
      <c r="J147" s="200">
        <f t="shared" si="8"/>
        <v>5480</v>
      </c>
      <c r="K147" s="200">
        <f t="shared" si="8"/>
        <v>1592</v>
      </c>
      <c r="L147" s="200">
        <f t="shared" si="8"/>
        <v>141527</v>
      </c>
      <c r="N147" s="203">
        <f t="shared" ref="N147:W147" si="9">IF(AND(N100="-",N53="-",N6="-"),"-",IF(OR(ISNUMBER(N100),ISNUMBER(N53),ISNUMBER(N6)),SUM(N100,N53,N6),"--"))</f>
        <v>12</v>
      </c>
      <c r="O147" s="203">
        <f t="shared" si="9"/>
        <v>0</v>
      </c>
      <c r="P147" s="203">
        <f t="shared" si="9"/>
        <v>348</v>
      </c>
      <c r="Q147" s="203">
        <f t="shared" si="9"/>
        <v>16250</v>
      </c>
      <c r="R147" s="203">
        <f t="shared" si="9"/>
        <v>20199</v>
      </c>
      <c r="S147" s="203">
        <f t="shared" si="9"/>
        <v>65683</v>
      </c>
      <c r="T147" s="203">
        <f t="shared" si="9"/>
        <v>37527</v>
      </c>
      <c r="U147" s="203">
        <f t="shared" si="9"/>
        <v>6134</v>
      </c>
      <c r="V147" s="203">
        <f t="shared" si="9"/>
        <v>411</v>
      </c>
      <c r="W147" s="203">
        <f t="shared" si="9"/>
        <v>6</v>
      </c>
      <c r="X147" s="203">
        <f t="shared" si="7"/>
        <v>146570</v>
      </c>
    </row>
    <row r="148" spans="1:24" ht="11.25" customHeight="1" x14ac:dyDescent="0.25">
      <c r="A148" s="383">
        <v>1978</v>
      </c>
      <c r="B148" s="200">
        <f t="shared" ref="B148:L148" si="10">IF(AND(B101="-",B54="-",B7="-"),"-",SUM(B101,B54,B7))</f>
        <v>9790</v>
      </c>
      <c r="C148" s="200">
        <f t="shared" si="10"/>
        <v>8594</v>
      </c>
      <c r="D148" s="200">
        <f t="shared" si="10"/>
        <v>3149</v>
      </c>
      <c r="E148" s="200">
        <f t="shared" si="10"/>
        <v>3684</v>
      </c>
      <c r="F148" s="200">
        <f t="shared" si="10"/>
        <v>12133</v>
      </c>
      <c r="G148" s="200">
        <f t="shared" si="10"/>
        <v>18671</v>
      </c>
      <c r="H148" s="200">
        <f t="shared" si="10"/>
        <v>14392</v>
      </c>
      <c r="I148" s="200">
        <f t="shared" si="10"/>
        <v>6011</v>
      </c>
      <c r="J148" s="200">
        <f t="shared" si="10"/>
        <v>8518</v>
      </c>
      <c r="K148" s="200">
        <f t="shared" si="10"/>
        <v>2685</v>
      </c>
      <c r="L148" s="200">
        <f t="shared" si="10"/>
        <v>87627</v>
      </c>
      <c r="N148" s="203">
        <f t="shared" ref="N148:W148" si="11">IF(AND(N101="-",N54="-",N7="-"),"-",IF(OR(ISNUMBER(N101),ISNUMBER(N54),ISNUMBER(N7)),SUM(N101,N54,N7),"--"))</f>
        <v>0</v>
      </c>
      <c r="O148" s="203">
        <f t="shared" si="11"/>
        <v>0</v>
      </c>
      <c r="P148" s="203">
        <f t="shared" si="11"/>
        <v>1</v>
      </c>
      <c r="Q148" s="203">
        <f t="shared" si="11"/>
        <v>4416</v>
      </c>
      <c r="R148" s="203">
        <f t="shared" si="11"/>
        <v>99603</v>
      </c>
      <c r="S148" s="203">
        <f t="shared" si="11"/>
        <v>75852</v>
      </c>
      <c r="T148" s="203">
        <f t="shared" si="11"/>
        <v>53581</v>
      </c>
      <c r="U148" s="203">
        <f t="shared" si="11"/>
        <v>7099</v>
      </c>
      <c r="V148" s="203">
        <f t="shared" si="11"/>
        <v>298</v>
      </c>
      <c r="W148" s="203">
        <f t="shared" si="11"/>
        <v>0</v>
      </c>
      <c r="X148" s="203">
        <f t="shared" si="7"/>
        <v>240850</v>
      </c>
    </row>
    <row r="149" spans="1:24" ht="11.25" customHeight="1" x14ac:dyDescent="0.25">
      <c r="A149" s="383">
        <v>1979</v>
      </c>
      <c r="B149" s="200">
        <f t="shared" ref="B149:L149" si="12">IF(AND(B102="-",B55="-",B8="-"),"-",SUM(B102,B55,B8))</f>
        <v>7876</v>
      </c>
      <c r="C149" s="200">
        <f t="shared" si="12"/>
        <v>15161</v>
      </c>
      <c r="D149" s="200">
        <f t="shared" si="12"/>
        <v>11597</v>
      </c>
      <c r="E149" s="200">
        <f t="shared" si="12"/>
        <v>5573</v>
      </c>
      <c r="F149" s="200">
        <f t="shared" si="12"/>
        <v>19617</v>
      </c>
      <c r="G149" s="200">
        <f t="shared" si="12"/>
        <v>33036</v>
      </c>
      <c r="H149" s="200">
        <f t="shared" si="12"/>
        <v>18967</v>
      </c>
      <c r="I149" s="200">
        <f t="shared" si="12"/>
        <v>13537</v>
      </c>
      <c r="J149" s="200">
        <f t="shared" si="12"/>
        <v>7564</v>
      </c>
      <c r="K149" s="200">
        <f t="shared" si="12"/>
        <v>60</v>
      </c>
      <c r="L149" s="200">
        <f t="shared" si="12"/>
        <v>132988</v>
      </c>
      <c r="N149" s="203">
        <f t="shared" ref="N149:W149" si="13">IF(AND(N102="-",N55="-",N8="-"),"-",IF(OR(ISNUMBER(N102),ISNUMBER(N55),ISNUMBER(N8)),SUM(N102,N55,N8),"--"))</f>
        <v>10</v>
      </c>
      <c r="O149" s="203">
        <f t="shared" si="13"/>
        <v>39</v>
      </c>
      <c r="P149" s="203">
        <f t="shared" si="13"/>
        <v>23</v>
      </c>
      <c r="Q149" s="203">
        <f t="shared" si="13"/>
        <v>5460</v>
      </c>
      <c r="R149" s="203">
        <f t="shared" si="13"/>
        <v>33902</v>
      </c>
      <c r="S149" s="203">
        <f t="shared" si="13"/>
        <v>84370</v>
      </c>
      <c r="T149" s="203">
        <f t="shared" si="13"/>
        <v>40132</v>
      </c>
      <c r="U149" s="203">
        <f t="shared" si="13"/>
        <v>142</v>
      </c>
      <c r="V149" s="203">
        <f t="shared" si="13"/>
        <v>0</v>
      </c>
      <c r="W149" s="203" t="str">
        <f t="shared" si="13"/>
        <v>-</v>
      </c>
      <c r="X149" s="203">
        <f t="shared" si="7"/>
        <v>164078</v>
      </c>
    </row>
    <row r="150" spans="1:24" ht="11.25" customHeight="1" x14ac:dyDescent="0.25">
      <c r="A150" s="383">
        <v>1980</v>
      </c>
      <c r="B150" s="200">
        <f t="shared" ref="B150:L150" si="14">IF(AND(B103="-",B56="-",B9="-"),"-",SUM(B103,B56,B9))</f>
        <v>4703</v>
      </c>
      <c r="C150" s="200">
        <f t="shared" si="14"/>
        <v>12033</v>
      </c>
      <c r="D150" s="200">
        <f t="shared" si="14"/>
        <v>6671</v>
      </c>
      <c r="E150" s="200">
        <f t="shared" si="14"/>
        <v>6022</v>
      </c>
      <c r="F150" s="200">
        <f t="shared" si="14"/>
        <v>21730</v>
      </c>
      <c r="G150" s="200">
        <f t="shared" si="14"/>
        <v>24917</v>
      </c>
      <c r="H150" s="200">
        <f t="shared" si="14"/>
        <v>11836</v>
      </c>
      <c r="I150" s="200">
        <f t="shared" si="14"/>
        <v>6354</v>
      </c>
      <c r="J150" s="200">
        <f t="shared" si="14"/>
        <v>4367</v>
      </c>
      <c r="K150" s="200">
        <f t="shared" si="14"/>
        <v>63</v>
      </c>
      <c r="L150" s="200">
        <f t="shared" si="14"/>
        <v>98696</v>
      </c>
      <c r="N150" s="203">
        <f t="shared" ref="N150:W150" si="15">IF(AND(N103="-",N56="-",N9="-"),"-",IF(OR(ISNUMBER(N103),ISNUMBER(N56),ISNUMBER(N9)),SUM(N103,N56,N9),"--"))</f>
        <v>0</v>
      </c>
      <c r="O150" s="203">
        <f t="shared" si="15"/>
        <v>0</v>
      </c>
      <c r="P150" s="203">
        <f t="shared" si="15"/>
        <v>17</v>
      </c>
      <c r="Q150" s="203">
        <f t="shared" si="15"/>
        <v>4302</v>
      </c>
      <c r="R150" s="203">
        <f t="shared" si="15"/>
        <v>100750</v>
      </c>
      <c r="S150" s="203">
        <f t="shared" si="15"/>
        <v>151347</v>
      </c>
      <c r="T150" s="203">
        <f t="shared" si="15"/>
        <v>31571</v>
      </c>
      <c r="U150" s="203">
        <f t="shared" si="15"/>
        <v>3372</v>
      </c>
      <c r="V150" s="203">
        <f t="shared" si="15"/>
        <v>8</v>
      </c>
      <c r="W150" s="203" t="str">
        <f t="shared" si="15"/>
        <v>-</v>
      </c>
      <c r="X150" s="203">
        <f t="shared" si="7"/>
        <v>291367</v>
      </c>
    </row>
    <row r="151" spans="1:24" ht="11.25" customHeight="1" x14ac:dyDescent="0.25">
      <c r="A151" s="383">
        <v>1981</v>
      </c>
      <c r="B151" s="200">
        <f t="shared" ref="B151:L151" si="16">IF(AND(B104="-",B57="-",B10="-"),"-",SUM(B104,B57,B10))</f>
        <v>3393</v>
      </c>
      <c r="C151" s="200">
        <f t="shared" si="16"/>
        <v>3141</v>
      </c>
      <c r="D151" s="200">
        <f t="shared" si="16"/>
        <v>8471</v>
      </c>
      <c r="E151" s="200">
        <f t="shared" si="16"/>
        <v>4043</v>
      </c>
      <c r="F151" s="200">
        <f t="shared" si="16"/>
        <v>13407</v>
      </c>
      <c r="G151" s="200">
        <f t="shared" si="16"/>
        <v>30851</v>
      </c>
      <c r="H151" s="200">
        <f t="shared" si="16"/>
        <v>21839</v>
      </c>
      <c r="I151" s="200">
        <f t="shared" si="16"/>
        <v>9930</v>
      </c>
      <c r="J151" s="200">
        <f t="shared" si="16"/>
        <v>5282</v>
      </c>
      <c r="K151" s="200">
        <f t="shared" si="16"/>
        <v>1329</v>
      </c>
      <c r="L151" s="200">
        <f t="shared" si="16"/>
        <v>101686</v>
      </c>
      <c r="N151" s="203">
        <f t="shared" ref="N151:W151" si="17">IF(AND(N104="-",N57="-",N10="-"),"-",IF(OR(ISNUMBER(N104),ISNUMBER(N57),ISNUMBER(N10)),SUM(N104,N57,N10),"--"))</f>
        <v>0</v>
      </c>
      <c r="O151" s="203">
        <f t="shared" si="17"/>
        <v>0</v>
      </c>
      <c r="P151" s="203">
        <f t="shared" si="17"/>
        <v>0</v>
      </c>
      <c r="Q151" s="203">
        <f t="shared" si="17"/>
        <v>7482</v>
      </c>
      <c r="R151" s="203">
        <f t="shared" si="17"/>
        <v>18988</v>
      </c>
      <c r="S151" s="203">
        <f t="shared" si="17"/>
        <v>57980</v>
      </c>
      <c r="T151" s="203">
        <f t="shared" si="17"/>
        <v>64360</v>
      </c>
      <c r="U151" s="203">
        <f t="shared" si="17"/>
        <v>7142</v>
      </c>
      <c r="V151" s="203">
        <f t="shared" si="17"/>
        <v>147</v>
      </c>
      <c r="W151" s="203">
        <f t="shared" si="17"/>
        <v>0</v>
      </c>
      <c r="X151" s="203">
        <f t="shared" si="7"/>
        <v>156099</v>
      </c>
    </row>
    <row r="152" spans="1:24" ht="11.25" customHeight="1" x14ac:dyDescent="0.25">
      <c r="A152" s="383">
        <v>1982</v>
      </c>
      <c r="B152" s="200">
        <f t="shared" ref="B152:L152" si="18">IF(AND(B105="-",B58="-",B11="-"),"-",SUM(B105,B58,B11))</f>
        <v>11187</v>
      </c>
      <c r="C152" s="200">
        <f t="shared" si="18"/>
        <v>11379</v>
      </c>
      <c r="D152" s="200">
        <f t="shared" si="18"/>
        <v>5052</v>
      </c>
      <c r="E152" s="200">
        <f t="shared" si="18"/>
        <v>7413</v>
      </c>
      <c r="F152" s="200">
        <f t="shared" si="18"/>
        <v>18415</v>
      </c>
      <c r="G152" s="200">
        <f t="shared" si="18"/>
        <v>50254</v>
      </c>
      <c r="H152" s="200">
        <f t="shared" si="18"/>
        <v>32764</v>
      </c>
      <c r="I152" s="200">
        <f t="shared" si="18"/>
        <v>15339</v>
      </c>
      <c r="J152" s="200">
        <f t="shared" si="18"/>
        <v>14188</v>
      </c>
      <c r="K152" s="200">
        <f t="shared" si="18"/>
        <v>3214</v>
      </c>
      <c r="L152" s="200">
        <f t="shared" si="18"/>
        <v>169205</v>
      </c>
      <c r="N152" s="203">
        <f t="shared" ref="N152:W152" si="19">IF(AND(N105="-",N58="-",N11="-"),"-",IF(OR(ISNUMBER(N105),ISNUMBER(N58),ISNUMBER(N11)),SUM(N105,N58,N11),"--"))</f>
        <v>0</v>
      </c>
      <c r="O152" s="203">
        <f t="shared" si="19"/>
        <v>0</v>
      </c>
      <c r="P152" s="203">
        <f t="shared" si="19"/>
        <v>0</v>
      </c>
      <c r="Q152" s="203">
        <f t="shared" si="19"/>
        <v>537</v>
      </c>
      <c r="R152" s="203">
        <f t="shared" si="19"/>
        <v>29488</v>
      </c>
      <c r="S152" s="203">
        <f t="shared" si="19"/>
        <v>132940</v>
      </c>
      <c r="T152" s="203">
        <f t="shared" si="19"/>
        <v>3242</v>
      </c>
      <c r="U152" s="203">
        <f t="shared" si="19"/>
        <v>139</v>
      </c>
      <c r="V152" s="203">
        <f t="shared" si="19"/>
        <v>0</v>
      </c>
      <c r="W152" s="203">
        <f t="shared" si="19"/>
        <v>0</v>
      </c>
      <c r="X152" s="203">
        <f t="shared" si="7"/>
        <v>166346</v>
      </c>
    </row>
    <row r="153" spans="1:24" ht="11.25" customHeight="1" x14ac:dyDescent="0.25">
      <c r="A153" s="383">
        <v>1983</v>
      </c>
      <c r="B153" s="200">
        <f t="shared" ref="B153:L153" si="20">IF(AND(B106="-",B59="-",B12="-"),"-",SUM(B106,B59,B12))</f>
        <v>2627</v>
      </c>
      <c r="C153" s="200">
        <f t="shared" si="20"/>
        <v>3080</v>
      </c>
      <c r="D153" s="200">
        <f t="shared" si="20"/>
        <v>4790</v>
      </c>
      <c r="E153" s="200">
        <f t="shared" si="20"/>
        <v>11893</v>
      </c>
      <c r="F153" s="200">
        <f t="shared" si="20"/>
        <v>17521</v>
      </c>
      <c r="G153" s="200">
        <f t="shared" si="20"/>
        <v>23600</v>
      </c>
      <c r="H153" s="200">
        <f t="shared" si="20"/>
        <v>11288</v>
      </c>
      <c r="I153" s="200">
        <f t="shared" si="20"/>
        <v>7578</v>
      </c>
      <c r="J153" s="200">
        <f t="shared" si="20"/>
        <v>2609</v>
      </c>
      <c r="K153" s="200">
        <f t="shared" si="20"/>
        <v>73</v>
      </c>
      <c r="L153" s="200">
        <f t="shared" si="20"/>
        <v>85059</v>
      </c>
      <c r="N153" s="203">
        <f t="shared" ref="N153:W153" si="21">IF(AND(N106="-",N59="-",N12="-"),"-",IF(OR(ISNUMBER(N106),ISNUMBER(N59),ISNUMBER(N12)),SUM(N106,N59,N12),"--"))</f>
        <v>0</v>
      </c>
      <c r="O153" s="203">
        <f t="shared" si="21"/>
        <v>3</v>
      </c>
      <c r="P153" s="203">
        <f t="shared" si="21"/>
        <v>56</v>
      </c>
      <c r="Q153" s="203">
        <f t="shared" si="21"/>
        <v>507</v>
      </c>
      <c r="R153" s="203">
        <f t="shared" si="21"/>
        <v>36093</v>
      </c>
      <c r="S153" s="203">
        <f t="shared" si="21"/>
        <v>70012</v>
      </c>
      <c r="T153" s="203">
        <f t="shared" si="21"/>
        <v>20636</v>
      </c>
      <c r="U153" s="203">
        <f t="shared" si="21"/>
        <v>9598</v>
      </c>
      <c r="V153" s="203">
        <f t="shared" si="21"/>
        <v>0</v>
      </c>
      <c r="W153" s="203">
        <f t="shared" si="21"/>
        <v>0</v>
      </c>
      <c r="X153" s="203">
        <f t="shared" si="7"/>
        <v>136905</v>
      </c>
    </row>
    <row r="154" spans="1:24" ht="11.25" customHeight="1" x14ac:dyDescent="0.25">
      <c r="A154" s="383">
        <v>1984</v>
      </c>
      <c r="B154" s="200">
        <f t="shared" ref="B154:L154" si="22">IF(AND(B107="-",B60="-",B13="-"),"-",SUM(B107,B60,B13))</f>
        <v>392</v>
      </c>
      <c r="C154" s="200">
        <f t="shared" si="22"/>
        <v>758</v>
      </c>
      <c r="D154" s="200">
        <f t="shared" si="22"/>
        <v>5932</v>
      </c>
      <c r="E154" s="200">
        <f t="shared" si="22"/>
        <v>7434</v>
      </c>
      <c r="F154" s="200">
        <f t="shared" si="22"/>
        <v>17264</v>
      </c>
      <c r="G154" s="200">
        <f t="shared" si="22"/>
        <v>32402</v>
      </c>
      <c r="H154" s="200">
        <f t="shared" si="22"/>
        <v>28402</v>
      </c>
      <c r="I154" s="200">
        <f t="shared" si="22"/>
        <v>8626</v>
      </c>
      <c r="J154" s="200">
        <f t="shared" si="22"/>
        <v>2765</v>
      </c>
      <c r="K154" s="200">
        <f t="shared" si="22"/>
        <v>759</v>
      </c>
      <c r="L154" s="200">
        <f t="shared" si="22"/>
        <v>104734</v>
      </c>
      <c r="N154" s="203">
        <f t="shared" ref="N154:W154" si="23">IF(AND(N107="-",N60="-",N13="-"),"-",IF(OR(ISNUMBER(N107),ISNUMBER(N60),ISNUMBER(N13)),SUM(N107,N60,N13),"--"))</f>
        <v>0</v>
      </c>
      <c r="O154" s="203">
        <f t="shared" si="23"/>
        <v>0</v>
      </c>
      <c r="P154" s="203">
        <f t="shared" si="23"/>
        <v>2</v>
      </c>
      <c r="Q154" s="203">
        <f t="shared" si="23"/>
        <v>79</v>
      </c>
      <c r="R154" s="203">
        <f t="shared" si="23"/>
        <v>175</v>
      </c>
      <c r="S154" s="203">
        <f t="shared" si="23"/>
        <v>76818</v>
      </c>
      <c r="T154" s="203">
        <f t="shared" si="23"/>
        <v>52711</v>
      </c>
      <c r="U154" s="203">
        <f t="shared" si="23"/>
        <v>958</v>
      </c>
      <c r="V154" s="203">
        <f t="shared" si="23"/>
        <v>0</v>
      </c>
      <c r="W154" s="203">
        <f t="shared" si="23"/>
        <v>0</v>
      </c>
      <c r="X154" s="203">
        <f t="shared" si="7"/>
        <v>130743</v>
      </c>
    </row>
    <row r="155" spans="1:24" ht="11.25" customHeight="1" x14ac:dyDescent="0.25">
      <c r="A155" s="383">
        <v>1985</v>
      </c>
      <c r="B155" s="200">
        <f t="shared" ref="B155:L155" si="24">IF(AND(B108="-",B61="-",B14="-"),"-",SUM(B108,B61,B14))</f>
        <v>12134</v>
      </c>
      <c r="C155" s="200">
        <f t="shared" si="24"/>
        <v>17970</v>
      </c>
      <c r="D155" s="200">
        <f t="shared" si="24"/>
        <v>11950</v>
      </c>
      <c r="E155" s="200">
        <f t="shared" si="24"/>
        <v>20025</v>
      </c>
      <c r="F155" s="200">
        <f t="shared" si="24"/>
        <v>28587</v>
      </c>
      <c r="G155" s="200">
        <f t="shared" si="24"/>
        <v>75459</v>
      </c>
      <c r="H155" s="200">
        <f t="shared" si="24"/>
        <v>42159</v>
      </c>
      <c r="I155" s="200">
        <f t="shared" si="24"/>
        <v>7902</v>
      </c>
      <c r="J155" s="200">
        <f t="shared" si="24"/>
        <v>5504</v>
      </c>
      <c r="K155" s="200">
        <f t="shared" si="24"/>
        <v>1719</v>
      </c>
      <c r="L155" s="200">
        <f t="shared" si="24"/>
        <v>223409</v>
      </c>
      <c r="N155" s="203">
        <f t="shared" ref="N155:W155" si="25">IF(AND(N108="-",N61="-",N14="-"),"-",IF(OR(ISNUMBER(N108),ISNUMBER(N61),ISNUMBER(N14)),SUM(N108,N61,N14),"--"))</f>
        <v>0</v>
      </c>
      <c r="O155" s="203">
        <f t="shared" si="25"/>
        <v>0</v>
      </c>
      <c r="P155" s="203">
        <f t="shared" si="25"/>
        <v>48</v>
      </c>
      <c r="Q155" s="203">
        <f t="shared" si="25"/>
        <v>989</v>
      </c>
      <c r="R155" s="203">
        <f t="shared" si="25"/>
        <v>1023</v>
      </c>
      <c r="S155" s="203">
        <f t="shared" si="25"/>
        <v>68390</v>
      </c>
      <c r="T155" s="203">
        <f t="shared" si="25"/>
        <v>93896</v>
      </c>
      <c r="U155" s="203">
        <f t="shared" si="25"/>
        <v>2954</v>
      </c>
      <c r="V155" s="203">
        <f t="shared" si="25"/>
        <v>4</v>
      </c>
      <c r="W155" s="203">
        <f t="shared" si="25"/>
        <v>0</v>
      </c>
      <c r="X155" s="203">
        <f t="shared" si="7"/>
        <v>167304</v>
      </c>
    </row>
    <row r="156" spans="1:24" ht="11.25" customHeight="1" x14ac:dyDescent="0.25">
      <c r="A156" s="383">
        <v>1986</v>
      </c>
      <c r="B156" s="200">
        <f t="shared" ref="B156:L156" si="26">IF(AND(B109="-",B62="-",B15="-"),"-",SUM(B109,B62,B15))</f>
        <v>1183</v>
      </c>
      <c r="C156" s="200">
        <f t="shared" si="26"/>
        <v>16091</v>
      </c>
      <c r="D156" s="200">
        <f t="shared" si="26"/>
        <v>23458</v>
      </c>
      <c r="E156" s="200">
        <f t="shared" si="26"/>
        <v>10731</v>
      </c>
      <c r="F156" s="200">
        <f t="shared" si="26"/>
        <v>28698</v>
      </c>
      <c r="G156" s="200">
        <f t="shared" si="26"/>
        <v>47387</v>
      </c>
      <c r="H156" s="200">
        <f t="shared" si="26"/>
        <v>26089</v>
      </c>
      <c r="I156" s="200">
        <f t="shared" si="26"/>
        <v>5295</v>
      </c>
      <c r="J156" s="200">
        <f t="shared" si="26"/>
        <v>2573</v>
      </c>
      <c r="K156" s="200">
        <f t="shared" si="26"/>
        <v>584</v>
      </c>
      <c r="L156" s="200">
        <f t="shared" si="26"/>
        <v>162089</v>
      </c>
      <c r="N156" s="203">
        <f t="shared" ref="N156:W156" si="27">IF(AND(N109="-",N62="-",N15="-"),"-",IF(OR(ISNUMBER(N109),ISNUMBER(N62),ISNUMBER(N15)),SUM(N109,N62,N15),"--"))</f>
        <v>0</v>
      </c>
      <c r="O156" s="203">
        <f t="shared" si="27"/>
        <v>2</v>
      </c>
      <c r="P156" s="203">
        <f t="shared" si="27"/>
        <v>0</v>
      </c>
      <c r="Q156" s="203">
        <f t="shared" si="27"/>
        <v>4530</v>
      </c>
      <c r="R156" s="203">
        <f t="shared" si="27"/>
        <v>26435</v>
      </c>
      <c r="S156" s="203">
        <f t="shared" si="27"/>
        <v>132402</v>
      </c>
      <c r="T156" s="203">
        <f t="shared" si="27"/>
        <v>30525</v>
      </c>
      <c r="U156" s="203">
        <f t="shared" si="27"/>
        <v>15</v>
      </c>
      <c r="V156" s="203">
        <f t="shared" si="27"/>
        <v>5</v>
      </c>
      <c r="W156" s="203">
        <f t="shared" si="27"/>
        <v>0</v>
      </c>
      <c r="X156" s="203">
        <f t="shared" si="7"/>
        <v>193914</v>
      </c>
    </row>
    <row r="157" spans="1:24" ht="11.25" customHeight="1" x14ac:dyDescent="0.25">
      <c r="A157" s="383">
        <v>1987</v>
      </c>
      <c r="B157" s="200">
        <f t="shared" ref="B157:L157" si="28">IF(AND(B110="-",B63="-",B16="-"),"-",SUM(B110,B63,B16))</f>
        <v>5520</v>
      </c>
      <c r="C157" s="200">
        <f t="shared" si="28"/>
        <v>14084</v>
      </c>
      <c r="D157" s="200">
        <f t="shared" si="28"/>
        <v>19211</v>
      </c>
      <c r="E157" s="200">
        <f t="shared" si="28"/>
        <v>12483</v>
      </c>
      <c r="F157" s="200">
        <f t="shared" si="28"/>
        <v>27961</v>
      </c>
      <c r="G157" s="200">
        <f t="shared" si="28"/>
        <v>74791</v>
      </c>
      <c r="H157" s="200">
        <f t="shared" si="28"/>
        <v>58314</v>
      </c>
      <c r="I157" s="200">
        <f t="shared" si="28"/>
        <v>25969</v>
      </c>
      <c r="J157" s="200">
        <f t="shared" si="28"/>
        <v>8259</v>
      </c>
      <c r="K157" s="200">
        <f t="shared" si="28"/>
        <v>1083</v>
      </c>
      <c r="L157" s="200">
        <f t="shared" si="28"/>
        <v>247675</v>
      </c>
      <c r="N157" s="203">
        <f t="shared" ref="N157:W157" si="29">IF(AND(N110="-",N63="-",N16="-"),"-",IF(OR(ISNUMBER(N110),ISNUMBER(N63),ISNUMBER(N16)),SUM(N110,N63,N16),"--"))</f>
        <v>0</v>
      </c>
      <c r="O157" s="203">
        <f t="shared" si="29"/>
        <v>0</v>
      </c>
      <c r="P157" s="203">
        <f t="shared" si="29"/>
        <v>0</v>
      </c>
      <c r="Q157" s="203">
        <f t="shared" si="29"/>
        <v>86</v>
      </c>
      <c r="R157" s="203">
        <f t="shared" si="29"/>
        <v>8499</v>
      </c>
      <c r="S157" s="203">
        <f t="shared" si="29"/>
        <v>145028</v>
      </c>
      <c r="T157" s="203">
        <f t="shared" si="29"/>
        <v>36474</v>
      </c>
      <c r="U157" s="203">
        <f t="shared" si="29"/>
        <v>12025</v>
      </c>
      <c r="V157" s="203">
        <f t="shared" si="29"/>
        <v>28</v>
      </c>
      <c r="W157" s="203">
        <f t="shared" si="29"/>
        <v>0</v>
      </c>
      <c r="X157" s="203">
        <f t="shared" si="7"/>
        <v>202140</v>
      </c>
    </row>
    <row r="158" spans="1:24" ht="11.25" customHeight="1" x14ac:dyDescent="0.25">
      <c r="A158" s="383">
        <v>1988</v>
      </c>
      <c r="B158" s="200">
        <f t="shared" ref="B158:L158" si="30">IF(AND(B111="-",B64="-",B17="-"),"-",SUM(B111,B64,B17))</f>
        <v>6808</v>
      </c>
      <c r="C158" s="200">
        <f t="shared" si="30"/>
        <v>15934</v>
      </c>
      <c r="D158" s="200">
        <f t="shared" si="30"/>
        <v>24943</v>
      </c>
      <c r="E158" s="200">
        <f t="shared" si="30"/>
        <v>20833</v>
      </c>
      <c r="F158" s="200">
        <f t="shared" si="30"/>
        <v>53183</v>
      </c>
      <c r="G158" s="200">
        <f t="shared" si="30"/>
        <v>55245</v>
      </c>
      <c r="H158" s="200">
        <f t="shared" si="30"/>
        <v>20918</v>
      </c>
      <c r="I158" s="200">
        <f t="shared" si="30"/>
        <v>5912</v>
      </c>
      <c r="J158" s="200">
        <f t="shared" si="30"/>
        <v>4610</v>
      </c>
      <c r="K158" s="200">
        <f t="shared" si="30"/>
        <v>814</v>
      </c>
      <c r="L158" s="200">
        <f t="shared" si="30"/>
        <v>209200</v>
      </c>
      <c r="N158" s="203">
        <f t="shared" ref="N158:W158" si="31">IF(AND(N111="-",N64="-",N17="-"),"-",IF(OR(ISNUMBER(N111),ISNUMBER(N64),ISNUMBER(N17)),SUM(N111,N64,N17),"--"))</f>
        <v>0</v>
      </c>
      <c r="O158" s="203">
        <f t="shared" si="31"/>
        <v>1</v>
      </c>
      <c r="P158" s="203">
        <f t="shared" si="31"/>
        <v>21</v>
      </c>
      <c r="Q158" s="203">
        <f t="shared" si="31"/>
        <v>1201</v>
      </c>
      <c r="R158" s="203">
        <f t="shared" si="31"/>
        <v>24305</v>
      </c>
      <c r="S158" s="203">
        <f t="shared" si="31"/>
        <v>133653</v>
      </c>
      <c r="T158" s="203">
        <f t="shared" si="31"/>
        <v>79803</v>
      </c>
      <c r="U158" s="203">
        <f t="shared" si="31"/>
        <v>12772</v>
      </c>
      <c r="V158" s="203">
        <f t="shared" si="31"/>
        <v>0</v>
      </c>
      <c r="W158" s="203">
        <f t="shared" si="31"/>
        <v>0</v>
      </c>
      <c r="X158" s="203">
        <f t="shared" si="7"/>
        <v>251756</v>
      </c>
    </row>
    <row r="159" spans="1:24" ht="11.25" customHeight="1" x14ac:dyDescent="0.25">
      <c r="A159" s="383">
        <v>1989</v>
      </c>
      <c r="B159" s="200">
        <f t="shared" ref="B159:L159" si="32">IF(AND(B112="-",B65="-",B18="-"),"-",SUM(B112,B65,B18))</f>
        <v>7950</v>
      </c>
      <c r="C159" s="200">
        <f t="shared" si="32"/>
        <v>12734</v>
      </c>
      <c r="D159" s="200">
        <f t="shared" si="32"/>
        <v>42566</v>
      </c>
      <c r="E159" s="200">
        <f t="shared" si="32"/>
        <v>9140</v>
      </c>
      <c r="F159" s="200">
        <f t="shared" si="32"/>
        <v>34052</v>
      </c>
      <c r="G159" s="200">
        <f t="shared" si="32"/>
        <v>63230</v>
      </c>
      <c r="H159" s="200">
        <f t="shared" si="32"/>
        <v>27935</v>
      </c>
      <c r="I159" s="200">
        <f t="shared" si="32"/>
        <v>13528</v>
      </c>
      <c r="J159" s="200">
        <f t="shared" si="32"/>
        <v>3744</v>
      </c>
      <c r="K159" s="200">
        <f t="shared" si="32"/>
        <v>2410</v>
      </c>
      <c r="L159" s="200">
        <f t="shared" si="32"/>
        <v>217289</v>
      </c>
      <c r="N159" s="203">
        <f t="shared" ref="N159:W159" si="33">IF(AND(N112="-",N65="-",N18="-"),"-",IF(OR(ISNUMBER(N112),ISNUMBER(N65),ISNUMBER(N18)),SUM(N112,N65,N18),"--"))</f>
        <v>0</v>
      </c>
      <c r="O159" s="203">
        <f t="shared" si="33"/>
        <v>0</v>
      </c>
      <c r="P159" s="203">
        <f t="shared" si="33"/>
        <v>115</v>
      </c>
      <c r="Q159" s="203">
        <f t="shared" si="33"/>
        <v>3468</v>
      </c>
      <c r="R159" s="203">
        <f t="shared" si="33"/>
        <v>68290</v>
      </c>
      <c r="S159" s="203">
        <f t="shared" si="33"/>
        <v>153122</v>
      </c>
      <c r="T159" s="203">
        <f t="shared" si="33"/>
        <v>61882</v>
      </c>
      <c r="U159" s="203">
        <f t="shared" si="33"/>
        <v>1725</v>
      </c>
      <c r="V159" s="203">
        <f t="shared" si="33"/>
        <v>0</v>
      </c>
      <c r="W159" s="203">
        <f t="shared" si="33"/>
        <v>0</v>
      </c>
      <c r="X159" s="203">
        <f t="shared" si="7"/>
        <v>288602</v>
      </c>
    </row>
    <row r="160" spans="1:24" ht="11.25" customHeight="1" x14ac:dyDescent="0.25">
      <c r="A160" s="383">
        <v>1990</v>
      </c>
      <c r="B160" s="200">
        <f t="shared" ref="B160:L160" si="34">IF(AND(B113="-",B66="-",B19="-"),"-",SUM(B113,B66,B19))</f>
        <v>6690</v>
      </c>
      <c r="C160" s="200">
        <f t="shared" si="34"/>
        <v>17599</v>
      </c>
      <c r="D160" s="200">
        <f t="shared" si="34"/>
        <v>21645</v>
      </c>
      <c r="E160" s="200">
        <f t="shared" si="34"/>
        <v>6508</v>
      </c>
      <c r="F160" s="200">
        <f t="shared" si="34"/>
        <v>33740</v>
      </c>
      <c r="G160" s="200">
        <f t="shared" si="34"/>
        <v>45227</v>
      </c>
      <c r="H160" s="200">
        <f t="shared" si="34"/>
        <v>19850</v>
      </c>
      <c r="I160" s="200">
        <f t="shared" si="34"/>
        <v>6340</v>
      </c>
      <c r="J160" s="200">
        <f t="shared" si="34"/>
        <v>3756</v>
      </c>
      <c r="K160" s="200">
        <f t="shared" si="34"/>
        <v>1703</v>
      </c>
      <c r="L160" s="200">
        <f t="shared" si="34"/>
        <v>163058</v>
      </c>
      <c r="N160" s="203">
        <f t="shared" ref="N160:W160" si="35">IF(AND(N113="-",N66="-",N19="-"),"-",IF(OR(ISNUMBER(N113),ISNUMBER(N66),ISNUMBER(N19)),SUM(N113,N66,N19),"--"))</f>
        <v>0</v>
      </c>
      <c r="O160" s="203">
        <f t="shared" si="35"/>
        <v>0</v>
      </c>
      <c r="P160" s="203">
        <f t="shared" si="35"/>
        <v>144</v>
      </c>
      <c r="Q160" s="203">
        <f t="shared" si="35"/>
        <v>1726</v>
      </c>
      <c r="R160" s="203">
        <f t="shared" si="35"/>
        <v>50584</v>
      </c>
      <c r="S160" s="203">
        <f t="shared" si="35"/>
        <v>96682</v>
      </c>
      <c r="T160" s="203">
        <f t="shared" si="35"/>
        <v>61079</v>
      </c>
      <c r="U160" s="203">
        <f t="shared" si="35"/>
        <v>5907</v>
      </c>
      <c r="V160" s="203">
        <f t="shared" si="35"/>
        <v>59</v>
      </c>
      <c r="W160" s="203">
        <f t="shared" si="35"/>
        <v>0</v>
      </c>
      <c r="X160" s="203">
        <f t="shared" si="7"/>
        <v>216181</v>
      </c>
    </row>
    <row r="161" spans="1:256" ht="11.25" customHeight="1" x14ac:dyDescent="0.25">
      <c r="A161" s="383">
        <v>1991</v>
      </c>
      <c r="B161" s="200">
        <f t="shared" ref="B161:L161" si="36">IF(AND(B114="-",B67="-",B20="-"),"-",SUM(B114,B67,B20))</f>
        <v>53</v>
      </c>
      <c r="C161" s="200">
        <f t="shared" si="36"/>
        <v>7948</v>
      </c>
      <c r="D161" s="200">
        <f t="shared" si="36"/>
        <v>13029</v>
      </c>
      <c r="E161" s="200">
        <f t="shared" si="36"/>
        <v>5028</v>
      </c>
      <c r="F161" s="200">
        <f t="shared" si="36"/>
        <v>26801</v>
      </c>
      <c r="G161" s="200">
        <f t="shared" si="36"/>
        <v>31096</v>
      </c>
      <c r="H161" s="200">
        <f t="shared" si="36"/>
        <v>5806</v>
      </c>
      <c r="I161" s="200">
        <f t="shared" si="36"/>
        <v>2250</v>
      </c>
      <c r="J161" s="200">
        <f t="shared" si="36"/>
        <v>2232</v>
      </c>
      <c r="K161" s="200">
        <f t="shared" si="36"/>
        <v>23</v>
      </c>
      <c r="L161" s="200">
        <f t="shared" si="36"/>
        <v>94266</v>
      </c>
      <c r="N161" s="203">
        <f t="shared" ref="N161:W161" si="37">IF(AND(N114="-",N67="-",N20="-"),"-",IF(OR(ISNUMBER(N114),ISNUMBER(N67),ISNUMBER(N20)),SUM(N114,N67,N20),"--"))</f>
        <v>0</v>
      </c>
      <c r="O161" s="203">
        <f t="shared" si="37"/>
        <v>2</v>
      </c>
      <c r="P161" s="203">
        <f t="shared" si="37"/>
        <v>11</v>
      </c>
      <c r="Q161" s="203">
        <f t="shared" si="37"/>
        <v>1547</v>
      </c>
      <c r="R161" s="203">
        <f t="shared" si="37"/>
        <v>85901</v>
      </c>
      <c r="S161" s="203">
        <f t="shared" si="37"/>
        <v>197926</v>
      </c>
      <c r="T161" s="203">
        <f t="shared" si="37"/>
        <v>2112</v>
      </c>
      <c r="U161" s="203">
        <f t="shared" si="37"/>
        <v>1438</v>
      </c>
      <c r="V161" s="203">
        <f t="shared" si="37"/>
        <v>49</v>
      </c>
      <c r="W161" s="203">
        <f t="shared" si="37"/>
        <v>0</v>
      </c>
      <c r="X161" s="203">
        <f t="shared" si="7"/>
        <v>288986</v>
      </c>
    </row>
    <row r="162" spans="1:256" ht="11.25" customHeight="1" x14ac:dyDescent="0.25">
      <c r="A162" s="383">
        <v>1992</v>
      </c>
      <c r="B162" s="200">
        <f t="shared" ref="B162:L162" si="38">IF(AND(B115="-",B68="-",B21="-"),"-",SUM(B115,B68,B21))</f>
        <v>473</v>
      </c>
      <c r="C162" s="200">
        <f t="shared" si="38"/>
        <v>3407</v>
      </c>
      <c r="D162" s="200">
        <f t="shared" si="38"/>
        <v>5410</v>
      </c>
      <c r="E162" s="200">
        <f t="shared" si="38"/>
        <v>6573</v>
      </c>
      <c r="F162" s="200">
        <f t="shared" si="38"/>
        <v>11991</v>
      </c>
      <c r="G162" s="200">
        <f t="shared" si="38"/>
        <v>30243</v>
      </c>
      <c r="H162" s="200">
        <f t="shared" si="38"/>
        <v>11612</v>
      </c>
      <c r="I162" s="200">
        <f t="shared" si="38"/>
        <v>11453</v>
      </c>
      <c r="J162" s="200">
        <f t="shared" si="38"/>
        <v>4026</v>
      </c>
      <c r="K162" s="200">
        <f t="shared" si="38"/>
        <v>454</v>
      </c>
      <c r="L162" s="200">
        <f t="shared" si="38"/>
        <v>85642</v>
      </c>
      <c r="N162" s="203">
        <f t="shared" ref="N162:W162" si="39">IF(AND(N115="-",N68="-",N21="-"),"-",IF(OR(ISNUMBER(N115),ISNUMBER(N68),ISNUMBER(N21)),SUM(N115,N68,N21),"--"))</f>
        <v>1</v>
      </c>
      <c r="O162" s="203">
        <f t="shared" si="39"/>
        <v>8</v>
      </c>
      <c r="P162" s="203">
        <f t="shared" si="39"/>
        <v>10</v>
      </c>
      <c r="Q162" s="203">
        <f t="shared" si="39"/>
        <v>1003</v>
      </c>
      <c r="R162" s="203">
        <f t="shared" si="39"/>
        <v>25131</v>
      </c>
      <c r="S162" s="203">
        <f t="shared" si="39"/>
        <v>101661</v>
      </c>
      <c r="T162" s="203">
        <f t="shared" si="39"/>
        <v>38886</v>
      </c>
      <c r="U162" s="203">
        <f t="shared" si="39"/>
        <v>8335</v>
      </c>
      <c r="V162" s="203">
        <f t="shared" si="39"/>
        <v>51</v>
      </c>
      <c r="W162" s="203">
        <f t="shared" si="39"/>
        <v>0</v>
      </c>
      <c r="X162" s="203">
        <f t="shared" si="7"/>
        <v>175086</v>
      </c>
    </row>
    <row r="163" spans="1:256" ht="11.25" customHeight="1" x14ac:dyDescent="0.25">
      <c r="A163" s="383">
        <v>1993</v>
      </c>
      <c r="B163" s="200">
        <f t="shared" ref="B163:L163" si="40">IF(AND(B116="-",B69="-",B22="-"),"-",SUM(B116,B69,B22))</f>
        <v>439</v>
      </c>
      <c r="C163" s="200">
        <f t="shared" si="40"/>
        <v>9855</v>
      </c>
      <c r="D163" s="200">
        <f t="shared" si="40"/>
        <v>15023</v>
      </c>
      <c r="E163" s="200">
        <f t="shared" si="40"/>
        <v>10223</v>
      </c>
      <c r="F163" s="200">
        <f t="shared" si="40"/>
        <v>7833</v>
      </c>
      <c r="G163" s="200">
        <f t="shared" si="40"/>
        <v>42072</v>
      </c>
      <c r="H163" s="200">
        <f t="shared" si="40"/>
        <v>20714</v>
      </c>
      <c r="I163" s="200">
        <f t="shared" si="40"/>
        <v>5855</v>
      </c>
      <c r="J163" s="200">
        <f t="shared" si="40"/>
        <v>3594</v>
      </c>
      <c r="K163" s="60" t="s">
        <v>116</v>
      </c>
      <c r="L163" s="200">
        <f t="shared" si="40"/>
        <v>115608</v>
      </c>
      <c r="N163" s="203">
        <f t="shared" ref="N163:W163" si="41">IF(AND(N116="-",N69="-",N22="-"),"-",IF(OR(ISNUMBER(N116),ISNUMBER(N69),ISNUMBER(N22)),SUM(N116,N69,N22),"--"))</f>
        <v>0</v>
      </c>
      <c r="O163" s="203">
        <f t="shared" si="41"/>
        <v>37</v>
      </c>
      <c r="P163" s="203">
        <f t="shared" si="41"/>
        <v>58</v>
      </c>
      <c r="Q163" s="203">
        <f t="shared" si="41"/>
        <v>1033</v>
      </c>
      <c r="R163" s="203">
        <f t="shared" si="41"/>
        <v>2510</v>
      </c>
      <c r="S163" s="203">
        <f t="shared" si="41"/>
        <v>38724</v>
      </c>
      <c r="T163" s="203">
        <f t="shared" si="41"/>
        <v>22752</v>
      </c>
      <c r="U163" s="203">
        <f t="shared" si="41"/>
        <v>1560</v>
      </c>
      <c r="V163" s="203">
        <f t="shared" si="41"/>
        <v>11</v>
      </c>
      <c r="W163" s="203">
        <f t="shared" si="41"/>
        <v>0</v>
      </c>
      <c r="X163" s="203">
        <f t="shared" si="7"/>
        <v>66685</v>
      </c>
    </row>
    <row r="164" spans="1:256" ht="11.25" customHeight="1" x14ac:dyDescent="0.25">
      <c r="A164" s="383">
        <v>1994</v>
      </c>
      <c r="B164" s="200">
        <f t="shared" ref="B164:L164" si="42">IF(AND(B117="-",B70="-",B23="-"),"-",SUM(B117,B70,B23))</f>
        <v>1228</v>
      </c>
      <c r="C164" s="200">
        <f t="shared" si="42"/>
        <v>7133</v>
      </c>
      <c r="D164" s="200">
        <f t="shared" si="42"/>
        <v>16428</v>
      </c>
      <c r="E164" s="200">
        <f t="shared" si="42"/>
        <v>20194</v>
      </c>
      <c r="F164" s="200">
        <f t="shared" si="42"/>
        <v>39279</v>
      </c>
      <c r="G164" s="200">
        <f t="shared" si="42"/>
        <v>54545</v>
      </c>
      <c r="H164" s="200">
        <f t="shared" si="42"/>
        <v>27338</v>
      </c>
      <c r="I164" s="200">
        <f t="shared" si="42"/>
        <v>15438</v>
      </c>
      <c r="J164" s="200">
        <f t="shared" si="42"/>
        <v>14269</v>
      </c>
      <c r="K164" s="200">
        <f t="shared" si="42"/>
        <v>0</v>
      </c>
      <c r="L164" s="200">
        <f t="shared" si="42"/>
        <v>195852</v>
      </c>
      <c r="N164" s="203">
        <f t="shared" ref="N164:W164" si="43">IF(AND(N117="-",N70="-",N23="-"),"-",IF(OR(ISNUMBER(N117),ISNUMBER(N70),ISNUMBER(N23)),SUM(N117,N70,N23),"--"))</f>
        <v>0</v>
      </c>
      <c r="O164" s="203">
        <f t="shared" si="43"/>
        <v>0</v>
      </c>
      <c r="P164" s="203">
        <f t="shared" si="43"/>
        <v>20</v>
      </c>
      <c r="Q164" s="203">
        <f t="shared" si="43"/>
        <v>10</v>
      </c>
      <c r="R164" s="203">
        <f t="shared" si="43"/>
        <v>231</v>
      </c>
      <c r="S164" s="203">
        <f t="shared" si="43"/>
        <v>110</v>
      </c>
      <c r="T164" s="203">
        <f t="shared" si="43"/>
        <v>136</v>
      </c>
      <c r="U164" s="203">
        <f t="shared" si="43"/>
        <v>18</v>
      </c>
      <c r="V164" s="203">
        <f t="shared" si="43"/>
        <v>8</v>
      </c>
      <c r="W164" s="203" t="str">
        <f t="shared" si="43"/>
        <v>--</v>
      </c>
      <c r="X164" s="203">
        <f t="shared" si="7"/>
        <v>533</v>
      </c>
    </row>
    <row r="165" spans="1:256" ht="11.25" customHeight="1" x14ac:dyDescent="0.25">
      <c r="A165" s="383">
        <v>1995</v>
      </c>
      <c r="B165" s="200">
        <f t="shared" ref="B165:L165" si="44">IF(AND(B118="-",B71="-",B24="-"),"-",SUM(B118,B71,B24))</f>
        <v>229</v>
      </c>
      <c r="C165" s="200">
        <f t="shared" si="44"/>
        <v>27335</v>
      </c>
      <c r="D165" s="200">
        <f t="shared" si="44"/>
        <v>57929</v>
      </c>
      <c r="E165" s="200">
        <f t="shared" si="44"/>
        <v>47521</v>
      </c>
      <c r="F165" s="200">
        <f t="shared" si="44"/>
        <v>82152</v>
      </c>
      <c r="G165" s="200">
        <f t="shared" si="44"/>
        <v>133651</v>
      </c>
      <c r="H165" s="200">
        <f t="shared" si="44"/>
        <v>31890</v>
      </c>
      <c r="I165" s="200">
        <f t="shared" si="44"/>
        <v>19805</v>
      </c>
      <c r="J165" s="200">
        <f t="shared" si="44"/>
        <v>3252</v>
      </c>
      <c r="K165" s="200">
        <f t="shared" si="44"/>
        <v>84</v>
      </c>
      <c r="L165" s="200">
        <f t="shared" si="44"/>
        <v>403848</v>
      </c>
      <c r="N165" s="203">
        <f t="shared" ref="N165:W165" si="45">IF(AND(N118="-",N71="-",N24="-"),"-",IF(OR(ISNUMBER(N118),ISNUMBER(N71),ISNUMBER(N24)),SUM(N118,N71,N24),"--"))</f>
        <v>0</v>
      </c>
      <c r="O165" s="203">
        <f t="shared" si="45"/>
        <v>0</v>
      </c>
      <c r="P165" s="203">
        <f t="shared" si="45"/>
        <v>16</v>
      </c>
      <c r="Q165" s="203">
        <f t="shared" si="45"/>
        <v>15</v>
      </c>
      <c r="R165" s="203">
        <f t="shared" si="45"/>
        <v>511</v>
      </c>
      <c r="S165" s="203">
        <f t="shared" si="45"/>
        <v>143</v>
      </c>
      <c r="T165" s="203">
        <f t="shared" si="45"/>
        <v>141</v>
      </c>
      <c r="U165" s="203">
        <f t="shared" si="45"/>
        <v>242</v>
      </c>
      <c r="V165" s="203">
        <f t="shared" si="45"/>
        <v>12</v>
      </c>
      <c r="W165" s="203" t="str">
        <f t="shared" si="45"/>
        <v>--</v>
      </c>
      <c r="X165" s="203">
        <f t="shared" si="7"/>
        <v>1080</v>
      </c>
    </row>
    <row r="166" spans="1:256" ht="11.25" customHeight="1" x14ac:dyDescent="0.25">
      <c r="A166" s="383">
        <v>1996</v>
      </c>
      <c r="B166" s="200">
        <f t="shared" ref="B166:L166" si="46">IF(AND(B119="-",B72="-",B25="-"),"-",SUM(B119,B72,B25))</f>
        <v>11</v>
      </c>
      <c r="C166" s="200">
        <f t="shared" si="46"/>
        <v>31966</v>
      </c>
      <c r="D166" s="200">
        <f t="shared" si="46"/>
        <v>31658</v>
      </c>
      <c r="E166" s="200">
        <f t="shared" si="46"/>
        <v>15961</v>
      </c>
      <c r="F166" s="200">
        <f t="shared" si="46"/>
        <v>35957</v>
      </c>
      <c r="G166" s="200">
        <f t="shared" si="46"/>
        <v>33902</v>
      </c>
      <c r="H166" s="200">
        <f t="shared" si="46"/>
        <v>15921</v>
      </c>
      <c r="I166" s="200">
        <f t="shared" si="46"/>
        <v>6482</v>
      </c>
      <c r="J166" s="200">
        <f t="shared" si="46"/>
        <v>3356</v>
      </c>
      <c r="K166" s="60" t="s">
        <v>116</v>
      </c>
      <c r="L166" s="200">
        <f t="shared" si="46"/>
        <v>175214</v>
      </c>
      <c r="N166" s="203" t="str">
        <f t="shared" ref="N166:W166" si="47">IF(AND(N119="-",N72="-",N25="-"),"-",IF(OR(ISNUMBER(N119),ISNUMBER(N72),ISNUMBER(N25)),SUM(N119,N72,N25),"--"))</f>
        <v>-</v>
      </c>
      <c r="O166" s="203" t="str">
        <f t="shared" si="47"/>
        <v>-</v>
      </c>
      <c r="P166" s="203">
        <f t="shared" si="47"/>
        <v>3</v>
      </c>
      <c r="Q166" s="203">
        <f t="shared" si="47"/>
        <v>2</v>
      </c>
      <c r="R166" s="203">
        <f t="shared" si="47"/>
        <v>362</v>
      </c>
      <c r="S166" s="203">
        <f t="shared" si="47"/>
        <v>93</v>
      </c>
      <c r="T166" s="203">
        <f t="shared" si="47"/>
        <v>229</v>
      </c>
      <c r="U166" s="203">
        <f t="shared" si="47"/>
        <v>108</v>
      </c>
      <c r="V166" s="203">
        <f t="shared" si="47"/>
        <v>12</v>
      </c>
      <c r="W166" s="203" t="str">
        <f t="shared" si="47"/>
        <v>-</v>
      </c>
      <c r="X166" s="203">
        <f t="shared" si="7"/>
        <v>809</v>
      </c>
    </row>
    <row r="167" spans="1:256" ht="11.25" customHeight="1" x14ac:dyDescent="0.25">
      <c r="A167" s="383">
        <v>1997</v>
      </c>
      <c r="B167" s="200">
        <f t="shared" ref="B167:L167" si="48">IF(AND(B120="-",B73="-",B26="-"),"-",SUM(B120,B73,B26))</f>
        <v>0</v>
      </c>
      <c r="C167" s="200">
        <f t="shared" si="48"/>
        <v>20090</v>
      </c>
      <c r="D167" s="200">
        <f t="shared" si="48"/>
        <v>26941</v>
      </c>
      <c r="E167" s="200">
        <f t="shared" si="48"/>
        <v>28441</v>
      </c>
      <c r="F167" s="200">
        <f t="shared" si="48"/>
        <v>48869</v>
      </c>
      <c r="G167" s="200">
        <f t="shared" si="48"/>
        <v>75741</v>
      </c>
      <c r="H167" s="200">
        <f t="shared" si="48"/>
        <v>29425</v>
      </c>
      <c r="I167" s="200">
        <f t="shared" si="48"/>
        <v>3552</v>
      </c>
      <c r="J167" s="200">
        <f t="shared" si="48"/>
        <v>3346</v>
      </c>
      <c r="K167" s="200">
        <f t="shared" si="48"/>
        <v>58</v>
      </c>
      <c r="L167" s="200">
        <f t="shared" si="48"/>
        <v>236463</v>
      </c>
      <c r="N167" s="203" t="str">
        <f t="shared" ref="N167:W167" si="49">IF(AND(N120="-",N73="-",N26="-"),"-",IF(OR(ISNUMBER(N120),ISNUMBER(N73),ISNUMBER(N26)),SUM(N120,N73,N26),"--"))</f>
        <v>-</v>
      </c>
      <c r="O167" s="203" t="str">
        <f t="shared" si="49"/>
        <v>-</v>
      </c>
      <c r="P167" s="203" t="str">
        <f t="shared" si="49"/>
        <v>-</v>
      </c>
      <c r="Q167" s="203">
        <f t="shared" si="49"/>
        <v>51</v>
      </c>
      <c r="R167" s="203">
        <f t="shared" si="49"/>
        <v>96</v>
      </c>
      <c r="S167" s="203">
        <f t="shared" si="49"/>
        <v>324</v>
      </c>
      <c r="T167" s="203">
        <f t="shared" si="49"/>
        <v>148</v>
      </c>
      <c r="U167" s="203">
        <f t="shared" si="49"/>
        <v>32</v>
      </c>
      <c r="V167" s="203" t="str">
        <f t="shared" si="49"/>
        <v>-</v>
      </c>
      <c r="W167" s="203" t="str">
        <f t="shared" si="49"/>
        <v>-</v>
      </c>
      <c r="X167" s="203">
        <f t="shared" si="7"/>
        <v>651</v>
      </c>
    </row>
    <row r="168" spans="1:256" ht="11.25" customHeight="1" x14ac:dyDescent="0.25">
      <c r="A168" s="383">
        <v>1998</v>
      </c>
      <c r="B168" s="200">
        <f t="shared" ref="B168:L168" si="50">IF(AND(B121="-",B74="-",B27="-"),"-",SUM(B121,B74,B27))</f>
        <v>0</v>
      </c>
      <c r="C168" s="200">
        <f t="shared" si="50"/>
        <v>2989</v>
      </c>
      <c r="D168" s="200">
        <f t="shared" si="50"/>
        <v>13130</v>
      </c>
      <c r="E168" s="200">
        <f t="shared" si="50"/>
        <v>16345</v>
      </c>
      <c r="F168" s="200">
        <f t="shared" si="50"/>
        <v>25322</v>
      </c>
      <c r="G168" s="200">
        <f t="shared" si="50"/>
        <v>37944</v>
      </c>
      <c r="H168" s="200">
        <f t="shared" si="50"/>
        <v>22252</v>
      </c>
      <c r="I168" s="200">
        <f t="shared" si="50"/>
        <v>5298</v>
      </c>
      <c r="J168" s="200">
        <f t="shared" si="50"/>
        <v>2714</v>
      </c>
      <c r="K168" s="60" t="s">
        <v>116</v>
      </c>
      <c r="L168" s="200">
        <f t="shared" si="50"/>
        <v>125994</v>
      </c>
      <c r="N168" s="203" t="str">
        <f t="shared" ref="N168:W168" si="51">IF(AND(N121="-",N74="-",N27="-"),"-",IF(OR(ISNUMBER(N121),ISNUMBER(N74),ISNUMBER(N27)),SUM(N121,N74,N27),"--"))</f>
        <v>-</v>
      </c>
      <c r="O168" s="203" t="str">
        <f t="shared" si="51"/>
        <v>-</v>
      </c>
      <c r="P168" s="203" t="str">
        <f t="shared" si="51"/>
        <v>-</v>
      </c>
      <c r="Q168" s="203" t="str">
        <f t="shared" si="51"/>
        <v>-</v>
      </c>
      <c r="R168" s="203">
        <f t="shared" si="51"/>
        <v>33</v>
      </c>
      <c r="S168" s="203">
        <f t="shared" si="51"/>
        <v>44</v>
      </c>
      <c r="T168" s="203">
        <f t="shared" si="51"/>
        <v>137</v>
      </c>
      <c r="U168" s="203">
        <f t="shared" si="51"/>
        <v>11</v>
      </c>
      <c r="V168" s="203">
        <f t="shared" si="51"/>
        <v>8</v>
      </c>
      <c r="W168" s="203" t="str">
        <f t="shared" si="51"/>
        <v>-</v>
      </c>
      <c r="X168" s="203">
        <f t="shared" si="7"/>
        <v>233</v>
      </c>
    </row>
    <row r="169" spans="1:256" ht="11.25" customHeight="1" x14ac:dyDescent="0.25">
      <c r="A169" s="383">
        <v>1999</v>
      </c>
      <c r="B169" s="200">
        <f t="shared" ref="B169:L169" si="52">IF(AND(B122="-",B75="-",B28="-"),"-",SUM(B122,B75,B28))</f>
        <v>0</v>
      </c>
      <c r="C169" s="200">
        <f t="shared" si="52"/>
        <v>1691</v>
      </c>
      <c r="D169" s="200">
        <f t="shared" si="52"/>
        <v>6631</v>
      </c>
      <c r="E169" s="200">
        <f t="shared" si="52"/>
        <v>1775</v>
      </c>
      <c r="F169" s="200">
        <f t="shared" si="52"/>
        <v>16005</v>
      </c>
      <c r="G169" s="200">
        <f t="shared" si="52"/>
        <v>37469</v>
      </c>
      <c r="H169" s="200">
        <f t="shared" si="52"/>
        <v>19756</v>
      </c>
      <c r="I169" s="200">
        <f t="shared" si="52"/>
        <v>7867</v>
      </c>
      <c r="J169" s="200">
        <f t="shared" si="52"/>
        <v>3430</v>
      </c>
      <c r="K169" s="200">
        <f t="shared" si="52"/>
        <v>8</v>
      </c>
      <c r="L169" s="200">
        <f t="shared" si="52"/>
        <v>94632</v>
      </c>
      <c r="N169" s="203" t="str">
        <f t="shared" ref="N169:W169" si="53">IF(AND(N122="-",N75="-",N28="-"),"-",IF(OR(ISNUMBER(N122),ISNUMBER(N75),ISNUMBER(N28)),SUM(N122,N75,N28),"--"))</f>
        <v>-</v>
      </c>
      <c r="O169" s="203" t="str">
        <f t="shared" si="53"/>
        <v>-</v>
      </c>
      <c r="P169" s="203" t="str">
        <f t="shared" si="53"/>
        <v>-</v>
      </c>
      <c r="Q169" s="203">
        <f t="shared" si="53"/>
        <v>12</v>
      </c>
      <c r="R169" s="203">
        <f t="shared" si="53"/>
        <v>226</v>
      </c>
      <c r="S169" s="203">
        <f t="shared" si="53"/>
        <v>6207</v>
      </c>
      <c r="T169" s="203">
        <f t="shared" si="53"/>
        <v>220</v>
      </c>
      <c r="U169" s="203">
        <f t="shared" si="53"/>
        <v>27</v>
      </c>
      <c r="V169" s="203">
        <f t="shared" si="53"/>
        <v>8</v>
      </c>
      <c r="W169" s="203" t="str">
        <f t="shared" si="53"/>
        <v>-</v>
      </c>
      <c r="X169" s="203">
        <f t="shared" si="7"/>
        <v>6700</v>
      </c>
    </row>
    <row r="170" spans="1:256" ht="11.25" customHeight="1" x14ac:dyDescent="0.25">
      <c r="A170" s="383">
        <v>2000</v>
      </c>
      <c r="B170" s="200">
        <f t="shared" ref="B170:L170" si="54">IF(AND(B123="-",B76="-",B29="-"),"-",SUM(B123,B76,B29))</f>
        <v>0</v>
      </c>
      <c r="C170" s="200">
        <f t="shared" si="54"/>
        <v>0</v>
      </c>
      <c r="D170" s="200">
        <f t="shared" si="54"/>
        <v>40315</v>
      </c>
      <c r="E170" s="200">
        <f t="shared" si="54"/>
        <v>32485</v>
      </c>
      <c r="F170" s="200">
        <f t="shared" si="54"/>
        <v>38095</v>
      </c>
      <c r="G170" s="200">
        <f t="shared" si="54"/>
        <v>41196</v>
      </c>
      <c r="H170" s="200">
        <f t="shared" si="54"/>
        <v>34998</v>
      </c>
      <c r="I170" s="200">
        <f t="shared" si="54"/>
        <v>13430</v>
      </c>
      <c r="J170" s="200">
        <f t="shared" si="54"/>
        <v>8060</v>
      </c>
      <c r="K170" s="200">
        <f t="shared" si="54"/>
        <v>1968</v>
      </c>
      <c r="L170" s="200">
        <f t="shared" si="54"/>
        <v>210547</v>
      </c>
      <c r="N170" s="203" t="str">
        <f t="shared" ref="N170:W170" si="55">IF(AND(N123="-",N76="-",N29="-"),"-",IF(OR(ISNUMBER(N123),ISNUMBER(N76),ISNUMBER(N29)),SUM(N123,N76,N29),"--"))</f>
        <v>-</v>
      </c>
      <c r="O170" s="203" t="str">
        <f t="shared" si="55"/>
        <v>-</v>
      </c>
      <c r="P170" s="203" t="str">
        <f t="shared" si="55"/>
        <v>-</v>
      </c>
      <c r="Q170" s="203" t="str">
        <f t="shared" si="55"/>
        <v>-</v>
      </c>
      <c r="R170" s="203">
        <f t="shared" si="55"/>
        <v>160</v>
      </c>
      <c r="S170" s="203">
        <f t="shared" si="55"/>
        <v>19420</v>
      </c>
      <c r="T170" s="203">
        <f t="shared" si="55"/>
        <v>262</v>
      </c>
      <c r="U170" s="203">
        <f t="shared" si="55"/>
        <v>31</v>
      </c>
      <c r="V170" s="203">
        <f t="shared" si="55"/>
        <v>8</v>
      </c>
      <c r="W170" s="203" t="str">
        <f t="shared" si="55"/>
        <v>-</v>
      </c>
      <c r="X170" s="203">
        <f t="shared" si="7"/>
        <v>19881</v>
      </c>
    </row>
    <row r="171" spans="1:256" ht="11.25" customHeight="1" x14ac:dyDescent="0.25">
      <c r="A171" s="383">
        <v>2001</v>
      </c>
      <c r="B171" s="200">
        <f t="shared" ref="B171:L171" si="56">IF(AND(B124="-",B77="-",B30="-"),"-",SUM(B124,B77,B30))</f>
        <v>0</v>
      </c>
      <c r="C171" s="200">
        <f t="shared" si="56"/>
        <v>1256</v>
      </c>
      <c r="D171" s="200">
        <f t="shared" si="56"/>
        <v>18059</v>
      </c>
      <c r="E171" s="200">
        <f t="shared" si="56"/>
        <v>14799</v>
      </c>
      <c r="F171" s="200">
        <f t="shared" si="56"/>
        <v>15416</v>
      </c>
      <c r="G171" s="200">
        <f t="shared" si="56"/>
        <v>34796</v>
      </c>
      <c r="H171" s="200">
        <f t="shared" si="56"/>
        <v>22429</v>
      </c>
      <c r="I171" s="200">
        <f t="shared" si="56"/>
        <v>10843</v>
      </c>
      <c r="J171" s="200">
        <f t="shared" si="56"/>
        <v>4521</v>
      </c>
      <c r="K171" s="200">
        <f t="shared" si="56"/>
        <v>1246</v>
      </c>
      <c r="L171" s="200">
        <f t="shared" si="56"/>
        <v>105991</v>
      </c>
      <c r="N171" s="203" t="str">
        <f t="shared" ref="N171:W171" si="57">IF(AND(N124="-",N77="-",N30="-"),"-",IF(OR(ISNUMBER(N124),ISNUMBER(N77),ISNUMBER(N30)),SUM(N124,N77,N30),"--"))</f>
        <v>-</v>
      </c>
      <c r="O171" s="203" t="str">
        <f t="shared" si="57"/>
        <v>-</v>
      </c>
      <c r="P171" s="203">
        <f t="shared" si="57"/>
        <v>4</v>
      </c>
      <c r="Q171" s="203">
        <f t="shared" si="57"/>
        <v>452</v>
      </c>
      <c r="R171" s="203">
        <f t="shared" si="57"/>
        <v>18000</v>
      </c>
      <c r="S171" s="203">
        <f t="shared" si="57"/>
        <v>37610</v>
      </c>
      <c r="T171" s="203">
        <f t="shared" si="57"/>
        <v>309</v>
      </c>
      <c r="U171" s="203">
        <f t="shared" si="57"/>
        <v>76</v>
      </c>
      <c r="V171" s="203">
        <f t="shared" si="57"/>
        <v>35</v>
      </c>
      <c r="W171" s="203" t="str">
        <f t="shared" si="57"/>
        <v>-</v>
      </c>
      <c r="X171" s="203">
        <f t="shared" si="7"/>
        <v>56486</v>
      </c>
    </row>
    <row r="172" spans="1:256" ht="11.25" customHeight="1" x14ac:dyDescent="0.25">
      <c r="A172" s="383">
        <v>2002</v>
      </c>
      <c r="B172" s="200">
        <f t="shared" ref="B172:L172" si="58">IF(AND(B125="-",B78="-",B31="-"),"-",SUM(B125,B78,B31))</f>
        <v>14</v>
      </c>
      <c r="C172" s="200">
        <f t="shared" si="58"/>
        <v>2979</v>
      </c>
      <c r="D172" s="200">
        <f t="shared" si="58"/>
        <v>37914</v>
      </c>
      <c r="E172" s="200">
        <f t="shared" si="58"/>
        <v>25311</v>
      </c>
      <c r="F172" s="200">
        <f t="shared" si="58"/>
        <v>43254</v>
      </c>
      <c r="G172" s="200">
        <f t="shared" si="58"/>
        <v>68567</v>
      </c>
      <c r="H172" s="200">
        <f t="shared" si="58"/>
        <v>32387</v>
      </c>
      <c r="I172" s="200">
        <f t="shared" si="58"/>
        <v>12998</v>
      </c>
      <c r="J172" s="200">
        <f t="shared" si="58"/>
        <v>3285</v>
      </c>
      <c r="K172" s="200">
        <f t="shared" si="58"/>
        <v>61</v>
      </c>
      <c r="L172" s="200">
        <f t="shared" si="58"/>
        <v>226770</v>
      </c>
      <c r="N172" s="203" t="str">
        <f t="shared" ref="N172:W172" si="59">IF(AND(N125="-",N78="-",N31="-"),"-",IF(OR(ISNUMBER(N125),ISNUMBER(N78),ISNUMBER(N31)),SUM(N125,N78,N31),"--"))</f>
        <v>-</v>
      </c>
      <c r="O172" s="203" t="str">
        <f t="shared" si="59"/>
        <v>-</v>
      </c>
      <c r="P172" s="203">
        <f t="shared" si="59"/>
        <v>2</v>
      </c>
      <c r="Q172" s="203">
        <f t="shared" si="59"/>
        <v>32</v>
      </c>
      <c r="R172" s="203">
        <f t="shared" si="59"/>
        <v>418</v>
      </c>
      <c r="S172" s="203">
        <f t="shared" si="59"/>
        <v>20076</v>
      </c>
      <c r="T172" s="203">
        <f t="shared" si="59"/>
        <v>2266</v>
      </c>
      <c r="U172" s="203">
        <f t="shared" si="59"/>
        <v>144</v>
      </c>
      <c r="V172" s="203">
        <f t="shared" si="59"/>
        <v>24</v>
      </c>
      <c r="W172" s="203" t="str">
        <f t="shared" si="59"/>
        <v>-</v>
      </c>
      <c r="X172" s="203">
        <f t="shared" si="7"/>
        <v>22962</v>
      </c>
    </row>
    <row r="173" spans="1:256" ht="11.25" customHeight="1" x14ac:dyDescent="0.25">
      <c r="A173" s="383">
        <v>2003</v>
      </c>
      <c r="B173" s="200">
        <f t="shared" ref="B173:L173" si="60">IF(AND(B126="-",B79="-",B32="-"),"-",SUM(B126,B79,B32))</f>
        <v>444</v>
      </c>
      <c r="C173" s="200">
        <f t="shared" si="60"/>
        <v>3980</v>
      </c>
      <c r="D173" s="200">
        <f t="shared" si="60"/>
        <v>9591</v>
      </c>
      <c r="E173" s="200">
        <f t="shared" si="60"/>
        <v>15862</v>
      </c>
      <c r="F173" s="200">
        <f t="shared" si="60"/>
        <v>24135</v>
      </c>
      <c r="G173" s="200">
        <f t="shared" si="60"/>
        <v>47196</v>
      </c>
      <c r="H173" s="200">
        <f t="shared" si="60"/>
        <v>18866</v>
      </c>
      <c r="I173" s="200">
        <f t="shared" si="60"/>
        <v>9987</v>
      </c>
      <c r="J173" s="200">
        <f t="shared" si="60"/>
        <v>2873</v>
      </c>
      <c r="K173" s="200">
        <f t="shared" si="60"/>
        <v>64</v>
      </c>
      <c r="L173" s="200">
        <f t="shared" si="60"/>
        <v>132998</v>
      </c>
      <c r="M173" s="197"/>
      <c r="N173" s="203" t="str">
        <f t="shared" ref="N173:W173" si="61">IF(AND(N126="-",N79="-",N32="-"),"-",IF(OR(ISNUMBER(N126),ISNUMBER(N79),ISNUMBER(N32)),SUM(N126,N79,N32),"--"))</f>
        <v>-</v>
      </c>
      <c r="O173" s="203" t="str">
        <f t="shared" si="61"/>
        <v>-</v>
      </c>
      <c r="P173" s="203" t="str">
        <f t="shared" si="61"/>
        <v>-</v>
      </c>
      <c r="Q173" s="203">
        <f t="shared" si="61"/>
        <v>101</v>
      </c>
      <c r="R173" s="203">
        <f t="shared" si="61"/>
        <v>7834</v>
      </c>
      <c r="S173" s="203">
        <f t="shared" si="61"/>
        <v>51075</v>
      </c>
      <c r="T173" s="203">
        <f t="shared" si="61"/>
        <v>25392</v>
      </c>
      <c r="U173" s="203">
        <f t="shared" si="61"/>
        <v>85</v>
      </c>
      <c r="V173" s="203">
        <f t="shared" si="61"/>
        <v>14</v>
      </c>
      <c r="W173" s="203" t="str">
        <f t="shared" si="61"/>
        <v>-</v>
      </c>
      <c r="X173" s="203">
        <f t="shared" si="7"/>
        <v>84501</v>
      </c>
    </row>
    <row r="174" spans="1:256" ht="11.25" customHeight="1" x14ac:dyDescent="0.25">
      <c r="A174" s="402">
        <v>2004</v>
      </c>
      <c r="B174" s="203">
        <f t="shared" ref="B174:L174" si="62">IF(AND(B127="-",B80="-",B33="-"),"-",SUM(B127,B80,B33))</f>
        <v>41</v>
      </c>
      <c r="C174" s="203">
        <f t="shared" si="62"/>
        <v>512</v>
      </c>
      <c r="D174" s="203">
        <f t="shared" si="62"/>
        <v>31494</v>
      </c>
      <c r="E174" s="203">
        <f t="shared" si="62"/>
        <v>31676</v>
      </c>
      <c r="F174" s="203">
        <f t="shared" si="62"/>
        <v>42382</v>
      </c>
      <c r="G174" s="203">
        <f t="shared" si="62"/>
        <v>98194</v>
      </c>
      <c r="H174" s="203">
        <f t="shared" si="62"/>
        <v>48716</v>
      </c>
      <c r="I174" s="203">
        <f t="shared" si="62"/>
        <v>16984</v>
      </c>
      <c r="J174" s="203">
        <f t="shared" si="62"/>
        <v>4958</v>
      </c>
      <c r="K174" s="203">
        <f t="shared" si="62"/>
        <v>407</v>
      </c>
      <c r="L174" s="203">
        <f t="shared" si="62"/>
        <v>275364</v>
      </c>
      <c r="M174" s="197"/>
      <c r="N174" s="203" t="str">
        <f t="shared" ref="N174:W174" si="63">IF(AND(N127="-",N80="-",N33="-"),"-",IF(OR(ISNUMBER(N127),ISNUMBER(N80),ISNUMBER(N33)),SUM(N127,N80,N33),"--"))</f>
        <v>-</v>
      </c>
      <c r="O174" s="203" t="str">
        <f t="shared" si="63"/>
        <v>-</v>
      </c>
      <c r="P174" s="203" t="str">
        <f t="shared" si="63"/>
        <v>-</v>
      </c>
      <c r="Q174" s="203">
        <f t="shared" si="63"/>
        <v>237</v>
      </c>
      <c r="R174" s="203">
        <f t="shared" si="63"/>
        <v>5508</v>
      </c>
      <c r="S174" s="203">
        <f t="shared" si="63"/>
        <v>32211</v>
      </c>
      <c r="T174" s="203">
        <f t="shared" si="63"/>
        <v>12237</v>
      </c>
      <c r="U174" s="203">
        <f t="shared" si="63"/>
        <v>542</v>
      </c>
      <c r="V174" s="203">
        <f t="shared" si="63"/>
        <v>26</v>
      </c>
      <c r="W174" s="203" t="str">
        <f t="shared" si="63"/>
        <v>-</v>
      </c>
      <c r="X174" s="203">
        <f t="shared" si="7"/>
        <v>50761</v>
      </c>
    </row>
    <row r="175" spans="1:256" ht="11.25" customHeight="1" x14ac:dyDescent="0.25">
      <c r="A175" s="402">
        <v>2005</v>
      </c>
      <c r="B175" s="203">
        <f t="shared" ref="B175:L175" si="64">IF(AND(B128="-",B81="-",B34="-"),"-",SUM(B128,B81,B34))</f>
        <v>285</v>
      </c>
      <c r="C175" s="203">
        <f t="shared" si="64"/>
        <v>117</v>
      </c>
      <c r="D175" s="203">
        <f t="shared" si="64"/>
        <v>14359</v>
      </c>
      <c r="E175" s="203">
        <f t="shared" si="64"/>
        <v>15679</v>
      </c>
      <c r="F175" s="203">
        <f t="shared" si="64"/>
        <v>45265</v>
      </c>
      <c r="G175" s="203">
        <f t="shared" si="64"/>
        <v>40639</v>
      </c>
      <c r="H175" s="203">
        <f t="shared" si="64"/>
        <v>25828</v>
      </c>
      <c r="I175" s="203">
        <f t="shared" si="64"/>
        <v>20401</v>
      </c>
      <c r="J175" s="203">
        <f t="shared" si="64"/>
        <v>4639</v>
      </c>
      <c r="K175" s="203">
        <f t="shared" si="64"/>
        <v>355</v>
      </c>
      <c r="L175" s="203">
        <f t="shared" si="64"/>
        <v>167567</v>
      </c>
      <c r="M175" s="197"/>
      <c r="N175" s="203" t="str">
        <f t="shared" ref="N175:W175" si="65">IF(AND(N128="-",N81="-",N34="-"),"-",IF(OR(ISNUMBER(N128),ISNUMBER(N81),ISNUMBER(N34)),SUM(N128,N81,N34),"--"))</f>
        <v>-</v>
      </c>
      <c r="O175" s="203" t="str">
        <f t="shared" si="65"/>
        <v>-</v>
      </c>
      <c r="P175" s="203" t="str">
        <f t="shared" si="65"/>
        <v>-</v>
      </c>
      <c r="Q175" s="203">
        <f t="shared" si="65"/>
        <v>59</v>
      </c>
      <c r="R175" s="203">
        <f t="shared" si="65"/>
        <v>2443</v>
      </c>
      <c r="S175" s="203">
        <f t="shared" si="65"/>
        <v>1668</v>
      </c>
      <c r="T175" s="203">
        <f t="shared" si="65"/>
        <v>105</v>
      </c>
      <c r="U175" s="203">
        <f t="shared" si="65"/>
        <v>164</v>
      </c>
      <c r="V175" s="203" t="str">
        <f t="shared" si="65"/>
        <v>-</v>
      </c>
      <c r="W175" s="203" t="str">
        <f t="shared" si="65"/>
        <v>-</v>
      </c>
      <c r="X175" s="203">
        <f t="shared" si="7"/>
        <v>4439</v>
      </c>
      <c r="Y175" s="203"/>
      <c r="Z175" s="203"/>
      <c r="AA175" s="203"/>
      <c r="AB175" s="203"/>
      <c r="AC175" s="203"/>
      <c r="AD175" s="203"/>
      <c r="AE175" s="203"/>
      <c r="AF175" s="203"/>
      <c r="AG175" s="203"/>
      <c r="AH175" s="203"/>
      <c r="AI175" s="203"/>
      <c r="AJ175" s="203"/>
      <c r="AK175" s="203"/>
      <c r="AL175" s="203"/>
      <c r="AM175" s="203"/>
      <c r="AN175" s="203"/>
      <c r="AO175" s="203"/>
      <c r="AP175" s="203"/>
      <c r="AQ175" s="203"/>
      <c r="AR175" s="203"/>
      <c r="AS175" s="203"/>
      <c r="AT175" s="203"/>
      <c r="AU175" s="203"/>
      <c r="AV175" s="203"/>
      <c r="AW175" s="203"/>
      <c r="AX175" s="203"/>
      <c r="AY175" s="203"/>
      <c r="AZ175" s="203"/>
      <c r="BA175" s="203"/>
      <c r="BB175" s="203"/>
      <c r="BC175" s="203"/>
      <c r="BD175" s="203"/>
      <c r="BE175" s="203"/>
      <c r="BF175" s="203"/>
      <c r="BG175" s="203"/>
      <c r="BH175" s="203"/>
      <c r="BI175" s="203"/>
      <c r="BJ175" s="203"/>
      <c r="BK175" s="203"/>
      <c r="BL175" s="203"/>
      <c r="BM175" s="203"/>
      <c r="BN175" s="203"/>
      <c r="BO175" s="203"/>
      <c r="BP175" s="203"/>
      <c r="BQ175" s="203"/>
      <c r="BR175" s="203"/>
      <c r="BS175" s="203"/>
      <c r="BT175" s="203"/>
      <c r="BU175" s="203"/>
      <c r="BV175" s="203"/>
      <c r="BW175" s="203"/>
      <c r="BX175" s="203"/>
      <c r="BY175" s="203"/>
      <c r="BZ175" s="203"/>
      <c r="CA175" s="203"/>
      <c r="CB175" s="203"/>
      <c r="CC175" s="203"/>
      <c r="CD175" s="203"/>
      <c r="CE175" s="203"/>
      <c r="CF175" s="203"/>
      <c r="CG175" s="203"/>
      <c r="CH175" s="203"/>
      <c r="CI175" s="203"/>
      <c r="CJ175" s="203"/>
      <c r="CK175" s="203"/>
      <c r="CL175" s="203"/>
      <c r="CM175" s="203"/>
      <c r="CN175" s="203"/>
      <c r="CO175" s="203"/>
      <c r="CP175" s="203"/>
      <c r="CQ175" s="203"/>
      <c r="CR175" s="203"/>
      <c r="CS175" s="203"/>
      <c r="CT175" s="203"/>
      <c r="CU175" s="203"/>
      <c r="CV175" s="203"/>
      <c r="CW175" s="203"/>
      <c r="CX175" s="203"/>
      <c r="CY175" s="203"/>
      <c r="CZ175" s="203"/>
      <c r="DA175" s="203"/>
      <c r="DB175" s="203"/>
      <c r="DC175" s="203"/>
      <c r="DD175" s="203"/>
      <c r="DE175" s="203"/>
      <c r="DF175" s="203"/>
      <c r="DG175" s="203"/>
      <c r="DH175" s="203"/>
      <c r="DI175" s="203"/>
      <c r="DJ175" s="203"/>
      <c r="DK175" s="203"/>
      <c r="DL175" s="203"/>
      <c r="DM175" s="203"/>
      <c r="DN175" s="203"/>
      <c r="DO175" s="203"/>
      <c r="DP175" s="203"/>
      <c r="DQ175" s="203"/>
      <c r="DR175" s="203"/>
      <c r="DS175" s="203"/>
      <c r="DT175" s="203"/>
      <c r="DU175" s="203"/>
      <c r="DV175" s="203"/>
      <c r="DW175" s="203"/>
      <c r="DX175" s="203"/>
      <c r="DY175" s="203"/>
      <c r="DZ175" s="203"/>
      <c r="EA175" s="203"/>
      <c r="EB175" s="203"/>
      <c r="EC175" s="203"/>
      <c r="ED175" s="203"/>
      <c r="EE175" s="203"/>
      <c r="EF175" s="203"/>
      <c r="EG175" s="203"/>
      <c r="EH175" s="203"/>
      <c r="EI175" s="203"/>
      <c r="EJ175" s="203"/>
      <c r="EK175" s="203"/>
      <c r="EL175" s="203"/>
      <c r="EM175" s="203"/>
      <c r="EN175" s="203"/>
      <c r="EO175" s="203"/>
      <c r="EP175" s="203"/>
      <c r="EQ175" s="203"/>
      <c r="ER175" s="203"/>
      <c r="ES175" s="203"/>
      <c r="ET175" s="203"/>
      <c r="EU175" s="203"/>
      <c r="EV175" s="203"/>
      <c r="EW175" s="203"/>
      <c r="EX175" s="203"/>
      <c r="EY175" s="203"/>
      <c r="EZ175" s="203"/>
      <c r="FA175" s="203"/>
      <c r="FB175" s="203"/>
      <c r="FC175" s="203"/>
      <c r="FD175" s="203"/>
      <c r="FE175" s="203"/>
      <c r="FF175" s="203"/>
      <c r="FG175" s="203"/>
      <c r="FH175" s="203"/>
      <c r="FI175" s="203"/>
      <c r="FJ175" s="203"/>
      <c r="FK175" s="203"/>
      <c r="FL175" s="203"/>
      <c r="FM175" s="203"/>
      <c r="FN175" s="203"/>
      <c r="FO175" s="203"/>
      <c r="FP175" s="203"/>
      <c r="FQ175" s="203"/>
      <c r="FR175" s="203"/>
      <c r="FS175" s="203"/>
      <c r="FT175" s="203"/>
      <c r="FU175" s="203"/>
      <c r="FV175" s="203"/>
      <c r="FW175" s="203"/>
      <c r="FX175" s="203"/>
      <c r="FY175" s="203"/>
      <c r="FZ175" s="203"/>
      <c r="GA175" s="203"/>
      <c r="GB175" s="203"/>
      <c r="GC175" s="203"/>
      <c r="GD175" s="203"/>
      <c r="GE175" s="203"/>
      <c r="GF175" s="203"/>
      <c r="GG175" s="203"/>
      <c r="GH175" s="203"/>
      <c r="GI175" s="203"/>
      <c r="GJ175" s="203"/>
      <c r="GK175" s="203"/>
      <c r="GL175" s="203"/>
      <c r="GM175" s="203"/>
      <c r="GN175" s="203"/>
      <c r="GO175" s="203"/>
      <c r="GP175" s="203"/>
      <c r="GQ175" s="203"/>
      <c r="GR175" s="203"/>
      <c r="GS175" s="203"/>
      <c r="GT175" s="203"/>
      <c r="GU175" s="203"/>
      <c r="GV175" s="203"/>
      <c r="GW175" s="203"/>
      <c r="GX175" s="203"/>
      <c r="GY175" s="203"/>
      <c r="GZ175" s="203"/>
      <c r="HA175" s="203"/>
      <c r="HB175" s="203"/>
      <c r="HC175" s="203"/>
      <c r="HD175" s="203"/>
      <c r="HE175" s="203"/>
      <c r="HF175" s="203"/>
      <c r="HG175" s="203"/>
      <c r="HH175" s="203"/>
      <c r="HI175" s="203"/>
      <c r="HJ175" s="203"/>
      <c r="HK175" s="203"/>
      <c r="HL175" s="203"/>
      <c r="HM175" s="203"/>
      <c r="HN175" s="203"/>
      <c r="HO175" s="203"/>
      <c r="HP175" s="203"/>
      <c r="HQ175" s="203"/>
      <c r="HR175" s="203"/>
      <c r="HS175" s="203"/>
      <c r="HT175" s="203"/>
      <c r="HU175" s="203"/>
      <c r="HV175" s="203"/>
      <c r="HW175" s="203"/>
      <c r="HX175" s="203"/>
      <c r="HY175" s="203"/>
      <c r="HZ175" s="203"/>
      <c r="IA175" s="203"/>
      <c r="IB175" s="203"/>
      <c r="IC175" s="203"/>
      <c r="ID175" s="203"/>
      <c r="IE175" s="203"/>
      <c r="IF175" s="203"/>
      <c r="IG175" s="203"/>
      <c r="IH175" s="203"/>
      <c r="II175" s="203"/>
      <c r="IJ175" s="203"/>
      <c r="IK175" s="203"/>
      <c r="IL175" s="203"/>
      <c r="IM175" s="203"/>
      <c r="IN175" s="203"/>
      <c r="IO175" s="203"/>
      <c r="IP175" s="203"/>
      <c r="IQ175" s="203"/>
      <c r="IR175" s="203"/>
      <c r="IS175" s="203"/>
      <c r="IT175" s="203"/>
      <c r="IU175" s="203"/>
      <c r="IV175" s="203"/>
    </row>
    <row r="176" spans="1:256" ht="11.25" customHeight="1" x14ac:dyDescent="0.25">
      <c r="A176" s="402">
        <v>2006</v>
      </c>
      <c r="B176" s="203">
        <f t="shared" ref="B176:L176" si="66">IF(AND(B129="-",B82="-",B35="-"),"-",SUM(B129,B82,B35))</f>
        <v>55</v>
      </c>
      <c r="C176" s="203">
        <f t="shared" si="66"/>
        <v>111</v>
      </c>
      <c r="D176" s="203">
        <f t="shared" si="66"/>
        <v>9412</v>
      </c>
      <c r="E176" s="203">
        <f t="shared" si="66"/>
        <v>18921</v>
      </c>
      <c r="F176" s="203">
        <f t="shared" si="66"/>
        <v>30838</v>
      </c>
      <c r="G176" s="203">
        <f t="shared" si="66"/>
        <v>32927</v>
      </c>
      <c r="H176" s="203">
        <f t="shared" si="66"/>
        <v>5005</v>
      </c>
      <c r="I176" s="203">
        <f t="shared" si="66"/>
        <v>7309</v>
      </c>
      <c r="J176" s="203">
        <f t="shared" si="66"/>
        <v>2677</v>
      </c>
      <c r="K176" s="203">
        <f t="shared" si="66"/>
        <v>116</v>
      </c>
      <c r="L176" s="203">
        <f t="shared" si="66"/>
        <v>107371</v>
      </c>
      <c r="M176" s="197"/>
      <c r="N176" s="203" t="str">
        <f t="shared" ref="N176:W176" si="67">IF(AND(N129="-",N82="-",N35="-"),"-",IF(OR(ISNUMBER(N129),ISNUMBER(N82),ISNUMBER(N35)),SUM(N129,N82,N35),"--"))</f>
        <v>-</v>
      </c>
      <c r="O176" s="203" t="str">
        <f t="shared" si="67"/>
        <v>-</v>
      </c>
      <c r="P176" s="203" t="str">
        <f t="shared" si="67"/>
        <v>-</v>
      </c>
      <c r="Q176" s="203">
        <f t="shared" si="67"/>
        <v>201</v>
      </c>
      <c r="R176" s="203">
        <f t="shared" si="67"/>
        <v>1612</v>
      </c>
      <c r="S176" s="203">
        <f t="shared" si="67"/>
        <v>9084</v>
      </c>
      <c r="T176" s="203">
        <f t="shared" si="67"/>
        <v>85</v>
      </c>
      <c r="U176" s="203">
        <f t="shared" si="67"/>
        <v>803</v>
      </c>
      <c r="V176" s="203">
        <f t="shared" si="67"/>
        <v>7</v>
      </c>
      <c r="W176" s="203" t="str">
        <f t="shared" si="67"/>
        <v>-</v>
      </c>
      <c r="X176" s="203">
        <f t="shared" si="7"/>
        <v>11792</v>
      </c>
      <c r="Y176" s="203"/>
      <c r="Z176" s="203"/>
      <c r="AA176" s="203"/>
      <c r="AB176" s="203"/>
      <c r="AC176" s="203"/>
      <c r="AD176" s="203"/>
      <c r="AE176" s="203"/>
      <c r="AF176" s="203"/>
      <c r="AG176" s="203"/>
      <c r="AH176" s="203"/>
      <c r="AI176" s="203"/>
      <c r="AJ176" s="203"/>
      <c r="AK176" s="203"/>
      <c r="AL176" s="203"/>
      <c r="AM176" s="203"/>
      <c r="AN176" s="203"/>
      <c r="AO176" s="203"/>
      <c r="AP176" s="203"/>
      <c r="AQ176" s="203"/>
      <c r="AR176" s="203"/>
      <c r="AS176" s="203"/>
      <c r="AT176" s="203"/>
      <c r="AU176" s="203"/>
      <c r="AV176" s="203"/>
      <c r="AW176" s="203"/>
      <c r="AX176" s="203"/>
      <c r="AY176" s="203"/>
      <c r="AZ176" s="203"/>
      <c r="BA176" s="203"/>
      <c r="BB176" s="203"/>
      <c r="BC176" s="203"/>
      <c r="BD176" s="203"/>
      <c r="BE176" s="203"/>
      <c r="BF176" s="203"/>
      <c r="BG176" s="203"/>
      <c r="BH176" s="203"/>
      <c r="BI176" s="203"/>
      <c r="BJ176" s="203"/>
      <c r="BK176" s="203"/>
      <c r="BL176" s="203"/>
      <c r="BM176" s="203"/>
      <c r="BN176" s="203"/>
      <c r="BO176" s="203"/>
      <c r="BP176" s="203"/>
      <c r="BQ176" s="203"/>
      <c r="BR176" s="203"/>
      <c r="BS176" s="203"/>
      <c r="BT176" s="203"/>
      <c r="BU176" s="203"/>
      <c r="BV176" s="203"/>
      <c r="BW176" s="203"/>
      <c r="BX176" s="203"/>
      <c r="BY176" s="203"/>
      <c r="BZ176" s="203"/>
      <c r="CA176" s="203"/>
      <c r="CB176" s="203"/>
      <c r="CC176" s="203"/>
      <c r="CD176" s="203"/>
      <c r="CE176" s="203"/>
      <c r="CF176" s="203"/>
      <c r="CG176" s="203"/>
      <c r="CH176" s="203"/>
      <c r="CI176" s="203"/>
      <c r="CJ176" s="203"/>
      <c r="CK176" s="203"/>
      <c r="CL176" s="203"/>
      <c r="CM176" s="203"/>
      <c r="CN176" s="203"/>
      <c r="CO176" s="203"/>
      <c r="CP176" s="203"/>
      <c r="CQ176" s="203"/>
      <c r="CR176" s="203"/>
      <c r="CS176" s="203"/>
      <c r="CT176" s="203"/>
      <c r="CU176" s="203"/>
      <c r="CV176" s="203"/>
      <c r="CW176" s="203"/>
      <c r="CX176" s="203"/>
      <c r="CY176" s="203"/>
      <c r="CZ176" s="203"/>
      <c r="DA176" s="203"/>
      <c r="DB176" s="203"/>
      <c r="DC176" s="203"/>
      <c r="DD176" s="203"/>
      <c r="DE176" s="203"/>
      <c r="DF176" s="203"/>
      <c r="DG176" s="203"/>
      <c r="DH176" s="203"/>
      <c r="DI176" s="203"/>
      <c r="DJ176" s="203"/>
      <c r="DK176" s="203"/>
      <c r="DL176" s="203"/>
      <c r="DM176" s="203"/>
      <c r="DN176" s="203"/>
      <c r="DO176" s="203"/>
      <c r="DP176" s="203"/>
      <c r="DQ176" s="203"/>
      <c r="DR176" s="203"/>
      <c r="DS176" s="203"/>
      <c r="DT176" s="203"/>
      <c r="DU176" s="203"/>
      <c r="DV176" s="203"/>
      <c r="DW176" s="203"/>
      <c r="DX176" s="203"/>
      <c r="DY176" s="203"/>
      <c r="DZ176" s="203"/>
      <c r="EA176" s="203"/>
      <c r="EB176" s="203"/>
      <c r="EC176" s="203"/>
      <c r="ED176" s="203"/>
      <c r="EE176" s="203"/>
      <c r="EF176" s="203"/>
      <c r="EG176" s="203"/>
      <c r="EH176" s="203"/>
      <c r="EI176" s="203"/>
      <c r="EJ176" s="203"/>
      <c r="EK176" s="203"/>
      <c r="EL176" s="203"/>
      <c r="EM176" s="203"/>
      <c r="EN176" s="203"/>
      <c r="EO176" s="203"/>
      <c r="EP176" s="203"/>
      <c r="EQ176" s="203"/>
      <c r="ER176" s="203"/>
      <c r="ES176" s="203"/>
      <c r="ET176" s="203"/>
      <c r="EU176" s="203"/>
      <c r="EV176" s="203"/>
      <c r="EW176" s="203"/>
      <c r="EX176" s="203"/>
      <c r="EY176" s="203"/>
      <c r="EZ176" s="203"/>
      <c r="FA176" s="203"/>
      <c r="FB176" s="203"/>
      <c r="FC176" s="203"/>
      <c r="FD176" s="203"/>
      <c r="FE176" s="203"/>
      <c r="FF176" s="203"/>
      <c r="FG176" s="203"/>
      <c r="FH176" s="203"/>
      <c r="FI176" s="203"/>
      <c r="FJ176" s="203"/>
      <c r="FK176" s="203"/>
      <c r="FL176" s="203"/>
      <c r="FM176" s="203"/>
      <c r="FN176" s="203"/>
      <c r="FO176" s="203"/>
      <c r="FP176" s="203"/>
      <c r="FQ176" s="203"/>
      <c r="FR176" s="203"/>
      <c r="FS176" s="203"/>
      <c r="FT176" s="203"/>
      <c r="FU176" s="203"/>
      <c r="FV176" s="203"/>
      <c r="FW176" s="203"/>
      <c r="FX176" s="203"/>
      <c r="FY176" s="203"/>
      <c r="FZ176" s="203"/>
      <c r="GA176" s="203"/>
      <c r="GB176" s="203"/>
      <c r="GC176" s="203"/>
      <c r="GD176" s="203"/>
      <c r="GE176" s="203"/>
      <c r="GF176" s="203"/>
      <c r="GG176" s="203"/>
      <c r="GH176" s="203"/>
      <c r="GI176" s="203"/>
      <c r="GJ176" s="203"/>
      <c r="GK176" s="203"/>
      <c r="GL176" s="203"/>
      <c r="GM176" s="203"/>
      <c r="GN176" s="203"/>
      <c r="GO176" s="203"/>
      <c r="GP176" s="203"/>
      <c r="GQ176" s="203"/>
      <c r="GR176" s="203"/>
      <c r="GS176" s="203"/>
      <c r="GT176" s="203"/>
      <c r="GU176" s="203"/>
      <c r="GV176" s="203"/>
      <c r="GW176" s="203"/>
      <c r="GX176" s="203"/>
      <c r="GY176" s="203"/>
      <c r="GZ176" s="203"/>
      <c r="HA176" s="203"/>
      <c r="HB176" s="203"/>
      <c r="HC176" s="203"/>
      <c r="HD176" s="203"/>
      <c r="HE176" s="203"/>
      <c r="HF176" s="203"/>
      <c r="HG176" s="203"/>
      <c r="HH176" s="203"/>
      <c r="HI176" s="203"/>
      <c r="HJ176" s="203"/>
      <c r="HK176" s="203"/>
      <c r="HL176" s="203"/>
      <c r="HM176" s="203"/>
      <c r="HN176" s="203"/>
      <c r="HO176" s="203"/>
      <c r="HP176" s="203"/>
      <c r="HQ176" s="203"/>
      <c r="HR176" s="203"/>
      <c r="HS176" s="203"/>
      <c r="HT176" s="203"/>
      <c r="HU176" s="203"/>
      <c r="HV176" s="203"/>
      <c r="HW176" s="203"/>
      <c r="HX176" s="203"/>
      <c r="HY176" s="203"/>
      <c r="HZ176" s="203"/>
      <c r="IA176" s="203"/>
      <c r="IB176" s="203"/>
      <c r="IC176" s="203"/>
      <c r="ID176" s="203"/>
      <c r="IE176" s="203"/>
      <c r="IF176" s="203"/>
      <c r="IG176" s="203"/>
      <c r="IH176" s="203"/>
      <c r="II176" s="203"/>
      <c r="IJ176" s="203"/>
      <c r="IK176" s="203"/>
      <c r="IL176" s="203"/>
      <c r="IM176" s="203"/>
      <c r="IN176" s="203"/>
      <c r="IO176" s="203"/>
      <c r="IP176" s="203"/>
      <c r="IQ176" s="203"/>
      <c r="IR176" s="203"/>
      <c r="IS176" s="203"/>
      <c r="IT176" s="203"/>
      <c r="IU176" s="203"/>
      <c r="IV176" s="203"/>
    </row>
    <row r="177" spans="1:256" ht="11.25" customHeight="1" x14ac:dyDescent="0.25">
      <c r="A177" s="402">
        <v>2007</v>
      </c>
      <c r="B177" s="203">
        <f t="shared" ref="B177:L177" si="68">IF(AND(B130="-",B83="-",B36="-"),"-",SUM(B130,B83,B36))</f>
        <v>48</v>
      </c>
      <c r="C177" s="203">
        <f t="shared" si="68"/>
        <v>203</v>
      </c>
      <c r="D177" s="203">
        <f t="shared" si="68"/>
        <v>3152</v>
      </c>
      <c r="E177" s="203">
        <f t="shared" si="68"/>
        <v>7318</v>
      </c>
      <c r="F177" s="203">
        <f t="shared" si="68"/>
        <v>14158</v>
      </c>
      <c r="G177" s="203">
        <f t="shared" si="68"/>
        <v>13885</v>
      </c>
      <c r="H177" s="203">
        <f t="shared" si="68"/>
        <v>10294</v>
      </c>
      <c r="I177" s="203">
        <f t="shared" si="68"/>
        <v>3202</v>
      </c>
      <c r="J177" s="203">
        <f t="shared" si="68"/>
        <v>1450</v>
      </c>
      <c r="K177" s="203">
        <f t="shared" si="68"/>
        <v>341</v>
      </c>
      <c r="L177" s="203">
        <f t="shared" si="68"/>
        <v>54051</v>
      </c>
      <c r="M177" s="197"/>
      <c r="N177" s="203" t="str">
        <f t="shared" ref="N177:W177" si="69">IF(AND(N130="-",N83="-",N36="-"),"-",IF(OR(ISNUMBER(N130),ISNUMBER(N83),ISNUMBER(N36)),SUM(N130,N83,N36),"--"))</f>
        <v>-</v>
      </c>
      <c r="O177" s="203" t="str">
        <f t="shared" si="69"/>
        <v>-</v>
      </c>
      <c r="P177" s="203" t="str">
        <f t="shared" si="69"/>
        <v>-</v>
      </c>
      <c r="Q177" s="203">
        <f t="shared" si="69"/>
        <v>55</v>
      </c>
      <c r="R177" s="203">
        <f t="shared" si="69"/>
        <v>5083</v>
      </c>
      <c r="S177" s="203">
        <f t="shared" si="69"/>
        <v>20117</v>
      </c>
      <c r="T177" s="203">
        <f t="shared" si="69"/>
        <v>17359</v>
      </c>
      <c r="U177" s="203">
        <f t="shared" si="69"/>
        <v>385</v>
      </c>
      <c r="V177" s="203">
        <f t="shared" si="69"/>
        <v>3</v>
      </c>
      <c r="W177" s="203" t="str">
        <f t="shared" si="69"/>
        <v>-</v>
      </c>
      <c r="X177" s="203">
        <f t="shared" si="7"/>
        <v>43002</v>
      </c>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203"/>
      <c r="GV177" s="203"/>
      <c r="GW177" s="203"/>
      <c r="GX177" s="203"/>
      <c r="GY177" s="203"/>
      <c r="GZ177" s="203"/>
      <c r="HA177" s="203"/>
      <c r="HB177" s="203"/>
      <c r="HC177" s="203"/>
      <c r="HD177" s="203"/>
      <c r="HE177" s="203"/>
      <c r="HF177" s="203"/>
      <c r="HG177" s="203"/>
      <c r="HH177" s="203"/>
      <c r="HI177" s="203"/>
      <c r="HJ177" s="203"/>
      <c r="HK177" s="203"/>
      <c r="HL177" s="203"/>
      <c r="HM177" s="203"/>
      <c r="HN177" s="203"/>
      <c r="HO177" s="203"/>
      <c r="HP177" s="203"/>
      <c r="HQ177" s="203"/>
      <c r="HR177" s="203"/>
      <c r="HS177" s="203"/>
      <c r="HT177" s="203"/>
      <c r="HU177" s="203"/>
      <c r="HV177" s="203"/>
      <c r="HW177" s="203"/>
      <c r="HX177" s="203"/>
      <c r="HY177" s="203"/>
      <c r="HZ177" s="203"/>
      <c r="IA177" s="203"/>
      <c r="IB177" s="203"/>
      <c r="IC177" s="203"/>
      <c r="ID177" s="203"/>
      <c r="IE177" s="203"/>
      <c r="IF177" s="203"/>
      <c r="IG177" s="203"/>
      <c r="IH177" s="203"/>
      <c r="II177" s="203"/>
      <c r="IJ177" s="203"/>
      <c r="IK177" s="203"/>
      <c r="IL177" s="203"/>
      <c r="IM177" s="203"/>
      <c r="IN177" s="203"/>
      <c r="IO177" s="203"/>
      <c r="IP177" s="203"/>
      <c r="IQ177" s="203"/>
      <c r="IR177" s="203"/>
      <c r="IS177" s="203"/>
      <c r="IT177" s="203"/>
      <c r="IU177" s="203"/>
      <c r="IV177" s="203"/>
    </row>
    <row r="178" spans="1:256" ht="11.25" customHeight="1" x14ac:dyDescent="0.25">
      <c r="A178" s="402">
        <v>2008</v>
      </c>
      <c r="B178" s="203">
        <f t="shared" ref="B178:J178" si="70">IF(AND(B131="-",B84="-",B37="-"),"-",SUM(B131,B84,B37))</f>
        <v>0</v>
      </c>
      <c r="C178" s="203">
        <f t="shared" si="70"/>
        <v>6</v>
      </c>
      <c r="D178" s="203" t="str">
        <f t="shared" si="70"/>
        <v>-</v>
      </c>
      <c r="E178" s="203" t="str">
        <f t="shared" si="70"/>
        <v>-</v>
      </c>
      <c r="F178" s="203">
        <f t="shared" si="70"/>
        <v>9</v>
      </c>
      <c r="G178" s="203">
        <f t="shared" si="70"/>
        <v>6</v>
      </c>
      <c r="H178" s="203">
        <f t="shared" si="70"/>
        <v>3</v>
      </c>
      <c r="I178" s="203">
        <f t="shared" si="70"/>
        <v>262</v>
      </c>
      <c r="J178" s="203">
        <f t="shared" si="70"/>
        <v>481</v>
      </c>
      <c r="K178" s="101" t="s">
        <v>116</v>
      </c>
      <c r="L178" s="203">
        <f t="shared" ref="L178:L188" si="71">IF(AND(L131="-",L84="-",L37="-"),"-",SUM(L131,L84,L37))</f>
        <v>767</v>
      </c>
      <c r="M178" s="197"/>
      <c r="N178" s="203" t="str">
        <f t="shared" ref="N178:W178" si="72">IF(AND(N131="-",N84="-",N37="-"),"-",IF(OR(ISNUMBER(N131),ISNUMBER(N84),ISNUMBER(N37)),SUM(N131,N84,N37),"--"))</f>
        <v>-</v>
      </c>
      <c r="O178" s="203" t="str">
        <f t="shared" si="72"/>
        <v>-</v>
      </c>
      <c r="P178" s="203" t="str">
        <f t="shared" si="72"/>
        <v>-</v>
      </c>
      <c r="Q178" s="203" t="str">
        <f t="shared" si="72"/>
        <v>-</v>
      </c>
      <c r="R178" s="203">
        <f t="shared" si="72"/>
        <v>1219</v>
      </c>
      <c r="S178" s="203">
        <f t="shared" si="72"/>
        <v>4084</v>
      </c>
      <c r="T178" s="203">
        <f t="shared" si="72"/>
        <v>4540</v>
      </c>
      <c r="U178" s="203">
        <f t="shared" si="72"/>
        <v>45</v>
      </c>
      <c r="V178" s="203">
        <f t="shared" si="72"/>
        <v>6</v>
      </c>
      <c r="W178" s="203" t="str">
        <f t="shared" si="72"/>
        <v>-</v>
      </c>
      <c r="X178" s="203">
        <f t="shared" si="7"/>
        <v>9894</v>
      </c>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203"/>
      <c r="GV178" s="203"/>
      <c r="GW178" s="203"/>
      <c r="GX178" s="203"/>
      <c r="GY178" s="203"/>
      <c r="GZ178" s="203"/>
      <c r="HA178" s="203"/>
      <c r="HB178" s="203"/>
      <c r="HC178" s="203"/>
      <c r="HD178" s="203"/>
      <c r="HE178" s="203"/>
      <c r="HF178" s="203"/>
      <c r="HG178" s="203"/>
      <c r="HH178" s="203"/>
      <c r="HI178" s="203"/>
      <c r="HJ178" s="203"/>
      <c r="HK178" s="203"/>
      <c r="HL178" s="203"/>
      <c r="HM178" s="203"/>
      <c r="HN178" s="203"/>
      <c r="HO178" s="203"/>
      <c r="HP178" s="203"/>
      <c r="HQ178" s="203"/>
      <c r="HR178" s="203"/>
      <c r="HS178" s="203"/>
      <c r="HT178" s="203"/>
      <c r="HU178" s="203"/>
      <c r="HV178" s="203"/>
      <c r="HW178" s="203"/>
      <c r="HX178" s="203"/>
      <c r="HY178" s="203"/>
      <c r="HZ178" s="203"/>
      <c r="IA178" s="203"/>
      <c r="IB178" s="203"/>
      <c r="IC178" s="203"/>
      <c r="ID178" s="203"/>
      <c r="IE178" s="203"/>
      <c r="IF178" s="203"/>
      <c r="IG178" s="203"/>
      <c r="IH178" s="203"/>
      <c r="II178" s="203"/>
      <c r="IJ178" s="203"/>
      <c r="IK178" s="203"/>
      <c r="IL178" s="203"/>
      <c r="IM178" s="203"/>
      <c r="IN178" s="203"/>
      <c r="IO178" s="203"/>
      <c r="IP178" s="203"/>
      <c r="IQ178" s="203"/>
      <c r="IR178" s="203"/>
      <c r="IS178" s="203"/>
      <c r="IT178" s="203"/>
      <c r="IU178" s="203"/>
      <c r="IV178" s="203"/>
    </row>
    <row r="179" spans="1:256" ht="11.25" customHeight="1" x14ac:dyDescent="0.25">
      <c r="A179" s="402">
        <v>2009</v>
      </c>
      <c r="B179" s="203" t="str">
        <f t="shared" ref="B179:J179" si="73">IF(AND(B132="-",B85="-",B38="-"),"-",SUM(B132,B85,B38))</f>
        <v>-</v>
      </c>
      <c r="C179" s="203" t="str">
        <f t="shared" si="73"/>
        <v>-</v>
      </c>
      <c r="D179" s="203" t="str">
        <f t="shared" si="73"/>
        <v>-</v>
      </c>
      <c r="E179" s="203" t="str">
        <f t="shared" si="73"/>
        <v>-</v>
      </c>
      <c r="F179" s="203">
        <f t="shared" si="73"/>
        <v>9</v>
      </c>
      <c r="G179" s="203">
        <f t="shared" si="73"/>
        <v>45</v>
      </c>
      <c r="H179" s="203">
        <f t="shared" si="73"/>
        <v>372</v>
      </c>
      <c r="I179" s="203">
        <f t="shared" si="73"/>
        <v>625</v>
      </c>
      <c r="J179" s="203">
        <f t="shared" si="73"/>
        <v>226</v>
      </c>
      <c r="K179" s="101" t="s">
        <v>116</v>
      </c>
      <c r="L179" s="203">
        <f t="shared" si="71"/>
        <v>1277</v>
      </c>
      <c r="M179" s="197"/>
      <c r="N179" s="203" t="str">
        <f t="shared" ref="N179:W179" si="74">IF(AND(N132="-",N85="-",N38="-"),"-",IF(OR(ISNUMBER(N132),ISNUMBER(N85),ISNUMBER(N38)),SUM(N132,N85,N38),"--"))</f>
        <v>-</v>
      </c>
      <c r="O179" s="203" t="str">
        <f t="shared" si="74"/>
        <v>-</v>
      </c>
      <c r="P179" s="203" t="str">
        <f t="shared" si="74"/>
        <v>-</v>
      </c>
      <c r="Q179" s="203" t="str">
        <f t="shared" si="74"/>
        <v>-</v>
      </c>
      <c r="R179" s="203">
        <f t="shared" si="74"/>
        <v>4865</v>
      </c>
      <c r="S179" s="203">
        <f t="shared" si="74"/>
        <v>39124</v>
      </c>
      <c r="T179" s="203">
        <f t="shared" si="74"/>
        <v>25384</v>
      </c>
      <c r="U179" s="203">
        <f t="shared" si="74"/>
        <v>816</v>
      </c>
      <c r="V179" s="203">
        <f t="shared" si="74"/>
        <v>6</v>
      </c>
      <c r="W179" s="203" t="str">
        <f t="shared" si="74"/>
        <v>-</v>
      </c>
      <c r="X179" s="203">
        <f t="shared" si="7"/>
        <v>70195</v>
      </c>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203"/>
      <c r="GV179" s="203"/>
      <c r="GW179" s="203"/>
      <c r="GX179" s="203"/>
      <c r="GY179" s="203"/>
      <c r="GZ179" s="203"/>
      <c r="HA179" s="203"/>
      <c r="HB179" s="203"/>
      <c r="HC179" s="203"/>
      <c r="HD179" s="203"/>
      <c r="HE179" s="203"/>
      <c r="HF179" s="203"/>
      <c r="HG179" s="203"/>
      <c r="HH179" s="203"/>
      <c r="HI179" s="203"/>
      <c r="HJ179" s="203"/>
      <c r="HK179" s="203"/>
      <c r="HL179" s="203"/>
      <c r="HM179" s="203"/>
      <c r="HN179" s="203"/>
      <c r="HO179" s="203"/>
      <c r="HP179" s="203"/>
      <c r="HQ179" s="203"/>
      <c r="HR179" s="203"/>
      <c r="HS179" s="203"/>
      <c r="HT179" s="203"/>
      <c r="HU179" s="203"/>
      <c r="HV179" s="203"/>
      <c r="HW179" s="203"/>
      <c r="HX179" s="203"/>
      <c r="HY179" s="203"/>
      <c r="HZ179" s="203"/>
      <c r="IA179" s="203"/>
      <c r="IB179" s="203"/>
      <c r="IC179" s="203"/>
      <c r="ID179" s="203"/>
      <c r="IE179" s="203"/>
      <c r="IF179" s="203"/>
      <c r="IG179" s="203"/>
      <c r="IH179" s="203"/>
      <c r="II179" s="203"/>
      <c r="IJ179" s="203"/>
      <c r="IK179" s="203"/>
      <c r="IL179" s="203"/>
      <c r="IM179" s="203"/>
      <c r="IN179" s="203"/>
      <c r="IO179" s="203"/>
      <c r="IP179" s="203"/>
      <c r="IQ179" s="203"/>
      <c r="IR179" s="203"/>
      <c r="IS179" s="203"/>
      <c r="IT179" s="203"/>
      <c r="IU179" s="203"/>
      <c r="IV179" s="203"/>
    </row>
    <row r="180" spans="1:256" ht="11.25" customHeight="1" x14ac:dyDescent="0.25">
      <c r="A180" s="402">
        <v>2010</v>
      </c>
      <c r="B180" s="203" t="str">
        <f t="shared" ref="B180:J180" si="75">IF(AND(B133="-",B86="-",B39="-"),"-",SUM(B133,B86,B39))</f>
        <v>-</v>
      </c>
      <c r="C180" s="203" t="str">
        <f t="shared" si="75"/>
        <v>-</v>
      </c>
      <c r="D180" s="203">
        <f t="shared" si="75"/>
        <v>5265</v>
      </c>
      <c r="E180" s="203">
        <f t="shared" si="75"/>
        <v>2507</v>
      </c>
      <c r="F180" s="203">
        <f t="shared" si="75"/>
        <v>997</v>
      </c>
      <c r="G180" s="203">
        <f t="shared" si="75"/>
        <v>2988</v>
      </c>
      <c r="H180" s="203">
        <f t="shared" si="75"/>
        <v>4432</v>
      </c>
      <c r="I180" s="203">
        <f t="shared" si="75"/>
        <v>1112</v>
      </c>
      <c r="J180" s="203">
        <f t="shared" si="75"/>
        <v>663</v>
      </c>
      <c r="K180" s="101" t="s">
        <v>116</v>
      </c>
      <c r="L180" s="203">
        <f t="shared" si="71"/>
        <v>17964</v>
      </c>
      <c r="M180" s="197"/>
      <c r="N180" s="203" t="str">
        <f t="shared" ref="N180:W180" si="76">IF(AND(N133="-",N86="-",N39="-"),"-",IF(OR(ISNUMBER(N133),ISNUMBER(N86),ISNUMBER(N39)),SUM(N133,N86,N39),"--"))</f>
        <v>-</v>
      </c>
      <c r="O180" s="203" t="str">
        <f t="shared" si="76"/>
        <v>-</v>
      </c>
      <c r="P180" s="203">
        <f t="shared" si="76"/>
        <v>8</v>
      </c>
      <c r="Q180" s="203">
        <f t="shared" si="76"/>
        <v>7</v>
      </c>
      <c r="R180" s="203">
        <f t="shared" si="76"/>
        <v>436</v>
      </c>
      <c r="S180" s="203">
        <f t="shared" si="76"/>
        <v>2215</v>
      </c>
      <c r="T180" s="203">
        <f t="shared" si="76"/>
        <v>8430</v>
      </c>
      <c r="U180" s="203">
        <f t="shared" si="76"/>
        <v>1266</v>
      </c>
      <c r="V180" s="203" t="str">
        <f t="shared" si="76"/>
        <v>-</v>
      </c>
      <c r="W180" s="203" t="str">
        <f t="shared" si="76"/>
        <v>-</v>
      </c>
      <c r="X180" s="203">
        <f t="shared" si="7"/>
        <v>12362</v>
      </c>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203"/>
      <c r="GV180" s="203"/>
      <c r="GW180" s="203"/>
      <c r="GX180" s="203"/>
      <c r="GY180" s="203"/>
      <c r="GZ180" s="203"/>
      <c r="HA180" s="203"/>
      <c r="HB180" s="203"/>
      <c r="HC180" s="203"/>
      <c r="HD180" s="203"/>
      <c r="HE180" s="203"/>
      <c r="HF180" s="203"/>
      <c r="HG180" s="203"/>
      <c r="HH180" s="203"/>
      <c r="HI180" s="203"/>
      <c r="HJ180" s="203"/>
      <c r="HK180" s="203"/>
      <c r="HL180" s="203"/>
      <c r="HM180" s="203"/>
      <c r="HN180" s="203"/>
      <c r="HO180" s="203"/>
      <c r="HP180" s="203"/>
      <c r="HQ180" s="203"/>
      <c r="HR180" s="203"/>
      <c r="HS180" s="203"/>
      <c r="HT180" s="203"/>
      <c r="HU180" s="203"/>
      <c r="HV180" s="203"/>
      <c r="HW180" s="203"/>
      <c r="HX180" s="203"/>
      <c r="HY180" s="203"/>
      <c r="HZ180" s="203"/>
      <c r="IA180" s="203"/>
      <c r="IB180" s="203"/>
      <c r="IC180" s="203"/>
      <c r="ID180" s="203"/>
      <c r="IE180" s="203"/>
      <c r="IF180" s="203"/>
      <c r="IG180" s="203"/>
      <c r="IH180" s="203"/>
      <c r="II180" s="203"/>
      <c r="IJ180" s="203"/>
      <c r="IK180" s="203"/>
      <c r="IL180" s="203"/>
      <c r="IM180" s="203"/>
      <c r="IN180" s="203"/>
      <c r="IO180" s="203"/>
      <c r="IP180" s="203"/>
      <c r="IQ180" s="203"/>
      <c r="IR180" s="203"/>
      <c r="IS180" s="203"/>
      <c r="IT180" s="203"/>
      <c r="IU180" s="203"/>
      <c r="IV180" s="203"/>
    </row>
    <row r="181" spans="1:256" ht="11.25" customHeight="1" x14ac:dyDescent="0.25">
      <c r="A181" s="402">
        <v>2011</v>
      </c>
      <c r="B181" s="203" t="str">
        <f t="shared" ref="B181:K181" si="77">IF(AND(B134="-",B87="-",B40="-"),"-",SUM(B134,B87,B40))</f>
        <v>-</v>
      </c>
      <c r="C181" s="203">
        <f t="shared" si="77"/>
        <v>0</v>
      </c>
      <c r="D181" s="203">
        <f t="shared" si="77"/>
        <v>5529</v>
      </c>
      <c r="E181" s="203">
        <f t="shared" si="77"/>
        <v>2789</v>
      </c>
      <c r="F181" s="203">
        <f t="shared" si="77"/>
        <v>3565</v>
      </c>
      <c r="G181" s="203">
        <f t="shared" si="77"/>
        <v>17382</v>
      </c>
      <c r="H181" s="203">
        <f t="shared" si="77"/>
        <v>14051</v>
      </c>
      <c r="I181" s="203">
        <f t="shared" si="77"/>
        <v>8347</v>
      </c>
      <c r="J181" s="203">
        <f t="shared" si="77"/>
        <v>1698</v>
      </c>
      <c r="K181" s="203">
        <f t="shared" si="77"/>
        <v>6</v>
      </c>
      <c r="L181" s="203">
        <f t="shared" si="71"/>
        <v>53367</v>
      </c>
      <c r="M181" s="197"/>
      <c r="N181" s="203" t="str">
        <f t="shared" ref="N181:W181" si="78">IF(AND(N134="-",N87="-",N40="-"),"-",IF(OR(ISNUMBER(N134),ISNUMBER(N87),ISNUMBER(N40)),SUM(N134,N87,N40),"--"))</f>
        <v>-</v>
      </c>
      <c r="O181" s="203" t="str">
        <f t="shared" si="78"/>
        <v>-</v>
      </c>
      <c r="P181" s="203">
        <f t="shared" si="78"/>
        <v>8</v>
      </c>
      <c r="Q181" s="203">
        <f t="shared" si="78"/>
        <v>15</v>
      </c>
      <c r="R181" s="203">
        <f t="shared" si="78"/>
        <v>628</v>
      </c>
      <c r="S181" s="203">
        <f t="shared" si="78"/>
        <v>3746</v>
      </c>
      <c r="T181" s="203">
        <f t="shared" si="78"/>
        <v>2065</v>
      </c>
      <c r="U181" s="203">
        <f t="shared" si="78"/>
        <v>6635</v>
      </c>
      <c r="V181" s="203">
        <f t="shared" si="78"/>
        <v>5</v>
      </c>
      <c r="W181" s="203" t="str">
        <f t="shared" si="78"/>
        <v>-</v>
      </c>
      <c r="X181" s="203">
        <f t="shared" si="7"/>
        <v>13102</v>
      </c>
      <c r="Y181" s="203"/>
      <c r="Z181" s="203"/>
      <c r="AA181" s="203"/>
      <c r="AB181" s="203"/>
      <c r="AC181" s="203"/>
      <c r="AD181" s="203"/>
      <c r="AE181" s="203"/>
      <c r="AF181" s="203"/>
      <c r="AG181" s="203"/>
      <c r="AH181" s="203"/>
      <c r="AI181" s="203"/>
      <c r="AJ181" s="203"/>
      <c r="AK181" s="203"/>
      <c r="AL181" s="203"/>
      <c r="AM181" s="203"/>
      <c r="AN181" s="203"/>
      <c r="AO181" s="203"/>
      <c r="AP181" s="203"/>
      <c r="AQ181" s="203"/>
      <c r="AR181" s="203"/>
      <c r="AS181" s="203"/>
      <c r="AT181" s="203"/>
      <c r="AU181" s="203"/>
      <c r="AV181" s="203"/>
      <c r="AW181" s="203"/>
      <c r="AX181" s="203"/>
      <c r="AY181" s="203"/>
      <c r="AZ181" s="203"/>
      <c r="BA181" s="203"/>
      <c r="BB181" s="203"/>
      <c r="BC181" s="203"/>
      <c r="BD181" s="203"/>
      <c r="BE181" s="203"/>
      <c r="BF181" s="203"/>
      <c r="BG181" s="203"/>
      <c r="BH181" s="203"/>
      <c r="BI181" s="203"/>
      <c r="BJ181" s="203"/>
      <c r="BK181" s="203"/>
      <c r="BL181" s="203"/>
      <c r="BM181" s="203"/>
      <c r="BN181" s="203"/>
      <c r="BO181" s="203"/>
      <c r="BP181" s="203"/>
      <c r="BQ181" s="203"/>
      <c r="BR181" s="203"/>
      <c r="BS181" s="203"/>
      <c r="BT181" s="203"/>
      <c r="BU181" s="203"/>
      <c r="BV181" s="203"/>
      <c r="BW181" s="203"/>
      <c r="BX181" s="203"/>
      <c r="BY181" s="203"/>
      <c r="BZ181" s="203"/>
      <c r="CA181" s="203"/>
      <c r="CB181" s="203"/>
      <c r="CC181" s="203"/>
      <c r="CD181" s="203"/>
      <c r="CE181" s="203"/>
      <c r="CF181" s="203"/>
      <c r="CG181" s="203"/>
      <c r="CH181" s="203"/>
      <c r="CI181" s="203"/>
      <c r="CJ181" s="203"/>
      <c r="CK181" s="203"/>
      <c r="CL181" s="203"/>
      <c r="CM181" s="203"/>
      <c r="CN181" s="203"/>
      <c r="CO181" s="203"/>
      <c r="CP181" s="203"/>
      <c r="CQ181" s="203"/>
      <c r="CR181" s="203"/>
      <c r="CS181" s="203"/>
      <c r="CT181" s="203"/>
      <c r="CU181" s="203"/>
      <c r="CV181" s="203"/>
      <c r="CW181" s="203"/>
      <c r="CX181" s="203"/>
      <c r="CY181" s="203"/>
      <c r="CZ181" s="203"/>
      <c r="DA181" s="203"/>
      <c r="DB181" s="203"/>
      <c r="DC181" s="203"/>
      <c r="DD181" s="203"/>
      <c r="DE181" s="203"/>
      <c r="DF181" s="203"/>
      <c r="DG181" s="203"/>
      <c r="DH181" s="203"/>
      <c r="DI181" s="203"/>
      <c r="DJ181" s="203"/>
      <c r="DK181" s="203"/>
      <c r="DL181" s="203"/>
      <c r="DM181" s="203"/>
      <c r="DN181" s="203"/>
      <c r="DO181" s="203"/>
      <c r="DP181" s="203"/>
      <c r="DQ181" s="203"/>
      <c r="DR181" s="203"/>
      <c r="DS181" s="203"/>
      <c r="DT181" s="203"/>
      <c r="DU181" s="203"/>
      <c r="DV181" s="203"/>
      <c r="DW181" s="203"/>
      <c r="DX181" s="203"/>
      <c r="DY181" s="203"/>
      <c r="DZ181" s="203"/>
      <c r="EA181" s="203"/>
      <c r="EB181" s="203"/>
      <c r="EC181" s="203"/>
      <c r="ED181" s="203"/>
      <c r="EE181" s="203"/>
      <c r="EF181" s="203"/>
      <c r="EG181" s="203"/>
      <c r="EH181" s="203"/>
      <c r="EI181" s="203"/>
      <c r="EJ181" s="203"/>
      <c r="EK181" s="203"/>
      <c r="EL181" s="203"/>
      <c r="EM181" s="203"/>
      <c r="EN181" s="203"/>
      <c r="EO181" s="203"/>
      <c r="EP181" s="203"/>
      <c r="EQ181" s="203"/>
      <c r="ER181" s="203"/>
      <c r="ES181" s="203"/>
      <c r="ET181" s="203"/>
      <c r="EU181" s="203"/>
      <c r="EV181" s="203"/>
      <c r="EW181" s="203"/>
      <c r="EX181" s="203"/>
      <c r="EY181" s="203"/>
      <c r="EZ181" s="203"/>
      <c r="FA181" s="203"/>
      <c r="FB181" s="203"/>
      <c r="FC181" s="203"/>
      <c r="FD181" s="203"/>
      <c r="FE181" s="203"/>
      <c r="FF181" s="203"/>
      <c r="FG181" s="203"/>
      <c r="FH181" s="203"/>
      <c r="FI181" s="203"/>
      <c r="FJ181" s="203"/>
      <c r="FK181" s="203"/>
      <c r="FL181" s="203"/>
      <c r="FM181" s="203"/>
      <c r="FN181" s="203"/>
      <c r="FO181" s="203"/>
      <c r="FP181" s="203"/>
      <c r="FQ181" s="203"/>
      <c r="FR181" s="203"/>
      <c r="FS181" s="203"/>
      <c r="FT181" s="203"/>
      <c r="FU181" s="203"/>
      <c r="FV181" s="203"/>
      <c r="FW181" s="203"/>
      <c r="FX181" s="203"/>
      <c r="FY181" s="203"/>
      <c r="FZ181" s="203"/>
      <c r="GA181" s="203"/>
      <c r="GB181" s="203"/>
      <c r="GC181" s="203"/>
      <c r="GD181" s="203"/>
      <c r="GE181" s="203"/>
      <c r="GF181" s="203"/>
      <c r="GG181" s="203"/>
      <c r="GH181" s="203"/>
      <c r="GI181" s="203"/>
      <c r="GJ181" s="203"/>
      <c r="GK181" s="203"/>
      <c r="GL181" s="203"/>
      <c r="GM181" s="203"/>
      <c r="GN181" s="203"/>
      <c r="GO181" s="203"/>
      <c r="GP181" s="203"/>
      <c r="GQ181" s="203"/>
      <c r="GR181" s="203"/>
      <c r="GS181" s="203"/>
      <c r="GT181" s="203"/>
      <c r="GU181" s="203"/>
      <c r="GV181" s="203"/>
      <c r="GW181" s="203"/>
      <c r="GX181" s="203"/>
      <c r="GY181" s="203"/>
      <c r="GZ181" s="203"/>
      <c r="HA181" s="203"/>
      <c r="HB181" s="203"/>
      <c r="HC181" s="203"/>
      <c r="HD181" s="203"/>
      <c r="HE181" s="203"/>
      <c r="HF181" s="203"/>
      <c r="HG181" s="203"/>
      <c r="HH181" s="203"/>
      <c r="HI181" s="203"/>
      <c r="HJ181" s="203"/>
      <c r="HK181" s="203"/>
      <c r="HL181" s="203"/>
      <c r="HM181" s="203"/>
      <c r="HN181" s="203"/>
      <c r="HO181" s="203"/>
      <c r="HP181" s="203"/>
      <c r="HQ181" s="203"/>
      <c r="HR181" s="203"/>
      <c r="HS181" s="203"/>
      <c r="HT181" s="203"/>
      <c r="HU181" s="203"/>
      <c r="HV181" s="203"/>
      <c r="HW181" s="203"/>
      <c r="HX181" s="203"/>
      <c r="HY181" s="203"/>
      <c r="HZ181" s="203"/>
      <c r="IA181" s="203"/>
      <c r="IB181" s="203"/>
      <c r="IC181" s="203"/>
      <c r="ID181" s="203"/>
      <c r="IE181" s="203"/>
      <c r="IF181" s="203"/>
      <c r="IG181" s="203"/>
      <c r="IH181" s="203"/>
      <c r="II181" s="203"/>
      <c r="IJ181" s="203"/>
      <c r="IK181" s="203"/>
      <c r="IL181" s="203"/>
      <c r="IM181" s="203"/>
      <c r="IN181" s="203"/>
      <c r="IO181" s="203"/>
      <c r="IP181" s="203"/>
      <c r="IQ181" s="203"/>
      <c r="IR181" s="203"/>
      <c r="IS181" s="203"/>
      <c r="IT181" s="203"/>
      <c r="IU181" s="203"/>
      <c r="IV181" s="203"/>
    </row>
    <row r="182" spans="1:256" ht="11.25" customHeight="1" x14ac:dyDescent="0.25">
      <c r="A182" s="402">
        <v>2012</v>
      </c>
      <c r="B182" s="203" t="str">
        <f t="shared" ref="B182:K182" si="79">IF(AND(B135="-",B88="-",B41="-"),"-",SUM(B135,B88,B41))</f>
        <v>-</v>
      </c>
      <c r="C182" s="203">
        <f t="shared" si="79"/>
        <v>21</v>
      </c>
      <c r="D182" s="203">
        <f t="shared" si="79"/>
        <v>18894</v>
      </c>
      <c r="E182" s="203">
        <f t="shared" si="79"/>
        <v>15587</v>
      </c>
      <c r="F182" s="203">
        <f t="shared" si="79"/>
        <v>29483</v>
      </c>
      <c r="G182" s="203">
        <f t="shared" si="79"/>
        <v>38894</v>
      </c>
      <c r="H182" s="203">
        <f t="shared" si="79"/>
        <v>23747</v>
      </c>
      <c r="I182" s="203">
        <f t="shared" si="79"/>
        <v>11088</v>
      </c>
      <c r="J182" s="203">
        <f t="shared" si="79"/>
        <v>3134</v>
      </c>
      <c r="K182" s="203">
        <f t="shared" si="79"/>
        <v>168</v>
      </c>
      <c r="L182" s="203">
        <f t="shared" si="71"/>
        <v>141016</v>
      </c>
      <c r="M182" s="197"/>
      <c r="N182" s="203" t="str">
        <f t="shared" ref="N182:W182" si="80">IF(AND(N135="-",N88="-",N41="-"),"-",IF(OR(ISNUMBER(N135),ISNUMBER(N88),ISNUMBER(N41)),SUM(N135,N88,N41),"--"))</f>
        <v>-</v>
      </c>
      <c r="O182" s="203" t="str">
        <f t="shared" si="80"/>
        <v>-</v>
      </c>
      <c r="P182" s="203" t="str">
        <f t="shared" si="80"/>
        <v>-</v>
      </c>
      <c r="Q182" s="203">
        <f t="shared" si="80"/>
        <v>3</v>
      </c>
      <c r="R182" s="203">
        <f t="shared" si="80"/>
        <v>119</v>
      </c>
      <c r="S182" s="203">
        <f t="shared" si="80"/>
        <v>2441</v>
      </c>
      <c r="T182" s="203">
        <f t="shared" si="80"/>
        <v>4975</v>
      </c>
      <c r="U182" s="203">
        <f t="shared" si="80"/>
        <v>6968</v>
      </c>
      <c r="V182" s="203">
        <f t="shared" si="80"/>
        <v>2</v>
      </c>
      <c r="W182" s="203" t="str">
        <f t="shared" si="80"/>
        <v>-</v>
      </c>
      <c r="X182" s="203">
        <f t="shared" si="7"/>
        <v>14508</v>
      </c>
      <c r="Y182" s="203"/>
      <c r="Z182" s="203"/>
      <c r="AA182" s="203"/>
      <c r="AB182" s="203"/>
      <c r="AC182" s="203"/>
      <c r="AD182" s="203"/>
      <c r="AE182" s="203"/>
      <c r="AF182" s="203"/>
      <c r="AG182" s="203"/>
      <c r="AH182" s="203"/>
      <c r="AI182" s="203"/>
      <c r="AJ182" s="203"/>
      <c r="AK182" s="203"/>
      <c r="AL182" s="203"/>
      <c r="AM182" s="203"/>
      <c r="AN182" s="203"/>
      <c r="AO182" s="203"/>
      <c r="AP182" s="203"/>
      <c r="AQ182" s="203"/>
      <c r="AR182" s="203"/>
      <c r="AS182" s="203"/>
      <c r="AT182" s="203"/>
      <c r="AU182" s="203"/>
      <c r="AV182" s="203"/>
      <c r="AW182" s="203"/>
      <c r="AX182" s="203"/>
      <c r="AY182" s="203"/>
      <c r="AZ182" s="203"/>
      <c r="BA182" s="203"/>
      <c r="BB182" s="203"/>
      <c r="BC182" s="203"/>
      <c r="BD182" s="203"/>
      <c r="BE182" s="203"/>
      <c r="BF182" s="203"/>
      <c r="BG182" s="203"/>
      <c r="BH182" s="203"/>
      <c r="BI182" s="203"/>
      <c r="BJ182" s="203"/>
      <c r="BK182" s="203"/>
      <c r="BL182" s="203"/>
      <c r="BM182" s="203"/>
      <c r="BN182" s="203"/>
      <c r="BO182" s="203"/>
      <c r="BP182" s="203"/>
      <c r="BQ182" s="203"/>
      <c r="BR182" s="203"/>
      <c r="BS182" s="203"/>
      <c r="BT182" s="203"/>
      <c r="BU182" s="203"/>
      <c r="BV182" s="203"/>
      <c r="BW182" s="203"/>
      <c r="BX182" s="203"/>
      <c r="BY182" s="203"/>
      <c r="BZ182" s="203"/>
      <c r="CA182" s="203"/>
      <c r="CB182" s="203"/>
      <c r="CC182" s="203"/>
      <c r="CD182" s="203"/>
      <c r="CE182" s="203"/>
      <c r="CF182" s="203"/>
      <c r="CG182" s="203"/>
      <c r="CH182" s="203"/>
      <c r="CI182" s="203"/>
      <c r="CJ182" s="203"/>
      <c r="CK182" s="203"/>
      <c r="CL182" s="203"/>
      <c r="CM182" s="203"/>
      <c r="CN182" s="203"/>
      <c r="CO182" s="203"/>
      <c r="CP182" s="203"/>
      <c r="CQ182" s="203"/>
      <c r="CR182" s="203"/>
      <c r="CS182" s="203"/>
      <c r="CT182" s="203"/>
      <c r="CU182" s="203"/>
      <c r="CV182" s="203"/>
      <c r="CW182" s="203"/>
      <c r="CX182" s="203"/>
      <c r="CY182" s="203"/>
      <c r="CZ182" s="203"/>
      <c r="DA182" s="203"/>
      <c r="DB182" s="203"/>
      <c r="DC182" s="203"/>
      <c r="DD182" s="203"/>
      <c r="DE182" s="203"/>
      <c r="DF182" s="203"/>
      <c r="DG182" s="203"/>
      <c r="DH182" s="203"/>
      <c r="DI182" s="203"/>
      <c r="DJ182" s="203"/>
      <c r="DK182" s="203"/>
      <c r="DL182" s="203"/>
      <c r="DM182" s="203"/>
      <c r="DN182" s="203"/>
      <c r="DO182" s="203"/>
      <c r="DP182" s="203"/>
      <c r="DQ182" s="203"/>
      <c r="DR182" s="203"/>
      <c r="DS182" s="203"/>
      <c r="DT182" s="203"/>
      <c r="DU182" s="203"/>
      <c r="DV182" s="203"/>
      <c r="DW182" s="203"/>
      <c r="DX182" s="203"/>
      <c r="DY182" s="203"/>
      <c r="DZ182" s="203"/>
      <c r="EA182" s="203"/>
      <c r="EB182" s="203"/>
      <c r="EC182" s="203"/>
      <c r="ED182" s="203"/>
      <c r="EE182" s="203"/>
      <c r="EF182" s="203"/>
      <c r="EG182" s="203"/>
      <c r="EH182" s="203"/>
      <c r="EI182" s="203"/>
      <c r="EJ182" s="203"/>
      <c r="EK182" s="203"/>
      <c r="EL182" s="203"/>
      <c r="EM182" s="203"/>
      <c r="EN182" s="203"/>
      <c r="EO182" s="203"/>
      <c r="EP182" s="203"/>
      <c r="EQ182" s="203"/>
      <c r="ER182" s="203"/>
      <c r="ES182" s="203"/>
      <c r="ET182" s="203"/>
      <c r="EU182" s="203"/>
      <c r="EV182" s="203"/>
      <c r="EW182" s="203"/>
      <c r="EX182" s="203"/>
      <c r="EY182" s="203"/>
      <c r="EZ182" s="203"/>
      <c r="FA182" s="203"/>
      <c r="FB182" s="203"/>
      <c r="FC182" s="203"/>
      <c r="FD182" s="203"/>
      <c r="FE182" s="203"/>
      <c r="FF182" s="203"/>
      <c r="FG182" s="203"/>
      <c r="FH182" s="203"/>
      <c r="FI182" s="203"/>
      <c r="FJ182" s="203"/>
      <c r="FK182" s="203"/>
      <c r="FL182" s="203"/>
      <c r="FM182" s="203"/>
      <c r="FN182" s="203"/>
      <c r="FO182" s="203"/>
      <c r="FP182" s="203"/>
      <c r="FQ182" s="203"/>
      <c r="FR182" s="203"/>
      <c r="FS182" s="203"/>
      <c r="FT182" s="203"/>
      <c r="FU182" s="203"/>
      <c r="FV182" s="203"/>
      <c r="FW182" s="203"/>
      <c r="FX182" s="203"/>
      <c r="FY182" s="203"/>
      <c r="FZ182" s="203"/>
      <c r="GA182" s="203"/>
      <c r="GB182" s="203"/>
      <c r="GC182" s="203"/>
      <c r="GD182" s="203"/>
      <c r="GE182" s="203"/>
      <c r="GF182" s="203"/>
      <c r="GG182" s="203"/>
      <c r="GH182" s="203"/>
      <c r="GI182" s="203"/>
      <c r="GJ182" s="203"/>
      <c r="GK182" s="203"/>
      <c r="GL182" s="203"/>
      <c r="GM182" s="203"/>
      <c r="GN182" s="203"/>
      <c r="GO182" s="203"/>
      <c r="GP182" s="203"/>
      <c r="GQ182" s="203"/>
      <c r="GR182" s="203"/>
      <c r="GS182" s="203"/>
      <c r="GT182" s="203"/>
      <c r="GU182" s="203"/>
      <c r="GV182" s="203"/>
      <c r="GW182" s="203"/>
      <c r="GX182" s="203"/>
      <c r="GY182" s="203"/>
      <c r="GZ182" s="203"/>
      <c r="HA182" s="203"/>
      <c r="HB182" s="203"/>
      <c r="HC182" s="203"/>
      <c r="HD182" s="203"/>
      <c r="HE182" s="203"/>
      <c r="HF182" s="203"/>
      <c r="HG182" s="203"/>
      <c r="HH182" s="203"/>
      <c r="HI182" s="203"/>
      <c r="HJ182" s="203"/>
      <c r="HK182" s="203"/>
      <c r="HL182" s="203"/>
      <c r="HM182" s="203"/>
      <c r="HN182" s="203"/>
      <c r="HO182" s="203"/>
      <c r="HP182" s="203"/>
      <c r="HQ182" s="203"/>
      <c r="HR182" s="203"/>
      <c r="HS182" s="203"/>
      <c r="HT182" s="203"/>
      <c r="HU182" s="203"/>
      <c r="HV182" s="203"/>
      <c r="HW182" s="203"/>
      <c r="HX182" s="203"/>
      <c r="HY182" s="203"/>
      <c r="HZ182" s="203"/>
      <c r="IA182" s="203"/>
      <c r="IB182" s="203"/>
      <c r="IC182" s="203"/>
      <c r="ID182" s="203"/>
      <c r="IE182" s="203"/>
      <c r="IF182" s="203"/>
      <c r="IG182" s="203"/>
      <c r="IH182" s="203"/>
      <c r="II182" s="203"/>
      <c r="IJ182" s="203"/>
      <c r="IK182" s="203"/>
      <c r="IL182" s="203"/>
      <c r="IM182" s="203"/>
      <c r="IN182" s="203"/>
      <c r="IO182" s="203"/>
      <c r="IP182" s="203"/>
      <c r="IQ182" s="203"/>
      <c r="IR182" s="203"/>
      <c r="IS182" s="203"/>
      <c r="IT182" s="203"/>
      <c r="IU182" s="203"/>
      <c r="IV182" s="203"/>
    </row>
    <row r="183" spans="1:256" ht="11.25" customHeight="1" x14ac:dyDescent="0.25">
      <c r="A183" s="402">
        <v>2013</v>
      </c>
      <c r="B183" s="203" t="str">
        <f t="shared" ref="B183:K183" si="81">IF(AND(B136="-",B89="-",B42="-"),"-",SUM(B136,B89,B42))</f>
        <v>-</v>
      </c>
      <c r="C183" s="203">
        <f t="shared" si="81"/>
        <v>257</v>
      </c>
      <c r="D183" s="203">
        <f t="shared" si="81"/>
        <v>13852</v>
      </c>
      <c r="E183" s="203">
        <f t="shared" si="81"/>
        <v>14113</v>
      </c>
      <c r="F183" s="203">
        <f t="shared" si="81"/>
        <v>29455</v>
      </c>
      <c r="G183" s="203">
        <f t="shared" si="81"/>
        <v>46928</v>
      </c>
      <c r="H183" s="203">
        <f t="shared" si="81"/>
        <v>32436</v>
      </c>
      <c r="I183" s="203">
        <f t="shared" si="81"/>
        <v>4297</v>
      </c>
      <c r="J183" s="203">
        <f t="shared" si="81"/>
        <v>2965</v>
      </c>
      <c r="K183" s="203">
        <f t="shared" si="81"/>
        <v>87</v>
      </c>
      <c r="L183" s="203">
        <f t="shared" si="71"/>
        <v>144390</v>
      </c>
      <c r="M183" s="197"/>
      <c r="N183" s="203" t="str">
        <f t="shared" ref="N183:W183" si="82">IF(AND(N136="-",N89="-",N42="-"),"-",IF(OR(ISNUMBER(N136),ISNUMBER(N89),ISNUMBER(N42)),SUM(N136,N89,N42),"--"))</f>
        <v>-</v>
      </c>
      <c r="O183" s="203" t="str">
        <f t="shared" si="82"/>
        <v>-</v>
      </c>
      <c r="P183" s="203" t="str">
        <f t="shared" si="82"/>
        <v>-</v>
      </c>
      <c r="Q183" s="203" t="str">
        <f t="shared" si="82"/>
        <v>-</v>
      </c>
      <c r="R183" s="203">
        <f t="shared" si="82"/>
        <v>108</v>
      </c>
      <c r="S183" s="203">
        <f t="shared" si="82"/>
        <v>5194</v>
      </c>
      <c r="T183" s="203">
        <f t="shared" si="82"/>
        <v>2899</v>
      </c>
      <c r="U183" s="203">
        <f t="shared" si="82"/>
        <v>2658</v>
      </c>
      <c r="V183" s="203">
        <f t="shared" si="82"/>
        <v>25</v>
      </c>
      <c r="W183" s="203" t="str">
        <f t="shared" si="82"/>
        <v>-</v>
      </c>
      <c r="X183" s="203">
        <f t="shared" si="7"/>
        <v>10884</v>
      </c>
      <c r="Y183" s="203"/>
      <c r="Z183" s="203"/>
      <c r="AA183" s="203"/>
      <c r="AB183" s="203"/>
      <c r="AC183" s="203"/>
      <c r="AD183" s="203"/>
      <c r="AE183" s="203"/>
      <c r="AF183" s="203"/>
      <c r="AG183" s="203"/>
      <c r="AH183" s="203"/>
      <c r="AI183" s="203"/>
      <c r="AJ183" s="203"/>
      <c r="AK183" s="203"/>
      <c r="AL183" s="203"/>
      <c r="AM183" s="203"/>
      <c r="AN183" s="203"/>
      <c r="AO183" s="203"/>
      <c r="AP183" s="203"/>
      <c r="AQ183" s="203"/>
      <c r="AR183" s="203"/>
      <c r="AS183" s="203"/>
      <c r="AT183" s="203"/>
      <c r="AU183" s="203"/>
      <c r="AV183" s="203"/>
      <c r="AW183" s="203"/>
      <c r="AX183" s="203"/>
      <c r="AY183" s="203"/>
      <c r="AZ183" s="203"/>
      <c r="BA183" s="203"/>
      <c r="BB183" s="203"/>
      <c r="BC183" s="203"/>
      <c r="BD183" s="203"/>
      <c r="BE183" s="203"/>
      <c r="BF183" s="203"/>
      <c r="BG183" s="203"/>
      <c r="BH183" s="203"/>
      <c r="BI183" s="203"/>
      <c r="BJ183" s="203"/>
      <c r="BK183" s="203"/>
      <c r="BL183" s="203"/>
      <c r="BM183" s="203"/>
      <c r="BN183" s="203"/>
      <c r="BO183" s="203"/>
      <c r="BP183" s="203"/>
      <c r="BQ183" s="203"/>
      <c r="BR183" s="203"/>
      <c r="BS183" s="203"/>
      <c r="BT183" s="203"/>
      <c r="BU183" s="203"/>
      <c r="BV183" s="203"/>
      <c r="BW183" s="203"/>
      <c r="BX183" s="203"/>
      <c r="BY183" s="203"/>
      <c r="BZ183" s="203"/>
      <c r="CA183" s="203"/>
      <c r="CB183" s="203"/>
      <c r="CC183" s="203"/>
      <c r="CD183" s="203"/>
      <c r="CE183" s="203"/>
      <c r="CF183" s="203"/>
      <c r="CG183" s="203"/>
      <c r="CH183" s="203"/>
      <c r="CI183" s="203"/>
      <c r="CJ183" s="203"/>
      <c r="CK183" s="203"/>
      <c r="CL183" s="203"/>
      <c r="CM183" s="203"/>
      <c r="CN183" s="203"/>
      <c r="CO183" s="203"/>
      <c r="CP183" s="203"/>
      <c r="CQ183" s="203"/>
      <c r="CR183" s="203"/>
      <c r="CS183" s="203"/>
      <c r="CT183" s="203"/>
      <c r="CU183" s="203"/>
      <c r="CV183" s="203"/>
      <c r="CW183" s="203"/>
      <c r="CX183" s="203"/>
      <c r="CY183" s="203"/>
      <c r="CZ183" s="203"/>
      <c r="DA183" s="203"/>
      <c r="DB183" s="203"/>
      <c r="DC183" s="203"/>
      <c r="DD183" s="203"/>
      <c r="DE183" s="203"/>
      <c r="DF183" s="203"/>
      <c r="DG183" s="203"/>
      <c r="DH183" s="203"/>
      <c r="DI183" s="203"/>
      <c r="DJ183" s="203"/>
      <c r="DK183" s="203"/>
      <c r="DL183" s="203"/>
      <c r="DM183" s="203"/>
      <c r="DN183" s="203"/>
      <c r="DO183" s="203"/>
      <c r="DP183" s="203"/>
      <c r="DQ183" s="203"/>
      <c r="DR183" s="203"/>
      <c r="DS183" s="203"/>
      <c r="DT183" s="203"/>
      <c r="DU183" s="203"/>
      <c r="DV183" s="203"/>
      <c r="DW183" s="203"/>
      <c r="DX183" s="203"/>
      <c r="DY183" s="203"/>
      <c r="DZ183" s="203"/>
      <c r="EA183" s="203"/>
      <c r="EB183" s="203"/>
      <c r="EC183" s="203"/>
      <c r="ED183" s="203"/>
      <c r="EE183" s="203"/>
      <c r="EF183" s="203"/>
      <c r="EG183" s="203"/>
      <c r="EH183" s="203"/>
      <c r="EI183" s="203"/>
      <c r="EJ183" s="203"/>
      <c r="EK183" s="203"/>
      <c r="EL183" s="203"/>
      <c r="EM183" s="203"/>
      <c r="EN183" s="203"/>
      <c r="EO183" s="203"/>
      <c r="EP183" s="203"/>
      <c r="EQ183" s="203"/>
      <c r="ER183" s="203"/>
      <c r="ES183" s="203"/>
      <c r="ET183" s="203"/>
      <c r="EU183" s="203"/>
      <c r="EV183" s="203"/>
      <c r="EW183" s="203"/>
      <c r="EX183" s="203"/>
      <c r="EY183" s="203"/>
      <c r="EZ183" s="203"/>
      <c r="FA183" s="203"/>
      <c r="FB183" s="203"/>
      <c r="FC183" s="203"/>
      <c r="FD183" s="203"/>
      <c r="FE183" s="203"/>
      <c r="FF183" s="203"/>
      <c r="FG183" s="203"/>
      <c r="FH183" s="203"/>
      <c r="FI183" s="203"/>
      <c r="FJ183" s="203"/>
      <c r="FK183" s="203"/>
      <c r="FL183" s="203"/>
      <c r="FM183" s="203"/>
      <c r="FN183" s="203"/>
      <c r="FO183" s="203"/>
      <c r="FP183" s="203"/>
      <c r="FQ183" s="203"/>
      <c r="FR183" s="203"/>
      <c r="FS183" s="203"/>
      <c r="FT183" s="203"/>
      <c r="FU183" s="203"/>
      <c r="FV183" s="203"/>
      <c r="FW183" s="203"/>
      <c r="FX183" s="203"/>
      <c r="FY183" s="203"/>
      <c r="FZ183" s="203"/>
      <c r="GA183" s="203"/>
      <c r="GB183" s="203"/>
      <c r="GC183" s="203"/>
      <c r="GD183" s="203"/>
      <c r="GE183" s="203"/>
      <c r="GF183" s="203"/>
      <c r="GG183" s="203"/>
      <c r="GH183" s="203"/>
      <c r="GI183" s="203"/>
      <c r="GJ183" s="203"/>
      <c r="GK183" s="203"/>
      <c r="GL183" s="203"/>
      <c r="GM183" s="203"/>
      <c r="GN183" s="203"/>
      <c r="GO183" s="203"/>
      <c r="GP183" s="203"/>
      <c r="GQ183" s="203"/>
      <c r="GR183" s="203"/>
      <c r="GS183" s="203"/>
      <c r="GT183" s="203"/>
      <c r="GU183" s="203"/>
      <c r="GV183" s="203"/>
      <c r="GW183" s="203"/>
      <c r="GX183" s="203"/>
      <c r="GY183" s="203"/>
      <c r="GZ183" s="203"/>
      <c r="HA183" s="203"/>
      <c r="HB183" s="203"/>
      <c r="HC183" s="203"/>
      <c r="HD183" s="203"/>
      <c r="HE183" s="203"/>
      <c r="HF183" s="203"/>
      <c r="HG183" s="203"/>
      <c r="HH183" s="203"/>
      <c r="HI183" s="203"/>
      <c r="HJ183" s="203"/>
      <c r="HK183" s="203"/>
      <c r="HL183" s="203"/>
      <c r="HM183" s="203"/>
      <c r="HN183" s="203"/>
      <c r="HO183" s="203"/>
      <c r="HP183" s="203"/>
      <c r="HQ183" s="203"/>
      <c r="HR183" s="203"/>
      <c r="HS183" s="203"/>
      <c r="HT183" s="203"/>
      <c r="HU183" s="203"/>
      <c r="HV183" s="203"/>
      <c r="HW183" s="203"/>
      <c r="HX183" s="203"/>
      <c r="HY183" s="203"/>
      <c r="HZ183" s="203"/>
      <c r="IA183" s="203"/>
      <c r="IB183" s="203"/>
      <c r="IC183" s="203"/>
      <c r="ID183" s="203"/>
      <c r="IE183" s="203"/>
      <c r="IF183" s="203"/>
      <c r="IG183" s="203"/>
      <c r="IH183" s="203"/>
      <c r="II183" s="203"/>
      <c r="IJ183" s="203"/>
      <c r="IK183" s="203"/>
      <c r="IL183" s="203"/>
      <c r="IM183" s="203"/>
      <c r="IN183" s="203"/>
      <c r="IO183" s="203"/>
      <c r="IP183" s="203"/>
      <c r="IQ183" s="203"/>
      <c r="IR183" s="203"/>
      <c r="IS183" s="203"/>
      <c r="IT183" s="203"/>
      <c r="IU183" s="203"/>
      <c r="IV183" s="203"/>
    </row>
    <row r="184" spans="1:256" ht="11.25" customHeight="1" x14ac:dyDescent="0.25">
      <c r="A184" s="402">
        <v>2014</v>
      </c>
      <c r="B184" s="203" t="str">
        <f t="shared" ref="B184:K184" si="83">IF(AND(B137="-",B90="-",B43="-"),"-",SUM(B137,B90,B43))</f>
        <v>-</v>
      </c>
      <c r="C184" s="203">
        <f t="shared" si="83"/>
        <v>10</v>
      </c>
      <c r="D184" s="203">
        <f t="shared" si="83"/>
        <v>13956</v>
      </c>
      <c r="E184" s="203">
        <f t="shared" si="83"/>
        <v>8591</v>
      </c>
      <c r="F184" s="203">
        <f t="shared" si="83"/>
        <v>9281</v>
      </c>
      <c r="G184" s="203">
        <f t="shared" si="83"/>
        <v>25992</v>
      </c>
      <c r="H184" s="203">
        <f t="shared" si="83"/>
        <v>20142</v>
      </c>
      <c r="I184" s="203">
        <f t="shared" si="83"/>
        <v>8592</v>
      </c>
      <c r="J184" s="203">
        <f t="shared" si="83"/>
        <v>4325</v>
      </c>
      <c r="K184" s="203">
        <f t="shared" si="83"/>
        <v>125</v>
      </c>
      <c r="L184" s="203">
        <f t="shared" si="71"/>
        <v>91014</v>
      </c>
      <c r="M184" s="197"/>
      <c r="N184" s="203" t="str">
        <f t="shared" ref="N184:W184" si="84">IF(AND(N137="-",N90="-",N43="-"),"-",IF(OR(ISNUMBER(N137),ISNUMBER(N90),ISNUMBER(N43)),SUM(N137,N90,N43),"--"))</f>
        <v>-</v>
      </c>
      <c r="O184" s="203" t="str">
        <f t="shared" si="84"/>
        <v>-</v>
      </c>
      <c r="P184" s="203" t="str">
        <f t="shared" si="84"/>
        <v>-</v>
      </c>
      <c r="Q184" s="203">
        <f t="shared" si="84"/>
        <v>27</v>
      </c>
      <c r="R184" s="203">
        <f t="shared" si="84"/>
        <v>3679</v>
      </c>
      <c r="S184" s="203">
        <f t="shared" si="84"/>
        <v>33710</v>
      </c>
      <c r="T184" s="203">
        <f t="shared" si="84"/>
        <v>19284</v>
      </c>
      <c r="U184" s="203">
        <f t="shared" si="84"/>
        <v>26497</v>
      </c>
      <c r="V184" s="203">
        <f t="shared" si="84"/>
        <v>49</v>
      </c>
      <c r="W184" s="203" t="str">
        <f t="shared" si="84"/>
        <v>-</v>
      </c>
      <c r="X184" s="203">
        <f t="shared" si="7"/>
        <v>83246</v>
      </c>
      <c r="Y184" s="203"/>
      <c r="Z184" s="203"/>
      <c r="AA184" s="203"/>
      <c r="AB184" s="203"/>
      <c r="AC184" s="203"/>
      <c r="AD184" s="203"/>
      <c r="AE184" s="203"/>
      <c r="AF184" s="203"/>
      <c r="AG184" s="203"/>
      <c r="AH184" s="203"/>
      <c r="AI184" s="203"/>
      <c r="AJ184" s="203"/>
      <c r="AK184" s="203"/>
      <c r="AL184" s="203"/>
      <c r="AM184" s="203"/>
      <c r="AN184" s="203"/>
      <c r="AO184" s="203"/>
      <c r="AP184" s="203"/>
      <c r="AQ184" s="203"/>
      <c r="AR184" s="203"/>
      <c r="AS184" s="203"/>
      <c r="AT184" s="203"/>
      <c r="AU184" s="203"/>
      <c r="AV184" s="203"/>
      <c r="AW184" s="203"/>
      <c r="AX184" s="203"/>
      <c r="AY184" s="203"/>
      <c r="AZ184" s="203"/>
      <c r="BA184" s="203"/>
      <c r="BB184" s="203"/>
      <c r="BC184" s="203"/>
      <c r="BD184" s="203"/>
      <c r="BE184" s="203"/>
      <c r="BF184" s="203"/>
      <c r="BG184" s="203"/>
      <c r="BH184" s="203"/>
      <c r="BI184" s="203"/>
      <c r="BJ184" s="203"/>
      <c r="BK184" s="203"/>
      <c r="BL184" s="203"/>
      <c r="BM184" s="203"/>
      <c r="BN184" s="203"/>
      <c r="BO184" s="203"/>
      <c r="BP184" s="203"/>
      <c r="BQ184" s="203"/>
      <c r="BR184" s="203"/>
      <c r="BS184" s="203"/>
      <c r="BT184" s="203"/>
      <c r="BU184" s="203"/>
      <c r="BV184" s="203"/>
      <c r="BW184" s="203"/>
      <c r="BX184" s="203"/>
      <c r="BY184" s="203"/>
      <c r="BZ184" s="203"/>
      <c r="CA184" s="203"/>
      <c r="CB184" s="203"/>
      <c r="CC184" s="203"/>
      <c r="CD184" s="203"/>
      <c r="CE184" s="203"/>
      <c r="CF184" s="203"/>
      <c r="CG184" s="203"/>
      <c r="CH184" s="203"/>
      <c r="CI184" s="203"/>
      <c r="CJ184" s="203"/>
      <c r="CK184" s="203"/>
      <c r="CL184" s="203"/>
      <c r="CM184" s="203"/>
      <c r="CN184" s="203"/>
      <c r="CO184" s="203"/>
      <c r="CP184" s="203"/>
      <c r="CQ184" s="203"/>
      <c r="CR184" s="203"/>
      <c r="CS184" s="203"/>
      <c r="CT184" s="203"/>
      <c r="CU184" s="203"/>
      <c r="CV184" s="203"/>
      <c r="CW184" s="203"/>
      <c r="CX184" s="203"/>
      <c r="CY184" s="203"/>
      <c r="CZ184" s="203"/>
      <c r="DA184" s="203"/>
      <c r="DB184" s="203"/>
      <c r="DC184" s="203"/>
      <c r="DD184" s="203"/>
      <c r="DE184" s="203"/>
      <c r="DF184" s="203"/>
      <c r="DG184" s="203"/>
      <c r="DH184" s="203"/>
      <c r="DI184" s="203"/>
      <c r="DJ184" s="203"/>
      <c r="DK184" s="203"/>
      <c r="DL184" s="203"/>
      <c r="DM184" s="203"/>
      <c r="DN184" s="203"/>
      <c r="DO184" s="203"/>
      <c r="DP184" s="203"/>
      <c r="DQ184" s="203"/>
      <c r="DR184" s="203"/>
      <c r="DS184" s="203"/>
      <c r="DT184" s="203"/>
      <c r="DU184" s="203"/>
      <c r="DV184" s="203"/>
      <c r="DW184" s="203"/>
      <c r="DX184" s="203"/>
      <c r="DY184" s="203"/>
      <c r="DZ184" s="203"/>
      <c r="EA184" s="203"/>
      <c r="EB184" s="203"/>
      <c r="EC184" s="203"/>
      <c r="ED184" s="203"/>
      <c r="EE184" s="203"/>
      <c r="EF184" s="203"/>
      <c r="EG184" s="203"/>
      <c r="EH184" s="203"/>
      <c r="EI184" s="203"/>
      <c r="EJ184" s="203"/>
      <c r="EK184" s="203"/>
      <c r="EL184" s="203"/>
      <c r="EM184" s="203"/>
      <c r="EN184" s="203"/>
      <c r="EO184" s="203"/>
      <c r="EP184" s="203"/>
      <c r="EQ184" s="203"/>
      <c r="ER184" s="203"/>
      <c r="ES184" s="203"/>
      <c r="ET184" s="203"/>
      <c r="EU184" s="203"/>
      <c r="EV184" s="203"/>
      <c r="EW184" s="203"/>
      <c r="EX184" s="203"/>
      <c r="EY184" s="203"/>
      <c r="EZ184" s="203"/>
      <c r="FA184" s="203"/>
      <c r="FB184" s="203"/>
      <c r="FC184" s="203"/>
      <c r="FD184" s="203"/>
      <c r="FE184" s="203"/>
      <c r="FF184" s="203"/>
      <c r="FG184" s="203"/>
      <c r="FH184" s="203"/>
      <c r="FI184" s="203"/>
      <c r="FJ184" s="203"/>
      <c r="FK184" s="203"/>
      <c r="FL184" s="203"/>
      <c r="FM184" s="203"/>
      <c r="FN184" s="203"/>
      <c r="FO184" s="203"/>
      <c r="FP184" s="203"/>
      <c r="FQ184" s="203"/>
      <c r="FR184" s="203"/>
      <c r="FS184" s="203"/>
      <c r="FT184" s="203"/>
      <c r="FU184" s="203"/>
      <c r="FV184" s="203"/>
      <c r="FW184" s="203"/>
      <c r="FX184" s="203"/>
      <c r="FY184" s="203"/>
      <c r="FZ184" s="203"/>
      <c r="GA184" s="203"/>
      <c r="GB184" s="203"/>
      <c r="GC184" s="203"/>
      <c r="GD184" s="203"/>
      <c r="GE184" s="203"/>
      <c r="GF184" s="203"/>
      <c r="GG184" s="203"/>
      <c r="GH184" s="203"/>
      <c r="GI184" s="203"/>
      <c r="GJ184" s="203"/>
      <c r="GK184" s="203"/>
      <c r="GL184" s="203"/>
      <c r="GM184" s="203"/>
      <c r="GN184" s="203"/>
      <c r="GO184" s="203"/>
      <c r="GP184" s="203"/>
      <c r="GQ184" s="203"/>
      <c r="GR184" s="203"/>
      <c r="GS184" s="203"/>
      <c r="GT184" s="203"/>
      <c r="GU184" s="203"/>
      <c r="GV184" s="203"/>
      <c r="GW184" s="203"/>
      <c r="GX184" s="203"/>
      <c r="GY184" s="203"/>
      <c r="GZ184" s="203"/>
      <c r="HA184" s="203"/>
      <c r="HB184" s="203"/>
      <c r="HC184" s="203"/>
      <c r="HD184" s="203"/>
      <c r="HE184" s="203"/>
      <c r="HF184" s="203"/>
      <c r="HG184" s="203"/>
      <c r="HH184" s="203"/>
      <c r="HI184" s="203"/>
      <c r="HJ184" s="203"/>
      <c r="HK184" s="203"/>
      <c r="HL184" s="203"/>
      <c r="HM184" s="203"/>
      <c r="HN184" s="203"/>
      <c r="HO184" s="203"/>
      <c r="HP184" s="203"/>
      <c r="HQ184" s="203"/>
      <c r="HR184" s="203"/>
      <c r="HS184" s="203"/>
      <c r="HT184" s="203"/>
      <c r="HU184" s="203"/>
      <c r="HV184" s="203"/>
      <c r="HW184" s="203"/>
      <c r="HX184" s="203"/>
      <c r="HY184" s="203"/>
      <c r="HZ184" s="203"/>
      <c r="IA184" s="203"/>
      <c r="IB184" s="203"/>
      <c r="IC184" s="203"/>
      <c r="ID184" s="203"/>
      <c r="IE184" s="203"/>
      <c r="IF184" s="203"/>
      <c r="IG184" s="203"/>
      <c r="IH184" s="203"/>
      <c r="II184" s="203"/>
      <c r="IJ184" s="203"/>
      <c r="IK184" s="203"/>
      <c r="IL184" s="203"/>
      <c r="IM184" s="203"/>
      <c r="IN184" s="203"/>
      <c r="IO184" s="203"/>
      <c r="IP184" s="203"/>
      <c r="IQ184" s="203"/>
      <c r="IR184" s="203"/>
      <c r="IS184" s="203"/>
      <c r="IT184" s="203"/>
      <c r="IU184" s="203"/>
      <c r="IV184" s="203"/>
    </row>
    <row r="185" spans="1:256" ht="11.25" customHeight="1" x14ac:dyDescent="0.25">
      <c r="A185" s="402">
        <v>2015</v>
      </c>
      <c r="B185" s="203" t="str">
        <f t="shared" ref="B185:K185" si="85">IF(AND(B138="-",B91="-",B44="-"),"-",SUM(B138,B91,B44))</f>
        <v>-</v>
      </c>
      <c r="C185" s="203">
        <f t="shared" si="85"/>
        <v>30</v>
      </c>
      <c r="D185" s="203">
        <f t="shared" si="85"/>
        <v>3032</v>
      </c>
      <c r="E185" s="203">
        <f t="shared" si="85"/>
        <v>2974</v>
      </c>
      <c r="F185" s="203">
        <f t="shared" si="85"/>
        <v>3797</v>
      </c>
      <c r="G185" s="203">
        <f t="shared" si="85"/>
        <v>10148</v>
      </c>
      <c r="H185" s="203">
        <f t="shared" si="85"/>
        <v>9265</v>
      </c>
      <c r="I185" s="203">
        <f t="shared" si="85"/>
        <v>11096</v>
      </c>
      <c r="J185" s="203">
        <f t="shared" si="85"/>
        <v>3823</v>
      </c>
      <c r="K185" s="203">
        <f t="shared" si="85"/>
        <v>0</v>
      </c>
      <c r="L185" s="203">
        <f t="shared" si="71"/>
        <v>44165</v>
      </c>
      <c r="M185" s="197"/>
      <c r="N185" s="203" t="str">
        <f t="shared" ref="N185:W185" si="86">IF(AND(N138="-",N91="-",N44="-"),"-",IF(OR(ISNUMBER(N138),ISNUMBER(N91),ISNUMBER(N44)),SUM(N138,N91,N44),"--"))</f>
        <v>-</v>
      </c>
      <c r="O185" s="203" t="str">
        <f t="shared" si="86"/>
        <v>-</v>
      </c>
      <c r="P185" s="203" t="str">
        <f t="shared" si="86"/>
        <v>-</v>
      </c>
      <c r="Q185" s="203">
        <f t="shared" si="86"/>
        <v>5</v>
      </c>
      <c r="R185" s="203">
        <f t="shared" si="86"/>
        <v>475</v>
      </c>
      <c r="S185" s="203">
        <f t="shared" si="86"/>
        <v>11978</v>
      </c>
      <c r="T185" s="203">
        <f t="shared" si="86"/>
        <v>2567</v>
      </c>
      <c r="U185" s="203">
        <f t="shared" si="86"/>
        <v>4430</v>
      </c>
      <c r="V185" s="203">
        <f t="shared" si="86"/>
        <v>28</v>
      </c>
      <c r="W185" s="203" t="str">
        <f t="shared" si="86"/>
        <v>-</v>
      </c>
      <c r="X185" s="203">
        <f t="shared" si="7"/>
        <v>19483</v>
      </c>
      <c r="Y185" s="203"/>
      <c r="Z185" s="203"/>
      <c r="AA185" s="203"/>
      <c r="AB185" s="203"/>
      <c r="AC185" s="203"/>
      <c r="AD185" s="203"/>
      <c r="AE185" s="203"/>
      <c r="AF185" s="203"/>
      <c r="AG185" s="203"/>
      <c r="AH185" s="203"/>
      <c r="AI185" s="203"/>
      <c r="AJ185" s="203"/>
      <c r="AK185" s="203"/>
      <c r="AL185" s="203"/>
      <c r="AM185" s="203"/>
      <c r="AN185" s="203"/>
      <c r="AO185" s="203"/>
      <c r="AP185" s="203"/>
      <c r="AQ185" s="203"/>
      <c r="AR185" s="203"/>
      <c r="AS185" s="203"/>
      <c r="AT185" s="203"/>
      <c r="AU185" s="203"/>
      <c r="AV185" s="203"/>
      <c r="AW185" s="203"/>
      <c r="AX185" s="203"/>
      <c r="AY185" s="203"/>
      <c r="AZ185" s="203"/>
      <c r="BA185" s="203"/>
      <c r="BB185" s="203"/>
      <c r="BC185" s="203"/>
      <c r="BD185" s="203"/>
      <c r="BE185" s="203"/>
      <c r="BF185" s="203"/>
      <c r="BG185" s="203"/>
      <c r="BH185" s="203"/>
      <c r="BI185" s="203"/>
      <c r="BJ185" s="203"/>
      <c r="BK185" s="203"/>
      <c r="BL185" s="203"/>
      <c r="BM185" s="203"/>
      <c r="BN185" s="203"/>
      <c r="BO185" s="203"/>
      <c r="BP185" s="203"/>
      <c r="BQ185" s="203"/>
      <c r="BR185" s="203"/>
      <c r="BS185" s="203"/>
      <c r="BT185" s="203"/>
      <c r="BU185" s="203"/>
      <c r="BV185" s="203"/>
      <c r="BW185" s="203"/>
      <c r="BX185" s="203"/>
      <c r="BY185" s="203"/>
      <c r="BZ185" s="203"/>
      <c r="CA185" s="203"/>
      <c r="CB185" s="203"/>
      <c r="CC185" s="203"/>
      <c r="CD185" s="203"/>
      <c r="CE185" s="203"/>
      <c r="CF185" s="203"/>
      <c r="CG185" s="203"/>
      <c r="CH185" s="203"/>
      <c r="CI185" s="203"/>
      <c r="CJ185" s="203"/>
      <c r="CK185" s="203"/>
      <c r="CL185" s="203"/>
      <c r="CM185" s="203"/>
      <c r="CN185" s="203"/>
      <c r="CO185" s="203"/>
      <c r="CP185" s="203"/>
      <c r="CQ185" s="203"/>
      <c r="CR185" s="203"/>
      <c r="CS185" s="203"/>
      <c r="CT185" s="203"/>
      <c r="CU185" s="203"/>
      <c r="CV185" s="203"/>
      <c r="CW185" s="203"/>
      <c r="CX185" s="203"/>
      <c r="CY185" s="203"/>
      <c r="CZ185" s="203"/>
      <c r="DA185" s="203"/>
      <c r="DB185" s="203"/>
      <c r="DC185" s="203"/>
      <c r="DD185" s="203"/>
      <c r="DE185" s="203"/>
      <c r="DF185" s="203"/>
      <c r="DG185" s="203"/>
      <c r="DH185" s="203"/>
      <c r="DI185" s="203"/>
      <c r="DJ185" s="203"/>
      <c r="DK185" s="203"/>
      <c r="DL185" s="203"/>
      <c r="DM185" s="203"/>
      <c r="DN185" s="203"/>
      <c r="DO185" s="203"/>
      <c r="DP185" s="203"/>
      <c r="DQ185" s="203"/>
      <c r="DR185" s="203"/>
      <c r="DS185" s="203"/>
      <c r="DT185" s="203"/>
      <c r="DU185" s="203"/>
      <c r="DV185" s="203"/>
      <c r="DW185" s="203"/>
      <c r="DX185" s="203"/>
      <c r="DY185" s="203"/>
      <c r="DZ185" s="203"/>
      <c r="EA185" s="203"/>
      <c r="EB185" s="203"/>
      <c r="EC185" s="203"/>
      <c r="ED185" s="203"/>
      <c r="EE185" s="203"/>
      <c r="EF185" s="203"/>
      <c r="EG185" s="203"/>
      <c r="EH185" s="203"/>
      <c r="EI185" s="203"/>
      <c r="EJ185" s="203"/>
      <c r="EK185" s="203"/>
      <c r="EL185" s="203"/>
      <c r="EM185" s="203"/>
      <c r="EN185" s="203"/>
      <c r="EO185" s="203"/>
      <c r="EP185" s="203"/>
      <c r="EQ185" s="203"/>
      <c r="ER185" s="203"/>
      <c r="ES185" s="203"/>
      <c r="ET185" s="203"/>
      <c r="EU185" s="203"/>
      <c r="EV185" s="203"/>
      <c r="EW185" s="203"/>
      <c r="EX185" s="203"/>
      <c r="EY185" s="203"/>
      <c r="EZ185" s="203"/>
      <c r="FA185" s="203"/>
      <c r="FB185" s="203"/>
      <c r="FC185" s="203"/>
      <c r="FD185" s="203"/>
      <c r="FE185" s="203"/>
      <c r="FF185" s="203"/>
      <c r="FG185" s="203"/>
      <c r="FH185" s="203"/>
      <c r="FI185" s="203"/>
      <c r="FJ185" s="203"/>
      <c r="FK185" s="203"/>
      <c r="FL185" s="203"/>
      <c r="FM185" s="203"/>
      <c r="FN185" s="203"/>
      <c r="FO185" s="203"/>
      <c r="FP185" s="203"/>
      <c r="FQ185" s="203"/>
      <c r="FR185" s="203"/>
      <c r="FS185" s="203"/>
      <c r="FT185" s="203"/>
      <c r="FU185" s="203"/>
      <c r="FV185" s="203"/>
      <c r="FW185" s="203"/>
      <c r="FX185" s="203"/>
      <c r="FY185" s="203"/>
      <c r="FZ185" s="203"/>
      <c r="GA185" s="203"/>
      <c r="GB185" s="203"/>
      <c r="GC185" s="203"/>
      <c r="GD185" s="203"/>
      <c r="GE185" s="203"/>
      <c r="GF185" s="203"/>
      <c r="GG185" s="203"/>
      <c r="GH185" s="203"/>
      <c r="GI185" s="203"/>
      <c r="GJ185" s="203"/>
      <c r="GK185" s="203"/>
      <c r="GL185" s="203"/>
      <c r="GM185" s="203"/>
      <c r="GN185" s="203"/>
      <c r="GO185" s="203"/>
      <c r="GP185" s="203"/>
      <c r="GQ185" s="203"/>
      <c r="GR185" s="203"/>
      <c r="GS185" s="203"/>
      <c r="GT185" s="203"/>
      <c r="GU185" s="203"/>
      <c r="GV185" s="203"/>
      <c r="GW185" s="203"/>
      <c r="GX185" s="203"/>
      <c r="GY185" s="203"/>
      <c r="GZ185" s="203"/>
      <c r="HA185" s="203"/>
      <c r="HB185" s="203"/>
      <c r="HC185" s="203"/>
      <c r="HD185" s="203"/>
      <c r="HE185" s="203"/>
      <c r="HF185" s="203"/>
      <c r="HG185" s="203"/>
      <c r="HH185" s="203"/>
      <c r="HI185" s="203"/>
      <c r="HJ185" s="203"/>
      <c r="HK185" s="203"/>
      <c r="HL185" s="203"/>
      <c r="HM185" s="203"/>
      <c r="HN185" s="203"/>
      <c r="HO185" s="203"/>
      <c r="HP185" s="203"/>
      <c r="HQ185" s="203"/>
      <c r="HR185" s="203"/>
      <c r="HS185" s="203"/>
      <c r="HT185" s="203"/>
      <c r="HU185" s="203"/>
      <c r="HV185" s="203"/>
      <c r="HW185" s="203"/>
      <c r="HX185" s="203"/>
      <c r="HY185" s="203"/>
      <c r="HZ185" s="203"/>
      <c r="IA185" s="203"/>
      <c r="IB185" s="203"/>
      <c r="IC185" s="203"/>
      <c r="ID185" s="203"/>
      <c r="IE185" s="203"/>
      <c r="IF185" s="203"/>
      <c r="IG185" s="203"/>
      <c r="IH185" s="203"/>
      <c r="II185" s="203"/>
      <c r="IJ185" s="203"/>
      <c r="IK185" s="203"/>
      <c r="IL185" s="203"/>
      <c r="IM185" s="203"/>
      <c r="IN185" s="203"/>
      <c r="IO185" s="203"/>
      <c r="IP185" s="203"/>
      <c r="IQ185" s="203"/>
      <c r="IR185" s="203"/>
      <c r="IS185" s="203"/>
      <c r="IT185" s="203"/>
      <c r="IU185" s="203"/>
      <c r="IV185" s="203"/>
    </row>
    <row r="186" spans="1:256" ht="11.25" customHeight="1" x14ac:dyDescent="0.25">
      <c r="A186" s="402">
        <v>2016</v>
      </c>
      <c r="B186" s="203" t="str">
        <f t="shared" ref="B186:K186" si="87">IF(AND(B139="-",B92="-",B45="-"),"-",SUM(B139,B92,B45))</f>
        <v>-</v>
      </c>
      <c r="C186" s="203">
        <f t="shared" si="87"/>
        <v>32</v>
      </c>
      <c r="D186" s="203">
        <f t="shared" si="87"/>
        <v>2039</v>
      </c>
      <c r="E186" s="203">
        <f t="shared" si="87"/>
        <v>5821</v>
      </c>
      <c r="F186" s="203">
        <f t="shared" si="87"/>
        <v>2784</v>
      </c>
      <c r="G186" s="203">
        <f t="shared" si="87"/>
        <v>13293</v>
      </c>
      <c r="H186" s="203">
        <f t="shared" si="87"/>
        <v>8442</v>
      </c>
      <c r="I186" s="203">
        <f t="shared" si="87"/>
        <v>7655</v>
      </c>
      <c r="J186" s="203">
        <f t="shared" si="87"/>
        <v>1001</v>
      </c>
      <c r="K186" s="203">
        <f t="shared" si="87"/>
        <v>0</v>
      </c>
      <c r="L186" s="203">
        <f t="shared" si="71"/>
        <v>41067</v>
      </c>
      <c r="M186" s="197"/>
      <c r="N186" s="203" t="str">
        <f t="shared" ref="N186:W186" si="88">IF(AND(N139="-",N92="-",N45="-"),"-",IF(OR(ISNUMBER(N139),ISNUMBER(N92),ISNUMBER(N45)),SUM(N139,N92,N45),"--"))</f>
        <v>-</v>
      </c>
      <c r="O186" s="203" t="str">
        <f t="shared" si="88"/>
        <v>-</v>
      </c>
      <c r="P186" s="203" t="str">
        <f t="shared" si="88"/>
        <v>-</v>
      </c>
      <c r="Q186" s="203" t="str">
        <f t="shared" si="88"/>
        <v>-</v>
      </c>
      <c r="R186" s="203">
        <f t="shared" si="88"/>
        <v>274</v>
      </c>
      <c r="S186" s="203">
        <f t="shared" si="88"/>
        <v>1260</v>
      </c>
      <c r="T186" s="203">
        <f t="shared" si="88"/>
        <v>90</v>
      </c>
      <c r="U186" s="203">
        <f t="shared" si="88"/>
        <v>4180</v>
      </c>
      <c r="V186" s="203">
        <f t="shared" si="88"/>
        <v>22</v>
      </c>
      <c r="W186" s="203" t="str">
        <f t="shared" si="88"/>
        <v>-</v>
      </c>
      <c r="X186" s="203">
        <f t="shared" si="7"/>
        <v>5826</v>
      </c>
      <c r="Y186" s="203"/>
      <c r="Z186" s="203"/>
      <c r="AA186" s="203"/>
      <c r="AB186" s="203"/>
      <c r="AC186" s="203"/>
      <c r="AD186" s="203"/>
      <c r="AE186" s="203"/>
      <c r="AF186" s="203"/>
      <c r="AG186" s="203"/>
      <c r="AH186" s="203"/>
      <c r="AI186" s="203"/>
      <c r="AJ186" s="203"/>
      <c r="AK186" s="203"/>
      <c r="AL186" s="203"/>
      <c r="AM186" s="203"/>
      <c r="AN186" s="203"/>
      <c r="AO186" s="203"/>
      <c r="AP186" s="203"/>
      <c r="AQ186" s="203"/>
      <c r="AR186" s="203"/>
      <c r="AS186" s="203"/>
      <c r="AT186" s="203"/>
      <c r="AU186" s="203"/>
      <c r="AV186" s="203"/>
      <c r="AW186" s="203"/>
      <c r="AX186" s="203"/>
      <c r="AY186" s="203"/>
      <c r="AZ186" s="203"/>
      <c r="BA186" s="203"/>
      <c r="BB186" s="203"/>
      <c r="BC186" s="203"/>
      <c r="BD186" s="203"/>
      <c r="BE186" s="203"/>
      <c r="BF186" s="203"/>
      <c r="BG186" s="203"/>
      <c r="BH186" s="203"/>
      <c r="BI186" s="203"/>
      <c r="BJ186" s="203"/>
      <c r="BK186" s="203"/>
      <c r="BL186" s="203"/>
      <c r="BM186" s="203"/>
      <c r="BN186" s="203"/>
      <c r="BO186" s="203"/>
      <c r="BP186" s="203"/>
      <c r="BQ186" s="203"/>
      <c r="BR186" s="203"/>
      <c r="BS186" s="203"/>
      <c r="BT186" s="203"/>
      <c r="BU186" s="203"/>
      <c r="BV186" s="203"/>
      <c r="BW186" s="203"/>
      <c r="BX186" s="203"/>
      <c r="BY186" s="203"/>
      <c r="BZ186" s="203"/>
      <c r="CA186" s="203"/>
      <c r="CB186" s="203"/>
      <c r="CC186" s="203"/>
      <c r="CD186" s="203"/>
      <c r="CE186" s="203"/>
      <c r="CF186" s="203"/>
      <c r="CG186" s="203"/>
      <c r="CH186" s="203"/>
      <c r="CI186" s="203"/>
      <c r="CJ186" s="203"/>
      <c r="CK186" s="203"/>
      <c r="CL186" s="203"/>
      <c r="CM186" s="203"/>
      <c r="CN186" s="203"/>
      <c r="CO186" s="203"/>
      <c r="CP186" s="203"/>
      <c r="CQ186" s="203"/>
      <c r="CR186" s="203"/>
      <c r="CS186" s="203"/>
      <c r="CT186" s="203"/>
      <c r="CU186" s="203"/>
      <c r="CV186" s="203"/>
      <c r="CW186" s="203"/>
      <c r="CX186" s="203"/>
      <c r="CY186" s="203"/>
      <c r="CZ186" s="203"/>
      <c r="DA186" s="203"/>
      <c r="DB186" s="203"/>
      <c r="DC186" s="203"/>
      <c r="DD186" s="203"/>
      <c r="DE186" s="203"/>
      <c r="DF186" s="203"/>
      <c r="DG186" s="203"/>
      <c r="DH186" s="203"/>
      <c r="DI186" s="203"/>
      <c r="DJ186" s="203"/>
      <c r="DK186" s="203"/>
      <c r="DL186" s="203"/>
      <c r="DM186" s="203"/>
      <c r="DN186" s="203"/>
      <c r="DO186" s="203"/>
      <c r="DP186" s="203"/>
      <c r="DQ186" s="203"/>
      <c r="DR186" s="203"/>
      <c r="DS186" s="203"/>
      <c r="DT186" s="203"/>
      <c r="DU186" s="203"/>
      <c r="DV186" s="203"/>
      <c r="DW186" s="203"/>
      <c r="DX186" s="203"/>
      <c r="DY186" s="203"/>
      <c r="DZ186" s="203"/>
      <c r="EA186" s="203"/>
      <c r="EB186" s="203"/>
      <c r="EC186" s="203"/>
      <c r="ED186" s="203"/>
      <c r="EE186" s="203"/>
      <c r="EF186" s="203"/>
      <c r="EG186" s="203"/>
      <c r="EH186" s="203"/>
      <c r="EI186" s="203"/>
      <c r="EJ186" s="203"/>
      <c r="EK186" s="203"/>
      <c r="EL186" s="203"/>
      <c r="EM186" s="203"/>
      <c r="EN186" s="203"/>
      <c r="EO186" s="203"/>
      <c r="EP186" s="203"/>
      <c r="EQ186" s="203"/>
      <c r="ER186" s="203"/>
      <c r="ES186" s="203"/>
      <c r="ET186" s="203"/>
      <c r="EU186" s="203"/>
      <c r="EV186" s="203"/>
      <c r="EW186" s="203"/>
      <c r="EX186" s="203"/>
      <c r="EY186" s="203"/>
      <c r="EZ186" s="203"/>
      <c r="FA186" s="203"/>
      <c r="FB186" s="203"/>
      <c r="FC186" s="203"/>
      <c r="FD186" s="203"/>
      <c r="FE186" s="203"/>
      <c r="FF186" s="203"/>
      <c r="FG186" s="203"/>
      <c r="FH186" s="203"/>
      <c r="FI186" s="203"/>
      <c r="FJ186" s="203"/>
      <c r="FK186" s="203"/>
      <c r="FL186" s="203"/>
      <c r="FM186" s="203"/>
      <c r="FN186" s="203"/>
      <c r="FO186" s="203"/>
      <c r="FP186" s="203"/>
      <c r="FQ186" s="203"/>
      <c r="FR186" s="203"/>
      <c r="FS186" s="203"/>
      <c r="FT186" s="203"/>
      <c r="FU186" s="203"/>
      <c r="FV186" s="203"/>
      <c r="FW186" s="203"/>
      <c r="FX186" s="203"/>
      <c r="FY186" s="203"/>
      <c r="FZ186" s="203"/>
      <c r="GA186" s="203"/>
      <c r="GB186" s="203"/>
      <c r="GC186" s="203"/>
      <c r="GD186" s="203"/>
      <c r="GE186" s="203"/>
      <c r="GF186" s="203"/>
      <c r="GG186" s="203"/>
      <c r="GH186" s="203"/>
      <c r="GI186" s="203"/>
      <c r="GJ186" s="203"/>
      <c r="GK186" s="203"/>
      <c r="GL186" s="203"/>
      <c r="GM186" s="203"/>
      <c r="GN186" s="203"/>
      <c r="GO186" s="203"/>
      <c r="GP186" s="203"/>
      <c r="GQ186" s="203"/>
      <c r="GR186" s="203"/>
      <c r="GS186" s="203"/>
      <c r="GT186" s="203"/>
      <c r="GU186" s="203"/>
      <c r="GV186" s="203"/>
      <c r="GW186" s="203"/>
      <c r="GX186" s="203"/>
      <c r="GY186" s="203"/>
      <c r="GZ186" s="203"/>
      <c r="HA186" s="203"/>
      <c r="HB186" s="203"/>
      <c r="HC186" s="203"/>
      <c r="HD186" s="203"/>
      <c r="HE186" s="203"/>
      <c r="HF186" s="203"/>
      <c r="HG186" s="203"/>
      <c r="HH186" s="203"/>
      <c r="HI186" s="203"/>
      <c r="HJ186" s="203"/>
      <c r="HK186" s="203"/>
      <c r="HL186" s="203"/>
      <c r="HM186" s="203"/>
      <c r="HN186" s="203"/>
      <c r="HO186" s="203"/>
      <c r="HP186" s="203"/>
      <c r="HQ186" s="203"/>
      <c r="HR186" s="203"/>
      <c r="HS186" s="203"/>
      <c r="HT186" s="203"/>
      <c r="HU186" s="203"/>
      <c r="HV186" s="203"/>
      <c r="HW186" s="203"/>
      <c r="HX186" s="203"/>
      <c r="HY186" s="203"/>
      <c r="HZ186" s="203"/>
      <c r="IA186" s="203"/>
      <c r="IB186" s="203"/>
      <c r="IC186" s="203"/>
      <c r="ID186" s="203"/>
      <c r="IE186" s="203"/>
      <c r="IF186" s="203"/>
      <c r="IG186" s="203"/>
      <c r="IH186" s="203"/>
      <c r="II186" s="203"/>
      <c r="IJ186" s="203"/>
      <c r="IK186" s="203"/>
      <c r="IL186" s="203"/>
      <c r="IM186" s="203"/>
      <c r="IN186" s="203"/>
      <c r="IO186" s="203"/>
      <c r="IP186" s="203"/>
      <c r="IQ186" s="203"/>
      <c r="IR186" s="203"/>
      <c r="IS186" s="203"/>
      <c r="IT186" s="203"/>
      <c r="IU186" s="203"/>
      <c r="IV186" s="203"/>
    </row>
    <row r="187" spans="1:256" ht="11.25" customHeight="1" x14ac:dyDescent="0.25">
      <c r="A187" s="402">
        <v>2017</v>
      </c>
      <c r="B187" s="203" t="str">
        <f t="shared" ref="B187:K187" si="89">IF(AND(B140="-",B93="-",B46="-"),"-",SUM(B140,B93,B46))</f>
        <v>-</v>
      </c>
      <c r="C187" s="203">
        <f t="shared" si="89"/>
        <v>0</v>
      </c>
      <c r="D187" s="203">
        <f t="shared" si="89"/>
        <v>4304</v>
      </c>
      <c r="E187" s="203">
        <f t="shared" si="89"/>
        <v>2394</v>
      </c>
      <c r="F187" s="203">
        <f t="shared" si="89"/>
        <v>5572</v>
      </c>
      <c r="G187" s="203">
        <f t="shared" si="89"/>
        <v>26749</v>
      </c>
      <c r="H187" s="203">
        <f t="shared" si="89"/>
        <v>19616</v>
      </c>
      <c r="I187" s="203">
        <f t="shared" si="89"/>
        <v>4852</v>
      </c>
      <c r="J187" s="203">
        <f t="shared" si="89"/>
        <v>1396</v>
      </c>
      <c r="K187" s="203">
        <f t="shared" si="89"/>
        <v>0</v>
      </c>
      <c r="L187" s="203">
        <f t="shared" si="71"/>
        <v>64883</v>
      </c>
      <c r="M187" s="197"/>
      <c r="N187" s="203" t="str">
        <f t="shared" ref="N187:W187" si="90">IF(AND(N140="-",N93="-",N46="-"),"-",IF(OR(ISNUMBER(N140),ISNUMBER(N93),ISNUMBER(N46)),SUM(N140,N93,N46),"--"))</f>
        <v>-</v>
      </c>
      <c r="O187" s="203" t="str">
        <f t="shared" si="90"/>
        <v>-</v>
      </c>
      <c r="P187" s="203" t="str">
        <f t="shared" si="90"/>
        <v>-</v>
      </c>
      <c r="Q187" s="203">
        <f t="shared" si="90"/>
        <v>3</v>
      </c>
      <c r="R187" s="203">
        <f t="shared" si="90"/>
        <v>363</v>
      </c>
      <c r="S187" s="203">
        <f t="shared" si="90"/>
        <v>6190</v>
      </c>
      <c r="T187" s="203">
        <f t="shared" si="90"/>
        <v>3984</v>
      </c>
      <c r="U187" s="203">
        <f t="shared" si="90"/>
        <v>4590</v>
      </c>
      <c r="V187" s="203" t="str">
        <f t="shared" si="90"/>
        <v>-</v>
      </c>
      <c r="W187" s="203" t="str">
        <f t="shared" si="90"/>
        <v>-</v>
      </c>
      <c r="X187" s="203">
        <f t="shared" si="7"/>
        <v>15130</v>
      </c>
      <c r="Y187" s="203"/>
      <c r="Z187" s="203"/>
      <c r="AA187" s="203"/>
      <c r="AB187" s="203"/>
      <c r="AC187" s="203"/>
      <c r="AD187" s="203"/>
      <c r="AE187" s="203"/>
      <c r="AF187" s="203"/>
      <c r="AG187" s="203"/>
      <c r="AH187" s="203"/>
      <c r="AI187" s="203"/>
      <c r="AJ187" s="203"/>
      <c r="AK187" s="203"/>
      <c r="AL187" s="203"/>
      <c r="AM187" s="203"/>
      <c r="AN187" s="203"/>
      <c r="AO187" s="203"/>
      <c r="AP187" s="203"/>
      <c r="AQ187" s="203"/>
      <c r="AR187" s="203"/>
      <c r="AS187" s="203"/>
      <c r="AT187" s="203"/>
      <c r="AU187" s="203"/>
      <c r="AV187" s="203"/>
      <c r="AW187" s="203"/>
      <c r="AX187" s="203"/>
      <c r="AY187" s="203"/>
      <c r="AZ187" s="203"/>
      <c r="BA187" s="203"/>
      <c r="BB187" s="203"/>
      <c r="BC187" s="203"/>
      <c r="BD187" s="203"/>
      <c r="BE187" s="203"/>
      <c r="BF187" s="203"/>
      <c r="BG187" s="203"/>
      <c r="BH187" s="203"/>
      <c r="BI187" s="203"/>
      <c r="BJ187" s="203"/>
      <c r="BK187" s="203"/>
      <c r="BL187" s="203"/>
      <c r="BM187" s="203"/>
      <c r="BN187" s="203"/>
      <c r="BO187" s="203"/>
      <c r="BP187" s="203"/>
      <c r="BQ187" s="203"/>
      <c r="BR187" s="203"/>
      <c r="BS187" s="203"/>
      <c r="BT187" s="203"/>
      <c r="BU187" s="203"/>
      <c r="BV187" s="203"/>
      <c r="BW187" s="203"/>
      <c r="BX187" s="203"/>
      <c r="BY187" s="203"/>
      <c r="BZ187" s="203"/>
      <c r="CA187" s="203"/>
      <c r="CB187" s="203"/>
      <c r="CC187" s="203"/>
      <c r="CD187" s="203"/>
      <c r="CE187" s="203"/>
      <c r="CF187" s="203"/>
      <c r="CG187" s="203"/>
      <c r="CH187" s="203"/>
      <c r="CI187" s="203"/>
      <c r="CJ187" s="203"/>
      <c r="CK187" s="203"/>
      <c r="CL187" s="203"/>
      <c r="CM187" s="203"/>
      <c r="CN187" s="203"/>
      <c r="CO187" s="203"/>
      <c r="CP187" s="203"/>
      <c r="CQ187" s="203"/>
      <c r="CR187" s="203"/>
      <c r="CS187" s="203"/>
      <c r="CT187" s="203"/>
      <c r="CU187" s="203"/>
      <c r="CV187" s="203"/>
      <c r="CW187" s="203"/>
      <c r="CX187" s="203"/>
      <c r="CY187" s="203"/>
      <c r="CZ187" s="203"/>
      <c r="DA187" s="203"/>
      <c r="DB187" s="203"/>
      <c r="DC187" s="203"/>
      <c r="DD187" s="203"/>
      <c r="DE187" s="203"/>
      <c r="DF187" s="203"/>
      <c r="DG187" s="203"/>
      <c r="DH187" s="203"/>
      <c r="DI187" s="203"/>
      <c r="DJ187" s="203"/>
      <c r="DK187" s="203"/>
      <c r="DL187" s="203"/>
      <c r="DM187" s="203"/>
      <c r="DN187" s="203"/>
      <c r="DO187" s="203"/>
      <c r="DP187" s="203"/>
      <c r="DQ187" s="203"/>
      <c r="DR187" s="203"/>
      <c r="DS187" s="203"/>
      <c r="DT187" s="203"/>
      <c r="DU187" s="203"/>
      <c r="DV187" s="203"/>
      <c r="DW187" s="203"/>
      <c r="DX187" s="203"/>
      <c r="DY187" s="203"/>
      <c r="DZ187" s="203"/>
      <c r="EA187" s="203"/>
      <c r="EB187" s="203"/>
      <c r="EC187" s="203"/>
      <c r="ED187" s="203"/>
      <c r="EE187" s="203"/>
      <c r="EF187" s="203"/>
      <c r="EG187" s="203"/>
      <c r="EH187" s="203"/>
      <c r="EI187" s="203"/>
      <c r="EJ187" s="203"/>
      <c r="EK187" s="203"/>
      <c r="EL187" s="203"/>
      <c r="EM187" s="203"/>
      <c r="EN187" s="203"/>
      <c r="EO187" s="203"/>
      <c r="EP187" s="203"/>
      <c r="EQ187" s="203"/>
      <c r="ER187" s="203"/>
      <c r="ES187" s="203"/>
      <c r="ET187" s="203"/>
      <c r="EU187" s="203"/>
      <c r="EV187" s="203"/>
      <c r="EW187" s="203"/>
      <c r="EX187" s="203"/>
      <c r="EY187" s="203"/>
      <c r="EZ187" s="203"/>
      <c r="FA187" s="203"/>
      <c r="FB187" s="203"/>
      <c r="FC187" s="203"/>
      <c r="FD187" s="203"/>
      <c r="FE187" s="203"/>
      <c r="FF187" s="203"/>
      <c r="FG187" s="203"/>
      <c r="FH187" s="203"/>
      <c r="FI187" s="203"/>
      <c r="FJ187" s="203"/>
      <c r="FK187" s="203"/>
      <c r="FL187" s="203"/>
      <c r="FM187" s="203"/>
      <c r="FN187" s="203"/>
      <c r="FO187" s="203"/>
      <c r="FP187" s="203"/>
      <c r="FQ187" s="203"/>
      <c r="FR187" s="203"/>
      <c r="FS187" s="203"/>
      <c r="FT187" s="203"/>
      <c r="FU187" s="203"/>
      <c r="FV187" s="203"/>
      <c r="FW187" s="203"/>
      <c r="FX187" s="203"/>
      <c r="FY187" s="203"/>
      <c r="FZ187" s="203"/>
      <c r="GA187" s="203"/>
      <c r="GB187" s="203"/>
      <c r="GC187" s="203"/>
      <c r="GD187" s="203"/>
      <c r="GE187" s="203"/>
      <c r="GF187" s="203"/>
      <c r="GG187" s="203"/>
      <c r="GH187" s="203"/>
      <c r="GI187" s="203"/>
      <c r="GJ187" s="203"/>
      <c r="GK187" s="203"/>
      <c r="GL187" s="203"/>
      <c r="GM187" s="203"/>
      <c r="GN187" s="203"/>
      <c r="GO187" s="203"/>
      <c r="GP187" s="203"/>
      <c r="GQ187" s="203"/>
      <c r="GR187" s="203"/>
      <c r="GS187" s="203"/>
      <c r="GT187" s="203"/>
      <c r="GU187" s="203"/>
      <c r="GV187" s="203"/>
      <c r="GW187" s="203"/>
      <c r="GX187" s="203"/>
      <c r="GY187" s="203"/>
      <c r="GZ187" s="203"/>
      <c r="HA187" s="203"/>
      <c r="HB187" s="203"/>
      <c r="HC187" s="203"/>
      <c r="HD187" s="203"/>
      <c r="HE187" s="203"/>
      <c r="HF187" s="203"/>
      <c r="HG187" s="203"/>
      <c r="HH187" s="203"/>
      <c r="HI187" s="203"/>
      <c r="HJ187" s="203"/>
      <c r="HK187" s="203"/>
      <c r="HL187" s="203"/>
      <c r="HM187" s="203"/>
      <c r="HN187" s="203"/>
      <c r="HO187" s="203"/>
      <c r="HP187" s="203"/>
      <c r="HQ187" s="203"/>
      <c r="HR187" s="203"/>
      <c r="HS187" s="203"/>
      <c r="HT187" s="203"/>
      <c r="HU187" s="203"/>
      <c r="HV187" s="203"/>
      <c r="HW187" s="203"/>
      <c r="HX187" s="203"/>
      <c r="HY187" s="203"/>
      <c r="HZ187" s="203"/>
      <c r="IA187" s="203"/>
      <c r="IB187" s="203"/>
      <c r="IC187" s="203"/>
      <c r="ID187" s="203"/>
      <c r="IE187" s="203"/>
      <c r="IF187" s="203"/>
      <c r="IG187" s="203"/>
      <c r="IH187" s="203"/>
      <c r="II187" s="203"/>
      <c r="IJ187" s="203"/>
      <c r="IK187" s="203"/>
      <c r="IL187" s="203"/>
      <c r="IM187" s="203"/>
      <c r="IN187" s="203"/>
      <c r="IO187" s="203"/>
      <c r="IP187" s="203"/>
      <c r="IQ187" s="203"/>
      <c r="IR187" s="203"/>
      <c r="IS187" s="203"/>
      <c r="IT187" s="203"/>
      <c r="IU187" s="203"/>
      <c r="IV187" s="203"/>
    </row>
    <row r="188" spans="1:256" s="358" customFormat="1" ht="11.25" customHeight="1" x14ac:dyDescent="0.25">
      <c r="A188" s="402">
        <v>2018</v>
      </c>
      <c r="B188" s="203" t="str">
        <f t="shared" ref="B188:K188" si="91">IF(AND(B141="-",B94="-",B47="-"),"-",SUM(B141,B94,B47))</f>
        <v>-</v>
      </c>
      <c r="C188" s="203">
        <f t="shared" si="91"/>
        <v>0</v>
      </c>
      <c r="D188" s="203">
        <f t="shared" si="91"/>
        <v>3939</v>
      </c>
      <c r="E188" s="203">
        <f t="shared" si="91"/>
        <v>629</v>
      </c>
      <c r="F188" s="203">
        <f t="shared" si="91"/>
        <v>15060</v>
      </c>
      <c r="G188" s="203">
        <f t="shared" si="91"/>
        <v>43563</v>
      </c>
      <c r="H188" s="203">
        <f t="shared" si="91"/>
        <v>16313</v>
      </c>
      <c r="I188" s="203">
        <f t="shared" si="91"/>
        <v>7436</v>
      </c>
      <c r="J188" s="203">
        <f t="shared" si="91"/>
        <v>4675</v>
      </c>
      <c r="K188" s="203">
        <f t="shared" si="91"/>
        <v>0</v>
      </c>
      <c r="L188" s="203">
        <f t="shared" si="71"/>
        <v>91615</v>
      </c>
      <c r="M188" s="197"/>
      <c r="N188" s="203" t="str">
        <f t="shared" ref="N188:W188" si="92">IF(AND(N141="-",N94="-",N47="-"),"-",IF(OR(ISNUMBER(N141),ISNUMBER(N94),ISNUMBER(N47)),SUM(N141,N94,N47),"--"))</f>
        <v>-</v>
      </c>
      <c r="O188" s="203" t="str">
        <f t="shared" si="92"/>
        <v>-</v>
      </c>
      <c r="P188" s="203" t="str">
        <f t="shared" si="92"/>
        <v>-</v>
      </c>
      <c r="Q188" s="203" t="str">
        <f t="shared" si="92"/>
        <v>-</v>
      </c>
      <c r="R188" s="203">
        <f t="shared" si="92"/>
        <v>88</v>
      </c>
      <c r="S188" s="203">
        <f t="shared" si="92"/>
        <v>3077</v>
      </c>
      <c r="T188" s="203">
        <f t="shared" si="92"/>
        <v>8630</v>
      </c>
      <c r="U188" s="203">
        <f t="shared" si="92"/>
        <v>6944</v>
      </c>
      <c r="V188" s="203" t="str">
        <f t="shared" si="92"/>
        <v>-</v>
      </c>
      <c r="W188" s="203" t="str">
        <f t="shared" si="92"/>
        <v>-</v>
      </c>
      <c r="X188" s="203">
        <f t="shared" si="7"/>
        <v>18739</v>
      </c>
      <c r="Y188" s="203"/>
      <c r="Z188" s="203"/>
      <c r="AA188" s="203"/>
      <c r="AB188" s="203"/>
      <c r="AC188" s="203"/>
      <c r="AD188" s="203"/>
      <c r="AE188" s="203"/>
      <c r="AF188" s="203"/>
      <c r="AG188" s="203"/>
      <c r="AH188" s="203"/>
      <c r="AI188" s="203"/>
      <c r="AJ188" s="203"/>
      <c r="AK188" s="203"/>
      <c r="AL188" s="203"/>
      <c r="AM188" s="203"/>
      <c r="AN188" s="203"/>
      <c r="AO188" s="203"/>
      <c r="AP188" s="203"/>
      <c r="AQ188" s="203"/>
      <c r="AR188" s="203"/>
      <c r="AS188" s="203"/>
      <c r="AT188" s="203"/>
      <c r="AU188" s="203"/>
      <c r="AV188" s="203"/>
      <c r="AW188" s="203"/>
      <c r="AX188" s="203"/>
      <c r="AY188" s="203"/>
      <c r="AZ188" s="203"/>
      <c r="BA188" s="203"/>
      <c r="BB188" s="203"/>
      <c r="BC188" s="203"/>
      <c r="BD188" s="203"/>
      <c r="BE188" s="203"/>
      <c r="BF188" s="203"/>
      <c r="BG188" s="203"/>
      <c r="BH188" s="203"/>
      <c r="BI188" s="203"/>
      <c r="BJ188" s="203"/>
      <c r="BK188" s="203"/>
      <c r="BL188" s="203"/>
      <c r="BM188" s="203"/>
      <c r="BN188" s="203"/>
      <c r="BO188" s="203"/>
      <c r="BP188" s="203"/>
      <c r="BQ188" s="203"/>
      <c r="BR188" s="203"/>
      <c r="BS188" s="203"/>
      <c r="BT188" s="203"/>
      <c r="BU188" s="203"/>
      <c r="BV188" s="203"/>
      <c r="BW188" s="203"/>
      <c r="BX188" s="203"/>
      <c r="BY188" s="203"/>
      <c r="BZ188" s="203"/>
      <c r="CA188" s="203"/>
      <c r="CB188" s="203"/>
      <c r="CC188" s="203"/>
      <c r="CD188" s="203"/>
      <c r="CE188" s="203"/>
      <c r="CF188" s="203"/>
      <c r="CG188" s="203"/>
      <c r="CH188" s="203"/>
      <c r="CI188" s="203"/>
      <c r="CJ188" s="203"/>
      <c r="CK188" s="203"/>
      <c r="CL188" s="203"/>
      <c r="CM188" s="203"/>
      <c r="CN188" s="203"/>
      <c r="CO188" s="203"/>
      <c r="CP188" s="203"/>
      <c r="CQ188" s="203"/>
      <c r="CR188" s="203"/>
      <c r="CS188" s="203"/>
      <c r="CT188" s="203"/>
      <c r="CU188" s="203"/>
      <c r="CV188" s="203"/>
      <c r="CW188" s="203"/>
      <c r="CX188" s="203"/>
      <c r="CY188" s="203"/>
      <c r="CZ188" s="203"/>
      <c r="DA188" s="203"/>
      <c r="DB188" s="203"/>
      <c r="DC188" s="203"/>
      <c r="DD188" s="203"/>
      <c r="DE188" s="203"/>
      <c r="DF188" s="203"/>
      <c r="DG188" s="203"/>
      <c r="DH188" s="203"/>
      <c r="DI188" s="203"/>
      <c r="DJ188" s="203"/>
      <c r="DK188" s="203"/>
      <c r="DL188" s="203"/>
      <c r="DM188" s="203"/>
      <c r="DN188" s="203"/>
      <c r="DO188" s="203"/>
      <c r="DP188" s="203"/>
      <c r="DQ188" s="203"/>
      <c r="DR188" s="203"/>
      <c r="DS188" s="203"/>
      <c r="DT188" s="203"/>
      <c r="DU188" s="203"/>
      <c r="DV188" s="203"/>
      <c r="DW188" s="203"/>
      <c r="DX188" s="203"/>
      <c r="DY188" s="203"/>
      <c r="DZ188" s="203"/>
      <c r="EA188" s="203"/>
      <c r="EB188" s="203"/>
      <c r="EC188" s="203"/>
      <c r="ED188" s="203"/>
      <c r="EE188" s="203"/>
      <c r="EF188" s="203"/>
      <c r="EG188" s="203"/>
      <c r="EH188" s="203"/>
      <c r="EI188" s="203"/>
      <c r="EJ188" s="203"/>
      <c r="EK188" s="203"/>
      <c r="EL188" s="203"/>
      <c r="EM188" s="203"/>
      <c r="EN188" s="203"/>
      <c r="EO188" s="203"/>
      <c r="EP188" s="203"/>
      <c r="EQ188" s="203"/>
      <c r="ER188" s="203"/>
      <c r="ES188" s="203"/>
      <c r="ET188" s="203"/>
      <c r="EU188" s="203"/>
      <c r="EV188" s="203"/>
      <c r="EW188" s="203"/>
      <c r="EX188" s="203"/>
      <c r="EY188" s="203"/>
      <c r="EZ188" s="203"/>
      <c r="FA188" s="203"/>
      <c r="FB188" s="203"/>
      <c r="FC188" s="203"/>
      <c r="FD188" s="203"/>
      <c r="FE188" s="203"/>
      <c r="FF188" s="203"/>
      <c r="FG188" s="203"/>
      <c r="FH188" s="203"/>
      <c r="FI188" s="203"/>
      <c r="FJ188" s="203"/>
      <c r="FK188" s="203"/>
      <c r="FL188" s="203"/>
      <c r="FM188" s="203"/>
      <c r="FN188" s="203"/>
      <c r="FO188" s="203"/>
      <c r="FP188" s="203"/>
      <c r="FQ188" s="203"/>
      <c r="FR188" s="203"/>
      <c r="FS188" s="203"/>
      <c r="FT188" s="203"/>
      <c r="FU188" s="203"/>
      <c r="FV188" s="203"/>
      <c r="FW188" s="203"/>
      <c r="FX188" s="203"/>
      <c r="FY188" s="203"/>
      <c r="FZ188" s="203"/>
      <c r="GA188" s="203"/>
      <c r="GB188" s="203"/>
      <c r="GC188" s="203"/>
      <c r="GD188" s="203"/>
      <c r="GE188" s="203"/>
      <c r="GF188" s="203"/>
      <c r="GG188" s="203"/>
      <c r="GH188" s="203"/>
      <c r="GI188" s="203"/>
      <c r="GJ188" s="203"/>
      <c r="GK188" s="203"/>
      <c r="GL188" s="203"/>
      <c r="GM188" s="203"/>
      <c r="GN188" s="203"/>
      <c r="GO188" s="203"/>
      <c r="GP188" s="203"/>
      <c r="GQ188" s="203"/>
      <c r="GR188" s="203"/>
      <c r="GS188" s="203"/>
      <c r="GT188" s="203"/>
      <c r="GU188" s="203"/>
      <c r="GV188" s="203"/>
      <c r="GW188" s="203"/>
      <c r="GX188" s="203"/>
      <c r="GY188" s="203"/>
      <c r="GZ188" s="203"/>
      <c r="HA188" s="203"/>
      <c r="HB188" s="203"/>
      <c r="HC188" s="203"/>
      <c r="HD188" s="203"/>
      <c r="HE188" s="203"/>
      <c r="HF188" s="203"/>
      <c r="HG188" s="203"/>
      <c r="HH188" s="203"/>
      <c r="HI188" s="203"/>
      <c r="HJ188" s="203"/>
      <c r="HK188" s="203"/>
      <c r="HL188" s="203"/>
      <c r="HM188" s="203"/>
      <c r="HN188" s="203"/>
      <c r="HO188" s="203"/>
      <c r="HP188" s="203"/>
      <c r="HQ188" s="203"/>
      <c r="HR188" s="203"/>
      <c r="HS188" s="203"/>
      <c r="HT188" s="203"/>
      <c r="HU188" s="203"/>
      <c r="HV188" s="203"/>
      <c r="HW188" s="203"/>
      <c r="HX188" s="203"/>
      <c r="HY188" s="203"/>
      <c r="HZ188" s="203"/>
      <c r="IA188" s="203"/>
      <c r="IB188" s="203"/>
      <c r="IC188" s="203"/>
      <c r="ID188" s="203"/>
      <c r="IE188" s="203"/>
      <c r="IF188" s="203"/>
      <c r="IG188" s="203"/>
      <c r="IH188" s="203"/>
      <c r="II188" s="203"/>
      <c r="IJ188" s="203"/>
      <c r="IK188" s="203"/>
      <c r="IL188" s="203"/>
      <c r="IM188" s="203"/>
      <c r="IN188" s="203"/>
      <c r="IO188" s="203"/>
      <c r="IP188" s="203"/>
      <c r="IQ188" s="203"/>
      <c r="IR188" s="203"/>
      <c r="IS188" s="203"/>
      <c r="IT188" s="203"/>
      <c r="IU188" s="203"/>
      <c r="IV188" s="203"/>
    </row>
    <row r="189" spans="1:256" s="358" customFormat="1" ht="11.25" customHeight="1" x14ac:dyDescent="0.25">
      <c r="A189" s="123" t="s">
        <v>403</v>
      </c>
      <c r="B189" s="203" t="str">
        <f t="shared" ref="B189:L190" si="93">IF(AND(B142="-",B95="-",B48="-"),"-",SUM(B142,B95,B48))</f>
        <v>-</v>
      </c>
      <c r="C189" s="203">
        <f t="shared" si="93"/>
        <v>10</v>
      </c>
      <c r="D189" s="203">
        <f t="shared" si="93"/>
        <v>16783</v>
      </c>
      <c r="E189" s="203">
        <f t="shared" si="93"/>
        <v>3591</v>
      </c>
      <c r="F189" s="203">
        <f t="shared" si="93"/>
        <v>21518</v>
      </c>
      <c r="G189" s="203">
        <f t="shared" si="93"/>
        <v>24855</v>
      </c>
      <c r="H189" s="203">
        <f t="shared" si="93"/>
        <v>21867</v>
      </c>
      <c r="I189" s="203">
        <f t="shared" si="93"/>
        <v>4427</v>
      </c>
      <c r="J189" s="203">
        <f t="shared" si="93"/>
        <v>724</v>
      </c>
      <c r="K189" s="203" t="str">
        <f t="shared" si="93"/>
        <v>-</v>
      </c>
      <c r="L189" s="203">
        <f t="shared" si="93"/>
        <v>93775</v>
      </c>
      <c r="M189" s="197"/>
      <c r="N189" s="203" t="str">
        <f t="shared" ref="N189:W190" si="94">IF(AND(N142="-",N95="-",N48="-"),"-",IF(OR(ISNUMBER(N142),ISNUMBER(N95),ISNUMBER(N48)),SUM(N142,N95,N48),"--"))</f>
        <v>-</v>
      </c>
      <c r="O189" s="203" t="str">
        <f t="shared" si="94"/>
        <v>-</v>
      </c>
      <c r="P189" s="203" t="str">
        <f t="shared" si="94"/>
        <v>-</v>
      </c>
      <c r="Q189" s="203">
        <f t="shared" si="94"/>
        <v>2</v>
      </c>
      <c r="R189" s="203">
        <f t="shared" si="94"/>
        <v>4106</v>
      </c>
      <c r="S189" s="203">
        <f t="shared" si="94"/>
        <v>27761</v>
      </c>
      <c r="T189" s="203">
        <f t="shared" si="94"/>
        <v>12822</v>
      </c>
      <c r="U189" s="203">
        <f t="shared" si="94"/>
        <v>5084</v>
      </c>
      <c r="V189" s="203">
        <f t="shared" si="94"/>
        <v>10</v>
      </c>
      <c r="W189" s="203" t="str">
        <f t="shared" si="94"/>
        <v>-</v>
      </c>
      <c r="X189" s="203">
        <f t="shared" si="7"/>
        <v>49785</v>
      </c>
      <c r="Y189" s="203"/>
      <c r="Z189" s="203"/>
      <c r="AA189" s="203"/>
      <c r="AB189" s="203"/>
      <c r="AC189" s="203"/>
      <c r="AD189" s="203"/>
      <c r="AE189" s="203"/>
      <c r="AF189" s="203"/>
      <c r="AG189" s="203"/>
      <c r="AH189" s="203"/>
      <c r="AI189" s="203"/>
      <c r="AJ189" s="203"/>
      <c r="AK189" s="203"/>
      <c r="AL189" s="203"/>
      <c r="AM189" s="203"/>
      <c r="AN189" s="203"/>
      <c r="AO189" s="203"/>
      <c r="AP189" s="203"/>
      <c r="AQ189" s="203"/>
      <c r="AR189" s="203"/>
      <c r="AS189" s="203"/>
      <c r="AT189" s="203"/>
      <c r="AU189" s="203"/>
      <c r="AV189" s="203"/>
      <c r="AW189" s="203"/>
      <c r="AX189" s="203"/>
      <c r="AY189" s="203"/>
      <c r="AZ189" s="203"/>
      <c r="BA189" s="203"/>
      <c r="BB189" s="203"/>
      <c r="BC189" s="203"/>
      <c r="BD189" s="203"/>
      <c r="BE189" s="203"/>
      <c r="BF189" s="203"/>
      <c r="BG189" s="203"/>
      <c r="BH189" s="203"/>
      <c r="BI189" s="203"/>
      <c r="BJ189" s="203"/>
      <c r="BK189" s="203"/>
      <c r="BL189" s="203"/>
      <c r="BM189" s="203"/>
      <c r="BN189" s="203"/>
      <c r="BO189" s="203"/>
      <c r="BP189" s="203"/>
      <c r="BQ189" s="203"/>
      <c r="BR189" s="203"/>
      <c r="BS189" s="203"/>
      <c r="BT189" s="203"/>
      <c r="BU189" s="203"/>
      <c r="BV189" s="203"/>
      <c r="BW189" s="203"/>
      <c r="BX189" s="203"/>
      <c r="BY189" s="203"/>
      <c r="BZ189" s="203"/>
      <c r="CA189" s="203"/>
      <c r="CB189" s="203"/>
      <c r="CC189" s="203"/>
      <c r="CD189" s="203"/>
      <c r="CE189" s="203"/>
      <c r="CF189" s="203"/>
      <c r="CG189" s="203"/>
      <c r="CH189" s="203"/>
      <c r="CI189" s="203"/>
      <c r="CJ189" s="203"/>
      <c r="CK189" s="203"/>
      <c r="CL189" s="203"/>
      <c r="CM189" s="203"/>
      <c r="CN189" s="203"/>
      <c r="CO189" s="203"/>
      <c r="CP189" s="203"/>
      <c r="CQ189" s="203"/>
      <c r="CR189" s="203"/>
      <c r="CS189" s="203"/>
      <c r="CT189" s="203"/>
      <c r="CU189" s="203"/>
      <c r="CV189" s="203"/>
      <c r="CW189" s="203"/>
      <c r="CX189" s="203"/>
      <c r="CY189" s="203"/>
      <c r="CZ189" s="203"/>
      <c r="DA189" s="203"/>
      <c r="DB189" s="203"/>
      <c r="DC189" s="203"/>
      <c r="DD189" s="203"/>
      <c r="DE189" s="203"/>
      <c r="DF189" s="203"/>
      <c r="DG189" s="203"/>
      <c r="DH189" s="203"/>
      <c r="DI189" s="203"/>
      <c r="DJ189" s="203"/>
      <c r="DK189" s="203"/>
      <c r="DL189" s="203"/>
      <c r="DM189" s="203"/>
      <c r="DN189" s="203"/>
      <c r="DO189" s="203"/>
      <c r="DP189" s="203"/>
      <c r="DQ189" s="203"/>
      <c r="DR189" s="203"/>
      <c r="DS189" s="203"/>
      <c r="DT189" s="203"/>
      <c r="DU189" s="203"/>
      <c r="DV189" s="203"/>
      <c r="DW189" s="203"/>
      <c r="DX189" s="203"/>
      <c r="DY189" s="203"/>
      <c r="DZ189" s="203"/>
      <c r="EA189" s="203"/>
      <c r="EB189" s="203"/>
      <c r="EC189" s="203"/>
      <c r="ED189" s="203"/>
      <c r="EE189" s="203"/>
      <c r="EF189" s="203"/>
      <c r="EG189" s="203"/>
      <c r="EH189" s="203"/>
      <c r="EI189" s="203"/>
      <c r="EJ189" s="203"/>
      <c r="EK189" s="203"/>
      <c r="EL189" s="203"/>
      <c r="EM189" s="203"/>
      <c r="EN189" s="203"/>
      <c r="EO189" s="203"/>
      <c r="EP189" s="203"/>
      <c r="EQ189" s="203"/>
      <c r="ER189" s="203"/>
      <c r="ES189" s="203"/>
      <c r="ET189" s="203"/>
      <c r="EU189" s="203"/>
      <c r="EV189" s="203"/>
      <c r="EW189" s="203"/>
      <c r="EX189" s="203"/>
      <c r="EY189" s="203"/>
      <c r="EZ189" s="203"/>
      <c r="FA189" s="203"/>
      <c r="FB189" s="203"/>
      <c r="FC189" s="203"/>
      <c r="FD189" s="203"/>
      <c r="FE189" s="203"/>
      <c r="FF189" s="203"/>
      <c r="FG189" s="203"/>
      <c r="FH189" s="203"/>
      <c r="FI189" s="203"/>
      <c r="FJ189" s="203"/>
      <c r="FK189" s="203"/>
      <c r="FL189" s="203"/>
      <c r="FM189" s="203"/>
      <c r="FN189" s="203"/>
      <c r="FO189" s="203"/>
      <c r="FP189" s="203"/>
      <c r="FQ189" s="203"/>
      <c r="FR189" s="203"/>
      <c r="FS189" s="203"/>
      <c r="FT189" s="203"/>
      <c r="FU189" s="203"/>
      <c r="FV189" s="203"/>
      <c r="FW189" s="203"/>
      <c r="FX189" s="203"/>
      <c r="FY189" s="203"/>
      <c r="FZ189" s="203"/>
      <c r="GA189" s="203"/>
      <c r="GB189" s="203"/>
      <c r="GC189" s="203"/>
      <c r="GD189" s="203"/>
      <c r="GE189" s="203"/>
      <c r="GF189" s="203"/>
      <c r="GG189" s="203"/>
      <c r="GH189" s="203"/>
      <c r="GI189" s="203"/>
      <c r="GJ189" s="203"/>
      <c r="GK189" s="203"/>
      <c r="GL189" s="203"/>
      <c r="GM189" s="203"/>
      <c r="GN189" s="203"/>
      <c r="GO189" s="203"/>
      <c r="GP189" s="203"/>
      <c r="GQ189" s="203"/>
      <c r="GR189" s="203"/>
      <c r="GS189" s="203"/>
      <c r="GT189" s="203"/>
      <c r="GU189" s="203"/>
      <c r="GV189" s="203"/>
      <c r="GW189" s="203"/>
      <c r="GX189" s="203"/>
      <c r="GY189" s="203"/>
      <c r="GZ189" s="203"/>
      <c r="HA189" s="203"/>
      <c r="HB189" s="203"/>
      <c r="HC189" s="203"/>
      <c r="HD189" s="203"/>
      <c r="HE189" s="203"/>
      <c r="HF189" s="203"/>
      <c r="HG189" s="203"/>
      <c r="HH189" s="203"/>
      <c r="HI189" s="203"/>
      <c r="HJ189" s="203"/>
      <c r="HK189" s="203"/>
      <c r="HL189" s="203"/>
      <c r="HM189" s="203"/>
      <c r="HN189" s="203"/>
      <c r="HO189" s="203"/>
      <c r="HP189" s="203"/>
      <c r="HQ189" s="203"/>
      <c r="HR189" s="203"/>
      <c r="HS189" s="203"/>
      <c r="HT189" s="203"/>
      <c r="HU189" s="203"/>
      <c r="HV189" s="203"/>
      <c r="HW189" s="203"/>
      <c r="HX189" s="203"/>
      <c r="HY189" s="203"/>
      <c r="HZ189" s="203"/>
      <c r="IA189" s="203"/>
      <c r="IB189" s="203"/>
      <c r="IC189" s="203"/>
      <c r="ID189" s="203"/>
      <c r="IE189" s="203"/>
      <c r="IF189" s="203"/>
      <c r="IG189" s="203"/>
      <c r="IH189" s="203"/>
      <c r="II189" s="203"/>
      <c r="IJ189" s="203"/>
      <c r="IK189" s="203"/>
      <c r="IL189" s="203"/>
      <c r="IM189" s="203"/>
      <c r="IN189" s="203"/>
      <c r="IO189" s="203"/>
      <c r="IP189" s="203"/>
      <c r="IQ189" s="203"/>
      <c r="IR189" s="203"/>
      <c r="IS189" s="203"/>
      <c r="IT189" s="203"/>
      <c r="IU189" s="203"/>
      <c r="IV189" s="203"/>
    </row>
    <row r="190" spans="1:256" ht="11.25" customHeight="1" x14ac:dyDescent="0.25">
      <c r="A190" s="123" t="s">
        <v>404</v>
      </c>
      <c r="B190" s="203" t="str">
        <f t="shared" si="93"/>
        <v>-</v>
      </c>
      <c r="C190" s="203">
        <f t="shared" si="93"/>
        <v>0</v>
      </c>
      <c r="D190" s="203">
        <f t="shared" si="93"/>
        <v>4</v>
      </c>
      <c r="E190" s="203">
        <f t="shared" si="93"/>
        <v>38</v>
      </c>
      <c r="F190" s="203">
        <f t="shared" si="93"/>
        <v>655</v>
      </c>
      <c r="G190" s="203">
        <f t="shared" si="93"/>
        <v>27286</v>
      </c>
      <c r="H190" s="203">
        <f t="shared" si="93"/>
        <v>10879</v>
      </c>
      <c r="I190" s="203">
        <f t="shared" si="93"/>
        <v>5385</v>
      </c>
      <c r="J190" s="203">
        <f t="shared" si="93"/>
        <v>2498</v>
      </c>
      <c r="K190" s="203">
        <f t="shared" si="93"/>
        <v>21</v>
      </c>
      <c r="L190" s="203">
        <f t="shared" si="93"/>
        <v>46766</v>
      </c>
      <c r="M190" s="197"/>
      <c r="N190" s="203" t="str">
        <f t="shared" si="94"/>
        <v>-</v>
      </c>
      <c r="O190" s="203" t="str">
        <f t="shared" si="94"/>
        <v>-</v>
      </c>
      <c r="P190" s="203" t="str">
        <f t="shared" si="94"/>
        <v>-</v>
      </c>
      <c r="Q190" s="203" t="str">
        <f t="shared" si="94"/>
        <v>-</v>
      </c>
      <c r="R190" s="203">
        <f t="shared" si="94"/>
        <v>0</v>
      </c>
      <c r="S190" s="203">
        <f t="shared" si="94"/>
        <v>7775</v>
      </c>
      <c r="T190" s="203">
        <f t="shared" si="94"/>
        <v>5115</v>
      </c>
      <c r="U190" s="203">
        <f t="shared" si="94"/>
        <v>4249</v>
      </c>
      <c r="V190" s="203" t="str">
        <f t="shared" si="94"/>
        <v>-</v>
      </c>
      <c r="W190" s="203" t="str">
        <f t="shared" si="94"/>
        <v>-</v>
      </c>
      <c r="X190" s="203">
        <f t="shared" si="7"/>
        <v>17139</v>
      </c>
      <c r="Y190" s="200"/>
      <c r="Z190" s="200"/>
      <c r="AA190" s="200"/>
      <c r="AB190" s="200"/>
      <c r="AC190" s="200"/>
      <c r="AD190" s="200"/>
      <c r="AE190" s="200"/>
      <c r="AF190" s="200"/>
      <c r="AG190" s="200"/>
      <c r="AH190" s="200"/>
      <c r="AI190" s="200"/>
      <c r="AJ190" s="200"/>
      <c r="AK190" s="200"/>
      <c r="AL190" s="200"/>
      <c r="AM190" s="200"/>
      <c r="AN190" s="200"/>
      <c r="AO190" s="200"/>
      <c r="AP190" s="200"/>
      <c r="AQ190" s="200"/>
      <c r="AR190" s="200"/>
      <c r="AS190" s="200"/>
      <c r="AT190" s="200"/>
      <c r="AU190" s="200"/>
      <c r="AV190" s="200"/>
      <c r="AW190" s="200"/>
      <c r="AX190" s="200"/>
      <c r="AY190" s="200"/>
      <c r="AZ190" s="200"/>
      <c r="BA190" s="200"/>
      <c r="BB190" s="200"/>
      <c r="BC190" s="200"/>
      <c r="BD190" s="200"/>
      <c r="BE190" s="200"/>
      <c r="BF190" s="200"/>
      <c r="BG190" s="200"/>
      <c r="BH190" s="200"/>
      <c r="BI190" s="200"/>
      <c r="BJ190" s="200"/>
      <c r="BK190" s="200"/>
      <c r="BL190" s="200"/>
      <c r="BM190" s="200"/>
      <c r="BN190" s="200"/>
      <c r="BO190" s="200"/>
      <c r="BP190" s="200"/>
      <c r="BQ190" s="200"/>
      <c r="BR190" s="200"/>
      <c r="BS190" s="200"/>
      <c r="BT190" s="200"/>
      <c r="BU190" s="200"/>
      <c r="BV190" s="200"/>
      <c r="BW190" s="200"/>
      <c r="BX190" s="200"/>
      <c r="BY190" s="200"/>
      <c r="BZ190" s="200"/>
      <c r="CA190" s="200"/>
      <c r="CB190" s="200"/>
      <c r="CC190" s="200"/>
      <c r="CD190" s="200"/>
      <c r="CE190" s="200"/>
      <c r="CF190" s="200"/>
      <c r="CG190" s="200"/>
      <c r="CH190" s="200"/>
      <c r="CI190" s="200"/>
      <c r="CJ190" s="200"/>
      <c r="CK190" s="200"/>
      <c r="CL190" s="200"/>
      <c r="CM190" s="200"/>
      <c r="CN190" s="200"/>
      <c r="CO190" s="200"/>
      <c r="CP190" s="200"/>
      <c r="CQ190" s="200"/>
      <c r="CR190" s="200"/>
      <c r="CS190" s="200"/>
      <c r="CT190" s="200"/>
      <c r="CU190" s="200"/>
      <c r="CV190" s="200"/>
      <c r="CW190" s="200"/>
      <c r="CX190" s="200"/>
      <c r="CY190" s="200"/>
      <c r="CZ190" s="200"/>
      <c r="DA190" s="200"/>
      <c r="DB190" s="200"/>
      <c r="DC190" s="200"/>
      <c r="DD190" s="200"/>
      <c r="DE190" s="200"/>
      <c r="DF190" s="200"/>
      <c r="DG190" s="200"/>
      <c r="DH190" s="200"/>
      <c r="DI190" s="200"/>
      <c r="DJ190" s="200"/>
      <c r="DK190" s="200"/>
      <c r="DL190" s="200"/>
      <c r="DM190" s="200"/>
      <c r="DN190" s="200"/>
      <c r="DO190" s="200"/>
      <c r="DP190" s="200"/>
      <c r="DQ190" s="200"/>
      <c r="DR190" s="200"/>
      <c r="DS190" s="200"/>
      <c r="DT190" s="200"/>
      <c r="DU190" s="200"/>
      <c r="DV190" s="200"/>
      <c r="DW190" s="200"/>
      <c r="DX190" s="200"/>
      <c r="DY190" s="200"/>
      <c r="DZ190" s="200"/>
      <c r="EA190" s="200"/>
      <c r="EB190" s="200"/>
      <c r="EC190" s="200"/>
      <c r="ED190" s="200"/>
      <c r="EE190" s="200"/>
      <c r="EF190" s="200"/>
      <c r="EG190" s="200"/>
      <c r="EH190" s="200"/>
      <c r="EI190" s="200"/>
      <c r="EJ190" s="200"/>
      <c r="EK190" s="200"/>
      <c r="EL190" s="200"/>
      <c r="EM190" s="200"/>
      <c r="EN190" s="200"/>
      <c r="EO190" s="200"/>
      <c r="EP190" s="200"/>
      <c r="EQ190" s="200"/>
      <c r="ER190" s="200"/>
      <c r="ES190" s="200"/>
      <c r="ET190" s="200"/>
      <c r="EU190" s="200"/>
      <c r="EV190" s="200"/>
      <c r="EW190" s="200"/>
      <c r="EX190" s="200"/>
      <c r="EY190" s="200"/>
      <c r="EZ190" s="200"/>
      <c r="FA190" s="200"/>
      <c r="FB190" s="200"/>
      <c r="FC190" s="200"/>
      <c r="FD190" s="200"/>
      <c r="FE190" s="200"/>
      <c r="FF190" s="200"/>
      <c r="FG190" s="200"/>
      <c r="FH190" s="200"/>
      <c r="FI190" s="200"/>
      <c r="FJ190" s="200"/>
      <c r="FK190" s="200"/>
      <c r="FL190" s="200"/>
      <c r="FM190" s="200"/>
      <c r="FN190" s="200"/>
      <c r="FO190" s="200"/>
      <c r="FP190" s="200"/>
      <c r="FQ190" s="200"/>
      <c r="FR190" s="200"/>
      <c r="FS190" s="200"/>
      <c r="FT190" s="200"/>
      <c r="FU190" s="200"/>
      <c r="FV190" s="200"/>
      <c r="FW190" s="200"/>
      <c r="FX190" s="200"/>
      <c r="FY190" s="200"/>
      <c r="FZ190" s="200"/>
      <c r="GA190" s="200"/>
      <c r="GB190" s="200"/>
      <c r="GC190" s="200"/>
      <c r="GD190" s="200"/>
      <c r="GE190" s="200"/>
      <c r="GF190" s="200"/>
      <c r="GG190" s="200"/>
      <c r="GH190" s="200"/>
      <c r="GI190" s="200"/>
      <c r="GJ190" s="200"/>
      <c r="GK190" s="200"/>
      <c r="GL190" s="200"/>
      <c r="GM190" s="200"/>
      <c r="GN190" s="200"/>
      <c r="GO190" s="200"/>
      <c r="GP190" s="200"/>
      <c r="GQ190" s="200"/>
      <c r="GR190" s="200"/>
      <c r="GS190" s="200"/>
      <c r="GT190" s="200"/>
      <c r="GU190" s="200"/>
      <c r="GV190" s="200"/>
      <c r="GW190" s="200"/>
      <c r="GX190" s="200"/>
      <c r="GY190" s="200"/>
      <c r="GZ190" s="200"/>
      <c r="HA190" s="200"/>
      <c r="HB190" s="200"/>
      <c r="HC190" s="200"/>
      <c r="HD190" s="200"/>
      <c r="HE190" s="200"/>
      <c r="HF190" s="200"/>
      <c r="HG190" s="200"/>
      <c r="HH190" s="200"/>
      <c r="HI190" s="200"/>
      <c r="HJ190" s="200"/>
      <c r="HK190" s="200"/>
      <c r="HL190" s="200"/>
      <c r="HM190" s="200"/>
      <c r="HN190" s="200"/>
      <c r="HO190" s="200"/>
      <c r="HP190" s="200"/>
      <c r="HQ190" s="200"/>
      <c r="HR190" s="200"/>
      <c r="HS190" s="200"/>
      <c r="HT190" s="200"/>
      <c r="HU190" s="200"/>
      <c r="HV190" s="200"/>
      <c r="HW190" s="200"/>
      <c r="HX190" s="200"/>
      <c r="HY190" s="200"/>
      <c r="HZ190" s="200"/>
      <c r="IA190" s="200"/>
      <c r="IB190" s="200"/>
      <c r="IC190" s="200"/>
      <c r="ID190" s="200"/>
      <c r="IE190" s="200"/>
      <c r="IF190" s="200"/>
      <c r="IG190" s="200"/>
      <c r="IH190" s="200"/>
      <c r="II190" s="200"/>
      <c r="IJ190" s="200"/>
      <c r="IK190" s="200"/>
      <c r="IL190" s="200"/>
      <c r="IM190" s="200"/>
      <c r="IN190" s="200"/>
      <c r="IO190" s="200"/>
      <c r="IP190" s="200"/>
      <c r="IQ190" s="200"/>
      <c r="IR190" s="200"/>
      <c r="IS190" s="200"/>
      <c r="IT190" s="200"/>
      <c r="IU190" s="200"/>
      <c r="IV190" s="200"/>
    </row>
    <row r="191" spans="1:256" ht="11.25" customHeight="1" x14ac:dyDescent="0.25">
      <c r="A191" s="585" t="s">
        <v>218</v>
      </c>
      <c r="B191" s="585"/>
      <c r="C191" s="585"/>
      <c r="D191" s="585"/>
      <c r="E191" s="585"/>
      <c r="F191" s="585"/>
      <c r="G191" s="585"/>
      <c r="H191" s="585"/>
      <c r="I191" s="585"/>
      <c r="J191" s="585"/>
      <c r="K191" s="585"/>
      <c r="L191" s="585"/>
      <c r="M191" s="585"/>
      <c r="N191" s="585"/>
      <c r="O191" s="585"/>
      <c r="P191" s="585"/>
      <c r="Q191" s="585"/>
      <c r="R191" s="585"/>
      <c r="S191" s="585"/>
      <c r="T191" s="585"/>
      <c r="U191" s="585"/>
      <c r="V191" s="585"/>
      <c r="W191" s="585"/>
      <c r="X191" s="585"/>
    </row>
    <row r="192" spans="1:256" ht="11.25" customHeight="1" x14ac:dyDescent="0.25">
      <c r="A192" s="605" t="s">
        <v>48</v>
      </c>
      <c r="B192" s="605"/>
      <c r="C192" s="605"/>
      <c r="D192" s="605"/>
      <c r="E192" s="605"/>
      <c r="F192" s="605"/>
      <c r="G192" s="605"/>
      <c r="H192" s="605"/>
      <c r="I192" s="605"/>
      <c r="J192" s="605"/>
      <c r="K192" s="605"/>
      <c r="L192" s="605"/>
      <c r="M192" s="605"/>
      <c r="N192" s="605"/>
      <c r="O192" s="605"/>
      <c r="P192" s="605"/>
      <c r="Q192" s="605"/>
      <c r="R192" s="605"/>
      <c r="S192" s="605"/>
      <c r="T192" s="605"/>
      <c r="U192" s="605"/>
      <c r="V192" s="605"/>
      <c r="W192" s="605"/>
      <c r="X192" s="605"/>
    </row>
    <row r="193" spans="1:24" ht="11.25" customHeight="1" x14ac:dyDescent="0.25">
      <c r="A193" s="515" t="s">
        <v>405</v>
      </c>
      <c r="B193" s="515"/>
      <c r="C193" s="515"/>
      <c r="D193" s="515"/>
      <c r="E193" s="515"/>
      <c r="F193" s="515"/>
      <c r="G193" s="515"/>
      <c r="H193" s="515"/>
      <c r="I193" s="515"/>
      <c r="J193" s="515"/>
      <c r="K193" s="515"/>
      <c r="L193" s="515"/>
      <c r="M193" s="515"/>
      <c r="N193" s="515"/>
      <c r="O193" s="515"/>
      <c r="P193" s="515"/>
      <c r="Q193" s="515"/>
      <c r="R193" s="515"/>
      <c r="S193" s="515"/>
      <c r="T193" s="515"/>
      <c r="U193" s="515"/>
      <c r="V193" s="515"/>
      <c r="W193" s="515"/>
      <c r="X193" s="515"/>
    </row>
    <row r="194" spans="1:24" ht="11.25" customHeight="1" x14ac:dyDescent="0.25">
      <c r="A194" s="378"/>
      <c r="B194" s="378"/>
      <c r="C194" s="378"/>
      <c r="D194" s="378"/>
      <c r="E194" s="378"/>
      <c r="F194" s="378"/>
      <c r="G194" s="378"/>
      <c r="H194" s="378"/>
      <c r="I194" s="378"/>
      <c r="J194" s="378"/>
      <c r="K194" s="378"/>
      <c r="L194" s="378"/>
      <c r="M194" s="378"/>
      <c r="N194" s="378"/>
      <c r="O194" s="378"/>
      <c r="P194" s="378"/>
      <c r="Q194" s="378"/>
      <c r="R194" s="378"/>
      <c r="S194" s="378"/>
      <c r="T194" s="378"/>
      <c r="U194" s="378"/>
      <c r="V194" s="378"/>
      <c r="W194" s="378"/>
      <c r="X194" s="378"/>
    </row>
    <row r="195" spans="1:24" ht="11.25" customHeight="1" x14ac:dyDescent="0.25">
      <c r="A195" s="240"/>
      <c r="B195" s="241"/>
      <c r="C195" s="241"/>
      <c r="D195" s="241"/>
      <c r="E195" s="241"/>
      <c r="F195" s="241"/>
      <c r="G195" s="241"/>
      <c r="H195" s="241"/>
      <c r="I195" s="241"/>
      <c r="J195" s="241"/>
      <c r="K195" s="241"/>
      <c r="L195" s="241"/>
      <c r="M195" s="242"/>
      <c r="N195" s="241"/>
      <c r="O195" s="241"/>
      <c r="P195" s="241"/>
      <c r="Q195" s="241"/>
      <c r="R195" s="241"/>
      <c r="S195" s="241"/>
      <c r="T195" s="241"/>
      <c r="U195" s="241"/>
      <c r="V195" s="241"/>
      <c r="W195" s="241"/>
      <c r="X195" s="241"/>
    </row>
    <row r="196" spans="1:24" ht="11.25" customHeight="1" x14ac:dyDescent="0.25"/>
    <row r="197" spans="1:24" ht="11.25" customHeight="1" x14ac:dyDescent="0.25">
      <c r="A197" s="374" t="s">
        <v>205</v>
      </c>
      <c r="B197" s="374"/>
      <c r="C197" s="374"/>
      <c r="D197" s="374"/>
      <c r="E197" s="374"/>
      <c r="F197" s="374"/>
      <c r="G197" s="374"/>
      <c r="H197" s="374"/>
      <c r="I197" s="374"/>
      <c r="J197" s="374"/>
      <c r="K197" s="374"/>
      <c r="L197" s="374"/>
      <c r="M197" s="374"/>
      <c r="N197" s="374"/>
      <c r="O197" s="374"/>
      <c r="P197" s="374"/>
      <c r="Q197" s="374"/>
      <c r="R197" s="374"/>
      <c r="S197" s="374"/>
      <c r="T197" s="374"/>
      <c r="U197" s="374"/>
      <c r="V197" s="374"/>
      <c r="W197" s="374"/>
      <c r="X197" s="374"/>
    </row>
    <row r="198" spans="1:24" ht="11.25" customHeight="1" x14ac:dyDescent="0.25">
      <c r="A198" s="389" t="s">
        <v>33</v>
      </c>
      <c r="B198" s="58" t="s">
        <v>42</v>
      </c>
      <c r="C198" s="58" t="s">
        <v>43</v>
      </c>
      <c r="D198" s="58" t="s">
        <v>34</v>
      </c>
      <c r="E198" s="58" t="s">
        <v>35</v>
      </c>
      <c r="F198" s="58" t="s">
        <v>36</v>
      </c>
      <c r="G198" s="58" t="s">
        <v>37</v>
      </c>
      <c r="H198" s="58" t="s">
        <v>38</v>
      </c>
      <c r="I198" s="58" t="s">
        <v>39</v>
      </c>
      <c r="J198" s="58" t="s">
        <v>40</v>
      </c>
      <c r="K198" s="58" t="s">
        <v>44</v>
      </c>
      <c r="L198" s="58" t="s">
        <v>28</v>
      </c>
      <c r="M198" s="381"/>
      <c r="N198" s="58" t="s">
        <v>42</v>
      </c>
      <c r="O198" s="58" t="s">
        <v>43</v>
      </c>
      <c r="P198" s="58" t="s">
        <v>34</v>
      </c>
      <c r="Q198" s="58" t="s">
        <v>35</v>
      </c>
      <c r="R198" s="58" t="s">
        <v>36</v>
      </c>
      <c r="S198" s="58" t="s">
        <v>37</v>
      </c>
      <c r="T198" s="58" t="s">
        <v>38</v>
      </c>
      <c r="U198" s="58" t="s">
        <v>39</v>
      </c>
      <c r="V198" s="58" t="s">
        <v>40</v>
      </c>
      <c r="W198" s="58" t="s">
        <v>44</v>
      </c>
      <c r="X198" s="58" t="s">
        <v>28</v>
      </c>
    </row>
    <row r="199" spans="1:24" ht="11.25" customHeight="1" x14ac:dyDescent="0.25">
      <c r="A199" s="402"/>
      <c r="B199" s="583" t="s">
        <v>67</v>
      </c>
      <c r="C199" s="583"/>
      <c r="D199" s="583"/>
      <c r="E199" s="583"/>
      <c r="F199" s="583"/>
      <c r="G199" s="583"/>
      <c r="H199" s="583"/>
      <c r="I199" s="583"/>
      <c r="J199" s="583"/>
      <c r="K199" s="583"/>
      <c r="L199" s="583"/>
      <c r="M199" s="68"/>
      <c r="N199" s="583" t="s">
        <v>68</v>
      </c>
      <c r="O199" s="583"/>
      <c r="P199" s="583"/>
      <c r="Q199" s="583"/>
      <c r="R199" s="583"/>
      <c r="S199" s="583"/>
      <c r="T199" s="583"/>
      <c r="U199" s="583"/>
      <c r="V199" s="583"/>
      <c r="W199" s="583"/>
      <c r="X199" s="583"/>
    </row>
    <row r="200" spans="1:24" ht="17.25" customHeight="1" x14ac:dyDescent="0.25">
      <c r="A200" s="503" t="s">
        <v>301</v>
      </c>
      <c r="B200" s="203"/>
      <c r="C200" s="203"/>
      <c r="D200" s="203"/>
      <c r="E200" s="203"/>
      <c r="F200" s="203"/>
      <c r="G200" s="203"/>
      <c r="H200" s="203"/>
      <c r="I200" s="203"/>
      <c r="J200" s="203"/>
      <c r="K200" s="203"/>
      <c r="L200" s="203"/>
      <c r="M200" s="150"/>
      <c r="N200" s="203"/>
      <c r="O200" s="203"/>
      <c r="P200" s="203"/>
      <c r="Q200" s="203"/>
      <c r="R200" s="203"/>
      <c r="S200" s="203"/>
      <c r="T200" s="203"/>
      <c r="U200" s="203"/>
      <c r="V200" s="203"/>
      <c r="W200" s="203"/>
      <c r="X200" s="203"/>
    </row>
    <row r="201" spans="1:24" ht="11.25" customHeight="1" x14ac:dyDescent="0.25">
      <c r="A201" s="402" t="s">
        <v>30</v>
      </c>
      <c r="B201" s="203" t="str">
        <f t="shared" ref="B201:D203" si="95">B18</f>
        <v>-</v>
      </c>
      <c r="C201" s="203" t="str">
        <f t="shared" si="95"/>
        <v>-</v>
      </c>
      <c r="D201" s="203" t="str">
        <f t="shared" si="95"/>
        <v>-</v>
      </c>
      <c r="E201" s="203">
        <f t="shared" ref="E201:L201" si="96">AVERAGE(E10:E14)</f>
        <v>54.75</v>
      </c>
      <c r="F201" s="203">
        <f t="shared" si="96"/>
        <v>787</v>
      </c>
      <c r="G201" s="203">
        <f t="shared" si="96"/>
        <v>6327.2</v>
      </c>
      <c r="H201" s="203">
        <f t="shared" si="96"/>
        <v>3518</v>
      </c>
      <c r="I201" s="203">
        <f t="shared" si="96"/>
        <v>642</v>
      </c>
      <c r="J201" s="203">
        <f t="shared" si="96"/>
        <v>42</v>
      </c>
      <c r="K201" s="101" t="s">
        <v>116</v>
      </c>
      <c r="L201" s="203">
        <f t="shared" si="96"/>
        <v>11326.4</v>
      </c>
      <c r="M201" s="150"/>
      <c r="N201" s="203" t="str">
        <f t="shared" ref="N201:P203" si="97">N18</f>
        <v>-</v>
      </c>
      <c r="O201" s="203" t="str">
        <f t="shared" si="97"/>
        <v>-</v>
      </c>
      <c r="P201" s="203" t="str">
        <f t="shared" si="97"/>
        <v>-</v>
      </c>
      <c r="Q201" s="203">
        <f t="shared" ref="Q201:X201" si="98">AVERAGE(Q10:Q14)</f>
        <v>2320.6666666666665</v>
      </c>
      <c r="R201" s="203">
        <f t="shared" si="98"/>
        <v>18009.666666666668</v>
      </c>
      <c r="S201" s="203">
        <f t="shared" si="98"/>
        <v>62625.8</v>
      </c>
      <c r="T201" s="203">
        <f t="shared" si="98"/>
        <v>40922.400000000001</v>
      </c>
      <c r="U201" s="203">
        <f t="shared" si="98"/>
        <v>4705.75</v>
      </c>
      <c r="V201" s="203" t="str">
        <f t="shared" ref="V201:W203" si="99">V18</f>
        <v>-</v>
      </c>
      <c r="W201" s="203" t="str">
        <f t="shared" si="99"/>
        <v>-</v>
      </c>
      <c r="X201" s="203">
        <f t="shared" si="98"/>
        <v>119511</v>
      </c>
    </row>
    <row r="202" spans="1:24" ht="11.25" customHeight="1" x14ac:dyDescent="0.25">
      <c r="A202" s="402" t="s">
        <v>87</v>
      </c>
      <c r="B202" s="203" t="str">
        <f t="shared" si="95"/>
        <v>-</v>
      </c>
      <c r="C202" s="203" t="str">
        <f t="shared" si="95"/>
        <v>-</v>
      </c>
      <c r="D202" s="203" t="str">
        <f t="shared" si="95"/>
        <v>-</v>
      </c>
      <c r="E202" s="203">
        <f t="shared" ref="E202:L202" si="100">AVERAGE(E15:E19)</f>
        <v>150.25</v>
      </c>
      <c r="F202" s="203">
        <f t="shared" si="100"/>
        <v>1678</v>
      </c>
      <c r="G202" s="203">
        <f t="shared" si="100"/>
        <v>7127.8</v>
      </c>
      <c r="H202" s="203">
        <f t="shared" si="100"/>
        <v>4098.8</v>
      </c>
      <c r="I202" s="203">
        <f t="shared" si="100"/>
        <v>1639</v>
      </c>
      <c r="J202" s="101" t="s">
        <v>116</v>
      </c>
      <c r="K202" s="101" t="s">
        <v>116</v>
      </c>
      <c r="L202" s="203">
        <f t="shared" si="100"/>
        <v>14663.8</v>
      </c>
      <c r="M202" s="150"/>
      <c r="N202" s="203" t="str">
        <f t="shared" si="97"/>
        <v>-</v>
      </c>
      <c r="O202" s="203" t="str">
        <f t="shared" si="97"/>
        <v>-</v>
      </c>
      <c r="P202" s="203" t="str">
        <f t="shared" si="97"/>
        <v>-</v>
      </c>
      <c r="Q202" s="203">
        <f t="shared" ref="Q202:X202" si="101">AVERAGE(Q15:Q19)</f>
        <v>1136.25</v>
      </c>
      <c r="R202" s="203">
        <f t="shared" si="101"/>
        <v>21864.799999999999</v>
      </c>
      <c r="S202" s="203">
        <f t="shared" si="101"/>
        <v>97504.6</v>
      </c>
      <c r="T202" s="203">
        <f t="shared" si="101"/>
        <v>45530.400000000001</v>
      </c>
      <c r="U202" s="203">
        <f t="shared" si="101"/>
        <v>6823.5</v>
      </c>
      <c r="V202" s="203" t="str">
        <f t="shared" si="99"/>
        <v>-</v>
      </c>
      <c r="W202" s="203" t="str">
        <f t="shared" si="99"/>
        <v>-</v>
      </c>
      <c r="X202" s="203">
        <f t="shared" si="101"/>
        <v>171267.6</v>
      </c>
    </row>
    <row r="203" spans="1:24" ht="11.25" customHeight="1" x14ac:dyDescent="0.25">
      <c r="A203" s="402" t="s">
        <v>14</v>
      </c>
      <c r="B203" s="203" t="str">
        <f t="shared" si="95"/>
        <v>-</v>
      </c>
      <c r="C203" s="203" t="str">
        <f t="shared" si="95"/>
        <v>-</v>
      </c>
      <c r="D203" s="203" t="str">
        <f t="shared" si="95"/>
        <v>-</v>
      </c>
      <c r="E203" s="203">
        <f>AVERAGE(E20:E24)</f>
        <v>146</v>
      </c>
      <c r="F203" s="203">
        <f t="shared" ref="F203:X203" si="102">AVERAGE(F20:F24)</f>
        <v>1144.4000000000001</v>
      </c>
      <c r="G203" s="203">
        <f t="shared" si="102"/>
        <v>3029.6666666666665</v>
      </c>
      <c r="H203" s="203">
        <f t="shared" si="102"/>
        <v>1043.5</v>
      </c>
      <c r="I203" s="203">
        <f t="shared" si="102"/>
        <v>464.5</v>
      </c>
      <c r="J203" s="101">
        <f t="shared" si="102"/>
        <v>1254</v>
      </c>
      <c r="K203" s="101">
        <f t="shared" si="102"/>
        <v>42</v>
      </c>
      <c r="L203" s="203">
        <f t="shared" si="102"/>
        <v>4229.8</v>
      </c>
      <c r="M203" s="150"/>
      <c r="N203" s="203" t="str">
        <f t="shared" si="97"/>
        <v>-</v>
      </c>
      <c r="O203" s="203" t="str">
        <f t="shared" si="97"/>
        <v>-</v>
      </c>
      <c r="P203" s="203" t="str">
        <f t="shared" si="97"/>
        <v>-</v>
      </c>
      <c r="Q203" s="203">
        <f t="shared" si="102"/>
        <v>522</v>
      </c>
      <c r="R203" s="203">
        <f t="shared" si="102"/>
        <v>21985</v>
      </c>
      <c r="S203" s="203">
        <f t="shared" si="102"/>
        <v>87767.333333333328</v>
      </c>
      <c r="T203" s="203">
        <f t="shared" si="102"/>
        <v>25733.5</v>
      </c>
      <c r="U203" s="203">
        <f t="shared" si="102"/>
        <v>3192</v>
      </c>
      <c r="V203" s="203" t="str">
        <f t="shared" si="99"/>
        <v>-</v>
      </c>
      <c r="W203" s="203" t="str">
        <f t="shared" si="99"/>
        <v>-</v>
      </c>
      <c r="X203" s="203">
        <f t="shared" si="102"/>
        <v>97168.5</v>
      </c>
    </row>
    <row r="204" spans="1:24" ht="11.25" customHeight="1" x14ac:dyDescent="0.25">
      <c r="A204" s="402" t="s">
        <v>207</v>
      </c>
      <c r="B204" s="203" t="str">
        <f>B25</f>
        <v>-</v>
      </c>
      <c r="C204" s="203" t="str">
        <f>C25</f>
        <v>-</v>
      </c>
      <c r="D204" s="203" t="str">
        <f>D25</f>
        <v>-</v>
      </c>
      <c r="E204" s="203">
        <f>AVERAGE(E25:E29)</f>
        <v>107.2</v>
      </c>
      <c r="F204" s="203">
        <f t="shared" ref="F204:X204" si="103">AVERAGE(F25:F29)</f>
        <v>142.4</v>
      </c>
      <c r="G204" s="203">
        <f t="shared" si="103"/>
        <v>1987</v>
      </c>
      <c r="H204" s="203">
        <f t="shared" si="103"/>
        <v>1233</v>
      </c>
      <c r="I204" s="203">
        <f t="shared" si="103"/>
        <v>738.4</v>
      </c>
      <c r="J204" s="101">
        <f t="shared" si="103"/>
        <v>502.6</v>
      </c>
      <c r="K204" s="101">
        <f t="shared" si="103"/>
        <v>35.5</v>
      </c>
      <c r="L204" s="203">
        <f t="shared" si="103"/>
        <v>4726</v>
      </c>
      <c r="M204" s="150"/>
      <c r="N204" s="203" t="str">
        <f>N25</f>
        <v>-</v>
      </c>
      <c r="O204" s="203" t="str">
        <f>O25</f>
        <v>-</v>
      </c>
      <c r="P204" s="203" t="str">
        <f>P25</f>
        <v>-</v>
      </c>
      <c r="Q204" s="203" t="s">
        <v>29</v>
      </c>
      <c r="R204" s="203" t="s">
        <v>29</v>
      </c>
      <c r="S204" s="203">
        <f t="shared" si="103"/>
        <v>8451.6666666666661</v>
      </c>
      <c r="T204" s="203">
        <f t="shared" si="103"/>
        <v>42</v>
      </c>
      <c r="U204" s="203">
        <f t="shared" si="103"/>
        <v>11.8</v>
      </c>
      <c r="V204" s="203">
        <f>V25</f>
        <v>1</v>
      </c>
      <c r="W204" s="203" t="str">
        <f>W25</f>
        <v>-</v>
      </c>
      <c r="X204" s="203">
        <f t="shared" si="103"/>
        <v>5127.3999999999996</v>
      </c>
    </row>
    <row r="205" spans="1:24" ht="11.25" customHeight="1" x14ac:dyDescent="0.25">
      <c r="A205" s="402" t="s">
        <v>238</v>
      </c>
      <c r="B205" s="203" t="str">
        <f>B30</f>
        <v>-</v>
      </c>
      <c r="C205" s="203">
        <f>AVERAGE(C30:C34)</f>
        <v>3.3333333333333335</v>
      </c>
      <c r="D205" s="203">
        <f>AVERAGE(D30:D34)</f>
        <v>61</v>
      </c>
      <c r="E205" s="203">
        <f>AVERAGE(E30:E34)</f>
        <v>266.2</v>
      </c>
      <c r="F205" s="203">
        <f>AVERAGE(F30:F34)</f>
        <v>3543.6</v>
      </c>
      <c r="G205" s="203">
        <f t="shared" ref="G205:L205" si="104">AVERAGE(G30:G34)</f>
        <v>13052.4</v>
      </c>
      <c r="H205" s="203">
        <f t="shared" si="104"/>
        <v>7832.2</v>
      </c>
      <c r="I205" s="203">
        <f t="shared" si="104"/>
        <v>4085</v>
      </c>
      <c r="J205" s="203">
        <f t="shared" si="104"/>
        <v>1338</v>
      </c>
      <c r="K205" s="203">
        <f t="shared" si="104"/>
        <v>31.2</v>
      </c>
      <c r="L205" s="203">
        <f t="shared" si="104"/>
        <v>33421</v>
      </c>
      <c r="M205" s="150"/>
      <c r="N205" s="203" t="str">
        <f>N30</f>
        <v>-</v>
      </c>
      <c r="O205" s="203" t="str">
        <f>O30</f>
        <v>-</v>
      </c>
      <c r="P205" s="203" t="str">
        <f>P30</f>
        <v>-</v>
      </c>
      <c r="Q205" s="203">
        <f t="shared" ref="Q205:V205" si="105">AVERAGE(Q30:Q34)</f>
        <v>8.3333333333333339</v>
      </c>
      <c r="R205" s="203">
        <f t="shared" si="105"/>
        <v>6460.6</v>
      </c>
      <c r="S205" s="203">
        <f t="shared" si="105"/>
        <v>28005.200000000001</v>
      </c>
      <c r="T205" s="203">
        <f t="shared" si="105"/>
        <v>7878</v>
      </c>
      <c r="U205" s="203">
        <f t="shared" si="105"/>
        <v>163.19999999999999</v>
      </c>
      <c r="V205" s="203">
        <f t="shared" si="105"/>
        <v>20.75</v>
      </c>
      <c r="W205" s="203" t="str">
        <f>W30</f>
        <v>-</v>
      </c>
      <c r="X205" s="203">
        <f>AVERAGE(X30:X34)</f>
        <v>42528.6</v>
      </c>
    </row>
    <row r="206" spans="1:24" ht="11.25" customHeight="1" x14ac:dyDescent="0.25">
      <c r="A206" s="402">
        <v>2006</v>
      </c>
      <c r="B206" s="203" t="str">
        <f>B35</f>
        <v>-</v>
      </c>
      <c r="C206" s="203">
        <f t="shared" ref="C206:L206" si="106">C35</f>
        <v>2</v>
      </c>
      <c r="D206" s="203">
        <f t="shared" si="106"/>
        <v>4</v>
      </c>
      <c r="E206" s="203">
        <f t="shared" si="106"/>
        <v>68</v>
      </c>
      <c r="F206" s="203">
        <f t="shared" si="106"/>
        <v>540</v>
      </c>
      <c r="G206" s="203">
        <f t="shared" si="106"/>
        <v>3755</v>
      </c>
      <c r="H206" s="203">
        <f t="shared" si="106"/>
        <v>982</v>
      </c>
      <c r="I206" s="203">
        <f t="shared" si="106"/>
        <v>1863</v>
      </c>
      <c r="J206" s="203">
        <f t="shared" si="106"/>
        <v>2024</v>
      </c>
      <c r="K206" s="203">
        <f t="shared" si="106"/>
        <v>49</v>
      </c>
      <c r="L206" s="203">
        <f t="shared" si="106"/>
        <v>9287</v>
      </c>
      <c r="M206" s="150"/>
      <c r="N206" s="203" t="str">
        <f t="shared" ref="N206:X206" si="107">N35</f>
        <v>-</v>
      </c>
      <c r="O206" s="203" t="str">
        <f t="shared" si="107"/>
        <v>-</v>
      </c>
      <c r="P206" s="203" t="str">
        <f t="shared" si="107"/>
        <v>-</v>
      </c>
      <c r="Q206" s="203" t="str">
        <f t="shared" si="107"/>
        <v>-</v>
      </c>
      <c r="R206" s="203">
        <f t="shared" si="107"/>
        <v>469</v>
      </c>
      <c r="S206" s="203">
        <f t="shared" si="107"/>
        <v>8346</v>
      </c>
      <c r="T206" s="203">
        <f t="shared" si="107"/>
        <v>36</v>
      </c>
      <c r="U206" s="203">
        <f t="shared" si="107"/>
        <v>634</v>
      </c>
      <c r="V206" s="203" t="str">
        <f t="shared" si="107"/>
        <v>-</v>
      </c>
      <c r="W206" s="203" t="str">
        <f t="shared" si="107"/>
        <v>-</v>
      </c>
      <c r="X206" s="203">
        <f t="shared" si="107"/>
        <v>9485</v>
      </c>
    </row>
    <row r="207" spans="1:24" ht="11.25" customHeight="1" x14ac:dyDescent="0.25">
      <c r="A207" s="402">
        <v>2007</v>
      </c>
      <c r="B207" s="203" t="str">
        <f>B36</f>
        <v>-</v>
      </c>
      <c r="C207" s="203">
        <f t="shared" ref="C207:L207" si="108">C36</f>
        <v>3</v>
      </c>
      <c r="D207" s="203">
        <f t="shared" si="108"/>
        <v>0</v>
      </c>
      <c r="E207" s="203">
        <f t="shared" si="108"/>
        <v>72</v>
      </c>
      <c r="F207" s="203">
        <f t="shared" si="108"/>
        <v>255</v>
      </c>
      <c r="G207" s="203">
        <f t="shared" si="108"/>
        <v>804</v>
      </c>
      <c r="H207" s="203">
        <f t="shared" si="108"/>
        <v>1076</v>
      </c>
      <c r="I207" s="203">
        <f t="shared" si="108"/>
        <v>597</v>
      </c>
      <c r="J207" s="203">
        <f t="shared" si="108"/>
        <v>474</v>
      </c>
      <c r="K207" s="203">
        <f t="shared" si="108"/>
        <v>16</v>
      </c>
      <c r="L207" s="203">
        <f t="shared" si="108"/>
        <v>3297</v>
      </c>
      <c r="M207" s="150"/>
      <c r="N207" s="203" t="str">
        <f t="shared" ref="N207:X207" si="109">N36</f>
        <v>-</v>
      </c>
      <c r="O207" s="203" t="str">
        <f t="shared" si="109"/>
        <v>-</v>
      </c>
      <c r="P207" s="203" t="str">
        <f t="shared" si="109"/>
        <v>-</v>
      </c>
      <c r="Q207" s="203">
        <f t="shared" si="109"/>
        <v>2</v>
      </c>
      <c r="R207" s="203">
        <f t="shared" si="109"/>
        <v>4734</v>
      </c>
      <c r="S207" s="203">
        <f t="shared" si="109"/>
        <v>19223</v>
      </c>
      <c r="T207" s="203">
        <f t="shared" si="109"/>
        <v>16417</v>
      </c>
      <c r="U207" s="203">
        <f t="shared" si="109"/>
        <v>311</v>
      </c>
      <c r="V207" s="203" t="str">
        <f t="shared" si="109"/>
        <v>-</v>
      </c>
      <c r="W207" s="203" t="str">
        <f t="shared" si="109"/>
        <v>-</v>
      </c>
      <c r="X207" s="203">
        <f t="shared" si="109"/>
        <v>40687</v>
      </c>
    </row>
    <row r="208" spans="1:24" ht="11.25" customHeight="1" x14ac:dyDescent="0.25">
      <c r="A208" s="402">
        <v>2008</v>
      </c>
      <c r="B208" s="203" t="str">
        <f>B37</f>
        <v>-</v>
      </c>
      <c r="C208" s="203" t="str">
        <f t="shared" ref="C208:L208" si="110">C37</f>
        <v>-</v>
      </c>
      <c r="D208" s="203" t="str">
        <f t="shared" si="110"/>
        <v>-</v>
      </c>
      <c r="E208" s="203" t="str">
        <f t="shared" si="110"/>
        <v>-</v>
      </c>
      <c r="F208" s="203">
        <f t="shared" si="110"/>
        <v>9</v>
      </c>
      <c r="G208" s="203">
        <f t="shared" si="110"/>
        <v>6</v>
      </c>
      <c r="H208" s="203">
        <f t="shared" si="110"/>
        <v>3</v>
      </c>
      <c r="I208" s="203">
        <f t="shared" si="110"/>
        <v>262</v>
      </c>
      <c r="J208" s="203">
        <f t="shared" si="110"/>
        <v>201</v>
      </c>
      <c r="K208" s="203" t="str">
        <f t="shared" si="110"/>
        <v>--</v>
      </c>
      <c r="L208" s="203">
        <f t="shared" si="110"/>
        <v>481</v>
      </c>
      <c r="M208" s="150"/>
      <c r="N208" s="203" t="str">
        <f t="shared" ref="N208:X208" si="111">N37</f>
        <v>-</v>
      </c>
      <c r="O208" s="203" t="str">
        <f t="shared" si="111"/>
        <v>-</v>
      </c>
      <c r="P208" s="203" t="str">
        <f t="shared" si="111"/>
        <v>-</v>
      </c>
      <c r="Q208" s="203" t="str">
        <f t="shared" si="111"/>
        <v>-</v>
      </c>
      <c r="R208" s="203">
        <f t="shared" si="111"/>
        <v>770</v>
      </c>
      <c r="S208" s="203">
        <f t="shared" si="111"/>
        <v>2811</v>
      </c>
      <c r="T208" s="203">
        <f t="shared" si="111"/>
        <v>4131</v>
      </c>
      <c r="U208" s="203">
        <f t="shared" si="111"/>
        <v>45</v>
      </c>
      <c r="V208" s="203">
        <f t="shared" si="111"/>
        <v>3</v>
      </c>
      <c r="W208" s="203" t="str">
        <f t="shared" si="111"/>
        <v>-</v>
      </c>
      <c r="X208" s="203">
        <f t="shared" si="111"/>
        <v>7760</v>
      </c>
    </row>
    <row r="209" spans="1:24" ht="11.25" customHeight="1" x14ac:dyDescent="0.25">
      <c r="A209" s="402">
        <v>2009</v>
      </c>
      <c r="B209" s="203" t="str">
        <f t="shared" ref="B209:L209" si="112">B38</f>
        <v>-</v>
      </c>
      <c r="C209" s="203" t="str">
        <f t="shared" si="112"/>
        <v>-</v>
      </c>
      <c r="D209" s="203" t="str">
        <f t="shared" si="112"/>
        <v>-</v>
      </c>
      <c r="E209" s="203" t="str">
        <f t="shared" si="112"/>
        <v>-</v>
      </c>
      <c r="F209" s="203">
        <f t="shared" si="112"/>
        <v>9</v>
      </c>
      <c r="G209" s="203">
        <f t="shared" si="112"/>
        <v>36</v>
      </c>
      <c r="H209" s="203">
        <f t="shared" si="112"/>
        <v>47</v>
      </c>
      <c r="I209" s="203">
        <f t="shared" si="112"/>
        <v>92</v>
      </c>
      <c r="J209" s="203">
        <f t="shared" si="112"/>
        <v>226</v>
      </c>
      <c r="K209" s="203" t="str">
        <f t="shared" si="112"/>
        <v>--</v>
      </c>
      <c r="L209" s="203">
        <f t="shared" si="112"/>
        <v>410</v>
      </c>
      <c r="M209" s="150"/>
      <c r="N209" s="203" t="str">
        <f t="shared" ref="N209:X209" si="113">N38</f>
        <v>-</v>
      </c>
      <c r="O209" s="203" t="str">
        <f t="shared" si="113"/>
        <v>-</v>
      </c>
      <c r="P209" s="203" t="str">
        <f t="shared" si="113"/>
        <v>-</v>
      </c>
      <c r="Q209" s="203" t="str">
        <f t="shared" si="113"/>
        <v>-</v>
      </c>
      <c r="R209" s="203">
        <f t="shared" si="113"/>
        <v>4859</v>
      </c>
      <c r="S209" s="203">
        <f t="shared" si="113"/>
        <v>38001</v>
      </c>
      <c r="T209" s="203">
        <f t="shared" si="113"/>
        <v>25325</v>
      </c>
      <c r="U209" s="203">
        <f t="shared" si="113"/>
        <v>799</v>
      </c>
      <c r="V209" s="203">
        <f t="shared" si="113"/>
        <v>6</v>
      </c>
      <c r="W209" s="203" t="str">
        <f t="shared" si="113"/>
        <v>-</v>
      </c>
      <c r="X209" s="203">
        <f t="shared" si="113"/>
        <v>68990</v>
      </c>
    </row>
    <row r="210" spans="1:24" ht="11.25" customHeight="1" x14ac:dyDescent="0.25">
      <c r="A210" s="402">
        <v>2010</v>
      </c>
      <c r="B210" s="203" t="str">
        <f t="shared" ref="B210:L210" si="114">B39</f>
        <v>-</v>
      </c>
      <c r="C210" s="203" t="str">
        <f t="shared" si="114"/>
        <v>-</v>
      </c>
      <c r="D210" s="203" t="str">
        <f t="shared" si="114"/>
        <v>-</v>
      </c>
      <c r="E210" s="203">
        <f t="shared" si="114"/>
        <v>75</v>
      </c>
      <c r="F210" s="203">
        <f t="shared" si="114"/>
        <v>207</v>
      </c>
      <c r="G210" s="203">
        <f t="shared" si="114"/>
        <v>380</v>
      </c>
      <c r="H210" s="203">
        <f t="shared" si="114"/>
        <v>1108</v>
      </c>
      <c r="I210" s="203">
        <f t="shared" si="114"/>
        <v>439</v>
      </c>
      <c r="J210" s="203">
        <f t="shared" si="114"/>
        <v>122</v>
      </c>
      <c r="K210" s="203" t="str">
        <f t="shared" si="114"/>
        <v>--</v>
      </c>
      <c r="L210" s="203">
        <f t="shared" si="114"/>
        <v>2331</v>
      </c>
      <c r="M210" s="150"/>
      <c r="N210" s="203" t="str">
        <f t="shared" ref="N210:X210" si="115">N39</f>
        <v>-</v>
      </c>
      <c r="O210" s="203" t="str">
        <f t="shared" si="115"/>
        <v>-</v>
      </c>
      <c r="P210" s="203" t="str">
        <f t="shared" si="115"/>
        <v>-</v>
      </c>
      <c r="Q210" s="203" t="str">
        <f t="shared" si="115"/>
        <v>-</v>
      </c>
      <c r="R210" s="203">
        <f t="shared" si="115"/>
        <v>368</v>
      </c>
      <c r="S210" s="203">
        <f t="shared" si="115"/>
        <v>2181</v>
      </c>
      <c r="T210" s="203">
        <f t="shared" si="115"/>
        <v>8336</v>
      </c>
      <c r="U210" s="203">
        <f t="shared" si="115"/>
        <v>1242</v>
      </c>
      <c r="V210" s="203" t="str">
        <f t="shared" si="115"/>
        <v>-</v>
      </c>
      <c r="W210" s="203" t="str">
        <f t="shared" si="115"/>
        <v>-</v>
      </c>
      <c r="X210" s="203">
        <f t="shared" si="115"/>
        <v>12127</v>
      </c>
    </row>
    <row r="211" spans="1:24" ht="11.25" customHeight="1" x14ac:dyDescent="0.25">
      <c r="A211" s="402">
        <v>2011</v>
      </c>
      <c r="B211" s="203" t="str">
        <f t="shared" ref="B211:L211" si="116">B40</f>
        <v>-</v>
      </c>
      <c r="C211" s="203">
        <f t="shared" si="116"/>
        <v>0</v>
      </c>
      <c r="D211" s="203">
        <f t="shared" si="116"/>
        <v>7</v>
      </c>
      <c r="E211" s="203">
        <f t="shared" si="116"/>
        <v>56</v>
      </c>
      <c r="F211" s="203">
        <f t="shared" si="116"/>
        <v>161</v>
      </c>
      <c r="G211" s="203">
        <f t="shared" si="116"/>
        <v>493</v>
      </c>
      <c r="H211" s="203">
        <f t="shared" si="116"/>
        <v>623</v>
      </c>
      <c r="I211" s="203">
        <f t="shared" si="116"/>
        <v>1056</v>
      </c>
      <c r="J211" s="203">
        <f t="shared" si="116"/>
        <v>207</v>
      </c>
      <c r="K211" s="203">
        <f t="shared" si="116"/>
        <v>6</v>
      </c>
      <c r="L211" s="203">
        <f t="shared" si="116"/>
        <v>2609</v>
      </c>
      <c r="M211" s="150"/>
      <c r="N211" s="203" t="str">
        <f t="shared" ref="N211:X211" si="117">N40</f>
        <v>-</v>
      </c>
      <c r="O211" s="203" t="str">
        <f t="shared" si="117"/>
        <v>-</v>
      </c>
      <c r="P211" s="203" t="str">
        <f t="shared" si="117"/>
        <v>-</v>
      </c>
      <c r="Q211" s="203" t="str">
        <f t="shared" si="117"/>
        <v>-</v>
      </c>
      <c r="R211" s="203">
        <f t="shared" si="117"/>
        <v>556</v>
      </c>
      <c r="S211" s="203">
        <f t="shared" si="117"/>
        <v>3568</v>
      </c>
      <c r="T211" s="203">
        <f t="shared" si="117"/>
        <v>2011</v>
      </c>
      <c r="U211" s="203">
        <f t="shared" si="117"/>
        <v>6623</v>
      </c>
      <c r="V211" s="203" t="str">
        <f t="shared" si="117"/>
        <v>-</v>
      </c>
      <c r="W211" s="203" t="str">
        <f t="shared" si="117"/>
        <v>-</v>
      </c>
      <c r="X211" s="203">
        <f t="shared" si="117"/>
        <v>12758</v>
      </c>
    </row>
    <row r="212" spans="1:24" ht="11.25" customHeight="1" x14ac:dyDescent="0.25">
      <c r="A212" s="402">
        <v>2012</v>
      </c>
      <c r="B212" s="203" t="str">
        <f t="shared" ref="B212:L212" si="118">B41</f>
        <v>-</v>
      </c>
      <c r="C212" s="203">
        <f t="shared" si="118"/>
        <v>21</v>
      </c>
      <c r="D212" s="203">
        <f t="shared" si="118"/>
        <v>108</v>
      </c>
      <c r="E212" s="203">
        <f t="shared" si="118"/>
        <v>530</v>
      </c>
      <c r="F212" s="203">
        <f t="shared" si="118"/>
        <v>687</v>
      </c>
      <c r="G212" s="203">
        <f t="shared" si="118"/>
        <v>858</v>
      </c>
      <c r="H212" s="203">
        <f t="shared" si="118"/>
        <v>2258</v>
      </c>
      <c r="I212" s="203">
        <f t="shared" si="118"/>
        <v>2791</v>
      </c>
      <c r="J212" s="203">
        <f t="shared" si="118"/>
        <v>506</v>
      </c>
      <c r="K212" s="203">
        <f t="shared" si="118"/>
        <v>8</v>
      </c>
      <c r="L212" s="203">
        <f t="shared" si="118"/>
        <v>7767</v>
      </c>
      <c r="M212" s="150"/>
      <c r="N212" s="203" t="str">
        <f t="shared" ref="N212:X212" si="119">N41</f>
        <v>-</v>
      </c>
      <c r="O212" s="203" t="str">
        <f t="shared" si="119"/>
        <v>-</v>
      </c>
      <c r="P212" s="203" t="str">
        <f t="shared" si="119"/>
        <v>-</v>
      </c>
      <c r="Q212" s="203" t="str">
        <f t="shared" si="119"/>
        <v>-</v>
      </c>
      <c r="R212" s="203">
        <f t="shared" si="119"/>
        <v>55</v>
      </c>
      <c r="S212" s="203">
        <f t="shared" si="119"/>
        <v>2251</v>
      </c>
      <c r="T212" s="203">
        <f t="shared" si="119"/>
        <v>4927</v>
      </c>
      <c r="U212" s="203">
        <f t="shared" si="119"/>
        <v>6965</v>
      </c>
      <c r="V212" s="203" t="str">
        <f t="shared" si="119"/>
        <v>-</v>
      </c>
      <c r="W212" s="203" t="str">
        <f t="shared" si="119"/>
        <v>-</v>
      </c>
      <c r="X212" s="203">
        <f t="shared" si="119"/>
        <v>14198</v>
      </c>
    </row>
    <row r="213" spans="1:24" ht="11.25" customHeight="1" x14ac:dyDescent="0.25">
      <c r="A213" s="402">
        <v>2013</v>
      </c>
      <c r="B213" s="203" t="str">
        <f t="shared" ref="B213:L213" si="120">B42</f>
        <v>-</v>
      </c>
      <c r="C213" s="203">
        <f t="shared" si="120"/>
        <v>257</v>
      </c>
      <c r="D213" s="203">
        <f t="shared" si="120"/>
        <v>196</v>
      </c>
      <c r="E213" s="203">
        <f t="shared" si="120"/>
        <v>191</v>
      </c>
      <c r="F213" s="203">
        <f t="shared" si="120"/>
        <v>1397</v>
      </c>
      <c r="G213" s="203">
        <f t="shared" si="120"/>
        <v>1477</v>
      </c>
      <c r="H213" s="203">
        <f t="shared" si="120"/>
        <v>11886</v>
      </c>
      <c r="I213" s="203">
        <f t="shared" si="120"/>
        <v>1671</v>
      </c>
      <c r="J213" s="203">
        <f t="shared" si="120"/>
        <v>792</v>
      </c>
      <c r="K213" s="203" t="str">
        <f t="shared" si="120"/>
        <v>--</v>
      </c>
      <c r="L213" s="203">
        <f t="shared" si="120"/>
        <v>17867</v>
      </c>
      <c r="M213" s="150"/>
      <c r="N213" s="203" t="str">
        <f t="shared" ref="N213:X213" si="121">N42</f>
        <v>-</v>
      </c>
      <c r="O213" s="203" t="str">
        <f t="shared" si="121"/>
        <v>-</v>
      </c>
      <c r="P213" s="203" t="str">
        <f t="shared" si="121"/>
        <v>-</v>
      </c>
      <c r="Q213" s="203" t="str">
        <f t="shared" si="121"/>
        <v>-</v>
      </c>
      <c r="R213" s="203">
        <f t="shared" si="121"/>
        <v>9</v>
      </c>
      <c r="S213" s="203">
        <f t="shared" si="121"/>
        <v>4748</v>
      </c>
      <c r="T213" s="203">
        <f t="shared" si="121"/>
        <v>2650</v>
      </c>
      <c r="U213" s="203">
        <f t="shared" si="121"/>
        <v>2658</v>
      </c>
      <c r="V213" s="203">
        <f t="shared" si="121"/>
        <v>19</v>
      </c>
      <c r="W213" s="203" t="str">
        <f t="shared" si="121"/>
        <v>-</v>
      </c>
      <c r="X213" s="203">
        <f t="shared" si="121"/>
        <v>10084</v>
      </c>
    </row>
    <row r="214" spans="1:24" ht="11.25" customHeight="1" x14ac:dyDescent="0.25">
      <c r="A214" s="402">
        <v>2014</v>
      </c>
      <c r="B214" s="203" t="str">
        <f t="shared" ref="B214:L214" si="122">B43</f>
        <v>-</v>
      </c>
      <c r="C214" s="203">
        <f t="shared" si="122"/>
        <v>10</v>
      </c>
      <c r="D214" s="203">
        <f t="shared" si="122"/>
        <v>32</v>
      </c>
      <c r="E214" s="203">
        <f t="shared" si="122"/>
        <v>266</v>
      </c>
      <c r="F214" s="203">
        <f t="shared" si="122"/>
        <v>826</v>
      </c>
      <c r="G214" s="203">
        <f t="shared" si="122"/>
        <v>2973</v>
      </c>
      <c r="H214" s="203">
        <f t="shared" si="122"/>
        <v>3241</v>
      </c>
      <c r="I214" s="203">
        <f t="shared" si="122"/>
        <v>1870</v>
      </c>
      <c r="J214" s="203">
        <f t="shared" si="122"/>
        <v>137</v>
      </c>
      <c r="K214" s="203" t="str">
        <f t="shared" si="122"/>
        <v>--</v>
      </c>
      <c r="L214" s="203">
        <f t="shared" si="122"/>
        <v>9355</v>
      </c>
      <c r="M214" s="150"/>
      <c r="N214" s="203" t="str">
        <f t="shared" ref="N214:X214" si="123">N43</f>
        <v>-</v>
      </c>
      <c r="O214" s="203" t="str">
        <f t="shared" si="123"/>
        <v>-</v>
      </c>
      <c r="P214" s="203" t="str">
        <f t="shared" si="123"/>
        <v>-</v>
      </c>
      <c r="Q214" s="203">
        <f t="shared" si="123"/>
        <v>1</v>
      </c>
      <c r="R214" s="203">
        <f t="shared" si="123"/>
        <v>3530</v>
      </c>
      <c r="S214" s="203">
        <f t="shared" si="123"/>
        <v>32851</v>
      </c>
      <c r="T214" s="203">
        <f t="shared" si="123"/>
        <v>19275</v>
      </c>
      <c r="U214" s="203">
        <f t="shared" si="123"/>
        <v>26494</v>
      </c>
      <c r="V214" s="203">
        <f t="shared" si="123"/>
        <v>49</v>
      </c>
      <c r="W214" s="203" t="str">
        <f t="shared" si="123"/>
        <v>-</v>
      </c>
      <c r="X214" s="203">
        <f t="shared" si="123"/>
        <v>82200</v>
      </c>
    </row>
    <row r="215" spans="1:24" ht="11.25" customHeight="1" x14ac:dyDescent="0.25">
      <c r="A215" s="402">
        <v>2015</v>
      </c>
      <c r="B215" s="203" t="str">
        <f t="shared" ref="B215:L215" si="124">B44</f>
        <v>-</v>
      </c>
      <c r="C215" s="203">
        <f t="shared" si="124"/>
        <v>30</v>
      </c>
      <c r="D215" s="203">
        <f t="shared" si="124"/>
        <v>8</v>
      </c>
      <c r="E215" s="203">
        <f t="shared" si="124"/>
        <v>151</v>
      </c>
      <c r="F215" s="203">
        <f t="shared" si="124"/>
        <v>267</v>
      </c>
      <c r="G215" s="203">
        <f t="shared" si="124"/>
        <v>401</v>
      </c>
      <c r="H215" s="203">
        <f t="shared" si="124"/>
        <v>376</v>
      </c>
      <c r="I215" s="203">
        <f t="shared" si="124"/>
        <v>2814</v>
      </c>
      <c r="J215" s="203">
        <f t="shared" si="124"/>
        <v>1454</v>
      </c>
      <c r="K215" s="203" t="str">
        <f t="shared" si="124"/>
        <v>--</v>
      </c>
      <c r="L215" s="203">
        <f t="shared" si="124"/>
        <v>5501</v>
      </c>
      <c r="M215" s="150"/>
      <c r="N215" s="203" t="str">
        <f t="shared" ref="N215:X215" si="125">N44</f>
        <v>-</v>
      </c>
      <c r="O215" s="203" t="str">
        <f t="shared" si="125"/>
        <v>-</v>
      </c>
      <c r="P215" s="203" t="str">
        <f t="shared" si="125"/>
        <v>-</v>
      </c>
      <c r="Q215" s="203" t="str">
        <f t="shared" si="125"/>
        <v>-</v>
      </c>
      <c r="R215" s="203">
        <f t="shared" si="125"/>
        <v>458</v>
      </c>
      <c r="S215" s="203">
        <f t="shared" si="125"/>
        <v>11841</v>
      </c>
      <c r="T215" s="203">
        <f t="shared" si="125"/>
        <v>2557</v>
      </c>
      <c r="U215" s="203">
        <f t="shared" si="125"/>
        <v>4426</v>
      </c>
      <c r="V215" s="203">
        <f t="shared" si="125"/>
        <v>22</v>
      </c>
      <c r="W215" s="203" t="str">
        <f t="shared" si="125"/>
        <v>-</v>
      </c>
      <c r="X215" s="203">
        <f t="shared" si="125"/>
        <v>19304</v>
      </c>
    </row>
    <row r="216" spans="1:24" ht="11.25" customHeight="1" x14ac:dyDescent="0.25">
      <c r="A216" s="402">
        <v>2016</v>
      </c>
      <c r="B216" s="203" t="str">
        <f t="shared" ref="B216:L216" si="126">B45</f>
        <v>-</v>
      </c>
      <c r="C216" s="203">
        <f t="shared" si="126"/>
        <v>32</v>
      </c>
      <c r="D216" s="203">
        <f t="shared" si="126"/>
        <v>9</v>
      </c>
      <c r="E216" s="203">
        <f t="shared" si="126"/>
        <v>128</v>
      </c>
      <c r="F216" s="203">
        <f t="shared" si="126"/>
        <v>237</v>
      </c>
      <c r="G216" s="203">
        <f t="shared" si="126"/>
        <v>238</v>
      </c>
      <c r="H216" s="203">
        <f t="shared" si="126"/>
        <v>692</v>
      </c>
      <c r="I216" s="203">
        <f t="shared" si="126"/>
        <v>1140</v>
      </c>
      <c r="J216" s="203">
        <f t="shared" si="126"/>
        <v>76</v>
      </c>
      <c r="K216" s="203" t="str">
        <f t="shared" si="126"/>
        <v>--</v>
      </c>
      <c r="L216" s="203">
        <f t="shared" si="126"/>
        <v>2552</v>
      </c>
      <c r="M216" s="150"/>
      <c r="N216" s="203" t="str">
        <f t="shared" ref="N216:X216" si="127">N45</f>
        <v>-</v>
      </c>
      <c r="O216" s="203" t="str">
        <f t="shared" si="127"/>
        <v>-</v>
      </c>
      <c r="P216" s="203" t="str">
        <f t="shared" si="127"/>
        <v>-</v>
      </c>
      <c r="Q216" s="203" t="str">
        <f t="shared" si="127"/>
        <v>-</v>
      </c>
      <c r="R216" s="203">
        <f t="shared" si="127"/>
        <v>245</v>
      </c>
      <c r="S216" s="203">
        <f t="shared" si="127"/>
        <v>1180</v>
      </c>
      <c r="T216" s="203">
        <f t="shared" si="127"/>
        <v>79</v>
      </c>
      <c r="U216" s="203">
        <f t="shared" si="127"/>
        <v>4178</v>
      </c>
      <c r="V216" s="203">
        <f t="shared" si="127"/>
        <v>22</v>
      </c>
      <c r="W216" s="203" t="str">
        <f t="shared" si="127"/>
        <v>-</v>
      </c>
      <c r="X216" s="203">
        <f t="shared" si="127"/>
        <v>5704</v>
      </c>
    </row>
    <row r="217" spans="1:24" ht="11.25" customHeight="1" x14ac:dyDescent="0.25">
      <c r="A217" s="402">
        <v>2017</v>
      </c>
      <c r="B217" s="203" t="str">
        <f t="shared" ref="B217:L217" si="128">B46</f>
        <v>-</v>
      </c>
      <c r="C217" s="203">
        <f t="shared" si="128"/>
        <v>0</v>
      </c>
      <c r="D217" s="203">
        <f t="shared" si="128"/>
        <v>6</v>
      </c>
      <c r="E217" s="203">
        <f t="shared" si="128"/>
        <v>89</v>
      </c>
      <c r="F217" s="203">
        <f t="shared" si="128"/>
        <v>139</v>
      </c>
      <c r="G217" s="203">
        <f t="shared" si="128"/>
        <v>508</v>
      </c>
      <c r="H217" s="203">
        <f t="shared" si="128"/>
        <v>807</v>
      </c>
      <c r="I217" s="203">
        <f t="shared" si="128"/>
        <v>592</v>
      </c>
      <c r="J217" s="203">
        <f t="shared" si="128"/>
        <v>39</v>
      </c>
      <c r="K217" s="203" t="str">
        <f t="shared" si="128"/>
        <v>--</v>
      </c>
      <c r="L217" s="203">
        <f t="shared" si="128"/>
        <v>2180</v>
      </c>
      <c r="M217" s="150"/>
      <c r="N217" s="203" t="str">
        <f t="shared" ref="N217:X217" si="129">N46</f>
        <v>-</v>
      </c>
      <c r="O217" s="203" t="str">
        <f t="shared" si="129"/>
        <v>-</v>
      </c>
      <c r="P217" s="203" t="str">
        <f t="shared" si="129"/>
        <v>-</v>
      </c>
      <c r="Q217" s="203" t="str">
        <f t="shared" si="129"/>
        <v>-</v>
      </c>
      <c r="R217" s="203">
        <f t="shared" si="129"/>
        <v>363</v>
      </c>
      <c r="S217" s="203">
        <f t="shared" si="129"/>
        <v>5772</v>
      </c>
      <c r="T217" s="203">
        <f t="shared" si="129"/>
        <v>3940</v>
      </c>
      <c r="U217" s="203">
        <f t="shared" si="129"/>
        <v>4590</v>
      </c>
      <c r="V217" s="203" t="str">
        <f t="shared" si="129"/>
        <v>-</v>
      </c>
      <c r="W217" s="203" t="str">
        <f t="shared" si="129"/>
        <v>-</v>
      </c>
      <c r="X217" s="203">
        <f t="shared" si="129"/>
        <v>14665</v>
      </c>
    </row>
    <row r="218" spans="1:24" s="358" customFormat="1" ht="11.25" customHeight="1" x14ac:dyDescent="0.25">
      <c r="A218" s="402">
        <v>2018</v>
      </c>
      <c r="B218" s="203" t="str">
        <f t="shared" ref="B218:L218" si="130">B47</f>
        <v>-</v>
      </c>
      <c r="C218" s="203">
        <f t="shared" si="130"/>
        <v>0</v>
      </c>
      <c r="D218" s="203">
        <f t="shared" si="130"/>
        <v>4</v>
      </c>
      <c r="E218" s="203">
        <f t="shared" si="130"/>
        <v>48</v>
      </c>
      <c r="F218" s="203">
        <f t="shared" si="130"/>
        <v>139</v>
      </c>
      <c r="G218" s="203">
        <f t="shared" si="130"/>
        <v>655</v>
      </c>
      <c r="H218" s="203">
        <f t="shared" si="130"/>
        <v>1167</v>
      </c>
      <c r="I218" s="203">
        <f t="shared" si="130"/>
        <v>621</v>
      </c>
      <c r="J218" s="203">
        <f t="shared" si="130"/>
        <v>74</v>
      </c>
      <c r="K218" s="203" t="str">
        <f t="shared" si="130"/>
        <v>--</v>
      </c>
      <c r="L218" s="203">
        <f t="shared" si="130"/>
        <v>2708</v>
      </c>
      <c r="M218" s="150"/>
      <c r="N218" s="203" t="str">
        <f t="shared" ref="N218:X218" si="131">N47</f>
        <v>-</v>
      </c>
      <c r="O218" s="203" t="str">
        <f t="shared" si="131"/>
        <v>-</v>
      </c>
      <c r="P218" s="203" t="str">
        <f t="shared" si="131"/>
        <v>-</v>
      </c>
      <c r="Q218" s="203" t="str">
        <f t="shared" si="131"/>
        <v>-</v>
      </c>
      <c r="R218" s="203">
        <f t="shared" si="131"/>
        <v>31</v>
      </c>
      <c r="S218" s="203">
        <f t="shared" si="131"/>
        <v>2978</v>
      </c>
      <c r="T218" s="203">
        <f t="shared" si="131"/>
        <v>8581</v>
      </c>
      <c r="U218" s="203">
        <f t="shared" si="131"/>
        <v>6936</v>
      </c>
      <c r="V218" s="203" t="str">
        <f t="shared" si="131"/>
        <v>-</v>
      </c>
      <c r="W218" s="203" t="str">
        <f t="shared" si="131"/>
        <v>-</v>
      </c>
      <c r="X218" s="203">
        <f t="shared" si="131"/>
        <v>18526</v>
      </c>
    </row>
    <row r="219" spans="1:24" s="358" customFormat="1" ht="11.25" customHeight="1" x14ac:dyDescent="0.25">
      <c r="A219" s="491">
        <v>2019</v>
      </c>
      <c r="B219" s="203" t="str">
        <f>B48</f>
        <v>-</v>
      </c>
      <c r="C219" s="203">
        <f t="shared" ref="C219:L220" si="132">C48</f>
        <v>10</v>
      </c>
      <c r="D219" s="203">
        <f t="shared" si="132"/>
        <v>3</v>
      </c>
      <c r="E219" s="203">
        <f t="shared" si="132"/>
        <v>103</v>
      </c>
      <c r="F219" s="203">
        <f t="shared" si="132"/>
        <v>530</v>
      </c>
      <c r="G219" s="203">
        <f t="shared" si="132"/>
        <v>2430</v>
      </c>
      <c r="H219" s="203">
        <f t="shared" si="132"/>
        <v>725</v>
      </c>
      <c r="I219" s="203">
        <f t="shared" si="132"/>
        <v>682</v>
      </c>
      <c r="J219" s="203">
        <f t="shared" si="132"/>
        <v>256</v>
      </c>
      <c r="K219" s="203" t="str">
        <f t="shared" si="132"/>
        <v>-</v>
      </c>
      <c r="L219" s="203">
        <f t="shared" si="132"/>
        <v>4739</v>
      </c>
      <c r="M219" s="150"/>
      <c r="N219" s="203" t="str">
        <f t="shared" ref="N219:X220" si="133">N48</f>
        <v>-</v>
      </c>
      <c r="O219" s="203" t="str">
        <f t="shared" si="133"/>
        <v>-</v>
      </c>
      <c r="P219" s="203" t="str">
        <f t="shared" si="133"/>
        <v>-</v>
      </c>
      <c r="Q219" s="203" t="str">
        <f t="shared" si="133"/>
        <v>-</v>
      </c>
      <c r="R219" s="203">
        <f t="shared" si="133"/>
        <v>3805</v>
      </c>
      <c r="S219" s="203">
        <f t="shared" si="133"/>
        <v>27301</v>
      </c>
      <c r="T219" s="203">
        <f t="shared" si="133"/>
        <v>12366</v>
      </c>
      <c r="U219" s="203">
        <f t="shared" si="133"/>
        <v>5070</v>
      </c>
      <c r="V219" s="203">
        <f t="shared" si="133"/>
        <v>5</v>
      </c>
      <c r="W219" s="203" t="str">
        <f t="shared" si="133"/>
        <v>-</v>
      </c>
      <c r="X219" s="203">
        <f t="shared" si="133"/>
        <v>48547</v>
      </c>
    </row>
    <row r="220" spans="1:24" ht="11.25" customHeight="1" x14ac:dyDescent="0.25">
      <c r="A220" s="491" t="s">
        <v>393</v>
      </c>
      <c r="B220" s="203" t="str">
        <f>B49</f>
        <v>-</v>
      </c>
      <c r="C220" s="203">
        <f t="shared" si="132"/>
        <v>0</v>
      </c>
      <c r="D220" s="203">
        <f t="shared" si="132"/>
        <v>4</v>
      </c>
      <c r="E220" s="203">
        <f t="shared" si="132"/>
        <v>38</v>
      </c>
      <c r="F220" s="203">
        <f t="shared" si="132"/>
        <v>89</v>
      </c>
      <c r="G220" s="203">
        <f t="shared" si="132"/>
        <v>2825</v>
      </c>
      <c r="H220" s="203">
        <f t="shared" si="132"/>
        <v>846</v>
      </c>
      <c r="I220" s="203">
        <f t="shared" si="132"/>
        <v>1338</v>
      </c>
      <c r="J220" s="203">
        <f t="shared" si="132"/>
        <v>219</v>
      </c>
      <c r="K220" s="203" t="str">
        <f t="shared" si="132"/>
        <v>-</v>
      </c>
      <c r="L220" s="203">
        <f t="shared" si="132"/>
        <v>5359</v>
      </c>
      <c r="M220" s="150"/>
      <c r="N220" s="203" t="str">
        <f t="shared" si="133"/>
        <v>-</v>
      </c>
      <c r="O220" s="203" t="str">
        <f t="shared" si="133"/>
        <v>-</v>
      </c>
      <c r="P220" s="203" t="str">
        <f t="shared" si="133"/>
        <v>-</v>
      </c>
      <c r="Q220" s="203" t="str">
        <f t="shared" si="133"/>
        <v>-</v>
      </c>
      <c r="R220" s="203">
        <f t="shared" si="133"/>
        <v>0</v>
      </c>
      <c r="S220" s="203">
        <f t="shared" si="133"/>
        <v>7727</v>
      </c>
      <c r="T220" s="203">
        <f t="shared" si="133"/>
        <v>5115</v>
      </c>
      <c r="U220" s="203">
        <f t="shared" si="133"/>
        <v>4245</v>
      </c>
      <c r="V220" s="203" t="str">
        <f t="shared" si="133"/>
        <v>-</v>
      </c>
      <c r="W220" s="203" t="str">
        <f t="shared" si="133"/>
        <v>-</v>
      </c>
      <c r="X220" s="203">
        <f t="shared" si="133"/>
        <v>17087</v>
      </c>
    </row>
    <row r="221" spans="1:24" ht="11.25" customHeight="1" x14ac:dyDescent="0.25">
      <c r="A221" s="402"/>
      <c r="B221" s="203"/>
      <c r="C221" s="203"/>
      <c r="D221" s="203"/>
      <c r="E221" s="203"/>
      <c r="F221" s="203"/>
      <c r="G221" s="203"/>
      <c r="H221" s="203"/>
      <c r="I221" s="203"/>
      <c r="J221" s="203"/>
      <c r="K221" s="203"/>
      <c r="L221" s="203"/>
      <c r="M221" s="150"/>
      <c r="N221" s="203"/>
      <c r="O221" s="203"/>
      <c r="P221" s="203"/>
      <c r="Q221" s="203"/>
      <c r="R221" s="203"/>
      <c r="S221" s="203"/>
      <c r="T221" s="203"/>
      <c r="U221" s="203"/>
      <c r="V221" s="203"/>
      <c r="W221" s="203"/>
      <c r="X221" s="203"/>
    </row>
    <row r="222" spans="1:24" ht="15.75" customHeight="1" x14ac:dyDescent="0.25">
      <c r="A222" s="116" t="s">
        <v>304</v>
      </c>
      <c r="B222" s="458"/>
      <c r="C222" s="458"/>
      <c r="D222" s="458"/>
      <c r="E222" s="203"/>
      <c r="F222" s="203"/>
      <c r="G222" s="203"/>
      <c r="H222" s="203"/>
      <c r="I222" s="203"/>
      <c r="J222" s="203"/>
      <c r="K222" s="203"/>
      <c r="L222" s="203"/>
      <c r="M222" s="150"/>
      <c r="N222" s="203"/>
      <c r="O222" s="203"/>
      <c r="P222" s="203"/>
      <c r="Q222" s="203"/>
      <c r="R222" s="203"/>
      <c r="S222" s="203"/>
      <c r="T222" s="203"/>
      <c r="U222" s="203"/>
      <c r="V222" s="203"/>
      <c r="W222" s="203"/>
      <c r="X222" s="203"/>
    </row>
    <row r="223" spans="1:24" ht="11.25" customHeight="1" x14ac:dyDescent="0.25">
      <c r="A223" s="402" t="s">
        <v>30</v>
      </c>
      <c r="B223" s="203" t="str">
        <f>B65</f>
        <v>-</v>
      </c>
      <c r="C223" s="203">
        <f t="shared" ref="C223:L223" si="134">AVERAGE(C57:C61)</f>
        <v>0</v>
      </c>
      <c r="D223" s="203">
        <f t="shared" si="134"/>
        <v>1</v>
      </c>
      <c r="E223" s="203">
        <f t="shared" si="134"/>
        <v>2463.4</v>
      </c>
      <c r="F223" s="203">
        <f t="shared" si="134"/>
        <v>4948.6000000000004</v>
      </c>
      <c r="G223" s="203">
        <f t="shared" si="134"/>
        <v>17195.8</v>
      </c>
      <c r="H223" s="203">
        <f t="shared" si="134"/>
        <v>7185.4</v>
      </c>
      <c r="I223" s="203">
        <f t="shared" si="134"/>
        <v>703.2</v>
      </c>
      <c r="J223" s="203">
        <f t="shared" si="134"/>
        <v>515</v>
      </c>
      <c r="K223" s="203">
        <f t="shared" si="134"/>
        <v>8.6</v>
      </c>
      <c r="L223" s="203">
        <f t="shared" si="134"/>
        <v>33021</v>
      </c>
      <c r="M223" s="150"/>
      <c r="N223" s="101" t="s">
        <v>116</v>
      </c>
      <c r="O223" s="101" t="s">
        <v>116</v>
      </c>
      <c r="P223" s="203">
        <f t="shared" ref="P223:X223" si="135">AVERAGE(P57:P61)</f>
        <v>0</v>
      </c>
      <c r="Q223" s="203">
        <f t="shared" si="135"/>
        <v>377.8</v>
      </c>
      <c r="R223" s="203">
        <f t="shared" si="135"/>
        <v>5667.6</v>
      </c>
      <c r="S223" s="203">
        <f t="shared" si="135"/>
        <v>17699.599999999999</v>
      </c>
      <c r="T223" s="203">
        <f t="shared" si="135"/>
        <v>5744</v>
      </c>
      <c r="U223" s="203">
        <f t="shared" si="135"/>
        <v>354</v>
      </c>
      <c r="V223" s="203">
        <f t="shared" si="135"/>
        <v>0.8</v>
      </c>
      <c r="W223" s="203">
        <f t="shared" si="135"/>
        <v>0</v>
      </c>
      <c r="X223" s="203">
        <f t="shared" si="135"/>
        <v>29843.8</v>
      </c>
    </row>
    <row r="224" spans="1:24" ht="11.25" customHeight="1" x14ac:dyDescent="0.25">
      <c r="A224" s="402" t="s">
        <v>87</v>
      </c>
      <c r="B224" s="203" t="str">
        <f>B66</f>
        <v>-</v>
      </c>
      <c r="C224" s="203">
        <f t="shared" ref="C224:L224" si="136">AVERAGE(C62:C66)</f>
        <v>0</v>
      </c>
      <c r="D224" s="203" t="str">
        <f>D66</f>
        <v>-</v>
      </c>
      <c r="E224" s="203">
        <f t="shared" si="136"/>
        <v>1781.6</v>
      </c>
      <c r="F224" s="203">
        <f t="shared" si="136"/>
        <v>14924.2</v>
      </c>
      <c r="G224" s="203">
        <f t="shared" si="136"/>
        <v>21556.799999999999</v>
      </c>
      <c r="H224" s="203">
        <f t="shared" si="136"/>
        <v>8664.2000000000007</v>
      </c>
      <c r="I224" s="203">
        <f t="shared" si="136"/>
        <v>1935.4</v>
      </c>
      <c r="J224" s="203">
        <f t="shared" si="136"/>
        <v>581.33333333333337</v>
      </c>
      <c r="K224" s="203" t="str">
        <f>K66</f>
        <v>-</v>
      </c>
      <c r="L224" s="203">
        <f t="shared" si="136"/>
        <v>49211</v>
      </c>
      <c r="M224" s="150"/>
      <c r="N224" s="101" t="s">
        <v>116</v>
      </c>
      <c r="O224" s="101" t="s">
        <v>116</v>
      </c>
      <c r="P224" s="203" t="s">
        <v>29</v>
      </c>
      <c r="Q224" s="203">
        <f t="shared" ref="Q224:X224" si="137">AVERAGE(Q62:Q66)</f>
        <v>1081.2</v>
      </c>
      <c r="R224" s="203">
        <f t="shared" si="137"/>
        <v>12457.8</v>
      </c>
      <c r="S224" s="203">
        <f t="shared" si="137"/>
        <v>32288.6</v>
      </c>
      <c r="T224" s="203">
        <f t="shared" si="137"/>
        <v>7650.4</v>
      </c>
      <c r="U224" s="203">
        <f t="shared" si="137"/>
        <v>876.8</v>
      </c>
      <c r="V224" s="203">
        <f t="shared" si="137"/>
        <v>10.333333333333334</v>
      </c>
      <c r="W224" s="203" t="s">
        <v>29</v>
      </c>
      <c r="X224" s="203">
        <f t="shared" si="137"/>
        <v>54361</v>
      </c>
    </row>
    <row r="225" spans="1:24" ht="11.25" customHeight="1" x14ac:dyDescent="0.25">
      <c r="A225" s="402" t="s">
        <v>14</v>
      </c>
      <c r="B225" s="203" t="str">
        <f>B67</f>
        <v>-</v>
      </c>
      <c r="C225" s="203" t="str">
        <f>C67</f>
        <v>-</v>
      </c>
      <c r="D225" s="203" t="str">
        <f>D67</f>
        <v>-</v>
      </c>
      <c r="E225" s="203">
        <f>AVERAGE(E67:E71)</f>
        <v>2751.5</v>
      </c>
      <c r="F225" s="203">
        <f t="shared" ref="F225:X225" si="138">AVERAGE(F67:F71)</f>
        <v>6004.5</v>
      </c>
      <c r="G225" s="203">
        <f t="shared" si="138"/>
        <v>4480.333333333333</v>
      </c>
      <c r="H225" s="203">
        <f t="shared" si="138"/>
        <v>1559</v>
      </c>
      <c r="I225" s="203">
        <f t="shared" si="138"/>
        <v>1849.2</v>
      </c>
      <c r="J225" s="203">
        <f t="shared" si="138"/>
        <v>653</v>
      </c>
      <c r="K225" s="203" t="str">
        <f>K67</f>
        <v>-</v>
      </c>
      <c r="L225" s="203">
        <f t="shared" si="138"/>
        <v>13311.8</v>
      </c>
      <c r="M225" s="150"/>
      <c r="N225" s="203" t="s">
        <v>29</v>
      </c>
      <c r="O225" s="203" t="s">
        <v>29</v>
      </c>
      <c r="P225" s="203" t="s">
        <v>29</v>
      </c>
      <c r="Q225" s="203">
        <f t="shared" si="138"/>
        <v>185.75</v>
      </c>
      <c r="R225" s="203">
        <f t="shared" si="138"/>
        <v>8172.5</v>
      </c>
      <c r="S225" s="203">
        <f t="shared" si="138"/>
        <v>15356</v>
      </c>
      <c r="T225" s="203">
        <f t="shared" si="138"/>
        <v>2223.5</v>
      </c>
      <c r="U225" s="203">
        <f t="shared" si="138"/>
        <v>899.6</v>
      </c>
      <c r="V225" s="203">
        <f t="shared" si="138"/>
        <v>2.3333333333333335</v>
      </c>
      <c r="W225" s="203" t="s">
        <v>29</v>
      </c>
      <c r="X225" s="203">
        <f t="shared" si="138"/>
        <v>18580</v>
      </c>
    </row>
    <row r="226" spans="1:24" ht="11.25" customHeight="1" x14ac:dyDescent="0.25">
      <c r="A226" s="402" t="s">
        <v>207</v>
      </c>
      <c r="B226" s="203" t="str">
        <f>B72</f>
        <v>-</v>
      </c>
      <c r="C226" s="203" t="str">
        <f>C72</f>
        <v>-</v>
      </c>
      <c r="D226" s="203" t="str">
        <f>D72</f>
        <v>-</v>
      </c>
      <c r="E226" s="203">
        <f>AVERAGE(E72:E76)</f>
        <v>1298</v>
      </c>
      <c r="F226" s="203">
        <f t="shared" ref="F226:X226" si="139">AVERAGE(F72:F76)</f>
        <v>3637</v>
      </c>
      <c r="G226" s="203">
        <f t="shared" si="139"/>
        <v>2596.1999999999998</v>
      </c>
      <c r="H226" s="203">
        <f t="shared" si="139"/>
        <v>5622</v>
      </c>
      <c r="I226" s="203">
        <f t="shared" si="139"/>
        <v>709</v>
      </c>
      <c r="J226" s="203">
        <f t="shared" si="139"/>
        <v>701.6</v>
      </c>
      <c r="K226" s="203" t="str">
        <f>K72</f>
        <v>-</v>
      </c>
      <c r="L226" s="203">
        <f t="shared" si="139"/>
        <v>14563.8</v>
      </c>
      <c r="M226" s="150"/>
      <c r="N226" s="203" t="s">
        <v>29</v>
      </c>
      <c r="O226" s="203" t="s">
        <v>29</v>
      </c>
      <c r="P226" s="203" t="s">
        <v>29</v>
      </c>
      <c r="Q226" s="203">
        <f t="shared" si="139"/>
        <v>33</v>
      </c>
      <c r="R226" s="203">
        <f t="shared" si="139"/>
        <v>63.4</v>
      </c>
      <c r="S226" s="203">
        <f t="shared" si="139"/>
        <v>55.4</v>
      </c>
      <c r="T226" s="203">
        <f t="shared" si="139"/>
        <v>98</v>
      </c>
      <c r="U226" s="203">
        <f t="shared" si="139"/>
        <v>22</v>
      </c>
      <c r="V226" s="203">
        <f t="shared" si="139"/>
        <v>8.5</v>
      </c>
      <c r="W226" s="203" t="s">
        <v>29</v>
      </c>
      <c r="X226" s="203">
        <f t="shared" si="139"/>
        <v>244.4</v>
      </c>
    </row>
    <row r="227" spans="1:24" ht="11.25" customHeight="1" x14ac:dyDescent="0.25">
      <c r="A227" s="402" t="s">
        <v>238</v>
      </c>
      <c r="B227" s="203" t="str">
        <f>B77</f>
        <v>-</v>
      </c>
      <c r="C227" s="203" t="str">
        <f>C77</f>
        <v>-</v>
      </c>
      <c r="D227" s="203" t="str">
        <f>D77</f>
        <v>-</v>
      </c>
      <c r="E227" s="203">
        <f t="shared" ref="E227:J227" si="140">AVERAGE(E77:E81)</f>
        <v>3368.6</v>
      </c>
      <c r="F227" s="203">
        <f t="shared" si="140"/>
        <v>5979.4</v>
      </c>
      <c r="G227" s="203">
        <f t="shared" si="140"/>
        <v>3106.8</v>
      </c>
      <c r="H227" s="203">
        <f t="shared" si="140"/>
        <v>6313.2</v>
      </c>
      <c r="I227" s="203">
        <f t="shared" si="140"/>
        <v>3408.6</v>
      </c>
      <c r="J227" s="203">
        <f t="shared" si="140"/>
        <v>469.2</v>
      </c>
      <c r="K227" s="203" t="str">
        <f>K77</f>
        <v>-</v>
      </c>
      <c r="L227" s="203">
        <f>AVERAGE(L77:L81)</f>
        <v>22645.8</v>
      </c>
      <c r="M227" s="150"/>
      <c r="N227" s="203" t="str">
        <f>N77</f>
        <v>-</v>
      </c>
      <c r="O227" s="203" t="str">
        <f>O77</f>
        <v>-</v>
      </c>
      <c r="P227" s="203" t="str">
        <f>P77</f>
        <v>-</v>
      </c>
      <c r="Q227" s="203">
        <f t="shared" ref="Q227:V227" si="141">AVERAGE(Q77:Q81)</f>
        <v>53.6</v>
      </c>
      <c r="R227" s="203">
        <f t="shared" si="141"/>
        <v>201.4</v>
      </c>
      <c r="S227" s="203">
        <f t="shared" si="141"/>
        <v>182.4</v>
      </c>
      <c r="T227" s="203">
        <f t="shared" si="141"/>
        <v>117.4</v>
      </c>
      <c r="U227" s="203">
        <f t="shared" si="141"/>
        <v>38</v>
      </c>
      <c r="V227" s="203">
        <f t="shared" si="141"/>
        <v>8</v>
      </c>
      <c r="W227" s="203" t="str">
        <f>W77</f>
        <v>-</v>
      </c>
      <c r="X227" s="203">
        <f>AVERAGE(X77:X81)</f>
        <v>588.4</v>
      </c>
    </row>
    <row r="228" spans="1:24" ht="11.25" customHeight="1" x14ac:dyDescent="0.25">
      <c r="A228" s="402">
        <v>2006</v>
      </c>
      <c r="B228" s="203" t="str">
        <f>B82</f>
        <v>-</v>
      </c>
      <c r="C228" s="203" t="str">
        <f t="shared" ref="C228:L228" si="142">C82</f>
        <v>-</v>
      </c>
      <c r="D228" s="203" t="str">
        <f t="shared" si="142"/>
        <v>-</v>
      </c>
      <c r="E228" s="203">
        <f t="shared" si="142"/>
        <v>4620</v>
      </c>
      <c r="F228" s="203">
        <f t="shared" si="142"/>
        <v>6199</v>
      </c>
      <c r="G228" s="203">
        <f t="shared" si="142"/>
        <v>2515</v>
      </c>
      <c r="H228" s="203" t="str">
        <f t="shared" si="142"/>
        <v>-</v>
      </c>
      <c r="I228" s="203">
        <f t="shared" si="142"/>
        <v>4464</v>
      </c>
      <c r="J228" s="203">
        <f t="shared" si="142"/>
        <v>397</v>
      </c>
      <c r="K228" s="203" t="str">
        <f t="shared" si="142"/>
        <v>-</v>
      </c>
      <c r="L228" s="203">
        <f t="shared" si="142"/>
        <v>18195</v>
      </c>
      <c r="M228" s="150"/>
      <c r="N228" s="203" t="str">
        <f t="shared" ref="N228:X228" si="143">N82</f>
        <v>-</v>
      </c>
      <c r="O228" s="203" t="str">
        <f t="shared" si="143"/>
        <v>-</v>
      </c>
      <c r="P228" s="203" t="str">
        <f t="shared" si="143"/>
        <v>-</v>
      </c>
      <c r="Q228" s="203">
        <f t="shared" si="143"/>
        <v>93</v>
      </c>
      <c r="R228" s="203">
        <f t="shared" si="143"/>
        <v>503</v>
      </c>
      <c r="S228" s="203">
        <f t="shared" si="143"/>
        <v>150</v>
      </c>
      <c r="T228" s="203" t="str">
        <f t="shared" si="143"/>
        <v>-</v>
      </c>
      <c r="U228" s="203">
        <f t="shared" si="143"/>
        <v>169</v>
      </c>
      <c r="V228" s="203">
        <f t="shared" si="143"/>
        <v>7</v>
      </c>
      <c r="W228" s="203" t="str">
        <f t="shared" si="143"/>
        <v>-</v>
      </c>
      <c r="X228" s="203">
        <f t="shared" si="143"/>
        <v>922</v>
      </c>
    </row>
    <row r="229" spans="1:24" ht="11.25" customHeight="1" x14ac:dyDescent="0.25">
      <c r="A229" s="402">
        <v>2007</v>
      </c>
      <c r="B229" s="203" t="str">
        <f>B83</f>
        <v>-</v>
      </c>
      <c r="C229" s="203" t="str">
        <f t="shared" ref="C229:L229" si="144">C83</f>
        <v>-</v>
      </c>
      <c r="D229" s="203" t="str">
        <f t="shared" si="144"/>
        <v>-</v>
      </c>
      <c r="E229" s="203">
        <f t="shared" si="144"/>
        <v>841</v>
      </c>
      <c r="F229" s="203">
        <f t="shared" si="144"/>
        <v>5290</v>
      </c>
      <c r="G229" s="203">
        <f t="shared" si="144"/>
        <v>5001</v>
      </c>
      <c r="H229" s="203">
        <f t="shared" si="144"/>
        <v>8064</v>
      </c>
      <c r="I229" s="203">
        <f t="shared" si="144"/>
        <v>2215</v>
      </c>
      <c r="J229" s="203">
        <f t="shared" si="144"/>
        <v>535</v>
      </c>
      <c r="K229" s="203" t="str">
        <f t="shared" si="144"/>
        <v>-</v>
      </c>
      <c r="L229" s="203">
        <f t="shared" si="144"/>
        <v>21946</v>
      </c>
      <c r="M229" s="150"/>
      <c r="N229" s="203" t="str">
        <f t="shared" ref="N229:X229" si="145">N83</f>
        <v>-</v>
      </c>
      <c r="O229" s="203" t="str">
        <f t="shared" si="145"/>
        <v>-</v>
      </c>
      <c r="P229" s="203" t="str">
        <f t="shared" si="145"/>
        <v>-</v>
      </c>
      <c r="Q229" s="203" t="str">
        <f t="shared" si="145"/>
        <v>-</v>
      </c>
      <c r="R229" s="203">
        <f t="shared" si="145"/>
        <v>245</v>
      </c>
      <c r="S229" s="203">
        <f t="shared" si="145"/>
        <v>745</v>
      </c>
      <c r="T229" s="203">
        <f t="shared" si="145"/>
        <v>917</v>
      </c>
      <c r="U229" s="203">
        <f t="shared" si="145"/>
        <v>60</v>
      </c>
      <c r="V229" s="203">
        <f t="shared" si="145"/>
        <v>3</v>
      </c>
      <c r="W229" s="203" t="str">
        <f t="shared" si="145"/>
        <v>-</v>
      </c>
      <c r="X229" s="203">
        <f t="shared" si="145"/>
        <v>1970</v>
      </c>
    </row>
    <row r="230" spans="1:24" ht="11.25" customHeight="1" x14ac:dyDescent="0.25">
      <c r="A230" s="402">
        <v>2008</v>
      </c>
      <c r="B230" s="203" t="str">
        <f>B84</f>
        <v>-</v>
      </c>
      <c r="C230" s="203" t="str">
        <f t="shared" ref="C230:L230" si="146">C84</f>
        <v>-</v>
      </c>
      <c r="D230" s="203" t="str">
        <f t="shared" si="146"/>
        <v>-</v>
      </c>
      <c r="E230" s="203" t="str">
        <f t="shared" si="146"/>
        <v>-</v>
      </c>
      <c r="F230" s="203" t="str">
        <f t="shared" si="146"/>
        <v>-</v>
      </c>
      <c r="G230" s="203" t="str">
        <f t="shared" si="146"/>
        <v>-</v>
      </c>
      <c r="H230" s="203" t="str">
        <f t="shared" si="146"/>
        <v>-</v>
      </c>
      <c r="I230" s="203" t="str">
        <f t="shared" si="146"/>
        <v>-</v>
      </c>
      <c r="J230" s="203">
        <f t="shared" si="146"/>
        <v>280</v>
      </c>
      <c r="K230" s="203" t="str">
        <f t="shared" si="146"/>
        <v>-</v>
      </c>
      <c r="L230" s="203">
        <f t="shared" si="146"/>
        <v>280</v>
      </c>
      <c r="M230" s="150"/>
      <c r="N230" s="203" t="str">
        <f t="shared" ref="N230:X230" si="147">N84</f>
        <v>-</v>
      </c>
      <c r="O230" s="203" t="str">
        <f t="shared" si="147"/>
        <v>-</v>
      </c>
      <c r="P230" s="203" t="str">
        <f t="shared" si="147"/>
        <v>-</v>
      </c>
      <c r="Q230" s="203" t="str">
        <f t="shared" si="147"/>
        <v>-</v>
      </c>
      <c r="R230" s="203">
        <f t="shared" si="147"/>
        <v>449</v>
      </c>
      <c r="S230" s="203">
        <f t="shared" si="147"/>
        <v>1273</v>
      </c>
      <c r="T230" s="203">
        <f t="shared" si="147"/>
        <v>409</v>
      </c>
      <c r="U230" s="203" t="str">
        <f t="shared" si="147"/>
        <v>-</v>
      </c>
      <c r="V230" s="203">
        <f t="shared" si="147"/>
        <v>3</v>
      </c>
      <c r="W230" s="203" t="str">
        <f t="shared" si="147"/>
        <v>-</v>
      </c>
      <c r="X230" s="203">
        <f t="shared" si="147"/>
        <v>2134</v>
      </c>
    </row>
    <row r="231" spans="1:24" ht="11.25" customHeight="1" x14ac:dyDescent="0.25">
      <c r="A231" s="402">
        <v>2009</v>
      </c>
      <c r="B231" s="203" t="str">
        <f t="shared" ref="B231:L231" si="148">B85</f>
        <v>-</v>
      </c>
      <c r="C231" s="203" t="str">
        <f t="shared" si="148"/>
        <v>-</v>
      </c>
      <c r="D231" s="203" t="str">
        <f t="shared" si="148"/>
        <v>-</v>
      </c>
      <c r="E231" s="203" t="str">
        <f t="shared" si="148"/>
        <v>-</v>
      </c>
      <c r="F231" s="203" t="str">
        <f t="shared" si="148"/>
        <v>-</v>
      </c>
      <c r="G231" s="203">
        <f t="shared" si="148"/>
        <v>9</v>
      </c>
      <c r="H231" s="203">
        <f t="shared" si="148"/>
        <v>325</v>
      </c>
      <c r="I231" s="203">
        <f t="shared" si="148"/>
        <v>533</v>
      </c>
      <c r="J231" s="203" t="str">
        <f t="shared" si="148"/>
        <v>-</v>
      </c>
      <c r="K231" s="203" t="str">
        <f t="shared" si="148"/>
        <v>-</v>
      </c>
      <c r="L231" s="203">
        <f t="shared" si="148"/>
        <v>867</v>
      </c>
      <c r="M231" s="150"/>
      <c r="N231" s="203" t="str">
        <f t="shared" ref="N231:X231" si="149">N85</f>
        <v>-</v>
      </c>
      <c r="O231" s="203" t="str">
        <f t="shared" si="149"/>
        <v>-</v>
      </c>
      <c r="P231" s="203" t="str">
        <f t="shared" si="149"/>
        <v>-</v>
      </c>
      <c r="Q231" s="203" t="str">
        <f t="shared" si="149"/>
        <v>-</v>
      </c>
      <c r="R231" s="203">
        <f t="shared" si="149"/>
        <v>6</v>
      </c>
      <c r="S231" s="203">
        <f t="shared" si="149"/>
        <v>1123</v>
      </c>
      <c r="T231" s="203">
        <f t="shared" si="149"/>
        <v>59</v>
      </c>
      <c r="U231" s="203">
        <f t="shared" si="149"/>
        <v>17</v>
      </c>
      <c r="V231" s="203" t="str">
        <f t="shared" si="149"/>
        <v>-</v>
      </c>
      <c r="W231" s="203" t="str">
        <f t="shared" si="149"/>
        <v>-</v>
      </c>
      <c r="X231" s="203">
        <f t="shared" si="149"/>
        <v>1205</v>
      </c>
    </row>
    <row r="232" spans="1:24" ht="11.25" customHeight="1" x14ac:dyDescent="0.25">
      <c r="A232" s="402">
        <v>2010</v>
      </c>
      <c r="B232" s="203" t="str">
        <f t="shared" ref="B232:L232" si="150">B86</f>
        <v>-</v>
      </c>
      <c r="C232" s="203" t="str">
        <f t="shared" si="150"/>
        <v>-</v>
      </c>
      <c r="D232" s="203" t="str">
        <f t="shared" si="150"/>
        <v>-</v>
      </c>
      <c r="E232" s="203">
        <f t="shared" si="150"/>
        <v>24</v>
      </c>
      <c r="F232" s="203">
        <f t="shared" si="150"/>
        <v>160</v>
      </c>
      <c r="G232" s="203">
        <f t="shared" si="150"/>
        <v>40</v>
      </c>
      <c r="H232" s="203">
        <f t="shared" si="150"/>
        <v>501</v>
      </c>
      <c r="I232" s="203">
        <f t="shared" si="150"/>
        <v>278</v>
      </c>
      <c r="J232" s="203">
        <f t="shared" si="150"/>
        <v>541</v>
      </c>
      <c r="K232" s="203" t="str">
        <f t="shared" si="150"/>
        <v>-</v>
      </c>
      <c r="L232" s="203">
        <f t="shared" si="150"/>
        <v>1544</v>
      </c>
      <c r="M232" s="150"/>
      <c r="N232" s="203" t="str">
        <f t="shared" ref="N232:X232" si="151">N86</f>
        <v>-</v>
      </c>
      <c r="O232" s="203" t="str">
        <f t="shared" si="151"/>
        <v>-</v>
      </c>
      <c r="P232" s="203" t="str">
        <f t="shared" si="151"/>
        <v>-</v>
      </c>
      <c r="Q232" s="203" t="str">
        <f t="shared" si="151"/>
        <v>-</v>
      </c>
      <c r="R232" s="203" t="str">
        <f t="shared" si="151"/>
        <v>-</v>
      </c>
      <c r="S232" s="203">
        <f t="shared" si="151"/>
        <v>19</v>
      </c>
      <c r="T232" s="203">
        <f t="shared" si="151"/>
        <v>75</v>
      </c>
      <c r="U232" s="203">
        <f t="shared" si="151"/>
        <v>16</v>
      </c>
      <c r="V232" s="203" t="str">
        <f t="shared" si="151"/>
        <v>-</v>
      </c>
      <c r="W232" s="203" t="str">
        <f t="shared" si="151"/>
        <v>-</v>
      </c>
      <c r="X232" s="203">
        <f t="shared" si="151"/>
        <v>110</v>
      </c>
    </row>
    <row r="233" spans="1:24" ht="11.25" customHeight="1" x14ac:dyDescent="0.25">
      <c r="A233" s="402">
        <v>2011</v>
      </c>
      <c r="B233" s="203" t="str">
        <f t="shared" ref="B233:L233" si="152">B87</f>
        <v>-</v>
      </c>
      <c r="C233" s="203" t="str">
        <f t="shared" si="152"/>
        <v>-</v>
      </c>
      <c r="D233" s="203" t="str">
        <f t="shared" si="152"/>
        <v>-</v>
      </c>
      <c r="E233" s="203">
        <f t="shared" si="152"/>
        <v>814</v>
      </c>
      <c r="F233" s="203">
        <f t="shared" si="152"/>
        <v>970</v>
      </c>
      <c r="G233" s="203">
        <f t="shared" si="152"/>
        <v>4391</v>
      </c>
      <c r="H233" s="203">
        <f t="shared" si="152"/>
        <v>4018</v>
      </c>
      <c r="I233" s="203">
        <f t="shared" si="152"/>
        <v>497</v>
      </c>
      <c r="J233" s="203">
        <f t="shared" si="152"/>
        <v>233</v>
      </c>
      <c r="K233" s="203" t="str">
        <f t="shared" si="152"/>
        <v>-</v>
      </c>
      <c r="L233" s="203">
        <f t="shared" si="152"/>
        <v>10923</v>
      </c>
      <c r="M233" s="150"/>
      <c r="N233" s="203" t="str">
        <f t="shared" ref="N233:X233" si="153">N87</f>
        <v>-</v>
      </c>
      <c r="O233" s="203" t="str">
        <f t="shared" si="153"/>
        <v>-</v>
      </c>
      <c r="P233" s="203" t="str">
        <f t="shared" si="153"/>
        <v>-</v>
      </c>
      <c r="Q233" s="203">
        <f t="shared" si="153"/>
        <v>5</v>
      </c>
      <c r="R233" s="203">
        <f t="shared" si="153"/>
        <v>10</v>
      </c>
      <c r="S233" s="203">
        <f t="shared" si="153"/>
        <v>62</v>
      </c>
      <c r="T233" s="203">
        <f t="shared" si="153"/>
        <v>37</v>
      </c>
      <c r="U233" s="203">
        <f t="shared" si="153"/>
        <v>12</v>
      </c>
      <c r="V233" s="203" t="str">
        <f t="shared" si="153"/>
        <v>-</v>
      </c>
      <c r="W233" s="203" t="str">
        <f t="shared" si="153"/>
        <v>-</v>
      </c>
      <c r="X233" s="203">
        <f t="shared" si="153"/>
        <v>126</v>
      </c>
    </row>
    <row r="234" spans="1:24" ht="11.25" customHeight="1" x14ac:dyDescent="0.25">
      <c r="A234" s="402">
        <v>2012</v>
      </c>
      <c r="B234" s="203" t="str">
        <f t="shared" ref="B234:L234" si="154">B88</f>
        <v>-</v>
      </c>
      <c r="C234" s="203" t="str">
        <f t="shared" si="154"/>
        <v>-</v>
      </c>
      <c r="D234" s="203" t="str">
        <f t="shared" si="154"/>
        <v>-</v>
      </c>
      <c r="E234" s="203">
        <f t="shared" si="154"/>
        <v>3911</v>
      </c>
      <c r="F234" s="203">
        <f t="shared" si="154"/>
        <v>11769</v>
      </c>
      <c r="G234" s="203">
        <f t="shared" si="154"/>
        <v>14139</v>
      </c>
      <c r="H234" s="203">
        <f t="shared" si="154"/>
        <v>14502</v>
      </c>
      <c r="I234" s="203">
        <f t="shared" si="154"/>
        <v>3912</v>
      </c>
      <c r="J234" s="203">
        <f t="shared" si="154"/>
        <v>534</v>
      </c>
      <c r="K234" s="203" t="str">
        <f t="shared" si="154"/>
        <v>-</v>
      </c>
      <c r="L234" s="203">
        <f t="shared" si="154"/>
        <v>48767</v>
      </c>
      <c r="M234" s="150"/>
      <c r="N234" s="203" t="str">
        <f t="shared" ref="N234:X234" si="155">N88</f>
        <v>-</v>
      </c>
      <c r="O234" s="203" t="str">
        <f t="shared" si="155"/>
        <v>-</v>
      </c>
      <c r="P234" s="203" t="str">
        <f t="shared" si="155"/>
        <v>-</v>
      </c>
      <c r="Q234" s="203" t="str">
        <f t="shared" si="155"/>
        <v>-</v>
      </c>
      <c r="R234" s="203">
        <f t="shared" si="155"/>
        <v>50</v>
      </c>
      <c r="S234" s="203">
        <f t="shared" si="155"/>
        <v>176</v>
      </c>
      <c r="T234" s="203">
        <f t="shared" si="155"/>
        <v>48</v>
      </c>
      <c r="U234" s="203" t="str">
        <f t="shared" si="155"/>
        <v>-</v>
      </c>
      <c r="V234" s="203">
        <f t="shared" si="155"/>
        <v>2</v>
      </c>
      <c r="W234" s="203" t="str">
        <f t="shared" si="155"/>
        <v>-</v>
      </c>
      <c r="X234" s="203">
        <f t="shared" si="155"/>
        <v>276</v>
      </c>
    </row>
    <row r="235" spans="1:24" ht="11.25" customHeight="1" x14ac:dyDescent="0.25">
      <c r="A235" s="402">
        <v>2013</v>
      </c>
      <c r="B235" s="203" t="str">
        <f t="shared" ref="B235:L235" si="156">B89</f>
        <v>-</v>
      </c>
      <c r="C235" s="203" t="str">
        <f t="shared" si="156"/>
        <v>-</v>
      </c>
      <c r="D235" s="203" t="str">
        <f t="shared" si="156"/>
        <v>-</v>
      </c>
      <c r="E235" s="203">
        <f t="shared" si="156"/>
        <v>2585</v>
      </c>
      <c r="F235" s="203">
        <f t="shared" si="156"/>
        <v>12329</v>
      </c>
      <c r="G235" s="203">
        <f t="shared" si="156"/>
        <v>16247</v>
      </c>
      <c r="H235" s="203">
        <f t="shared" si="156"/>
        <v>11996</v>
      </c>
      <c r="I235" s="203">
        <f t="shared" si="156"/>
        <v>459</v>
      </c>
      <c r="J235" s="203">
        <f t="shared" si="156"/>
        <v>814</v>
      </c>
      <c r="K235" s="203" t="str">
        <f t="shared" si="156"/>
        <v>-</v>
      </c>
      <c r="L235" s="203">
        <f t="shared" si="156"/>
        <v>44430</v>
      </c>
      <c r="M235" s="150"/>
      <c r="N235" s="203" t="str">
        <f t="shared" ref="N235:X235" si="157">N89</f>
        <v>-</v>
      </c>
      <c r="O235" s="203" t="str">
        <f t="shared" si="157"/>
        <v>-</v>
      </c>
      <c r="P235" s="203" t="str">
        <f t="shared" si="157"/>
        <v>-</v>
      </c>
      <c r="Q235" s="203" t="str">
        <f t="shared" si="157"/>
        <v>-</v>
      </c>
      <c r="R235" s="203">
        <f t="shared" si="157"/>
        <v>65</v>
      </c>
      <c r="S235" s="203">
        <f t="shared" si="157"/>
        <v>360</v>
      </c>
      <c r="T235" s="203">
        <f t="shared" si="157"/>
        <v>245</v>
      </c>
      <c r="U235" s="203" t="str">
        <f t="shared" si="157"/>
        <v>-</v>
      </c>
      <c r="V235" s="203">
        <f t="shared" si="157"/>
        <v>6</v>
      </c>
      <c r="W235" s="203" t="str">
        <f t="shared" si="157"/>
        <v>-</v>
      </c>
      <c r="X235" s="203">
        <f t="shared" si="157"/>
        <v>676</v>
      </c>
    </row>
    <row r="236" spans="1:24" ht="11.25" customHeight="1" x14ac:dyDescent="0.25">
      <c r="A236" s="402">
        <v>2014</v>
      </c>
      <c r="B236" s="203" t="str">
        <f t="shared" ref="B236:L236" si="158">B90</f>
        <v>-</v>
      </c>
      <c r="C236" s="203" t="str">
        <f t="shared" si="158"/>
        <v>-</v>
      </c>
      <c r="D236" s="203" t="str">
        <f t="shared" si="158"/>
        <v>-</v>
      </c>
      <c r="E236" s="203">
        <f t="shared" si="158"/>
        <v>4413</v>
      </c>
      <c r="F236" s="203">
        <f t="shared" si="158"/>
        <v>5756</v>
      </c>
      <c r="G236" s="203">
        <f t="shared" si="158"/>
        <v>7784</v>
      </c>
      <c r="H236" s="203">
        <f t="shared" si="158"/>
        <v>3259</v>
      </c>
      <c r="I236" s="203">
        <f t="shared" si="158"/>
        <v>319</v>
      </c>
      <c r="J236" s="203">
        <f t="shared" si="158"/>
        <v>1115</v>
      </c>
      <c r="K236" s="203" t="str">
        <f t="shared" si="158"/>
        <v>-</v>
      </c>
      <c r="L236" s="203">
        <f t="shared" si="158"/>
        <v>22646</v>
      </c>
      <c r="M236" s="150"/>
      <c r="N236" s="203" t="str">
        <f t="shared" ref="N236:X236" si="159">N90</f>
        <v>-</v>
      </c>
      <c r="O236" s="203" t="str">
        <f t="shared" si="159"/>
        <v>-</v>
      </c>
      <c r="P236" s="203" t="str">
        <f t="shared" si="159"/>
        <v>-</v>
      </c>
      <c r="Q236" s="203">
        <f t="shared" si="159"/>
        <v>22</v>
      </c>
      <c r="R236" s="203">
        <f t="shared" si="159"/>
        <v>119</v>
      </c>
      <c r="S236" s="203">
        <f t="shared" si="159"/>
        <v>696</v>
      </c>
      <c r="T236" s="203">
        <f t="shared" si="159"/>
        <v>9</v>
      </c>
      <c r="U236" s="203">
        <f t="shared" si="159"/>
        <v>3</v>
      </c>
      <c r="V236" s="203" t="str">
        <f t="shared" si="159"/>
        <v>-</v>
      </c>
      <c r="W236" s="203" t="str">
        <f t="shared" si="159"/>
        <v>-</v>
      </c>
      <c r="X236" s="203">
        <f t="shared" si="159"/>
        <v>849</v>
      </c>
    </row>
    <row r="237" spans="1:24" ht="11.25" customHeight="1" x14ac:dyDescent="0.25">
      <c r="A237" s="402">
        <v>2015</v>
      </c>
      <c r="B237" s="203" t="str">
        <f t="shared" ref="B237:L237" si="160">B91</f>
        <v>-</v>
      </c>
      <c r="C237" s="203" t="str">
        <f t="shared" si="160"/>
        <v>-</v>
      </c>
      <c r="D237" s="203" t="str">
        <f t="shared" si="160"/>
        <v>-</v>
      </c>
      <c r="E237" s="203">
        <f t="shared" si="160"/>
        <v>930</v>
      </c>
      <c r="F237" s="203">
        <f t="shared" si="160"/>
        <v>376</v>
      </c>
      <c r="G237" s="203">
        <f t="shared" si="160"/>
        <v>1237</v>
      </c>
      <c r="H237" s="203">
        <f t="shared" si="160"/>
        <v>1454</v>
      </c>
      <c r="I237" s="203">
        <f t="shared" si="160"/>
        <v>85</v>
      </c>
      <c r="J237" s="203">
        <f t="shared" si="160"/>
        <v>792</v>
      </c>
      <c r="K237" s="203" t="str">
        <f t="shared" si="160"/>
        <v>-</v>
      </c>
      <c r="L237" s="203">
        <f t="shared" si="160"/>
        <v>4874</v>
      </c>
      <c r="M237" s="150"/>
      <c r="N237" s="203" t="str">
        <f t="shared" ref="N237:X237" si="161">N91</f>
        <v>-</v>
      </c>
      <c r="O237" s="203" t="str">
        <f t="shared" si="161"/>
        <v>-</v>
      </c>
      <c r="P237" s="203" t="str">
        <f t="shared" si="161"/>
        <v>-</v>
      </c>
      <c r="Q237" s="203" t="str">
        <f t="shared" si="161"/>
        <v>-</v>
      </c>
      <c r="R237" s="203">
        <f t="shared" si="161"/>
        <v>13</v>
      </c>
      <c r="S237" s="203">
        <f t="shared" si="161"/>
        <v>122</v>
      </c>
      <c r="T237" s="203">
        <f t="shared" si="161"/>
        <v>5</v>
      </c>
      <c r="U237" s="203">
        <f t="shared" si="161"/>
        <v>4</v>
      </c>
      <c r="V237" s="203">
        <f t="shared" si="161"/>
        <v>6</v>
      </c>
      <c r="W237" s="203" t="str">
        <f t="shared" si="161"/>
        <v>-</v>
      </c>
      <c r="X237" s="203">
        <f t="shared" si="161"/>
        <v>150</v>
      </c>
    </row>
    <row r="238" spans="1:24" ht="11.25" customHeight="1" x14ac:dyDescent="0.25">
      <c r="A238" s="402">
        <v>2016</v>
      </c>
      <c r="B238" s="203" t="str">
        <f t="shared" ref="B238:L238" si="162">B92</f>
        <v>-</v>
      </c>
      <c r="C238" s="203" t="str">
        <f t="shared" si="162"/>
        <v>-</v>
      </c>
      <c r="D238" s="203" t="str">
        <f t="shared" si="162"/>
        <v>-</v>
      </c>
      <c r="E238" s="203">
        <f t="shared" si="162"/>
        <v>1454</v>
      </c>
      <c r="F238" s="203">
        <f t="shared" si="162"/>
        <v>1025</v>
      </c>
      <c r="G238" s="203">
        <f t="shared" si="162"/>
        <v>1506</v>
      </c>
      <c r="H238" s="203">
        <f t="shared" si="162"/>
        <v>649</v>
      </c>
      <c r="I238" s="203">
        <f t="shared" si="162"/>
        <v>582</v>
      </c>
      <c r="J238" s="203">
        <f t="shared" si="162"/>
        <v>287</v>
      </c>
      <c r="K238" s="203" t="str">
        <f t="shared" si="162"/>
        <v>-</v>
      </c>
      <c r="L238" s="203">
        <f t="shared" si="162"/>
        <v>5503</v>
      </c>
      <c r="M238" s="150"/>
      <c r="N238" s="203" t="str">
        <f t="shared" ref="N238:X238" si="163">N92</f>
        <v>-</v>
      </c>
      <c r="O238" s="203" t="str">
        <f t="shared" si="163"/>
        <v>-</v>
      </c>
      <c r="P238" s="203" t="str">
        <f t="shared" si="163"/>
        <v>-</v>
      </c>
      <c r="Q238" s="203" t="str">
        <f t="shared" si="163"/>
        <v>-</v>
      </c>
      <c r="R238" s="203">
        <f t="shared" si="163"/>
        <v>29</v>
      </c>
      <c r="S238" s="203">
        <f t="shared" si="163"/>
        <v>45</v>
      </c>
      <c r="T238" s="203">
        <f t="shared" si="163"/>
        <v>3</v>
      </c>
      <c r="U238" s="203">
        <f t="shared" si="163"/>
        <v>2</v>
      </c>
      <c r="V238" s="203" t="str">
        <f t="shared" si="163"/>
        <v>-</v>
      </c>
      <c r="W238" s="203" t="str">
        <f t="shared" si="163"/>
        <v>-</v>
      </c>
      <c r="X238" s="203">
        <f t="shared" si="163"/>
        <v>79</v>
      </c>
    </row>
    <row r="239" spans="1:24" ht="11.25" customHeight="1" x14ac:dyDescent="0.25">
      <c r="A239" s="402">
        <v>2017</v>
      </c>
      <c r="B239" s="203" t="str">
        <f t="shared" ref="B239:L239" si="164">B93</f>
        <v>-</v>
      </c>
      <c r="C239" s="203" t="str">
        <f t="shared" si="164"/>
        <v>-</v>
      </c>
      <c r="D239" s="203" t="str">
        <f t="shared" si="164"/>
        <v>-</v>
      </c>
      <c r="E239" s="203" t="str">
        <f t="shared" si="164"/>
        <v>-</v>
      </c>
      <c r="F239" s="203" t="str">
        <f t="shared" si="164"/>
        <v>-</v>
      </c>
      <c r="G239" s="203" t="str">
        <f t="shared" si="164"/>
        <v>-</v>
      </c>
      <c r="H239" s="203" t="str">
        <f t="shared" si="164"/>
        <v>-</v>
      </c>
      <c r="I239" s="203" t="str">
        <f t="shared" si="164"/>
        <v>-</v>
      </c>
      <c r="J239" s="203">
        <f t="shared" si="164"/>
        <v>506</v>
      </c>
      <c r="K239" s="203" t="str">
        <f t="shared" si="164"/>
        <v>-</v>
      </c>
      <c r="L239" s="203">
        <f t="shared" si="164"/>
        <v>506</v>
      </c>
      <c r="M239" s="150"/>
      <c r="N239" s="203" t="str">
        <f t="shared" ref="N239:X239" si="165">N93</f>
        <v>-</v>
      </c>
      <c r="O239" s="203" t="str">
        <f t="shared" si="165"/>
        <v>-</v>
      </c>
      <c r="P239" s="203" t="str">
        <f t="shared" si="165"/>
        <v>-</v>
      </c>
      <c r="Q239" s="203" t="str">
        <f t="shared" si="165"/>
        <v>-</v>
      </c>
      <c r="R239" s="203" t="str">
        <f t="shared" si="165"/>
        <v>-</v>
      </c>
      <c r="S239" s="203" t="str">
        <f t="shared" si="165"/>
        <v>-</v>
      </c>
      <c r="T239" s="203" t="str">
        <f t="shared" si="165"/>
        <v>-</v>
      </c>
      <c r="U239" s="203" t="str">
        <f t="shared" si="165"/>
        <v>-</v>
      </c>
      <c r="V239" s="203" t="str">
        <f t="shared" si="165"/>
        <v>-</v>
      </c>
      <c r="W239" s="203" t="str">
        <f t="shared" si="165"/>
        <v>-</v>
      </c>
      <c r="X239" s="203" t="str">
        <f t="shared" si="165"/>
        <v>-</v>
      </c>
    </row>
    <row r="240" spans="1:24" s="358" customFormat="1" ht="11.25" customHeight="1" x14ac:dyDescent="0.25">
      <c r="A240" s="402">
        <v>2018</v>
      </c>
      <c r="B240" s="203" t="str">
        <f t="shared" ref="B240:L240" si="166">B94</f>
        <v>-</v>
      </c>
      <c r="C240" s="203" t="str">
        <f t="shared" si="166"/>
        <v>-</v>
      </c>
      <c r="D240" s="203" t="str">
        <f t="shared" si="166"/>
        <v>-</v>
      </c>
      <c r="E240" s="203">
        <f t="shared" si="166"/>
        <v>105</v>
      </c>
      <c r="F240" s="203">
        <f t="shared" si="166"/>
        <v>1863</v>
      </c>
      <c r="G240" s="203">
        <f t="shared" si="166"/>
        <v>1320</v>
      </c>
      <c r="H240" s="203">
        <f t="shared" si="166"/>
        <v>1583</v>
      </c>
      <c r="I240" s="203">
        <f t="shared" si="166"/>
        <v>31</v>
      </c>
      <c r="J240" s="203">
        <f t="shared" si="166"/>
        <v>429</v>
      </c>
      <c r="K240" s="203" t="str">
        <f t="shared" si="166"/>
        <v>-</v>
      </c>
      <c r="L240" s="203">
        <f t="shared" si="166"/>
        <v>5331</v>
      </c>
      <c r="M240" s="150"/>
      <c r="N240" s="203" t="str">
        <f t="shared" ref="N240:X240" si="167">N94</f>
        <v>-</v>
      </c>
      <c r="O240" s="203" t="str">
        <f t="shared" si="167"/>
        <v>-</v>
      </c>
      <c r="P240" s="203" t="str">
        <f t="shared" si="167"/>
        <v>-</v>
      </c>
      <c r="Q240" s="203" t="str">
        <f t="shared" si="167"/>
        <v>-</v>
      </c>
      <c r="R240" s="203">
        <f t="shared" si="167"/>
        <v>52</v>
      </c>
      <c r="S240" s="203">
        <f t="shared" si="167"/>
        <v>23</v>
      </c>
      <c r="T240" s="203">
        <f t="shared" si="167"/>
        <v>45</v>
      </c>
      <c r="U240" s="203" t="str">
        <f t="shared" si="167"/>
        <v>-</v>
      </c>
      <c r="V240" s="203" t="str">
        <f t="shared" si="167"/>
        <v>-</v>
      </c>
      <c r="W240" s="203" t="str">
        <f t="shared" si="167"/>
        <v>-</v>
      </c>
      <c r="X240" s="203">
        <f t="shared" si="167"/>
        <v>120</v>
      </c>
    </row>
    <row r="241" spans="1:24" s="358" customFormat="1" ht="11.25" customHeight="1" x14ac:dyDescent="0.25">
      <c r="A241" s="123" t="s">
        <v>403</v>
      </c>
      <c r="B241" s="203" t="str">
        <f>B95</f>
        <v>-</v>
      </c>
      <c r="C241" s="203" t="str">
        <f t="shared" ref="C241:L242" si="168">C95</f>
        <v>-</v>
      </c>
      <c r="D241" s="203" t="str">
        <f t="shared" si="168"/>
        <v>-</v>
      </c>
      <c r="E241" s="203">
        <f t="shared" si="168"/>
        <v>325</v>
      </c>
      <c r="F241" s="203">
        <f t="shared" si="168"/>
        <v>2423</v>
      </c>
      <c r="G241" s="203">
        <f t="shared" si="168"/>
        <v>1530</v>
      </c>
      <c r="H241" s="203">
        <f t="shared" si="168"/>
        <v>1177</v>
      </c>
      <c r="I241" s="203">
        <f t="shared" si="168"/>
        <v>74</v>
      </c>
      <c r="J241" s="203" t="str">
        <f t="shared" si="168"/>
        <v>-</v>
      </c>
      <c r="K241" s="203" t="str">
        <f t="shared" si="168"/>
        <v>-</v>
      </c>
      <c r="L241" s="203">
        <f t="shared" si="168"/>
        <v>5529</v>
      </c>
      <c r="M241" s="150"/>
      <c r="N241" s="203" t="str">
        <f t="shared" ref="N241:X242" si="169">N95</f>
        <v>-</v>
      </c>
      <c r="O241" s="203" t="str">
        <f t="shared" si="169"/>
        <v>-</v>
      </c>
      <c r="P241" s="203" t="str">
        <f t="shared" si="169"/>
        <v>-</v>
      </c>
      <c r="Q241" s="203" t="str">
        <f t="shared" si="169"/>
        <v>-</v>
      </c>
      <c r="R241" s="203">
        <f t="shared" si="169"/>
        <v>186</v>
      </c>
      <c r="S241" s="203">
        <f t="shared" si="169"/>
        <v>408</v>
      </c>
      <c r="T241" s="203">
        <f t="shared" si="169"/>
        <v>103</v>
      </c>
      <c r="U241" s="203" t="str">
        <f t="shared" si="169"/>
        <v>-</v>
      </c>
      <c r="V241" s="203" t="str">
        <f t="shared" si="169"/>
        <v>-</v>
      </c>
      <c r="W241" s="203" t="str">
        <f t="shared" si="169"/>
        <v>-</v>
      </c>
      <c r="X241" s="203">
        <f t="shared" si="169"/>
        <v>697</v>
      </c>
    </row>
    <row r="242" spans="1:24" ht="11.25" customHeight="1" x14ac:dyDescent="0.25">
      <c r="A242" s="123" t="s">
        <v>404</v>
      </c>
      <c r="B242" s="203" t="str">
        <f>B96</f>
        <v>-</v>
      </c>
      <c r="C242" s="203" t="str">
        <f t="shared" si="168"/>
        <v>-</v>
      </c>
      <c r="D242" s="203" t="str">
        <f t="shared" si="168"/>
        <v>-</v>
      </c>
      <c r="E242" s="203" t="str">
        <f t="shared" si="168"/>
        <v>-</v>
      </c>
      <c r="F242" s="203">
        <f t="shared" si="168"/>
        <v>566</v>
      </c>
      <c r="G242" s="203">
        <f t="shared" si="168"/>
        <v>2514</v>
      </c>
      <c r="H242" s="203">
        <f t="shared" si="168"/>
        <v>371</v>
      </c>
      <c r="I242" s="203" t="str">
        <f t="shared" si="168"/>
        <v>-</v>
      </c>
      <c r="J242" s="203" t="str">
        <f t="shared" si="168"/>
        <v>-</v>
      </c>
      <c r="K242" s="203" t="str">
        <f t="shared" si="168"/>
        <v>-</v>
      </c>
      <c r="L242" s="203">
        <f t="shared" si="168"/>
        <v>3451</v>
      </c>
      <c r="M242" s="150"/>
      <c r="N242" s="203" t="str">
        <f t="shared" si="169"/>
        <v>-</v>
      </c>
      <c r="O242" s="203" t="str">
        <f t="shared" si="169"/>
        <v>-</v>
      </c>
      <c r="P242" s="203" t="str">
        <f t="shared" si="169"/>
        <v>-</v>
      </c>
      <c r="Q242" s="203" t="str">
        <f t="shared" si="169"/>
        <v>-</v>
      </c>
      <c r="R242" s="203" t="str">
        <f t="shared" si="169"/>
        <v>-</v>
      </c>
      <c r="S242" s="203">
        <f t="shared" si="169"/>
        <v>18</v>
      </c>
      <c r="T242" s="203" t="str">
        <f t="shared" si="169"/>
        <v>-</v>
      </c>
      <c r="U242" s="203" t="str">
        <f t="shared" si="169"/>
        <v>-</v>
      </c>
      <c r="V242" s="203" t="str">
        <f t="shared" si="169"/>
        <v>-</v>
      </c>
      <c r="W242" s="203" t="str">
        <f t="shared" si="169"/>
        <v>-</v>
      </c>
      <c r="X242" s="203">
        <f t="shared" si="169"/>
        <v>18</v>
      </c>
    </row>
    <row r="243" spans="1:24" ht="11.25" customHeight="1" x14ac:dyDescent="0.25">
      <c r="A243" s="383"/>
      <c r="B243" s="200"/>
      <c r="C243" s="200"/>
      <c r="D243" s="200"/>
      <c r="E243" s="200"/>
      <c r="F243" s="200"/>
      <c r="G243" s="200"/>
      <c r="H243" s="200"/>
      <c r="I243" s="200"/>
      <c r="J243" s="200"/>
      <c r="K243" s="200"/>
      <c r="L243" s="200"/>
      <c r="M243" s="39"/>
      <c r="N243" s="200"/>
      <c r="O243" s="200"/>
      <c r="P243" s="200"/>
      <c r="Q243" s="200"/>
      <c r="R243" s="200"/>
      <c r="S243" s="200"/>
      <c r="T243" s="200"/>
      <c r="U243" s="200"/>
      <c r="V243" s="200"/>
      <c r="W243" s="200"/>
      <c r="X243" s="200"/>
    </row>
    <row r="244" spans="1:24" ht="11.25" customHeight="1" x14ac:dyDescent="0.25">
      <c r="A244" s="374" t="s">
        <v>206</v>
      </c>
      <c r="B244" s="374"/>
      <c r="C244" s="374"/>
      <c r="D244" s="374"/>
      <c r="E244" s="374"/>
      <c r="F244" s="374"/>
      <c r="G244" s="374"/>
      <c r="H244" s="374"/>
      <c r="I244" s="374"/>
      <c r="J244" s="374"/>
      <c r="K244" s="374"/>
      <c r="L244" s="374"/>
      <c r="M244" s="374"/>
      <c r="N244" s="374"/>
      <c r="O244" s="374"/>
      <c r="P244" s="374"/>
      <c r="Q244" s="374"/>
      <c r="R244" s="374"/>
      <c r="S244" s="374"/>
      <c r="T244" s="374"/>
      <c r="U244" s="374"/>
      <c r="V244" s="374"/>
      <c r="W244" s="374"/>
      <c r="X244" s="374"/>
    </row>
    <row r="245" spans="1:24" ht="11.25" customHeight="1" x14ac:dyDescent="0.25">
      <c r="A245" s="389" t="s">
        <v>33</v>
      </c>
      <c r="B245" s="58" t="s">
        <v>42</v>
      </c>
      <c r="C245" s="58" t="s">
        <v>43</v>
      </c>
      <c r="D245" s="58" t="s">
        <v>34</v>
      </c>
      <c r="E245" s="58" t="s">
        <v>35</v>
      </c>
      <c r="F245" s="58" t="s">
        <v>36</v>
      </c>
      <c r="G245" s="58" t="s">
        <v>37</v>
      </c>
      <c r="H245" s="58" t="s">
        <v>38</v>
      </c>
      <c r="I245" s="58" t="s">
        <v>39</v>
      </c>
      <c r="J245" s="58" t="s">
        <v>40</v>
      </c>
      <c r="K245" s="58" t="s">
        <v>44</v>
      </c>
      <c r="L245" s="58" t="s">
        <v>28</v>
      </c>
      <c r="M245" s="381"/>
      <c r="N245" s="58" t="s">
        <v>42</v>
      </c>
      <c r="O245" s="58" t="s">
        <v>43</v>
      </c>
      <c r="P245" s="58" t="s">
        <v>34</v>
      </c>
      <c r="Q245" s="58" t="s">
        <v>35</v>
      </c>
      <c r="R245" s="58" t="s">
        <v>36</v>
      </c>
      <c r="S245" s="58" t="s">
        <v>37</v>
      </c>
      <c r="T245" s="58" t="s">
        <v>38</v>
      </c>
      <c r="U245" s="58" t="s">
        <v>39</v>
      </c>
      <c r="V245" s="58" t="s">
        <v>40</v>
      </c>
      <c r="W245" s="58" t="s">
        <v>44</v>
      </c>
      <c r="X245" s="58" t="s">
        <v>28</v>
      </c>
    </row>
    <row r="246" spans="1:24" ht="11.25" customHeight="1" x14ac:dyDescent="0.25">
      <c r="A246" s="383"/>
      <c r="B246" s="583" t="s">
        <v>67</v>
      </c>
      <c r="C246" s="583"/>
      <c r="D246" s="583"/>
      <c r="E246" s="583"/>
      <c r="F246" s="583"/>
      <c r="G246" s="583"/>
      <c r="H246" s="583"/>
      <c r="I246" s="583"/>
      <c r="J246" s="583"/>
      <c r="K246" s="583"/>
      <c r="L246" s="583"/>
      <c r="M246" s="7"/>
      <c r="N246" s="583" t="s">
        <v>68</v>
      </c>
      <c r="O246" s="583"/>
      <c r="P246" s="583"/>
      <c r="Q246" s="583"/>
      <c r="R246" s="583"/>
      <c r="S246" s="583"/>
      <c r="T246" s="583"/>
      <c r="U246" s="583"/>
      <c r="V246" s="583"/>
      <c r="W246" s="583"/>
      <c r="X246" s="583"/>
    </row>
    <row r="247" spans="1:24" ht="11.25" customHeight="1" x14ac:dyDescent="0.25">
      <c r="A247" s="126" t="s">
        <v>88</v>
      </c>
      <c r="B247" s="200"/>
      <c r="C247" s="200"/>
      <c r="D247" s="200"/>
      <c r="E247" s="200"/>
      <c r="F247" s="200"/>
      <c r="G247" s="200"/>
      <c r="H247" s="200"/>
      <c r="I247" s="200"/>
      <c r="J247" s="200"/>
      <c r="K247" s="200"/>
      <c r="L247" s="200"/>
      <c r="M247" s="39"/>
      <c r="N247" s="200"/>
      <c r="O247" s="200"/>
      <c r="P247" s="200"/>
      <c r="Q247" s="200"/>
      <c r="R247" s="200"/>
      <c r="S247" s="200"/>
      <c r="T247" s="200"/>
      <c r="U247" s="200"/>
      <c r="V247" s="200"/>
      <c r="W247" s="200"/>
      <c r="X247" s="200"/>
    </row>
    <row r="248" spans="1:24" ht="11.25" customHeight="1" x14ac:dyDescent="0.25">
      <c r="A248" s="383" t="s">
        <v>30</v>
      </c>
      <c r="B248" s="200">
        <f>AVERAGE(B104:B108)</f>
        <v>5946.6</v>
      </c>
      <c r="C248" s="200">
        <f t="shared" ref="C248:L248" si="170">AVERAGE(C104:C108)</f>
        <v>7265.6</v>
      </c>
      <c r="D248" s="200">
        <f t="shared" si="170"/>
        <v>7238</v>
      </c>
      <c r="E248" s="200">
        <f t="shared" si="170"/>
        <v>7654.4</v>
      </c>
      <c r="F248" s="200">
        <f t="shared" si="170"/>
        <v>13303.2</v>
      </c>
      <c r="G248" s="200">
        <f t="shared" si="170"/>
        <v>18990.2</v>
      </c>
      <c r="H248" s="200">
        <f t="shared" si="170"/>
        <v>16587</v>
      </c>
      <c r="I248" s="200">
        <f t="shared" si="170"/>
        <v>8529.7999999999993</v>
      </c>
      <c r="J248" s="200">
        <f t="shared" si="170"/>
        <v>5546.2</v>
      </c>
      <c r="K248" s="200">
        <f t="shared" si="170"/>
        <v>1410.2</v>
      </c>
      <c r="L248" s="200">
        <f t="shared" si="170"/>
        <v>92471.2</v>
      </c>
      <c r="M248" s="39"/>
      <c r="N248" s="200">
        <f t="shared" ref="N248:X248" si="171">AVERAGE(N104:N108)</f>
        <v>0</v>
      </c>
      <c r="O248" s="200">
        <f t="shared" si="171"/>
        <v>0.6</v>
      </c>
      <c r="P248" s="200">
        <f t="shared" si="171"/>
        <v>21.2</v>
      </c>
      <c r="Q248" s="200">
        <f t="shared" si="171"/>
        <v>148.6</v>
      </c>
      <c r="R248" s="200">
        <f t="shared" si="171"/>
        <v>680</v>
      </c>
      <c r="S248" s="200">
        <f t="shared" si="171"/>
        <v>902.6</v>
      </c>
      <c r="T248" s="200">
        <f t="shared" si="171"/>
        <v>302.60000000000002</v>
      </c>
      <c r="U248" s="200">
        <f t="shared" si="171"/>
        <v>39.6</v>
      </c>
      <c r="V248" s="200">
        <f t="shared" si="171"/>
        <v>29.4</v>
      </c>
      <c r="W248" s="200">
        <f t="shared" si="171"/>
        <v>0</v>
      </c>
      <c r="X248" s="200">
        <f t="shared" si="171"/>
        <v>2124.6</v>
      </c>
    </row>
    <row r="249" spans="1:24" ht="11.25" customHeight="1" x14ac:dyDescent="0.25">
      <c r="A249" s="383" t="s">
        <v>87</v>
      </c>
      <c r="B249" s="200">
        <f>AVERAGE(B109:B113)</f>
        <v>5630.2</v>
      </c>
      <c r="C249" s="200">
        <f t="shared" ref="C249:L249" si="172">AVERAGE(C109:C113)</f>
        <v>15288.4</v>
      </c>
      <c r="D249" s="200">
        <f t="shared" si="172"/>
        <v>26364.6</v>
      </c>
      <c r="E249" s="200">
        <f t="shared" si="172"/>
        <v>10037.200000000001</v>
      </c>
      <c r="F249" s="200">
        <f t="shared" si="172"/>
        <v>18924.599999999999</v>
      </c>
      <c r="G249" s="200">
        <f t="shared" si="172"/>
        <v>28491.4</v>
      </c>
      <c r="H249" s="200">
        <f t="shared" si="172"/>
        <v>17858.2</v>
      </c>
      <c r="I249" s="200">
        <f t="shared" si="172"/>
        <v>7834.4</v>
      </c>
      <c r="J249" s="200">
        <f t="shared" si="172"/>
        <v>4239.6000000000004</v>
      </c>
      <c r="K249" s="200">
        <f t="shared" si="172"/>
        <v>1318.8</v>
      </c>
      <c r="L249" s="200">
        <f t="shared" si="172"/>
        <v>135987.4</v>
      </c>
      <c r="M249" s="39"/>
      <c r="N249" s="200">
        <f t="shared" ref="N249:X249" si="173">AVERAGE(N109:N113)</f>
        <v>0</v>
      </c>
      <c r="O249" s="200">
        <f t="shared" si="173"/>
        <v>0.6</v>
      </c>
      <c r="P249" s="200">
        <f t="shared" si="173"/>
        <v>56</v>
      </c>
      <c r="Q249" s="200">
        <f t="shared" si="173"/>
        <v>212</v>
      </c>
      <c r="R249" s="200">
        <f t="shared" si="173"/>
        <v>1300</v>
      </c>
      <c r="S249" s="200">
        <f t="shared" si="173"/>
        <v>2384.1999999999998</v>
      </c>
      <c r="T249" s="200">
        <f t="shared" si="173"/>
        <v>771.8</v>
      </c>
      <c r="U249" s="200">
        <f t="shared" si="173"/>
        <v>153.19999999999999</v>
      </c>
      <c r="V249" s="200">
        <f t="shared" si="173"/>
        <v>12.2</v>
      </c>
      <c r="W249" s="200">
        <f t="shared" si="173"/>
        <v>0</v>
      </c>
      <c r="X249" s="200">
        <f t="shared" si="173"/>
        <v>4890</v>
      </c>
    </row>
    <row r="250" spans="1:24" ht="11.25" customHeight="1" x14ac:dyDescent="0.25">
      <c r="A250" s="383" t="s">
        <v>14</v>
      </c>
      <c r="B250" s="200">
        <f>AVERAGE(B114:B118)</f>
        <v>484.4</v>
      </c>
      <c r="C250" s="200">
        <f t="shared" ref="C250:X250" si="174">AVERAGE(C114:C118)</f>
        <v>11135.6</v>
      </c>
      <c r="D250" s="200">
        <f t="shared" si="174"/>
        <v>21563.8</v>
      </c>
      <c r="E250" s="200">
        <f t="shared" si="174"/>
        <v>15560.6</v>
      </c>
      <c r="F250" s="200">
        <f t="shared" si="174"/>
        <v>27663.200000000001</v>
      </c>
      <c r="G250" s="200">
        <f t="shared" si="174"/>
        <v>53815.4</v>
      </c>
      <c r="H250" s="200">
        <f t="shared" si="174"/>
        <v>17807.400000000001</v>
      </c>
      <c r="I250" s="200">
        <f t="shared" si="174"/>
        <v>8925.2000000000007</v>
      </c>
      <c r="J250" s="200">
        <f t="shared" si="174"/>
        <v>4450.6000000000004</v>
      </c>
      <c r="K250" s="200">
        <f t="shared" si="174"/>
        <v>159</v>
      </c>
      <c r="L250" s="200">
        <f t="shared" si="174"/>
        <v>161501.6</v>
      </c>
      <c r="M250" s="39"/>
      <c r="N250" s="200">
        <f t="shared" si="174"/>
        <v>0.2</v>
      </c>
      <c r="O250" s="200">
        <f t="shared" si="174"/>
        <v>9.4</v>
      </c>
      <c r="P250" s="200">
        <f t="shared" si="174"/>
        <v>23</v>
      </c>
      <c r="Q250" s="200">
        <f t="shared" si="174"/>
        <v>259.8</v>
      </c>
      <c r="R250" s="200">
        <f t="shared" si="174"/>
        <v>3127.8</v>
      </c>
      <c r="S250" s="200">
        <f t="shared" si="174"/>
        <v>5838.8</v>
      </c>
      <c r="T250" s="200">
        <f t="shared" si="174"/>
        <v>733.2</v>
      </c>
      <c r="U250" s="200">
        <f t="shared" si="174"/>
        <v>142.19999999999999</v>
      </c>
      <c r="V250" s="200">
        <f t="shared" si="174"/>
        <v>24.8</v>
      </c>
      <c r="W250" s="60" t="s">
        <v>116</v>
      </c>
      <c r="X250" s="200">
        <f t="shared" si="174"/>
        <v>10159.200000000001</v>
      </c>
    </row>
    <row r="251" spans="1:24" ht="11.25" customHeight="1" x14ac:dyDescent="0.25">
      <c r="A251" s="383" t="s">
        <v>207</v>
      </c>
      <c r="B251" s="200">
        <f>AVERAGE(B119:B123)</f>
        <v>5.5</v>
      </c>
      <c r="C251" s="200">
        <f t="shared" ref="C251:X251" si="175">AVERAGE(C119:C123)</f>
        <v>14184</v>
      </c>
      <c r="D251" s="200">
        <f t="shared" si="175"/>
        <v>23733.8</v>
      </c>
      <c r="E251" s="200">
        <f t="shared" si="175"/>
        <v>17596.2</v>
      </c>
      <c r="F251" s="200">
        <f t="shared" si="175"/>
        <v>29070.2</v>
      </c>
      <c r="G251" s="200">
        <f t="shared" si="175"/>
        <v>40667.199999999997</v>
      </c>
      <c r="H251" s="200">
        <f t="shared" si="175"/>
        <v>17615.400000000001</v>
      </c>
      <c r="I251" s="200">
        <f t="shared" si="175"/>
        <v>5878.4</v>
      </c>
      <c r="J251" s="200">
        <f t="shared" si="175"/>
        <v>2977</v>
      </c>
      <c r="K251" s="200">
        <f t="shared" si="175"/>
        <v>981.5</v>
      </c>
      <c r="L251" s="200">
        <f t="shared" si="175"/>
        <v>149280.20000000001</v>
      </c>
      <c r="M251" s="39"/>
      <c r="N251" s="200" t="s">
        <v>29</v>
      </c>
      <c r="O251" s="200" t="s">
        <v>29</v>
      </c>
      <c r="P251" s="200">
        <f t="shared" si="175"/>
        <v>3</v>
      </c>
      <c r="Q251" s="200">
        <f t="shared" si="175"/>
        <v>10.666666666666666</v>
      </c>
      <c r="R251" s="200">
        <f t="shared" si="175"/>
        <v>112</v>
      </c>
      <c r="S251" s="200">
        <f t="shared" si="175"/>
        <v>91.2</v>
      </c>
      <c r="T251" s="200">
        <f t="shared" si="175"/>
        <v>59.2</v>
      </c>
      <c r="U251" s="200">
        <f t="shared" si="175"/>
        <v>15.5</v>
      </c>
      <c r="V251" s="200">
        <f t="shared" si="175"/>
        <v>6</v>
      </c>
      <c r="W251" s="200" t="s">
        <v>29</v>
      </c>
      <c r="X251" s="200">
        <f t="shared" si="175"/>
        <v>283</v>
      </c>
    </row>
    <row r="252" spans="1:24" ht="11.25" customHeight="1" x14ac:dyDescent="0.25">
      <c r="A252" s="383" t="s">
        <v>238</v>
      </c>
      <c r="B252" s="200">
        <f>AVERAGE(B124:B128)</f>
        <v>196</v>
      </c>
      <c r="C252" s="200">
        <f>AVERAGE(C124:C128)</f>
        <v>1766.8</v>
      </c>
      <c r="D252" s="200">
        <f>AVERAGE(D124:D128)</f>
        <v>22222.400000000001</v>
      </c>
      <c r="E252" s="200">
        <f t="shared" ref="E252:L252" si="176">AVERAGE(E124:E128)</f>
        <v>17030.599999999999</v>
      </c>
      <c r="F252" s="200">
        <f t="shared" si="176"/>
        <v>24567.4</v>
      </c>
      <c r="G252" s="200">
        <f t="shared" si="176"/>
        <v>41719.199999999997</v>
      </c>
      <c r="H252" s="200">
        <f t="shared" si="176"/>
        <v>15499.8</v>
      </c>
      <c r="I252" s="200">
        <f t="shared" si="176"/>
        <v>6749</v>
      </c>
      <c r="J252" s="200">
        <f t="shared" si="176"/>
        <v>2248</v>
      </c>
      <c r="K252" s="200">
        <f t="shared" si="176"/>
        <v>395.4</v>
      </c>
      <c r="L252" s="200">
        <f t="shared" si="176"/>
        <v>132355.4</v>
      </c>
      <c r="M252" s="39"/>
      <c r="N252" s="200" t="str">
        <f>N124</f>
        <v>-</v>
      </c>
      <c r="O252" s="200" t="str">
        <f>O124</f>
        <v>-</v>
      </c>
      <c r="P252" s="200">
        <f t="shared" ref="P252:U252" si="177">AVERAGE(P124:P128)</f>
        <v>3</v>
      </c>
      <c r="Q252" s="200">
        <f t="shared" si="177"/>
        <v>117.6</v>
      </c>
      <c r="R252" s="200">
        <f t="shared" si="177"/>
        <v>178.6</v>
      </c>
      <c r="S252" s="200">
        <f t="shared" si="177"/>
        <v>340.4</v>
      </c>
      <c r="T252" s="200">
        <f t="shared" si="177"/>
        <v>66.400000000000006</v>
      </c>
      <c r="U252" s="200">
        <f t="shared" si="177"/>
        <v>21.5</v>
      </c>
      <c r="V252" s="200" t="str">
        <f>V124</f>
        <v>-</v>
      </c>
      <c r="W252" s="200" t="str">
        <f>W124</f>
        <v>-</v>
      </c>
      <c r="X252" s="200">
        <f>AVERAGE(X124:X128)</f>
        <v>712.8</v>
      </c>
    </row>
    <row r="253" spans="1:24" ht="11.25" customHeight="1" x14ac:dyDescent="0.25">
      <c r="A253" s="383">
        <v>2006</v>
      </c>
      <c r="B253" s="200">
        <f>B129</f>
        <v>55</v>
      </c>
      <c r="C253" s="200">
        <f t="shared" ref="C253:L253" si="178">C129</f>
        <v>109</v>
      </c>
      <c r="D253" s="200">
        <f t="shared" si="178"/>
        <v>9408</v>
      </c>
      <c r="E253" s="200">
        <f t="shared" si="178"/>
        <v>14233</v>
      </c>
      <c r="F253" s="200">
        <f t="shared" si="178"/>
        <v>24099</v>
      </c>
      <c r="G253" s="200">
        <f t="shared" si="178"/>
        <v>26657</v>
      </c>
      <c r="H253" s="200">
        <f t="shared" si="178"/>
        <v>4023</v>
      </c>
      <c r="I253" s="200">
        <f t="shared" si="178"/>
        <v>982</v>
      </c>
      <c r="J253" s="200">
        <f t="shared" si="178"/>
        <v>256</v>
      </c>
      <c r="K253" s="200">
        <f t="shared" si="178"/>
        <v>67</v>
      </c>
      <c r="L253" s="200">
        <f t="shared" si="178"/>
        <v>79889</v>
      </c>
      <c r="M253" s="39"/>
      <c r="N253" s="200" t="str">
        <f t="shared" ref="N253:X253" si="179">N129</f>
        <v>-</v>
      </c>
      <c r="O253" s="200" t="str">
        <f t="shared" si="179"/>
        <v>-</v>
      </c>
      <c r="P253" s="200" t="str">
        <f t="shared" si="179"/>
        <v>-</v>
      </c>
      <c r="Q253" s="200">
        <f t="shared" si="179"/>
        <v>108</v>
      </c>
      <c r="R253" s="200">
        <f t="shared" si="179"/>
        <v>640</v>
      </c>
      <c r="S253" s="200">
        <f t="shared" si="179"/>
        <v>588</v>
      </c>
      <c r="T253" s="200">
        <f t="shared" si="179"/>
        <v>49</v>
      </c>
      <c r="U253" s="200" t="str">
        <f t="shared" si="179"/>
        <v>-</v>
      </c>
      <c r="V253" s="200" t="str">
        <f t="shared" si="179"/>
        <v>-</v>
      </c>
      <c r="W253" s="200" t="str">
        <f t="shared" si="179"/>
        <v>-</v>
      </c>
      <c r="X253" s="200">
        <f t="shared" si="179"/>
        <v>1385</v>
      </c>
    </row>
    <row r="254" spans="1:24" ht="11.25" customHeight="1" x14ac:dyDescent="0.25">
      <c r="A254" s="402">
        <v>2007</v>
      </c>
      <c r="B254" s="203">
        <f>B130</f>
        <v>48</v>
      </c>
      <c r="C254" s="203">
        <f t="shared" ref="C254:L254" si="180">C130</f>
        <v>200</v>
      </c>
      <c r="D254" s="203">
        <f t="shared" si="180"/>
        <v>3152</v>
      </c>
      <c r="E254" s="203">
        <f t="shared" si="180"/>
        <v>6405</v>
      </c>
      <c r="F254" s="203">
        <f t="shared" si="180"/>
        <v>8613</v>
      </c>
      <c r="G254" s="203">
        <f t="shared" si="180"/>
        <v>8080</v>
      </c>
      <c r="H254" s="203">
        <f t="shared" si="180"/>
        <v>1154</v>
      </c>
      <c r="I254" s="203">
        <f t="shared" si="180"/>
        <v>390</v>
      </c>
      <c r="J254" s="203">
        <f t="shared" si="180"/>
        <v>441</v>
      </c>
      <c r="K254" s="203">
        <f t="shared" si="180"/>
        <v>325</v>
      </c>
      <c r="L254" s="203">
        <f t="shared" si="180"/>
        <v>28808</v>
      </c>
      <c r="M254" s="150"/>
      <c r="N254" s="203" t="str">
        <f t="shared" ref="N254:X254" si="181">N130</f>
        <v>-</v>
      </c>
      <c r="O254" s="203" t="str">
        <f t="shared" si="181"/>
        <v>-</v>
      </c>
      <c r="P254" s="203" t="str">
        <f t="shared" si="181"/>
        <v>-</v>
      </c>
      <c r="Q254" s="203">
        <f t="shared" si="181"/>
        <v>53</v>
      </c>
      <c r="R254" s="203">
        <f t="shared" si="181"/>
        <v>104</v>
      </c>
      <c r="S254" s="203">
        <f t="shared" si="181"/>
        <v>149</v>
      </c>
      <c r="T254" s="203">
        <f t="shared" si="181"/>
        <v>25</v>
      </c>
      <c r="U254" s="203">
        <f t="shared" si="181"/>
        <v>14</v>
      </c>
      <c r="V254" s="203" t="str">
        <f t="shared" si="181"/>
        <v>-</v>
      </c>
      <c r="W254" s="203" t="str">
        <f t="shared" si="181"/>
        <v>-</v>
      </c>
      <c r="X254" s="203">
        <f t="shared" si="181"/>
        <v>345</v>
      </c>
    </row>
    <row r="255" spans="1:24" ht="11.25" customHeight="1" x14ac:dyDescent="0.25">
      <c r="A255" s="402">
        <v>2008</v>
      </c>
      <c r="B255" s="203">
        <f>B131</f>
        <v>0</v>
      </c>
      <c r="C255" s="203">
        <f t="shared" ref="C255:L255" si="182">C131</f>
        <v>6</v>
      </c>
      <c r="D255" s="203" t="str">
        <f t="shared" si="182"/>
        <v>-</v>
      </c>
      <c r="E255" s="203" t="str">
        <f t="shared" si="182"/>
        <v>-</v>
      </c>
      <c r="F255" s="203" t="str">
        <f t="shared" si="182"/>
        <v>-</v>
      </c>
      <c r="G255" s="203" t="str">
        <f t="shared" si="182"/>
        <v>-</v>
      </c>
      <c r="H255" s="203" t="str">
        <f t="shared" si="182"/>
        <v>-</v>
      </c>
      <c r="I255" s="203" t="str">
        <f t="shared" si="182"/>
        <v>-</v>
      </c>
      <c r="J255" s="203" t="str">
        <f t="shared" si="182"/>
        <v>-</v>
      </c>
      <c r="K255" s="203" t="str">
        <f t="shared" si="182"/>
        <v>-</v>
      </c>
      <c r="L255" s="203">
        <f t="shared" si="182"/>
        <v>6</v>
      </c>
      <c r="M255" s="150"/>
      <c r="N255" s="203" t="str">
        <f t="shared" ref="N255:X255" si="183">N131</f>
        <v>-</v>
      </c>
      <c r="O255" s="203" t="str">
        <f t="shared" si="183"/>
        <v>-</v>
      </c>
      <c r="P255" s="203" t="str">
        <f t="shared" si="183"/>
        <v>-</v>
      </c>
      <c r="Q255" s="203" t="str">
        <f t="shared" si="183"/>
        <v>-</v>
      </c>
      <c r="R255" s="203" t="str">
        <f t="shared" si="183"/>
        <v>-</v>
      </c>
      <c r="S255" s="203" t="str">
        <f t="shared" si="183"/>
        <v>-</v>
      </c>
      <c r="T255" s="203" t="str">
        <f t="shared" si="183"/>
        <v>-</v>
      </c>
      <c r="U255" s="203" t="str">
        <f t="shared" si="183"/>
        <v>-</v>
      </c>
      <c r="V255" s="203" t="str">
        <f t="shared" si="183"/>
        <v>-</v>
      </c>
      <c r="W255" s="203" t="str">
        <f t="shared" si="183"/>
        <v>-</v>
      </c>
      <c r="X255" s="203" t="str">
        <f t="shared" si="183"/>
        <v>-</v>
      </c>
    </row>
    <row r="256" spans="1:24" ht="11.25" customHeight="1" x14ac:dyDescent="0.25">
      <c r="A256" s="402">
        <v>2009</v>
      </c>
      <c r="B256" s="203" t="str">
        <f t="shared" ref="B256:L256" si="184">B132</f>
        <v>-</v>
      </c>
      <c r="C256" s="203" t="str">
        <f t="shared" si="184"/>
        <v>-</v>
      </c>
      <c r="D256" s="203" t="str">
        <f t="shared" si="184"/>
        <v>-</v>
      </c>
      <c r="E256" s="203" t="str">
        <f t="shared" si="184"/>
        <v>-</v>
      </c>
      <c r="F256" s="203" t="str">
        <f t="shared" si="184"/>
        <v>-</v>
      </c>
      <c r="G256" s="203" t="str">
        <f t="shared" si="184"/>
        <v>-</v>
      </c>
      <c r="H256" s="203" t="str">
        <f t="shared" si="184"/>
        <v>-</v>
      </c>
      <c r="I256" s="203" t="str">
        <f t="shared" si="184"/>
        <v>-</v>
      </c>
      <c r="J256" s="203" t="str">
        <f t="shared" si="184"/>
        <v>-</v>
      </c>
      <c r="K256" s="203" t="str">
        <f t="shared" si="184"/>
        <v>-</v>
      </c>
      <c r="L256" s="203" t="str">
        <f t="shared" si="184"/>
        <v>-</v>
      </c>
      <c r="M256" s="150"/>
      <c r="N256" s="203" t="str">
        <f t="shared" ref="N256:X256" si="185">N132</f>
        <v>-</v>
      </c>
      <c r="O256" s="203" t="str">
        <f t="shared" si="185"/>
        <v>-</v>
      </c>
      <c r="P256" s="203" t="str">
        <f t="shared" si="185"/>
        <v>-</v>
      </c>
      <c r="Q256" s="203" t="str">
        <f t="shared" si="185"/>
        <v>-</v>
      </c>
      <c r="R256" s="203" t="str">
        <f t="shared" si="185"/>
        <v>-</v>
      </c>
      <c r="S256" s="203" t="str">
        <f t="shared" si="185"/>
        <v>-</v>
      </c>
      <c r="T256" s="203" t="str">
        <f t="shared" si="185"/>
        <v>-</v>
      </c>
      <c r="U256" s="203" t="str">
        <f t="shared" si="185"/>
        <v>-</v>
      </c>
      <c r="V256" s="203" t="str">
        <f t="shared" si="185"/>
        <v>-</v>
      </c>
      <c r="W256" s="203" t="str">
        <f t="shared" si="185"/>
        <v>-</v>
      </c>
      <c r="X256" s="203" t="str">
        <f t="shared" si="185"/>
        <v>-</v>
      </c>
    </row>
    <row r="257" spans="1:24" ht="11.25" customHeight="1" x14ac:dyDescent="0.25">
      <c r="A257" s="402">
        <v>2010</v>
      </c>
      <c r="B257" s="203" t="str">
        <f t="shared" ref="B257:L257" si="186">B133</f>
        <v>-</v>
      </c>
      <c r="C257" s="203" t="str">
        <f t="shared" si="186"/>
        <v>-</v>
      </c>
      <c r="D257" s="203">
        <f t="shared" si="186"/>
        <v>5265</v>
      </c>
      <c r="E257" s="203">
        <f t="shared" si="186"/>
        <v>2408</v>
      </c>
      <c r="F257" s="203">
        <f t="shared" si="186"/>
        <v>630</v>
      </c>
      <c r="G257" s="203">
        <f t="shared" si="186"/>
        <v>2568</v>
      </c>
      <c r="H257" s="203">
        <f t="shared" si="186"/>
        <v>2823</v>
      </c>
      <c r="I257" s="203">
        <f t="shared" si="186"/>
        <v>395</v>
      </c>
      <c r="J257" s="203" t="str">
        <f t="shared" si="186"/>
        <v>-</v>
      </c>
      <c r="K257" s="203" t="str">
        <f t="shared" si="186"/>
        <v>-</v>
      </c>
      <c r="L257" s="203">
        <f t="shared" si="186"/>
        <v>14089</v>
      </c>
      <c r="M257" s="150"/>
      <c r="N257" s="203" t="str">
        <f t="shared" ref="N257:X257" si="187">N133</f>
        <v>-</v>
      </c>
      <c r="O257" s="203" t="str">
        <f t="shared" si="187"/>
        <v>-</v>
      </c>
      <c r="P257" s="203">
        <f t="shared" si="187"/>
        <v>8</v>
      </c>
      <c r="Q257" s="203">
        <f t="shared" si="187"/>
        <v>7</v>
      </c>
      <c r="R257" s="203">
        <f t="shared" si="187"/>
        <v>68</v>
      </c>
      <c r="S257" s="203">
        <f t="shared" si="187"/>
        <v>15</v>
      </c>
      <c r="T257" s="203">
        <f t="shared" si="187"/>
        <v>19</v>
      </c>
      <c r="U257" s="203">
        <f t="shared" si="187"/>
        <v>8</v>
      </c>
      <c r="V257" s="203" t="str">
        <f t="shared" si="187"/>
        <v>-</v>
      </c>
      <c r="W257" s="203" t="str">
        <f t="shared" si="187"/>
        <v>-</v>
      </c>
      <c r="X257" s="203">
        <f t="shared" si="187"/>
        <v>125</v>
      </c>
    </row>
    <row r="258" spans="1:24" ht="11.25" customHeight="1" x14ac:dyDescent="0.25">
      <c r="A258" s="402">
        <v>2011</v>
      </c>
      <c r="B258" s="203" t="str">
        <f t="shared" ref="B258:L258" si="188">B134</f>
        <v>-</v>
      </c>
      <c r="C258" s="203" t="str">
        <f t="shared" si="188"/>
        <v>-</v>
      </c>
      <c r="D258" s="203">
        <f t="shared" si="188"/>
        <v>5522</v>
      </c>
      <c r="E258" s="203">
        <f t="shared" si="188"/>
        <v>1919</v>
      </c>
      <c r="F258" s="203">
        <f t="shared" si="188"/>
        <v>2434</v>
      </c>
      <c r="G258" s="203">
        <f t="shared" si="188"/>
        <v>12498</v>
      </c>
      <c r="H258" s="203">
        <f t="shared" si="188"/>
        <v>9410</v>
      </c>
      <c r="I258" s="203">
        <f t="shared" si="188"/>
        <v>6794</v>
      </c>
      <c r="J258" s="203">
        <f t="shared" si="188"/>
        <v>1258</v>
      </c>
      <c r="K258" s="203" t="str">
        <f t="shared" si="188"/>
        <v>-</v>
      </c>
      <c r="L258" s="203">
        <f t="shared" si="188"/>
        <v>39835</v>
      </c>
      <c r="M258" s="150"/>
      <c r="N258" s="203" t="str">
        <f t="shared" ref="N258:X258" si="189">N134</f>
        <v>-</v>
      </c>
      <c r="O258" s="203" t="str">
        <f t="shared" si="189"/>
        <v>-</v>
      </c>
      <c r="P258" s="203">
        <f t="shared" si="189"/>
        <v>8</v>
      </c>
      <c r="Q258" s="203">
        <f t="shared" si="189"/>
        <v>10</v>
      </c>
      <c r="R258" s="203">
        <f t="shared" si="189"/>
        <v>62</v>
      </c>
      <c r="S258" s="203">
        <f t="shared" si="189"/>
        <v>116</v>
      </c>
      <c r="T258" s="203">
        <f t="shared" si="189"/>
        <v>17</v>
      </c>
      <c r="U258" s="203" t="str">
        <f t="shared" si="189"/>
        <v>-</v>
      </c>
      <c r="V258" s="203">
        <f t="shared" si="189"/>
        <v>5</v>
      </c>
      <c r="W258" s="203" t="str">
        <f t="shared" si="189"/>
        <v>-</v>
      </c>
      <c r="X258" s="203">
        <f t="shared" si="189"/>
        <v>218</v>
      </c>
    </row>
    <row r="259" spans="1:24" ht="11.25" customHeight="1" x14ac:dyDescent="0.25">
      <c r="A259" s="402">
        <v>2012</v>
      </c>
      <c r="B259" s="203" t="str">
        <f t="shared" ref="B259:L259" si="190">B135</f>
        <v>-</v>
      </c>
      <c r="C259" s="203" t="str">
        <f t="shared" si="190"/>
        <v>-</v>
      </c>
      <c r="D259" s="203">
        <f t="shared" si="190"/>
        <v>18786</v>
      </c>
      <c r="E259" s="203">
        <f t="shared" si="190"/>
        <v>11146</v>
      </c>
      <c r="F259" s="203">
        <f t="shared" si="190"/>
        <v>17027</v>
      </c>
      <c r="G259" s="203">
        <f t="shared" si="190"/>
        <v>23897</v>
      </c>
      <c r="H259" s="203">
        <f t="shared" si="190"/>
        <v>6987</v>
      </c>
      <c r="I259" s="203">
        <f t="shared" si="190"/>
        <v>4385</v>
      </c>
      <c r="J259" s="203">
        <f t="shared" si="190"/>
        <v>2094</v>
      </c>
      <c r="K259" s="203">
        <f t="shared" si="190"/>
        <v>160</v>
      </c>
      <c r="L259" s="203">
        <f t="shared" si="190"/>
        <v>84482</v>
      </c>
      <c r="M259" s="150"/>
      <c r="N259" s="203" t="str">
        <f t="shared" ref="N259:X259" si="191">N135</f>
        <v>-</v>
      </c>
      <c r="O259" s="203" t="str">
        <f t="shared" si="191"/>
        <v>-</v>
      </c>
      <c r="P259" s="203" t="str">
        <f t="shared" si="191"/>
        <v>-</v>
      </c>
      <c r="Q259" s="203">
        <f t="shared" si="191"/>
        <v>3</v>
      </c>
      <c r="R259" s="203">
        <f t="shared" si="191"/>
        <v>14</v>
      </c>
      <c r="S259" s="203">
        <f t="shared" si="191"/>
        <v>14</v>
      </c>
      <c r="T259" s="203" t="str">
        <f t="shared" si="191"/>
        <v>-</v>
      </c>
      <c r="U259" s="203">
        <f t="shared" si="191"/>
        <v>3</v>
      </c>
      <c r="V259" s="203" t="str">
        <f t="shared" si="191"/>
        <v>-</v>
      </c>
      <c r="W259" s="203" t="str">
        <f t="shared" si="191"/>
        <v>-</v>
      </c>
      <c r="X259" s="203">
        <f t="shared" si="191"/>
        <v>34</v>
      </c>
    </row>
    <row r="260" spans="1:24" ht="11.25" customHeight="1" x14ac:dyDescent="0.25">
      <c r="A260" s="402">
        <v>2013</v>
      </c>
      <c r="B260" s="203" t="str">
        <f t="shared" ref="B260:L260" si="192">B136</f>
        <v>-</v>
      </c>
      <c r="C260" s="203" t="str">
        <f t="shared" si="192"/>
        <v>-</v>
      </c>
      <c r="D260" s="203">
        <f t="shared" si="192"/>
        <v>13656</v>
      </c>
      <c r="E260" s="203">
        <f t="shared" si="192"/>
        <v>11337</v>
      </c>
      <c r="F260" s="203">
        <f t="shared" si="192"/>
        <v>15729</v>
      </c>
      <c r="G260" s="203">
        <f t="shared" si="192"/>
        <v>29204</v>
      </c>
      <c r="H260" s="203">
        <f t="shared" si="192"/>
        <v>8554</v>
      </c>
      <c r="I260" s="203">
        <f t="shared" si="192"/>
        <v>2167</v>
      </c>
      <c r="J260" s="203">
        <f t="shared" si="192"/>
        <v>1359</v>
      </c>
      <c r="K260" s="203">
        <f t="shared" si="192"/>
        <v>87</v>
      </c>
      <c r="L260" s="203">
        <f t="shared" si="192"/>
        <v>82093</v>
      </c>
      <c r="M260" s="150"/>
      <c r="N260" s="203" t="str">
        <f t="shared" ref="N260:X260" si="193">N136</f>
        <v>-</v>
      </c>
      <c r="O260" s="203" t="str">
        <f t="shared" si="193"/>
        <v>-</v>
      </c>
      <c r="P260" s="203" t="str">
        <f t="shared" si="193"/>
        <v>-</v>
      </c>
      <c r="Q260" s="203" t="str">
        <f t="shared" si="193"/>
        <v>-</v>
      </c>
      <c r="R260" s="203">
        <f t="shared" si="193"/>
        <v>34</v>
      </c>
      <c r="S260" s="203">
        <f t="shared" si="193"/>
        <v>86</v>
      </c>
      <c r="T260" s="203">
        <f t="shared" si="193"/>
        <v>4</v>
      </c>
      <c r="U260" s="203" t="str">
        <f t="shared" si="193"/>
        <v>-</v>
      </c>
      <c r="V260" s="203" t="str">
        <f t="shared" si="193"/>
        <v>-</v>
      </c>
      <c r="W260" s="203" t="str">
        <f t="shared" si="193"/>
        <v>-</v>
      </c>
      <c r="X260" s="203">
        <f t="shared" si="193"/>
        <v>124</v>
      </c>
    </row>
    <row r="261" spans="1:24" ht="11.25" customHeight="1" x14ac:dyDescent="0.25">
      <c r="A261" s="402">
        <v>2014</v>
      </c>
      <c r="B261" s="203" t="str">
        <f t="shared" ref="B261:L261" si="194">B137</f>
        <v>-</v>
      </c>
      <c r="C261" s="203" t="str">
        <f t="shared" si="194"/>
        <v>-</v>
      </c>
      <c r="D261" s="203">
        <f t="shared" si="194"/>
        <v>13924</v>
      </c>
      <c r="E261" s="203">
        <f t="shared" si="194"/>
        <v>3912</v>
      </c>
      <c r="F261" s="203">
        <f t="shared" si="194"/>
        <v>2699</v>
      </c>
      <c r="G261" s="203">
        <f t="shared" si="194"/>
        <v>15235</v>
      </c>
      <c r="H261" s="203">
        <f t="shared" si="194"/>
        <v>13642</v>
      </c>
      <c r="I261" s="203">
        <f t="shared" si="194"/>
        <v>6403</v>
      </c>
      <c r="J261" s="203">
        <f t="shared" si="194"/>
        <v>3073</v>
      </c>
      <c r="K261" s="203">
        <f t="shared" si="194"/>
        <v>125</v>
      </c>
      <c r="L261" s="203">
        <f t="shared" si="194"/>
        <v>59013</v>
      </c>
      <c r="M261" s="150"/>
      <c r="N261" s="203" t="str">
        <f t="shared" ref="N261:X261" si="195">N137</f>
        <v>-</v>
      </c>
      <c r="O261" s="203" t="str">
        <f t="shared" si="195"/>
        <v>-</v>
      </c>
      <c r="P261" s="203" t="str">
        <f t="shared" si="195"/>
        <v>-</v>
      </c>
      <c r="Q261" s="203">
        <f t="shared" si="195"/>
        <v>4</v>
      </c>
      <c r="R261" s="203">
        <f t="shared" si="195"/>
        <v>30</v>
      </c>
      <c r="S261" s="203">
        <f t="shared" si="195"/>
        <v>163</v>
      </c>
      <c r="T261" s="203" t="str">
        <f t="shared" si="195"/>
        <v>-</v>
      </c>
      <c r="U261" s="203" t="str">
        <f t="shared" si="195"/>
        <v>-</v>
      </c>
      <c r="V261" s="203" t="str">
        <f t="shared" si="195"/>
        <v>-</v>
      </c>
      <c r="W261" s="203" t="str">
        <f t="shared" si="195"/>
        <v>-</v>
      </c>
      <c r="X261" s="203">
        <f t="shared" si="195"/>
        <v>197</v>
      </c>
    </row>
    <row r="262" spans="1:24" ht="11.25" customHeight="1" x14ac:dyDescent="0.25">
      <c r="A262" s="402">
        <v>2015</v>
      </c>
      <c r="B262" s="203" t="str">
        <f t="shared" ref="B262:L262" si="196">B138</f>
        <v>-</v>
      </c>
      <c r="C262" s="203" t="str">
        <f t="shared" si="196"/>
        <v>-</v>
      </c>
      <c r="D262" s="203">
        <f t="shared" si="196"/>
        <v>3024</v>
      </c>
      <c r="E262" s="203">
        <f t="shared" si="196"/>
        <v>1893</v>
      </c>
      <c r="F262" s="203">
        <f t="shared" si="196"/>
        <v>3154</v>
      </c>
      <c r="G262" s="203">
        <f t="shared" si="196"/>
        <v>8510</v>
      </c>
      <c r="H262" s="203">
        <f t="shared" si="196"/>
        <v>7435</v>
      </c>
      <c r="I262" s="203">
        <f t="shared" si="196"/>
        <v>8197</v>
      </c>
      <c r="J262" s="203">
        <f t="shared" si="196"/>
        <v>1577</v>
      </c>
      <c r="K262" s="203">
        <f t="shared" si="196"/>
        <v>0</v>
      </c>
      <c r="L262" s="203">
        <f t="shared" si="196"/>
        <v>33790</v>
      </c>
      <c r="M262" s="150"/>
      <c r="N262" s="203" t="str">
        <f t="shared" ref="N262:X262" si="197">N138</f>
        <v>-</v>
      </c>
      <c r="O262" s="203" t="str">
        <f t="shared" si="197"/>
        <v>-</v>
      </c>
      <c r="P262" s="203" t="str">
        <f t="shared" si="197"/>
        <v>-</v>
      </c>
      <c r="Q262" s="203">
        <f t="shared" si="197"/>
        <v>5</v>
      </c>
      <c r="R262" s="203">
        <f t="shared" si="197"/>
        <v>4</v>
      </c>
      <c r="S262" s="203">
        <f t="shared" si="197"/>
        <v>15</v>
      </c>
      <c r="T262" s="203">
        <f t="shared" si="197"/>
        <v>5</v>
      </c>
      <c r="U262" s="203" t="str">
        <f t="shared" si="197"/>
        <v>-</v>
      </c>
      <c r="V262" s="203" t="str">
        <f t="shared" si="197"/>
        <v>-</v>
      </c>
      <c r="W262" s="203" t="str">
        <f t="shared" si="197"/>
        <v>-</v>
      </c>
      <c r="X262" s="203">
        <f t="shared" si="197"/>
        <v>29</v>
      </c>
    </row>
    <row r="263" spans="1:24" ht="11.25" customHeight="1" x14ac:dyDescent="0.25">
      <c r="A263" s="402">
        <v>2016</v>
      </c>
      <c r="B263" s="203" t="str">
        <f t="shared" ref="B263:L263" si="198">B139</f>
        <v>-</v>
      </c>
      <c r="C263" s="203" t="str">
        <f t="shared" si="198"/>
        <v>-</v>
      </c>
      <c r="D263" s="203">
        <f t="shared" si="198"/>
        <v>2030</v>
      </c>
      <c r="E263" s="203">
        <f t="shared" si="198"/>
        <v>4239</v>
      </c>
      <c r="F263" s="203">
        <f t="shared" si="198"/>
        <v>1522</v>
      </c>
      <c r="G263" s="203">
        <f t="shared" si="198"/>
        <v>11549</v>
      </c>
      <c r="H263" s="203">
        <f t="shared" si="198"/>
        <v>7101</v>
      </c>
      <c r="I263" s="203">
        <f t="shared" si="198"/>
        <v>5933</v>
      </c>
      <c r="J263" s="203">
        <f t="shared" si="198"/>
        <v>638</v>
      </c>
      <c r="K263" s="203">
        <f t="shared" si="198"/>
        <v>0</v>
      </c>
      <c r="L263" s="203">
        <f t="shared" si="198"/>
        <v>33012</v>
      </c>
      <c r="M263" s="150"/>
      <c r="N263" s="203" t="str">
        <f t="shared" ref="N263:X263" si="199">N139</f>
        <v>-</v>
      </c>
      <c r="O263" s="203" t="str">
        <f t="shared" si="199"/>
        <v>-</v>
      </c>
      <c r="P263" s="203" t="str">
        <f t="shared" si="199"/>
        <v>-</v>
      </c>
      <c r="Q263" s="203" t="str">
        <f t="shared" si="199"/>
        <v>-</v>
      </c>
      <c r="R263" s="203" t="str">
        <f t="shared" si="199"/>
        <v>-</v>
      </c>
      <c r="S263" s="203">
        <f t="shared" si="199"/>
        <v>35</v>
      </c>
      <c r="T263" s="203">
        <f t="shared" si="199"/>
        <v>8</v>
      </c>
      <c r="U263" s="203" t="str">
        <f t="shared" si="199"/>
        <v>-</v>
      </c>
      <c r="V263" s="203" t="str">
        <f t="shared" si="199"/>
        <v>-</v>
      </c>
      <c r="W263" s="203" t="str">
        <f t="shared" si="199"/>
        <v>-</v>
      </c>
      <c r="X263" s="203">
        <f t="shared" si="199"/>
        <v>43</v>
      </c>
    </row>
    <row r="264" spans="1:24" ht="11.25" customHeight="1" x14ac:dyDescent="0.25">
      <c r="A264" s="402">
        <v>2017</v>
      </c>
      <c r="B264" s="203" t="str">
        <f t="shared" ref="B264:L264" si="200">B140</f>
        <v>-</v>
      </c>
      <c r="C264" s="203" t="str">
        <f t="shared" si="200"/>
        <v>-</v>
      </c>
      <c r="D264" s="203">
        <f t="shared" si="200"/>
        <v>4298</v>
      </c>
      <c r="E264" s="203">
        <f t="shared" si="200"/>
        <v>2305</v>
      </c>
      <c r="F264" s="203">
        <f t="shared" si="200"/>
        <v>5433</v>
      </c>
      <c r="G264" s="203">
        <f t="shared" si="200"/>
        <v>26241</v>
      </c>
      <c r="H264" s="203">
        <f t="shared" si="200"/>
        <v>18809</v>
      </c>
      <c r="I264" s="203">
        <f t="shared" si="200"/>
        <v>4260</v>
      </c>
      <c r="J264" s="203">
        <f t="shared" si="200"/>
        <v>851</v>
      </c>
      <c r="K264" s="203">
        <f t="shared" si="200"/>
        <v>0</v>
      </c>
      <c r="L264" s="203">
        <f t="shared" si="200"/>
        <v>62197</v>
      </c>
      <c r="M264" s="150"/>
      <c r="N264" s="203" t="str">
        <f t="shared" ref="N264:X264" si="201">N140</f>
        <v>-</v>
      </c>
      <c r="O264" s="203" t="str">
        <f t="shared" si="201"/>
        <v>-</v>
      </c>
      <c r="P264" s="203" t="str">
        <f t="shared" si="201"/>
        <v>-</v>
      </c>
      <c r="Q264" s="203">
        <f t="shared" si="201"/>
        <v>3</v>
      </c>
      <c r="R264" s="203" t="str">
        <f t="shared" si="201"/>
        <v>-</v>
      </c>
      <c r="S264" s="203">
        <f t="shared" si="201"/>
        <v>418</v>
      </c>
      <c r="T264" s="203">
        <f t="shared" si="201"/>
        <v>44</v>
      </c>
      <c r="U264" s="203" t="str">
        <f t="shared" si="201"/>
        <v>-</v>
      </c>
      <c r="V264" s="203" t="str">
        <f t="shared" si="201"/>
        <v>-</v>
      </c>
      <c r="W264" s="203" t="str">
        <f t="shared" si="201"/>
        <v>-</v>
      </c>
      <c r="X264" s="203">
        <f t="shared" si="201"/>
        <v>465</v>
      </c>
    </row>
    <row r="265" spans="1:24" s="358" customFormat="1" ht="11.25" customHeight="1" x14ac:dyDescent="0.25">
      <c r="A265" s="402">
        <v>2018</v>
      </c>
      <c r="B265" s="203" t="str">
        <f t="shared" ref="B265:L265" si="202">B141</f>
        <v>-</v>
      </c>
      <c r="C265" s="203" t="str">
        <f t="shared" si="202"/>
        <v>-</v>
      </c>
      <c r="D265" s="203">
        <f t="shared" si="202"/>
        <v>3935</v>
      </c>
      <c r="E265" s="203">
        <f t="shared" si="202"/>
        <v>476</v>
      </c>
      <c r="F265" s="203">
        <f t="shared" si="202"/>
        <v>13058</v>
      </c>
      <c r="G265" s="203">
        <f t="shared" si="202"/>
        <v>41588</v>
      </c>
      <c r="H265" s="203">
        <f t="shared" si="202"/>
        <v>13563</v>
      </c>
      <c r="I265" s="203">
        <f t="shared" si="202"/>
        <v>6784</v>
      </c>
      <c r="J265" s="203">
        <f t="shared" si="202"/>
        <v>4172</v>
      </c>
      <c r="K265" s="203" t="str">
        <f t="shared" si="202"/>
        <v>-</v>
      </c>
      <c r="L265" s="203">
        <f t="shared" si="202"/>
        <v>83576</v>
      </c>
      <c r="M265" s="150"/>
      <c r="N265" s="203" t="str">
        <f t="shared" ref="N265:X265" si="203">N141</f>
        <v>-</v>
      </c>
      <c r="O265" s="203" t="str">
        <f t="shared" si="203"/>
        <v>-</v>
      </c>
      <c r="P265" s="203" t="str">
        <f t="shared" si="203"/>
        <v>-</v>
      </c>
      <c r="Q265" s="203" t="str">
        <f t="shared" si="203"/>
        <v>-</v>
      </c>
      <c r="R265" s="203">
        <f t="shared" si="203"/>
        <v>5</v>
      </c>
      <c r="S265" s="203">
        <f t="shared" si="203"/>
        <v>76</v>
      </c>
      <c r="T265" s="203">
        <f t="shared" si="203"/>
        <v>4</v>
      </c>
      <c r="U265" s="203">
        <f t="shared" si="203"/>
        <v>8</v>
      </c>
      <c r="V265" s="203" t="str">
        <f t="shared" si="203"/>
        <v>-</v>
      </c>
      <c r="W265" s="203" t="str">
        <f t="shared" si="203"/>
        <v>-</v>
      </c>
      <c r="X265" s="203">
        <f t="shared" si="203"/>
        <v>93</v>
      </c>
    </row>
    <row r="266" spans="1:24" s="358" customFormat="1" ht="11.25" customHeight="1" x14ac:dyDescent="0.25">
      <c r="A266" s="123" t="s">
        <v>403</v>
      </c>
      <c r="B266" s="203" t="str">
        <f>B142</f>
        <v>-</v>
      </c>
      <c r="C266" s="203" t="str">
        <f t="shared" ref="C266:L267" si="204">C142</f>
        <v>-</v>
      </c>
      <c r="D266" s="203">
        <f t="shared" si="204"/>
        <v>16780</v>
      </c>
      <c r="E266" s="203">
        <f t="shared" si="204"/>
        <v>3163</v>
      </c>
      <c r="F266" s="203">
        <f t="shared" si="204"/>
        <v>18565</v>
      </c>
      <c r="G266" s="203">
        <f t="shared" si="204"/>
        <v>20895</v>
      </c>
      <c r="H266" s="203">
        <f t="shared" si="204"/>
        <v>19965</v>
      </c>
      <c r="I266" s="203">
        <f t="shared" si="204"/>
        <v>3671</v>
      </c>
      <c r="J266" s="203">
        <f t="shared" si="204"/>
        <v>468</v>
      </c>
      <c r="K266" s="203" t="str">
        <f t="shared" si="204"/>
        <v>-</v>
      </c>
      <c r="L266" s="203">
        <f t="shared" si="204"/>
        <v>83507</v>
      </c>
      <c r="M266" s="150"/>
      <c r="N266" s="203" t="str">
        <f t="shared" ref="N266:X267" si="205">N142</f>
        <v>-</v>
      </c>
      <c r="O266" s="203" t="str">
        <f t="shared" si="205"/>
        <v>-</v>
      </c>
      <c r="P266" s="203" t="str">
        <f t="shared" si="205"/>
        <v>-</v>
      </c>
      <c r="Q266" s="203">
        <f t="shared" si="205"/>
        <v>2</v>
      </c>
      <c r="R266" s="203">
        <f t="shared" si="205"/>
        <v>115</v>
      </c>
      <c r="S266" s="203">
        <f t="shared" si="205"/>
        <v>52</v>
      </c>
      <c r="T266" s="203">
        <f t="shared" si="205"/>
        <v>353</v>
      </c>
      <c r="U266" s="203">
        <f t="shared" si="205"/>
        <v>14</v>
      </c>
      <c r="V266" s="203">
        <f t="shared" si="205"/>
        <v>5</v>
      </c>
      <c r="W266" s="203" t="str">
        <f t="shared" si="205"/>
        <v>-</v>
      </c>
      <c r="X266" s="203">
        <f t="shared" si="205"/>
        <v>541</v>
      </c>
    </row>
    <row r="267" spans="1:24" ht="11.25" customHeight="1" x14ac:dyDescent="0.25">
      <c r="A267" s="123" t="s">
        <v>404</v>
      </c>
      <c r="B267" s="200" t="str">
        <f>B143</f>
        <v>-</v>
      </c>
      <c r="C267" s="200" t="str">
        <f t="shared" si="204"/>
        <v>-</v>
      </c>
      <c r="D267" s="200" t="str">
        <f t="shared" si="204"/>
        <v>-</v>
      </c>
      <c r="E267" s="200" t="str">
        <f t="shared" si="204"/>
        <v>--</v>
      </c>
      <c r="F267" s="200" t="str">
        <f t="shared" si="204"/>
        <v>--</v>
      </c>
      <c r="G267" s="200">
        <f t="shared" si="204"/>
        <v>21947</v>
      </c>
      <c r="H267" s="200">
        <f t="shared" si="204"/>
        <v>9662</v>
      </c>
      <c r="I267" s="200">
        <f t="shared" si="204"/>
        <v>4047</v>
      </c>
      <c r="J267" s="200">
        <f t="shared" si="204"/>
        <v>2279</v>
      </c>
      <c r="K267" s="200">
        <f t="shared" si="204"/>
        <v>21</v>
      </c>
      <c r="L267" s="200">
        <f t="shared" si="204"/>
        <v>37956</v>
      </c>
      <c r="M267" s="39"/>
      <c r="N267" s="200" t="str">
        <f t="shared" si="205"/>
        <v>-</v>
      </c>
      <c r="O267" s="200" t="str">
        <f t="shared" si="205"/>
        <v>-</v>
      </c>
      <c r="P267" s="200" t="str">
        <f t="shared" si="205"/>
        <v>-</v>
      </c>
      <c r="Q267" s="200" t="str">
        <f t="shared" si="205"/>
        <v>-</v>
      </c>
      <c r="R267" s="200" t="str">
        <f t="shared" si="205"/>
        <v>-</v>
      </c>
      <c r="S267" s="200">
        <f t="shared" si="205"/>
        <v>30</v>
      </c>
      <c r="T267" s="200" t="str">
        <f t="shared" si="205"/>
        <v>-</v>
      </c>
      <c r="U267" s="200">
        <f t="shared" si="205"/>
        <v>4</v>
      </c>
      <c r="V267" s="200" t="str">
        <f t="shared" si="205"/>
        <v>-</v>
      </c>
      <c r="W267" s="200" t="str">
        <f t="shared" si="205"/>
        <v>-</v>
      </c>
      <c r="X267" s="200">
        <f t="shared" si="205"/>
        <v>34</v>
      </c>
    </row>
    <row r="268" spans="1:24" ht="11.25" customHeight="1" x14ac:dyDescent="0.25">
      <c r="A268" s="383"/>
      <c r="B268" s="200"/>
      <c r="C268" s="200"/>
      <c r="D268" s="200"/>
      <c r="E268" s="200"/>
      <c r="F268" s="200"/>
      <c r="G268" s="200"/>
      <c r="H268" s="200"/>
      <c r="I268" s="200"/>
      <c r="J268" s="200"/>
      <c r="K268" s="200"/>
      <c r="L268" s="200"/>
      <c r="M268" s="39"/>
      <c r="N268" s="200"/>
      <c r="O268" s="200"/>
      <c r="P268" s="200"/>
      <c r="Q268" s="200"/>
      <c r="R268" s="200"/>
      <c r="S268" s="200"/>
      <c r="T268" s="200"/>
      <c r="U268" s="200"/>
      <c r="V268" s="200"/>
      <c r="W268" s="200"/>
      <c r="X268" s="200"/>
    </row>
    <row r="269" spans="1:24" ht="11.25" customHeight="1" x14ac:dyDescent="0.25">
      <c r="A269" s="127" t="s">
        <v>374</v>
      </c>
      <c r="B269" s="200"/>
      <c r="C269" s="200"/>
      <c r="D269" s="200"/>
      <c r="E269" s="200"/>
      <c r="F269" s="200"/>
      <c r="G269" s="200"/>
      <c r="H269" s="200"/>
      <c r="I269" s="200"/>
      <c r="J269" s="200"/>
      <c r="K269" s="200"/>
      <c r="L269" s="200"/>
      <c r="M269" s="39"/>
      <c r="N269" s="200"/>
      <c r="O269" s="200"/>
      <c r="P269" s="200"/>
      <c r="Q269" s="200"/>
      <c r="R269" s="200"/>
      <c r="S269" s="200"/>
      <c r="T269" s="200"/>
      <c r="U269" s="200"/>
      <c r="V269" s="200"/>
      <c r="W269" s="200"/>
      <c r="X269" s="200"/>
    </row>
    <row r="270" spans="1:24" ht="11.25" customHeight="1" x14ac:dyDescent="0.25">
      <c r="A270" s="383" t="s">
        <v>30</v>
      </c>
      <c r="B270" s="200">
        <f>AVERAGE(B151:B155)</f>
        <v>5946.6</v>
      </c>
      <c r="C270" s="200">
        <f t="shared" ref="C270:L270" si="206">AVERAGE(C151:C155)</f>
        <v>7265.6</v>
      </c>
      <c r="D270" s="200">
        <f t="shared" si="206"/>
        <v>7239</v>
      </c>
      <c r="E270" s="200">
        <f t="shared" si="206"/>
        <v>10161.6</v>
      </c>
      <c r="F270" s="200">
        <f t="shared" si="206"/>
        <v>19038.8</v>
      </c>
      <c r="G270" s="200">
        <f t="shared" si="206"/>
        <v>42513.2</v>
      </c>
      <c r="H270" s="200">
        <f t="shared" si="206"/>
        <v>27290.400000000001</v>
      </c>
      <c r="I270" s="200">
        <f t="shared" si="206"/>
        <v>9875</v>
      </c>
      <c r="J270" s="200">
        <f t="shared" si="206"/>
        <v>6069.6</v>
      </c>
      <c r="K270" s="200">
        <f t="shared" si="206"/>
        <v>1418.8</v>
      </c>
      <c r="L270" s="200">
        <f t="shared" si="206"/>
        <v>136818.6</v>
      </c>
      <c r="M270" s="39"/>
      <c r="N270" s="200">
        <f t="shared" ref="N270:X270" si="207">AVERAGE(N151:N155)</f>
        <v>0</v>
      </c>
      <c r="O270" s="200">
        <f t="shared" si="207"/>
        <v>0.6</v>
      </c>
      <c r="P270" s="200">
        <f t="shared" si="207"/>
        <v>21.2</v>
      </c>
      <c r="Q270" s="200">
        <f t="shared" si="207"/>
        <v>1918.8</v>
      </c>
      <c r="R270" s="200">
        <f t="shared" si="207"/>
        <v>17153.400000000001</v>
      </c>
      <c r="S270" s="200">
        <f t="shared" si="207"/>
        <v>81228</v>
      </c>
      <c r="T270" s="200">
        <f t="shared" si="207"/>
        <v>46969</v>
      </c>
      <c r="U270" s="200">
        <f t="shared" si="207"/>
        <v>4158.2</v>
      </c>
      <c r="V270" s="200">
        <f t="shared" si="207"/>
        <v>30.2</v>
      </c>
      <c r="W270" s="200">
        <f t="shared" si="207"/>
        <v>0</v>
      </c>
      <c r="X270" s="200">
        <f t="shared" si="207"/>
        <v>151479.4</v>
      </c>
    </row>
    <row r="271" spans="1:24" ht="11.25" customHeight="1" x14ac:dyDescent="0.25">
      <c r="A271" s="383" t="s">
        <v>87</v>
      </c>
      <c r="B271" s="200">
        <f>AVERAGE(B156:B160)</f>
        <v>5630.2</v>
      </c>
      <c r="C271" s="200">
        <f t="shared" ref="C271:L271" si="208">AVERAGE(C156:C160)</f>
        <v>15288.4</v>
      </c>
      <c r="D271" s="200">
        <f t="shared" si="208"/>
        <v>26364.6</v>
      </c>
      <c r="E271" s="200">
        <f t="shared" si="208"/>
        <v>11939</v>
      </c>
      <c r="F271" s="200">
        <f t="shared" si="208"/>
        <v>35526.800000000003</v>
      </c>
      <c r="G271" s="200">
        <f t="shared" si="208"/>
        <v>57176</v>
      </c>
      <c r="H271" s="200">
        <f t="shared" si="208"/>
        <v>30621.200000000001</v>
      </c>
      <c r="I271" s="200">
        <f t="shared" si="208"/>
        <v>11408.8</v>
      </c>
      <c r="J271" s="200">
        <f t="shared" si="208"/>
        <v>4588.3999999999996</v>
      </c>
      <c r="K271" s="200">
        <f t="shared" si="208"/>
        <v>1318.8</v>
      </c>
      <c r="L271" s="200">
        <f t="shared" si="208"/>
        <v>199862.2</v>
      </c>
      <c r="M271" s="39"/>
      <c r="N271" s="200">
        <f t="shared" ref="N271:X271" si="209">AVERAGE(N156:N160)</f>
        <v>0</v>
      </c>
      <c r="O271" s="200">
        <f t="shared" si="209"/>
        <v>0.6</v>
      </c>
      <c r="P271" s="200">
        <f t="shared" si="209"/>
        <v>56</v>
      </c>
      <c r="Q271" s="200">
        <f t="shared" si="209"/>
        <v>2202.1999999999998</v>
      </c>
      <c r="R271" s="200">
        <f t="shared" si="209"/>
        <v>35622.6</v>
      </c>
      <c r="S271" s="200">
        <f t="shared" si="209"/>
        <v>132177.4</v>
      </c>
      <c r="T271" s="200">
        <f t="shared" si="209"/>
        <v>53952.6</v>
      </c>
      <c r="U271" s="200">
        <f t="shared" si="209"/>
        <v>6488.8</v>
      </c>
      <c r="V271" s="200">
        <f t="shared" si="209"/>
        <v>18.399999999999999</v>
      </c>
      <c r="W271" s="200">
        <f t="shared" si="209"/>
        <v>0</v>
      </c>
      <c r="X271" s="200">
        <f t="shared" si="209"/>
        <v>230518.6</v>
      </c>
    </row>
    <row r="272" spans="1:24" ht="11.25" customHeight="1" x14ac:dyDescent="0.25">
      <c r="A272" s="383" t="s">
        <v>14</v>
      </c>
      <c r="B272" s="200">
        <f>AVERAGE(B161:B165)</f>
        <v>484.4</v>
      </c>
      <c r="C272" s="200">
        <f t="shared" ref="C272:X272" si="210">AVERAGE(C161:C165)</f>
        <v>11135.6</v>
      </c>
      <c r="D272" s="200">
        <f t="shared" si="210"/>
        <v>21563.8</v>
      </c>
      <c r="E272" s="200">
        <f t="shared" si="210"/>
        <v>17907.8</v>
      </c>
      <c r="F272" s="200">
        <f t="shared" si="210"/>
        <v>33611.199999999997</v>
      </c>
      <c r="G272" s="200">
        <f t="shared" si="210"/>
        <v>58321.4</v>
      </c>
      <c r="H272" s="200">
        <f t="shared" si="210"/>
        <v>19472</v>
      </c>
      <c r="I272" s="200">
        <f t="shared" si="210"/>
        <v>10960.2</v>
      </c>
      <c r="J272" s="200">
        <f t="shared" si="210"/>
        <v>5474.6</v>
      </c>
      <c r="K272" s="200">
        <f t="shared" si="210"/>
        <v>140.25</v>
      </c>
      <c r="L272" s="200">
        <f t="shared" si="210"/>
        <v>179043.20000000001</v>
      </c>
      <c r="M272" s="39"/>
      <c r="N272" s="200">
        <f t="shared" si="210"/>
        <v>0.2</v>
      </c>
      <c r="O272" s="200">
        <f t="shared" si="210"/>
        <v>9.4</v>
      </c>
      <c r="P272" s="200">
        <f t="shared" si="210"/>
        <v>23</v>
      </c>
      <c r="Q272" s="200">
        <f t="shared" si="210"/>
        <v>721.6</v>
      </c>
      <c r="R272" s="200">
        <f t="shared" si="210"/>
        <v>22856.799999999999</v>
      </c>
      <c r="S272" s="200">
        <f t="shared" si="210"/>
        <v>67712.800000000003</v>
      </c>
      <c r="T272" s="200">
        <f t="shared" si="210"/>
        <v>12805.4</v>
      </c>
      <c r="U272" s="200">
        <f t="shared" si="210"/>
        <v>2318.6</v>
      </c>
      <c r="V272" s="200">
        <f t="shared" si="210"/>
        <v>26.2</v>
      </c>
      <c r="W272" s="60" t="s">
        <v>116</v>
      </c>
      <c r="X272" s="200">
        <f t="shared" si="210"/>
        <v>106474</v>
      </c>
    </row>
    <row r="273" spans="1:24" ht="11.25" customHeight="1" x14ac:dyDescent="0.25">
      <c r="A273" s="383" t="s">
        <v>207</v>
      </c>
      <c r="B273" s="200">
        <f>AVERAGE(B166:B170)</f>
        <v>2.2000000000000002</v>
      </c>
      <c r="C273" s="200">
        <f t="shared" ref="C273:X273" si="211">AVERAGE(C166:C170)</f>
        <v>11347.2</v>
      </c>
      <c r="D273" s="200">
        <f t="shared" si="211"/>
        <v>23735</v>
      </c>
      <c r="E273" s="200">
        <f t="shared" si="211"/>
        <v>19001.400000000001</v>
      </c>
      <c r="F273" s="200">
        <f t="shared" si="211"/>
        <v>32849.599999999999</v>
      </c>
      <c r="G273" s="200">
        <f t="shared" si="211"/>
        <v>45250.400000000001</v>
      </c>
      <c r="H273" s="200">
        <f t="shared" si="211"/>
        <v>24470.400000000001</v>
      </c>
      <c r="I273" s="200">
        <f t="shared" si="211"/>
        <v>7325.8</v>
      </c>
      <c r="J273" s="200">
        <f t="shared" si="211"/>
        <v>4181.2</v>
      </c>
      <c r="K273" s="200">
        <f t="shared" si="211"/>
        <v>678</v>
      </c>
      <c r="L273" s="200">
        <f t="shared" si="211"/>
        <v>168570</v>
      </c>
      <c r="M273" s="39"/>
      <c r="N273" s="200" t="s">
        <v>29</v>
      </c>
      <c r="O273" s="200" t="s">
        <v>29</v>
      </c>
      <c r="P273" s="200">
        <f t="shared" si="211"/>
        <v>3</v>
      </c>
      <c r="Q273" s="200">
        <f t="shared" si="211"/>
        <v>21.666666666666668</v>
      </c>
      <c r="R273" s="200">
        <f t="shared" si="211"/>
        <v>175.4</v>
      </c>
      <c r="S273" s="200">
        <f t="shared" si="211"/>
        <v>5217.6000000000004</v>
      </c>
      <c r="T273" s="200">
        <f t="shared" si="211"/>
        <v>199.2</v>
      </c>
      <c r="U273" s="200">
        <f t="shared" si="211"/>
        <v>41.8</v>
      </c>
      <c r="V273" s="200">
        <f t="shared" si="211"/>
        <v>9</v>
      </c>
      <c r="W273" s="200" t="s">
        <v>29</v>
      </c>
      <c r="X273" s="200">
        <f t="shared" si="211"/>
        <v>5654.8</v>
      </c>
    </row>
    <row r="274" spans="1:24" ht="11.25" customHeight="1" x14ac:dyDescent="0.25">
      <c r="A274" s="383" t="s">
        <v>238</v>
      </c>
      <c r="B274" s="200">
        <f>AVERAGE(B171:B175)</f>
        <v>156.80000000000001</v>
      </c>
      <c r="C274" s="200">
        <f>AVERAGE(C171:C175)</f>
        <v>1768.8</v>
      </c>
      <c r="D274" s="200">
        <f>AVERAGE(D171:D175)</f>
        <v>22283.4</v>
      </c>
      <c r="E274" s="200">
        <f t="shared" ref="E274:L274" si="212">AVERAGE(E171:E175)</f>
        <v>20665.400000000001</v>
      </c>
      <c r="F274" s="200">
        <f t="shared" si="212"/>
        <v>34090.400000000001</v>
      </c>
      <c r="G274" s="200">
        <f t="shared" si="212"/>
        <v>57878.400000000001</v>
      </c>
      <c r="H274" s="200">
        <f t="shared" si="212"/>
        <v>29645.200000000001</v>
      </c>
      <c r="I274" s="200">
        <f t="shared" si="212"/>
        <v>14242.6</v>
      </c>
      <c r="J274" s="200">
        <f t="shared" si="212"/>
        <v>4055.2</v>
      </c>
      <c r="K274" s="200">
        <f t="shared" si="212"/>
        <v>426.6</v>
      </c>
      <c r="L274" s="200">
        <f t="shared" si="212"/>
        <v>181738</v>
      </c>
      <c r="M274" s="39"/>
      <c r="N274" s="200" t="str">
        <f>N171</f>
        <v>-</v>
      </c>
      <c r="O274" s="200" t="str">
        <f>O171</f>
        <v>-</v>
      </c>
      <c r="P274" s="200">
        <f>AVERAGE(P171:P175)</f>
        <v>3</v>
      </c>
      <c r="Q274" s="200">
        <f t="shared" ref="Q274:V274" si="213">AVERAGE(Q171:Q175)</f>
        <v>176.2</v>
      </c>
      <c r="R274" s="200">
        <f t="shared" si="213"/>
        <v>6840.6</v>
      </c>
      <c r="S274" s="200">
        <f t="shared" si="213"/>
        <v>28528</v>
      </c>
      <c r="T274" s="200">
        <f t="shared" si="213"/>
        <v>8061.8</v>
      </c>
      <c r="U274" s="200">
        <f t="shared" si="213"/>
        <v>202.2</v>
      </c>
      <c r="V274" s="200">
        <f t="shared" si="213"/>
        <v>24.75</v>
      </c>
      <c r="W274" s="200" t="str">
        <f>W171</f>
        <v>-</v>
      </c>
      <c r="X274" s="200">
        <f>AVERAGE(X171:X175)</f>
        <v>43829.8</v>
      </c>
    </row>
    <row r="275" spans="1:24" ht="11.25" customHeight="1" x14ac:dyDescent="0.25">
      <c r="A275" s="402">
        <v>2006</v>
      </c>
      <c r="B275" s="203">
        <f t="shared" ref="B275:L275" si="214">B176</f>
        <v>55</v>
      </c>
      <c r="C275" s="203">
        <f t="shared" si="214"/>
        <v>111</v>
      </c>
      <c r="D275" s="203">
        <f t="shared" si="214"/>
        <v>9412</v>
      </c>
      <c r="E275" s="203">
        <f t="shared" si="214"/>
        <v>18921</v>
      </c>
      <c r="F275" s="203">
        <f t="shared" si="214"/>
        <v>30838</v>
      </c>
      <c r="G275" s="203">
        <f t="shared" si="214"/>
        <v>32927</v>
      </c>
      <c r="H275" s="203">
        <f t="shared" si="214"/>
        <v>5005</v>
      </c>
      <c r="I275" s="203">
        <f t="shared" si="214"/>
        <v>7309</v>
      </c>
      <c r="J275" s="203">
        <f t="shared" si="214"/>
        <v>2677</v>
      </c>
      <c r="K275" s="203">
        <f t="shared" si="214"/>
        <v>116</v>
      </c>
      <c r="L275" s="203">
        <f t="shared" si="214"/>
        <v>107371</v>
      </c>
      <c r="M275" s="150"/>
      <c r="N275" s="203" t="str">
        <f t="shared" ref="N275:X275" si="215">N176</f>
        <v>-</v>
      </c>
      <c r="O275" s="203" t="str">
        <f t="shared" si="215"/>
        <v>-</v>
      </c>
      <c r="P275" s="203" t="str">
        <f t="shared" si="215"/>
        <v>-</v>
      </c>
      <c r="Q275" s="203">
        <f t="shared" si="215"/>
        <v>201</v>
      </c>
      <c r="R275" s="203">
        <f t="shared" si="215"/>
        <v>1612</v>
      </c>
      <c r="S275" s="203">
        <f t="shared" si="215"/>
        <v>9084</v>
      </c>
      <c r="T275" s="203">
        <f t="shared" si="215"/>
        <v>85</v>
      </c>
      <c r="U275" s="203">
        <f t="shared" si="215"/>
        <v>803</v>
      </c>
      <c r="V275" s="203">
        <f t="shared" si="215"/>
        <v>7</v>
      </c>
      <c r="W275" s="203" t="str">
        <f t="shared" si="215"/>
        <v>-</v>
      </c>
      <c r="X275" s="203">
        <f t="shared" si="215"/>
        <v>11792</v>
      </c>
    </row>
    <row r="276" spans="1:24" ht="11.25" customHeight="1" x14ac:dyDescent="0.25">
      <c r="A276" s="402">
        <v>2007</v>
      </c>
      <c r="B276" s="203">
        <f t="shared" ref="B276:L276" si="216">B177</f>
        <v>48</v>
      </c>
      <c r="C276" s="203">
        <f t="shared" si="216"/>
        <v>203</v>
      </c>
      <c r="D276" s="203">
        <f t="shared" si="216"/>
        <v>3152</v>
      </c>
      <c r="E276" s="203">
        <f t="shared" si="216"/>
        <v>7318</v>
      </c>
      <c r="F276" s="203">
        <f t="shared" si="216"/>
        <v>14158</v>
      </c>
      <c r="G276" s="203">
        <f t="shared" si="216"/>
        <v>13885</v>
      </c>
      <c r="H276" s="203">
        <f t="shared" si="216"/>
        <v>10294</v>
      </c>
      <c r="I276" s="203">
        <f t="shared" si="216"/>
        <v>3202</v>
      </c>
      <c r="J276" s="203">
        <f t="shared" si="216"/>
        <v>1450</v>
      </c>
      <c r="K276" s="203">
        <f t="shared" si="216"/>
        <v>341</v>
      </c>
      <c r="L276" s="203">
        <f t="shared" si="216"/>
        <v>54051</v>
      </c>
      <c r="M276" s="150"/>
      <c r="N276" s="203" t="str">
        <f t="shared" ref="N276:X276" si="217">N177</f>
        <v>-</v>
      </c>
      <c r="O276" s="203" t="str">
        <f t="shared" si="217"/>
        <v>-</v>
      </c>
      <c r="P276" s="203" t="str">
        <f t="shared" si="217"/>
        <v>-</v>
      </c>
      <c r="Q276" s="203">
        <f t="shared" si="217"/>
        <v>55</v>
      </c>
      <c r="R276" s="203">
        <f t="shared" si="217"/>
        <v>5083</v>
      </c>
      <c r="S276" s="203">
        <f t="shared" si="217"/>
        <v>20117</v>
      </c>
      <c r="T276" s="203">
        <f t="shared" si="217"/>
        <v>17359</v>
      </c>
      <c r="U276" s="203">
        <f t="shared" si="217"/>
        <v>385</v>
      </c>
      <c r="V276" s="203">
        <f t="shared" si="217"/>
        <v>3</v>
      </c>
      <c r="W276" s="203" t="str">
        <f t="shared" si="217"/>
        <v>-</v>
      </c>
      <c r="X276" s="203">
        <f t="shared" si="217"/>
        <v>43002</v>
      </c>
    </row>
    <row r="277" spans="1:24" ht="11.25" customHeight="1" x14ac:dyDescent="0.25">
      <c r="A277" s="402">
        <v>2008</v>
      </c>
      <c r="B277" s="203">
        <f t="shared" ref="B277:L277" si="218">B178</f>
        <v>0</v>
      </c>
      <c r="C277" s="203">
        <f t="shared" si="218"/>
        <v>6</v>
      </c>
      <c r="D277" s="203" t="str">
        <f t="shared" si="218"/>
        <v>-</v>
      </c>
      <c r="E277" s="203" t="str">
        <f t="shared" si="218"/>
        <v>-</v>
      </c>
      <c r="F277" s="203">
        <f t="shared" si="218"/>
        <v>9</v>
      </c>
      <c r="G277" s="203">
        <f t="shared" si="218"/>
        <v>6</v>
      </c>
      <c r="H277" s="203">
        <f t="shared" si="218"/>
        <v>3</v>
      </c>
      <c r="I277" s="203">
        <f t="shared" si="218"/>
        <v>262</v>
      </c>
      <c r="J277" s="203">
        <f t="shared" si="218"/>
        <v>481</v>
      </c>
      <c r="K277" s="203" t="str">
        <f t="shared" si="218"/>
        <v>--</v>
      </c>
      <c r="L277" s="203">
        <f t="shared" si="218"/>
        <v>767</v>
      </c>
      <c r="M277" s="150"/>
      <c r="N277" s="203" t="str">
        <f t="shared" ref="N277:X277" si="219">N178</f>
        <v>-</v>
      </c>
      <c r="O277" s="203" t="str">
        <f t="shared" si="219"/>
        <v>-</v>
      </c>
      <c r="P277" s="203" t="str">
        <f t="shared" si="219"/>
        <v>-</v>
      </c>
      <c r="Q277" s="203" t="str">
        <f t="shared" si="219"/>
        <v>-</v>
      </c>
      <c r="R277" s="203">
        <f t="shared" si="219"/>
        <v>1219</v>
      </c>
      <c r="S277" s="203">
        <f t="shared" si="219"/>
        <v>4084</v>
      </c>
      <c r="T277" s="203">
        <f t="shared" si="219"/>
        <v>4540</v>
      </c>
      <c r="U277" s="203">
        <f t="shared" si="219"/>
        <v>45</v>
      </c>
      <c r="V277" s="203">
        <f t="shared" si="219"/>
        <v>6</v>
      </c>
      <c r="W277" s="203" t="str">
        <f t="shared" si="219"/>
        <v>-</v>
      </c>
      <c r="X277" s="203">
        <f t="shared" si="219"/>
        <v>9894</v>
      </c>
    </row>
    <row r="278" spans="1:24" ht="11.25" customHeight="1" x14ac:dyDescent="0.25">
      <c r="A278" s="402">
        <v>2009</v>
      </c>
      <c r="B278" s="203" t="str">
        <f t="shared" ref="B278:L278" si="220">B179</f>
        <v>-</v>
      </c>
      <c r="C278" s="203" t="str">
        <f t="shared" si="220"/>
        <v>-</v>
      </c>
      <c r="D278" s="203" t="str">
        <f t="shared" si="220"/>
        <v>-</v>
      </c>
      <c r="E278" s="203" t="str">
        <f t="shared" si="220"/>
        <v>-</v>
      </c>
      <c r="F278" s="203">
        <f t="shared" si="220"/>
        <v>9</v>
      </c>
      <c r="G278" s="203">
        <f t="shared" si="220"/>
        <v>45</v>
      </c>
      <c r="H278" s="203">
        <f t="shared" si="220"/>
        <v>372</v>
      </c>
      <c r="I278" s="203">
        <f t="shared" si="220"/>
        <v>625</v>
      </c>
      <c r="J278" s="203">
        <f t="shared" si="220"/>
        <v>226</v>
      </c>
      <c r="K278" s="203" t="str">
        <f t="shared" si="220"/>
        <v>--</v>
      </c>
      <c r="L278" s="203">
        <f t="shared" si="220"/>
        <v>1277</v>
      </c>
      <c r="M278" s="150"/>
      <c r="N278" s="203" t="str">
        <f t="shared" ref="N278:X278" si="221">N179</f>
        <v>-</v>
      </c>
      <c r="O278" s="203" t="str">
        <f t="shared" si="221"/>
        <v>-</v>
      </c>
      <c r="P278" s="203" t="str">
        <f t="shared" si="221"/>
        <v>-</v>
      </c>
      <c r="Q278" s="203" t="str">
        <f t="shared" si="221"/>
        <v>-</v>
      </c>
      <c r="R278" s="203">
        <f t="shared" si="221"/>
        <v>4865</v>
      </c>
      <c r="S278" s="203">
        <f t="shared" si="221"/>
        <v>39124</v>
      </c>
      <c r="T278" s="203">
        <f t="shared" si="221"/>
        <v>25384</v>
      </c>
      <c r="U278" s="203">
        <f t="shared" si="221"/>
        <v>816</v>
      </c>
      <c r="V278" s="203">
        <f t="shared" si="221"/>
        <v>6</v>
      </c>
      <c r="W278" s="203" t="str">
        <f t="shared" si="221"/>
        <v>-</v>
      </c>
      <c r="X278" s="203">
        <f t="shared" si="221"/>
        <v>70195</v>
      </c>
    </row>
    <row r="279" spans="1:24" ht="11.25" customHeight="1" x14ac:dyDescent="0.25">
      <c r="A279" s="402">
        <v>2010</v>
      </c>
      <c r="B279" s="203" t="str">
        <f t="shared" ref="B279:L279" si="222">B180</f>
        <v>-</v>
      </c>
      <c r="C279" s="203" t="str">
        <f t="shared" si="222"/>
        <v>-</v>
      </c>
      <c r="D279" s="203">
        <f t="shared" si="222"/>
        <v>5265</v>
      </c>
      <c r="E279" s="203">
        <f t="shared" si="222"/>
        <v>2507</v>
      </c>
      <c r="F279" s="203">
        <f t="shared" si="222"/>
        <v>997</v>
      </c>
      <c r="G279" s="203">
        <f t="shared" si="222"/>
        <v>2988</v>
      </c>
      <c r="H279" s="203">
        <f t="shared" si="222"/>
        <v>4432</v>
      </c>
      <c r="I279" s="203">
        <f t="shared" si="222"/>
        <v>1112</v>
      </c>
      <c r="J279" s="203">
        <f t="shared" si="222"/>
        <v>663</v>
      </c>
      <c r="K279" s="203" t="str">
        <f t="shared" si="222"/>
        <v>--</v>
      </c>
      <c r="L279" s="203">
        <f t="shared" si="222"/>
        <v>17964</v>
      </c>
      <c r="M279" s="150"/>
      <c r="N279" s="203" t="str">
        <f t="shared" ref="N279:X279" si="223">N180</f>
        <v>-</v>
      </c>
      <c r="O279" s="203" t="str">
        <f t="shared" si="223"/>
        <v>-</v>
      </c>
      <c r="P279" s="203">
        <f t="shared" si="223"/>
        <v>8</v>
      </c>
      <c r="Q279" s="203">
        <f t="shared" si="223"/>
        <v>7</v>
      </c>
      <c r="R279" s="203">
        <f t="shared" si="223"/>
        <v>436</v>
      </c>
      <c r="S279" s="203">
        <f t="shared" si="223"/>
        <v>2215</v>
      </c>
      <c r="T279" s="203">
        <f t="shared" si="223"/>
        <v>8430</v>
      </c>
      <c r="U279" s="203">
        <f t="shared" si="223"/>
        <v>1266</v>
      </c>
      <c r="V279" s="203" t="str">
        <f t="shared" si="223"/>
        <v>-</v>
      </c>
      <c r="W279" s="203" t="str">
        <f t="shared" si="223"/>
        <v>-</v>
      </c>
      <c r="X279" s="203">
        <f t="shared" si="223"/>
        <v>12362</v>
      </c>
    </row>
    <row r="280" spans="1:24" ht="11.25" customHeight="1" x14ac:dyDescent="0.25">
      <c r="A280" s="402">
        <v>2011</v>
      </c>
      <c r="B280" s="203" t="str">
        <f t="shared" ref="B280:L280" si="224">B181</f>
        <v>-</v>
      </c>
      <c r="C280" s="203">
        <f t="shared" si="224"/>
        <v>0</v>
      </c>
      <c r="D280" s="203">
        <f t="shared" si="224"/>
        <v>5529</v>
      </c>
      <c r="E280" s="203">
        <f t="shared" si="224"/>
        <v>2789</v>
      </c>
      <c r="F280" s="203">
        <f t="shared" si="224"/>
        <v>3565</v>
      </c>
      <c r="G280" s="203">
        <f t="shared" si="224"/>
        <v>17382</v>
      </c>
      <c r="H280" s="203">
        <f t="shared" si="224"/>
        <v>14051</v>
      </c>
      <c r="I280" s="203">
        <f t="shared" si="224"/>
        <v>8347</v>
      </c>
      <c r="J280" s="203">
        <f t="shared" si="224"/>
        <v>1698</v>
      </c>
      <c r="K280" s="203">
        <f t="shared" si="224"/>
        <v>6</v>
      </c>
      <c r="L280" s="203">
        <f t="shared" si="224"/>
        <v>53367</v>
      </c>
      <c r="M280" s="150"/>
      <c r="N280" s="203" t="str">
        <f t="shared" ref="N280:X280" si="225">N181</f>
        <v>-</v>
      </c>
      <c r="O280" s="203" t="str">
        <f t="shared" si="225"/>
        <v>-</v>
      </c>
      <c r="P280" s="203">
        <f t="shared" si="225"/>
        <v>8</v>
      </c>
      <c r="Q280" s="203">
        <f t="shared" si="225"/>
        <v>15</v>
      </c>
      <c r="R280" s="203">
        <f t="shared" si="225"/>
        <v>628</v>
      </c>
      <c r="S280" s="203">
        <f t="shared" si="225"/>
        <v>3746</v>
      </c>
      <c r="T280" s="203">
        <f t="shared" si="225"/>
        <v>2065</v>
      </c>
      <c r="U280" s="203">
        <f t="shared" si="225"/>
        <v>6635</v>
      </c>
      <c r="V280" s="203">
        <f t="shared" si="225"/>
        <v>5</v>
      </c>
      <c r="W280" s="203" t="str">
        <f t="shared" si="225"/>
        <v>-</v>
      </c>
      <c r="X280" s="203">
        <f t="shared" si="225"/>
        <v>13102</v>
      </c>
    </row>
    <row r="281" spans="1:24" ht="11.25" customHeight="1" x14ac:dyDescent="0.25">
      <c r="A281" s="402">
        <v>2012</v>
      </c>
      <c r="B281" s="203" t="str">
        <f t="shared" ref="B281:L281" si="226">B182</f>
        <v>-</v>
      </c>
      <c r="C281" s="203">
        <f t="shared" si="226"/>
        <v>21</v>
      </c>
      <c r="D281" s="203">
        <f t="shared" si="226"/>
        <v>18894</v>
      </c>
      <c r="E281" s="203">
        <f t="shared" si="226"/>
        <v>15587</v>
      </c>
      <c r="F281" s="203">
        <f t="shared" si="226"/>
        <v>29483</v>
      </c>
      <c r="G281" s="203">
        <f t="shared" si="226"/>
        <v>38894</v>
      </c>
      <c r="H281" s="203">
        <f t="shared" si="226"/>
        <v>23747</v>
      </c>
      <c r="I281" s="203">
        <f t="shared" si="226"/>
        <v>11088</v>
      </c>
      <c r="J281" s="203">
        <f t="shared" si="226"/>
        <v>3134</v>
      </c>
      <c r="K281" s="203">
        <f t="shared" si="226"/>
        <v>168</v>
      </c>
      <c r="L281" s="203">
        <f t="shared" si="226"/>
        <v>141016</v>
      </c>
      <c r="M281" s="150"/>
      <c r="N281" s="203" t="str">
        <f t="shared" ref="N281:X281" si="227">N182</f>
        <v>-</v>
      </c>
      <c r="O281" s="203" t="str">
        <f t="shared" si="227"/>
        <v>-</v>
      </c>
      <c r="P281" s="203" t="str">
        <f t="shared" si="227"/>
        <v>-</v>
      </c>
      <c r="Q281" s="203">
        <f t="shared" si="227"/>
        <v>3</v>
      </c>
      <c r="R281" s="203">
        <f t="shared" si="227"/>
        <v>119</v>
      </c>
      <c r="S281" s="203">
        <f t="shared" si="227"/>
        <v>2441</v>
      </c>
      <c r="T281" s="203">
        <f t="shared" si="227"/>
        <v>4975</v>
      </c>
      <c r="U281" s="203">
        <f t="shared" si="227"/>
        <v>6968</v>
      </c>
      <c r="V281" s="203">
        <f t="shared" si="227"/>
        <v>2</v>
      </c>
      <c r="W281" s="203" t="str">
        <f t="shared" si="227"/>
        <v>-</v>
      </c>
      <c r="X281" s="203">
        <f t="shared" si="227"/>
        <v>14508</v>
      </c>
    </row>
    <row r="282" spans="1:24" ht="11.25" customHeight="1" x14ac:dyDescent="0.25">
      <c r="A282" s="402">
        <v>2013</v>
      </c>
      <c r="B282" s="203" t="str">
        <f t="shared" ref="B282:L282" si="228">B183</f>
        <v>-</v>
      </c>
      <c r="C282" s="203">
        <f t="shared" si="228"/>
        <v>257</v>
      </c>
      <c r="D282" s="203">
        <f t="shared" si="228"/>
        <v>13852</v>
      </c>
      <c r="E282" s="203">
        <f t="shared" si="228"/>
        <v>14113</v>
      </c>
      <c r="F282" s="203">
        <f t="shared" si="228"/>
        <v>29455</v>
      </c>
      <c r="G282" s="203">
        <f t="shared" si="228"/>
        <v>46928</v>
      </c>
      <c r="H282" s="203">
        <f t="shared" si="228"/>
        <v>32436</v>
      </c>
      <c r="I282" s="203">
        <f t="shared" si="228"/>
        <v>4297</v>
      </c>
      <c r="J282" s="203">
        <f t="shared" si="228"/>
        <v>2965</v>
      </c>
      <c r="K282" s="203">
        <f t="shared" si="228"/>
        <v>87</v>
      </c>
      <c r="L282" s="203">
        <f t="shared" si="228"/>
        <v>144390</v>
      </c>
      <c r="M282" s="150"/>
      <c r="N282" s="203" t="str">
        <f t="shared" ref="N282:X282" si="229">N183</f>
        <v>-</v>
      </c>
      <c r="O282" s="203" t="str">
        <f t="shared" si="229"/>
        <v>-</v>
      </c>
      <c r="P282" s="203" t="str">
        <f t="shared" si="229"/>
        <v>-</v>
      </c>
      <c r="Q282" s="203" t="str">
        <f t="shared" si="229"/>
        <v>-</v>
      </c>
      <c r="R282" s="203">
        <f t="shared" si="229"/>
        <v>108</v>
      </c>
      <c r="S282" s="203">
        <f t="shared" si="229"/>
        <v>5194</v>
      </c>
      <c r="T282" s="203">
        <f t="shared" si="229"/>
        <v>2899</v>
      </c>
      <c r="U282" s="203">
        <f t="shared" si="229"/>
        <v>2658</v>
      </c>
      <c r="V282" s="203">
        <f t="shared" si="229"/>
        <v>25</v>
      </c>
      <c r="W282" s="203" t="str">
        <f t="shared" si="229"/>
        <v>-</v>
      </c>
      <c r="X282" s="203">
        <f t="shared" si="229"/>
        <v>10884</v>
      </c>
    </row>
    <row r="283" spans="1:24" ht="11.25" customHeight="1" x14ac:dyDescent="0.25">
      <c r="A283" s="402">
        <v>2014</v>
      </c>
      <c r="B283" s="203" t="str">
        <f t="shared" ref="B283:L283" si="230">B184</f>
        <v>-</v>
      </c>
      <c r="C283" s="203">
        <f t="shared" si="230"/>
        <v>10</v>
      </c>
      <c r="D283" s="203">
        <f t="shared" si="230"/>
        <v>13956</v>
      </c>
      <c r="E283" s="203">
        <f t="shared" si="230"/>
        <v>8591</v>
      </c>
      <c r="F283" s="203">
        <f t="shared" si="230"/>
        <v>9281</v>
      </c>
      <c r="G283" s="203">
        <f t="shared" si="230"/>
        <v>25992</v>
      </c>
      <c r="H283" s="203">
        <f t="shared" si="230"/>
        <v>20142</v>
      </c>
      <c r="I283" s="203">
        <f t="shared" si="230"/>
        <v>8592</v>
      </c>
      <c r="J283" s="203">
        <f t="shared" si="230"/>
        <v>4325</v>
      </c>
      <c r="K283" s="203">
        <f t="shared" si="230"/>
        <v>125</v>
      </c>
      <c r="L283" s="203">
        <f t="shared" si="230"/>
        <v>91014</v>
      </c>
      <c r="M283" s="150"/>
      <c r="N283" s="203" t="str">
        <f t="shared" ref="N283:X283" si="231">N184</f>
        <v>-</v>
      </c>
      <c r="O283" s="203" t="str">
        <f t="shared" si="231"/>
        <v>-</v>
      </c>
      <c r="P283" s="203" t="str">
        <f t="shared" si="231"/>
        <v>-</v>
      </c>
      <c r="Q283" s="203">
        <f t="shared" si="231"/>
        <v>27</v>
      </c>
      <c r="R283" s="203">
        <f t="shared" si="231"/>
        <v>3679</v>
      </c>
      <c r="S283" s="203">
        <f t="shared" si="231"/>
        <v>33710</v>
      </c>
      <c r="T283" s="203">
        <f t="shared" si="231"/>
        <v>19284</v>
      </c>
      <c r="U283" s="203">
        <f t="shared" si="231"/>
        <v>26497</v>
      </c>
      <c r="V283" s="203">
        <f t="shared" si="231"/>
        <v>49</v>
      </c>
      <c r="W283" s="203" t="str">
        <f t="shared" si="231"/>
        <v>-</v>
      </c>
      <c r="X283" s="203">
        <f t="shared" si="231"/>
        <v>83246</v>
      </c>
    </row>
    <row r="284" spans="1:24" ht="11.25" customHeight="1" x14ac:dyDescent="0.25">
      <c r="A284" s="402">
        <v>2015</v>
      </c>
      <c r="B284" s="203" t="str">
        <f t="shared" ref="B284:L284" si="232">B185</f>
        <v>-</v>
      </c>
      <c r="C284" s="203">
        <f t="shared" si="232"/>
        <v>30</v>
      </c>
      <c r="D284" s="203">
        <f t="shared" si="232"/>
        <v>3032</v>
      </c>
      <c r="E284" s="203">
        <f t="shared" si="232"/>
        <v>2974</v>
      </c>
      <c r="F284" s="203">
        <f t="shared" si="232"/>
        <v>3797</v>
      </c>
      <c r="G284" s="203">
        <f t="shared" si="232"/>
        <v>10148</v>
      </c>
      <c r="H284" s="203">
        <f t="shared" si="232"/>
        <v>9265</v>
      </c>
      <c r="I284" s="203">
        <f t="shared" si="232"/>
        <v>11096</v>
      </c>
      <c r="J284" s="203">
        <f t="shared" si="232"/>
        <v>3823</v>
      </c>
      <c r="K284" s="203">
        <f t="shared" si="232"/>
        <v>0</v>
      </c>
      <c r="L284" s="203">
        <f t="shared" si="232"/>
        <v>44165</v>
      </c>
      <c r="M284" s="150"/>
      <c r="N284" s="203" t="str">
        <f t="shared" ref="N284:X284" si="233">N185</f>
        <v>-</v>
      </c>
      <c r="O284" s="203" t="str">
        <f t="shared" si="233"/>
        <v>-</v>
      </c>
      <c r="P284" s="203" t="str">
        <f t="shared" si="233"/>
        <v>-</v>
      </c>
      <c r="Q284" s="203">
        <f t="shared" si="233"/>
        <v>5</v>
      </c>
      <c r="R284" s="203">
        <f t="shared" si="233"/>
        <v>475</v>
      </c>
      <c r="S284" s="203">
        <f t="shared" si="233"/>
        <v>11978</v>
      </c>
      <c r="T284" s="203">
        <f t="shared" si="233"/>
        <v>2567</v>
      </c>
      <c r="U284" s="203">
        <f t="shared" si="233"/>
        <v>4430</v>
      </c>
      <c r="V284" s="203">
        <f t="shared" si="233"/>
        <v>28</v>
      </c>
      <c r="W284" s="203" t="str">
        <f t="shared" si="233"/>
        <v>-</v>
      </c>
      <c r="X284" s="203">
        <f t="shared" si="233"/>
        <v>19483</v>
      </c>
    </row>
    <row r="285" spans="1:24" ht="11.25" customHeight="1" x14ac:dyDescent="0.25">
      <c r="A285" s="402">
        <v>2016</v>
      </c>
      <c r="B285" s="203" t="str">
        <f t="shared" ref="B285:L285" si="234">B186</f>
        <v>-</v>
      </c>
      <c r="C285" s="203">
        <f t="shared" si="234"/>
        <v>32</v>
      </c>
      <c r="D285" s="203">
        <f t="shared" si="234"/>
        <v>2039</v>
      </c>
      <c r="E285" s="203">
        <f t="shared" si="234"/>
        <v>5821</v>
      </c>
      <c r="F285" s="203">
        <f t="shared" si="234"/>
        <v>2784</v>
      </c>
      <c r="G285" s="203">
        <f t="shared" si="234"/>
        <v>13293</v>
      </c>
      <c r="H285" s="203">
        <f t="shared" si="234"/>
        <v>8442</v>
      </c>
      <c r="I285" s="203">
        <f t="shared" si="234"/>
        <v>7655</v>
      </c>
      <c r="J285" s="203">
        <f t="shared" si="234"/>
        <v>1001</v>
      </c>
      <c r="K285" s="203">
        <f t="shared" si="234"/>
        <v>0</v>
      </c>
      <c r="L285" s="203">
        <f t="shared" si="234"/>
        <v>41067</v>
      </c>
      <c r="M285" s="150"/>
      <c r="N285" s="203" t="str">
        <f t="shared" ref="N285:X285" si="235">N186</f>
        <v>-</v>
      </c>
      <c r="O285" s="203" t="str">
        <f t="shared" si="235"/>
        <v>-</v>
      </c>
      <c r="P285" s="203" t="str">
        <f t="shared" si="235"/>
        <v>-</v>
      </c>
      <c r="Q285" s="203" t="str">
        <f t="shared" si="235"/>
        <v>-</v>
      </c>
      <c r="R285" s="203">
        <f t="shared" si="235"/>
        <v>274</v>
      </c>
      <c r="S285" s="203">
        <f t="shared" si="235"/>
        <v>1260</v>
      </c>
      <c r="T285" s="203">
        <f t="shared" si="235"/>
        <v>90</v>
      </c>
      <c r="U285" s="203">
        <f t="shared" si="235"/>
        <v>4180</v>
      </c>
      <c r="V285" s="203">
        <f t="shared" si="235"/>
        <v>22</v>
      </c>
      <c r="W285" s="203" t="str">
        <f t="shared" si="235"/>
        <v>-</v>
      </c>
      <c r="X285" s="203">
        <f t="shared" si="235"/>
        <v>5826</v>
      </c>
    </row>
    <row r="286" spans="1:24" ht="11.25" customHeight="1" x14ac:dyDescent="0.25">
      <c r="A286" s="402">
        <v>2017</v>
      </c>
      <c r="B286" s="203" t="str">
        <f t="shared" ref="B286:L286" si="236">B187</f>
        <v>-</v>
      </c>
      <c r="C286" s="203">
        <f t="shared" si="236"/>
        <v>0</v>
      </c>
      <c r="D286" s="203">
        <f t="shared" si="236"/>
        <v>4304</v>
      </c>
      <c r="E286" s="203">
        <f t="shared" si="236"/>
        <v>2394</v>
      </c>
      <c r="F286" s="203">
        <f t="shared" si="236"/>
        <v>5572</v>
      </c>
      <c r="G286" s="203">
        <f t="shared" si="236"/>
        <v>26749</v>
      </c>
      <c r="H286" s="203">
        <f t="shared" si="236"/>
        <v>19616</v>
      </c>
      <c r="I286" s="203">
        <f t="shared" si="236"/>
        <v>4852</v>
      </c>
      <c r="J286" s="203">
        <f t="shared" si="236"/>
        <v>1396</v>
      </c>
      <c r="K286" s="203">
        <f t="shared" si="236"/>
        <v>0</v>
      </c>
      <c r="L286" s="203">
        <f t="shared" si="236"/>
        <v>64883</v>
      </c>
      <c r="M286" s="150"/>
      <c r="N286" s="203" t="str">
        <f t="shared" ref="N286:X286" si="237">N187</f>
        <v>-</v>
      </c>
      <c r="O286" s="203" t="str">
        <f t="shared" si="237"/>
        <v>-</v>
      </c>
      <c r="P286" s="203" t="str">
        <f t="shared" si="237"/>
        <v>-</v>
      </c>
      <c r="Q286" s="203">
        <f t="shared" si="237"/>
        <v>3</v>
      </c>
      <c r="R286" s="203">
        <f t="shared" si="237"/>
        <v>363</v>
      </c>
      <c r="S286" s="203">
        <f t="shared" si="237"/>
        <v>6190</v>
      </c>
      <c r="T286" s="203">
        <f t="shared" si="237"/>
        <v>3984</v>
      </c>
      <c r="U286" s="203">
        <f t="shared" si="237"/>
        <v>4590</v>
      </c>
      <c r="V286" s="203" t="str">
        <f t="shared" si="237"/>
        <v>-</v>
      </c>
      <c r="W286" s="203" t="str">
        <f t="shared" si="237"/>
        <v>-</v>
      </c>
      <c r="X286" s="203">
        <f t="shared" si="237"/>
        <v>15130</v>
      </c>
    </row>
    <row r="287" spans="1:24" s="358" customFormat="1" ht="11.25" customHeight="1" x14ac:dyDescent="0.25">
      <c r="A287" s="402">
        <v>2018</v>
      </c>
      <c r="B287" s="203" t="str">
        <f t="shared" ref="B287:L287" si="238">B188</f>
        <v>-</v>
      </c>
      <c r="C287" s="203">
        <f t="shared" si="238"/>
        <v>0</v>
      </c>
      <c r="D287" s="203">
        <f t="shared" si="238"/>
        <v>3939</v>
      </c>
      <c r="E287" s="203">
        <f t="shared" si="238"/>
        <v>629</v>
      </c>
      <c r="F287" s="203">
        <f t="shared" si="238"/>
        <v>15060</v>
      </c>
      <c r="G287" s="203">
        <f t="shared" si="238"/>
        <v>43563</v>
      </c>
      <c r="H287" s="203">
        <f t="shared" si="238"/>
        <v>16313</v>
      </c>
      <c r="I287" s="203">
        <f t="shared" si="238"/>
        <v>7436</v>
      </c>
      <c r="J287" s="203">
        <f t="shared" si="238"/>
        <v>4675</v>
      </c>
      <c r="K287" s="203">
        <f t="shared" si="238"/>
        <v>0</v>
      </c>
      <c r="L287" s="203">
        <f t="shared" si="238"/>
        <v>91615</v>
      </c>
      <c r="M287" s="150"/>
      <c r="N287" s="203" t="str">
        <f t="shared" ref="N287:X287" si="239">N188</f>
        <v>-</v>
      </c>
      <c r="O287" s="203" t="str">
        <f t="shared" si="239"/>
        <v>-</v>
      </c>
      <c r="P287" s="203" t="str">
        <f t="shared" si="239"/>
        <v>-</v>
      </c>
      <c r="Q287" s="203" t="str">
        <f t="shared" si="239"/>
        <v>-</v>
      </c>
      <c r="R287" s="203">
        <f t="shared" si="239"/>
        <v>88</v>
      </c>
      <c r="S287" s="203">
        <f t="shared" si="239"/>
        <v>3077</v>
      </c>
      <c r="T287" s="203">
        <f t="shared" si="239"/>
        <v>8630</v>
      </c>
      <c r="U287" s="203">
        <f t="shared" si="239"/>
        <v>6944</v>
      </c>
      <c r="V287" s="203" t="str">
        <f t="shared" si="239"/>
        <v>-</v>
      </c>
      <c r="W287" s="203" t="str">
        <f t="shared" si="239"/>
        <v>-</v>
      </c>
      <c r="X287" s="203">
        <f t="shared" si="239"/>
        <v>18739</v>
      </c>
    </row>
    <row r="288" spans="1:24" s="358" customFormat="1" ht="11.25" customHeight="1" x14ac:dyDescent="0.25">
      <c r="A288" s="123" t="s">
        <v>403</v>
      </c>
      <c r="B288" s="203" t="str">
        <f t="shared" ref="B288:L289" si="240">B189</f>
        <v>-</v>
      </c>
      <c r="C288" s="203">
        <f t="shared" si="240"/>
        <v>10</v>
      </c>
      <c r="D288" s="203">
        <f t="shared" si="240"/>
        <v>16783</v>
      </c>
      <c r="E288" s="203">
        <f t="shared" si="240"/>
        <v>3591</v>
      </c>
      <c r="F288" s="203">
        <f t="shared" si="240"/>
        <v>21518</v>
      </c>
      <c r="G288" s="203">
        <f t="shared" si="240"/>
        <v>24855</v>
      </c>
      <c r="H288" s="203">
        <f t="shared" si="240"/>
        <v>21867</v>
      </c>
      <c r="I288" s="203">
        <f t="shared" si="240"/>
        <v>4427</v>
      </c>
      <c r="J288" s="203">
        <f t="shared" si="240"/>
        <v>724</v>
      </c>
      <c r="K288" s="203" t="str">
        <f t="shared" si="240"/>
        <v>-</v>
      </c>
      <c r="L288" s="203">
        <f t="shared" si="240"/>
        <v>93775</v>
      </c>
      <c r="M288" s="150"/>
      <c r="N288" s="203" t="str">
        <f t="shared" ref="N288:X289" si="241">N189</f>
        <v>-</v>
      </c>
      <c r="O288" s="203" t="str">
        <f t="shared" si="241"/>
        <v>-</v>
      </c>
      <c r="P288" s="203" t="str">
        <f t="shared" si="241"/>
        <v>-</v>
      </c>
      <c r="Q288" s="203">
        <f t="shared" si="241"/>
        <v>2</v>
      </c>
      <c r="R288" s="203">
        <f t="shared" si="241"/>
        <v>4106</v>
      </c>
      <c r="S288" s="203">
        <f t="shared" si="241"/>
        <v>27761</v>
      </c>
      <c r="T288" s="203">
        <f t="shared" si="241"/>
        <v>12822</v>
      </c>
      <c r="U288" s="203">
        <f t="shared" si="241"/>
        <v>5084</v>
      </c>
      <c r="V288" s="203">
        <f t="shared" si="241"/>
        <v>10</v>
      </c>
      <c r="W288" s="203" t="str">
        <f t="shared" si="241"/>
        <v>-</v>
      </c>
      <c r="X288" s="203">
        <f t="shared" si="241"/>
        <v>49785</v>
      </c>
    </row>
    <row r="289" spans="1:24" ht="11.25" customHeight="1" x14ac:dyDescent="0.25">
      <c r="A289" s="123" t="s">
        <v>404</v>
      </c>
      <c r="B289" s="200" t="str">
        <f t="shared" si="240"/>
        <v>-</v>
      </c>
      <c r="C289" s="200">
        <f t="shared" si="240"/>
        <v>0</v>
      </c>
      <c r="D289" s="200">
        <f t="shared" si="240"/>
        <v>4</v>
      </c>
      <c r="E289" s="200">
        <f t="shared" si="240"/>
        <v>38</v>
      </c>
      <c r="F289" s="200">
        <f t="shared" si="240"/>
        <v>655</v>
      </c>
      <c r="G289" s="200">
        <f t="shared" si="240"/>
        <v>27286</v>
      </c>
      <c r="H289" s="200">
        <f t="shared" si="240"/>
        <v>10879</v>
      </c>
      <c r="I289" s="200">
        <f t="shared" si="240"/>
        <v>5385</v>
      </c>
      <c r="J289" s="200">
        <f t="shared" si="240"/>
        <v>2498</v>
      </c>
      <c r="K289" s="200">
        <f t="shared" si="240"/>
        <v>21</v>
      </c>
      <c r="L289" s="200">
        <f t="shared" si="240"/>
        <v>46766</v>
      </c>
      <c r="M289" s="150"/>
      <c r="N289" s="200" t="str">
        <f t="shared" si="241"/>
        <v>-</v>
      </c>
      <c r="O289" s="200" t="str">
        <f t="shared" si="241"/>
        <v>-</v>
      </c>
      <c r="P289" s="200" t="str">
        <f t="shared" si="241"/>
        <v>-</v>
      </c>
      <c r="Q289" s="200" t="str">
        <f t="shared" si="241"/>
        <v>-</v>
      </c>
      <c r="R289" s="200">
        <f t="shared" si="241"/>
        <v>0</v>
      </c>
      <c r="S289" s="200">
        <f t="shared" si="241"/>
        <v>7775</v>
      </c>
      <c r="T289" s="200">
        <f t="shared" si="241"/>
        <v>5115</v>
      </c>
      <c r="U289" s="200">
        <f t="shared" si="241"/>
        <v>4249</v>
      </c>
      <c r="V289" s="200" t="str">
        <f t="shared" si="241"/>
        <v>-</v>
      </c>
      <c r="W289" s="200" t="str">
        <f t="shared" si="241"/>
        <v>-</v>
      </c>
      <c r="X289" s="200">
        <f t="shared" si="241"/>
        <v>17139</v>
      </c>
    </row>
    <row r="290" spans="1:24" ht="11.25" customHeight="1" x14ac:dyDescent="0.25">
      <c r="A290" s="585" t="str">
        <f>A191</f>
        <v>a/  Monthly totals for Oregon data are the sum of statistical weeks with closest fit to the calendar month.</v>
      </c>
      <c r="B290" s="585"/>
      <c r="C290" s="585"/>
      <c r="D290" s="585"/>
      <c r="E290" s="585"/>
      <c r="F290" s="585"/>
      <c r="G290" s="585"/>
      <c r="H290" s="585"/>
      <c r="I290" s="585"/>
      <c r="J290" s="585"/>
      <c r="K290" s="585"/>
      <c r="L290" s="585"/>
      <c r="M290" s="585"/>
      <c r="N290" s="585"/>
      <c r="O290" s="585"/>
      <c r="P290" s="585"/>
      <c r="Q290" s="585"/>
      <c r="R290" s="585"/>
      <c r="S290" s="585"/>
      <c r="T290" s="585"/>
      <c r="U290" s="585"/>
      <c r="V290" s="585"/>
      <c r="W290" s="585"/>
      <c r="X290" s="585"/>
    </row>
    <row r="291" spans="1:24" ht="11.25" customHeight="1" x14ac:dyDescent="0.25">
      <c r="A291" s="605" t="str">
        <f>A192</f>
        <v>b/  Preliminary.</v>
      </c>
      <c r="B291" s="605"/>
      <c r="C291" s="605"/>
      <c r="D291" s="605"/>
      <c r="E291" s="605"/>
      <c r="F291" s="605"/>
      <c r="G291" s="605"/>
      <c r="H291" s="605"/>
      <c r="I291" s="605"/>
      <c r="J291" s="605"/>
      <c r="K291" s="605"/>
      <c r="L291" s="605"/>
      <c r="M291" s="605"/>
      <c r="N291" s="605"/>
      <c r="O291" s="605"/>
      <c r="P291" s="605"/>
      <c r="Q291" s="605"/>
      <c r="R291" s="605"/>
      <c r="S291" s="605"/>
      <c r="T291" s="605"/>
      <c r="U291" s="605"/>
      <c r="V291" s="605"/>
      <c r="W291" s="605"/>
      <c r="X291" s="605"/>
    </row>
    <row r="292" spans="1:24" x14ac:dyDescent="0.25">
      <c r="A292" s="605" t="str">
        <f>A193</f>
        <v>c/  Recreational estimates for California do not include May and June due to restrictions on sampling caused by the COVID-19 pandemic.</v>
      </c>
      <c r="B292" s="605"/>
      <c r="C292" s="605"/>
      <c r="D292" s="605"/>
      <c r="E292" s="605"/>
      <c r="F292" s="605"/>
      <c r="G292" s="605"/>
      <c r="H292" s="605"/>
      <c r="I292" s="605"/>
      <c r="J292" s="605"/>
      <c r="K292" s="605"/>
      <c r="L292" s="605"/>
      <c r="M292" s="605"/>
      <c r="N292" s="605"/>
      <c r="O292" s="605"/>
      <c r="P292" s="605"/>
      <c r="Q292" s="605"/>
      <c r="R292" s="605"/>
      <c r="S292" s="605"/>
      <c r="T292" s="605"/>
      <c r="U292" s="605"/>
      <c r="V292" s="605"/>
      <c r="W292" s="605"/>
      <c r="X292" s="605"/>
    </row>
    <row r="293" spans="1:24" x14ac:dyDescent="0.25">
      <c r="A293" s="605"/>
      <c r="B293" s="605"/>
      <c r="C293" s="605"/>
      <c r="D293" s="605"/>
      <c r="E293" s="605"/>
      <c r="F293" s="605"/>
      <c r="G293" s="605"/>
      <c r="H293" s="605"/>
      <c r="I293" s="605"/>
      <c r="J293" s="605"/>
      <c r="K293" s="605"/>
      <c r="L293" s="605"/>
      <c r="M293" s="605"/>
      <c r="N293" s="605"/>
      <c r="O293" s="605"/>
      <c r="P293" s="605"/>
      <c r="Q293" s="605"/>
      <c r="R293" s="605"/>
      <c r="S293" s="605"/>
      <c r="T293" s="605"/>
      <c r="U293" s="605"/>
      <c r="V293" s="605"/>
      <c r="W293" s="605"/>
      <c r="X293" s="605"/>
    </row>
  </sheetData>
  <mergeCells count="13">
    <mergeCell ref="A293:X293"/>
    <mergeCell ref="A290:X290"/>
    <mergeCell ref="A291:X291"/>
    <mergeCell ref="A292:X292"/>
    <mergeCell ref="B3:L3"/>
    <mergeCell ref="N3:X3"/>
    <mergeCell ref="B199:L199"/>
    <mergeCell ref="N199:X199"/>
    <mergeCell ref="B246:L246"/>
    <mergeCell ref="N246:X246"/>
    <mergeCell ref="A191:X191"/>
    <mergeCell ref="A192:X192"/>
    <mergeCell ref="A193:X193"/>
  </mergeCells>
  <pageMargins left="0.7" right="0.7" top="0.75" bottom="0.75" header="0.3" footer="0.3"/>
  <pageSetup scale="98" orientation="landscape" r:id="rId1"/>
  <rowBreaks count="1" manualBreakCount="1">
    <brk id="243" max="23" man="1"/>
  </rowBreaks>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7"/>
  <dimension ref="A1:M537"/>
  <sheetViews>
    <sheetView showGridLines="0" topLeftCell="A458" zoomScaleNormal="100" zoomScaleSheetLayoutView="90" workbookViewId="0">
      <selection sqref="A1:J2"/>
    </sheetView>
  </sheetViews>
  <sheetFormatPr defaultRowHeight="15.75" x14ac:dyDescent="0.25"/>
  <cols>
    <col min="1" max="1" width="9.625" style="340" customWidth="1"/>
    <col min="2" max="7" width="9" style="340"/>
    <col min="8" max="8" width="10.875" style="340" customWidth="1"/>
    <col min="9" max="16384" width="9" style="340"/>
  </cols>
  <sheetData>
    <row r="1" spans="1:8" x14ac:dyDescent="0.25">
      <c r="A1" s="612" t="s">
        <v>306</v>
      </c>
      <c r="B1" s="612"/>
      <c r="C1" s="612"/>
      <c r="D1" s="612"/>
      <c r="E1" s="612"/>
      <c r="F1" s="612"/>
      <c r="G1" s="612"/>
      <c r="H1" s="612"/>
    </row>
    <row r="2" spans="1:8" x14ac:dyDescent="0.25">
      <c r="A2" s="615"/>
      <c r="B2" s="615"/>
      <c r="C2" s="615"/>
      <c r="D2" s="615"/>
      <c r="E2" s="615"/>
      <c r="F2" s="615"/>
      <c r="G2" s="615"/>
      <c r="H2" s="615"/>
    </row>
    <row r="3" spans="1:8" x14ac:dyDescent="0.25">
      <c r="A3" s="119" t="s">
        <v>33</v>
      </c>
      <c r="B3" s="472" t="s">
        <v>89</v>
      </c>
      <c r="C3" s="472" t="s">
        <v>90</v>
      </c>
      <c r="D3" s="472" t="s">
        <v>91</v>
      </c>
      <c r="E3" s="472" t="s">
        <v>92</v>
      </c>
      <c r="F3" s="472" t="s">
        <v>93</v>
      </c>
      <c r="G3" s="472" t="s">
        <v>94</v>
      </c>
      <c r="H3" s="472" t="s">
        <v>28</v>
      </c>
    </row>
    <row r="4" spans="1:8" ht="11.25" customHeight="1" x14ac:dyDescent="0.25">
      <c r="A4" s="116" t="s">
        <v>95</v>
      </c>
    </row>
    <row r="5" spans="1:8" ht="11.25" customHeight="1" x14ac:dyDescent="0.25">
      <c r="A5" s="473">
        <v>1976</v>
      </c>
      <c r="B5" s="193">
        <f>IF(AND('A-12'!B5="-",'A-12'!B52="-",'A-12'!B99="-"),"-",SUM('A-12'!B5,'A-12'!B52,'A-12'!B99))</f>
        <v>3433</v>
      </c>
      <c r="C5" s="193">
        <f>IF(AND('A-12'!C5="-",'A-12'!C52="-",'A-12'!C99="-"),"-",SUM('A-12'!C5,'A-12'!C52,'A-12'!C99))</f>
        <v>5730</v>
      </c>
      <c r="D5" s="193">
        <f>IF(AND('A-12'!D5="-",'A-12'!D52="-",'A-12'!D99="-"),"-",SUM('A-12'!D5,'A-12'!D52,'A-12'!D99))</f>
        <v>13642</v>
      </c>
      <c r="E5" s="193">
        <f>IF(AND('A-12'!E5="-",'A-12'!E52="-",'A-12'!E99="-"),"-",SUM('A-12'!E5,'A-12'!E52,'A-12'!E99))</f>
        <v>13247</v>
      </c>
      <c r="F5" s="193">
        <f>IF(AND('A-12'!F5="-",'A-12'!F52="-",'A-12'!F99="-"),"-",SUM('A-12'!F5,'A-12'!F52,'A-12'!F99))</f>
        <v>8958</v>
      </c>
      <c r="G5" s="193" t="str">
        <f>IF(AND('A-12'!G5="-",'A-12'!G52="-",'A-12'!G99="-"),"-",SUM('A-12'!G5,'A-12'!G52,'A-12'!G99))</f>
        <v>-</v>
      </c>
      <c r="H5" s="193">
        <f>IF(AND('A-12'!H5="-",'A-12'!H52="-",'A-12'!H99="-"),"-",SUM('A-12'!H5,'A-12'!H52,'A-12'!H99))</f>
        <v>45010</v>
      </c>
    </row>
    <row r="6" spans="1:8" ht="11.25" customHeight="1" x14ac:dyDescent="0.25">
      <c r="A6" s="473">
        <v>1977</v>
      </c>
      <c r="B6" s="193">
        <f>IF(AND('A-12'!B6="-",'A-12'!B53="-",'A-12'!B100="-"),"-",SUM('A-12'!B6,'A-12'!B53,'A-12'!B100))</f>
        <v>3265</v>
      </c>
      <c r="C6" s="193">
        <f>IF(AND('A-12'!C6="-",'A-12'!C53="-",'A-12'!C100="-"),"-",SUM('A-12'!C6,'A-12'!C53,'A-12'!C100))</f>
        <v>2773</v>
      </c>
      <c r="D6" s="193">
        <f>IF(AND('A-12'!D6="-",'A-12'!D53="-",'A-12'!D100="-"),"-",SUM('A-12'!D6,'A-12'!D53,'A-12'!D100))</f>
        <v>14950</v>
      </c>
      <c r="E6" s="193">
        <f>IF(AND('A-12'!E6="-",'A-12'!E53="-",'A-12'!E100="-"),"-",SUM('A-12'!E6,'A-12'!E53,'A-12'!E100))</f>
        <v>12416</v>
      </c>
      <c r="F6" s="193">
        <f>IF(AND('A-12'!F6="-",'A-12'!F53="-",'A-12'!F100="-"),"-",SUM('A-12'!F6,'A-12'!F53,'A-12'!F100))</f>
        <v>7206</v>
      </c>
      <c r="G6" s="193" t="str">
        <f>IF(AND('A-12'!G6="-",'A-12'!G53="-",'A-12'!G100="-"),"-",SUM('A-12'!G6,'A-12'!G53,'A-12'!G100))</f>
        <v>-</v>
      </c>
      <c r="H6" s="193">
        <f>IF(AND('A-12'!H6="-",'A-12'!H53="-",'A-12'!H100="-"),"-",SUM('A-12'!H6,'A-12'!H53,'A-12'!H100))</f>
        <v>40610</v>
      </c>
    </row>
    <row r="7" spans="1:8" ht="11.25" customHeight="1" x14ac:dyDescent="0.25">
      <c r="A7" s="473">
        <v>1978</v>
      </c>
      <c r="B7" s="193">
        <f>IF(AND('A-12'!B7="-",'A-12'!B54="-",'A-12'!B101="-"),"-",SUM('A-12'!B7,'A-12'!B54,'A-12'!B101))</f>
        <v>2713</v>
      </c>
      <c r="C7" s="193">
        <f>IF(AND('A-12'!C7="-",'A-12'!C54="-",'A-12'!C101="-"),"-",SUM('A-12'!C7,'A-12'!C54,'A-12'!C101))</f>
        <v>2449</v>
      </c>
      <c r="D7" s="193">
        <f>IF(AND('A-12'!D7="-",'A-12'!D54="-",'A-12'!D101="-"),"-",SUM('A-12'!D7,'A-12'!D54,'A-12'!D101))</f>
        <v>11640</v>
      </c>
      <c r="E7" s="193">
        <f>IF(AND('A-12'!E7="-",'A-12'!E54="-",'A-12'!E101="-"),"-",SUM('A-12'!E7,'A-12'!E54,'A-12'!E101))</f>
        <v>9056</v>
      </c>
      <c r="F7" s="193">
        <f>IF(AND('A-12'!F7="-",'A-12'!F54="-",'A-12'!F101="-"),"-",SUM('A-12'!F7,'A-12'!F54,'A-12'!F101))</f>
        <v>6303</v>
      </c>
      <c r="G7" s="193" t="str">
        <f>IF(AND('A-12'!G7="-",'A-12'!G54="-",'A-12'!G101="-"),"-",SUM('A-12'!G7,'A-12'!G54,'A-12'!G101))</f>
        <v>-</v>
      </c>
      <c r="H7" s="193">
        <f>IF(AND('A-12'!H7="-",'A-12'!H54="-",'A-12'!H101="-"),"-",SUM('A-12'!H7,'A-12'!H54,'A-12'!H101))</f>
        <v>32161</v>
      </c>
    </row>
    <row r="8" spans="1:8" ht="11.25" customHeight="1" x14ac:dyDescent="0.25">
      <c r="A8" s="473">
        <v>1979</v>
      </c>
      <c r="B8" s="193">
        <f>IF(AND('A-12'!B8="-",'A-12'!B55="-",'A-12'!B102="-"),"-",SUM('A-12'!B8,'A-12'!B55,'A-12'!B102))</f>
        <v>4138</v>
      </c>
      <c r="C8" s="193">
        <f>IF(AND('A-12'!C8="-",'A-12'!C55="-",'A-12'!C102="-"),"-",SUM('A-12'!C8,'A-12'!C55,'A-12'!C102))</f>
        <v>153</v>
      </c>
      <c r="D8" s="193">
        <f>IF(AND('A-12'!D8="-",'A-12'!D55="-",'A-12'!D102="-"),"-",SUM('A-12'!D8,'A-12'!D55,'A-12'!D102))</f>
        <v>11554</v>
      </c>
      <c r="E8" s="193">
        <f>IF(AND('A-12'!E8="-",'A-12'!E55="-",'A-12'!E102="-"),"-",SUM('A-12'!E8,'A-12'!E55,'A-12'!E102))</f>
        <v>16655</v>
      </c>
      <c r="F8" s="193">
        <f>IF(AND('A-12'!F8="-",'A-12'!F55="-",'A-12'!F102="-"),"-",SUM('A-12'!F8,'A-12'!F55,'A-12'!F102))</f>
        <v>122</v>
      </c>
      <c r="G8" s="193" t="str">
        <f>IF(AND('A-12'!G8="-",'A-12'!G55="-",'A-12'!G102="-"),"-",SUM('A-12'!G8,'A-12'!G55,'A-12'!G102))</f>
        <v>-</v>
      </c>
      <c r="H8" s="193">
        <f>IF(AND('A-12'!H8="-",'A-12'!H55="-",'A-12'!H102="-"),"-",SUM('A-12'!H8,'A-12'!H55,'A-12'!H102))</f>
        <v>32622</v>
      </c>
    </row>
    <row r="9" spans="1:8" ht="11.25" customHeight="1" x14ac:dyDescent="0.25">
      <c r="A9" s="473">
        <v>1980</v>
      </c>
      <c r="B9" s="193">
        <f>IF(AND('A-12'!B9="-",'A-12'!B56="-",'A-12'!B103="-"),"-",SUM('A-12'!B9,'A-12'!B56,'A-12'!B103))</f>
        <v>3860</v>
      </c>
      <c r="C9" s="193">
        <f>IF(AND('A-12'!C9="-",'A-12'!C56="-",'A-12'!C103="-"),"-",SUM('A-12'!C9,'A-12'!C56,'A-12'!C103))</f>
        <v>205</v>
      </c>
      <c r="D9" s="193">
        <f>IF(AND('A-12'!D9="-",'A-12'!D56="-",'A-12'!D103="-"),"-",SUM('A-12'!D9,'A-12'!D56,'A-12'!D103))</f>
        <v>7595</v>
      </c>
      <c r="E9" s="193">
        <f>IF(AND('A-12'!E9="-",'A-12'!E56="-",'A-12'!E103="-"),"-",SUM('A-12'!E9,'A-12'!E56,'A-12'!E103))</f>
        <v>8814</v>
      </c>
      <c r="F9" s="193">
        <f>IF(AND('A-12'!F9="-",'A-12'!F56="-",'A-12'!F103="-"),"-",SUM('A-12'!F9,'A-12'!F56,'A-12'!F103))</f>
        <v>5</v>
      </c>
      <c r="G9" s="193" t="str">
        <f>IF(AND('A-12'!G9="-",'A-12'!G56="-",'A-12'!G103="-"),"-",SUM('A-12'!G9,'A-12'!G56,'A-12'!G103))</f>
        <v>-</v>
      </c>
      <c r="H9" s="193">
        <f>IF(AND('A-12'!H9="-",'A-12'!H56="-",'A-12'!H103="-"),"-",SUM('A-12'!H9,'A-12'!H56,'A-12'!H103))</f>
        <v>20479</v>
      </c>
    </row>
    <row r="10" spans="1:8" ht="11.25" customHeight="1" x14ac:dyDescent="0.25">
      <c r="A10" s="473">
        <v>1981</v>
      </c>
      <c r="B10" s="193">
        <f>IF(AND('A-12'!B10="-",'A-12'!B57="-",'A-12'!B104="-"),"-",SUM('A-12'!B10,'A-12'!B57,'A-12'!B104))</f>
        <v>4119</v>
      </c>
      <c r="C10" s="193">
        <f>IF(AND('A-12'!C10="-",'A-12'!C57="-",'A-12'!C104="-"),"-",SUM('A-12'!C10,'A-12'!C57,'A-12'!C104))</f>
        <v>200</v>
      </c>
      <c r="D10" s="193">
        <f>IF(AND('A-12'!D10="-",'A-12'!D57="-",'A-12'!D104="-"),"-",SUM('A-12'!D10,'A-12'!D57,'A-12'!D104))</f>
        <v>8188</v>
      </c>
      <c r="E10" s="193">
        <f>IF(AND('A-12'!E10="-",'A-12'!E57="-",'A-12'!E104="-"),"-",SUM('A-12'!E10,'A-12'!E57,'A-12'!E104))</f>
        <v>8584</v>
      </c>
      <c r="F10" s="193" t="str">
        <f>IF(AND('A-12'!F10="-",'A-12'!F57="-",'A-12'!F104="-"),"-",SUM('A-12'!F10,'A-12'!F57,'A-12'!F104))</f>
        <v>-</v>
      </c>
      <c r="G10" s="193" t="str">
        <f>IF(AND('A-12'!G10="-",'A-12'!G57="-",'A-12'!G104="-"),"-",SUM('A-12'!G10,'A-12'!G57,'A-12'!G104))</f>
        <v>-</v>
      </c>
      <c r="H10" s="193">
        <f>IF(AND('A-12'!H10="-",'A-12'!H57="-",'A-12'!H104="-"),"-",SUM('A-12'!H10,'A-12'!H57,'A-12'!H104))</f>
        <v>21091</v>
      </c>
    </row>
    <row r="11" spans="1:8" ht="11.25" customHeight="1" x14ac:dyDescent="0.25">
      <c r="A11" s="473">
        <v>1982</v>
      </c>
      <c r="B11" s="193">
        <f>IF(AND('A-12'!B11="-",'A-12'!B58="-",'A-12'!B105="-"),"-",SUM('A-12'!B11,'A-12'!B58,'A-12'!B105))</f>
        <v>3314</v>
      </c>
      <c r="C11" s="193">
        <f>IF(AND('A-12'!C11="-",'A-12'!C58="-",'A-12'!C105="-"),"-",SUM('A-12'!C11,'A-12'!C58,'A-12'!C105))</f>
        <v>596</v>
      </c>
      <c r="D11" s="193">
        <f>IF(AND('A-12'!D11="-",'A-12'!D58="-",'A-12'!D105="-"),"-",SUM('A-12'!D11,'A-12'!D58,'A-12'!D105))</f>
        <v>9663</v>
      </c>
      <c r="E11" s="193">
        <f>IF(AND('A-12'!E11="-",'A-12'!E58="-",'A-12'!E105="-"),"-",SUM('A-12'!E11,'A-12'!E58,'A-12'!E105))</f>
        <v>396</v>
      </c>
      <c r="F11" s="193" t="str">
        <f>IF(AND('A-12'!F11="-",'A-12'!F58="-",'A-12'!F105="-"),"-",SUM('A-12'!F11,'A-12'!F58,'A-12'!F105))</f>
        <v>-</v>
      </c>
      <c r="G11" s="193" t="str">
        <f>IF(AND('A-12'!G11="-",'A-12'!G58="-",'A-12'!G105="-"),"-",SUM('A-12'!G11,'A-12'!G58,'A-12'!G105))</f>
        <v>-</v>
      </c>
      <c r="H11" s="193">
        <f>IF(AND('A-12'!H11="-",'A-12'!H58="-",'A-12'!H105="-"),"-",SUM('A-12'!H11,'A-12'!H58,'A-12'!H105))</f>
        <v>13969</v>
      </c>
    </row>
    <row r="12" spans="1:8" ht="11.25" customHeight="1" x14ac:dyDescent="0.25">
      <c r="A12" s="473">
        <v>1983</v>
      </c>
      <c r="B12" s="193">
        <f>IF(AND('A-12'!B12="-",'A-12'!B59="-",'A-12'!B106="-"),"-",SUM('A-12'!B12,'A-12'!B59,'A-12'!B106))</f>
        <v>3359</v>
      </c>
      <c r="C12" s="193">
        <f>IF(AND('A-12'!C12="-",'A-12'!C59="-",'A-12'!C106="-"),"-",SUM('A-12'!C12,'A-12'!C59,'A-12'!C106))</f>
        <v>419</v>
      </c>
      <c r="D12" s="193">
        <f>IF(AND('A-12'!D12="-",'A-12'!D59="-",'A-12'!D106="-"),"-",SUM('A-12'!D12,'A-12'!D59,'A-12'!D106))</f>
        <v>2708</v>
      </c>
      <c r="E12" s="193">
        <f>IF(AND('A-12'!E12="-",'A-12'!E59="-",'A-12'!E106="-"),"-",SUM('A-12'!E12,'A-12'!E59,'A-12'!E106))</f>
        <v>1215</v>
      </c>
      <c r="F12" s="193" t="str">
        <f>IF(AND('A-12'!F12="-",'A-12'!F59="-",'A-12'!F106="-"),"-",SUM('A-12'!F12,'A-12'!F59,'A-12'!F106))</f>
        <v>-</v>
      </c>
      <c r="G12" s="193" t="str">
        <f>IF(AND('A-12'!G12="-",'A-12'!G59="-",'A-12'!G106="-"),"-",SUM('A-12'!G12,'A-12'!G59,'A-12'!G106))</f>
        <v>-</v>
      </c>
      <c r="H12" s="193">
        <f>IF(AND('A-12'!H12="-",'A-12'!H59="-",'A-12'!H106="-"),"-",SUM('A-12'!H12,'A-12'!H59,'A-12'!H106))</f>
        <v>7701</v>
      </c>
    </row>
    <row r="13" spans="1:8" ht="11.25" customHeight="1" x14ac:dyDescent="0.25">
      <c r="A13" s="473">
        <v>1984</v>
      </c>
      <c r="B13" s="193">
        <f>IF(AND('A-12'!B13="-",'A-12'!B60="-",'A-12'!B107="-"),"-",SUM('A-12'!B13,'A-12'!B60,'A-12'!B107))</f>
        <v>546</v>
      </c>
      <c r="C13" s="193" t="str">
        <f>IF(AND('A-12'!C13="-",'A-12'!C60="-",'A-12'!C107="-"),"-",SUM('A-12'!C13,'A-12'!C60,'A-12'!C107))</f>
        <v>-</v>
      </c>
      <c r="D13" s="193" t="str">
        <f>IF(AND('A-12'!D13="-",'A-12'!D60="-",'A-12'!D107="-"),"-",SUM('A-12'!D13,'A-12'!D60,'A-12'!D107))</f>
        <v>-</v>
      </c>
      <c r="E13" s="193">
        <f>IF(AND('A-12'!E13="-",'A-12'!E60="-",'A-12'!E107="-"),"-",SUM('A-12'!E13,'A-12'!E60,'A-12'!E107))</f>
        <v>313</v>
      </c>
      <c r="F13" s="193" t="str">
        <f>IF(AND('A-12'!F13="-",'A-12'!F60="-",'A-12'!F107="-"),"-",SUM('A-12'!F13,'A-12'!F60,'A-12'!F107))</f>
        <v>-</v>
      </c>
      <c r="G13" s="193" t="str">
        <f>IF(AND('A-12'!G13="-",'A-12'!G60="-",'A-12'!G107="-"),"-",SUM('A-12'!G13,'A-12'!G60,'A-12'!G107))</f>
        <v>-</v>
      </c>
      <c r="H13" s="193">
        <f>IF(AND('A-12'!H13="-",'A-12'!H60="-",'A-12'!H107="-"),"-",SUM('A-12'!H13,'A-12'!H60,'A-12'!H107))</f>
        <v>859</v>
      </c>
    </row>
    <row r="14" spans="1:8" ht="11.25" customHeight="1" x14ac:dyDescent="0.25">
      <c r="A14" s="473">
        <v>1985</v>
      </c>
      <c r="B14" s="193">
        <f>IF(AND('A-12'!B14="-",'A-12'!B61="-",'A-12'!B108="-"),"-",SUM('A-12'!B14,'A-12'!B61,'A-12'!B108))</f>
        <v>2162</v>
      </c>
      <c r="C14" s="193">
        <f>IF(AND('A-12'!C14="-",'A-12'!C61="-",'A-12'!C108="-"),"-",SUM('A-12'!C14,'A-12'!C61,'A-12'!C108))</f>
        <v>20</v>
      </c>
      <c r="D14" s="193">
        <f>IF(AND('A-12'!D14="-",'A-12'!D61="-",'A-12'!D108="-"),"-",SUM('A-12'!D14,'A-12'!D61,'A-12'!D108))</f>
        <v>2041</v>
      </c>
      <c r="E14" s="193">
        <f>IF(AND('A-12'!E14="-",'A-12'!E61="-",'A-12'!E108="-"),"-",SUM('A-12'!E14,'A-12'!E61,'A-12'!E108))</f>
        <v>1432</v>
      </c>
      <c r="F14" s="193">
        <f>IF(AND('A-12'!F14="-",'A-12'!F61="-",'A-12'!F108="-"),"-",SUM('A-12'!F14,'A-12'!F61,'A-12'!F108))</f>
        <v>14</v>
      </c>
      <c r="G14" s="193" t="str">
        <f>IF(AND('A-12'!G14="-",'A-12'!G61="-",'A-12'!G108="-"),"-",SUM('A-12'!G14,'A-12'!G61,'A-12'!G108))</f>
        <v>-</v>
      </c>
      <c r="H14" s="193">
        <f>IF(AND('A-12'!H14="-",'A-12'!H61="-",'A-12'!H108="-"),"-",SUM('A-12'!H14,'A-12'!H61,'A-12'!H108))</f>
        <v>5669</v>
      </c>
    </row>
    <row r="15" spans="1:8" ht="11.25" customHeight="1" x14ac:dyDescent="0.25">
      <c r="A15" s="473">
        <v>1986</v>
      </c>
      <c r="B15" s="193">
        <f>IF(AND('A-12'!B15="-",'A-12'!B62="-",'A-12'!B109="-"),"-",SUM('A-12'!B15,'A-12'!B62,'A-12'!B109))</f>
        <v>1878</v>
      </c>
      <c r="C15" s="193">
        <f>IF(AND('A-12'!C15="-",'A-12'!C62="-",'A-12'!C109="-"),"-",SUM('A-12'!C15,'A-12'!C62,'A-12'!C109))</f>
        <v>15</v>
      </c>
      <c r="D15" s="193" t="str">
        <f>IF(AND('A-12'!D15="-",'A-12'!D62="-",'A-12'!D109="-"),"-",SUM('A-12'!D15,'A-12'!D62,'A-12'!D109))</f>
        <v>-</v>
      </c>
      <c r="E15" s="193">
        <f>IF(AND('A-12'!E15="-",'A-12'!E62="-",'A-12'!E109="-"),"-",SUM('A-12'!E15,'A-12'!E62,'A-12'!E109))</f>
        <v>927</v>
      </c>
      <c r="F15" s="193" t="str">
        <f>IF(AND('A-12'!F15="-",'A-12'!F62="-",'A-12'!F109="-"),"-",SUM('A-12'!F15,'A-12'!F62,'A-12'!F109))</f>
        <v>-</v>
      </c>
      <c r="G15" s="193" t="str">
        <f>IF(AND('A-12'!G15="-",'A-12'!G62="-",'A-12'!G109="-"),"-",SUM('A-12'!G15,'A-12'!G62,'A-12'!G109))</f>
        <v>-</v>
      </c>
      <c r="H15" s="193">
        <f>IF(AND('A-12'!H15="-",'A-12'!H62="-",'A-12'!H109="-"),"-",SUM('A-12'!H15,'A-12'!H62,'A-12'!H109))</f>
        <v>2820</v>
      </c>
    </row>
    <row r="16" spans="1:8" ht="11.25" customHeight="1" x14ac:dyDescent="0.25">
      <c r="A16" s="473">
        <v>1987</v>
      </c>
      <c r="B16" s="193">
        <f>IF(AND('A-12'!B16="-",'A-12'!B63="-",'A-12'!B110="-"),"-",SUM('A-12'!B16,'A-12'!B63,'A-12'!B110))</f>
        <v>1768</v>
      </c>
      <c r="C16" s="193" t="str">
        <f>IF(AND('A-12'!C16="-",'A-12'!C63="-",'A-12'!C110="-"),"-",SUM('A-12'!C16,'A-12'!C63,'A-12'!C110))</f>
        <v>-</v>
      </c>
      <c r="D16" s="193">
        <f>IF(AND('A-12'!D16="-",'A-12'!D63="-",'A-12'!D110="-"),"-",SUM('A-12'!D16,'A-12'!D63,'A-12'!D110))</f>
        <v>872</v>
      </c>
      <c r="E16" s="193">
        <f>IF(AND('A-12'!E16="-",'A-12'!E63="-",'A-12'!E110="-"),"-",SUM('A-12'!E16,'A-12'!E63,'A-12'!E110))</f>
        <v>7</v>
      </c>
      <c r="F16" s="193" t="str">
        <f>IF(AND('A-12'!F16="-",'A-12'!F63="-",'A-12'!F110="-"),"-",SUM('A-12'!F16,'A-12'!F63,'A-12'!F110))</f>
        <v>-</v>
      </c>
      <c r="G16" s="193" t="str">
        <f>IF(AND('A-12'!G16="-",'A-12'!G63="-",'A-12'!G110="-"),"-",SUM('A-12'!G16,'A-12'!G63,'A-12'!G110))</f>
        <v>-</v>
      </c>
      <c r="H16" s="193">
        <f>IF(AND('A-12'!H16="-",'A-12'!H63="-",'A-12'!H110="-"),"-",SUM('A-12'!H16,'A-12'!H63,'A-12'!H110))</f>
        <v>2647</v>
      </c>
    </row>
    <row r="17" spans="1:8" ht="11.25" customHeight="1" x14ac:dyDescent="0.25">
      <c r="A17" s="473">
        <v>1988</v>
      </c>
      <c r="B17" s="193">
        <f>IF(AND('A-12'!B17="-",'A-12'!B64="-",'A-12'!B111="-"),"-",SUM('A-12'!B17,'A-12'!B64,'A-12'!B111))</f>
        <v>3424</v>
      </c>
      <c r="C17" s="193">
        <f>IF(AND('A-12'!C17="-",'A-12'!C64="-",'A-12'!C111="-"),"-",SUM('A-12'!C17,'A-12'!C64,'A-12'!C111))</f>
        <v>2026</v>
      </c>
      <c r="D17" s="193">
        <f>IF(AND('A-12'!D17="-",'A-12'!D64="-",'A-12'!D111="-"),"-",SUM('A-12'!D17,'A-12'!D64,'A-12'!D111))</f>
        <v>3</v>
      </c>
      <c r="E17" s="193">
        <f>IF(AND('A-12'!E17="-",'A-12'!E64="-",'A-12'!E111="-"),"-",SUM('A-12'!E17,'A-12'!E64,'A-12'!E111))</f>
        <v>24</v>
      </c>
      <c r="F17" s="193" t="str">
        <f>IF(AND('A-12'!F17="-",'A-12'!F64="-",'A-12'!F111="-"),"-",SUM('A-12'!F17,'A-12'!F64,'A-12'!F111))</f>
        <v>-</v>
      </c>
      <c r="G17" s="193" t="str">
        <f>IF(AND('A-12'!G17="-",'A-12'!G64="-",'A-12'!G111="-"),"-",SUM('A-12'!G17,'A-12'!G64,'A-12'!G111))</f>
        <v>-</v>
      </c>
      <c r="H17" s="193">
        <f>IF(AND('A-12'!H17="-",'A-12'!H64="-",'A-12'!H111="-"),"-",SUM('A-12'!H17,'A-12'!H64,'A-12'!H111))</f>
        <v>5477</v>
      </c>
    </row>
    <row r="18" spans="1:8" ht="11.25" customHeight="1" x14ac:dyDescent="0.25">
      <c r="A18" s="473">
        <v>1989</v>
      </c>
      <c r="B18" s="193">
        <f>IF(AND('A-12'!B18="-",'A-12'!B65="-",'A-12'!B112="-"),"-",SUM('A-12'!B18,'A-12'!B65,'A-12'!B112))</f>
        <v>2151</v>
      </c>
      <c r="C18" s="193">
        <f>IF(AND('A-12'!C18="-",'A-12'!C65="-",'A-12'!C112="-"),"-",SUM('A-12'!C18,'A-12'!C65,'A-12'!C112))</f>
        <v>1068</v>
      </c>
      <c r="D18" s="193" t="str">
        <f>IF(AND('A-12'!D18="-",'A-12'!D65="-",'A-12'!D112="-"),"-",SUM('A-12'!D18,'A-12'!D65,'A-12'!D112))</f>
        <v>-</v>
      </c>
      <c r="E18" s="193">
        <f>IF(AND('A-12'!E18="-",'A-12'!E65="-",'A-12'!E112="-"),"-",SUM('A-12'!E18,'A-12'!E65,'A-12'!E112))</f>
        <v>863</v>
      </c>
      <c r="F18" s="193" t="str">
        <f>IF(AND('A-12'!F18="-",'A-12'!F65="-",'A-12'!F112="-"),"-",SUM('A-12'!F18,'A-12'!F65,'A-12'!F112))</f>
        <v>-</v>
      </c>
      <c r="G18" s="193" t="str">
        <f>IF(AND('A-12'!G18="-",'A-12'!G65="-",'A-12'!G112="-"),"-",SUM('A-12'!G18,'A-12'!G65,'A-12'!G112))</f>
        <v>-</v>
      </c>
      <c r="H18" s="193">
        <f>IF(AND('A-12'!H18="-",'A-12'!H65="-",'A-12'!H112="-"),"-",SUM('A-12'!H18,'A-12'!H65,'A-12'!H112))</f>
        <v>4082</v>
      </c>
    </row>
    <row r="19" spans="1:8" ht="11.25" customHeight="1" x14ac:dyDescent="0.25">
      <c r="A19" s="473">
        <v>1990</v>
      </c>
      <c r="B19" s="193">
        <f>IF(AND('A-12'!B19="-",'A-12'!B66="-",'A-12'!B113="-"),"-",SUM('A-12'!B19,'A-12'!B66,'A-12'!B113))</f>
        <v>2056</v>
      </c>
      <c r="C19" s="193">
        <f>IF(AND('A-12'!C19="-",'A-12'!C66="-",'A-12'!C113="-"),"-",SUM('A-12'!C19,'A-12'!C66,'A-12'!C113))</f>
        <v>211</v>
      </c>
      <c r="D19" s="193" t="str">
        <f>IF(AND('A-12'!D19="-",'A-12'!D66="-",'A-12'!D113="-"),"-",SUM('A-12'!D19,'A-12'!D66,'A-12'!D113))</f>
        <v>-</v>
      </c>
      <c r="E19" s="193">
        <f>IF(AND('A-12'!E19="-",'A-12'!E66="-",'A-12'!E113="-"),"-",SUM('A-12'!E19,'A-12'!E66,'A-12'!E113))</f>
        <v>1929</v>
      </c>
      <c r="F19" s="193">
        <f>IF(AND('A-12'!F19="-",'A-12'!F66="-",'A-12'!F113="-"),"-",SUM('A-12'!F19,'A-12'!F66,'A-12'!F113))</f>
        <v>15</v>
      </c>
      <c r="G19" s="193" t="str">
        <f>IF(AND('A-12'!G19="-",'A-12'!G66="-",'A-12'!G113="-"),"-",SUM('A-12'!G19,'A-12'!G66,'A-12'!G113))</f>
        <v>-</v>
      </c>
      <c r="H19" s="193">
        <f>IF(AND('A-12'!H19="-",'A-12'!H66="-",'A-12'!H113="-"),"-",SUM('A-12'!H19,'A-12'!H66,'A-12'!H113))</f>
        <v>4211</v>
      </c>
    </row>
    <row r="20" spans="1:8" ht="11.25" customHeight="1" x14ac:dyDescent="0.25">
      <c r="A20" s="473">
        <v>1991</v>
      </c>
      <c r="B20" s="193">
        <f>IF(AND('A-12'!B20="-",'A-12'!B67="-",'A-12'!B114="-"),"-",SUM('A-12'!B20,'A-12'!B67,'A-12'!B114))</f>
        <v>1611</v>
      </c>
      <c r="C20" s="193">
        <f>IF(AND('A-12'!C20="-",'A-12'!C67="-",'A-12'!C114="-"),"-",SUM('A-12'!C20,'A-12'!C67,'A-12'!C114))</f>
        <v>985</v>
      </c>
      <c r="D20" s="193" t="str">
        <f>IF(AND('A-12'!D20="-",'A-12'!D67="-",'A-12'!D114="-"),"-",SUM('A-12'!D20,'A-12'!D67,'A-12'!D114))</f>
        <v>-</v>
      </c>
      <c r="E20" s="193">
        <f>IF(AND('A-12'!E20="-",'A-12'!E67="-",'A-12'!E114="-"),"-",SUM('A-12'!E20,'A-12'!E67,'A-12'!E114))</f>
        <v>1181</v>
      </c>
      <c r="F20" s="193">
        <f>IF(AND('A-12'!F20="-",'A-12'!F67="-",'A-12'!F114="-"),"-",SUM('A-12'!F20,'A-12'!F67,'A-12'!F114))</f>
        <v>450</v>
      </c>
      <c r="G20" s="193" t="str">
        <f>IF(AND('A-12'!G20="-",'A-12'!G67="-",'A-12'!G114="-"),"-",SUM('A-12'!G20,'A-12'!G67,'A-12'!G114))</f>
        <v>-</v>
      </c>
      <c r="H20" s="193">
        <f>IF(AND('A-12'!H20="-",'A-12'!H67="-",'A-12'!H114="-"),"-",SUM('A-12'!H20,'A-12'!H67,'A-12'!H114))</f>
        <v>4227</v>
      </c>
    </row>
    <row r="21" spans="1:8" ht="11.25" customHeight="1" x14ac:dyDescent="0.25">
      <c r="A21" s="473">
        <v>1992</v>
      </c>
      <c r="B21" s="193">
        <f>IF(AND('A-12'!B21="-",'A-12'!B68="-",'A-12'!B115="-"),"-",SUM('A-12'!B21,'A-12'!B68,'A-12'!B115))</f>
        <v>1888</v>
      </c>
      <c r="C21" s="193">
        <f>IF(AND('A-12'!C21="-",'A-12'!C68="-",'A-12'!C115="-"),"-",SUM('A-12'!C21,'A-12'!C68,'A-12'!C115))</f>
        <v>1239</v>
      </c>
      <c r="D21" s="193">
        <f>IF(AND('A-12'!D21="-",'A-12'!D68="-",'A-12'!D115="-"),"-",SUM('A-12'!D21,'A-12'!D68,'A-12'!D115))</f>
        <v>852</v>
      </c>
      <c r="E21" s="193">
        <f>IF(AND('A-12'!E21="-",'A-12'!E68="-",'A-12'!E115="-"),"-",SUM('A-12'!E21,'A-12'!E68,'A-12'!E115))</f>
        <v>598</v>
      </c>
      <c r="F21" s="193" t="str">
        <f>IF(AND('A-12'!F21="-",'A-12'!F68="-",'A-12'!F115="-"),"-",SUM('A-12'!F21,'A-12'!F68,'A-12'!F115))</f>
        <v>-</v>
      </c>
      <c r="G21" s="193" t="str">
        <f>IF(AND('A-12'!G21="-",'A-12'!G68="-",'A-12'!G115="-"),"-",SUM('A-12'!G21,'A-12'!G68,'A-12'!G115))</f>
        <v>-</v>
      </c>
      <c r="H21" s="193">
        <f>IF(AND('A-12'!H21="-",'A-12'!H68="-",'A-12'!H115="-"),"-",SUM('A-12'!H21,'A-12'!H68,'A-12'!H115))</f>
        <v>4577</v>
      </c>
    </row>
    <row r="22" spans="1:8" ht="11.25" customHeight="1" x14ac:dyDescent="0.25">
      <c r="A22" s="473">
        <v>1993</v>
      </c>
      <c r="B22" s="193">
        <f>IF(AND('A-12'!B22="-",'A-12'!B69="-",'A-12'!B116="-"),"-",SUM('A-12'!B22,'A-12'!B69,'A-12'!B116))</f>
        <v>1236</v>
      </c>
      <c r="C22" s="193">
        <f>IF(AND('A-12'!C22="-",'A-12'!C69="-",'A-12'!C116="-"),"-",SUM('A-12'!C22,'A-12'!C69,'A-12'!C116))</f>
        <v>937</v>
      </c>
      <c r="D22" s="193">
        <f>IF(AND('A-12'!D22="-",'A-12'!D69="-",'A-12'!D116="-"),"-",SUM('A-12'!D22,'A-12'!D69,'A-12'!D116))</f>
        <v>697</v>
      </c>
      <c r="E22" s="193">
        <f>IF(AND('A-12'!E22="-",'A-12'!E69="-",'A-12'!E116="-"),"-",SUM('A-12'!E22,'A-12'!E69,'A-12'!E116))</f>
        <v>362</v>
      </c>
      <c r="F22" s="193">
        <f>IF(AND('A-12'!F22="-",'A-12'!F69="-",'A-12'!F116="-"),"-",SUM('A-12'!F22,'A-12'!F69,'A-12'!F116))</f>
        <v>387</v>
      </c>
      <c r="G22" s="193" t="str">
        <f>IF(AND('A-12'!G22="-",'A-12'!G69="-",'A-12'!G116="-"),"-",SUM('A-12'!G22,'A-12'!G69,'A-12'!G116))</f>
        <v>-</v>
      </c>
      <c r="H22" s="193">
        <f>IF(AND('A-12'!H22="-",'A-12'!H69="-",'A-12'!H116="-"),"-",SUM('A-12'!H22,'A-12'!H69,'A-12'!H116))</f>
        <v>3619</v>
      </c>
    </row>
    <row r="23" spans="1:8" ht="11.25" customHeight="1" x14ac:dyDescent="0.25">
      <c r="A23" s="473">
        <v>1994</v>
      </c>
      <c r="B23" s="193" t="str">
        <f>IF(AND('A-12'!B23="-",'A-12'!B70="-",'A-12'!B117="-"),"-",SUM('A-12'!B23,'A-12'!B70,'A-12'!B117))</f>
        <v>-</v>
      </c>
      <c r="C23" s="193" t="str">
        <f>IF(AND('A-12'!C23="-",'A-12'!C70="-",'A-12'!C117="-"),"-",SUM('A-12'!C23,'A-12'!C70,'A-12'!C117))</f>
        <v>-</v>
      </c>
      <c r="D23" s="193" t="str">
        <f>IF(AND('A-12'!D23="-",'A-12'!D70="-",'A-12'!D117="-"),"-",SUM('A-12'!D23,'A-12'!D70,'A-12'!D117))</f>
        <v>-</v>
      </c>
      <c r="E23" s="193" t="str">
        <f>IF(AND('A-12'!E23="-",'A-12'!E70="-",'A-12'!E117="-"),"-",SUM('A-12'!E23,'A-12'!E70,'A-12'!E117))</f>
        <v>-</v>
      </c>
      <c r="F23" s="193" t="str">
        <f>IF(AND('A-12'!F23="-",'A-12'!F70="-",'A-12'!F117="-"),"-",SUM('A-12'!F23,'A-12'!F70,'A-12'!F117))</f>
        <v>-</v>
      </c>
      <c r="G23" s="193" t="str">
        <f>IF(AND('A-12'!G23="-",'A-12'!G70="-",'A-12'!G117="-"),"-",SUM('A-12'!G23,'A-12'!G70,'A-12'!G117))</f>
        <v>-</v>
      </c>
      <c r="H23" s="193" t="str">
        <f>IF(AND('A-12'!H23="-",'A-12'!H70="-",'A-12'!H117="-"),"-",SUM('A-12'!H23,'A-12'!H70,'A-12'!H117))</f>
        <v>-</v>
      </c>
    </row>
    <row r="24" spans="1:8" ht="11.25" customHeight="1" x14ac:dyDescent="0.25">
      <c r="A24" s="473">
        <v>1995</v>
      </c>
      <c r="B24" s="193" t="str">
        <f>IF(AND('A-12'!B24="-",'A-12'!B71="-",'A-12'!B118="-"),"-",SUM('A-12'!B24,'A-12'!B71,'A-12'!B118))</f>
        <v>-</v>
      </c>
      <c r="C24" s="193" t="str">
        <f>IF(AND('A-12'!C24="-",'A-12'!C71="-",'A-12'!C118="-"),"-",SUM('A-12'!C24,'A-12'!C71,'A-12'!C118))</f>
        <v>-</v>
      </c>
      <c r="D24" s="193" t="str">
        <f>IF(AND('A-12'!D24="-",'A-12'!D71="-",'A-12'!D118="-"),"-",SUM('A-12'!D24,'A-12'!D71,'A-12'!D118))</f>
        <v>-</v>
      </c>
      <c r="E24" s="193">
        <f>IF(AND('A-12'!E24="-",'A-12'!E71="-",'A-12'!E118="-"),"-",SUM('A-12'!E24,'A-12'!E71,'A-12'!E118))</f>
        <v>397</v>
      </c>
      <c r="F24" s="193">
        <f>IF(AND('A-12'!F24="-",'A-12'!F71="-",'A-12'!F118="-"),"-",SUM('A-12'!F24,'A-12'!F71,'A-12'!F118))</f>
        <v>74</v>
      </c>
      <c r="G24" s="193" t="str">
        <f>IF(AND('A-12'!G24="-",'A-12'!G71="-",'A-12'!G118="-"),"-",SUM('A-12'!G24,'A-12'!G71,'A-12'!G118))</f>
        <v>-</v>
      </c>
      <c r="H24" s="193">
        <f>IF(AND('A-12'!H24="-",'A-12'!H71="-",'A-12'!H118="-"),"-",SUM('A-12'!H24,'A-12'!H71,'A-12'!H118))</f>
        <v>471</v>
      </c>
    </row>
    <row r="25" spans="1:8" ht="11.25" customHeight="1" x14ac:dyDescent="0.25">
      <c r="A25" s="473">
        <v>1996</v>
      </c>
      <c r="B25" s="193" t="str">
        <f>IF(AND('A-12'!B25="-",'A-12'!B72="-",'A-12'!B119="-"),"-",SUM('A-12'!B25,'A-12'!B72,'A-12'!B119))</f>
        <v>-</v>
      </c>
      <c r="C25" s="193" t="str">
        <f>IF(AND('A-12'!C25="-",'A-12'!C72="-",'A-12'!C119="-"),"-",SUM('A-12'!C25,'A-12'!C72,'A-12'!C119))</f>
        <v>-</v>
      </c>
      <c r="D25" s="193">
        <f>IF(AND('A-12'!D25="-",'A-12'!D72="-",'A-12'!D119="-"),"-",SUM('A-12'!D25,'A-12'!D72,'A-12'!D119))</f>
        <v>181</v>
      </c>
      <c r="E25" s="193">
        <f>IF(AND('A-12'!E25="-",'A-12'!E72="-",'A-12'!E119="-"),"-",SUM('A-12'!E25,'A-12'!E72,'A-12'!E119))</f>
        <v>231</v>
      </c>
      <c r="F25" s="193" t="str">
        <f>IF(AND('A-12'!F25="-",'A-12'!F72="-",'A-12'!F119="-"),"-",SUM('A-12'!F25,'A-12'!F72,'A-12'!F119))</f>
        <v>-</v>
      </c>
      <c r="G25" s="193" t="str">
        <f>IF(AND('A-12'!G25="-",'A-12'!G72="-",'A-12'!G119="-"),"-",SUM('A-12'!G25,'A-12'!G72,'A-12'!G119))</f>
        <v>-</v>
      </c>
      <c r="H25" s="193">
        <f>IF(AND('A-12'!H25="-",'A-12'!H72="-",'A-12'!H119="-"),"-",SUM('A-12'!H25,'A-12'!H72,'A-12'!H119))</f>
        <v>412</v>
      </c>
    </row>
    <row r="26" spans="1:8" ht="11.25" customHeight="1" x14ac:dyDescent="0.25">
      <c r="A26" s="473">
        <v>1997</v>
      </c>
      <c r="B26" s="193">
        <f>IF(AND('A-12'!B26="-",'A-12'!B73="-",'A-12'!B120="-"),"-",SUM('A-12'!B26,'A-12'!B73,'A-12'!B120))</f>
        <v>294</v>
      </c>
      <c r="C26" s="193">
        <f>IF(AND('A-12'!C26="-",'A-12'!C73="-",'A-12'!C120="-"),"-",SUM('A-12'!C26,'A-12'!C73,'A-12'!C120))</f>
        <v>158</v>
      </c>
      <c r="D26" s="193" t="str">
        <f>IF(AND('A-12'!D26="-",'A-12'!D73="-",'A-12'!D120="-"),"-",SUM('A-12'!D26,'A-12'!D73,'A-12'!D120))</f>
        <v>-</v>
      </c>
      <c r="E26" s="193" t="str">
        <f>IF(AND('A-12'!E26="-",'A-12'!E73="-",'A-12'!E120="-"),"-",SUM('A-12'!E26,'A-12'!E73,'A-12'!E120))</f>
        <v>-</v>
      </c>
      <c r="F26" s="193" t="str">
        <f>IF(AND('A-12'!F26="-",'A-12'!F73="-",'A-12'!F120="-"),"-",SUM('A-12'!F26,'A-12'!F73,'A-12'!F120))</f>
        <v>-</v>
      </c>
      <c r="G26" s="193" t="str">
        <f>IF(AND('A-12'!G26="-",'A-12'!G73="-",'A-12'!G120="-"),"-",SUM('A-12'!G26,'A-12'!G73,'A-12'!G120))</f>
        <v>-</v>
      </c>
      <c r="H26" s="193">
        <f>IF(AND('A-12'!H26="-",'A-12'!H73="-",'A-12'!H120="-"),"-",SUM('A-12'!H26,'A-12'!H73,'A-12'!H120))</f>
        <v>452</v>
      </c>
    </row>
    <row r="27" spans="1:8" ht="11.25" customHeight="1" x14ac:dyDescent="0.25">
      <c r="A27" s="473">
        <v>1998</v>
      </c>
      <c r="B27" s="193">
        <f>IF(AND('A-12'!B27="-",'A-12'!B74="-",'A-12'!B121="-"),"-",SUM('A-12'!B27,'A-12'!B74,'A-12'!B121))</f>
        <v>127</v>
      </c>
      <c r="C27" s="193">
        <f>IF(AND('A-12'!C27="-",'A-12'!C74="-",'A-12'!C121="-"),"-",SUM('A-12'!C27,'A-12'!C74,'A-12'!C121))</f>
        <v>12</v>
      </c>
      <c r="D27" s="193" t="str">
        <f>IF(AND('A-12'!D27="-",'A-12'!D74="-",'A-12'!D121="-"),"-",SUM('A-12'!D27,'A-12'!D74,'A-12'!D121))</f>
        <v>-</v>
      </c>
      <c r="E27" s="193" t="str">
        <f>IF(AND('A-12'!E27="-",'A-12'!E74="-",'A-12'!E121="-"),"-",SUM('A-12'!E27,'A-12'!E74,'A-12'!E121))</f>
        <v>-</v>
      </c>
      <c r="F27" s="193" t="str">
        <f>IF(AND('A-12'!F27="-",'A-12'!F74="-",'A-12'!F121="-"),"-",SUM('A-12'!F27,'A-12'!F74,'A-12'!F121))</f>
        <v>-</v>
      </c>
      <c r="G27" s="193" t="str">
        <f>IF(AND('A-12'!G27="-",'A-12'!G74="-",'A-12'!G121="-"),"-",SUM('A-12'!G27,'A-12'!G74,'A-12'!G121))</f>
        <v>-</v>
      </c>
      <c r="H27" s="193">
        <f>IF(AND('A-12'!H27="-",'A-12'!H74="-",'A-12'!H121="-"),"-",SUM('A-12'!H27,'A-12'!H74,'A-12'!H121))</f>
        <v>139</v>
      </c>
    </row>
    <row r="28" spans="1:8" ht="11.25" customHeight="1" x14ac:dyDescent="0.25">
      <c r="A28" s="473">
        <v>1999</v>
      </c>
      <c r="B28" s="193">
        <f>IF(AND('A-12'!B28="-",'A-12'!B75="-",'A-12'!B122="-"),"-",SUM('A-12'!B28,'A-12'!B75,'A-12'!B122))</f>
        <v>271</v>
      </c>
      <c r="C28" s="193">
        <f>IF(AND('A-12'!C28="-",'A-12'!C75="-",'A-12'!C122="-"),"-",SUM('A-12'!C28,'A-12'!C75,'A-12'!C122))</f>
        <v>231</v>
      </c>
      <c r="D28" s="193">
        <f>IF(AND('A-12'!D28="-",'A-12'!D75="-",'A-12'!D122="-"),"-",SUM('A-12'!D28,'A-12'!D75,'A-12'!D122))</f>
        <v>135</v>
      </c>
      <c r="E28" s="193">
        <f>IF(AND('A-12'!E28="-",'A-12'!E75="-",'A-12'!E122="-"),"-",SUM('A-12'!E28,'A-12'!E75,'A-12'!E122))</f>
        <v>86</v>
      </c>
      <c r="F28" s="193">
        <f>IF(AND('A-12'!F28="-",'A-12'!F75="-",'A-12'!F122="-"),"-",SUM('A-12'!F28,'A-12'!F75,'A-12'!F122))</f>
        <v>6</v>
      </c>
      <c r="G28" s="193" t="str">
        <f>IF(AND('A-12'!G28="-",'A-12'!G75="-",'A-12'!G122="-"),"-",SUM('A-12'!G28,'A-12'!G75,'A-12'!G122))</f>
        <v>-</v>
      </c>
      <c r="H28" s="193">
        <f>IF(AND('A-12'!H28="-",'A-12'!H75="-",'A-12'!H122="-"),"-",SUM('A-12'!H28,'A-12'!H75,'A-12'!H122))</f>
        <v>729</v>
      </c>
    </row>
    <row r="29" spans="1:8" ht="11.25" customHeight="1" x14ac:dyDescent="0.25">
      <c r="A29" s="473">
        <v>2000</v>
      </c>
      <c r="B29" s="193">
        <f>IF(AND('A-12'!B29="-",'A-12'!B76="-",'A-12'!B123="-"),"-",SUM('A-12'!B29,'A-12'!B76,'A-12'!B123))</f>
        <v>193</v>
      </c>
      <c r="C29" s="193">
        <f>IF(AND('A-12'!C29="-",'A-12'!C76="-",'A-12'!C123="-"),"-",SUM('A-12'!C29,'A-12'!C76,'A-12'!C123))</f>
        <v>95</v>
      </c>
      <c r="D29" s="193" t="str">
        <f>IF(AND('A-12'!D29="-",'A-12'!D76="-",'A-12'!D123="-"),"-",SUM('A-12'!D29,'A-12'!D76,'A-12'!D123))</f>
        <v>-</v>
      </c>
      <c r="E29" s="193">
        <f>IF(AND('A-12'!E29="-",'A-12'!E76="-",'A-12'!E123="-"),"-",SUM('A-12'!E29,'A-12'!E76,'A-12'!E123))</f>
        <v>71</v>
      </c>
      <c r="F29" s="193">
        <f>IF(AND('A-12'!F29="-",'A-12'!F76="-",'A-12'!F123="-"),"-",SUM('A-12'!F29,'A-12'!F76,'A-12'!F123))</f>
        <v>3</v>
      </c>
      <c r="G29" s="193" t="str">
        <f>IF(AND('A-12'!G29="-",'A-12'!G76="-",'A-12'!G123="-"),"-",SUM('A-12'!G29,'A-12'!G76,'A-12'!G123))</f>
        <v>-</v>
      </c>
      <c r="H29" s="193">
        <f>IF(AND('A-12'!H29="-",'A-12'!H76="-",'A-12'!H123="-"),"-",SUM('A-12'!H29,'A-12'!H76,'A-12'!H123))</f>
        <v>362</v>
      </c>
    </row>
    <row r="30" spans="1:8" ht="11.25" customHeight="1" x14ac:dyDescent="0.25">
      <c r="A30" s="473">
        <v>2001</v>
      </c>
      <c r="B30" s="193">
        <f>IF(AND('A-12'!B30="-",'A-12'!B77="-",'A-12'!B124="-"),"-",SUM('A-12'!B30,'A-12'!B77,'A-12'!B124))</f>
        <v>209</v>
      </c>
      <c r="C30" s="193">
        <f>IF(AND('A-12'!C30="-",'A-12'!C77="-",'A-12'!C124="-"),"-",SUM('A-12'!C30,'A-12'!C77,'A-12'!C124))</f>
        <v>212</v>
      </c>
      <c r="D30" s="193">
        <f>IF(AND('A-12'!D30="-",'A-12'!D77="-",'A-12'!D124="-"),"-",SUM('A-12'!D30,'A-12'!D77,'A-12'!D124))</f>
        <v>159</v>
      </c>
      <c r="E30" s="193">
        <f>IF(AND('A-12'!E30="-",'A-12'!E77="-",'A-12'!E124="-"),"-",SUM('A-12'!E30,'A-12'!E77,'A-12'!E124))</f>
        <v>70</v>
      </c>
      <c r="F30" s="193">
        <f>IF(AND('A-12'!F30="-",'A-12'!F77="-",'A-12'!F124="-"),"-",SUM('A-12'!F30,'A-12'!F77,'A-12'!F124))</f>
        <v>38</v>
      </c>
      <c r="G30" s="193" t="str">
        <f>IF(AND('A-12'!G30="-",'A-12'!G77="-",'A-12'!G124="-"),"-",SUM('A-12'!G30,'A-12'!G77,'A-12'!G124))</f>
        <v>-</v>
      </c>
      <c r="H30" s="193">
        <f>IF(AND('A-12'!H30="-",'A-12'!H77="-",'A-12'!H124="-"),"-",SUM('A-12'!H30,'A-12'!H77,'A-12'!H124))</f>
        <v>688</v>
      </c>
    </row>
    <row r="31" spans="1:8" ht="11.25" customHeight="1" x14ac:dyDescent="0.25">
      <c r="A31" s="473">
        <v>2002</v>
      </c>
      <c r="B31" s="193">
        <f>IF(AND('A-12'!B31="-",'A-12'!B78="-",'A-12'!B125="-"),"-",SUM('A-12'!B31,'A-12'!B78,'A-12'!B125))</f>
        <v>428</v>
      </c>
      <c r="C31" s="193">
        <f>IF(AND('A-12'!C31="-",'A-12'!C78="-",'A-12'!C125="-"),"-",SUM('A-12'!C31,'A-12'!C78,'A-12'!C125))</f>
        <v>183</v>
      </c>
      <c r="D31" s="193">
        <f>IF(AND('A-12'!D31="-",'A-12'!D78="-",'A-12'!D125="-"),"-",SUM('A-12'!D31,'A-12'!D78,'A-12'!D125))</f>
        <v>420</v>
      </c>
      <c r="E31" s="193">
        <f>IF(AND('A-12'!E31="-",'A-12'!E78="-",'A-12'!E125="-"),"-",SUM('A-12'!E31,'A-12'!E78,'A-12'!E125))</f>
        <v>242</v>
      </c>
      <c r="F31" s="193" t="str">
        <f>IF(AND('A-12'!F31="-",'A-12'!F78="-",'A-12'!F125="-"),"-",SUM('A-12'!F31,'A-12'!F78,'A-12'!F125))</f>
        <v>-</v>
      </c>
      <c r="G31" s="193" t="str">
        <f>IF(AND('A-12'!G31="-",'A-12'!G78="-",'A-12'!G125="-"),"-",SUM('A-12'!G31,'A-12'!G78,'A-12'!G125))</f>
        <v>-</v>
      </c>
      <c r="H31" s="193">
        <f>IF(AND('A-12'!H31="-",'A-12'!H78="-",'A-12'!H125="-"),"-",SUM('A-12'!H31,'A-12'!H78,'A-12'!H125))</f>
        <v>1273</v>
      </c>
    </row>
    <row r="32" spans="1:8" ht="11.25" customHeight="1" x14ac:dyDescent="0.25">
      <c r="A32" s="473">
        <v>2003</v>
      </c>
      <c r="B32" s="193">
        <f>IF(AND('A-12'!B32="-",'A-12'!B79="-",'A-12'!B126="-"),"-",SUM('A-12'!B32,'A-12'!B79,'A-12'!B126))</f>
        <v>421</v>
      </c>
      <c r="C32" s="193">
        <f>IF(AND('A-12'!C32="-",'A-12'!C79="-",'A-12'!C126="-"),"-",SUM('A-12'!C32,'A-12'!C79,'A-12'!C126))</f>
        <v>195</v>
      </c>
      <c r="D32" s="193">
        <f>IF(AND('A-12'!D32="-",'A-12'!D79="-",'A-12'!D126="-"),"-",SUM('A-12'!D32,'A-12'!D79,'A-12'!D126))</f>
        <v>476</v>
      </c>
      <c r="E32" s="193">
        <f>IF(AND('A-12'!E32="-",'A-12'!E79="-",'A-12'!E126="-"),"-",SUM('A-12'!E32,'A-12'!E79,'A-12'!E126))</f>
        <v>415</v>
      </c>
      <c r="F32" s="193">
        <f>IF(AND('A-12'!F32="-",'A-12'!F79="-",'A-12'!F126="-"),"-",SUM('A-12'!F32,'A-12'!F79,'A-12'!F126))</f>
        <v>77</v>
      </c>
      <c r="G32" s="193" t="str">
        <f>IF(AND('A-12'!G32="-",'A-12'!G79="-",'A-12'!G126="-"),"-",SUM('A-12'!G32,'A-12'!G79,'A-12'!G126))</f>
        <v>-</v>
      </c>
      <c r="H32" s="193">
        <f>IF(AND('A-12'!H32="-",'A-12'!H79="-",'A-12'!H126="-"),"-",SUM('A-12'!H32,'A-12'!H79,'A-12'!H126))</f>
        <v>1584</v>
      </c>
    </row>
    <row r="33" spans="1:8" ht="11.25" customHeight="1" x14ac:dyDescent="0.25">
      <c r="A33" s="473">
        <v>2004</v>
      </c>
      <c r="B33" s="193">
        <f>IF(AND('A-12'!B33="-",'A-12'!B80="-",'A-12'!B127="-"),"-",SUM('A-12'!B33,'A-12'!B80,'A-12'!B127))</f>
        <v>460</v>
      </c>
      <c r="C33" s="193">
        <f>IF(AND('A-12'!C33="-",'A-12'!C80="-",'A-12'!C127="-"),"-",SUM('A-12'!C33,'A-12'!C80,'A-12'!C127))</f>
        <v>10</v>
      </c>
      <c r="D33" s="193">
        <f>IF(AND('A-12'!D33="-",'A-12'!D80="-",'A-12'!D127="-"),"-",SUM('A-12'!D33,'A-12'!D80,'A-12'!D127))</f>
        <v>392</v>
      </c>
      <c r="E33" s="193">
        <f>IF(AND('A-12'!E33="-",'A-12'!E80="-",'A-12'!E127="-"),"-",SUM('A-12'!E33,'A-12'!E80,'A-12'!E127))</f>
        <v>342</v>
      </c>
      <c r="F33" s="193">
        <f>IF(AND('A-12'!F33="-",'A-12'!F80="-",'A-12'!F127="-"),"-",SUM('A-12'!F33,'A-12'!F80,'A-12'!F127))</f>
        <v>125</v>
      </c>
      <c r="G33" s="193" t="str">
        <f>IF(AND('A-12'!G33="-",'A-12'!G80="-",'A-12'!G127="-"),"-",SUM('A-12'!G33,'A-12'!G80,'A-12'!G127))</f>
        <v>-</v>
      </c>
      <c r="H33" s="193">
        <f>IF(AND('A-12'!H33="-",'A-12'!H80="-",'A-12'!H127="-"),"-",SUM('A-12'!H33,'A-12'!H80,'A-12'!H127))</f>
        <v>1329</v>
      </c>
    </row>
    <row r="34" spans="1:8" ht="11.25" customHeight="1" x14ac:dyDescent="0.25">
      <c r="A34" s="477">
        <v>2005</v>
      </c>
      <c r="B34" s="197">
        <f>IF(AND('A-12'!B34="-",'A-12'!B81="-",'A-12'!B128="-"),"-",SUM('A-12'!B34,'A-12'!B81,'A-12'!B128))</f>
        <v>492</v>
      </c>
      <c r="C34" s="197">
        <f>IF(AND('A-12'!C34="-",'A-12'!C81="-",'A-12'!C128="-"),"-",SUM('A-12'!C34,'A-12'!C81,'A-12'!C128))</f>
        <v>104</v>
      </c>
      <c r="D34" s="197">
        <f>IF(AND('A-12'!D34="-",'A-12'!D81="-",'A-12'!D128="-"),"-",SUM('A-12'!D34,'A-12'!D81,'A-12'!D128))</f>
        <v>337</v>
      </c>
      <c r="E34" s="197">
        <f>IF(AND('A-12'!E34="-",'A-12'!E81="-",'A-12'!E128="-"),"-",SUM('A-12'!E34,'A-12'!E81,'A-12'!E128))</f>
        <v>402</v>
      </c>
      <c r="F34" s="197" t="str">
        <f>IF(AND('A-12'!F34="-",'A-12'!F81="-",'A-12'!F128="-"),"-",SUM('A-12'!F34,'A-12'!F81,'A-12'!F128))</f>
        <v>-</v>
      </c>
      <c r="G34" s="197" t="str">
        <f>IF(AND('A-12'!G34="-",'A-12'!G81="-",'A-12'!G128="-"),"-",SUM('A-12'!G34,'A-12'!G81,'A-12'!G128))</f>
        <v>-</v>
      </c>
      <c r="H34" s="197">
        <f>IF(AND('A-12'!H34="-",'A-12'!H81="-",'A-12'!H128="-"),"-",SUM('A-12'!H34,'A-12'!H81,'A-12'!H128))</f>
        <v>1335</v>
      </c>
    </row>
    <row r="35" spans="1:8" ht="11.25" customHeight="1" x14ac:dyDescent="0.25">
      <c r="A35" s="473">
        <v>2006</v>
      </c>
      <c r="B35" s="193">
        <f>IF(AND('A-12'!B35="-",'A-12'!B82="-",'A-12'!B129="-"),"-",SUM('A-12'!B35,'A-12'!B82,'A-12'!B129))</f>
        <v>359</v>
      </c>
      <c r="C35" s="193">
        <f>IF(AND('A-12'!C35="-",'A-12'!C82="-",'A-12'!C129="-"),"-",SUM('A-12'!C35,'A-12'!C82,'A-12'!C129))</f>
        <v>381</v>
      </c>
      <c r="D35" s="193">
        <f>IF(AND('A-12'!D35="-",'A-12'!D82="-",'A-12'!D129="-"),"-",SUM('A-12'!D35,'A-12'!D82,'A-12'!D129))</f>
        <v>99</v>
      </c>
      <c r="E35" s="193">
        <f>IF(AND('A-12'!E35="-",'A-12'!E82="-",'A-12'!E129="-"),"-",SUM('A-12'!E35,'A-12'!E82,'A-12'!E129))</f>
        <v>296</v>
      </c>
      <c r="F35" s="193">
        <f>IF(AND('A-12'!F35="-",'A-12'!F82="-",'A-12'!F129="-"),"-",SUM('A-12'!F35,'A-12'!F82,'A-12'!F129))</f>
        <v>169</v>
      </c>
      <c r="G35" s="193" t="str">
        <f>IF(AND('A-12'!G35="-",'A-12'!G82="-",'A-12'!G129="-"),"-",SUM('A-12'!G35,'A-12'!G82,'A-12'!G129))</f>
        <v>-</v>
      </c>
      <c r="H35" s="193">
        <f>IF(AND('A-12'!H35="-",'A-12'!H82="-",'A-12'!H129="-"),"-",SUM('A-12'!H35,'A-12'!H82,'A-12'!H129))</f>
        <v>1304</v>
      </c>
    </row>
    <row r="36" spans="1:8" ht="11.25" customHeight="1" x14ac:dyDescent="0.25">
      <c r="A36" s="477">
        <v>2007</v>
      </c>
      <c r="B36" s="197">
        <f>IF(AND('A-12'!B36="-",'A-12'!B83="-",'A-12'!B130="-"),"-",SUM('A-12'!B36,'A-12'!B83,'A-12'!B130))</f>
        <v>445</v>
      </c>
      <c r="C36" s="197">
        <f>IF(AND('A-12'!C36="-",'A-12'!C83="-",'A-12'!C130="-"),"-",SUM('A-12'!C36,'A-12'!C83,'A-12'!C130))</f>
        <v>253</v>
      </c>
      <c r="D36" s="197">
        <f>IF(AND('A-12'!D36="-",'A-12'!D83="-",'A-12'!D130="-"),"-",SUM('A-12'!D36,'A-12'!D83,'A-12'!D130))</f>
        <v>354</v>
      </c>
      <c r="E36" s="197">
        <f>IF(AND('A-12'!E36="-",'A-12'!E83="-",'A-12'!E130="-"),"-",SUM('A-12'!E36,'A-12'!E83,'A-12'!E130))</f>
        <v>114</v>
      </c>
      <c r="F36" s="197">
        <f>IF(AND('A-12'!F36="-",'A-12'!F83="-",'A-12'!F130="-"),"-",SUM('A-12'!F36,'A-12'!F83,'A-12'!F130))</f>
        <v>8</v>
      </c>
      <c r="G36" s="197" t="str">
        <f>IF(AND('A-12'!G36="-",'A-12'!G83="-",'A-12'!G130="-"),"-",SUM('A-12'!G36,'A-12'!G83,'A-12'!G130))</f>
        <v>-</v>
      </c>
      <c r="H36" s="197">
        <f>IF(AND('A-12'!H36="-",'A-12'!H83="-",'A-12'!H130="-"),"-",SUM('A-12'!H36,'A-12'!H83,'A-12'!H130))</f>
        <v>1174</v>
      </c>
    </row>
    <row r="37" spans="1:8" ht="11.25" customHeight="1" x14ac:dyDescent="0.25">
      <c r="A37" s="477">
        <v>2008</v>
      </c>
      <c r="B37" s="197">
        <f>IF(AND('A-12'!B37="-",'A-12'!B84="-",'A-12'!B131="-"),"-",SUM('A-12'!B37,'A-12'!B84,'A-12'!B131))</f>
        <v>246</v>
      </c>
      <c r="C37" s="197">
        <f>IF(AND('A-12'!C37="-",'A-12'!C84="-",'A-12'!C131="-"),"-",SUM('A-12'!C37,'A-12'!C84,'A-12'!C131))</f>
        <v>353</v>
      </c>
      <c r="D37" s="197">
        <f>IF(AND('A-12'!D37="-",'A-12'!D84="-",'A-12'!D131="-"),"-",SUM('A-12'!D37,'A-12'!D84,'A-12'!D131))</f>
        <v>223</v>
      </c>
      <c r="E37" s="197">
        <f>IF(AND('A-12'!E37="-",'A-12'!E84="-",'A-12'!E131="-"),"-",SUM('A-12'!E37,'A-12'!E84,'A-12'!E131))</f>
        <v>213</v>
      </c>
      <c r="F37" s="197">
        <f>IF(AND('A-12'!F37="-",'A-12'!F84="-",'A-12'!F131="-"),"-",SUM('A-12'!F37,'A-12'!F84,'A-12'!F131))</f>
        <v>60</v>
      </c>
      <c r="G37" s="197" t="str">
        <f>IF(AND('A-12'!G37="-",'A-12'!G84="-",'A-12'!G131="-"),"-",SUM('A-12'!G37,'A-12'!G84,'A-12'!G131))</f>
        <v>-</v>
      </c>
      <c r="H37" s="197">
        <f>IF(AND('A-12'!H37="-",'A-12'!H84="-",'A-12'!H131="-"),"-",SUM('A-12'!H37,'A-12'!H84,'A-12'!H131))</f>
        <v>1095</v>
      </c>
    </row>
    <row r="38" spans="1:8" ht="11.25" customHeight="1" x14ac:dyDescent="0.25">
      <c r="A38" s="477">
        <v>2009</v>
      </c>
      <c r="B38" s="197">
        <f>IF(AND('A-12'!B38="-",'A-12'!B85="-",'A-12'!B132="-"),"-",SUM('A-12'!B38,'A-12'!B85,'A-12'!B132))</f>
        <v>467</v>
      </c>
      <c r="C38" s="197">
        <f>IF(AND('A-12'!C38="-",'A-12'!C85="-",'A-12'!C132="-"),"-",SUM('A-12'!C38,'A-12'!C85,'A-12'!C132))</f>
        <v>551</v>
      </c>
      <c r="D38" s="197">
        <f>IF(AND('A-12'!D38="-",'A-12'!D85="-",'A-12'!D132="-"),"-",SUM('A-12'!D38,'A-12'!D85,'A-12'!D132))</f>
        <v>432</v>
      </c>
      <c r="E38" s="197">
        <f>IF(AND('A-12'!E38="-",'A-12'!E85="-",'A-12'!E132="-"),"-",SUM('A-12'!E38,'A-12'!E85,'A-12'!E132))</f>
        <v>320</v>
      </c>
      <c r="F38" s="197">
        <f>IF(AND('A-12'!F38="-",'A-12'!F85="-",'A-12'!F132="-"),"-",SUM('A-12'!F38,'A-12'!F85,'A-12'!F132))</f>
        <v>134</v>
      </c>
      <c r="G38" s="197" t="str">
        <f>IF(AND('A-12'!G38="-",'A-12'!G85="-",'A-12'!G132="-"),"-",SUM('A-12'!G38,'A-12'!G85,'A-12'!G132))</f>
        <v>-</v>
      </c>
      <c r="H38" s="197">
        <f>IF(AND('A-12'!H38="-",'A-12'!H85="-",'A-12'!H132="-"),"-",SUM('A-12'!H38,'A-12'!H85,'A-12'!H132))</f>
        <v>1904</v>
      </c>
    </row>
    <row r="39" spans="1:8" ht="11.25" customHeight="1" x14ac:dyDescent="0.25">
      <c r="A39" s="477">
        <v>2010</v>
      </c>
      <c r="B39" s="197">
        <f>IF(AND('A-12'!B39="-",'A-12'!B86="-",'A-12'!B133="-"),"-",SUM('A-12'!B39,'A-12'!B86,'A-12'!B133))</f>
        <v>511</v>
      </c>
      <c r="C39" s="197">
        <f>IF(AND('A-12'!C39="-",'A-12'!C86="-",'A-12'!C133="-"),"-",SUM('A-12'!C39,'A-12'!C86,'A-12'!C133))</f>
        <v>858</v>
      </c>
      <c r="D39" s="197">
        <f>IF(AND('A-12'!D39="-",'A-12'!D86="-",'A-12'!D133="-"),"-",SUM('A-12'!D39,'A-12'!D86,'A-12'!D133))</f>
        <v>501</v>
      </c>
      <c r="E39" s="197">
        <f>IF(AND('A-12'!E39="-",'A-12'!E86="-",'A-12'!E133="-"),"-",SUM('A-12'!E39,'A-12'!E86,'A-12'!E133))</f>
        <v>428</v>
      </c>
      <c r="F39" s="197">
        <f>IF(AND('A-12'!F39="-",'A-12'!F86="-",'A-12'!F133="-"),"-",SUM('A-12'!F39,'A-12'!F86,'A-12'!F133))</f>
        <v>46</v>
      </c>
      <c r="G39" s="197" t="str">
        <f>IF(AND('A-12'!G39="-",'A-12'!G86="-",'A-12'!G133="-"),"-",SUM('A-12'!G39,'A-12'!G86,'A-12'!G133))</f>
        <v>-</v>
      </c>
      <c r="H39" s="197">
        <f>IF(AND('A-12'!H39="-",'A-12'!H86="-",'A-12'!H133="-"),"-",SUM('A-12'!H39,'A-12'!H86,'A-12'!H133))</f>
        <v>2344</v>
      </c>
    </row>
    <row r="40" spans="1:8" ht="11.25" customHeight="1" x14ac:dyDescent="0.25">
      <c r="A40" s="477">
        <v>2011</v>
      </c>
      <c r="B40" s="197">
        <f>IF(AND('A-12'!B40="-",'A-12'!B87="-",'A-12'!B134="-"),"-",SUM('A-12'!B40,'A-12'!B87,'A-12'!B134))</f>
        <v>606</v>
      </c>
      <c r="C40" s="197">
        <f>IF(AND('A-12'!C40="-",'A-12'!C87="-",'A-12'!C134="-"),"-",SUM('A-12'!C40,'A-12'!C87,'A-12'!C134))</f>
        <v>656</v>
      </c>
      <c r="D40" s="197">
        <f>IF(AND('A-12'!D40="-",'A-12'!D87="-",'A-12'!D134="-"),"-",SUM('A-12'!D40,'A-12'!D87,'A-12'!D134))</f>
        <v>448</v>
      </c>
      <c r="E40" s="197">
        <f>IF(AND('A-12'!E40="-",'A-12'!E87="-",'A-12'!E134="-"),"-",SUM('A-12'!E40,'A-12'!E87,'A-12'!E134))</f>
        <v>208</v>
      </c>
      <c r="F40" s="197">
        <f>IF(AND('A-12'!F40="-",'A-12'!F87="-",'A-12'!F134="-"),"-",SUM('A-12'!F40,'A-12'!F87,'A-12'!F134))</f>
        <v>54</v>
      </c>
      <c r="G40" s="197" t="str">
        <f>IF(AND('A-12'!G40="-",'A-12'!G87="-",'A-12'!G134="-"),"-",SUM('A-12'!G40,'A-12'!G87,'A-12'!G134))</f>
        <v>-</v>
      </c>
      <c r="H40" s="197">
        <f>IF(AND('A-12'!H40="-",'A-12'!H87="-",'A-12'!H134="-"),"-",SUM('A-12'!H40,'A-12'!H87,'A-12'!H134))</f>
        <v>1972</v>
      </c>
    </row>
    <row r="41" spans="1:8" ht="11.25" customHeight="1" x14ac:dyDescent="0.25">
      <c r="A41" s="477">
        <v>2012</v>
      </c>
      <c r="B41" s="197">
        <f>IF(AND('A-12'!B41="-",'A-12'!B88="-",'A-12'!B135="-"),"-",SUM('A-12'!B41,'A-12'!B88,'A-12'!B135))</f>
        <v>364</v>
      </c>
      <c r="C41" s="197">
        <f>IF(AND('A-12'!C41="-",'A-12'!C88="-",'A-12'!C135="-"),"-",SUM('A-12'!C41,'A-12'!C88,'A-12'!C135))</f>
        <v>633</v>
      </c>
      <c r="D41" s="197">
        <f>IF(AND('A-12'!D41="-",'A-12'!D88="-",'A-12'!D135="-"),"-",SUM('A-12'!D41,'A-12'!D88,'A-12'!D135))</f>
        <v>452</v>
      </c>
      <c r="E41" s="197">
        <f>IF(AND('A-12'!E41="-",'A-12'!E88="-",'A-12'!E135="-"),"-",SUM('A-12'!E41,'A-12'!E88,'A-12'!E135))</f>
        <v>306</v>
      </c>
      <c r="F41" s="197">
        <f>IF(AND('A-12'!F41="-",'A-12'!F88="-",'A-12'!F135="-"),"-",SUM('A-12'!F41,'A-12'!F88,'A-12'!F135))</f>
        <v>198</v>
      </c>
      <c r="G41" s="197" t="str">
        <f>IF(AND('A-12'!G41="-",'A-12'!G88="-",'A-12'!G135="-"),"-",SUM('A-12'!G41,'A-12'!G88,'A-12'!G135))</f>
        <v>-</v>
      </c>
      <c r="H41" s="197">
        <f>IF(AND('A-12'!H41="-",'A-12'!H88="-",'A-12'!H135="-"),"-",SUM('A-12'!H41,'A-12'!H88,'A-12'!H135))</f>
        <v>1953</v>
      </c>
    </row>
    <row r="42" spans="1:8" ht="11.25" customHeight="1" x14ac:dyDescent="0.25">
      <c r="A42" s="477">
        <v>2013</v>
      </c>
      <c r="B42" s="197">
        <f>IF(AND('A-12'!B42="-",'A-12'!B89="-",'A-12'!B136="-"),"-",SUM('A-12'!B42,'A-12'!B89,'A-12'!B136))</f>
        <v>721</v>
      </c>
      <c r="C42" s="197">
        <f>IF(AND('A-12'!C42="-",'A-12'!C89="-",'A-12'!C136="-"),"-",SUM('A-12'!C42,'A-12'!C89,'A-12'!C136))</f>
        <v>498</v>
      </c>
      <c r="D42" s="197">
        <f>IF(AND('A-12'!D42="-",'A-12'!D89="-",'A-12'!D136="-"),"-",SUM('A-12'!D42,'A-12'!D89,'A-12'!D136))</f>
        <v>471</v>
      </c>
      <c r="E42" s="197">
        <f>IF(AND('A-12'!E42="-",'A-12'!E89="-",'A-12'!E136="-"),"-",SUM('A-12'!E42,'A-12'!E89,'A-12'!E136))</f>
        <v>405</v>
      </c>
      <c r="F42" s="197">
        <f>IF(AND('A-12'!F42="-",'A-12'!F89="-",'A-12'!F136="-"),"-",SUM('A-12'!F42,'A-12'!F89,'A-12'!F136))</f>
        <v>83</v>
      </c>
      <c r="G42" s="197" t="str">
        <f>IF(AND('A-12'!G42="-",'A-12'!G89="-",'A-12'!G136="-"),"-",SUM('A-12'!G42,'A-12'!G89,'A-12'!G136))</f>
        <v>-</v>
      </c>
      <c r="H42" s="197">
        <f>IF(AND('A-12'!H42="-",'A-12'!H89="-",'A-12'!H136="-"),"-",SUM('A-12'!H42,'A-12'!H89,'A-12'!H136))</f>
        <v>2178</v>
      </c>
    </row>
    <row r="43" spans="1:8" ht="11.25" customHeight="1" x14ac:dyDescent="0.25">
      <c r="A43" s="473">
        <v>2014</v>
      </c>
      <c r="B43" s="197">
        <f>IF(AND('A-12'!B43="-",'A-12'!B90="-",'A-12'!B137="-"),"-",SUM('A-12'!B43,'A-12'!B90,'A-12'!B137))</f>
        <v>589</v>
      </c>
      <c r="C43" s="197">
        <f>IF(AND('A-12'!C43="-",'A-12'!C90="-",'A-12'!C137="-"),"-",SUM('A-12'!C43,'A-12'!C90,'A-12'!C137))</f>
        <v>188</v>
      </c>
      <c r="D43" s="197">
        <f>IF(AND('A-12'!D43="-",'A-12'!D90="-",'A-12'!D137="-"),"-",SUM('A-12'!D43,'A-12'!D90,'A-12'!D137))</f>
        <v>397</v>
      </c>
      <c r="E43" s="197">
        <f>IF(AND('A-12'!E43="-",'A-12'!E90="-",'A-12'!E137="-"),"-",SUM('A-12'!E43,'A-12'!E90,'A-12'!E137))</f>
        <v>337</v>
      </c>
      <c r="F43" s="197">
        <f>IF(AND('A-12'!F43="-",'A-12'!F90="-",'A-12'!F137="-"),"-",SUM('A-12'!F43,'A-12'!F90,'A-12'!F137))</f>
        <v>117</v>
      </c>
      <c r="G43" s="197" t="str">
        <f>IF(AND('A-12'!G43="-",'A-12'!G90="-",'A-12'!G137="-"),"-",SUM('A-12'!G43,'A-12'!G90,'A-12'!G137))</f>
        <v>-</v>
      </c>
      <c r="H43" s="197">
        <f>IF(AND('A-12'!H43="-",'A-12'!H90="-",'A-12'!H137="-"),"-",SUM('A-12'!H43,'A-12'!H90,'A-12'!H137))</f>
        <v>1628</v>
      </c>
    </row>
    <row r="44" spans="1:8" ht="11.25" customHeight="1" x14ac:dyDescent="0.25">
      <c r="A44" s="477">
        <v>2015</v>
      </c>
      <c r="B44" s="197">
        <f>IF(AND('A-12'!B44="-",'A-12'!B91="-",'A-12'!B138="-"),"-",SUM('A-12'!B44,'A-12'!B91,'A-12'!B138))</f>
        <v>818</v>
      </c>
      <c r="C44" s="197">
        <f>IF(AND('A-12'!C44="-",'A-12'!C91="-",'A-12'!C138="-"),"-",SUM('A-12'!C44,'A-12'!C91,'A-12'!C138))</f>
        <v>484</v>
      </c>
      <c r="D44" s="197">
        <f>IF(AND('A-12'!D44="-",'A-12'!D91="-",'A-12'!D138="-"),"-",SUM('A-12'!D44,'A-12'!D91,'A-12'!D138))</f>
        <v>491</v>
      </c>
      <c r="E44" s="197">
        <f>IF(AND('A-12'!E44="-",'A-12'!E91="-",'A-12'!E138="-"),"-",SUM('A-12'!E44,'A-12'!E91,'A-12'!E138))</f>
        <v>450</v>
      </c>
      <c r="F44" s="197">
        <f>IF(AND('A-12'!F44="-",'A-12'!F91="-",'A-12'!F138="-"),"-",SUM('A-12'!F44,'A-12'!F91,'A-12'!F138))</f>
        <v>127</v>
      </c>
      <c r="G44" s="197" t="str">
        <f>IF(AND('A-12'!G44="-",'A-12'!G91="-",'A-12'!G138="-"),"-",SUM('A-12'!G44,'A-12'!G91,'A-12'!G138))</f>
        <v>-</v>
      </c>
      <c r="H44" s="197">
        <f>IF(AND('A-12'!H44="-",'A-12'!H91="-",'A-12'!H138="-"),"-",SUM('A-12'!H44,'A-12'!H91,'A-12'!H138))</f>
        <v>2370</v>
      </c>
    </row>
    <row r="45" spans="1:8" ht="11.25" customHeight="1" x14ac:dyDescent="0.25">
      <c r="A45" s="477">
        <v>2016</v>
      </c>
      <c r="B45" s="197">
        <f>IF(AND('A-12'!B45="-",'A-12'!B92="-",'A-12'!B139="-"),"-",SUM('A-12'!B45,'A-12'!B92,'A-12'!B139))</f>
        <v>647</v>
      </c>
      <c r="C45" s="197">
        <f>IF(AND('A-12'!C45="-",'A-12'!C92="-",'A-12'!C139="-"),"-",SUM('A-12'!C45,'A-12'!C92,'A-12'!C139))</f>
        <v>359</v>
      </c>
      <c r="D45" s="197">
        <f>IF(AND('A-12'!D45="-",'A-12'!D92="-",'A-12'!D139="-"),"-",SUM('A-12'!D45,'A-12'!D92,'A-12'!D139))</f>
        <v>248</v>
      </c>
      <c r="E45" s="197">
        <f>IF(AND('A-12'!E45="-",'A-12'!E92="-",'A-12'!E139="-"),"-",SUM('A-12'!E45,'A-12'!E92,'A-12'!E139))</f>
        <v>186</v>
      </c>
      <c r="F45" s="197" t="str">
        <f>IF(AND('A-12'!F45="-",'A-12'!F92="-",'A-12'!F139="-"),"-",SUM('A-12'!F45,'A-12'!F92,'A-12'!F139))</f>
        <v>-</v>
      </c>
      <c r="G45" s="197" t="str">
        <f>IF(AND('A-12'!G45="-",'A-12'!G92="-",'A-12'!G139="-"),"-",SUM('A-12'!G45,'A-12'!G92,'A-12'!G139))</f>
        <v>-</v>
      </c>
      <c r="H45" s="197">
        <f>IF(AND('A-12'!H45="-",'A-12'!H92="-",'A-12'!H139="-"),"-",SUM('A-12'!H45,'A-12'!H92,'A-12'!H139))</f>
        <v>1440</v>
      </c>
    </row>
    <row r="46" spans="1:8" ht="11.25" customHeight="1" x14ac:dyDescent="0.25">
      <c r="A46" s="477">
        <v>2017</v>
      </c>
      <c r="B46" s="197">
        <f>IF(AND('A-12'!B46="-",'A-12'!B93="-",'A-12'!B140="-"),"-",SUM('A-12'!B46,'A-12'!B93,'A-12'!B140))</f>
        <v>762</v>
      </c>
      <c r="C46" s="197">
        <f>IF(AND('A-12'!C46="-",'A-12'!C93="-",'A-12'!C140="-"),"-",SUM('A-12'!C46,'A-12'!C93,'A-12'!C140))</f>
        <v>606</v>
      </c>
      <c r="D46" s="197">
        <f>IF(AND('A-12'!D46="-",'A-12'!D93="-",'A-12'!D140="-"),"-",SUM('A-12'!D46,'A-12'!D93,'A-12'!D140))</f>
        <v>380</v>
      </c>
      <c r="E46" s="197">
        <f>IF(AND('A-12'!E46="-",'A-12'!E93="-",'A-12'!E140="-"),"-",SUM('A-12'!E46,'A-12'!E93,'A-12'!E140))</f>
        <v>411</v>
      </c>
      <c r="F46" s="197">
        <f>IF(AND('A-12'!F46="-",'A-12'!F93="-",'A-12'!F140="-"),"-",SUM('A-12'!F46,'A-12'!F93,'A-12'!F140))</f>
        <v>121</v>
      </c>
      <c r="G46" s="197" t="str">
        <f>IF(AND('A-12'!G46="-",'A-12'!G93="-",'A-12'!G140="-"),"-",SUM('A-12'!G46,'A-12'!G93,'A-12'!G140))</f>
        <v>-</v>
      </c>
      <c r="H46" s="197">
        <f>IF(AND('A-12'!H46="-",'A-12'!H93="-",'A-12'!H140="-"),"-",SUM('A-12'!H46,'A-12'!H93,'A-12'!H140))</f>
        <v>2280</v>
      </c>
    </row>
    <row r="47" spans="1:8" s="358" customFormat="1" ht="11.25" customHeight="1" x14ac:dyDescent="0.25">
      <c r="A47" s="477">
        <v>2018</v>
      </c>
      <c r="B47" s="197">
        <f>IF(AND('A-12'!B47="-",'A-12'!B94="-",'A-12'!B141="-"),"-",SUM('A-12'!B47,'A-12'!B94,'A-12'!B141))</f>
        <v>741</v>
      </c>
      <c r="C47" s="197">
        <f>IF(AND('A-12'!C47="-",'A-12'!C94="-",'A-12'!C141="-"),"-",SUM('A-12'!C47,'A-12'!C94,'A-12'!C141))</f>
        <v>674</v>
      </c>
      <c r="D47" s="197">
        <f>IF(AND('A-12'!D47="-",'A-12'!D94="-",'A-12'!D141="-"),"-",SUM('A-12'!D47,'A-12'!D94,'A-12'!D141))</f>
        <v>422</v>
      </c>
      <c r="E47" s="197">
        <f>IF(AND('A-12'!E47="-",'A-12'!E94="-",'A-12'!E141="-"),"-",SUM('A-12'!E47,'A-12'!E94,'A-12'!E141))</f>
        <v>189</v>
      </c>
      <c r="F47" s="197">
        <f>IF(AND('A-12'!F47="-",'A-12'!F94="-",'A-12'!F141="-"),"-",SUM('A-12'!F47,'A-12'!F94,'A-12'!F141))</f>
        <v>69</v>
      </c>
      <c r="G47" s="197" t="str">
        <f>IF(AND('A-12'!G47="-",'A-12'!G94="-",'A-12'!G141="-"),"-",SUM('A-12'!G47,'A-12'!G94,'A-12'!G141))</f>
        <v>-</v>
      </c>
      <c r="H47" s="197">
        <f>IF(AND('A-12'!H47="-",'A-12'!H94="-",'A-12'!H141="-"),"-",SUM('A-12'!H47,'A-12'!H94,'A-12'!H141))</f>
        <v>2095</v>
      </c>
    </row>
    <row r="48" spans="1:8" s="358" customFormat="1" ht="11.25" customHeight="1" x14ac:dyDescent="0.25">
      <c r="A48" s="157">
        <v>2019</v>
      </c>
      <c r="B48" s="197">
        <f>IF(AND('A-12'!B48="-",'A-12'!B95="-",'A-12'!B142="-"),"-",SUM('A-12'!B48,'A-12'!B95,'A-12'!B142))</f>
        <v>361</v>
      </c>
      <c r="C48" s="197">
        <f>IF(AND('A-12'!C48="-",'A-12'!C95="-",'A-12'!C142="-"),"-",SUM('A-12'!C48,'A-12'!C95,'A-12'!C142))</f>
        <v>335</v>
      </c>
      <c r="D48" s="197">
        <f>IF(AND('A-12'!D48="-",'A-12'!D95="-",'A-12'!D142="-"),"-",SUM('A-12'!D48,'A-12'!D95,'A-12'!D142))</f>
        <v>661</v>
      </c>
      <c r="E48" s="197">
        <f>IF(AND('A-12'!E48="-",'A-12'!E95="-",'A-12'!E142="-"),"-",SUM('A-12'!E48,'A-12'!E95,'A-12'!E142))</f>
        <v>191</v>
      </c>
      <c r="F48" s="197">
        <f>IF(AND('A-12'!F48="-",'A-12'!F95="-",'A-12'!F142="-"),"-",SUM('A-12'!F48,'A-12'!F95,'A-12'!F142))</f>
        <v>113</v>
      </c>
      <c r="G48" s="197" t="str">
        <f>IF(AND('A-12'!G48="-",'A-12'!G95="-",'A-12'!G142="-"),"-",SUM('A-12'!G48,'A-12'!G95,'A-12'!G142))</f>
        <v>-</v>
      </c>
      <c r="H48" s="197">
        <f>IF(AND('A-12'!H48="-",'A-12'!H95="-",'A-12'!H142="-"),"-",SUM('A-12'!H48,'A-12'!H95,'A-12'!H142))</f>
        <v>1661</v>
      </c>
    </row>
    <row r="49" spans="1:8" ht="11.25" customHeight="1" x14ac:dyDescent="0.25">
      <c r="A49" s="157" t="s">
        <v>393</v>
      </c>
      <c r="B49" s="197">
        <f>IF(AND('A-12'!B49="-",'A-12'!B96="-",'A-12'!B143="-"),"-",SUM('A-12'!B49,'A-12'!B96,'A-12'!B143))</f>
        <v>73</v>
      </c>
      <c r="C49" s="197">
        <f>IF(AND('A-12'!C49="-",'A-12'!C96="-",'A-12'!C143="-"),"-",SUM('A-12'!C49,'A-12'!C96,'A-12'!C143))</f>
        <v>136</v>
      </c>
      <c r="D49" s="197">
        <f>IF(AND('A-12'!D49="-",'A-12'!D96="-",'A-12'!D143="-"),"-",SUM('A-12'!D49,'A-12'!D96,'A-12'!D143))</f>
        <v>464</v>
      </c>
      <c r="E49" s="197">
        <f>IF(AND('A-12'!E49="-",'A-12'!E96="-",'A-12'!E143="-"),"-",SUM('A-12'!E49,'A-12'!E96,'A-12'!E143))</f>
        <v>227</v>
      </c>
      <c r="F49" s="197">
        <f>IF(AND('A-12'!F49="-",'A-12'!F96="-",'A-12'!F143="-"),"-",SUM('A-12'!F49,'A-12'!F96,'A-12'!F143))</f>
        <v>19</v>
      </c>
      <c r="G49" s="197" t="str">
        <f>IF(AND('A-12'!G49="-",'A-12'!G96="-",'A-12'!G143="-"),"-",SUM('A-12'!G49,'A-12'!G96,'A-12'!G143))</f>
        <v>-</v>
      </c>
      <c r="H49" s="197">
        <f>IF(AND('A-12'!H49="-",'A-12'!H96="-",'A-12'!H143="-"),"-",SUM('A-12'!H49,'A-12'!H96,'A-12'!H143))</f>
        <v>919</v>
      </c>
    </row>
    <row r="50" spans="1:8" ht="11.25" customHeight="1" x14ac:dyDescent="0.25"/>
    <row r="51" spans="1:8" ht="11.25" customHeight="1" x14ac:dyDescent="0.25">
      <c r="A51" s="116" t="s">
        <v>307</v>
      </c>
    </row>
    <row r="52" spans="1:8" ht="11.25" customHeight="1" x14ac:dyDescent="0.25">
      <c r="A52" s="473">
        <v>1976</v>
      </c>
      <c r="B52" s="193">
        <f>IF(AND('A-14'!C5="-",'A-14'!C52="-",'A-14'!C99="-",'A-14'!C146="-"),"-",SUM('A-14'!C5,'A-14'!C52,'A-14'!C99,'A-14'!C146))</f>
        <v>56</v>
      </c>
      <c r="C52" s="193">
        <f>IF(AND('A-14'!D5="-",'A-14'!D52="-",'A-14'!D99="-",'A-14'!D146="-"),"-",SUM('A-14'!D5,'A-14'!D52,'A-14'!D99,'A-14'!D146))</f>
        <v>188</v>
      </c>
      <c r="D52" s="193">
        <f>IF(AND('A-14'!E5="-",'A-14'!E52="-",'A-14'!E99="-",'A-14'!E146="-"),"-",SUM('A-14'!E5,'A-14'!E52,'A-14'!E99,'A-14'!E146))</f>
        <v>369</v>
      </c>
      <c r="E52" s="193">
        <f>IF(AND('A-14'!F5="-",'A-14'!F52="-",'A-14'!F99="-",'A-14'!F146="-"),"-",SUM('A-14'!F5,'A-14'!F52,'A-14'!F99,'A-14'!F146))</f>
        <v>189</v>
      </c>
      <c r="F52" s="193">
        <f>IF(AND('A-14'!G5="-",'A-14'!G52="-",'A-14'!G99="-",'A-14'!G146="-"),"-",SUM('A-14'!G5,'A-14'!G52,'A-14'!G99,'A-14'!G146))</f>
        <v>64</v>
      </c>
      <c r="G52" s="193">
        <f>IF(AND('A-14'!H5="-",'A-14'!H52="-",'A-14'!H99="-",'A-14'!H146="-"),"-",SUM('A-14'!H5,'A-14'!H52,'A-14'!H99,'A-14'!H146))</f>
        <v>7</v>
      </c>
      <c r="H52" s="193">
        <f>IF(AND('A-14'!J5="-",'A-14'!J52="-",'A-14'!J99="-",'A-14'!J146="-"),"-",SUM('A-14'!J5,'A-14'!J52,'A-14'!J99,'A-14'!J146))</f>
        <v>866</v>
      </c>
    </row>
    <row r="53" spans="1:8" ht="11.25" customHeight="1" x14ac:dyDescent="0.25">
      <c r="A53" s="473">
        <v>1977</v>
      </c>
      <c r="B53" s="193">
        <f>IF(AND('A-14'!C6="-",'A-14'!C53="-",'A-14'!C100="-",'A-14'!C147="-"),"-",SUM('A-14'!C6,'A-14'!C53,'A-14'!C100,'A-14'!C147))</f>
        <v>78</v>
      </c>
      <c r="C53" s="193">
        <f>IF(AND('A-14'!D6="-",'A-14'!D53="-",'A-14'!D100="-",'A-14'!D147="-"),"-",SUM('A-14'!D6,'A-14'!D53,'A-14'!D100,'A-14'!D147))</f>
        <v>119</v>
      </c>
      <c r="D53" s="193">
        <f>IF(AND('A-14'!E6="-",'A-14'!E53="-",'A-14'!E100="-",'A-14'!E147="-"),"-",SUM('A-14'!E6,'A-14'!E53,'A-14'!E100,'A-14'!E147))</f>
        <v>164</v>
      </c>
      <c r="E53" s="193">
        <f>IF(AND('A-14'!F6="-",'A-14'!F53="-",'A-14'!F100="-",'A-14'!F147="-"),"-",SUM('A-14'!F6,'A-14'!F53,'A-14'!F100,'A-14'!F147))</f>
        <v>237</v>
      </c>
      <c r="F53" s="193">
        <f>IF(AND('A-14'!G6="-",'A-14'!G53="-",'A-14'!G100="-",'A-14'!G147="-"),"-",SUM('A-14'!G6,'A-14'!G53,'A-14'!G100,'A-14'!G147))</f>
        <v>89</v>
      </c>
      <c r="G53" s="193">
        <f>IF(AND('A-14'!H6="-",'A-14'!H53="-",'A-14'!H100="-",'A-14'!H147="-"),"-",SUM('A-14'!H6,'A-14'!H53,'A-14'!H100,'A-14'!H147))</f>
        <v>2</v>
      </c>
      <c r="H53" s="193">
        <f>IF(AND('A-14'!J6="-",'A-14'!J53="-",'A-14'!J100="-",'A-14'!J147="-"),"-",SUM('A-14'!J6,'A-14'!J53,'A-14'!J100,'A-14'!J147))</f>
        <v>687</v>
      </c>
    </row>
    <row r="54" spans="1:8" ht="11.25" customHeight="1" x14ac:dyDescent="0.25">
      <c r="A54" s="473">
        <v>1978</v>
      </c>
      <c r="B54" s="193">
        <f>IF(AND('A-14'!C7="-",'A-14'!C54="-",'A-14'!C101="-",'A-14'!C148="-"),"-",SUM('A-14'!C7,'A-14'!C54,'A-14'!C101,'A-14'!C148))</f>
        <v>64</v>
      </c>
      <c r="C54" s="193">
        <f>IF(AND('A-14'!D7="-",'A-14'!D54="-",'A-14'!D101="-",'A-14'!D148="-"),"-",SUM('A-14'!D7,'A-14'!D54,'A-14'!D101,'A-14'!D148))</f>
        <v>142</v>
      </c>
      <c r="D54" s="193">
        <f>IF(AND('A-14'!E7="-",'A-14'!E54="-",'A-14'!E101="-",'A-14'!E148="-"),"-",SUM('A-14'!E7,'A-14'!E54,'A-14'!E101,'A-14'!E148))</f>
        <v>102</v>
      </c>
      <c r="E54" s="193">
        <f>IF(AND('A-14'!F7="-",'A-14'!F54="-",'A-14'!F101="-",'A-14'!F148="-"),"-",SUM('A-14'!F7,'A-14'!F54,'A-14'!F101,'A-14'!F148))</f>
        <v>94</v>
      </c>
      <c r="F54" s="193">
        <f>IF(AND('A-14'!G7="-",'A-14'!G54="-",'A-14'!G101="-",'A-14'!G148="-"),"-",SUM('A-14'!G7,'A-14'!G54,'A-14'!G101,'A-14'!G148))</f>
        <v>48</v>
      </c>
      <c r="G54" s="193">
        <f>IF(AND('A-14'!H7="-",'A-14'!H54="-",'A-14'!H101="-",'A-14'!H148="-"),"-",SUM('A-14'!H7,'A-14'!H54,'A-14'!H101,'A-14'!H148))</f>
        <v>6</v>
      </c>
      <c r="H54" s="193">
        <f>IF(AND('A-14'!J7="-",'A-14'!J54="-",'A-14'!J101="-",'A-14'!J148="-"),"-",SUM('A-14'!J7,'A-14'!J54,'A-14'!J101,'A-14'!J148))</f>
        <v>450</v>
      </c>
    </row>
    <row r="55" spans="1:8" ht="11.25" customHeight="1" x14ac:dyDescent="0.25">
      <c r="A55" s="473">
        <v>1979</v>
      </c>
      <c r="B55" s="193">
        <f>IF(AND('A-14'!C8="-",'A-14'!C55="-",'A-14'!C102="-",'A-14'!C149="-"),"-",SUM('A-14'!C8,'A-14'!C55,'A-14'!C102,'A-14'!C149))</f>
        <v>62</v>
      </c>
      <c r="C55" s="193">
        <f>IF(AND('A-14'!D8="-",'A-14'!D55="-",'A-14'!D102="-",'A-14'!D149="-"),"-",SUM('A-14'!D8,'A-14'!D55,'A-14'!D102,'A-14'!D149))</f>
        <v>114</v>
      </c>
      <c r="D55" s="193">
        <f>IF(AND('A-14'!E8="-",'A-14'!E55="-",'A-14'!E102="-",'A-14'!E149="-"),"-",SUM('A-14'!E8,'A-14'!E55,'A-14'!E102,'A-14'!E149))</f>
        <v>185</v>
      </c>
      <c r="E55" s="193">
        <f>IF(AND('A-14'!F8="-",'A-14'!F55="-",'A-14'!F102="-",'A-14'!F149="-"),"-",SUM('A-14'!F8,'A-14'!F55,'A-14'!F102,'A-14'!F149))</f>
        <v>219</v>
      </c>
      <c r="F55" s="193">
        <f>IF(AND('A-14'!G8="-",'A-14'!G55="-",'A-14'!G102="-",'A-14'!G149="-"),"-",SUM('A-14'!G8,'A-14'!G55,'A-14'!G102,'A-14'!G149))</f>
        <v>30</v>
      </c>
      <c r="G55" s="193">
        <f>IF(AND('A-14'!H8="-",'A-14'!H55="-",'A-14'!H102="-",'A-14'!H149="-"),"-",SUM('A-14'!H8,'A-14'!H55,'A-14'!H102,'A-14'!H149))</f>
        <v>8</v>
      </c>
      <c r="H55" s="193">
        <f>IF(AND('A-14'!J8="-",'A-14'!J55="-",'A-14'!J102="-",'A-14'!J149="-"),"-",SUM('A-14'!J8,'A-14'!J55,'A-14'!J102,'A-14'!J149))</f>
        <v>610</v>
      </c>
    </row>
    <row r="56" spans="1:8" ht="11.25" customHeight="1" x14ac:dyDescent="0.25">
      <c r="A56" s="473">
        <v>1980</v>
      </c>
      <c r="B56" s="193">
        <f>IF(AND('A-14'!C9="-",'A-14'!C56="-",'A-14'!C103="-",'A-14'!C150="-"),"-",SUM('A-14'!C9,'A-14'!C56,'A-14'!C103,'A-14'!C150))</f>
        <v>47</v>
      </c>
      <c r="C56" s="193">
        <f>IF(AND('A-14'!D9="-",'A-14'!D56="-",'A-14'!D103="-",'A-14'!D150="-"),"-",SUM('A-14'!D9,'A-14'!D56,'A-14'!D103,'A-14'!D150))</f>
        <v>122</v>
      </c>
      <c r="D56" s="193">
        <f>IF(AND('A-14'!E9="-",'A-14'!E56="-",'A-14'!E103="-",'A-14'!E150="-"),"-",SUM('A-14'!E9,'A-14'!E56,'A-14'!E103,'A-14'!E150))</f>
        <v>142</v>
      </c>
      <c r="E56" s="193">
        <f>IF(AND('A-14'!F9="-",'A-14'!F56="-",'A-14'!F103="-",'A-14'!F150="-"),"-",SUM('A-14'!F9,'A-14'!F56,'A-14'!F103,'A-14'!F150))</f>
        <v>72</v>
      </c>
      <c r="F56" s="193">
        <f>IF(AND('A-14'!G9="-",'A-14'!G56="-",'A-14'!G103="-",'A-14'!G150="-"),"-",SUM('A-14'!G9,'A-14'!G56,'A-14'!G103,'A-14'!G150))</f>
        <v>20</v>
      </c>
      <c r="G56" s="193">
        <f>IF(AND('A-14'!H9="-",'A-14'!H56="-",'A-14'!H103="-",'A-14'!H150="-"),"-",SUM('A-14'!H9,'A-14'!H56,'A-14'!H103,'A-14'!H150))</f>
        <v>9</v>
      </c>
      <c r="H56" s="193">
        <f>IF(AND('A-14'!J9="-",'A-14'!J56="-",'A-14'!J103="-",'A-14'!J150="-"),"-",SUM('A-14'!J9,'A-14'!J56,'A-14'!J103,'A-14'!J150))</f>
        <v>403</v>
      </c>
    </row>
    <row r="57" spans="1:8" ht="11.25" customHeight="1" x14ac:dyDescent="0.25">
      <c r="A57" s="473">
        <v>1981</v>
      </c>
      <c r="B57" s="193">
        <f>IF(AND('A-14'!C10="-",'A-14'!C57="-",'A-14'!C104="-",'A-14'!C151="-"),"-",SUM('A-14'!C10,'A-14'!C57,'A-14'!C104,'A-14'!C151))</f>
        <v>102</v>
      </c>
      <c r="C57" s="193">
        <f>IF(AND('A-14'!D10="-",'A-14'!D57="-",'A-14'!D104="-",'A-14'!D151="-"),"-",SUM('A-14'!D10,'A-14'!D57,'A-14'!D104,'A-14'!D151))</f>
        <v>156</v>
      </c>
      <c r="D57" s="193">
        <f>IF(AND('A-14'!E10="-",'A-14'!E57="-",'A-14'!E104="-",'A-14'!E151="-"),"-",SUM('A-14'!E10,'A-14'!E57,'A-14'!E104,'A-14'!E151))</f>
        <v>286</v>
      </c>
      <c r="E57" s="193">
        <f>IF(AND('A-14'!F10="-",'A-14'!F57="-",'A-14'!F104="-",'A-14'!F151="-"),"-",SUM('A-14'!F10,'A-14'!F57,'A-14'!F104,'A-14'!F151))</f>
        <v>200</v>
      </c>
      <c r="F57" s="193">
        <f>IF(AND('A-14'!G10="-",'A-14'!G57="-",'A-14'!G104="-",'A-14'!G151="-"),"-",SUM('A-14'!G10,'A-14'!G57,'A-14'!G104,'A-14'!G151))</f>
        <v>112</v>
      </c>
      <c r="G57" s="193">
        <f>IF(AND('A-14'!H10="-",'A-14'!H57="-",'A-14'!H104="-",'A-14'!H151="-"),"-",SUM('A-14'!H10,'A-14'!H57,'A-14'!H104,'A-14'!H151))</f>
        <v>7</v>
      </c>
      <c r="H57" s="193">
        <f>IF(AND('A-14'!J10="-",'A-14'!J57="-",'A-14'!J104="-",'A-14'!J151="-"),"-",SUM('A-14'!J10,'A-14'!J57,'A-14'!J104,'A-14'!J151))</f>
        <v>856</v>
      </c>
    </row>
    <row r="58" spans="1:8" ht="11.25" customHeight="1" x14ac:dyDescent="0.25">
      <c r="A58" s="473">
        <v>1982</v>
      </c>
      <c r="B58" s="193">
        <f>IF(AND('A-14'!C11="-",'A-14'!C58="-",'A-14'!C105="-",'A-14'!C152="-"),"-",SUM('A-14'!C11,'A-14'!C58,'A-14'!C105,'A-14'!C152))</f>
        <v>54</v>
      </c>
      <c r="C58" s="193">
        <f>IF(AND('A-14'!D11="-",'A-14'!D58="-",'A-14'!D105="-",'A-14'!D152="-"),"-",SUM('A-14'!D11,'A-14'!D58,'A-14'!D105,'A-14'!D152))</f>
        <v>179</v>
      </c>
      <c r="D58" s="193">
        <f>IF(AND('A-14'!E11="-",'A-14'!E58="-",'A-14'!E105="-",'A-14'!E152="-"),"-",SUM('A-14'!E11,'A-14'!E58,'A-14'!E105,'A-14'!E152))</f>
        <v>258</v>
      </c>
      <c r="E58" s="193">
        <f>IF(AND('A-14'!F11="-",'A-14'!F58="-",'A-14'!F105="-",'A-14'!F152="-"),"-",SUM('A-14'!F11,'A-14'!F58,'A-14'!F105,'A-14'!F152))</f>
        <v>336</v>
      </c>
      <c r="F58" s="193">
        <f>IF(AND('A-14'!G11="-",'A-14'!G58="-",'A-14'!G105="-",'A-14'!G152="-"),"-",SUM('A-14'!G11,'A-14'!G58,'A-14'!G105,'A-14'!G152))</f>
        <v>234</v>
      </c>
      <c r="G58" s="193">
        <f>IF(AND('A-14'!H11="-",'A-14'!H58="-",'A-14'!H105="-",'A-14'!H152="-"),"-",SUM('A-14'!H11,'A-14'!H58,'A-14'!H105,'A-14'!H152))</f>
        <v>26</v>
      </c>
      <c r="H58" s="193">
        <f>IF(AND('A-14'!J11="-",'A-14'!J58="-",'A-14'!J105="-",'A-14'!J152="-"),"-",SUM('A-14'!J11,'A-14'!J58,'A-14'!J105,'A-14'!J152))</f>
        <v>1061</v>
      </c>
    </row>
    <row r="59" spans="1:8" ht="11.25" customHeight="1" x14ac:dyDescent="0.25">
      <c r="A59" s="473">
        <v>1983</v>
      </c>
      <c r="B59" s="193">
        <f>IF(AND('A-14'!C12="-",'A-14'!C59="-",'A-14'!C106="-",'A-14'!C153="-"),"-",SUM('A-14'!C12,'A-14'!C59,'A-14'!C106,'A-14'!C153))</f>
        <v>119</v>
      </c>
      <c r="C59" s="193">
        <f>IF(AND('A-14'!D12="-",'A-14'!D59="-",'A-14'!D106="-",'A-14'!D153="-"),"-",SUM('A-14'!D12,'A-14'!D59,'A-14'!D106,'A-14'!D153))</f>
        <v>248</v>
      </c>
      <c r="D59" s="193">
        <f>IF(AND('A-14'!E12="-",'A-14'!E59="-",'A-14'!E106="-",'A-14'!E153="-"),"-",SUM('A-14'!E12,'A-14'!E59,'A-14'!E106,'A-14'!E153))</f>
        <v>316</v>
      </c>
      <c r="E59" s="193">
        <f>IF(AND('A-14'!F12="-",'A-14'!F59="-",'A-14'!F106="-",'A-14'!F153="-"),"-",SUM('A-14'!F12,'A-14'!F59,'A-14'!F106,'A-14'!F153))</f>
        <v>473</v>
      </c>
      <c r="F59" s="193">
        <f>IF(AND('A-14'!G12="-",'A-14'!G59="-",'A-14'!G106="-",'A-14'!G153="-"),"-",SUM('A-14'!G12,'A-14'!G59,'A-14'!G106,'A-14'!G153))</f>
        <v>182</v>
      </c>
      <c r="G59" s="193">
        <f>IF(AND('A-14'!H12="-",'A-14'!H59="-",'A-14'!H106="-",'A-14'!H153="-"),"-",SUM('A-14'!H12,'A-14'!H59,'A-14'!H106,'A-14'!H153))</f>
        <v>10</v>
      </c>
      <c r="H59" s="193">
        <f>IF(AND('A-14'!J12="-",'A-14'!J59="-",'A-14'!J106="-",'A-14'!J153="-"),"-",SUM('A-14'!J12,'A-14'!J59,'A-14'!J106,'A-14'!J153))</f>
        <v>1338</v>
      </c>
    </row>
    <row r="60" spans="1:8" ht="11.25" customHeight="1" x14ac:dyDescent="0.25">
      <c r="A60" s="473">
        <v>1984</v>
      </c>
      <c r="B60" s="193">
        <f>IF(AND('A-14'!C13="-",'A-14'!C60="-",'A-14'!C107="-",'A-14'!C154="-"),"-",SUM('A-14'!C13,'A-14'!C60,'A-14'!C107,'A-14'!C154))</f>
        <v>56</v>
      </c>
      <c r="C60" s="193">
        <f>IF(AND('A-14'!D13="-",'A-14'!D60="-",'A-14'!D107="-",'A-14'!D154="-"),"-",SUM('A-14'!D13,'A-14'!D60,'A-14'!D107,'A-14'!D154))</f>
        <v>39</v>
      </c>
      <c r="D60" s="193">
        <f>IF(AND('A-14'!E13="-",'A-14'!E60="-",'A-14'!E107="-",'A-14'!E154="-"),"-",SUM('A-14'!E13,'A-14'!E60,'A-14'!E107,'A-14'!E154))</f>
        <v>145</v>
      </c>
      <c r="E60" s="193">
        <f>IF(AND('A-14'!F13="-",'A-14'!F60="-",'A-14'!F107="-",'A-14'!F154="-"),"-",SUM('A-14'!F13,'A-14'!F60,'A-14'!F107,'A-14'!F154))</f>
        <v>212</v>
      </c>
      <c r="F60" s="193">
        <f>IF(AND('A-14'!G13="-",'A-14'!G60="-",'A-14'!G107="-",'A-14'!G154="-"),"-",SUM('A-14'!G13,'A-14'!G60,'A-14'!G107,'A-14'!G154))</f>
        <v>0</v>
      </c>
      <c r="G60" s="193">
        <f>IF(AND('A-14'!H13="-",'A-14'!H60="-",'A-14'!H107="-",'A-14'!H154="-"),"-",SUM('A-14'!H13,'A-14'!H60,'A-14'!H107,'A-14'!H154))</f>
        <v>19</v>
      </c>
      <c r="H60" s="193">
        <f>IF(AND('A-14'!J13="-",'A-14'!J60="-",'A-14'!J107="-",'A-14'!J154="-"),"-",SUM('A-14'!J13,'A-14'!J60,'A-14'!J107,'A-14'!J154))</f>
        <v>452</v>
      </c>
    </row>
    <row r="61" spans="1:8" ht="11.25" customHeight="1" x14ac:dyDescent="0.25">
      <c r="A61" s="473">
        <v>1985</v>
      </c>
      <c r="B61" s="193">
        <f>IF(AND('A-14'!C14="-",'A-14'!C61="-",'A-14'!C108="-",'A-14'!C155="-"),"-",SUM('A-14'!C14,'A-14'!C61,'A-14'!C108,'A-14'!C155))</f>
        <v>64</v>
      </c>
      <c r="C61" s="193">
        <f>IF(AND('A-14'!D14="-",'A-14'!D61="-",'A-14'!D108="-",'A-14'!D155="-"),"-",SUM('A-14'!D14,'A-14'!D61,'A-14'!D108,'A-14'!D155))</f>
        <v>81</v>
      </c>
      <c r="D61" s="193">
        <f>IF(AND('A-14'!E14="-",'A-14'!E61="-",'A-14'!E108="-",'A-14'!E155="-"),"-",SUM('A-14'!E14,'A-14'!E61,'A-14'!E108,'A-14'!E155))</f>
        <v>417</v>
      </c>
      <c r="E61" s="193">
        <f>IF(AND('A-14'!F14="-",'A-14'!F61="-",'A-14'!F108="-",'A-14'!F155="-"),"-",SUM('A-14'!F14,'A-14'!F61,'A-14'!F108,'A-14'!F155))</f>
        <v>343</v>
      </c>
      <c r="F61" s="193">
        <f>IF(AND('A-14'!G14="-",'A-14'!G61="-",'A-14'!G108="-",'A-14'!G155="-"),"-",SUM('A-14'!G14,'A-14'!G61,'A-14'!G108,'A-14'!G155))</f>
        <v>203</v>
      </c>
      <c r="G61" s="193">
        <f>IF(AND('A-14'!H14="-",'A-14'!H61="-",'A-14'!H108="-",'A-14'!H155="-"),"-",SUM('A-14'!H14,'A-14'!H61,'A-14'!H108,'A-14'!H155))</f>
        <v>23</v>
      </c>
      <c r="H61" s="193">
        <f>IF(AND('A-14'!J14="-",'A-14'!J61="-",'A-14'!J108="-",'A-14'!J155="-"),"-",SUM('A-14'!J14,'A-14'!J61,'A-14'!J108,'A-14'!J155))</f>
        <v>1108</v>
      </c>
    </row>
    <row r="62" spans="1:8" ht="11.25" customHeight="1" x14ac:dyDescent="0.25">
      <c r="A62" s="473">
        <v>1986</v>
      </c>
      <c r="B62" s="193">
        <f>IF(AND('A-14'!C15="-",'A-14'!C62="-",'A-14'!C109="-",'A-14'!C156="-"),"-",SUM('A-14'!C15,'A-14'!C62,'A-14'!C109,'A-14'!C156))</f>
        <v>91</v>
      </c>
      <c r="C62" s="193">
        <f>IF(AND('A-14'!D15="-",'A-14'!D62="-",'A-14'!D109="-",'A-14'!D156="-"),"-",SUM('A-14'!D15,'A-14'!D62,'A-14'!D109,'A-14'!D156))</f>
        <v>334</v>
      </c>
      <c r="D62" s="193">
        <f>IF(AND('A-14'!E15="-",'A-14'!E62="-",'A-14'!E109="-",'A-14'!E156="-"),"-",SUM('A-14'!E15,'A-14'!E62,'A-14'!E109,'A-14'!E156))</f>
        <v>453</v>
      </c>
      <c r="E62" s="193">
        <f>IF(AND('A-14'!F15="-",'A-14'!F62="-",'A-14'!F109="-",'A-14'!F156="-"),"-",SUM('A-14'!F15,'A-14'!F62,'A-14'!F109,'A-14'!F156))</f>
        <v>159</v>
      </c>
      <c r="F62" s="193">
        <f>IF(AND('A-14'!G15="-",'A-14'!G62="-",'A-14'!G109="-",'A-14'!G156="-"),"-",SUM('A-14'!G15,'A-14'!G62,'A-14'!G109,'A-14'!G156))</f>
        <v>1</v>
      </c>
      <c r="G62" s="193">
        <f>IF(AND('A-14'!H15="-",'A-14'!H62="-",'A-14'!H109="-",'A-14'!H156="-"),"-",SUM('A-14'!H15,'A-14'!H62,'A-14'!H109,'A-14'!H156))</f>
        <v>0</v>
      </c>
      <c r="H62" s="193">
        <f>IF(AND('A-14'!J15="-",'A-14'!J62="-",'A-14'!J109="-",'A-14'!J156="-"),"-",SUM('A-14'!J15,'A-14'!J62,'A-14'!J109,'A-14'!J156))</f>
        <v>1038</v>
      </c>
    </row>
    <row r="63" spans="1:8" ht="11.25" customHeight="1" x14ac:dyDescent="0.25">
      <c r="A63" s="473">
        <v>1987</v>
      </c>
      <c r="B63" s="193">
        <f>IF(AND('A-14'!C16="-",'A-14'!C63="-",'A-14'!C110="-",'A-14'!C157="-"),"-",SUM('A-14'!C16,'A-14'!C63,'A-14'!C110,'A-14'!C157))</f>
        <v>134</v>
      </c>
      <c r="C63" s="193">
        <f>IF(AND('A-14'!D16="-",'A-14'!D63="-",'A-14'!D110="-",'A-14'!D157="-"),"-",SUM('A-14'!D16,'A-14'!D63,'A-14'!D110,'A-14'!D157))</f>
        <v>0</v>
      </c>
      <c r="D63" s="193">
        <f>IF(AND('A-14'!E16="-",'A-14'!E63="-",'A-14'!E110="-",'A-14'!E157="-"),"-",SUM('A-14'!E16,'A-14'!E63,'A-14'!E110,'A-14'!E157))</f>
        <v>443</v>
      </c>
      <c r="E63" s="193">
        <f>IF(AND('A-14'!F16="-",'A-14'!F63="-",'A-14'!F110="-",'A-14'!F157="-"),"-",SUM('A-14'!F16,'A-14'!F63,'A-14'!F110,'A-14'!F157))</f>
        <v>620</v>
      </c>
      <c r="F63" s="193">
        <f>IF(AND('A-14'!G16="-",'A-14'!G63="-",'A-14'!G110="-",'A-14'!G157="-"),"-",SUM('A-14'!G16,'A-14'!G63,'A-14'!G110,'A-14'!G157))</f>
        <v>0</v>
      </c>
      <c r="G63" s="193">
        <f>IF(AND('A-14'!H16="-",'A-14'!H63="-",'A-14'!H110="-",'A-14'!H157="-"),"-",SUM('A-14'!H16,'A-14'!H63,'A-14'!H110,'A-14'!H157))</f>
        <v>6</v>
      </c>
      <c r="H63" s="193">
        <f>IF(AND('A-14'!J16="-",'A-14'!J63="-",'A-14'!J110="-",'A-14'!J157="-"),"-",SUM('A-14'!J16,'A-14'!J63,'A-14'!J110,'A-14'!J157))</f>
        <v>1197</v>
      </c>
    </row>
    <row r="64" spans="1:8" ht="11.25" customHeight="1" x14ac:dyDescent="0.25">
      <c r="A64" s="473">
        <v>1988</v>
      </c>
      <c r="B64" s="193">
        <f>IF(AND('A-14'!C17="-",'A-14'!C64="-",'A-14'!C111="-",'A-14'!C158="-"),"-",SUM('A-14'!C17,'A-14'!C64,'A-14'!C111,'A-14'!C158))</f>
        <v>181</v>
      </c>
      <c r="C64" s="193">
        <f>IF(AND('A-14'!D17="-",'A-14'!D64="-",'A-14'!D111="-",'A-14'!D158="-"),"-",SUM('A-14'!D17,'A-14'!D64,'A-14'!D111,'A-14'!D158))</f>
        <v>199</v>
      </c>
      <c r="D64" s="193">
        <f>IF(AND('A-14'!E17="-",'A-14'!E64="-",'A-14'!E111="-",'A-14'!E158="-"),"-",SUM('A-14'!E17,'A-14'!E64,'A-14'!E111,'A-14'!E158))</f>
        <v>339</v>
      </c>
      <c r="E64" s="193">
        <f>IF(AND('A-14'!F17="-",'A-14'!F64="-",'A-14'!F111="-",'A-14'!F158="-"),"-",SUM('A-14'!F17,'A-14'!F64,'A-14'!F111,'A-14'!F158))</f>
        <v>518</v>
      </c>
      <c r="F64" s="193">
        <f>IF(AND('A-14'!G17="-",'A-14'!G64="-",'A-14'!G111="-",'A-14'!G158="-"),"-",SUM('A-14'!G17,'A-14'!G64,'A-14'!G111,'A-14'!G158))</f>
        <v>190</v>
      </c>
      <c r="G64" s="193">
        <f>IF(AND('A-14'!H17="-",'A-14'!H64="-",'A-14'!H111="-",'A-14'!H158="-"),"-",SUM('A-14'!H17,'A-14'!H64,'A-14'!H111,'A-14'!H158))</f>
        <v>0</v>
      </c>
      <c r="H64" s="193">
        <f>IF(AND('A-14'!J17="-",'A-14'!J64="-",'A-14'!J111="-",'A-14'!J158="-"),"-",SUM('A-14'!J17,'A-14'!J64,'A-14'!J111,'A-14'!J158))</f>
        <v>1427</v>
      </c>
    </row>
    <row r="65" spans="1:8" ht="11.25" customHeight="1" x14ac:dyDescent="0.25">
      <c r="A65" s="473">
        <v>1989</v>
      </c>
      <c r="B65" s="193">
        <f>IF(AND('A-14'!C18="-",'A-14'!C65="-",'A-14'!C112="-",'A-14'!C159="-"),"-",SUM('A-14'!C18,'A-14'!C65,'A-14'!C112,'A-14'!C159))</f>
        <v>138</v>
      </c>
      <c r="C65" s="193">
        <f>IF(AND('A-14'!D18="-",'A-14'!D65="-",'A-14'!D112="-",'A-14'!D159="-"),"-",SUM('A-14'!D18,'A-14'!D65,'A-14'!D112,'A-14'!D159))</f>
        <v>152</v>
      </c>
      <c r="D65" s="193">
        <f>IF(AND('A-14'!E18="-",'A-14'!E65="-",'A-14'!E112="-",'A-14'!E159="-"),"-",SUM('A-14'!E18,'A-14'!E65,'A-14'!E112,'A-14'!E159))</f>
        <v>558</v>
      </c>
      <c r="E65" s="193">
        <f>IF(AND('A-14'!F18="-",'A-14'!F65="-",'A-14'!F112="-",'A-14'!F159="-"),"-",SUM('A-14'!F18,'A-14'!F65,'A-14'!F112,'A-14'!F159))</f>
        <v>428</v>
      </c>
      <c r="F65" s="193">
        <f>IF(AND('A-14'!G18="-",'A-14'!G65="-",'A-14'!G112="-",'A-14'!G159="-"),"-",SUM('A-14'!G18,'A-14'!G65,'A-14'!G112,'A-14'!G159))</f>
        <v>380</v>
      </c>
      <c r="G65" s="193">
        <f>IF(AND('A-14'!H18="-",'A-14'!H65="-",'A-14'!H112="-",'A-14'!H159="-"),"-",SUM('A-14'!H18,'A-14'!H65,'A-14'!H112,'A-14'!H159))</f>
        <v>0</v>
      </c>
      <c r="H65" s="193">
        <f>IF(AND('A-14'!J18="-",'A-14'!J65="-",'A-14'!J112="-",'A-14'!J159="-"),"-",SUM('A-14'!J18,'A-14'!J65,'A-14'!J112,'A-14'!J159))</f>
        <v>1656</v>
      </c>
    </row>
    <row r="66" spans="1:8" ht="11.25" customHeight="1" x14ac:dyDescent="0.25">
      <c r="A66" s="473">
        <v>1990</v>
      </c>
      <c r="B66" s="193">
        <f>IF(AND('A-14'!C19="-",'A-14'!C66="-",'A-14'!C113="-",'A-14'!C160="-"),"-",SUM('A-14'!C19,'A-14'!C66,'A-14'!C113,'A-14'!C160))</f>
        <v>146</v>
      </c>
      <c r="C66" s="193">
        <f>IF(AND('A-14'!D19="-",'A-14'!D66="-",'A-14'!D113="-",'A-14'!D160="-"),"-",SUM('A-14'!D19,'A-14'!D66,'A-14'!D113,'A-14'!D160))</f>
        <v>153</v>
      </c>
      <c r="D66" s="193">
        <f>IF(AND('A-14'!E19="-",'A-14'!E66="-",'A-14'!E113="-",'A-14'!E160="-"),"-",SUM('A-14'!E19,'A-14'!E66,'A-14'!E113,'A-14'!E160))</f>
        <v>375</v>
      </c>
      <c r="E66" s="193">
        <f>IF(AND('A-14'!F19="-",'A-14'!F66="-",'A-14'!F113="-",'A-14'!F160="-"),"-",SUM('A-14'!F19,'A-14'!F66,'A-14'!F113,'A-14'!F160))</f>
        <v>575</v>
      </c>
      <c r="F66" s="193">
        <f>IF(AND('A-14'!G19="-",'A-14'!G66="-",'A-14'!G113="-",'A-14'!G160="-"),"-",SUM('A-14'!G19,'A-14'!G66,'A-14'!G113,'A-14'!G160))</f>
        <v>232</v>
      </c>
      <c r="G66" s="193">
        <f>IF(AND('A-14'!H19="-",'A-14'!H66="-",'A-14'!H113="-",'A-14'!H160="-"),"-",SUM('A-14'!H19,'A-14'!H66,'A-14'!H113,'A-14'!H160))</f>
        <v>2</v>
      </c>
      <c r="H66" s="193">
        <f>IF(AND('A-14'!J19="-",'A-14'!J66="-",'A-14'!J113="-",'A-14'!J160="-"),"-",SUM('A-14'!J19,'A-14'!J66,'A-14'!J113,'A-14'!J160))</f>
        <v>1481</v>
      </c>
    </row>
    <row r="67" spans="1:8" ht="11.25" customHeight="1" x14ac:dyDescent="0.25">
      <c r="A67" s="473">
        <v>1991</v>
      </c>
      <c r="B67" s="193">
        <f>IF(AND('A-14'!C20="-",'A-14'!C67="-",'A-14'!C114="-",'A-14'!C161="-"),"-",SUM('A-14'!C20,'A-14'!C67,'A-14'!C114,'A-14'!C161))</f>
        <v>112</v>
      </c>
      <c r="C67" s="193">
        <f>IF(AND('A-14'!D20="-",'A-14'!D67="-",'A-14'!D114="-",'A-14'!D161="-"),"-",SUM('A-14'!D20,'A-14'!D67,'A-14'!D114,'A-14'!D161))</f>
        <v>102</v>
      </c>
      <c r="D67" s="193">
        <f>IF(AND('A-14'!E20="-",'A-14'!E67="-",'A-14'!E114="-",'A-14'!E161="-"),"-",SUM('A-14'!E20,'A-14'!E67,'A-14'!E114,'A-14'!E161))</f>
        <v>335</v>
      </c>
      <c r="E67" s="193">
        <f>IF(AND('A-14'!F20="-",'A-14'!F67="-",'A-14'!F114="-",'A-14'!F161="-"),"-",SUM('A-14'!F20,'A-14'!F67,'A-14'!F114,'A-14'!F161))</f>
        <v>599</v>
      </c>
      <c r="F67" s="193">
        <f>IF(AND('A-14'!G20="-",'A-14'!G67="-",'A-14'!G114="-",'A-14'!G161="-"),"-",SUM('A-14'!G20,'A-14'!G67,'A-14'!G114,'A-14'!G161))</f>
        <v>0</v>
      </c>
      <c r="G67" s="193">
        <f>IF(AND('A-14'!H20="-",'A-14'!H67="-",'A-14'!H114="-",'A-14'!H161="-"),"-",SUM('A-14'!H20,'A-14'!H67,'A-14'!H114,'A-14'!H161))</f>
        <v>50</v>
      </c>
      <c r="H67" s="193">
        <f>IF(AND('A-14'!J20="-",'A-14'!J67="-",'A-14'!J114="-",'A-14'!J161="-"),"-",SUM('A-14'!J20,'A-14'!J67,'A-14'!J114,'A-14'!J161))</f>
        <v>1148</v>
      </c>
    </row>
    <row r="68" spans="1:8" ht="11.25" customHeight="1" x14ac:dyDescent="0.25">
      <c r="A68" s="473">
        <v>1992</v>
      </c>
      <c r="B68" s="193">
        <f>IF(AND('A-14'!C21="-",'A-14'!C68="-",'A-14'!C115="-",'A-14'!C162="-"),"-",SUM('A-14'!C21,'A-14'!C68,'A-14'!C115,'A-14'!C162))</f>
        <v>73</v>
      </c>
      <c r="C68" s="193">
        <f>IF(AND('A-14'!D21="-",'A-14'!D68="-",'A-14'!D115="-",'A-14'!D162="-"),"-",SUM('A-14'!D21,'A-14'!D68,'A-14'!D115,'A-14'!D162))</f>
        <v>89</v>
      </c>
      <c r="D68" s="193">
        <f>IF(AND('A-14'!E21="-",'A-14'!E68="-",'A-14'!E115="-",'A-14'!E162="-"),"-",SUM('A-14'!E21,'A-14'!E68,'A-14'!E115,'A-14'!E162))</f>
        <v>244</v>
      </c>
      <c r="E68" s="193">
        <f>IF(AND('A-14'!F21="-",'A-14'!F68="-",'A-14'!F115="-",'A-14'!F162="-"),"-",SUM('A-14'!F21,'A-14'!F68,'A-14'!F115,'A-14'!F162))</f>
        <v>237</v>
      </c>
      <c r="F68" s="193">
        <f>IF(AND('A-14'!G21="-",'A-14'!G68="-",'A-14'!G115="-",'A-14'!G162="-"),"-",SUM('A-14'!G21,'A-14'!G68,'A-14'!G115,'A-14'!G162))</f>
        <v>0</v>
      </c>
      <c r="G68" s="193">
        <f>IF(AND('A-14'!H21="-",'A-14'!H68="-",'A-14'!H115="-",'A-14'!H162="-"),"-",SUM('A-14'!H21,'A-14'!H68,'A-14'!H115,'A-14'!H162))</f>
        <v>1</v>
      </c>
      <c r="H68" s="193">
        <f>IF(AND('A-14'!J21="-",'A-14'!J68="-",'A-14'!J115="-",'A-14'!J162="-"),"-",SUM('A-14'!J21,'A-14'!J68,'A-14'!J115,'A-14'!J162))</f>
        <v>643</v>
      </c>
    </row>
    <row r="69" spans="1:8" ht="11.25" customHeight="1" x14ac:dyDescent="0.25">
      <c r="A69" s="473">
        <v>1993</v>
      </c>
      <c r="B69" s="193">
        <f>IF(AND('A-14'!C22="-",'A-14'!C69="-",'A-14'!C116="-",'A-14'!C163="-"),"-",SUM('A-14'!C22,'A-14'!C69,'A-14'!C116,'A-14'!C163))</f>
        <v>122</v>
      </c>
      <c r="C69" s="193">
        <f>IF(AND('A-14'!D22="-",'A-14'!D69="-",'A-14'!D116="-",'A-14'!D163="-"),"-",SUM('A-14'!D22,'A-14'!D69,'A-14'!D116,'A-14'!D163))</f>
        <v>96</v>
      </c>
      <c r="D69" s="193">
        <f>IF(AND('A-14'!E22="-",'A-14'!E69="-",'A-14'!E116="-",'A-14'!E163="-"),"-",SUM('A-14'!E22,'A-14'!E69,'A-14'!E116,'A-14'!E163))</f>
        <v>329</v>
      </c>
      <c r="E69" s="193">
        <f>IF(AND('A-14'!F22="-",'A-14'!F69="-",'A-14'!F116="-",'A-14'!F163="-"),"-",SUM('A-14'!F22,'A-14'!F69,'A-14'!F116,'A-14'!F163))</f>
        <v>407</v>
      </c>
      <c r="F69" s="193">
        <f>IF(AND('A-14'!G22="-",'A-14'!G69="-",'A-14'!G116="-",'A-14'!G163="-"),"-",SUM('A-14'!G22,'A-14'!G69,'A-14'!G116,'A-14'!G163))</f>
        <v>238</v>
      </c>
      <c r="G69" s="193">
        <f>IF(AND('A-14'!H22="-",'A-14'!H69="-",'A-14'!H116="-",'A-14'!H163="-"),"-",SUM('A-14'!H22,'A-14'!H69,'A-14'!H116,'A-14'!H163))</f>
        <v>0</v>
      </c>
      <c r="H69" s="193">
        <f>IF(AND('A-14'!J22="-",'A-14'!J69="-",'A-14'!J116="-",'A-14'!J163="-"),"-",SUM('A-14'!J22,'A-14'!J69,'A-14'!J116,'A-14'!J163))</f>
        <v>1192</v>
      </c>
    </row>
    <row r="70" spans="1:8" ht="11.25" customHeight="1" x14ac:dyDescent="0.25">
      <c r="A70" s="473">
        <v>1994</v>
      </c>
      <c r="B70" s="193">
        <f>IF(AND('A-14'!C23="-",'A-14'!C70="-",'A-14'!C117="-",'A-14'!C164="-"),"-",SUM('A-14'!C23,'A-14'!C70,'A-14'!C117,'A-14'!C164))</f>
        <v>28</v>
      </c>
      <c r="C70" s="193">
        <f>IF(AND('A-14'!D23="-",'A-14'!D70="-",'A-14'!D117="-",'A-14'!D164="-"),"-",SUM('A-14'!D23,'A-14'!D70,'A-14'!D117,'A-14'!D164))</f>
        <v>70</v>
      </c>
      <c r="D70" s="193">
        <f>IF(AND('A-14'!E23="-",'A-14'!E70="-",'A-14'!E117="-",'A-14'!E164="-"),"-",SUM('A-14'!E23,'A-14'!E70,'A-14'!E117,'A-14'!E164))</f>
        <v>3</v>
      </c>
      <c r="E70" s="193">
        <f>IF(AND('A-14'!F23="-",'A-14'!F70="-",'A-14'!F117="-",'A-14'!F164="-"),"-",SUM('A-14'!F23,'A-14'!F70,'A-14'!F117,'A-14'!F164))</f>
        <v>0</v>
      </c>
      <c r="F70" s="193">
        <f>IF(AND('A-14'!G23="-",'A-14'!G70="-",'A-14'!G117="-",'A-14'!G164="-"),"-",SUM('A-14'!G23,'A-14'!G70,'A-14'!G117,'A-14'!G164))</f>
        <v>0</v>
      </c>
      <c r="G70" s="193">
        <f>IF(AND('A-14'!H23="-",'A-14'!H70="-",'A-14'!H117="-",'A-14'!H164="-"),"-",SUM('A-14'!H23,'A-14'!H70,'A-14'!H117,'A-14'!H164))</f>
        <v>0</v>
      </c>
      <c r="H70" s="193">
        <f>IF(AND('A-14'!J23="-",'A-14'!J70="-",'A-14'!J117="-",'A-14'!J164="-"),"-",SUM('A-14'!J23,'A-14'!J70,'A-14'!J117,'A-14'!J164))</f>
        <v>101</v>
      </c>
    </row>
    <row r="71" spans="1:8" ht="11.25" customHeight="1" x14ac:dyDescent="0.25">
      <c r="A71" s="473">
        <v>1995</v>
      </c>
      <c r="B71" s="193">
        <f>IF(AND('A-14'!C24="-",'A-14'!C71="-",'A-14'!C118="-",'A-14'!C165="-"),"-",SUM('A-14'!C24,'A-14'!C71,'A-14'!C118,'A-14'!C165))</f>
        <v>10</v>
      </c>
      <c r="C71" s="193">
        <f>IF(AND('A-14'!D24="-",'A-14'!D71="-",'A-14'!D118="-",'A-14'!D165="-"),"-",SUM('A-14'!D24,'A-14'!D71,'A-14'!D118,'A-14'!D165))</f>
        <v>0</v>
      </c>
      <c r="D71" s="193">
        <f>IF(AND('A-14'!E24="-",'A-14'!E71="-",'A-14'!E118="-",'A-14'!E165="-"),"-",SUM('A-14'!E24,'A-14'!E71,'A-14'!E118,'A-14'!E165))</f>
        <v>1</v>
      </c>
      <c r="E71" s="193">
        <f>IF(AND('A-14'!F24="-",'A-14'!F71="-",'A-14'!F118="-",'A-14'!F165="-"),"-",SUM('A-14'!F24,'A-14'!F71,'A-14'!F118,'A-14'!F165))</f>
        <v>313</v>
      </c>
      <c r="F71" s="193">
        <f>IF(AND('A-14'!G24="-",'A-14'!G71="-",'A-14'!G118="-",'A-14'!G165="-"),"-",SUM('A-14'!G24,'A-14'!G71,'A-14'!G118,'A-14'!G165))</f>
        <v>0</v>
      </c>
      <c r="G71" s="193">
        <f>IF(AND('A-14'!H24="-",'A-14'!H71="-",'A-14'!H118="-",'A-14'!H165="-"),"-",SUM('A-14'!H24,'A-14'!H71,'A-14'!H118,'A-14'!H165))</f>
        <v>0</v>
      </c>
      <c r="H71" s="193">
        <f>IF(AND('A-14'!J24="-",'A-14'!J71="-",'A-14'!J118="-",'A-14'!J165="-"),"-",SUM('A-14'!J24,'A-14'!J71,'A-14'!J118,'A-14'!J165))</f>
        <v>324</v>
      </c>
    </row>
    <row r="72" spans="1:8" ht="11.25" customHeight="1" x14ac:dyDescent="0.25">
      <c r="A72" s="473">
        <v>1996</v>
      </c>
      <c r="B72" s="193">
        <f>IF(AND('A-14'!C25="-",'A-14'!C72="-",'A-14'!C119="-",'A-14'!C166="-"),"-",SUM('A-14'!C25,'A-14'!C72,'A-14'!C119,'A-14'!C166))</f>
        <v>13</v>
      </c>
      <c r="C72" s="193">
        <f>IF(AND('A-14'!D25="-",'A-14'!D72="-",'A-14'!D119="-",'A-14'!D166="-"),"-",SUM('A-14'!D25,'A-14'!D72,'A-14'!D119,'A-14'!D166))</f>
        <v>34</v>
      </c>
      <c r="D72" s="193">
        <f>IF(AND('A-14'!E25="-",'A-14'!E72="-",'A-14'!E119="-",'A-14'!E166="-"),"-",SUM('A-14'!E25,'A-14'!E72,'A-14'!E119,'A-14'!E166))</f>
        <v>42</v>
      </c>
      <c r="E72" s="193">
        <f>IF(AND('A-14'!F25="-",'A-14'!F72="-",'A-14'!F119="-",'A-14'!F166="-"),"-",SUM('A-14'!F25,'A-14'!F72,'A-14'!F119,'A-14'!F166))</f>
        <v>102</v>
      </c>
      <c r="F72" s="193">
        <f>IF(AND('A-14'!G25="-",'A-14'!G72="-",'A-14'!G119="-",'A-14'!G166="-"),"-",SUM('A-14'!G25,'A-14'!G72,'A-14'!G119,'A-14'!G166))</f>
        <v>90</v>
      </c>
      <c r="G72" s="193" t="str">
        <f>IF(AND('A-14'!H25="-",'A-14'!H72="-",'A-14'!H119="-",'A-14'!H166="-"),"-",SUM('A-14'!H25,'A-14'!H72,'A-14'!H119,'A-14'!H166))</f>
        <v>-</v>
      </c>
      <c r="H72" s="193">
        <f>IF(AND('A-14'!J25="-",'A-14'!J72="-",'A-14'!J119="-",'A-14'!J166="-"),"-",SUM('A-14'!J25,'A-14'!J72,'A-14'!J119,'A-14'!J166))</f>
        <v>281</v>
      </c>
    </row>
    <row r="73" spans="1:8" ht="11.25" customHeight="1" x14ac:dyDescent="0.25">
      <c r="A73" s="473">
        <v>1997</v>
      </c>
      <c r="B73" s="193">
        <f>IF(AND('A-14'!C26="-",'A-14'!C73="-",'A-14'!C120="-",'A-14'!C167="-"),"-",SUM('A-14'!C26,'A-14'!C73,'A-14'!C120,'A-14'!C167))</f>
        <v>25</v>
      </c>
      <c r="C73" s="193">
        <f>IF(AND('A-14'!D26="-",'A-14'!D73="-",'A-14'!D120="-",'A-14'!D167="-"),"-",SUM('A-14'!D26,'A-14'!D73,'A-14'!D120,'A-14'!D167))</f>
        <v>48</v>
      </c>
      <c r="D73" s="193">
        <f>IF(AND('A-14'!E26="-",'A-14'!E73="-",'A-14'!E120="-",'A-14'!E167="-"),"-",SUM('A-14'!E26,'A-14'!E73,'A-14'!E120,'A-14'!E167))</f>
        <v>0</v>
      </c>
      <c r="E73" s="193">
        <f>IF(AND('A-14'!F26="-",'A-14'!F73="-",'A-14'!F120="-",'A-14'!F167="-"),"-",SUM('A-14'!F26,'A-14'!F73,'A-14'!F120,'A-14'!F167))</f>
        <v>164</v>
      </c>
      <c r="F73" s="193">
        <f>IF(AND('A-14'!G26="-",'A-14'!G73="-",'A-14'!G120="-",'A-14'!G167="-"),"-",SUM('A-14'!G26,'A-14'!G73,'A-14'!G120,'A-14'!G167))</f>
        <v>62</v>
      </c>
      <c r="G73" s="193" t="str">
        <f>IF(AND('A-14'!H26="-",'A-14'!H73="-",'A-14'!H120="-",'A-14'!H167="-"),"-",SUM('A-14'!H26,'A-14'!H73,'A-14'!H120,'A-14'!H167))</f>
        <v>-</v>
      </c>
      <c r="H73" s="193">
        <f>IF(AND('A-14'!J26="-",'A-14'!J73="-",'A-14'!J120="-",'A-14'!J167="-"),"-",SUM('A-14'!J26,'A-14'!J73,'A-14'!J120,'A-14'!J167))</f>
        <v>299</v>
      </c>
    </row>
    <row r="74" spans="1:8" ht="11.25" customHeight="1" x14ac:dyDescent="0.25">
      <c r="A74" s="473">
        <v>1998</v>
      </c>
      <c r="B74" s="193">
        <f>IF(AND('A-14'!C27="-",'A-14'!C74="-",'A-14'!C121="-",'A-14'!C168="-"),"-",SUM('A-14'!C27,'A-14'!C74,'A-14'!C121,'A-14'!C168))</f>
        <v>33</v>
      </c>
      <c r="C74" s="193">
        <f>IF(AND('A-14'!D27="-",'A-14'!D74="-",'A-14'!D121="-",'A-14'!D168="-"),"-",SUM('A-14'!D27,'A-14'!D74,'A-14'!D121,'A-14'!D168))</f>
        <v>19</v>
      </c>
      <c r="D74" s="193">
        <f>IF(AND('A-14'!E27="-",'A-14'!E74="-",'A-14'!E121="-",'A-14'!E168="-"),"-",SUM('A-14'!E27,'A-14'!E74,'A-14'!E121,'A-14'!E168))</f>
        <v>3</v>
      </c>
      <c r="E74" s="193">
        <f>IF(AND('A-14'!F27="-",'A-14'!F74="-",'A-14'!F121="-",'A-14'!F168="-"),"-",SUM('A-14'!F27,'A-14'!F74,'A-14'!F121,'A-14'!F168))</f>
        <v>41</v>
      </c>
      <c r="F74" s="193">
        <f>IF(AND('A-14'!G27="-",'A-14'!G74="-",'A-14'!G121="-",'A-14'!G168="-"),"-",SUM('A-14'!G27,'A-14'!G74,'A-14'!G121,'A-14'!G168))</f>
        <v>43</v>
      </c>
      <c r="G74" s="193" t="str">
        <f>IF(AND('A-14'!H27="-",'A-14'!H74="-",'A-14'!H121="-",'A-14'!H168="-"),"-",SUM('A-14'!H27,'A-14'!H74,'A-14'!H121,'A-14'!H168))</f>
        <v>-</v>
      </c>
      <c r="H74" s="193">
        <f>IF(AND('A-14'!J27="-",'A-14'!J74="-",'A-14'!J121="-",'A-14'!J168="-"),"-",SUM('A-14'!J27,'A-14'!J74,'A-14'!J121,'A-14'!J168))</f>
        <v>139</v>
      </c>
    </row>
    <row r="75" spans="1:8" ht="11.25" customHeight="1" x14ac:dyDescent="0.25">
      <c r="A75" s="473">
        <v>1999</v>
      </c>
      <c r="B75" s="193">
        <f>IF(AND('A-14'!C28="-",'A-14'!C75="-",'A-14'!C122="-",'A-14'!C169="-"),"-",SUM('A-14'!C28,'A-14'!C75,'A-14'!C122,'A-14'!C169))</f>
        <v>43</v>
      </c>
      <c r="C75" s="193">
        <f>IF(AND('A-14'!D28="-",'A-14'!D75="-",'A-14'!D122="-",'A-14'!D169="-"),"-",SUM('A-14'!D28,'A-14'!D75,'A-14'!D122,'A-14'!D169))</f>
        <v>46</v>
      </c>
      <c r="D75" s="193">
        <f>IF(AND('A-14'!E28="-",'A-14'!E75="-",'A-14'!E122="-",'A-14'!E169="-"),"-",SUM('A-14'!E28,'A-14'!E75,'A-14'!E122,'A-14'!E169))</f>
        <v>5</v>
      </c>
      <c r="E75" s="193">
        <f>IF(AND('A-14'!F28="-",'A-14'!F75="-",'A-14'!F122="-",'A-14'!F169="-"),"-",SUM('A-14'!F28,'A-14'!F75,'A-14'!F122,'A-14'!F169))</f>
        <v>117</v>
      </c>
      <c r="F75" s="193">
        <f>IF(AND('A-14'!G28="-",'A-14'!G75="-",'A-14'!G122="-",'A-14'!G169="-"),"-",SUM('A-14'!G28,'A-14'!G75,'A-14'!G122,'A-14'!G169))</f>
        <v>71</v>
      </c>
      <c r="G75" s="193" t="str">
        <f>IF(AND('A-14'!H28="-",'A-14'!H75="-",'A-14'!H122="-",'A-14'!H169="-"),"-",SUM('A-14'!H28,'A-14'!H75,'A-14'!H122,'A-14'!H169))</f>
        <v>-</v>
      </c>
      <c r="H75" s="193">
        <f>IF(AND('A-14'!J28="-",'A-14'!J75="-",'A-14'!J122="-",'A-14'!J169="-"),"-",SUM('A-14'!J28,'A-14'!J75,'A-14'!J122,'A-14'!J169))</f>
        <v>282</v>
      </c>
    </row>
    <row r="76" spans="1:8" ht="11.25" customHeight="1" x14ac:dyDescent="0.25">
      <c r="A76" s="473">
        <v>2000</v>
      </c>
      <c r="B76" s="193">
        <f>IF(AND('A-14'!C29="-",'A-14'!C76="-",'A-14'!C123="-",'A-14'!C170="-"),"-",SUM('A-14'!C29,'A-14'!C76,'A-14'!C123,'A-14'!C170))</f>
        <v>43</v>
      </c>
      <c r="C76" s="193">
        <f>IF(AND('A-14'!D29="-",'A-14'!D76="-",'A-14'!D123="-",'A-14'!D170="-"),"-",SUM('A-14'!D29,'A-14'!D76,'A-14'!D123,'A-14'!D170))</f>
        <v>41</v>
      </c>
      <c r="D76" s="193">
        <f>IF(AND('A-14'!E29="-",'A-14'!E76="-",'A-14'!E123="-",'A-14'!E170="-"),"-",SUM('A-14'!E29,'A-14'!E76,'A-14'!E123,'A-14'!E170))</f>
        <v>5</v>
      </c>
      <c r="E76" s="193">
        <f>IF(AND('A-14'!F29="-",'A-14'!F76="-",'A-14'!F123="-",'A-14'!F170="-"),"-",SUM('A-14'!F29,'A-14'!F76,'A-14'!F123,'A-14'!F170))</f>
        <v>55</v>
      </c>
      <c r="F76" s="193">
        <f>IF(AND('A-14'!G29="-",'A-14'!G76="-",'A-14'!G123="-",'A-14'!G170="-"),"-",SUM('A-14'!G29,'A-14'!G76,'A-14'!G123,'A-14'!G170))</f>
        <v>0</v>
      </c>
      <c r="G76" s="193" t="str">
        <f>IF(AND('A-14'!H29="-",'A-14'!H76="-",'A-14'!H123="-",'A-14'!H170="-"),"-",SUM('A-14'!H29,'A-14'!H76,'A-14'!H123,'A-14'!H170))</f>
        <v>-</v>
      </c>
      <c r="H76" s="193">
        <f>IF(AND('A-14'!J29="-",'A-14'!J76="-",'A-14'!J123="-",'A-14'!J170="-"),"-",SUM('A-14'!J29,'A-14'!J76,'A-14'!J123,'A-14'!J170))</f>
        <v>144</v>
      </c>
    </row>
    <row r="77" spans="1:8" ht="11.25" customHeight="1" x14ac:dyDescent="0.25">
      <c r="A77" s="473">
        <v>2001</v>
      </c>
      <c r="B77" s="193">
        <f>IF(AND('A-14'!C30="-",'A-14'!C77="-",'A-14'!C124="-",'A-14'!C171="-"),"-",SUM('A-14'!C30,'A-14'!C77,'A-14'!C124,'A-14'!C171))</f>
        <v>53</v>
      </c>
      <c r="C77" s="193">
        <f>IF(AND('A-14'!D30="-",'A-14'!D77="-",'A-14'!D124="-",'A-14'!D171="-"),"-",SUM('A-14'!D30,'A-14'!D77,'A-14'!D124,'A-14'!D171))</f>
        <v>65</v>
      </c>
      <c r="D77" s="193">
        <f>IF(AND('A-14'!E30="-",'A-14'!E77="-",'A-14'!E124="-",'A-14'!E171="-"),"-",SUM('A-14'!E30,'A-14'!E77,'A-14'!E124,'A-14'!E171))</f>
        <v>122</v>
      </c>
      <c r="E77" s="193">
        <f>IF(AND('A-14'!F30="-",'A-14'!F77="-",'A-14'!F124="-",'A-14'!F171="-"),"-",SUM('A-14'!F30,'A-14'!F77,'A-14'!F124,'A-14'!F171))</f>
        <v>172</v>
      </c>
      <c r="F77" s="193">
        <f>IF(AND('A-14'!G30="-",'A-14'!G77="-",'A-14'!G124="-",'A-14'!G171="-"),"-",SUM('A-14'!G30,'A-14'!G77,'A-14'!G124,'A-14'!G171))</f>
        <v>104</v>
      </c>
      <c r="G77" s="193" t="str">
        <f>IF(AND('A-14'!H30="-",'A-14'!H77="-",'A-14'!H124="-",'A-14'!H171="-"),"-",SUM('A-14'!H30,'A-14'!H77,'A-14'!H124,'A-14'!H171))</f>
        <v>-</v>
      </c>
      <c r="H77" s="193">
        <f>IF(AND('A-14'!J30="-",'A-14'!J77="-",'A-14'!J124="-",'A-14'!J171="-"),"-",SUM('A-14'!J30,'A-14'!J77,'A-14'!J124,'A-14'!J171))</f>
        <v>516</v>
      </c>
    </row>
    <row r="78" spans="1:8" ht="11.25" customHeight="1" x14ac:dyDescent="0.25">
      <c r="A78" s="473">
        <v>2002</v>
      </c>
      <c r="B78" s="193">
        <f>IF(AND('A-14'!C31="-",'A-14'!C78="-",'A-14'!C125="-",'A-14'!C172="-"),"-",SUM('A-14'!C31,'A-14'!C78,'A-14'!C125,'A-14'!C172))</f>
        <v>31</v>
      </c>
      <c r="C78" s="193">
        <f>IF(AND('A-14'!D31="-",'A-14'!D78="-",'A-14'!D125="-",'A-14'!D172="-"),"-",SUM('A-14'!D31,'A-14'!D78,'A-14'!D125,'A-14'!D172))</f>
        <v>42</v>
      </c>
      <c r="D78" s="193">
        <f>IF(AND('A-14'!E31="-",'A-14'!E78="-",'A-14'!E125="-",'A-14'!E172="-"),"-",SUM('A-14'!E31,'A-14'!E78,'A-14'!E125,'A-14'!E172))</f>
        <v>61</v>
      </c>
      <c r="E78" s="193">
        <f>IF(AND('A-14'!F31="-",'A-14'!F78="-",'A-14'!F125="-",'A-14'!F172="-"),"-",SUM('A-14'!F31,'A-14'!F78,'A-14'!F125,'A-14'!F172))</f>
        <v>51</v>
      </c>
      <c r="F78" s="193">
        <f>IF(AND('A-14'!G31="-",'A-14'!G78="-",'A-14'!G125="-",'A-14'!G172="-"),"-",SUM('A-14'!G31,'A-14'!G78,'A-14'!G125,'A-14'!G172))</f>
        <v>41</v>
      </c>
      <c r="G78" s="193">
        <f>IF(AND('A-14'!H31="-",'A-14'!H78="-",'A-14'!H125="-",'A-14'!H172="-"),"-",SUM('A-14'!H31,'A-14'!H78,'A-14'!H125,'A-14'!H172))</f>
        <v>10</v>
      </c>
      <c r="H78" s="193">
        <f>IF(AND('A-14'!J31="-",'A-14'!J78="-",'A-14'!J125="-",'A-14'!J172="-"),"-",SUM('A-14'!J31,'A-14'!J78,'A-14'!J125,'A-14'!J172))</f>
        <v>226</v>
      </c>
    </row>
    <row r="79" spans="1:8" ht="11.25" customHeight="1" x14ac:dyDescent="0.25">
      <c r="A79" s="473">
        <v>2003</v>
      </c>
      <c r="B79" s="193">
        <f>IF(AND('A-14'!C32="-",'A-14'!C79="-",'A-14'!C126="-",'A-14'!C173="-"),"-",SUM('A-14'!C32,'A-14'!C79,'A-14'!C126,'A-14'!C173))</f>
        <v>24</v>
      </c>
      <c r="C79" s="193">
        <f>IF(AND('A-14'!D32="-",'A-14'!D79="-",'A-14'!D126="-",'A-14'!D173="-"),"-",SUM('A-14'!D32,'A-14'!D79,'A-14'!D126,'A-14'!D173))</f>
        <v>27</v>
      </c>
      <c r="D79" s="193">
        <f>IF(AND('A-14'!E32="-",'A-14'!E79="-",'A-14'!E126="-",'A-14'!E173="-"),"-",SUM('A-14'!E32,'A-14'!E79,'A-14'!E126,'A-14'!E173))</f>
        <v>63</v>
      </c>
      <c r="E79" s="193">
        <f>IF(AND('A-14'!F32="-",'A-14'!F79="-",'A-14'!F126="-",'A-14'!F173="-"),"-",SUM('A-14'!F32,'A-14'!F79,'A-14'!F126,'A-14'!F173))</f>
        <v>57</v>
      </c>
      <c r="F79" s="193">
        <f>IF(AND('A-14'!G32="-",'A-14'!G79="-",'A-14'!G126="-",'A-14'!G173="-"),"-",SUM('A-14'!G32,'A-14'!G79,'A-14'!G126,'A-14'!G173))</f>
        <v>45</v>
      </c>
      <c r="G79" s="193">
        <f>IF(AND('A-14'!H32="-",'A-14'!H79="-",'A-14'!H126="-",'A-14'!H173="-"),"-",SUM('A-14'!H32,'A-14'!H79,'A-14'!H126,'A-14'!H173))</f>
        <v>15</v>
      </c>
      <c r="H79" s="193">
        <f>IF(AND('A-14'!J32="-",'A-14'!J79="-",'A-14'!J126="-",'A-14'!J173="-"),"-",SUM('A-14'!J32,'A-14'!J79,'A-14'!J126,'A-14'!J173))</f>
        <v>216</v>
      </c>
    </row>
    <row r="80" spans="1:8" ht="11.25" customHeight="1" x14ac:dyDescent="0.25">
      <c r="A80" s="473">
        <v>2004</v>
      </c>
      <c r="B80" s="193">
        <f>IF(AND('A-14'!C33="-",'A-14'!C80="-",'A-14'!C127="-",'A-14'!C174="-"),"-",SUM('A-14'!C33,'A-14'!C80,'A-14'!C127,'A-14'!C174))</f>
        <v>27</v>
      </c>
      <c r="C80" s="193">
        <f>IF(AND('A-14'!D33="-",'A-14'!D80="-",'A-14'!D127="-",'A-14'!D174="-"),"-",SUM('A-14'!D33,'A-14'!D80,'A-14'!D127,'A-14'!D174))</f>
        <v>49</v>
      </c>
      <c r="D80" s="193">
        <f>IF(AND('A-14'!E33="-",'A-14'!E80="-",'A-14'!E127="-",'A-14'!E174="-"),"-",SUM('A-14'!E33,'A-14'!E80,'A-14'!E127,'A-14'!E174))</f>
        <v>127</v>
      </c>
      <c r="E80" s="193">
        <f>IF(AND('A-14'!F33="-",'A-14'!F80="-",'A-14'!F127="-",'A-14'!F174="-"),"-",SUM('A-14'!F33,'A-14'!F80,'A-14'!F127,'A-14'!F174))</f>
        <v>152</v>
      </c>
      <c r="F80" s="193">
        <f>IF(AND('A-14'!G33="-",'A-14'!G80="-",'A-14'!G127="-",'A-14'!G174="-"),"-",SUM('A-14'!G33,'A-14'!G80,'A-14'!G127,'A-14'!G174))</f>
        <v>76</v>
      </c>
      <c r="G80" s="193">
        <f>IF(AND('A-14'!H33="-",'A-14'!H80="-",'A-14'!H127="-",'A-14'!H174="-"),"-",SUM('A-14'!H33,'A-14'!H80,'A-14'!H127,'A-14'!H174))</f>
        <v>15</v>
      </c>
      <c r="H80" s="193">
        <f>IF(AND('A-14'!J33="-",'A-14'!J80="-",'A-14'!J127="-",'A-14'!J174="-"),"-",SUM('A-14'!J33,'A-14'!J80,'A-14'!J127,'A-14'!J174))</f>
        <v>431</v>
      </c>
    </row>
    <row r="81" spans="1:8" ht="11.25" customHeight="1" x14ac:dyDescent="0.25">
      <c r="A81" s="477">
        <v>2005</v>
      </c>
      <c r="B81" s="197">
        <f>IF(AND('A-14'!C34="-",'A-14'!C81="-",'A-14'!C128="-",'A-14'!C175="-"),"-",SUM('A-14'!C34,'A-14'!C81,'A-14'!C128,'A-14'!C175))</f>
        <v>98</v>
      </c>
      <c r="C81" s="197">
        <f>IF(AND('A-14'!D34="-",'A-14'!D81="-",'A-14'!D128="-",'A-14'!D175="-"),"-",SUM('A-14'!D34,'A-14'!D81,'A-14'!D128,'A-14'!D175))</f>
        <v>146</v>
      </c>
      <c r="D81" s="197">
        <f>IF(AND('A-14'!E34="-",'A-14'!E81="-",'A-14'!E128="-",'A-14'!E175="-"),"-",SUM('A-14'!E34,'A-14'!E81,'A-14'!E128,'A-14'!E175))</f>
        <v>126</v>
      </c>
      <c r="E81" s="197">
        <f>IF(AND('A-14'!F34="-",'A-14'!F81="-",'A-14'!F128="-",'A-14'!F175="-"),"-",SUM('A-14'!F34,'A-14'!F81,'A-14'!F128,'A-14'!F175))</f>
        <v>150</v>
      </c>
      <c r="F81" s="197">
        <f>IF(AND('A-14'!G34="-",'A-14'!G81="-",'A-14'!G128="-",'A-14'!G175="-"),"-",SUM('A-14'!G34,'A-14'!G81,'A-14'!G128,'A-14'!G175))</f>
        <v>77</v>
      </c>
      <c r="G81" s="197">
        <f>IF(AND('A-14'!H34="-",'A-14'!H81="-",'A-14'!H128="-",'A-14'!H175="-"),"-",SUM('A-14'!H34,'A-14'!H81,'A-14'!H128,'A-14'!H175))</f>
        <v>0</v>
      </c>
      <c r="H81" s="197">
        <f>IF(AND('A-14'!J34="-",'A-14'!J81="-",'A-14'!J128="-",'A-14'!J175="-"),"-",SUM('A-14'!J34,'A-14'!J81,'A-14'!J128,'A-14'!J175))</f>
        <v>597</v>
      </c>
    </row>
    <row r="82" spans="1:8" ht="11.25" customHeight="1" x14ac:dyDescent="0.25">
      <c r="A82" s="473">
        <v>2006</v>
      </c>
      <c r="B82" s="193">
        <f>IF(AND('A-14'!C35="-",'A-14'!C82="-",'A-14'!C129="-",'A-14'!C176="-"),"-",SUM('A-14'!C35,'A-14'!C82,'A-14'!C129,'A-14'!C176))</f>
        <v>96</v>
      </c>
      <c r="C82" s="193">
        <f>IF(AND('A-14'!D35="-",'A-14'!D82="-",'A-14'!D129="-",'A-14'!D176="-"),"-",SUM('A-14'!D35,'A-14'!D82,'A-14'!D129,'A-14'!D176))</f>
        <v>285</v>
      </c>
      <c r="D82" s="193">
        <f>IF(AND('A-14'!E35="-",'A-14'!E82="-",'A-14'!E129="-",'A-14'!E176="-"),"-",SUM('A-14'!E35,'A-14'!E82,'A-14'!E129,'A-14'!E176))</f>
        <v>167</v>
      </c>
      <c r="E82" s="193">
        <f>IF(AND('A-14'!F35="-",'A-14'!F82="-",'A-14'!F129="-",'A-14'!F176="-"),"-",SUM('A-14'!F35,'A-14'!F82,'A-14'!F129,'A-14'!F176))</f>
        <v>140</v>
      </c>
      <c r="F82" s="193">
        <f>IF(AND('A-14'!G35="-",'A-14'!G82="-",'A-14'!G129="-",'A-14'!G176="-"),"-",SUM('A-14'!G35,'A-14'!G82,'A-14'!G129,'A-14'!G176))</f>
        <v>117</v>
      </c>
      <c r="G82" s="193">
        <f>IF(AND('A-14'!H35="-",'A-14'!H82="-",'A-14'!H129="-",'A-14'!H176="-"),"-",SUM('A-14'!H35,'A-14'!H82,'A-14'!H129,'A-14'!H176))</f>
        <v>5</v>
      </c>
      <c r="H82" s="193">
        <f>IF(AND('A-14'!J35="-",'A-14'!J82="-",'A-14'!J129="-",'A-14'!J176="-"),"-",SUM('A-14'!J35,'A-14'!J82,'A-14'!J129,'A-14'!J176))</f>
        <v>805</v>
      </c>
    </row>
    <row r="83" spans="1:8" ht="11.25" customHeight="1" x14ac:dyDescent="0.25">
      <c r="A83" s="477">
        <v>2007</v>
      </c>
      <c r="B83" s="197">
        <f>IF(AND('A-14'!C36="-",'A-14'!C83="-",'A-14'!C130="-",'A-14'!C177="-"),"-",SUM('A-14'!C36,'A-14'!C83,'A-14'!C130,'A-14'!C177))</f>
        <v>22</v>
      </c>
      <c r="C83" s="197">
        <f>IF(AND('A-14'!D36="-",'A-14'!D83="-",'A-14'!D130="-",'A-14'!D177="-"),"-",SUM('A-14'!D36,'A-14'!D83,'A-14'!D130,'A-14'!D177))</f>
        <v>205</v>
      </c>
      <c r="D83" s="197">
        <f>IF(AND('A-14'!E36="-",'A-14'!E83="-",'A-14'!E130="-",'A-14'!E177="-"),"-",SUM('A-14'!E36,'A-14'!E83,'A-14'!E130,'A-14'!E177))</f>
        <v>189</v>
      </c>
      <c r="E83" s="197">
        <f>IF(AND('A-14'!F36="-",'A-14'!F83="-",'A-14'!F130="-",'A-14'!F177="-"),"-",SUM('A-14'!F36,'A-14'!F83,'A-14'!F130,'A-14'!F177))</f>
        <v>167</v>
      </c>
      <c r="F83" s="197">
        <f>IF(AND('A-14'!G36="-",'A-14'!G83="-",'A-14'!G130="-",'A-14'!G177="-"),"-",SUM('A-14'!G36,'A-14'!G83,'A-14'!G130,'A-14'!G177))</f>
        <v>7</v>
      </c>
      <c r="G83" s="197">
        <f>IF(AND('A-14'!H36="-",'A-14'!H83="-",'A-14'!H130="-",'A-14'!H177="-"),"-",SUM('A-14'!H36,'A-14'!H83,'A-14'!H130,'A-14'!H177))</f>
        <v>0</v>
      </c>
      <c r="H83" s="197">
        <f>IF(AND('A-14'!J36="-",'A-14'!J83="-",'A-14'!J130="-",'A-14'!J177="-"),"-",SUM('A-14'!J36,'A-14'!J83,'A-14'!J130,'A-14'!J177))</f>
        <v>590</v>
      </c>
    </row>
    <row r="84" spans="1:8" ht="11.25" customHeight="1" x14ac:dyDescent="0.25">
      <c r="A84" s="477">
        <v>2008</v>
      </c>
      <c r="B84" s="197">
        <f>IF(AND('A-14'!C37="-",'A-14'!C84="-",'A-14'!C131="-",'A-14'!C178="-"),"-",SUM('A-14'!C37,'A-14'!C84,'A-14'!C131,'A-14'!C178))</f>
        <v>30</v>
      </c>
      <c r="C84" s="197">
        <f>IF(AND('A-14'!D37="-",'A-14'!D84="-",'A-14'!D131="-",'A-14'!D178="-"),"-",SUM('A-14'!D37,'A-14'!D84,'A-14'!D131,'A-14'!D178))</f>
        <v>125</v>
      </c>
      <c r="D84" s="197">
        <f>IF(AND('A-14'!E37="-",'A-14'!E84="-",'A-14'!E131="-",'A-14'!E178="-"),"-",SUM('A-14'!E37,'A-14'!E84,'A-14'!E131,'A-14'!E178))</f>
        <v>102</v>
      </c>
      <c r="E84" s="197">
        <f>IF(AND('A-14'!F37="-",'A-14'!F84="-",'A-14'!F131="-",'A-14'!F178="-"),"-",SUM('A-14'!F37,'A-14'!F84,'A-14'!F131,'A-14'!F178))</f>
        <v>231</v>
      </c>
      <c r="F84" s="197">
        <f>IF(AND('A-14'!G37="-",'A-14'!G84="-",'A-14'!G131="-",'A-14'!G178="-"),"-",SUM('A-14'!G37,'A-14'!G84,'A-14'!G131,'A-14'!G178))</f>
        <v>92</v>
      </c>
      <c r="G84" s="197">
        <f>IF(AND('A-14'!H37="-",'A-14'!H84="-",'A-14'!H131="-",'A-14'!H178="-"),"-",SUM('A-14'!H37,'A-14'!H84,'A-14'!H131,'A-14'!H178))</f>
        <v>1</v>
      </c>
      <c r="H84" s="197">
        <f>IF(AND('A-14'!J37="-",'A-14'!J84="-",'A-14'!J131="-",'A-14'!J178="-"),"-",SUM('A-14'!J37,'A-14'!J84,'A-14'!J131,'A-14'!J178))</f>
        <v>580</v>
      </c>
    </row>
    <row r="85" spans="1:8" ht="11.25" customHeight="1" x14ac:dyDescent="0.25">
      <c r="A85" s="477">
        <v>2009</v>
      </c>
      <c r="B85" s="197">
        <f>IF(AND('A-14'!C38="-",'A-14'!C85="-",'A-14'!C132="-",'A-14'!C179="-"),"-",SUM('A-14'!C38,'A-14'!C85,'A-14'!C132,'A-14'!C179))</f>
        <v>82</v>
      </c>
      <c r="C85" s="197">
        <f>IF(AND('A-14'!D38="-",'A-14'!D85="-",'A-14'!D132="-",'A-14'!D179="-"),"-",SUM('A-14'!D38,'A-14'!D85,'A-14'!D132,'A-14'!D179))</f>
        <v>238</v>
      </c>
      <c r="D85" s="197">
        <f>IF(AND('A-14'!E38="-",'A-14'!E85="-",'A-14'!E132="-",'A-14'!E179="-"),"-",SUM('A-14'!E38,'A-14'!E85,'A-14'!E132,'A-14'!E179))</f>
        <v>233</v>
      </c>
      <c r="E85" s="197">
        <f>IF(AND('A-14'!F38="-",'A-14'!F85="-",'A-14'!F132="-",'A-14'!F179="-"),"-",SUM('A-14'!F38,'A-14'!F85,'A-14'!F132,'A-14'!F179))</f>
        <v>269</v>
      </c>
      <c r="F85" s="197">
        <f>IF(AND('A-14'!G38="-",'A-14'!G85="-",'A-14'!G132="-",'A-14'!G179="-"),"-",SUM('A-14'!G38,'A-14'!G85,'A-14'!G132,'A-14'!G179))</f>
        <v>5</v>
      </c>
      <c r="G85" s="197">
        <f>IF(AND('A-14'!H38="-",'A-14'!H85="-",'A-14'!H132="-",'A-14'!H179="-"),"-",SUM('A-14'!H38,'A-14'!H85,'A-14'!H132,'A-14'!H179))</f>
        <v>4</v>
      </c>
      <c r="H85" s="197">
        <f>IF(AND('A-14'!J38="-",'A-14'!J85="-",'A-14'!J132="-",'A-14'!J179="-"),"-",SUM('A-14'!J38,'A-14'!J85,'A-14'!J132,'A-14'!J179))</f>
        <v>827</v>
      </c>
    </row>
    <row r="86" spans="1:8" ht="11.25" customHeight="1" x14ac:dyDescent="0.25">
      <c r="A86" s="477">
        <v>2010</v>
      </c>
      <c r="B86" s="197">
        <f>IF(AND('A-14'!C39="-",'A-14'!C86="-",'A-14'!C133="-",'A-14'!C180="-"),"-",SUM('A-14'!C39,'A-14'!C86,'A-14'!C133,'A-14'!C180))</f>
        <v>155</v>
      </c>
      <c r="C86" s="197">
        <f>IF(AND('A-14'!D39="-",'A-14'!D86="-",'A-14'!D133="-",'A-14'!D180="-"),"-",SUM('A-14'!D39,'A-14'!D86,'A-14'!D133,'A-14'!D180))</f>
        <v>335</v>
      </c>
      <c r="D86" s="197">
        <f>IF(AND('A-14'!E39="-",'A-14'!E86="-",'A-14'!E133="-",'A-14'!E180="-"),"-",SUM('A-14'!E39,'A-14'!E86,'A-14'!E133,'A-14'!E180))</f>
        <v>155</v>
      </c>
      <c r="E86" s="197">
        <f>IF(AND('A-14'!F39="-",'A-14'!F86="-",'A-14'!F133="-",'A-14'!F180="-"),"-",SUM('A-14'!F39,'A-14'!F86,'A-14'!F133,'A-14'!F180))</f>
        <v>150</v>
      </c>
      <c r="F86" s="197">
        <f>IF(AND('A-14'!G39="-",'A-14'!G86="-",'A-14'!G133="-",'A-14'!G180="-"),"-",SUM('A-14'!G39,'A-14'!G86,'A-14'!G133,'A-14'!G180))</f>
        <v>62</v>
      </c>
      <c r="G86" s="197">
        <f>IF(AND('A-14'!H39="-",'A-14'!H86="-",'A-14'!H133="-",'A-14'!H180="-"),"-",SUM('A-14'!H39,'A-14'!H86,'A-14'!H133,'A-14'!H180))</f>
        <v>4</v>
      </c>
      <c r="H86" s="197">
        <f>IF(AND('A-14'!J39="-",'A-14'!J86="-",'A-14'!J133="-",'A-14'!J180="-"),"-",SUM('A-14'!J39,'A-14'!J86,'A-14'!J133,'A-14'!J180))</f>
        <v>857</v>
      </c>
    </row>
    <row r="87" spans="1:8" ht="11.25" customHeight="1" x14ac:dyDescent="0.25">
      <c r="A87" s="477">
        <v>2011</v>
      </c>
      <c r="B87" s="197">
        <f>IF(AND('A-14'!C40="-",'A-14'!C87="-",'A-14'!C134="-",'A-14'!C181="-"),"-",SUM('A-14'!C40,'A-14'!C87,'A-14'!C134,'A-14'!C181))</f>
        <v>92</v>
      </c>
      <c r="C87" s="197">
        <f>IF(AND('A-14'!D40="-",'A-14'!D87="-",'A-14'!D134="-",'A-14'!D181="-"),"-",SUM('A-14'!D40,'A-14'!D87,'A-14'!D134,'A-14'!D181))</f>
        <v>192</v>
      </c>
      <c r="D87" s="197">
        <f>IF(AND('A-14'!E40="-",'A-14'!E87="-",'A-14'!E134="-",'A-14'!E181="-"),"-",SUM('A-14'!E40,'A-14'!E87,'A-14'!E134,'A-14'!E181))</f>
        <v>152</v>
      </c>
      <c r="E87" s="197">
        <f>IF(AND('A-14'!F40="-",'A-14'!F87="-",'A-14'!F134="-",'A-14'!F181="-"),"-",SUM('A-14'!F40,'A-14'!F87,'A-14'!F134,'A-14'!F181))</f>
        <v>140</v>
      </c>
      <c r="F87" s="197">
        <f>IF(AND('A-14'!G40="-",'A-14'!G87="-",'A-14'!G134="-",'A-14'!G181="-"),"-",SUM('A-14'!G40,'A-14'!G87,'A-14'!G134,'A-14'!G181))</f>
        <v>24</v>
      </c>
      <c r="G87" s="197">
        <f>IF(AND('A-14'!H40="-",'A-14'!H87="-",'A-14'!H134="-",'A-14'!H181="-"),"-",SUM('A-14'!H40,'A-14'!H87,'A-14'!H134,'A-14'!H181))</f>
        <v>1</v>
      </c>
      <c r="H87" s="197">
        <f>IF(AND('A-14'!J40="-",'A-14'!J87="-",'A-14'!J134="-",'A-14'!J181="-"),"-",SUM('A-14'!J40,'A-14'!J87,'A-14'!J134,'A-14'!J181))</f>
        <v>600</v>
      </c>
    </row>
    <row r="88" spans="1:8" ht="11.25" customHeight="1" x14ac:dyDescent="0.25">
      <c r="A88" s="477">
        <v>2012</v>
      </c>
      <c r="B88" s="197">
        <f>IF(AND('A-14'!C41="-",'A-14'!C88="-",'A-14'!C135="-",'A-14'!C182="-"),"-",SUM('A-14'!C41,'A-14'!C88,'A-14'!C135,'A-14'!C182))</f>
        <v>144</v>
      </c>
      <c r="C88" s="197">
        <f>IF(AND('A-14'!D41="-",'A-14'!D88="-",'A-14'!D135="-",'A-14'!D182="-"),"-",SUM('A-14'!D41,'A-14'!D88,'A-14'!D135,'A-14'!D182))</f>
        <v>269</v>
      </c>
      <c r="D88" s="197">
        <f>IF(AND('A-14'!E41="-",'A-14'!E88="-",'A-14'!E135="-",'A-14'!E182="-"),"-",SUM('A-14'!E41,'A-14'!E88,'A-14'!E135,'A-14'!E182))</f>
        <v>214</v>
      </c>
      <c r="E88" s="197">
        <f>IF(AND('A-14'!F41="-",'A-14'!F88="-",'A-14'!F135="-",'A-14'!F182="-"),"-",SUM('A-14'!F41,'A-14'!F88,'A-14'!F135,'A-14'!F182))</f>
        <v>229</v>
      </c>
      <c r="F88" s="197">
        <f>IF(AND('A-14'!G41="-",'A-14'!G88="-",'A-14'!G135="-",'A-14'!G182="-"),"-",SUM('A-14'!G41,'A-14'!G88,'A-14'!G135,'A-14'!G182))</f>
        <v>104</v>
      </c>
      <c r="G88" s="197">
        <f>IF(AND('A-14'!H41="-",'A-14'!H88="-",'A-14'!H135="-",'A-14'!H182="-"),"-",SUM('A-14'!H41,'A-14'!H88,'A-14'!H135,'A-14'!H182))</f>
        <v>4</v>
      </c>
      <c r="H88" s="197">
        <f>IF(AND('A-14'!J41="-",'A-14'!J88="-",'A-14'!J135="-",'A-14'!J182="-"),"-",SUM('A-14'!J41,'A-14'!J88,'A-14'!J135,'A-14'!J182))</f>
        <v>960</v>
      </c>
    </row>
    <row r="89" spans="1:8" ht="11.25" customHeight="1" x14ac:dyDescent="0.25">
      <c r="A89" s="477">
        <v>2013</v>
      </c>
      <c r="B89" s="197">
        <f>IF(AND('A-14'!C42="-",'A-14'!C89="-",'A-14'!C136="-",'A-14'!C183="-"),"-",SUM('A-14'!C42,'A-14'!C89,'A-14'!C136,'A-14'!C183))</f>
        <v>279</v>
      </c>
      <c r="C89" s="197">
        <f>IF(AND('A-14'!D42="-",'A-14'!D89="-",'A-14'!D136="-",'A-14'!D183="-"),"-",SUM('A-14'!D42,'A-14'!D89,'A-14'!D136,'A-14'!D183))</f>
        <v>206</v>
      </c>
      <c r="D89" s="197">
        <f>IF(AND('A-14'!E42="-",'A-14'!E89="-",'A-14'!E136="-",'A-14'!E183="-"),"-",SUM('A-14'!E42,'A-14'!E89,'A-14'!E136,'A-14'!E183))</f>
        <v>369</v>
      </c>
      <c r="E89" s="197">
        <f>IF(AND('A-14'!F42="-",'A-14'!F89="-",'A-14'!F136="-",'A-14'!F183="-"),"-",SUM('A-14'!F42,'A-14'!F89,'A-14'!F136,'A-14'!F183))</f>
        <v>583</v>
      </c>
      <c r="F89" s="197">
        <f>IF(AND('A-14'!G42="-",'A-14'!G89="-",'A-14'!G136="-",'A-14'!G183="-"),"-",SUM('A-14'!G42,'A-14'!G89,'A-14'!G136,'A-14'!G183))</f>
        <v>159</v>
      </c>
      <c r="G89" s="197">
        <f>IF(AND('A-14'!H42="-",'A-14'!H89="-",'A-14'!H136="-",'A-14'!H183="-"),"-",SUM('A-14'!H42,'A-14'!H89,'A-14'!H136,'A-14'!H183))</f>
        <v>0</v>
      </c>
      <c r="H89" s="197">
        <f>IF(AND('A-14'!J42="-",'A-14'!J89="-",'A-14'!J136="-",'A-14'!J183="-"),"-",SUM('A-14'!J42,'A-14'!J89,'A-14'!J136,'A-14'!J183))</f>
        <v>1596</v>
      </c>
    </row>
    <row r="90" spans="1:8" ht="11.25" customHeight="1" x14ac:dyDescent="0.25">
      <c r="A90" s="477">
        <v>2014</v>
      </c>
      <c r="B90" s="197">
        <f>IF(AND('A-14'!C43="-",'A-14'!C90="-",'A-14'!C137="-",'A-14'!C184="-"),"-",SUM('A-14'!C43,'A-14'!C90,'A-14'!C137,'A-14'!C184))</f>
        <v>196</v>
      </c>
      <c r="C90" s="197">
        <f>IF(AND('A-14'!D43="-",'A-14'!D90="-",'A-14'!D137="-",'A-14'!D184="-"),"-",SUM('A-14'!D43,'A-14'!D90,'A-14'!D137,'A-14'!D184))</f>
        <v>295</v>
      </c>
      <c r="D90" s="197">
        <f>IF(AND('A-14'!E43="-",'A-14'!E90="-",'A-14'!E137="-",'A-14'!E184="-"),"-",SUM('A-14'!E43,'A-14'!E90,'A-14'!E137,'A-14'!E184))</f>
        <v>465</v>
      </c>
      <c r="E90" s="197">
        <f>IF(AND('A-14'!F43="-",'A-14'!F90="-",'A-14'!F137="-",'A-14'!F184="-"),"-",SUM('A-14'!F43,'A-14'!F90,'A-14'!F137,'A-14'!F184))</f>
        <v>419</v>
      </c>
      <c r="F90" s="197">
        <f>IF(AND('A-14'!G43="-",'A-14'!G90="-",'A-14'!G137="-",'A-14'!G184="-"),"-",SUM('A-14'!G43,'A-14'!G90,'A-14'!G137,'A-14'!G184))</f>
        <v>152</v>
      </c>
      <c r="G90" s="197">
        <f>IF(AND('A-14'!H43="-",'A-14'!H90="-",'A-14'!H137="-",'A-14'!H184="-"),"-",SUM('A-14'!H43,'A-14'!H90,'A-14'!H137,'A-14'!H184))</f>
        <v>0</v>
      </c>
      <c r="H90" s="197">
        <f>IF(AND('A-14'!J43="-",'A-14'!J90="-",'A-14'!J137="-",'A-14'!J184="-"),"-",SUM('A-14'!J43,'A-14'!J90,'A-14'!J137,'A-14'!J184))</f>
        <v>1527</v>
      </c>
    </row>
    <row r="91" spans="1:8" ht="11.25" customHeight="1" x14ac:dyDescent="0.25">
      <c r="A91" s="477">
        <v>2015</v>
      </c>
      <c r="B91" s="197">
        <f>IF(AND('A-14'!C44="-",'A-14'!C91="-",'A-14'!C138="-",'A-14'!C185="-"),"-",SUM('A-14'!C44,'A-14'!C91,'A-14'!C138,'A-14'!C185))</f>
        <v>324</v>
      </c>
      <c r="C91" s="197">
        <f>IF(AND('A-14'!D44="-",'A-14'!D91="-",'A-14'!D138="-",'A-14'!D185="-"),"-",SUM('A-14'!D44,'A-14'!D91,'A-14'!D138,'A-14'!D185))</f>
        <v>380</v>
      </c>
      <c r="D91" s="197">
        <f>IF(AND('A-14'!E44="-",'A-14'!E91="-",'A-14'!E138="-",'A-14'!E185="-"),"-",SUM('A-14'!E44,'A-14'!E91,'A-14'!E138,'A-14'!E185))</f>
        <v>389</v>
      </c>
      <c r="E91" s="197">
        <f>IF(AND('A-14'!F44="-",'A-14'!F91="-",'A-14'!F138="-",'A-14'!F185="-"),"-",SUM('A-14'!F44,'A-14'!F91,'A-14'!F138,'A-14'!F185))</f>
        <v>261</v>
      </c>
      <c r="F91" s="197">
        <f>IF(AND('A-14'!G44="-",'A-14'!G91="-",'A-14'!G138="-",'A-14'!G185="-"),"-",SUM('A-14'!G44,'A-14'!G91,'A-14'!G138,'A-14'!G185))</f>
        <v>104</v>
      </c>
      <c r="G91" s="197">
        <f>IF(AND('A-14'!H44="-",'A-14'!H91="-",'A-14'!H138="-",'A-14'!H185="-"),"-",SUM('A-14'!H44,'A-14'!H91,'A-14'!H138,'A-14'!H185))</f>
        <v>0</v>
      </c>
      <c r="H91" s="197">
        <f>IF(AND('A-14'!J44="-",'A-14'!J91="-",'A-14'!J138="-",'A-14'!J185="-"),"-",SUM('A-14'!J44,'A-14'!J91,'A-14'!J138,'A-14'!J185))</f>
        <v>1458</v>
      </c>
    </row>
    <row r="92" spans="1:8" ht="11.25" customHeight="1" x14ac:dyDescent="0.25">
      <c r="A92" s="477">
        <v>2016</v>
      </c>
      <c r="B92" s="197">
        <f>IF(AND('A-14'!C45="-",'A-14'!C92="-",'A-14'!C139="-",'A-14'!C186="-"),"-",SUM('A-14'!C45,'A-14'!C92,'A-14'!C139,'A-14'!C186))</f>
        <v>204</v>
      </c>
      <c r="C92" s="197">
        <f>IF(AND('A-14'!D45="-",'A-14'!D92="-",'A-14'!D139="-",'A-14'!D186="-"),"-",SUM('A-14'!D45,'A-14'!D92,'A-14'!D139,'A-14'!D186))</f>
        <v>233</v>
      </c>
      <c r="D92" s="197">
        <f>IF(AND('A-14'!E45="-",'A-14'!E92="-",'A-14'!E139="-",'A-14'!E186="-"),"-",SUM('A-14'!E45,'A-14'!E92,'A-14'!E139,'A-14'!E186))</f>
        <v>141</v>
      </c>
      <c r="E92" s="197">
        <f>IF(AND('A-14'!F45="-",'A-14'!F92="-",'A-14'!F139="-",'A-14'!F186="-"),"-",SUM('A-14'!F45,'A-14'!F92,'A-14'!F139,'A-14'!F186))</f>
        <v>90</v>
      </c>
      <c r="F92" s="197">
        <f>IF(AND('A-14'!G45="-",'A-14'!G92="-",'A-14'!G139="-",'A-14'!G186="-"),"-",SUM('A-14'!G45,'A-14'!G92,'A-14'!G139,'A-14'!G186))</f>
        <v>2</v>
      </c>
      <c r="G92" s="197">
        <f>IF(AND('A-14'!H45="-",'A-14'!H92="-",'A-14'!H139="-",'A-14'!H186="-"),"-",SUM('A-14'!H45,'A-14'!H92,'A-14'!H139,'A-14'!H186))</f>
        <v>0</v>
      </c>
      <c r="H92" s="197">
        <f>IF(AND('A-14'!J45="-",'A-14'!J92="-",'A-14'!J139="-",'A-14'!J186="-"),"-",SUM('A-14'!J45,'A-14'!J92,'A-14'!J139,'A-14'!J186))</f>
        <v>670</v>
      </c>
    </row>
    <row r="93" spans="1:8" ht="11.25" customHeight="1" x14ac:dyDescent="0.25">
      <c r="A93" s="477">
        <v>2017</v>
      </c>
      <c r="B93" s="197">
        <f>IF(AND('A-14'!C46="-",'A-14'!C93="-",'A-14'!C140="-",'A-14'!C187="-"),"-",SUM('A-14'!C46,'A-14'!C93,'A-14'!C140,'A-14'!C187))</f>
        <v>27</v>
      </c>
      <c r="C93" s="197">
        <f>IF(AND('A-14'!D46="-",'A-14'!D93="-",'A-14'!D140="-",'A-14'!D187="-"),"-",SUM('A-14'!D46,'A-14'!D93,'A-14'!D140,'A-14'!D187))</f>
        <v>90</v>
      </c>
      <c r="D93" s="197">
        <f>IF(AND('A-14'!E46="-",'A-14'!E93="-",'A-14'!E140="-",'A-14'!E187="-"),"-",SUM('A-14'!E46,'A-14'!E93,'A-14'!E140,'A-14'!E187))</f>
        <v>317</v>
      </c>
      <c r="E93" s="197">
        <f>IF(AND('A-14'!F46="-",'A-14'!F93="-",'A-14'!F140="-",'A-14'!F187="-"),"-",SUM('A-14'!F46,'A-14'!F93,'A-14'!F140,'A-14'!F187))</f>
        <v>357</v>
      </c>
      <c r="F93" s="197">
        <f>IF(AND('A-14'!G46="-",'A-14'!G93="-",'A-14'!G140="-",'A-14'!G187="-"),"-",SUM('A-14'!G46,'A-14'!G93,'A-14'!G140,'A-14'!G187))</f>
        <v>172</v>
      </c>
      <c r="G93" s="197">
        <f>IF(AND('A-14'!H46="-",'A-14'!H93="-",'A-14'!H140="-",'A-14'!H187="-"),"-",SUM('A-14'!H46,'A-14'!H93,'A-14'!H140,'A-14'!H187))</f>
        <v>0</v>
      </c>
      <c r="H93" s="197">
        <f>IF(AND('A-14'!J46="-",'A-14'!J93="-",'A-14'!J140="-",'A-14'!J187="-"),"-",SUM('A-14'!J46,'A-14'!J93,'A-14'!J140,'A-14'!J187))</f>
        <v>963</v>
      </c>
    </row>
    <row r="94" spans="1:8" s="358" customFormat="1" ht="11.25" customHeight="1" x14ac:dyDescent="0.25">
      <c r="A94" s="477">
        <v>2018</v>
      </c>
      <c r="B94" s="197">
        <f>IF(AND('A-14'!C47="-",'A-14'!C94="-",'A-14'!C141="-",'A-14'!C188="-"),"-",SUM('A-14'!C47,'A-14'!C94,'A-14'!C141,'A-14'!C188))</f>
        <v>99</v>
      </c>
      <c r="C94" s="197">
        <f>IF(AND('A-14'!D47="-",'A-14'!D94="-",'A-14'!D141="-",'A-14'!D188="-"),"-",SUM('A-14'!D47,'A-14'!D94,'A-14'!D141,'A-14'!D188))</f>
        <v>255</v>
      </c>
      <c r="D94" s="197">
        <f>IF(AND('A-14'!E47="-",'A-14'!E94="-",'A-14'!E141="-",'A-14'!E188="-"),"-",SUM('A-14'!E47,'A-14'!E94,'A-14'!E141,'A-14'!E188))</f>
        <v>272</v>
      </c>
      <c r="E94" s="197">
        <f>IF(AND('A-14'!F47="-",'A-14'!F94="-",'A-14'!F141="-",'A-14'!F188="-"),"-",SUM('A-14'!F47,'A-14'!F94,'A-14'!F141,'A-14'!F188))</f>
        <v>145</v>
      </c>
      <c r="F94" s="197">
        <f>IF(AND('A-14'!G47="-",'A-14'!G94="-",'A-14'!G141="-",'A-14'!G188="-"),"-",SUM('A-14'!G47,'A-14'!G94,'A-14'!G141,'A-14'!G188))</f>
        <v>110</v>
      </c>
      <c r="G94" s="197">
        <f>IF(AND('A-14'!H47="-",'A-14'!H94="-",'A-14'!H141="-",'A-14'!H188="-"),"-",SUM('A-14'!H47,'A-14'!H94,'A-14'!H141,'A-14'!H188))</f>
        <v>0</v>
      </c>
      <c r="H94" s="197">
        <f>IF(AND('A-14'!J47="-",'A-14'!J94="-",'A-14'!J141="-",'A-14'!J188="-"),"-",SUM('A-14'!J47,'A-14'!J94,'A-14'!J141,'A-14'!J188))</f>
        <v>881</v>
      </c>
    </row>
    <row r="95" spans="1:8" s="358" customFormat="1" ht="11.25" customHeight="1" x14ac:dyDescent="0.25">
      <c r="A95" s="157">
        <v>2019</v>
      </c>
      <c r="B95" s="197">
        <f>IF(AND('A-14'!C48="-",'A-14'!C95="-",'A-14'!C142="-",'A-14'!C189="-"),"-",SUM('A-14'!C48,'A-14'!C95,'A-14'!C142,'A-14'!C189))</f>
        <v>65</v>
      </c>
      <c r="C95" s="197">
        <f>IF(AND('A-14'!D48="-",'A-14'!D95="-",'A-14'!D142="-",'A-14'!D189="-"),"-",SUM('A-14'!D48,'A-14'!D95,'A-14'!D142,'A-14'!D189))</f>
        <v>72</v>
      </c>
      <c r="D95" s="197">
        <f>IF(AND('A-14'!E48="-",'A-14'!E95="-",'A-14'!E142="-",'A-14'!E189="-"),"-",SUM('A-14'!E48,'A-14'!E95,'A-14'!E142,'A-14'!E189))</f>
        <v>365</v>
      </c>
      <c r="E95" s="197">
        <f>IF(AND('A-14'!F48="-",'A-14'!F95="-",'A-14'!F142="-",'A-14'!F189="-"),"-",SUM('A-14'!F48,'A-14'!F95,'A-14'!F142,'A-14'!F189))</f>
        <v>276</v>
      </c>
      <c r="F95" s="197">
        <f>IF(AND('A-14'!G48="-",'A-14'!G95="-",'A-14'!G142="-",'A-14'!G189="-"),"-",SUM('A-14'!G48,'A-14'!G95,'A-14'!G142,'A-14'!G189))</f>
        <v>120</v>
      </c>
      <c r="G95" s="197">
        <f>IF(AND('A-14'!H48="-",'A-14'!H95="-",'A-14'!H142="-",'A-14'!H189="-"),"-",SUM('A-14'!H48,'A-14'!H95,'A-14'!H142,'A-14'!H189))</f>
        <v>0</v>
      </c>
      <c r="H95" s="197">
        <f>IF(AND('A-14'!J48="-",'A-14'!J95="-",'A-14'!J142="-",'A-14'!J189="-"),"-",SUM('A-14'!J48,'A-14'!J95,'A-14'!J142,'A-14'!J189))</f>
        <v>898</v>
      </c>
    </row>
    <row r="96" spans="1:8" ht="11.25" customHeight="1" x14ac:dyDescent="0.25">
      <c r="A96" s="157" t="s">
        <v>393</v>
      </c>
      <c r="B96" s="197">
        <f>IF(AND('A-14'!C49="-",'A-14'!C96="-",'A-14'!C143="-",'A-14'!C190="-"),"-",SUM('A-14'!C49,'A-14'!C96,'A-14'!C143,'A-14'!C190))</f>
        <v>1</v>
      </c>
      <c r="C96" s="197">
        <f>IF(AND('A-14'!D49="-",'A-14'!D96="-",'A-14'!D143="-",'A-14'!D190="-"),"-",SUM('A-14'!D49,'A-14'!D96,'A-14'!D143,'A-14'!D190))</f>
        <v>2</v>
      </c>
      <c r="D96" s="197">
        <f>IF(AND('A-14'!E49="-",'A-14'!E96="-",'A-14'!E143="-",'A-14'!E190="-"),"-",SUM('A-14'!E49,'A-14'!E96,'A-14'!E143,'A-14'!E190))</f>
        <v>29</v>
      </c>
      <c r="E96" s="197">
        <f>IF(AND('A-14'!F49="-",'A-14'!F96="-",'A-14'!F143="-",'A-14'!F190="-"),"-",SUM('A-14'!F49,'A-14'!F96,'A-14'!F143,'A-14'!F190))</f>
        <v>122</v>
      </c>
      <c r="F96" s="197">
        <f>IF(AND('A-14'!G49="-",'A-14'!G96="-",'A-14'!G143="-",'A-14'!G190="-"),"-",SUM('A-14'!G49,'A-14'!G96,'A-14'!G143,'A-14'!G190))</f>
        <v>31</v>
      </c>
      <c r="G96" s="197">
        <f>IF(AND('A-14'!H49="-",'A-14'!H96="-",'A-14'!H143="-",'A-14'!H190="-"),"-",SUM('A-14'!H49,'A-14'!H96,'A-14'!H143,'A-14'!H190))</f>
        <v>0</v>
      </c>
      <c r="H96" s="197">
        <f>IF(AND('A-14'!J49="-",'A-14'!J96="-",'A-14'!J143="-",'A-14'!J190="-"),"-",SUM('A-14'!J49,'A-14'!J96,'A-14'!J143,'A-14'!J190))</f>
        <v>185</v>
      </c>
    </row>
    <row r="97" spans="1:8" ht="11.25" customHeight="1" x14ac:dyDescent="0.25"/>
    <row r="98" spans="1:8" ht="11.25" customHeight="1" x14ac:dyDescent="0.25">
      <c r="A98" s="120" t="s">
        <v>308</v>
      </c>
    </row>
    <row r="99" spans="1:8" ht="11.25" customHeight="1" x14ac:dyDescent="0.25">
      <c r="A99" s="473">
        <v>1976</v>
      </c>
      <c r="B99" s="193">
        <f t="shared" ref="B99:H108" si="0">IF(AND(B52="-",B5="-"),"-",SUM(B52,B5))</f>
        <v>3489</v>
      </c>
      <c r="C99" s="193">
        <f t="shared" si="0"/>
        <v>5918</v>
      </c>
      <c r="D99" s="193">
        <f t="shared" si="0"/>
        <v>14011</v>
      </c>
      <c r="E99" s="193">
        <f t="shared" si="0"/>
        <v>13436</v>
      </c>
      <c r="F99" s="193">
        <f t="shared" si="0"/>
        <v>9022</v>
      </c>
      <c r="G99" s="193">
        <f t="shared" si="0"/>
        <v>7</v>
      </c>
      <c r="H99" s="193">
        <f t="shared" si="0"/>
        <v>45876</v>
      </c>
    </row>
    <row r="100" spans="1:8" ht="11.25" customHeight="1" x14ac:dyDescent="0.25">
      <c r="A100" s="473">
        <v>1977</v>
      </c>
      <c r="B100" s="193">
        <f t="shared" si="0"/>
        <v>3343</v>
      </c>
      <c r="C100" s="193">
        <f t="shared" si="0"/>
        <v>2892</v>
      </c>
      <c r="D100" s="193">
        <f t="shared" si="0"/>
        <v>15114</v>
      </c>
      <c r="E100" s="193">
        <f t="shared" si="0"/>
        <v>12653</v>
      </c>
      <c r="F100" s="193">
        <f t="shared" si="0"/>
        <v>7295</v>
      </c>
      <c r="G100" s="193">
        <f t="shared" si="0"/>
        <v>2</v>
      </c>
      <c r="H100" s="193">
        <f t="shared" si="0"/>
        <v>41297</v>
      </c>
    </row>
    <row r="101" spans="1:8" ht="11.25" customHeight="1" x14ac:dyDescent="0.25">
      <c r="A101" s="473">
        <v>1978</v>
      </c>
      <c r="B101" s="193">
        <f t="shared" si="0"/>
        <v>2777</v>
      </c>
      <c r="C101" s="193">
        <f t="shared" si="0"/>
        <v>2591</v>
      </c>
      <c r="D101" s="193">
        <f t="shared" si="0"/>
        <v>11742</v>
      </c>
      <c r="E101" s="193">
        <f t="shared" si="0"/>
        <v>9150</v>
      </c>
      <c r="F101" s="193">
        <f t="shared" si="0"/>
        <v>6351</v>
      </c>
      <c r="G101" s="193">
        <f t="shared" si="0"/>
        <v>6</v>
      </c>
      <c r="H101" s="193">
        <f t="shared" si="0"/>
        <v>32611</v>
      </c>
    </row>
    <row r="102" spans="1:8" ht="11.25" customHeight="1" x14ac:dyDescent="0.25">
      <c r="A102" s="473">
        <v>1979</v>
      </c>
      <c r="B102" s="193">
        <f t="shared" si="0"/>
        <v>4200</v>
      </c>
      <c r="C102" s="193">
        <f t="shared" si="0"/>
        <v>267</v>
      </c>
      <c r="D102" s="193">
        <f t="shared" si="0"/>
        <v>11739</v>
      </c>
      <c r="E102" s="193">
        <f t="shared" si="0"/>
        <v>16874</v>
      </c>
      <c r="F102" s="193">
        <f t="shared" si="0"/>
        <v>152</v>
      </c>
      <c r="G102" s="193">
        <f t="shared" si="0"/>
        <v>8</v>
      </c>
      <c r="H102" s="193">
        <f t="shared" si="0"/>
        <v>33232</v>
      </c>
    </row>
    <row r="103" spans="1:8" ht="11.25" customHeight="1" x14ac:dyDescent="0.25">
      <c r="A103" s="473">
        <v>1980</v>
      </c>
      <c r="B103" s="193">
        <f t="shared" si="0"/>
        <v>3907</v>
      </c>
      <c r="C103" s="193">
        <f t="shared" si="0"/>
        <v>327</v>
      </c>
      <c r="D103" s="193">
        <f t="shared" si="0"/>
        <v>7737</v>
      </c>
      <c r="E103" s="193">
        <f t="shared" si="0"/>
        <v>8886</v>
      </c>
      <c r="F103" s="193">
        <f t="shared" si="0"/>
        <v>25</v>
      </c>
      <c r="G103" s="193">
        <f t="shared" si="0"/>
        <v>9</v>
      </c>
      <c r="H103" s="193">
        <f t="shared" si="0"/>
        <v>20882</v>
      </c>
    </row>
    <row r="104" spans="1:8" ht="11.25" customHeight="1" x14ac:dyDescent="0.25">
      <c r="A104" s="473">
        <v>1981</v>
      </c>
      <c r="B104" s="193">
        <f t="shared" si="0"/>
        <v>4221</v>
      </c>
      <c r="C104" s="193">
        <f t="shared" si="0"/>
        <v>356</v>
      </c>
      <c r="D104" s="193">
        <f t="shared" si="0"/>
        <v>8474</v>
      </c>
      <c r="E104" s="193">
        <f t="shared" si="0"/>
        <v>8784</v>
      </c>
      <c r="F104" s="193">
        <f t="shared" si="0"/>
        <v>112</v>
      </c>
      <c r="G104" s="193">
        <f t="shared" si="0"/>
        <v>7</v>
      </c>
      <c r="H104" s="193">
        <f t="shared" si="0"/>
        <v>21947</v>
      </c>
    </row>
    <row r="105" spans="1:8" ht="11.25" customHeight="1" x14ac:dyDescent="0.25">
      <c r="A105" s="473">
        <v>1982</v>
      </c>
      <c r="B105" s="193">
        <f t="shared" si="0"/>
        <v>3368</v>
      </c>
      <c r="C105" s="193">
        <f t="shared" si="0"/>
        <v>775</v>
      </c>
      <c r="D105" s="193">
        <f t="shared" si="0"/>
        <v>9921</v>
      </c>
      <c r="E105" s="193">
        <f t="shared" si="0"/>
        <v>732</v>
      </c>
      <c r="F105" s="193">
        <f t="shared" si="0"/>
        <v>234</v>
      </c>
      <c r="G105" s="193">
        <f t="shared" si="0"/>
        <v>26</v>
      </c>
      <c r="H105" s="193">
        <f t="shared" si="0"/>
        <v>15030</v>
      </c>
    </row>
    <row r="106" spans="1:8" ht="11.25" customHeight="1" x14ac:dyDescent="0.25">
      <c r="A106" s="473">
        <v>1983</v>
      </c>
      <c r="B106" s="193">
        <f t="shared" si="0"/>
        <v>3478</v>
      </c>
      <c r="C106" s="193">
        <f t="shared" si="0"/>
        <v>667</v>
      </c>
      <c r="D106" s="193">
        <f t="shared" si="0"/>
        <v>3024</v>
      </c>
      <c r="E106" s="193">
        <f t="shared" si="0"/>
        <v>1688</v>
      </c>
      <c r="F106" s="193">
        <f t="shared" si="0"/>
        <v>182</v>
      </c>
      <c r="G106" s="193">
        <f t="shared" si="0"/>
        <v>10</v>
      </c>
      <c r="H106" s="193">
        <f t="shared" si="0"/>
        <v>9039</v>
      </c>
    </row>
    <row r="107" spans="1:8" ht="11.25" customHeight="1" x14ac:dyDescent="0.25">
      <c r="A107" s="473">
        <v>1984</v>
      </c>
      <c r="B107" s="193">
        <f t="shared" si="0"/>
        <v>602</v>
      </c>
      <c r="C107" s="193">
        <f t="shared" si="0"/>
        <v>39</v>
      </c>
      <c r="D107" s="193">
        <f t="shared" si="0"/>
        <v>145</v>
      </c>
      <c r="E107" s="193">
        <f t="shared" si="0"/>
        <v>525</v>
      </c>
      <c r="F107" s="193">
        <f t="shared" si="0"/>
        <v>0</v>
      </c>
      <c r="G107" s="193">
        <f t="shared" si="0"/>
        <v>19</v>
      </c>
      <c r="H107" s="193">
        <f t="shared" si="0"/>
        <v>1311</v>
      </c>
    </row>
    <row r="108" spans="1:8" ht="11.25" customHeight="1" x14ac:dyDescent="0.25">
      <c r="A108" s="473">
        <v>1985</v>
      </c>
      <c r="B108" s="193">
        <f t="shared" si="0"/>
        <v>2226</v>
      </c>
      <c r="C108" s="193">
        <f t="shared" si="0"/>
        <v>101</v>
      </c>
      <c r="D108" s="193">
        <f t="shared" si="0"/>
        <v>2458</v>
      </c>
      <c r="E108" s="193">
        <f t="shared" si="0"/>
        <v>1775</v>
      </c>
      <c r="F108" s="193">
        <f t="shared" si="0"/>
        <v>217</v>
      </c>
      <c r="G108" s="193">
        <f t="shared" si="0"/>
        <v>23</v>
      </c>
      <c r="H108" s="193">
        <f t="shared" si="0"/>
        <v>6777</v>
      </c>
    </row>
    <row r="109" spans="1:8" ht="11.25" customHeight="1" x14ac:dyDescent="0.25">
      <c r="A109" s="473">
        <v>1986</v>
      </c>
      <c r="B109" s="193">
        <f t="shared" ref="B109:H118" si="1">IF(AND(B62="-",B15="-"),"-",SUM(B62,B15))</f>
        <v>1969</v>
      </c>
      <c r="C109" s="193">
        <f t="shared" si="1"/>
        <v>349</v>
      </c>
      <c r="D109" s="193">
        <f t="shared" si="1"/>
        <v>453</v>
      </c>
      <c r="E109" s="193">
        <f t="shared" si="1"/>
        <v>1086</v>
      </c>
      <c r="F109" s="193">
        <f t="shared" si="1"/>
        <v>1</v>
      </c>
      <c r="G109" s="193">
        <f t="shared" si="1"/>
        <v>0</v>
      </c>
      <c r="H109" s="193">
        <f t="shared" si="1"/>
        <v>3858</v>
      </c>
    </row>
    <row r="110" spans="1:8" ht="11.25" customHeight="1" x14ac:dyDescent="0.25">
      <c r="A110" s="473">
        <v>1987</v>
      </c>
      <c r="B110" s="193">
        <f t="shared" si="1"/>
        <v>1902</v>
      </c>
      <c r="C110" s="193">
        <f t="shared" si="1"/>
        <v>0</v>
      </c>
      <c r="D110" s="193">
        <f t="shared" si="1"/>
        <v>1315</v>
      </c>
      <c r="E110" s="193">
        <f t="shared" si="1"/>
        <v>627</v>
      </c>
      <c r="F110" s="193">
        <f t="shared" si="1"/>
        <v>0</v>
      </c>
      <c r="G110" s="193">
        <f t="shared" si="1"/>
        <v>6</v>
      </c>
      <c r="H110" s="193">
        <f t="shared" si="1"/>
        <v>3844</v>
      </c>
    </row>
    <row r="111" spans="1:8" ht="11.25" customHeight="1" x14ac:dyDescent="0.25">
      <c r="A111" s="473">
        <v>1988</v>
      </c>
      <c r="B111" s="193">
        <f t="shared" si="1"/>
        <v>3605</v>
      </c>
      <c r="C111" s="193">
        <f t="shared" si="1"/>
        <v>2225</v>
      </c>
      <c r="D111" s="193">
        <f t="shared" si="1"/>
        <v>342</v>
      </c>
      <c r="E111" s="193">
        <f t="shared" si="1"/>
        <v>542</v>
      </c>
      <c r="F111" s="193">
        <f t="shared" si="1"/>
        <v>190</v>
      </c>
      <c r="G111" s="193">
        <f t="shared" si="1"/>
        <v>0</v>
      </c>
      <c r="H111" s="193">
        <f t="shared" si="1"/>
        <v>6904</v>
      </c>
    </row>
    <row r="112" spans="1:8" ht="11.25" customHeight="1" x14ac:dyDescent="0.25">
      <c r="A112" s="473">
        <v>1989</v>
      </c>
      <c r="B112" s="193">
        <f t="shared" si="1"/>
        <v>2289</v>
      </c>
      <c r="C112" s="193">
        <f t="shared" si="1"/>
        <v>1220</v>
      </c>
      <c r="D112" s="193">
        <f t="shared" si="1"/>
        <v>558</v>
      </c>
      <c r="E112" s="193">
        <f t="shared" si="1"/>
        <v>1291</v>
      </c>
      <c r="F112" s="193">
        <f t="shared" si="1"/>
        <v>380</v>
      </c>
      <c r="G112" s="193">
        <f t="shared" si="1"/>
        <v>0</v>
      </c>
      <c r="H112" s="193">
        <f t="shared" si="1"/>
        <v>5738</v>
      </c>
    </row>
    <row r="113" spans="1:8" ht="11.25" customHeight="1" x14ac:dyDescent="0.25">
      <c r="A113" s="473">
        <v>1990</v>
      </c>
      <c r="B113" s="193">
        <f t="shared" si="1"/>
        <v>2202</v>
      </c>
      <c r="C113" s="193">
        <f t="shared" si="1"/>
        <v>364</v>
      </c>
      <c r="D113" s="193">
        <f t="shared" si="1"/>
        <v>375</v>
      </c>
      <c r="E113" s="193">
        <f t="shared" si="1"/>
        <v>2504</v>
      </c>
      <c r="F113" s="193">
        <f t="shared" si="1"/>
        <v>247</v>
      </c>
      <c r="G113" s="193">
        <f t="shared" si="1"/>
        <v>2</v>
      </c>
      <c r="H113" s="193">
        <f t="shared" si="1"/>
        <v>5692</v>
      </c>
    </row>
    <row r="114" spans="1:8" ht="11.25" customHeight="1" x14ac:dyDescent="0.25">
      <c r="A114" s="473">
        <v>1991</v>
      </c>
      <c r="B114" s="193">
        <f t="shared" si="1"/>
        <v>1723</v>
      </c>
      <c r="C114" s="193">
        <f t="shared" si="1"/>
        <v>1087</v>
      </c>
      <c r="D114" s="193">
        <f t="shared" si="1"/>
        <v>335</v>
      </c>
      <c r="E114" s="193">
        <f t="shared" si="1"/>
        <v>1780</v>
      </c>
      <c r="F114" s="193">
        <f t="shared" si="1"/>
        <v>450</v>
      </c>
      <c r="G114" s="193">
        <f t="shared" si="1"/>
        <v>50</v>
      </c>
      <c r="H114" s="193">
        <f t="shared" si="1"/>
        <v>5375</v>
      </c>
    </row>
    <row r="115" spans="1:8" ht="11.25" customHeight="1" x14ac:dyDescent="0.25">
      <c r="A115" s="473">
        <v>1992</v>
      </c>
      <c r="B115" s="193">
        <f t="shared" si="1"/>
        <v>1961</v>
      </c>
      <c r="C115" s="193">
        <f t="shared" si="1"/>
        <v>1328</v>
      </c>
      <c r="D115" s="193">
        <f t="shared" si="1"/>
        <v>1096</v>
      </c>
      <c r="E115" s="193">
        <f t="shared" si="1"/>
        <v>835</v>
      </c>
      <c r="F115" s="193">
        <f t="shared" si="1"/>
        <v>0</v>
      </c>
      <c r="G115" s="193">
        <f t="shared" si="1"/>
        <v>1</v>
      </c>
      <c r="H115" s="193">
        <f t="shared" si="1"/>
        <v>5220</v>
      </c>
    </row>
    <row r="116" spans="1:8" ht="11.25" customHeight="1" x14ac:dyDescent="0.25">
      <c r="A116" s="473">
        <v>1993</v>
      </c>
      <c r="B116" s="193">
        <f t="shared" si="1"/>
        <v>1358</v>
      </c>
      <c r="C116" s="193">
        <f t="shared" si="1"/>
        <v>1033</v>
      </c>
      <c r="D116" s="193">
        <f t="shared" si="1"/>
        <v>1026</v>
      </c>
      <c r="E116" s="193">
        <f t="shared" si="1"/>
        <v>769</v>
      </c>
      <c r="F116" s="193">
        <f t="shared" si="1"/>
        <v>625</v>
      </c>
      <c r="G116" s="193">
        <f t="shared" si="1"/>
        <v>0</v>
      </c>
      <c r="H116" s="193">
        <f t="shared" si="1"/>
        <v>4811</v>
      </c>
    </row>
    <row r="117" spans="1:8" ht="11.25" customHeight="1" x14ac:dyDescent="0.25">
      <c r="A117" s="473">
        <v>1994</v>
      </c>
      <c r="B117" s="193">
        <f t="shared" si="1"/>
        <v>28</v>
      </c>
      <c r="C117" s="193">
        <f t="shared" si="1"/>
        <v>70</v>
      </c>
      <c r="D117" s="193">
        <f t="shared" si="1"/>
        <v>3</v>
      </c>
      <c r="E117" s="193">
        <f t="shared" si="1"/>
        <v>0</v>
      </c>
      <c r="F117" s="193">
        <f t="shared" si="1"/>
        <v>0</v>
      </c>
      <c r="G117" s="193">
        <f t="shared" si="1"/>
        <v>0</v>
      </c>
      <c r="H117" s="193">
        <f t="shared" si="1"/>
        <v>101</v>
      </c>
    </row>
    <row r="118" spans="1:8" ht="11.25" customHeight="1" x14ac:dyDescent="0.25">
      <c r="A118" s="473">
        <v>1995</v>
      </c>
      <c r="B118" s="193">
        <f t="shared" si="1"/>
        <v>10</v>
      </c>
      <c r="C118" s="193">
        <f t="shared" si="1"/>
        <v>0</v>
      </c>
      <c r="D118" s="193">
        <f t="shared" si="1"/>
        <v>1</v>
      </c>
      <c r="E118" s="193">
        <f t="shared" si="1"/>
        <v>710</v>
      </c>
      <c r="F118" s="193">
        <f t="shared" si="1"/>
        <v>74</v>
      </c>
      <c r="G118" s="193">
        <f t="shared" si="1"/>
        <v>0</v>
      </c>
      <c r="H118" s="193">
        <f t="shared" si="1"/>
        <v>795</v>
      </c>
    </row>
    <row r="119" spans="1:8" ht="11.25" customHeight="1" x14ac:dyDescent="0.25">
      <c r="A119" s="473">
        <v>1996</v>
      </c>
      <c r="B119" s="193">
        <f t="shared" ref="B119:H125" si="2">IF(AND(B72="-",B25="-"),"-",SUM(B72,B25))</f>
        <v>13</v>
      </c>
      <c r="C119" s="193">
        <f t="shared" si="2"/>
        <v>34</v>
      </c>
      <c r="D119" s="193">
        <f t="shared" si="2"/>
        <v>223</v>
      </c>
      <c r="E119" s="193">
        <f t="shared" si="2"/>
        <v>333</v>
      </c>
      <c r="F119" s="193">
        <f t="shared" si="2"/>
        <v>90</v>
      </c>
      <c r="G119" s="193" t="str">
        <f t="shared" si="2"/>
        <v>-</v>
      </c>
      <c r="H119" s="193">
        <f t="shared" si="2"/>
        <v>693</v>
      </c>
    </row>
    <row r="120" spans="1:8" ht="11.25" customHeight="1" x14ac:dyDescent="0.25">
      <c r="A120" s="473">
        <v>1997</v>
      </c>
      <c r="B120" s="193">
        <f t="shared" si="2"/>
        <v>319</v>
      </c>
      <c r="C120" s="193">
        <f t="shared" si="2"/>
        <v>206</v>
      </c>
      <c r="D120" s="193">
        <f t="shared" si="2"/>
        <v>0</v>
      </c>
      <c r="E120" s="193">
        <f t="shared" si="2"/>
        <v>164</v>
      </c>
      <c r="F120" s="193">
        <f t="shared" si="2"/>
        <v>62</v>
      </c>
      <c r="G120" s="193" t="str">
        <f t="shared" si="2"/>
        <v>-</v>
      </c>
      <c r="H120" s="193">
        <f t="shared" si="2"/>
        <v>751</v>
      </c>
    </row>
    <row r="121" spans="1:8" ht="11.25" customHeight="1" x14ac:dyDescent="0.25">
      <c r="A121" s="473">
        <v>1998</v>
      </c>
      <c r="B121" s="193">
        <f t="shared" si="2"/>
        <v>160</v>
      </c>
      <c r="C121" s="193">
        <f t="shared" si="2"/>
        <v>31</v>
      </c>
      <c r="D121" s="193">
        <f t="shared" si="2"/>
        <v>3</v>
      </c>
      <c r="E121" s="193">
        <f t="shared" si="2"/>
        <v>41</v>
      </c>
      <c r="F121" s="193">
        <f t="shared" si="2"/>
        <v>43</v>
      </c>
      <c r="G121" s="193" t="str">
        <f t="shared" si="2"/>
        <v>-</v>
      </c>
      <c r="H121" s="193">
        <f t="shared" si="2"/>
        <v>278</v>
      </c>
    </row>
    <row r="122" spans="1:8" ht="11.25" customHeight="1" x14ac:dyDescent="0.25">
      <c r="A122" s="473">
        <v>1999</v>
      </c>
      <c r="B122" s="193">
        <f t="shared" si="2"/>
        <v>314</v>
      </c>
      <c r="C122" s="193">
        <f t="shared" si="2"/>
        <v>277</v>
      </c>
      <c r="D122" s="193">
        <f t="shared" si="2"/>
        <v>140</v>
      </c>
      <c r="E122" s="193">
        <f t="shared" si="2"/>
        <v>203</v>
      </c>
      <c r="F122" s="193">
        <f t="shared" si="2"/>
        <v>77</v>
      </c>
      <c r="G122" s="193" t="str">
        <f t="shared" si="2"/>
        <v>-</v>
      </c>
      <c r="H122" s="193">
        <f t="shared" si="2"/>
        <v>1011</v>
      </c>
    </row>
    <row r="123" spans="1:8" ht="11.25" customHeight="1" x14ac:dyDescent="0.25">
      <c r="A123" s="473">
        <v>2000</v>
      </c>
      <c r="B123" s="193">
        <f t="shared" si="2"/>
        <v>236</v>
      </c>
      <c r="C123" s="193">
        <f t="shared" si="2"/>
        <v>136</v>
      </c>
      <c r="D123" s="193">
        <f t="shared" si="2"/>
        <v>5</v>
      </c>
      <c r="E123" s="193">
        <f t="shared" si="2"/>
        <v>126</v>
      </c>
      <c r="F123" s="193">
        <f t="shared" si="2"/>
        <v>3</v>
      </c>
      <c r="G123" s="193" t="str">
        <f t="shared" si="2"/>
        <v>-</v>
      </c>
      <c r="H123" s="193">
        <f t="shared" si="2"/>
        <v>506</v>
      </c>
    </row>
    <row r="124" spans="1:8" ht="11.25" customHeight="1" x14ac:dyDescent="0.25">
      <c r="A124" s="473">
        <v>2001</v>
      </c>
      <c r="B124" s="193">
        <f t="shared" si="2"/>
        <v>262</v>
      </c>
      <c r="C124" s="193">
        <f t="shared" si="2"/>
        <v>277</v>
      </c>
      <c r="D124" s="193">
        <f t="shared" si="2"/>
        <v>281</v>
      </c>
      <c r="E124" s="193">
        <f t="shared" si="2"/>
        <v>242</v>
      </c>
      <c r="F124" s="193">
        <f t="shared" si="2"/>
        <v>142</v>
      </c>
      <c r="G124" s="193" t="str">
        <f t="shared" si="2"/>
        <v>-</v>
      </c>
      <c r="H124" s="193">
        <f t="shared" si="2"/>
        <v>1204</v>
      </c>
    </row>
    <row r="125" spans="1:8" ht="11.25" customHeight="1" x14ac:dyDescent="0.25">
      <c r="A125" s="473">
        <v>2002</v>
      </c>
      <c r="B125" s="193">
        <f t="shared" si="2"/>
        <v>459</v>
      </c>
      <c r="C125" s="193">
        <f t="shared" si="2"/>
        <v>225</v>
      </c>
      <c r="D125" s="193">
        <f t="shared" si="2"/>
        <v>481</v>
      </c>
      <c r="E125" s="193">
        <f t="shared" si="2"/>
        <v>293</v>
      </c>
      <c r="F125" s="193">
        <f t="shared" si="2"/>
        <v>41</v>
      </c>
      <c r="G125" s="193">
        <f t="shared" si="2"/>
        <v>10</v>
      </c>
      <c r="H125" s="193">
        <f t="shared" si="2"/>
        <v>1499</v>
      </c>
    </row>
    <row r="126" spans="1:8" ht="11.25" customHeight="1" x14ac:dyDescent="0.25">
      <c r="A126" s="473">
        <v>2003</v>
      </c>
      <c r="B126" s="193">
        <f t="shared" ref="B126:H126" si="3">IF(AND(B79="-",B32="-"),"-",SUM(B79,B32))</f>
        <v>445</v>
      </c>
      <c r="C126" s="193">
        <f t="shared" si="3"/>
        <v>222</v>
      </c>
      <c r="D126" s="193">
        <f t="shared" si="3"/>
        <v>539</v>
      </c>
      <c r="E126" s="193">
        <f t="shared" si="3"/>
        <v>472</v>
      </c>
      <c r="F126" s="193">
        <f t="shared" si="3"/>
        <v>122</v>
      </c>
      <c r="G126" s="193">
        <f t="shared" si="3"/>
        <v>15</v>
      </c>
      <c r="H126" s="193">
        <f t="shared" si="3"/>
        <v>1800</v>
      </c>
    </row>
    <row r="127" spans="1:8" ht="11.25" customHeight="1" x14ac:dyDescent="0.25">
      <c r="A127" s="473">
        <v>2004</v>
      </c>
      <c r="B127" s="193">
        <f t="shared" ref="B127:H127" si="4">IF(AND(B80="-",B33="-"),"-",SUM(B80,B33))</f>
        <v>487</v>
      </c>
      <c r="C127" s="193">
        <f t="shared" si="4"/>
        <v>59</v>
      </c>
      <c r="D127" s="193">
        <f t="shared" si="4"/>
        <v>519</v>
      </c>
      <c r="E127" s="193">
        <f t="shared" si="4"/>
        <v>494</v>
      </c>
      <c r="F127" s="193">
        <f t="shared" si="4"/>
        <v>201</v>
      </c>
      <c r="G127" s="193">
        <f t="shared" si="4"/>
        <v>15</v>
      </c>
      <c r="H127" s="193">
        <f t="shared" si="4"/>
        <v>1760</v>
      </c>
    </row>
    <row r="128" spans="1:8" ht="11.25" customHeight="1" x14ac:dyDescent="0.25">
      <c r="A128" s="477">
        <v>2005</v>
      </c>
      <c r="B128" s="197">
        <f t="shared" ref="B128:H128" si="5">IF(AND(B81="-",B34="-"),"-",SUM(B81,B34))</f>
        <v>590</v>
      </c>
      <c r="C128" s="197">
        <f t="shared" si="5"/>
        <v>250</v>
      </c>
      <c r="D128" s="197">
        <f t="shared" si="5"/>
        <v>463</v>
      </c>
      <c r="E128" s="197">
        <f t="shared" si="5"/>
        <v>552</v>
      </c>
      <c r="F128" s="197">
        <f t="shared" si="5"/>
        <v>77</v>
      </c>
      <c r="G128" s="197">
        <f t="shared" si="5"/>
        <v>0</v>
      </c>
      <c r="H128" s="197">
        <f t="shared" si="5"/>
        <v>1932</v>
      </c>
    </row>
    <row r="129" spans="1:8" ht="11.25" customHeight="1" x14ac:dyDescent="0.25">
      <c r="A129" s="473">
        <v>2006</v>
      </c>
      <c r="B129" s="193">
        <f t="shared" ref="B129:H129" si="6">IF(AND(B82="-",B35="-"),"-",SUM(B82,B35))</f>
        <v>455</v>
      </c>
      <c r="C129" s="193">
        <f t="shared" si="6"/>
        <v>666</v>
      </c>
      <c r="D129" s="193">
        <f t="shared" si="6"/>
        <v>266</v>
      </c>
      <c r="E129" s="193">
        <f t="shared" si="6"/>
        <v>436</v>
      </c>
      <c r="F129" s="193">
        <f t="shared" si="6"/>
        <v>286</v>
      </c>
      <c r="G129" s="193">
        <f t="shared" si="6"/>
        <v>5</v>
      </c>
      <c r="H129" s="193">
        <f t="shared" si="6"/>
        <v>2109</v>
      </c>
    </row>
    <row r="130" spans="1:8" ht="11.25" customHeight="1" x14ac:dyDescent="0.25">
      <c r="A130" s="477">
        <v>2007</v>
      </c>
      <c r="B130" s="197">
        <f t="shared" ref="B130:H130" si="7">IF(AND(B83="-",B36="-"),"-",SUM(B83,B36))</f>
        <v>467</v>
      </c>
      <c r="C130" s="197">
        <f t="shared" si="7"/>
        <v>458</v>
      </c>
      <c r="D130" s="197">
        <f t="shared" si="7"/>
        <v>543</v>
      </c>
      <c r="E130" s="197">
        <f t="shared" si="7"/>
        <v>281</v>
      </c>
      <c r="F130" s="197">
        <f t="shared" si="7"/>
        <v>15</v>
      </c>
      <c r="G130" s="197">
        <f t="shared" si="7"/>
        <v>0</v>
      </c>
      <c r="H130" s="197">
        <f t="shared" si="7"/>
        <v>1764</v>
      </c>
    </row>
    <row r="131" spans="1:8" ht="11.25" customHeight="1" x14ac:dyDescent="0.25">
      <c r="A131" s="477">
        <v>2008</v>
      </c>
      <c r="B131" s="197">
        <f t="shared" ref="B131:H131" si="8">IF(AND(B84="-",B37="-"),"-",SUM(B84,B37))</f>
        <v>276</v>
      </c>
      <c r="C131" s="197">
        <f t="shared" si="8"/>
        <v>478</v>
      </c>
      <c r="D131" s="197">
        <f t="shared" si="8"/>
        <v>325</v>
      </c>
      <c r="E131" s="197">
        <f t="shared" si="8"/>
        <v>444</v>
      </c>
      <c r="F131" s="197">
        <f t="shared" si="8"/>
        <v>152</v>
      </c>
      <c r="G131" s="197">
        <f t="shared" si="8"/>
        <v>1</v>
      </c>
      <c r="H131" s="197">
        <f t="shared" si="8"/>
        <v>1675</v>
      </c>
    </row>
    <row r="132" spans="1:8" ht="11.25" customHeight="1" x14ac:dyDescent="0.25">
      <c r="A132" s="477">
        <v>2009</v>
      </c>
      <c r="B132" s="197">
        <f t="shared" ref="B132:H132" si="9">IF(AND(B85="-",B38="-"),"-",SUM(B85,B38))</f>
        <v>549</v>
      </c>
      <c r="C132" s="197">
        <f t="shared" si="9"/>
        <v>789</v>
      </c>
      <c r="D132" s="197">
        <f t="shared" si="9"/>
        <v>665</v>
      </c>
      <c r="E132" s="197">
        <f t="shared" si="9"/>
        <v>589</v>
      </c>
      <c r="F132" s="197">
        <f t="shared" si="9"/>
        <v>139</v>
      </c>
      <c r="G132" s="197">
        <f t="shared" si="9"/>
        <v>4</v>
      </c>
      <c r="H132" s="197">
        <f t="shared" si="9"/>
        <v>2731</v>
      </c>
    </row>
    <row r="133" spans="1:8" ht="11.25" customHeight="1" x14ac:dyDescent="0.25">
      <c r="A133" s="477">
        <v>2010</v>
      </c>
      <c r="B133" s="197">
        <f t="shared" ref="B133:H133" si="10">IF(AND(B86="-",B39="-"),"-",SUM(B86,B39))</f>
        <v>666</v>
      </c>
      <c r="C133" s="197">
        <f t="shared" si="10"/>
        <v>1193</v>
      </c>
      <c r="D133" s="197">
        <f t="shared" si="10"/>
        <v>656</v>
      </c>
      <c r="E133" s="197">
        <f t="shared" si="10"/>
        <v>578</v>
      </c>
      <c r="F133" s="197">
        <f t="shared" si="10"/>
        <v>108</v>
      </c>
      <c r="G133" s="197">
        <f t="shared" si="10"/>
        <v>4</v>
      </c>
      <c r="H133" s="197">
        <f t="shared" si="10"/>
        <v>3201</v>
      </c>
    </row>
    <row r="134" spans="1:8" ht="11.25" customHeight="1" x14ac:dyDescent="0.25">
      <c r="A134" s="477">
        <v>2011</v>
      </c>
      <c r="B134" s="197">
        <f t="shared" ref="B134:H134" si="11">IF(AND(B87="-",B40="-"),"-",SUM(B87,B40))</f>
        <v>698</v>
      </c>
      <c r="C134" s="197">
        <f t="shared" si="11"/>
        <v>848</v>
      </c>
      <c r="D134" s="197">
        <f t="shared" si="11"/>
        <v>600</v>
      </c>
      <c r="E134" s="197">
        <f t="shared" si="11"/>
        <v>348</v>
      </c>
      <c r="F134" s="197">
        <f t="shared" si="11"/>
        <v>78</v>
      </c>
      <c r="G134" s="197">
        <f t="shared" si="11"/>
        <v>1</v>
      </c>
      <c r="H134" s="197">
        <f t="shared" si="11"/>
        <v>2572</v>
      </c>
    </row>
    <row r="135" spans="1:8" ht="11.25" customHeight="1" x14ac:dyDescent="0.25">
      <c r="A135" s="477">
        <v>2012</v>
      </c>
      <c r="B135" s="197">
        <f t="shared" ref="B135:H135" si="12">IF(AND(B88="-",B41="-"),"-",SUM(B88,B41))</f>
        <v>508</v>
      </c>
      <c r="C135" s="197">
        <f t="shared" si="12"/>
        <v>902</v>
      </c>
      <c r="D135" s="197">
        <f t="shared" si="12"/>
        <v>666</v>
      </c>
      <c r="E135" s="197">
        <f t="shared" si="12"/>
        <v>535</v>
      </c>
      <c r="F135" s="197">
        <f t="shared" si="12"/>
        <v>302</v>
      </c>
      <c r="G135" s="197">
        <f t="shared" si="12"/>
        <v>4</v>
      </c>
      <c r="H135" s="197">
        <f t="shared" si="12"/>
        <v>2913</v>
      </c>
    </row>
    <row r="136" spans="1:8" ht="11.25" customHeight="1" x14ac:dyDescent="0.25">
      <c r="A136" s="477">
        <v>2013</v>
      </c>
      <c r="B136" s="197">
        <f t="shared" ref="B136:H141" si="13">IF(AND(B89="-",B42="-"),"-",SUM(B89,B42))</f>
        <v>1000</v>
      </c>
      <c r="C136" s="197">
        <f t="shared" si="13"/>
        <v>704</v>
      </c>
      <c r="D136" s="197">
        <f t="shared" si="13"/>
        <v>840</v>
      </c>
      <c r="E136" s="197">
        <f t="shared" si="13"/>
        <v>988</v>
      </c>
      <c r="F136" s="197">
        <f t="shared" si="13"/>
        <v>242</v>
      </c>
      <c r="G136" s="197">
        <f t="shared" si="13"/>
        <v>0</v>
      </c>
      <c r="H136" s="197">
        <f t="shared" si="13"/>
        <v>3774</v>
      </c>
    </row>
    <row r="137" spans="1:8" ht="11.25" customHeight="1" x14ac:dyDescent="0.25">
      <c r="A137" s="477">
        <v>2014</v>
      </c>
      <c r="B137" s="193">
        <f t="shared" si="13"/>
        <v>785</v>
      </c>
      <c r="C137" s="193">
        <f t="shared" si="13"/>
        <v>483</v>
      </c>
      <c r="D137" s="193">
        <f t="shared" si="13"/>
        <v>862</v>
      </c>
      <c r="E137" s="193">
        <f t="shared" si="13"/>
        <v>756</v>
      </c>
      <c r="F137" s="193">
        <f t="shared" si="13"/>
        <v>269</v>
      </c>
      <c r="G137" s="193">
        <f t="shared" si="13"/>
        <v>0</v>
      </c>
      <c r="H137" s="193">
        <f t="shared" si="13"/>
        <v>3155</v>
      </c>
    </row>
    <row r="138" spans="1:8" ht="11.25" customHeight="1" x14ac:dyDescent="0.25">
      <c r="A138" s="477">
        <v>2015</v>
      </c>
      <c r="B138" s="197">
        <f t="shared" si="13"/>
        <v>1142</v>
      </c>
      <c r="C138" s="197">
        <f t="shared" si="13"/>
        <v>864</v>
      </c>
      <c r="D138" s="197">
        <f t="shared" si="13"/>
        <v>880</v>
      </c>
      <c r="E138" s="197">
        <f t="shared" si="13"/>
        <v>711</v>
      </c>
      <c r="F138" s="197">
        <f t="shared" si="13"/>
        <v>231</v>
      </c>
      <c r="G138" s="197">
        <f t="shared" si="13"/>
        <v>0</v>
      </c>
      <c r="H138" s="197">
        <f t="shared" si="13"/>
        <v>3828</v>
      </c>
    </row>
    <row r="139" spans="1:8" ht="11.25" customHeight="1" x14ac:dyDescent="0.25">
      <c r="A139" s="477">
        <v>2016</v>
      </c>
      <c r="B139" s="197">
        <f t="shared" si="13"/>
        <v>851</v>
      </c>
      <c r="C139" s="197">
        <f t="shared" si="13"/>
        <v>592</v>
      </c>
      <c r="D139" s="197">
        <f t="shared" si="13"/>
        <v>389</v>
      </c>
      <c r="E139" s="197">
        <f t="shared" si="13"/>
        <v>276</v>
      </c>
      <c r="F139" s="197">
        <f t="shared" si="13"/>
        <v>2</v>
      </c>
      <c r="G139" s="197">
        <f t="shared" si="13"/>
        <v>0</v>
      </c>
      <c r="H139" s="197">
        <f t="shared" si="13"/>
        <v>2110</v>
      </c>
    </row>
    <row r="140" spans="1:8" ht="11.25" customHeight="1" x14ac:dyDescent="0.25">
      <c r="A140" s="477">
        <v>2017</v>
      </c>
      <c r="B140" s="197">
        <f t="shared" si="13"/>
        <v>789</v>
      </c>
      <c r="C140" s="197">
        <f t="shared" si="13"/>
        <v>696</v>
      </c>
      <c r="D140" s="197">
        <f t="shared" si="13"/>
        <v>697</v>
      </c>
      <c r="E140" s="197">
        <f t="shared" si="13"/>
        <v>768</v>
      </c>
      <c r="F140" s="197">
        <f t="shared" si="13"/>
        <v>293</v>
      </c>
      <c r="G140" s="197">
        <f t="shared" si="13"/>
        <v>0</v>
      </c>
      <c r="H140" s="197">
        <f t="shared" si="13"/>
        <v>3243</v>
      </c>
    </row>
    <row r="141" spans="1:8" s="358" customFormat="1" ht="11.25" customHeight="1" x14ac:dyDescent="0.25">
      <c r="A141" s="477">
        <v>2018</v>
      </c>
      <c r="B141" s="197">
        <f t="shared" si="13"/>
        <v>840</v>
      </c>
      <c r="C141" s="197">
        <f t="shared" si="13"/>
        <v>929</v>
      </c>
      <c r="D141" s="197">
        <f t="shared" si="13"/>
        <v>694</v>
      </c>
      <c r="E141" s="197">
        <f t="shared" si="13"/>
        <v>334</v>
      </c>
      <c r="F141" s="197">
        <f t="shared" si="13"/>
        <v>179</v>
      </c>
      <c r="G141" s="197">
        <f t="shared" si="13"/>
        <v>0</v>
      </c>
      <c r="H141" s="197">
        <f t="shared" si="13"/>
        <v>2976</v>
      </c>
    </row>
    <row r="142" spans="1:8" s="358" customFormat="1" ht="11.25" customHeight="1" x14ac:dyDescent="0.25">
      <c r="A142" s="157">
        <v>2019</v>
      </c>
      <c r="B142" s="197">
        <f t="shared" ref="B142:H143" si="14">IF(AND(B95="-",B48="-"),"-",SUM(B95,B48))</f>
        <v>426</v>
      </c>
      <c r="C142" s="197">
        <f t="shared" si="14"/>
        <v>407</v>
      </c>
      <c r="D142" s="197">
        <f t="shared" si="14"/>
        <v>1026</v>
      </c>
      <c r="E142" s="197">
        <f t="shared" si="14"/>
        <v>467</v>
      </c>
      <c r="F142" s="197">
        <f t="shared" si="14"/>
        <v>233</v>
      </c>
      <c r="G142" s="197">
        <f t="shared" si="14"/>
        <v>0</v>
      </c>
      <c r="H142" s="197">
        <f t="shared" si="14"/>
        <v>2559</v>
      </c>
    </row>
    <row r="143" spans="1:8" ht="11.25" customHeight="1" x14ac:dyDescent="0.25">
      <c r="A143" s="157" t="s">
        <v>393</v>
      </c>
      <c r="B143" s="193">
        <f t="shared" si="14"/>
        <v>74</v>
      </c>
      <c r="C143" s="193">
        <f t="shared" si="14"/>
        <v>138</v>
      </c>
      <c r="D143" s="193">
        <f t="shared" si="14"/>
        <v>493</v>
      </c>
      <c r="E143" s="193">
        <f t="shared" si="14"/>
        <v>349</v>
      </c>
      <c r="F143" s="193">
        <f t="shared" si="14"/>
        <v>50</v>
      </c>
      <c r="G143" s="193">
        <f t="shared" si="14"/>
        <v>0</v>
      </c>
      <c r="H143" s="193">
        <f t="shared" si="14"/>
        <v>1104</v>
      </c>
    </row>
    <row r="144" spans="1:8" ht="11.25" customHeight="1" x14ac:dyDescent="0.25"/>
    <row r="145" spans="1:8" ht="11.25" customHeight="1" x14ac:dyDescent="0.25">
      <c r="A145" s="116" t="s">
        <v>96</v>
      </c>
    </row>
    <row r="146" spans="1:8" ht="11.25" customHeight="1" x14ac:dyDescent="0.25">
      <c r="A146" s="473">
        <v>1976</v>
      </c>
      <c r="B146" s="193">
        <f>IF(AND('A-12'!B146="-",'A-7'!D10="-"),"-",SUM('A-12'!B146,'A-7'!D10))</f>
        <v>1333</v>
      </c>
      <c r="C146" s="193">
        <f>IF(AND('A-12'!C146="-",'A-7'!E10="-"),"-",SUM('A-12'!C146,'A-7'!E10))</f>
        <v>2708</v>
      </c>
      <c r="D146" s="193">
        <f>IF(AND('A-12'!D146="-",'A-7'!F10="-"),"-",SUM('A-12'!D146,'A-7'!F10))</f>
        <v>5550</v>
      </c>
      <c r="E146" s="193">
        <f>IF(AND('A-12'!E146="-",'A-7'!G10="-"),"-",SUM('A-12'!E146,'A-7'!G10))</f>
        <v>4638</v>
      </c>
      <c r="F146" s="193">
        <f>IF(AND('A-12'!F146="-",'A-7'!H10="-"),"-",SUM('A-12'!F146,'A-7'!H10))</f>
        <v>3621</v>
      </c>
      <c r="G146" s="193">
        <f>IF(AND('A-12'!G146="-",'A-7'!I10="-"),"-",SUM('A-12'!G146,'A-7'!I10))</f>
        <v>121</v>
      </c>
      <c r="H146" s="193">
        <f>SUM(B146:G146)</f>
        <v>17971</v>
      </c>
    </row>
    <row r="147" spans="1:8" ht="11.25" customHeight="1" x14ac:dyDescent="0.25">
      <c r="A147" s="473">
        <v>1977</v>
      </c>
      <c r="B147" s="193">
        <f>IF(AND('A-12'!B147="-",'A-7'!D11="-"),"-",SUM('A-12'!B147,'A-7'!D11))</f>
        <v>1513</v>
      </c>
      <c r="C147" s="193">
        <f>IF(AND('A-12'!C147="-",'A-7'!E11="-"),"-",SUM('A-12'!C147,'A-7'!E11))</f>
        <v>844</v>
      </c>
      <c r="D147" s="193">
        <f>IF(AND('A-12'!D147="-",'A-7'!F11="-"),"-",SUM('A-12'!D147,'A-7'!F11))</f>
        <v>6646</v>
      </c>
      <c r="E147" s="193">
        <f>IF(AND('A-12'!E147="-",'A-7'!G11="-"),"-",SUM('A-12'!E147,'A-7'!G11))</f>
        <v>3668</v>
      </c>
      <c r="F147" s="193">
        <f>IF(AND('A-12'!F147="-",'A-7'!H11="-"),"-",SUM('A-12'!F147,'A-7'!H11))</f>
        <v>2788</v>
      </c>
      <c r="G147" s="193">
        <f>IF(AND('A-12'!G147="-",'A-7'!I11="-"),"-",SUM('A-12'!G147,'A-7'!I11))</f>
        <v>90</v>
      </c>
      <c r="H147" s="193">
        <f t="shared" ref="H147:H184" si="15">SUM(B147:G147)</f>
        <v>15549</v>
      </c>
    </row>
    <row r="148" spans="1:8" ht="11.25" customHeight="1" x14ac:dyDescent="0.25">
      <c r="A148" s="473">
        <v>1978</v>
      </c>
      <c r="B148" s="193">
        <f>IF(AND('A-12'!B148="-",'A-7'!D12="-"),"-",SUM('A-12'!B148,'A-7'!D12))</f>
        <v>237</v>
      </c>
      <c r="C148" s="193">
        <f>IF(AND('A-12'!C148="-",'A-7'!E12="-"),"-",SUM('A-12'!C148,'A-7'!E12))</f>
        <v>613</v>
      </c>
      <c r="D148" s="193">
        <f>IF(AND('A-12'!D148="-",'A-7'!F12="-"),"-",SUM('A-12'!D148,'A-7'!F12))</f>
        <v>3855</v>
      </c>
      <c r="E148" s="193">
        <f>IF(AND('A-12'!E148="-",'A-7'!G12="-"),"-",SUM('A-12'!E148,'A-7'!G12))</f>
        <v>2169</v>
      </c>
      <c r="F148" s="193">
        <f>IF(AND('A-12'!F148="-",'A-7'!H12="-"),"-",SUM('A-12'!F148,'A-7'!H12))</f>
        <v>2485</v>
      </c>
      <c r="G148" s="193">
        <f>IF(AND('A-12'!G148="-",'A-7'!I12="-"),"-",SUM('A-12'!G148,'A-7'!I12))</f>
        <v>58</v>
      </c>
      <c r="H148" s="193">
        <f t="shared" si="15"/>
        <v>9417</v>
      </c>
    </row>
    <row r="149" spans="1:8" ht="11.25" customHeight="1" x14ac:dyDescent="0.25">
      <c r="A149" s="473">
        <v>1979</v>
      </c>
      <c r="B149" s="193">
        <f>IF(AND('A-12'!B149="-",'A-7'!D13="-"),"-",SUM('A-12'!B149,'A-7'!D13))</f>
        <v>613</v>
      </c>
      <c r="C149" s="193">
        <f>IF(AND('A-12'!C149="-",'A-7'!E13="-"),"-",SUM('A-12'!C149,'A-7'!E13))</f>
        <v>11</v>
      </c>
      <c r="D149" s="193">
        <f>IF(AND('A-12'!D149="-",'A-7'!F13="-"),"-",SUM('A-12'!D149,'A-7'!F13))</f>
        <v>4156</v>
      </c>
      <c r="E149" s="193">
        <f>IF(AND('A-12'!E149="-",'A-7'!G13="-"),"-",SUM('A-12'!E149,'A-7'!G13))</f>
        <v>5246</v>
      </c>
      <c r="F149" s="193">
        <f>IF(AND('A-12'!F149="-",'A-7'!H13="-"),"-",SUM('A-12'!F149,'A-7'!H13))</f>
        <v>69</v>
      </c>
      <c r="G149" s="193">
        <f>IF(AND('A-12'!G149="-",'A-7'!I13="-"),"-",SUM('A-12'!G149,'A-7'!I13))</f>
        <v>1</v>
      </c>
      <c r="H149" s="193">
        <f t="shared" si="15"/>
        <v>10096</v>
      </c>
    </row>
    <row r="150" spans="1:8" ht="11.25" customHeight="1" x14ac:dyDescent="0.25">
      <c r="A150" s="473">
        <v>1980</v>
      </c>
      <c r="B150" s="193">
        <f>IF(AND('A-12'!B150="-",'A-7'!D14="-"),"-",SUM('A-12'!B150,'A-7'!D14))</f>
        <v>803</v>
      </c>
      <c r="C150" s="193">
        <f>IF(AND('A-12'!C150="-",'A-7'!E14="-"),"-",SUM('A-12'!C150,'A-7'!E14))</f>
        <v>13</v>
      </c>
      <c r="D150" s="193">
        <f>IF(AND('A-12'!D150="-",'A-7'!F14="-"),"-",SUM('A-12'!D150,'A-7'!F14))</f>
        <v>1886</v>
      </c>
      <c r="E150" s="193">
        <f>IF(AND('A-12'!E150="-",'A-7'!G14="-"),"-",SUM('A-12'!E150,'A-7'!G14))</f>
        <v>3032</v>
      </c>
      <c r="F150" s="193">
        <f>IF(AND('A-12'!F150="-",'A-7'!H14="-"),"-",SUM('A-12'!F150,'A-7'!H14))</f>
        <v>635</v>
      </c>
      <c r="G150" s="193">
        <f>IF(AND('A-12'!G150="-",'A-7'!I14="-"),"-",SUM('A-12'!G150,'A-7'!I14))</f>
        <v>8</v>
      </c>
      <c r="H150" s="193">
        <f t="shared" si="15"/>
        <v>6377</v>
      </c>
    </row>
    <row r="151" spans="1:8" ht="11.25" customHeight="1" x14ac:dyDescent="0.25">
      <c r="A151" s="473">
        <v>1981</v>
      </c>
      <c r="B151" s="193">
        <f>IF(AND('A-12'!B151="-",'A-7'!D15="-"),"-",SUM('A-12'!B151,'A-7'!D15))</f>
        <v>1377</v>
      </c>
      <c r="C151" s="193">
        <f>IF(AND('A-12'!C151="-",'A-7'!E15="-"),"-",SUM('A-12'!C151,'A-7'!E15))</f>
        <v>7</v>
      </c>
      <c r="D151" s="193">
        <f>IF(AND('A-12'!D151="-",'A-7'!F15="-"),"-",SUM('A-12'!D151,'A-7'!F15))</f>
        <v>3013</v>
      </c>
      <c r="E151" s="193">
        <f>IF(AND('A-12'!E151="-",'A-7'!G15="-"),"-",SUM('A-12'!E151,'A-7'!G15))</f>
        <v>2511</v>
      </c>
      <c r="F151" s="193">
        <f>IF(AND('A-12'!F151="-",'A-7'!H15="-"),"-",SUM('A-12'!F151,'A-7'!H15))</f>
        <v>0</v>
      </c>
      <c r="G151" s="193">
        <f>IF(AND('A-12'!G151="-",'A-7'!I15="-"),"-",SUM('A-12'!G151,'A-7'!I15))</f>
        <v>1</v>
      </c>
      <c r="H151" s="193">
        <f t="shared" si="15"/>
        <v>6909</v>
      </c>
    </row>
    <row r="152" spans="1:8" ht="11.25" customHeight="1" x14ac:dyDescent="0.25">
      <c r="A152" s="473">
        <v>1982</v>
      </c>
      <c r="B152" s="193">
        <f>IF(AND('A-12'!B152="-",'A-7'!D16="-"),"-",SUM('A-12'!B152,'A-7'!D16))</f>
        <v>1365</v>
      </c>
      <c r="C152" s="193">
        <f>IF(AND('A-12'!C152="-",'A-7'!E16="-"),"-",SUM('A-12'!C152,'A-7'!E16))</f>
        <v>80</v>
      </c>
      <c r="D152" s="193">
        <f>IF(AND('A-12'!D152="-",'A-7'!F16="-"),"-",SUM('A-12'!D152,'A-7'!F16))</f>
        <v>1709</v>
      </c>
      <c r="E152" s="193">
        <f>IF(AND('A-12'!E152="-",'A-7'!G16="-"),"-",SUM('A-12'!E152,'A-7'!G16))</f>
        <v>0</v>
      </c>
      <c r="F152" s="193">
        <f>IF(AND('A-12'!F152="-",'A-7'!H16="-"),"-",SUM('A-12'!F152,'A-7'!H16))</f>
        <v>0</v>
      </c>
      <c r="G152" s="193">
        <f>IF(AND('A-12'!G152="-",'A-7'!I16="-"),"-",SUM('A-12'!G152,'A-7'!I16))</f>
        <v>0</v>
      </c>
      <c r="H152" s="193">
        <f t="shared" si="15"/>
        <v>3154</v>
      </c>
    </row>
    <row r="153" spans="1:8" ht="11.25" customHeight="1" x14ac:dyDescent="0.25">
      <c r="A153" s="473">
        <v>1983</v>
      </c>
      <c r="B153" s="193">
        <f>IF(AND('A-12'!B153="-",'A-7'!D17="-"),"-",SUM('A-12'!B153,'A-7'!D17))</f>
        <v>1128</v>
      </c>
      <c r="C153" s="193">
        <f>IF(AND('A-12'!C153="-",'A-7'!E17="-"),"-",SUM('A-12'!C153,'A-7'!E17))</f>
        <v>204</v>
      </c>
      <c r="D153" s="193">
        <f>IF(AND('A-12'!D153="-",'A-7'!F17="-"),"-",SUM('A-12'!D153,'A-7'!F17))</f>
        <v>163</v>
      </c>
      <c r="E153" s="193">
        <f>IF(AND('A-12'!E153="-",'A-7'!G17="-"),"-",SUM('A-12'!E153,'A-7'!G17))</f>
        <v>880</v>
      </c>
      <c r="F153" s="193">
        <f>IF(AND('A-12'!F153="-",'A-7'!H17="-"),"-",SUM('A-12'!F153,'A-7'!H17))</f>
        <v>732</v>
      </c>
      <c r="G153" s="193">
        <f>IF(AND('A-12'!G153="-",'A-7'!I17="-"),"-",SUM('A-12'!G153,'A-7'!I17))</f>
        <v>0</v>
      </c>
      <c r="H153" s="193">
        <f t="shared" si="15"/>
        <v>3107</v>
      </c>
    </row>
    <row r="154" spans="1:8" ht="11.25" customHeight="1" x14ac:dyDescent="0.25">
      <c r="A154" s="473">
        <v>1984</v>
      </c>
      <c r="B154" s="193">
        <f>IF(AND('A-12'!B154="-",'A-7'!D18="-"),"-",SUM('A-12'!B154,'A-7'!D18))</f>
        <v>119</v>
      </c>
      <c r="C154" s="193">
        <f>IF(AND('A-12'!C154="-",'A-7'!E18="-"),"-",SUM('A-12'!C154,'A-7'!E18))</f>
        <v>0</v>
      </c>
      <c r="D154" s="193">
        <f>IF(AND('A-12'!D154="-",'A-7'!F18="-"),"-",SUM('A-12'!D154,'A-7'!F18))</f>
        <v>0</v>
      </c>
      <c r="E154" s="193">
        <f>IF(AND('A-12'!E154="-",'A-7'!G18="-"),"-",SUM('A-12'!E154,'A-7'!G18))</f>
        <v>602</v>
      </c>
      <c r="F154" s="193">
        <f>IF(AND('A-12'!F154="-",'A-7'!H18="-"),"-",SUM('A-12'!F154,'A-7'!H18))</f>
        <v>0</v>
      </c>
      <c r="G154" s="193">
        <f>IF(AND('A-12'!G154="-",'A-7'!I18="-"),"-",SUM('A-12'!G154,'A-7'!I18))</f>
        <v>0</v>
      </c>
      <c r="H154" s="193">
        <f t="shared" si="15"/>
        <v>721</v>
      </c>
    </row>
    <row r="155" spans="1:8" ht="11.25" customHeight="1" x14ac:dyDescent="0.25">
      <c r="A155" s="473">
        <v>1985</v>
      </c>
      <c r="B155" s="193">
        <f>IF(AND('A-12'!B155="-",'A-7'!D19="-"),"-",SUM('A-12'!B155,'A-7'!D19))</f>
        <v>855</v>
      </c>
      <c r="C155" s="193">
        <f>IF(AND('A-12'!C155="-",'A-7'!E19="-"),"-",SUM('A-12'!C155,'A-7'!E19))</f>
        <v>0</v>
      </c>
      <c r="D155" s="193">
        <f>IF(AND('A-12'!D155="-",'A-7'!F19="-"),"-",SUM('A-12'!D155,'A-7'!F19))</f>
        <v>0</v>
      </c>
      <c r="E155" s="193">
        <f>IF(AND('A-12'!E155="-",'A-7'!G19="-"),"-",SUM('A-12'!E155,'A-7'!G19))</f>
        <v>539</v>
      </c>
      <c r="F155" s="193">
        <f>IF(AND('A-12'!F155="-",'A-7'!H19="-"),"-",SUM('A-12'!F155,'A-7'!H19))</f>
        <v>0</v>
      </c>
      <c r="G155" s="193">
        <f>IF(AND('A-12'!G155="-",'A-7'!I19="-"),"-",SUM('A-12'!G155,'A-7'!I19))</f>
        <v>1</v>
      </c>
      <c r="H155" s="193">
        <f t="shared" si="15"/>
        <v>1395</v>
      </c>
    </row>
    <row r="156" spans="1:8" ht="11.25" customHeight="1" x14ac:dyDescent="0.25">
      <c r="A156" s="473">
        <v>1986</v>
      </c>
      <c r="B156" s="193">
        <f>IF(AND('A-12'!B156="-",'A-7'!D20="-"),"-",SUM('A-12'!B156,'A-7'!D20))</f>
        <v>819</v>
      </c>
      <c r="C156" s="193" t="str">
        <f>IF(AND('A-12'!C156="-",'A-7'!E20="-"),"-",SUM('A-12'!C156,'A-7'!E20))</f>
        <v>-</v>
      </c>
      <c r="D156" s="193" t="str">
        <f>IF(AND('A-12'!D156="-",'A-7'!F20="-"),"-",SUM('A-12'!D156,'A-7'!F20))</f>
        <v>-</v>
      </c>
      <c r="E156" s="193">
        <f>IF(AND('A-12'!E156="-",'A-7'!G20="-"),"-",SUM('A-12'!E156,'A-7'!G20))</f>
        <v>1767</v>
      </c>
      <c r="F156" s="193" t="str">
        <f>IF(AND('A-12'!F156="-",'A-7'!H20="-"),"-",SUM('A-12'!F156,'A-7'!H20))</f>
        <v>-</v>
      </c>
      <c r="G156" s="193" t="str">
        <f>IF(AND('A-12'!G156="-",'A-7'!I20="-"),"-",SUM('A-12'!G156,'A-7'!I20))</f>
        <v>-</v>
      </c>
      <c r="H156" s="193">
        <f t="shared" si="15"/>
        <v>2586</v>
      </c>
    </row>
    <row r="157" spans="1:8" ht="11.25" customHeight="1" x14ac:dyDescent="0.25">
      <c r="A157" s="473">
        <v>1987</v>
      </c>
      <c r="B157" s="193">
        <f>IF(AND('A-12'!B157="-",'A-7'!D21="-"),"-",SUM('A-12'!B157,'A-7'!D21))</f>
        <v>327</v>
      </c>
      <c r="C157" s="193" t="str">
        <f>IF(AND('A-12'!C157="-",'A-7'!E21="-"),"-",SUM('A-12'!C157,'A-7'!E21))</f>
        <v>-</v>
      </c>
      <c r="D157" s="193">
        <f>IF(AND('A-12'!D157="-",'A-7'!F21="-"),"-",SUM('A-12'!D157,'A-7'!F21))</f>
        <v>467</v>
      </c>
      <c r="E157" s="193" t="str">
        <f>IF(AND('A-12'!E157="-",'A-7'!G21="-"),"-",SUM('A-12'!E157,'A-7'!G21))</f>
        <v>-</v>
      </c>
      <c r="F157" s="193" t="str">
        <f>IF(AND('A-12'!F157="-",'A-7'!H21="-"),"-",SUM('A-12'!F157,'A-7'!H21))</f>
        <v>-</v>
      </c>
      <c r="G157" s="193" t="str">
        <f>IF(AND('A-12'!G157="-",'A-7'!I21="-"),"-",SUM('A-12'!G157,'A-7'!I21))</f>
        <v>-</v>
      </c>
      <c r="H157" s="193">
        <f t="shared" si="15"/>
        <v>794</v>
      </c>
    </row>
    <row r="158" spans="1:8" ht="11.25" customHeight="1" x14ac:dyDescent="0.25">
      <c r="A158" s="473">
        <v>1988</v>
      </c>
      <c r="B158" s="193">
        <f>IF(AND('A-12'!B158="-",'A-7'!D22="-"),"-",SUM('A-12'!B158,'A-7'!D22))</f>
        <v>300</v>
      </c>
      <c r="C158" s="193">
        <f>IF(AND('A-12'!C158="-",'A-7'!E22="-"),"-",SUM('A-12'!C158,'A-7'!E22))</f>
        <v>180</v>
      </c>
      <c r="D158" s="193" t="str">
        <f>IF(AND('A-12'!D158="-",'A-7'!F22="-"),"-",SUM('A-12'!D158,'A-7'!F22))</f>
        <v>-</v>
      </c>
      <c r="E158" s="193" t="str">
        <f>IF(AND('A-12'!E158="-",'A-7'!G22="-"),"-",SUM('A-12'!E158,'A-7'!G22))</f>
        <v>-</v>
      </c>
      <c r="F158" s="193" t="str">
        <f>IF(AND('A-12'!F158="-",'A-7'!H22="-"),"-",SUM('A-12'!F158,'A-7'!H22))</f>
        <v>-</v>
      </c>
      <c r="G158" s="193" t="str">
        <f>IF(AND('A-12'!G158="-",'A-7'!I22="-"),"-",SUM('A-12'!G158,'A-7'!I22))</f>
        <v>-</v>
      </c>
      <c r="H158" s="193">
        <f t="shared" si="15"/>
        <v>480</v>
      </c>
    </row>
    <row r="159" spans="1:8" ht="11.25" customHeight="1" x14ac:dyDescent="0.25">
      <c r="A159" s="473">
        <v>1989</v>
      </c>
      <c r="B159" s="193">
        <f>IF(AND('A-12'!B159="-",'A-7'!D23="-"),"-",SUM('A-12'!B159,'A-7'!D23))</f>
        <v>177</v>
      </c>
      <c r="C159" s="193">
        <f>IF(AND('A-12'!C159="-",'A-7'!E23="-"),"-",SUM('A-12'!C159,'A-7'!E23))</f>
        <v>61</v>
      </c>
      <c r="D159" s="193" t="str">
        <f>IF(AND('A-12'!D159="-",'A-7'!F23="-"),"-",SUM('A-12'!D159,'A-7'!F23))</f>
        <v>-</v>
      </c>
      <c r="E159" s="193">
        <f>IF(AND('A-12'!E159="-",'A-7'!G23="-"),"-",SUM('A-12'!E159,'A-7'!G23))</f>
        <v>918</v>
      </c>
      <c r="F159" s="193">
        <f>IF(AND('A-12'!F159="-",'A-7'!H23="-"),"-",SUM('A-12'!F159,'A-7'!H23))</f>
        <v>692</v>
      </c>
      <c r="G159" s="193" t="str">
        <f>IF(AND('A-12'!G159="-",'A-7'!I23="-"),"-",SUM('A-12'!G159,'A-7'!I23))</f>
        <v>-</v>
      </c>
      <c r="H159" s="193">
        <f t="shared" si="15"/>
        <v>1848</v>
      </c>
    </row>
    <row r="160" spans="1:8" ht="11.25" customHeight="1" x14ac:dyDescent="0.25">
      <c r="A160" s="473">
        <v>1990</v>
      </c>
      <c r="B160" s="193">
        <f>IF(AND('A-12'!B160="-",'A-7'!D24="-"),"-",SUM('A-12'!B160,'A-7'!D24))</f>
        <v>91</v>
      </c>
      <c r="C160" s="193">
        <f>IF(AND('A-12'!C160="-",'A-7'!E24="-"),"-",SUM('A-12'!C160,'A-7'!E24))</f>
        <v>20</v>
      </c>
      <c r="D160" s="193" t="str">
        <f>IF(AND('A-12'!D160="-",'A-7'!F24="-"),"-",SUM('A-12'!D160,'A-7'!F24))</f>
        <v>-</v>
      </c>
      <c r="E160" s="193">
        <f>IF(AND('A-12'!E160="-",'A-7'!G24="-"),"-",SUM('A-12'!E160,'A-7'!G24))</f>
        <v>801</v>
      </c>
      <c r="F160" s="193">
        <f>IF(AND('A-12'!F160="-",'A-7'!H24="-"),"-",SUM('A-12'!F160,'A-7'!H24))</f>
        <v>1008</v>
      </c>
      <c r="G160" s="193">
        <f>IF(AND('A-12'!G160="-",'A-7'!I24="-"),"-",SUM('A-12'!G160,'A-7'!I24))</f>
        <v>22</v>
      </c>
      <c r="H160" s="193">
        <f t="shared" si="15"/>
        <v>1942</v>
      </c>
    </row>
    <row r="161" spans="1:8" ht="11.25" customHeight="1" x14ac:dyDescent="0.25">
      <c r="A161" s="473">
        <v>1991</v>
      </c>
      <c r="B161" s="193">
        <f>IF(AND('A-12'!B161="-",'A-7'!D25="-"),"-",SUM('A-12'!B161,'A-7'!D25))</f>
        <v>227</v>
      </c>
      <c r="C161" s="193">
        <f>IF(AND('A-12'!C161="-",'A-7'!E25="-"),"-",SUM('A-12'!C161,'A-7'!E25))</f>
        <v>25</v>
      </c>
      <c r="D161" s="193" t="str">
        <f>IF(AND('A-12'!D161="-",'A-7'!F25="-"),"-",SUM('A-12'!D161,'A-7'!F25))</f>
        <v>-</v>
      </c>
      <c r="E161" s="193">
        <f>IF(AND('A-12'!E161="-",'A-7'!G25="-"),"-",SUM('A-12'!E161,'A-7'!G25))</f>
        <v>845</v>
      </c>
      <c r="F161" s="193">
        <f>IF(AND('A-12'!F161="-",'A-7'!H25="-"),"-",SUM('A-12'!F161,'A-7'!H25))</f>
        <v>207</v>
      </c>
      <c r="G161" s="193" t="str">
        <f>IF(AND('A-12'!G161="-",'A-7'!I25="-"),"-",SUM('A-12'!G161,'A-7'!I25))</f>
        <v>-</v>
      </c>
      <c r="H161" s="193">
        <f t="shared" si="15"/>
        <v>1304</v>
      </c>
    </row>
    <row r="162" spans="1:8" ht="11.25" customHeight="1" x14ac:dyDescent="0.25">
      <c r="A162" s="473">
        <v>1992</v>
      </c>
      <c r="B162" s="193">
        <f>IF(AND('A-12'!B162="-",'A-7'!D26="-"),"-",SUM('A-12'!B162,'A-7'!D26))</f>
        <v>207</v>
      </c>
      <c r="C162" s="193">
        <f>IF(AND('A-12'!C162="-",'A-7'!E26="-"),"-",SUM('A-12'!C162,'A-7'!E26))</f>
        <v>124</v>
      </c>
      <c r="D162" s="193">
        <f>IF(AND('A-12'!D162="-",'A-7'!F26="-"),"-",SUM('A-12'!D162,'A-7'!F26))</f>
        <v>132</v>
      </c>
      <c r="E162" s="193">
        <f>IF(AND('A-12'!E162="-",'A-7'!G26="-"),"-",SUM('A-12'!E162,'A-7'!G26))</f>
        <v>68</v>
      </c>
      <c r="F162" s="193" t="str">
        <f>IF(AND('A-12'!F162="-",'A-7'!H26="-"),"-",SUM('A-12'!F162,'A-7'!H26))</f>
        <v>-</v>
      </c>
      <c r="G162" s="193" t="str">
        <f>IF(AND('A-12'!G162="-",'A-7'!I26="-"),"-",SUM('A-12'!G162,'A-7'!I26))</f>
        <v>-</v>
      </c>
      <c r="H162" s="193">
        <f t="shared" si="15"/>
        <v>531</v>
      </c>
    </row>
    <row r="163" spans="1:8" ht="11.25" customHeight="1" x14ac:dyDescent="0.25">
      <c r="A163" s="473">
        <v>1993</v>
      </c>
      <c r="B163" s="193">
        <f>IF(AND('A-12'!B163="-",'A-7'!D27="-"),"-",SUM('A-12'!B163,'A-7'!D27))</f>
        <v>25</v>
      </c>
      <c r="C163" s="193">
        <f>IF(AND('A-12'!C163="-",'A-7'!E27="-"),"-",SUM('A-12'!C163,'A-7'!E27))</f>
        <v>8</v>
      </c>
      <c r="D163" s="193">
        <f>IF(AND('A-12'!D163="-",'A-7'!F27="-"),"-",SUM('A-12'!D163,'A-7'!F27))</f>
        <v>94</v>
      </c>
      <c r="E163" s="193">
        <f>IF(AND('A-12'!E163="-",'A-7'!G27="-"),"-",SUM('A-12'!E163,'A-7'!G27))</f>
        <v>64</v>
      </c>
      <c r="F163" s="193">
        <f>IF(AND('A-12'!F163="-",'A-7'!H27="-"),"-",SUM('A-12'!F163,'A-7'!H27))</f>
        <v>102</v>
      </c>
      <c r="G163" s="193" t="str">
        <f>IF(AND('A-12'!G163="-",'A-7'!I27="-"),"-",SUM('A-12'!G163,'A-7'!I27))</f>
        <v>-</v>
      </c>
      <c r="H163" s="193">
        <f t="shared" si="15"/>
        <v>293</v>
      </c>
    </row>
    <row r="164" spans="1:8" ht="11.25" customHeight="1" x14ac:dyDescent="0.25">
      <c r="A164" s="473">
        <v>1994</v>
      </c>
      <c r="B164" s="193" t="str">
        <f>IF(AND('A-12'!B164="-",'A-7'!D28="-"),"-",SUM('A-12'!B164,'A-7'!D28))</f>
        <v>-</v>
      </c>
      <c r="C164" s="193" t="str">
        <f>IF(AND('A-12'!C164="-",'A-7'!E28="-"),"-",SUM('A-12'!C164,'A-7'!E28))</f>
        <v>-</v>
      </c>
      <c r="D164" s="193" t="str">
        <f>IF(AND('A-12'!D164="-",'A-7'!F28="-"),"-",SUM('A-12'!D164,'A-7'!F28))</f>
        <v>-</v>
      </c>
      <c r="E164" s="193" t="str">
        <f>IF(AND('A-12'!E164="-",'A-7'!G28="-"),"-",SUM('A-12'!E164,'A-7'!G28))</f>
        <v>-</v>
      </c>
      <c r="F164" s="193" t="str">
        <f>IF(AND('A-12'!F164="-",'A-7'!H28="-"),"-",SUM('A-12'!F164,'A-7'!H28))</f>
        <v>-</v>
      </c>
      <c r="G164" s="193" t="str">
        <f>IF(AND('A-12'!G164="-",'A-7'!I28="-"),"-",SUM('A-12'!G164,'A-7'!I28))</f>
        <v>-</v>
      </c>
      <c r="H164" s="193" t="str">
        <f>IF(AND('A-12'!H164="-",'A-7'!J28="-"),"-",SUM('A-12'!H164,'A-7'!J28))</f>
        <v>-</v>
      </c>
    </row>
    <row r="165" spans="1:8" ht="11.25" customHeight="1" x14ac:dyDescent="0.25">
      <c r="A165" s="473">
        <v>1995</v>
      </c>
      <c r="B165" s="193" t="str">
        <f>IF(AND('A-12'!B165="-",'A-7'!D29="-"),"-",SUM('A-12'!B165,'A-7'!D29))</f>
        <v>-</v>
      </c>
      <c r="C165" s="193" t="str">
        <f>IF(AND('A-12'!C165="-",'A-7'!E29="-"),"-",SUM('A-12'!C165,'A-7'!E29))</f>
        <v>-</v>
      </c>
      <c r="D165" s="193" t="str">
        <f>IF(AND('A-12'!D165="-",'A-7'!F29="-"),"-",SUM('A-12'!D165,'A-7'!F29))</f>
        <v>-</v>
      </c>
      <c r="E165" s="193" t="str">
        <f>IF(AND('A-12'!E165="-",'A-7'!G29="-"),"-",SUM('A-12'!E165,'A-7'!G29))</f>
        <v>-</v>
      </c>
      <c r="F165" s="193" t="str">
        <f>IF(AND('A-12'!F165="-",'A-7'!H29="-"),"-",SUM('A-12'!F165,'A-7'!H29))</f>
        <v>-</v>
      </c>
      <c r="G165" s="193" t="str">
        <f>IF(AND('A-12'!G165="-",'A-7'!I29="-"),"-",SUM('A-12'!G165,'A-7'!I29))</f>
        <v>-</v>
      </c>
      <c r="H165" s="193" t="str">
        <f>IF(AND('A-12'!H165="-",'A-7'!J29="-"),"-",SUM('A-12'!H165,'A-7'!J29))</f>
        <v>-</v>
      </c>
    </row>
    <row r="166" spans="1:8" ht="11.25" customHeight="1" x14ac:dyDescent="0.25">
      <c r="A166" s="473">
        <v>1996</v>
      </c>
      <c r="B166" s="193" t="str">
        <f>IF(AND('A-12'!B166="-",'A-7'!D30="-"),"-",SUM('A-12'!B166,'A-7'!D30))</f>
        <v>-</v>
      </c>
      <c r="C166" s="193" t="str">
        <f>IF(AND('A-12'!C166="-",'A-7'!E30="-"),"-",SUM('A-12'!C166,'A-7'!E30))</f>
        <v>-</v>
      </c>
      <c r="D166" s="193" t="str">
        <f>IF(AND('A-12'!D166="-",'A-7'!F30="-"),"-",SUM('A-12'!D166,'A-7'!F30))</f>
        <v>-</v>
      </c>
      <c r="E166" s="193" t="str">
        <f>IF(AND('A-12'!E166="-",'A-7'!G30="-"),"-",SUM('A-12'!E166,'A-7'!G30))</f>
        <v>-</v>
      </c>
      <c r="F166" s="193" t="str">
        <f>IF(AND('A-12'!F166="-",'A-7'!H30="-"),"-",SUM('A-12'!F166,'A-7'!H30))</f>
        <v>-</v>
      </c>
      <c r="G166" s="193" t="str">
        <f>IF(AND('A-12'!G166="-",'A-7'!I30="-"),"-",SUM('A-12'!G166,'A-7'!I30))</f>
        <v>-</v>
      </c>
      <c r="H166" s="193" t="str">
        <f>IF(AND('A-12'!H166="-",'A-7'!J30="-"),"-",SUM('A-12'!H166,'A-7'!J30))</f>
        <v>-</v>
      </c>
    </row>
    <row r="167" spans="1:8" ht="11.25" customHeight="1" x14ac:dyDescent="0.25">
      <c r="A167" s="473">
        <v>1997</v>
      </c>
      <c r="B167" s="193">
        <f>IF(AND('A-12'!B167="-",'A-7'!D31="-"),"-",SUM('A-12'!B167,'A-7'!D31))</f>
        <v>6</v>
      </c>
      <c r="C167" s="193">
        <f>IF(AND('A-12'!C167="-",'A-7'!E31="-"),"-",SUM('A-12'!C167,'A-7'!E31))</f>
        <v>2</v>
      </c>
      <c r="D167" s="193" t="str">
        <f>IF(AND('A-12'!D167="-",'A-7'!F31="-"),"-",SUM('A-12'!D167,'A-7'!F31))</f>
        <v>-</v>
      </c>
      <c r="E167" s="193" t="str">
        <f>IF(AND('A-12'!E167="-",'A-7'!G31="-"),"-",SUM('A-12'!E167,'A-7'!G31))</f>
        <v>-</v>
      </c>
      <c r="F167" s="193" t="str">
        <f>IF(AND('A-12'!F167="-",'A-7'!H31="-"),"-",SUM('A-12'!F167,'A-7'!H31))</f>
        <v>-</v>
      </c>
      <c r="G167" s="193" t="str">
        <f>IF(AND('A-12'!G167="-",'A-7'!I31="-"),"-",SUM('A-12'!G167,'A-7'!I31))</f>
        <v>-</v>
      </c>
      <c r="H167" s="193">
        <f t="shared" si="15"/>
        <v>8</v>
      </c>
    </row>
    <row r="168" spans="1:8" ht="11.25" customHeight="1" x14ac:dyDescent="0.25">
      <c r="A168" s="473">
        <v>1998</v>
      </c>
      <c r="B168" s="193">
        <f>IF(AND('A-12'!B168="-",'A-7'!D32="-"),"-",SUM('A-12'!B168,'A-7'!D32))</f>
        <v>0</v>
      </c>
      <c r="C168" s="193">
        <f>IF(AND('A-12'!C168="-",'A-7'!E32="-"),"-",SUM('A-12'!C168,'A-7'!E32))</f>
        <v>0</v>
      </c>
      <c r="D168" s="193" t="str">
        <f>IF(AND('A-12'!D168="-",'A-7'!F32="-"),"-",SUM('A-12'!D168,'A-7'!F32))</f>
        <v>-</v>
      </c>
      <c r="E168" s="193" t="str">
        <f>IF(AND('A-12'!E168="-",'A-7'!G32="-"),"-",SUM('A-12'!E168,'A-7'!G32))</f>
        <v>-</v>
      </c>
      <c r="F168" s="193" t="str">
        <f>IF(AND('A-12'!F168="-",'A-7'!H32="-"),"-",SUM('A-12'!F168,'A-7'!H32))</f>
        <v>-</v>
      </c>
      <c r="G168" s="193" t="str">
        <f>IF(AND('A-12'!G168="-",'A-7'!I32="-"),"-",SUM('A-12'!G168,'A-7'!I32))</f>
        <v>-</v>
      </c>
      <c r="H168" s="193">
        <f t="shared" si="15"/>
        <v>0</v>
      </c>
    </row>
    <row r="169" spans="1:8" ht="11.25" customHeight="1" x14ac:dyDescent="0.25">
      <c r="A169" s="473">
        <v>1999</v>
      </c>
      <c r="B169" s="193">
        <f>IF(AND('A-12'!B169="-",'A-7'!D33="-"),"-",SUM('A-12'!B169,'A-7'!D33))</f>
        <v>0</v>
      </c>
      <c r="C169" s="193">
        <f>IF(AND('A-12'!C169="-",'A-7'!E33="-"),"-",SUM('A-12'!C169,'A-7'!E33))</f>
        <v>1</v>
      </c>
      <c r="D169" s="193" t="str">
        <f>IF(AND('A-12'!D169="-",'A-7'!F33="-"),"-",SUM('A-12'!D169,'A-7'!F33))</f>
        <v>-</v>
      </c>
      <c r="E169" s="193" t="str">
        <f>IF(AND('A-12'!E169="-",'A-7'!G33="-"),"-",SUM('A-12'!E169,'A-7'!G33))</f>
        <v>-</v>
      </c>
      <c r="F169" s="193" t="str">
        <f>IF(AND('A-12'!F169="-",'A-7'!H33="-"),"-",SUM('A-12'!F169,'A-7'!H33))</f>
        <v>-</v>
      </c>
      <c r="G169" s="193" t="str">
        <f>IF(AND('A-12'!G169="-",'A-7'!I33="-"),"-",SUM('A-12'!G169,'A-7'!I33))</f>
        <v>-</v>
      </c>
      <c r="H169" s="193">
        <f t="shared" si="15"/>
        <v>1</v>
      </c>
    </row>
    <row r="170" spans="1:8" ht="11.25" customHeight="1" x14ac:dyDescent="0.25">
      <c r="A170" s="473">
        <v>2000</v>
      </c>
      <c r="B170" s="193">
        <f>IF(AND('A-12'!B170="-",'A-7'!D34="-"),"-",SUM('A-12'!B170,'A-7'!D34))</f>
        <v>1</v>
      </c>
      <c r="C170" s="193">
        <f>IF(AND('A-12'!C170="-",'A-7'!E34="-"),"-",SUM('A-12'!C170,'A-7'!E34))</f>
        <v>6</v>
      </c>
      <c r="D170" s="193" t="str">
        <f>IF(AND('A-12'!D170="-",'A-7'!F34="-"),"-",SUM('A-12'!D170,'A-7'!F34))</f>
        <v>-</v>
      </c>
      <c r="E170" s="193">
        <f>IF(AND('A-12'!E170="-",'A-7'!G34="-"),"-",SUM('A-12'!E170,'A-7'!G34))</f>
        <v>294</v>
      </c>
      <c r="F170" s="193">
        <f>IF(AND('A-12'!F170="-",'A-7'!H34="-"),"-",SUM('A-12'!F170,'A-7'!H34))</f>
        <v>29</v>
      </c>
      <c r="G170" s="193" t="str">
        <f>IF(AND('A-12'!G170="-",'A-7'!I34="-"),"-",SUM('A-12'!G170,'A-7'!I34))</f>
        <v>-</v>
      </c>
      <c r="H170" s="193">
        <f t="shared" si="15"/>
        <v>330</v>
      </c>
    </row>
    <row r="171" spans="1:8" ht="11.25" customHeight="1" x14ac:dyDescent="0.25">
      <c r="A171" s="473">
        <v>2001</v>
      </c>
      <c r="B171" s="193">
        <f>IF(AND('A-12'!B171="-",'A-7'!D35="-"),"-",SUM('A-12'!B171,'A-7'!D35))</f>
        <v>29</v>
      </c>
      <c r="C171" s="193">
        <f>IF(AND('A-12'!C171="-",'A-7'!E35="-"),"-",SUM('A-12'!C171,'A-7'!E35))</f>
        <v>27</v>
      </c>
      <c r="D171" s="193">
        <f>IF(AND('A-12'!D171="-",'A-7'!F35="-"),"-",SUM('A-12'!D171,'A-7'!F35))</f>
        <v>97</v>
      </c>
      <c r="E171" s="193">
        <f>IF(AND('A-12'!E171="-",'A-7'!G35="-"),"-",SUM('A-12'!E171,'A-7'!G35))</f>
        <v>126</v>
      </c>
      <c r="F171" s="193">
        <f>IF(AND('A-12'!F171="-",'A-7'!H35="-"),"-",SUM('A-12'!F171,'A-7'!H35))</f>
        <v>39</v>
      </c>
      <c r="G171" s="193" t="str">
        <f>IF(AND('A-12'!G171="-",'A-7'!I35="-"),"-",SUM('A-12'!G171,'A-7'!I35))</f>
        <v>-</v>
      </c>
      <c r="H171" s="193">
        <f t="shared" si="15"/>
        <v>318</v>
      </c>
    </row>
    <row r="172" spans="1:8" ht="11.25" customHeight="1" x14ac:dyDescent="0.25">
      <c r="A172" s="473">
        <v>2002</v>
      </c>
      <c r="B172" s="193">
        <f>IF(AND('A-12'!B172="-",'A-7'!D36="-"),"-",SUM('A-12'!B172,'A-7'!D36))</f>
        <v>40</v>
      </c>
      <c r="C172" s="193">
        <f>IF(AND('A-12'!C172="-",'A-7'!E36="-"),"-",SUM('A-12'!C172,'A-7'!E36))</f>
        <v>57</v>
      </c>
      <c r="D172" s="193">
        <f>IF(AND('A-12'!D172="-",'A-7'!F36="-"),"-",SUM('A-12'!D172,'A-7'!F36))</f>
        <v>182</v>
      </c>
      <c r="E172" s="193">
        <f>IF(AND('A-12'!E172="-",'A-7'!G36="-"),"-",SUM('A-12'!E172,'A-7'!G36))</f>
        <v>216</v>
      </c>
      <c r="F172" s="193" t="str">
        <f>IF(AND('A-12'!F172="-",'A-7'!H36="-"),"-",SUM('A-12'!F172,'A-7'!H36))</f>
        <v>-</v>
      </c>
      <c r="G172" s="193" t="str">
        <f>IF(AND('A-12'!G172="-",'A-7'!I36="-"),"-",SUM('A-12'!G172,'A-7'!I36))</f>
        <v>-</v>
      </c>
      <c r="H172" s="193">
        <f t="shared" si="15"/>
        <v>495</v>
      </c>
    </row>
    <row r="173" spans="1:8" ht="11.25" customHeight="1" x14ac:dyDescent="0.25">
      <c r="A173" s="473">
        <v>2003</v>
      </c>
      <c r="B173" s="193">
        <f>IF(AND('A-12'!B173="-",'A-7'!D37="-"),"-",SUM('A-12'!B173,'A-7'!D37))</f>
        <v>113</v>
      </c>
      <c r="C173" s="193">
        <f>IF(AND('A-12'!C173="-",'A-7'!E37="-"),"-",SUM('A-12'!C173,'A-7'!E37))</f>
        <v>24</v>
      </c>
      <c r="D173" s="193">
        <f>IF(AND('A-12'!D173="-",'A-7'!F37="-"),"-",SUM('A-12'!D173,'A-7'!F37))</f>
        <v>152</v>
      </c>
      <c r="E173" s="193">
        <f>IF(AND('A-12'!E173="-",'A-7'!G37="-"),"-",SUM('A-12'!E173,'A-7'!G37))</f>
        <v>175</v>
      </c>
      <c r="F173" s="193">
        <f>IF(AND('A-12'!F173="-",'A-7'!H37="-"),"-",SUM('A-12'!F173,'A-7'!H37))</f>
        <v>63</v>
      </c>
      <c r="G173" s="193" t="str">
        <f>IF(AND('A-12'!G173="-",'A-7'!I37="-"),"-",SUM('A-12'!G173,'A-7'!I37))</f>
        <v>-</v>
      </c>
      <c r="H173" s="193">
        <f t="shared" si="15"/>
        <v>527</v>
      </c>
    </row>
    <row r="174" spans="1:8" ht="11.25" customHeight="1" x14ac:dyDescent="0.25">
      <c r="A174" s="473">
        <v>2004</v>
      </c>
      <c r="B174" s="193">
        <f>IF(AND('A-12'!B174="-",'A-7'!D38="-"),"-",SUM('A-12'!B174,'A-7'!D38))</f>
        <v>51</v>
      </c>
      <c r="C174" s="193">
        <f>IF(AND('A-12'!C174="-",'A-7'!E38="-"),"-",SUM('A-12'!C174,'A-7'!E38))</f>
        <v>4</v>
      </c>
      <c r="D174" s="193">
        <f>IF(AND('A-12'!D174="-",'A-7'!F38="-"),"-",SUM('A-12'!D174,'A-7'!F38))</f>
        <v>82</v>
      </c>
      <c r="E174" s="193">
        <f>IF(AND('A-12'!E174="-",'A-7'!G38="-"),"-",SUM('A-12'!E174,'A-7'!G38))</f>
        <v>106</v>
      </c>
      <c r="F174" s="193">
        <f>IF(AND('A-12'!F174="-",'A-7'!H38="-"),"-",SUM('A-12'!F174,'A-7'!H38))</f>
        <v>156</v>
      </c>
      <c r="G174" s="193" t="str">
        <f>IF(AND('A-12'!G174="-",'A-7'!I38="-"),"-",SUM('A-12'!G174,'A-7'!I38))</f>
        <v>-</v>
      </c>
      <c r="H174" s="193">
        <f t="shared" si="15"/>
        <v>399</v>
      </c>
    </row>
    <row r="175" spans="1:8" ht="11.25" customHeight="1" x14ac:dyDescent="0.25">
      <c r="A175" s="477">
        <v>2005</v>
      </c>
      <c r="B175" s="193">
        <f>IF(AND('A-12'!B175="-",'A-7'!D39="-"),"-",SUM('A-12'!B175,'A-7'!D39))</f>
        <v>230</v>
      </c>
      <c r="C175" s="193">
        <f>IF(AND('A-12'!C175="-",'A-7'!E39="-"),"-",SUM('A-12'!C175,'A-7'!E39))</f>
        <v>51</v>
      </c>
      <c r="D175" s="193">
        <f>IF(AND('A-12'!D175="-",'A-7'!F39="-"),"-",SUM('A-12'!D175,'A-7'!F39))</f>
        <v>55</v>
      </c>
      <c r="E175" s="193">
        <f>IF(AND('A-12'!E175="-",'A-7'!G39="-"),"-",SUM('A-12'!E175,'A-7'!G39))</f>
        <v>283</v>
      </c>
      <c r="F175" s="193" t="str">
        <f>IF(AND('A-12'!F175="-",'A-7'!H39="-"),"-",SUM('A-12'!F175,'A-7'!H39))</f>
        <v>-</v>
      </c>
      <c r="G175" s="193" t="str">
        <f>IF(AND('A-12'!G175="-",'A-7'!I39="-"),"-",SUM('A-12'!G175,'A-7'!I39))</f>
        <v>-</v>
      </c>
      <c r="H175" s="193">
        <f t="shared" si="15"/>
        <v>619</v>
      </c>
    </row>
    <row r="176" spans="1:8" ht="11.25" customHeight="1" x14ac:dyDescent="0.25">
      <c r="A176" s="473">
        <v>2006</v>
      </c>
      <c r="B176" s="193">
        <f>IF(AND('A-12'!B176="-",'A-7'!D40="-"),"-",SUM('A-12'!B176,'A-7'!D40))</f>
        <v>587</v>
      </c>
      <c r="C176" s="193">
        <f>IF(AND('A-12'!C176="-",'A-7'!E40="-"),"-",SUM('A-12'!C176,'A-7'!E40))</f>
        <v>350</v>
      </c>
      <c r="D176" s="193">
        <f>IF(AND('A-12'!D176="-",'A-7'!F40="-"),"-",SUM('A-12'!D176,'A-7'!F40))</f>
        <v>1</v>
      </c>
      <c r="E176" s="193">
        <f>IF(AND('A-12'!E176="-",'A-7'!G40="-"),"-",SUM('A-12'!E176,'A-7'!G40))</f>
        <v>81</v>
      </c>
      <c r="F176" s="193">
        <f>IF(AND('A-12'!F176="-",'A-7'!H40="-"),"-",SUM('A-12'!F176,'A-7'!H40))</f>
        <v>99</v>
      </c>
      <c r="G176" s="193" t="str">
        <f>IF(AND('A-12'!G176="-",'A-7'!I40="-"),"-",SUM('A-12'!G176,'A-7'!I40))</f>
        <v>-</v>
      </c>
      <c r="H176" s="193">
        <f t="shared" si="15"/>
        <v>1118</v>
      </c>
    </row>
    <row r="177" spans="1:13" ht="11.25" customHeight="1" x14ac:dyDescent="0.25">
      <c r="A177" s="477">
        <v>2007</v>
      </c>
      <c r="B177" s="193">
        <f>IF(AND('A-12'!B177="-",'A-7'!D41="-"),"-",SUM('A-12'!B177,'A-7'!D41))</f>
        <v>99</v>
      </c>
      <c r="C177" s="193">
        <f>IF(AND('A-12'!C177="-",'A-7'!E41="-"),"-",SUM('A-12'!C177,'A-7'!E41))</f>
        <v>73</v>
      </c>
      <c r="D177" s="193">
        <f>IF(AND('A-12'!D177="-",'A-7'!F41="-"),"-",SUM('A-12'!D177,'A-7'!F41))</f>
        <v>50</v>
      </c>
      <c r="E177" s="193">
        <f>IF(AND('A-12'!E177="-",'A-7'!G41="-"),"-",SUM('A-12'!E177,'A-7'!G41))</f>
        <v>184</v>
      </c>
      <c r="F177" s="193">
        <f>IF(AND('A-12'!F177="-",'A-7'!H41="-"),"-",SUM('A-12'!F177,'A-7'!H41))</f>
        <v>24</v>
      </c>
      <c r="G177" s="193" t="str">
        <f>IF(AND('A-12'!G177="-",'A-7'!I41="-"),"-",SUM('A-12'!G177,'A-7'!I41))</f>
        <v>-</v>
      </c>
      <c r="H177" s="193">
        <f t="shared" si="15"/>
        <v>430</v>
      </c>
    </row>
    <row r="178" spans="1:13" ht="11.25" customHeight="1" x14ac:dyDescent="0.25">
      <c r="A178" s="477">
        <v>2008</v>
      </c>
      <c r="B178" s="193">
        <f>IF(AND('A-12'!B178="-",'A-7'!D42="-"),"-",SUM('A-12'!B178,'A-7'!D42))</f>
        <v>306</v>
      </c>
      <c r="C178" s="193">
        <f>IF(AND('A-12'!C178="-",'A-7'!E42="-"),"-",SUM('A-12'!C178,'A-7'!E42))</f>
        <v>362</v>
      </c>
      <c r="D178" s="193">
        <f>IF(AND('A-12'!D178="-",'A-7'!F42="-"),"-",SUM('A-12'!D178,'A-7'!F42))</f>
        <v>36</v>
      </c>
      <c r="E178" s="193">
        <f>IF(AND('A-12'!E178="-",'A-7'!G42="-"),"-",SUM('A-12'!E178,'A-7'!G42))</f>
        <v>66</v>
      </c>
      <c r="F178" s="193">
        <f>IF(AND('A-12'!F178="-",'A-7'!H42="-"),"-",SUM('A-12'!F178,'A-7'!H42))</f>
        <v>13</v>
      </c>
      <c r="G178" s="193" t="str">
        <f>IF(AND('A-12'!G178="-",'A-7'!I42="-"),"-",SUM('A-12'!G178,'A-7'!I42))</f>
        <v>-</v>
      </c>
      <c r="H178" s="193">
        <f t="shared" si="15"/>
        <v>783</v>
      </c>
    </row>
    <row r="179" spans="1:13" ht="11.25" customHeight="1" x14ac:dyDescent="0.25">
      <c r="A179" s="477">
        <v>2009</v>
      </c>
      <c r="B179" s="193">
        <f>IF(AND('A-12'!B179="-",'A-7'!D43="-"),"-",SUM('A-12'!B179,'A-7'!D43))</f>
        <v>79</v>
      </c>
      <c r="C179" s="193">
        <f>IF(AND('A-12'!C179="-",'A-7'!E43="-"),"-",SUM('A-12'!C179,'A-7'!E43))</f>
        <v>98</v>
      </c>
      <c r="D179" s="193">
        <f>IF(AND('A-12'!D179="-",'A-7'!F43="-"),"-",SUM('A-12'!D179,'A-7'!F43))</f>
        <v>259</v>
      </c>
      <c r="E179" s="193">
        <f>IF(AND('A-12'!E179="-",'A-7'!G43="-"),"-",SUM('A-12'!E179,'A-7'!G43))</f>
        <v>178</v>
      </c>
      <c r="F179" s="193">
        <f>IF(AND('A-12'!F179="-",'A-7'!H43="-"),"-",SUM('A-12'!F179,'A-7'!H43))</f>
        <v>13</v>
      </c>
      <c r="G179" s="193" t="str">
        <f>IF(AND('A-12'!G179="-",'A-7'!I43="-"),"-",SUM('A-12'!G179,'A-7'!I43))</f>
        <v>-</v>
      </c>
      <c r="H179" s="193">
        <f t="shared" si="15"/>
        <v>627</v>
      </c>
    </row>
    <row r="180" spans="1:13" ht="11.25" customHeight="1" x14ac:dyDescent="0.25">
      <c r="A180" s="477">
        <v>2010</v>
      </c>
      <c r="B180" s="193">
        <f>IF(AND('A-12'!B180="-",'A-7'!D44="-"),"-",SUM('A-12'!B180,'A-7'!D44))</f>
        <v>91</v>
      </c>
      <c r="C180" s="193">
        <f>IF(AND('A-12'!C180="-",'A-7'!E44="-"),"-",SUM('A-12'!C180,'A-7'!E44))</f>
        <v>310</v>
      </c>
      <c r="D180" s="193">
        <f>IF(AND('A-12'!D180="-",'A-7'!F44="-"),"-",SUM('A-12'!D180,'A-7'!F44))</f>
        <v>164</v>
      </c>
      <c r="E180" s="193">
        <f>IF(AND('A-12'!E180="-",'A-7'!G44="-"),"-",SUM('A-12'!E180,'A-7'!G44))</f>
        <v>136</v>
      </c>
      <c r="F180" s="193">
        <f>IF(AND('A-12'!F180="-",'A-7'!H44="-"),"-",SUM('A-12'!F180,'A-7'!H44))</f>
        <v>23</v>
      </c>
      <c r="G180" s="193" t="str">
        <f>IF(AND('A-12'!G180="-",'A-7'!I44="-"),"-",SUM('A-12'!G180,'A-7'!I44))</f>
        <v>-</v>
      </c>
      <c r="H180" s="193">
        <f t="shared" si="15"/>
        <v>724</v>
      </c>
    </row>
    <row r="181" spans="1:13" ht="11.25" customHeight="1" x14ac:dyDescent="0.25">
      <c r="A181" s="477">
        <v>2011</v>
      </c>
      <c r="B181" s="193">
        <f>IF(AND('A-12'!B181="-",'A-7'!D45="-"),"-",SUM('A-12'!B181,'A-7'!D45))</f>
        <v>127</v>
      </c>
      <c r="C181" s="193">
        <f>IF(AND('A-12'!C181="-",'A-7'!E45="-"),"-",SUM('A-12'!C181,'A-7'!E45))</f>
        <v>167</v>
      </c>
      <c r="D181" s="193">
        <f>IF(AND('A-12'!D181="-",'A-7'!F45="-"),"-",SUM('A-12'!D181,'A-7'!F45))</f>
        <v>42</v>
      </c>
      <c r="E181" s="193">
        <f>IF(AND('A-12'!E181="-",'A-7'!G45="-"),"-",SUM('A-12'!E181,'A-7'!G45))</f>
        <v>27</v>
      </c>
      <c r="F181" s="193">
        <f>IF(AND('A-12'!F181="-",'A-7'!H45="-"),"-",SUM('A-12'!F181,'A-7'!H45))</f>
        <v>18</v>
      </c>
      <c r="G181" s="193" t="str">
        <f>IF(AND('A-12'!G181="-",'A-7'!I45="-"),"-",SUM('A-12'!G181,'A-7'!I45))</f>
        <v>-</v>
      </c>
      <c r="H181" s="193">
        <f t="shared" si="15"/>
        <v>381</v>
      </c>
    </row>
    <row r="182" spans="1:13" ht="11.25" customHeight="1" x14ac:dyDescent="0.25">
      <c r="A182" s="477">
        <v>2012</v>
      </c>
      <c r="B182" s="193">
        <f>IF(AND('A-12'!B182="-",'A-7'!D46="-"),"-",SUM('A-12'!B182,'A-7'!D46))</f>
        <v>63</v>
      </c>
      <c r="C182" s="193">
        <f>IF(AND('A-12'!C182="-",'A-7'!E46="-"),"-",SUM('A-12'!C182,'A-7'!E46))</f>
        <v>299</v>
      </c>
      <c r="D182" s="193">
        <f>IF(AND('A-12'!D182="-",'A-7'!F46="-"),"-",SUM('A-12'!D182,'A-7'!F46))</f>
        <v>51</v>
      </c>
      <c r="E182" s="193">
        <f>IF(AND('A-12'!E182="-",'A-7'!G46="-"),"-",SUM('A-12'!E182,'A-7'!G46))</f>
        <v>27</v>
      </c>
      <c r="F182" s="193">
        <f>IF(AND('A-12'!F182="-",'A-7'!H46="-"),"-",SUM('A-12'!F182,'A-7'!H46))</f>
        <v>83</v>
      </c>
      <c r="G182" s="193" t="str">
        <f>IF(AND('A-12'!G182="-",'A-7'!I46="-"),"-",SUM('A-12'!G182,'A-7'!I46))</f>
        <v>-</v>
      </c>
      <c r="H182" s="193">
        <f t="shared" si="15"/>
        <v>523</v>
      </c>
    </row>
    <row r="183" spans="1:13" ht="11.25" customHeight="1" x14ac:dyDescent="0.25">
      <c r="A183" s="477">
        <v>2013</v>
      </c>
      <c r="B183" s="193">
        <f>IF(AND('A-12'!B183="-",'A-7'!D47="-"),"-",SUM('A-12'!B183,'A-7'!D47))</f>
        <v>111</v>
      </c>
      <c r="C183" s="193">
        <f>IF(AND('A-12'!C183="-",'A-7'!E47="-"),"-",SUM('A-12'!C183,'A-7'!E47))</f>
        <v>170</v>
      </c>
      <c r="D183" s="193">
        <f>IF(AND('A-12'!D183="-",'A-7'!F47="-"),"-",SUM('A-12'!D183,'A-7'!F47))</f>
        <v>47</v>
      </c>
      <c r="E183" s="193">
        <f>IF(AND('A-12'!E183="-",'A-7'!G47="-"),"-",SUM('A-12'!E183,'A-7'!G47))</f>
        <v>56</v>
      </c>
      <c r="F183" s="193">
        <f>IF(AND('A-12'!F183="-",'A-7'!H47="-"),"-",SUM('A-12'!F183,'A-7'!H47))</f>
        <v>33</v>
      </c>
      <c r="G183" s="193" t="str">
        <f>IF(AND('A-12'!G183="-",'A-7'!I47="-"),"-",SUM('A-12'!G183,'A-7'!I47))</f>
        <v>-</v>
      </c>
      <c r="H183" s="193">
        <f t="shared" si="15"/>
        <v>417</v>
      </c>
    </row>
    <row r="184" spans="1:13" ht="11.25" customHeight="1" x14ac:dyDescent="0.25">
      <c r="A184" s="477">
        <v>2014</v>
      </c>
      <c r="B184" s="193">
        <f>IF(AND('A-12'!B184="-",'A-7'!D48="-"),"-",SUM('A-12'!B184,'A-7'!D48))</f>
        <v>705</v>
      </c>
      <c r="C184" s="193">
        <f>IF(AND('A-12'!C184="-",'A-7'!E48="-"),"-",SUM('A-12'!C184,'A-7'!E48))</f>
        <v>128</v>
      </c>
      <c r="D184" s="193">
        <f>IF(AND('A-12'!D184="-",'A-7'!F48="-"),"-",SUM('A-12'!D184,'A-7'!F48))</f>
        <v>203</v>
      </c>
      <c r="E184" s="193">
        <f>IF(AND('A-12'!E184="-",'A-7'!G48="-"),"-",SUM('A-12'!E184,'A-7'!G48))</f>
        <v>100</v>
      </c>
      <c r="F184" s="193">
        <f>IF(AND('A-12'!F184="-",'A-7'!H48="-"),"-",SUM('A-12'!F184,'A-7'!H48))</f>
        <v>74</v>
      </c>
      <c r="G184" s="193" t="str">
        <f>IF(AND('A-12'!G184="-",'A-7'!I48="-"),"-",SUM('A-12'!G184,'A-7'!I48))</f>
        <v>-</v>
      </c>
      <c r="H184" s="193">
        <f t="shared" si="15"/>
        <v>1210</v>
      </c>
      <c r="I184" s="236"/>
      <c r="J184" s="292"/>
      <c r="K184" s="292"/>
      <c r="L184" s="292"/>
      <c r="M184" s="292"/>
    </row>
    <row r="185" spans="1:13" ht="11.25" customHeight="1" x14ac:dyDescent="0.25">
      <c r="A185" s="477">
        <v>2015</v>
      </c>
      <c r="B185" s="197">
        <f>IF(AND('A-12'!B185="-",'A-7'!D49="-"),"-",SUM('A-12'!B185,'A-7'!D49))</f>
        <v>708</v>
      </c>
      <c r="C185" s="197">
        <f>IF(AND('A-12'!C185="-",'A-7'!E49="-"),"-",SUM('A-12'!C185,'A-7'!E49))</f>
        <v>114</v>
      </c>
      <c r="D185" s="197">
        <f>IF(AND('A-12'!D185="-",'A-7'!F49="-"),"-",SUM('A-12'!D185,'A-7'!F49))</f>
        <v>59</v>
      </c>
      <c r="E185" s="197">
        <f>IF(AND('A-12'!E185="-",'A-7'!G49="-"),"-",SUM('A-12'!E185,'A-7'!G49))</f>
        <v>87</v>
      </c>
      <c r="F185" s="197">
        <f>IF(AND('A-12'!F185="-",'A-7'!H49="-"),"-",SUM('A-12'!F185,'A-7'!H49))</f>
        <v>125</v>
      </c>
      <c r="G185" s="197" t="str">
        <f>IF(AND('A-12'!G185="-",'A-7'!I49="-"),"-",SUM('A-12'!G185,'A-7'!I49))</f>
        <v>-</v>
      </c>
      <c r="H185" s="197">
        <f t="shared" ref="H185:H190" si="16">SUM(B185:G185)</f>
        <v>1093</v>
      </c>
      <c r="I185" s="238"/>
      <c r="J185" s="238"/>
      <c r="K185" s="238"/>
      <c r="L185" s="238"/>
      <c r="M185" s="238"/>
    </row>
    <row r="186" spans="1:13" ht="11.25" customHeight="1" x14ac:dyDescent="0.25">
      <c r="A186" s="477">
        <v>2016</v>
      </c>
      <c r="B186" s="197">
        <f>IF(AND('A-12'!B186="-",'A-7'!D50="-"),"-",SUM('A-12'!B186,'A-7'!D50))</f>
        <v>149</v>
      </c>
      <c r="C186" s="197">
        <f>IF(AND('A-12'!C186="-",'A-7'!E50="-"),"-",SUM('A-12'!C186,'A-7'!E50))</f>
        <v>130</v>
      </c>
      <c r="D186" s="197">
        <f>IF(AND('A-12'!D186="-",'A-7'!F50="-"),"-",SUM('A-12'!D186,'A-7'!F50))</f>
        <v>51</v>
      </c>
      <c r="E186" s="197">
        <f>IF(AND('A-12'!E186="-",'A-7'!G50="-"),"-",SUM('A-12'!E186,'A-7'!G50))</f>
        <v>83</v>
      </c>
      <c r="F186" s="197" t="str">
        <f>IF(AND('A-12'!F186="-",'A-7'!H50="-"),"-",SUM('A-12'!F186,'A-7'!H50))</f>
        <v>-</v>
      </c>
      <c r="G186" s="197" t="str">
        <f>IF(AND('A-12'!G186="-",'A-7'!I50="-"),"-",SUM('A-12'!G186,'A-7'!I50))</f>
        <v>-</v>
      </c>
      <c r="H186" s="197">
        <f t="shared" si="16"/>
        <v>413</v>
      </c>
      <c r="I186" s="238"/>
      <c r="J186" s="238"/>
      <c r="K186" s="238"/>
      <c r="L186" s="238"/>
      <c r="M186" s="238"/>
    </row>
    <row r="187" spans="1:13" ht="11.25" customHeight="1" x14ac:dyDescent="0.25">
      <c r="A187" s="477">
        <v>2017</v>
      </c>
      <c r="B187" s="197">
        <f>IF(AND('A-12'!B187="-",'A-7'!D51="-"),"-",SUM('A-12'!B187,'A-7'!D51))</f>
        <v>98</v>
      </c>
      <c r="C187" s="197">
        <f>IF(AND('A-12'!C187="-",'A-7'!E51="-"),"-",SUM('A-12'!C187,'A-7'!E51))</f>
        <v>116</v>
      </c>
      <c r="D187" s="197">
        <f>IF(AND('A-12'!D187="-",'A-7'!F51="-"),"-",SUM('A-12'!D187,'A-7'!F51))</f>
        <v>26</v>
      </c>
      <c r="E187" s="197">
        <f>IF(AND('A-12'!E187="-",'A-7'!G51="-"),"-",SUM('A-12'!E187,'A-7'!G51))</f>
        <v>119</v>
      </c>
      <c r="F187" s="197">
        <f>IF(AND('A-12'!F187="-",'A-7'!H51="-"),"-",SUM('A-12'!F187,'A-7'!H51))</f>
        <v>76</v>
      </c>
      <c r="G187" s="197" t="str">
        <f>IF(AND('A-12'!G187="-",'A-7'!I51="-"),"-",SUM('A-12'!G187,'A-7'!I51))</f>
        <v>-</v>
      </c>
      <c r="H187" s="197">
        <f t="shared" si="16"/>
        <v>435</v>
      </c>
      <c r="I187" s="238"/>
      <c r="J187" s="238"/>
      <c r="K187" s="238"/>
      <c r="L187" s="238"/>
      <c r="M187" s="238"/>
    </row>
    <row r="188" spans="1:13" s="358" customFormat="1" ht="11.25" customHeight="1" x14ac:dyDescent="0.25">
      <c r="A188" s="477">
        <v>2018</v>
      </c>
      <c r="B188" s="197">
        <f>IF(AND('A-12'!B188="-",'A-7'!D52="-"),"-",SUM('A-12'!B188,'A-7'!D52))</f>
        <v>29</v>
      </c>
      <c r="C188" s="197">
        <f>IF(AND('A-12'!C188="-",'A-7'!E52="-"),"-",SUM('A-12'!C188,'A-7'!E52))</f>
        <v>67</v>
      </c>
      <c r="D188" s="197">
        <f>IF(AND('A-12'!D188="-",'A-7'!F52="-"),"-",SUM('A-12'!D188,'A-7'!F52))</f>
        <v>18</v>
      </c>
      <c r="E188" s="197">
        <f>IF(AND('A-12'!E188="-",'A-7'!G52="-"),"-",SUM('A-12'!E188,'A-7'!G52))</f>
        <v>36</v>
      </c>
      <c r="F188" s="197">
        <f>IF(AND('A-12'!F188="-",'A-7'!H52="-"),"-",SUM('A-12'!F188,'A-7'!H52))</f>
        <v>2</v>
      </c>
      <c r="G188" s="197" t="str">
        <f>IF(AND('A-12'!G188="-",'A-7'!I52="-"),"-",SUM('A-12'!G188,'A-7'!I52))</f>
        <v>-</v>
      </c>
      <c r="H188" s="197">
        <f t="shared" si="16"/>
        <v>152</v>
      </c>
      <c r="I188" s="238"/>
      <c r="J188" s="238"/>
      <c r="K188" s="238"/>
      <c r="L188" s="238"/>
      <c r="M188" s="238"/>
    </row>
    <row r="189" spans="1:13" s="358" customFormat="1" ht="11.25" customHeight="1" x14ac:dyDescent="0.25">
      <c r="A189" s="157">
        <v>2019</v>
      </c>
      <c r="B189" s="197">
        <f>IF(AND('A-12'!B189="-",'A-7'!D53="-"),"-",SUM('A-12'!B189,'A-7'!D53))</f>
        <v>51</v>
      </c>
      <c r="C189" s="197">
        <f>IF(AND('A-12'!C189="-",'A-7'!E53="-"),"-",SUM('A-12'!C189,'A-7'!E53))</f>
        <v>26</v>
      </c>
      <c r="D189" s="197">
        <f>IF(AND('A-12'!D189="-",'A-7'!F53="-"),"-",SUM('A-12'!D189,'A-7'!F53))</f>
        <v>109</v>
      </c>
      <c r="E189" s="197">
        <f>IF(AND('A-12'!E189="-",'A-7'!G53="-"),"-",SUM('A-12'!E189,'A-7'!G53))</f>
        <v>54</v>
      </c>
      <c r="F189" s="197">
        <f>IF(AND('A-12'!F189="-",'A-7'!H53="-"),"-",SUM('A-12'!F189,'A-7'!H53))</f>
        <v>24</v>
      </c>
      <c r="G189" s="197" t="str">
        <f>IF(AND('A-12'!G189="-",'A-7'!I53="-"),"-",SUM('A-12'!G189,'A-7'!I53))</f>
        <v>-</v>
      </c>
      <c r="H189" s="197">
        <f t="shared" si="16"/>
        <v>264</v>
      </c>
      <c r="I189" s="238"/>
      <c r="J189" s="238"/>
      <c r="K189" s="238"/>
      <c r="L189" s="238"/>
      <c r="M189" s="238"/>
    </row>
    <row r="190" spans="1:13" ht="11.25" customHeight="1" x14ac:dyDescent="0.25">
      <c r="A190" s="157" t="s">
        <v>393</v>
      </c>
      <c r="B190" s="197">
        <f>IF(AND('A-12'!B190="-",'A-7'!D54="-"),"-",SUM('A-12'!B190,'A-7'!D54))</f>
        <v>34</v>
      </c>
      <c r="C190" s="197">
        <f>IF(AND('A-12'!C190="-",'A-7'!E54="-"),"-",SUM('A-12'!C190,'A-7'!E54))</f>
        <v>38</v>
      </c>
      <c r="D190" s="197">
        <f>IF(AND('A-12'!D190="-",'A-7'!F54="-"),"-",SUM('A-12'!D190,'A-7'!F54))</f>
        <v>20</v>
      </c>
      <c r="E190" s="197">
        <f>IF(AND('A-12'!E190="-",'A-7'!G54="-"),"-",SUM('A-12'!E190,'A-7'!G54))</f>
        <v>23</v>
      </c>
      <c r="F190" s="197">
        <f>IF(AND('A-12'!F190="-",'A-7'!H54="-"),"-",SUM('A-12'!F190,'A-7'!H54))</f>
        <v>8</v>
      </c>
      <c r="G190" s="197" t="str">
        <f>IF(AND('A-12'!G190="-",'A-7'!I54="-"),"-",SUM('A-12'!G190,'A-7'!I54))</f>
        <v>-</v>
      </c>
      <c r="H190" s="197">
        <f t="shared" si="16"/>
        <v>123</v>
      </c>
      <c r="I190" s="292"/>
      <c r="J190" s="292"/>
      <c r="K190" s="292"/>
      <c r="L190" s="292"/>
      <c r="M190" s="292"/>
    </row>
    <row r="191" spans="1:13" ht="11.25" customHeight="1" x14ac:dyDescent="0.25"/>
    <row r="192" spans="1:13" ht="11.25" customHeight="1" x14ac:dyDescent="0.25">
      <c r="A192" s="116" t="s">
        <v>97</v>
      </c>
    </row>
    <row r="193" spans="1:8" ht="11.25" customHeight="1" x14ac:dyDescent="0.25">
      <c r="A193" s="473">
        <v>1976</v>
      </c>
      <c r="B193" s="193">
        <f t="shared" ref="B193:H202" si="17">IF(AND(B146="-",B5="-"),"-",SUM(B146,B5))</f>
        <v>4766</v>
      </c>
      <c r="C193" s="193">
        <f t="shared" si="17"/>
        <v>8438</v>
      </c>
      <c r="D193" s="193">
        <f t="shared" si="17"/>
        <v>19192</v>
      </c>
      <c r="E193" s="193">
        <f t="shared" si="17"/>
        <v>17885</v>
      </c>
      <c r="F193" s="193">
        <f t="shared" si="17"/>
        <v>12579</v>
      </c>
      <c r="G193" s="193">
        <f t="shared" si="17"/>
        <v>121</v>
      </c>
      <c r="H193" s="193">
        <f t="shared" si="17"/>
        <v>62981</v>
      </c>
    </row>
    <row r="194" spans="1:8" ht="11.25" customHeight="1" x14ac:dyDescent="0.25">
      <c r="A194" s="473">
        <v>1977</v>
      </c>
      <c r="B194" s="193">
        <f t="shared" si="17"/>
        <v>4778</v>
      </c>
      <c r="C194" s="193">
        <f t="shared" si="17"/>
        <v>3617</v>
      </c>
      <c r="D194" s="193">
        <f t="shared" si="17"/>
        <v>21596</v>
      </c>
      <c r="E194" s="193">
        <f t="shared" si="17"/>
        <v>16084</v>
      </c>
      <c r="F194" s="193">
        <f t="shared" si="17"/>
        <v>9994</v>
      </c>
      <c r="G194" s="193">
        <f t="shared" si="17"/>
        <v>90</v>
      </c>
      <c r="H194" s="193">
        <f t="shared" si="17"/>
        <v>56159</v>
      </c>
    </row>
    <row r="195" spans="1:8" ht="11.25" customHeight="1" x14ac:dyDescent="0.25">
      <c r="A195" s="473">
        <v>1978</v>
      </c>
      <c r="B195" s="193">
        <f t="shared" si="17"/>
        <v>2950</v>
      </c>
      <c r="C195" s="193">
        <f t="shared" si="17"/>
        <v>3062</v>
      </c>
      <c r="D195" s="193">
        <f t="shared" si="17"/>
        <v>15495</v>
      </c>
      <c r="E195" s="193">
        <f t="shared" si="17"/>
        <v>11225</v>
      </c>
      <c r="F195" s="193">
        <f t="shared" si="17"/>
        <v>8788</v>
      </c>
      <c r="G195" s="193">
        <f t="shared" si="17"/>
        <v>58</v>
      </c>
      <c r="H195" s="193">
        <f t="shared" si="17"/>
        <v>41578</v>
      </c>
    </row>
    <row r="196" spans="1:8" ht="11.25" customHeight="1" x14ac:dyDescent="0.25">
      <c r="A196" s="473">
        <v>1979</v>
      </c>
      <c r="B196" s="193">
        <f t="shared" si="17"/>
        <v>4751</v>
      </c>
      <c r="C196" s="193">
        <f t="shared" si="17"/>
        <v>164</v>
      </c>
      <c r="D196" s="193">
        <f t="shared" si="17"/>
        <v>15710</v>
      </c>
      <c r="E196" s="193">
        <f t="shared" si="17"/>
        <v>21901</v>
      </c>
      <c r="F196" s="193">
        <f t="shared" si="17"/>
        <v>191</v>
      </c>
      <c r="G196" s="193">
        <f t="shared" si="17"/>
        <v>1</v>
      </c>
      <c r="H196" s="193">
        <f t="shared" si="17"/>
        <v>42718</v>
      </c>
    </row>
    <row r="197" spans="1:8" ht="11.25" customHeight="1" x14ac:dyDescent="0.25">
      <c r="A197" s="473">
        <v>1980</v>
      </c>
      <c r="B197" s="193">
        <f t="shared" si="17"/>
        <v>4663</v>
      </c>
      <c r="C197" s="193">
        <f t="shared" si="17"/>
        <v>218</v>
      </c>
      <c r="D197" s="193">
        <f t="shared" si="17"/>
        <v>9481</v>
      </c>
      <c r="E197" s="193">
        <f t="shared" si="17"/>
        <v>11846</v>
      </c>
      <c r="F197" s="193">
        <f t="shared" si="17"/>
        <v>640</v>
      </c>
      <c r="G197" s="193">
        <f t="shared" si="17"/>
        <v>8</v>
      </c>
      <c r="H197" s="193">
        <f t="shared" si="17"/>
        <v>26856</v>
      </c>
    </row>
    <row r="198" spans="1:8" ht="11.25" customHeight="1" x14ac:dyDescent="0.25">
      <c r="A198" s="473">
        <v>1981</v>
      </c>
      <c r="B198" s="193">
        <f t="shared" si="17"/>
        <v>5496</v>
      </c>
      <c r="C198" s="193">
        <f t="shared" si="17"/>
        <v>207</v>
      </c>
      <c r="D198" s="193">
        <f t="shared" si="17"/>
        <v>11201</v>
      </c>
      <c r="E198" s="193">
        <f t="shared" si="17"/>
        <v>11095</v>
      </c>
      <c r="F198" s="193">
        <f t="shared" si="17"/>
        <v>0</v>
      </c>
      <c r="G198" s="193">
        <f t="shared" si="17"/>
        <v>1</v>
      </c>
      <c r="H198" s="193">
        <f t="shared" si="17"/>
        <v>28000</v>
      </c>
    </row>
    <row r="199" spans="1:8" ht="11.25" customHeight="1" x14ac:dyDescent="0.25">
      <c r="A199" s="473">
        <v>1982</v>
      </c>
      <c r="B199" s="193">
        <f t="shared" si="17"/>
        <v>4679</v>
      </c>
      <c r="C199" s="193">
        <f t="shared" si="17"/>
        <v>676</v>
      </c>
      <c r="D199" s="193">
        <f t="shared" si="17"/>
        <v>11372</v>
      </c>
      <c r="E199" s="193">
        <f t="shared" si="17"/>
        <v>396</v>
      </c>
      <c r="F199" s="193">
        <f t="shared" si="17"/>
        <v>0</v>
      </c>
      <c r="G199" s="193">
        <f t="shared" si="17"/>
        <v>0</v>
      </c>
      <c r="H199" s="193">
        <f t="shared" si="17"/>
        <v>17123</v>
      </c>
    </row>
    <row r="200" spans="1:8" ht="11.25" customHeight="1" x14ac:dyDescent="0.25">
      <c r="A200" s="473">
        <v>1983</v>
      </c>
      <c r="B200" s="193">
        <f t="shared" si="17"/>
        <v>4487</v>
      </c>
      <c r="C200" s="193">
        <f t="shared" si="17"/>
        <v>623</v>
      </c>
      <c r="D200" s="193">
        <f t="shared" si="17"/>
        <v>2871</v>
      </c>
      <c r="E200" s="193">
        <f t="shared" si="17"/>
        <v>2095</v>
      </c>
      <c r="F200" s="193">
        <f t="shared" si="17"/>
        <v>732</v>
      </c>
      <c r="G200" s="193">
        <f t="shared" si="17"/>
        <v>0</v>
      </c>
      <c r="H200" s="193">
        <f t="shared" si="17"/>
        <v>10808</v>
      </c>
    </row>
    <row r="201" spans="1:8" ht="11.25" customHeight="1" x14ac:dyDescent="0.25">
      <c r="A201" s="473">
        <v>1984</v>
      </c>
      <c r="B201" s="193">
        <f t="shared" si="17"/>
        <v>665</v>
      </c>
      <c r="C201" s="193">
        <f t="shared" si="17"/>
        <v>0</v>
      </c>
      <c r="D201" s="193">
        <f t="shared" si="17"/>
        <v>0</v>
      </c>
      <c r="E201" s="193">
        <f t="shared" si="17"/>
        <v>915</v>
      </c>
      <c r="F201" s="193">
        <f t="shared" si="17"/>
        <v>0</v>
      </c>
      <c r="G201" s="193">
        <f t="shared" si="17"/>
        <v>0</v>
      </c>
      <c r="H201" s="193">
        <f t="shared" si="17"/>
        <v>1580</v>
      </c>
    </row>
    <row r="202" spans="1:8" ht="11.25" customHeight="1" x14ac:dyDescent="0.25">
      <c r="A202" s="473">
        <v>1985</v>
      </c>
      <c r="B202" s="193">
        <f t="shared" si="17"/>
        <v>3017</v>
      </c>
      <c r="C202" s="193">
        <f t="shared" si="17"/>
        <v>20</v>
      </c>
      <c r="D202" s="193">
        <f t="shared" si="17"/>
        <v>2041</v>
      </c>
      <c r="E202" s="193">
        <f t="shared" si="17"/>
        <v>1971</v>
      </c>
      <c r="F202" s="193">
        <f t="shared" si="17"/>
        <v>14</v>
      </c>
      <c r="G202" s="193">
        <f t="shared" si="17"/>
        <v>1</v>
      </c>
      <c r="H202" s="193">
        <f t="shared" si="17"/>
        <v>7064</v>
      </c>
    </row>
    <row r="203" spans="1:8" ht="11.25" customHeight="1" x14ac:dyDescent="0.25">
      <c r="A203" s="473">
        <v>1986</v>
      </c>
      <c r="B203" s="193">
        <f t="shared" ref="B203:H212" si="18">IF(AND(B156="-",B15="-"),"-",SUM(B156,B15))</f>
        <v>2697</v>
      </c>
      <c r="C203" s="193">
        <f t="shared" si="18"/>
        <v>15</v>
      </c>
      <c r="D203" s="193" t="str">
        <f t="shared" si="18"/>
        <v>-</v>
      </c>
      <c r="E203" s="193">
        <f t="shared" si="18"/>
        <v>2694</v>
      </c>
      <c r="F203" s="193" t="str">
        <f t="shared" si="18"/>
        <v>-</v>
      </c>
      <c r="G203" s="193" t="str">
        <f t="shared" si="18"/>
        <v>-</v>
      </c>
      <c r="H203" s="193">
        <f t="shared" si="18"/>
        <v>5406</v>
      </c>
    </row>
    <row r="204" spans="1:8" ht="11.25" customHeight="1" x14ac:dyDescent="0.25">
      <c r="A204" s="473">
        <v>1987</v>
      </c>
      <c r="B204" s="193">
        <f t="shared" si="18"/>
        <v>2095</v>
      </c>
      <c r="C204" s="193" t="str">
        <f t="shared" si="18"/>
        <v>-</v>
      </c>
      <c r="D204" s="193">
        <f t="shared" si="18"/>
        <v>1339</v>
      </c>
      <c r="E204" s="193">
        <f t="shared" si="18"/>
        <v>7</v>
      </c>
      <c r="F204" s="193" t="str">
        <f t="shared" si="18"/>
        <v>-</v>
      </c>
      <c r="G204" s="193" t="str">
        <f t="shared" si="18"/>
        <v>-</v>
      </c>
      <c r="H204" s="193">
        <f t="shared" si="18"/>
        <v>3441</v>
      </c>
    </row>
    <row r="205" spans="1:8" ht="11.25" customHeight="1" x14ac:dyDescent="0.25">
      <c r="A205" s="473">
        <v>1988</v>
      </c>
      <c r="B205" s="193">
        <f t="shared" si="18"/>
        <v>3724</v>
      </c>
      <c r="C205" s="193">
        <f t="shared" si="18"/>
        <v>2206</v>
      </c>
      <c r="D205" s="193">
        <f t="shared" si="18"/>
        <v>3</v>
      </c>
      <c r="E205" s="193">
        <f t="shared" si="18"/>
        <v>24</v>
      </c>
      <c r="F205" s="193" t="str">
        <f t="shared" si="18"/>
        <v>-</v>
      </c>
      <c r="G205" s="193" t="str">
        <f t="shared" si="18"/>
        <v>-</v>
      </c>
      <c r="H205" s="193">
        <f t="shared" si="18"/>
        <v>5957</v>
      </c>
    </row>
    <row r="206" spans="1:8" ht="11.25" customHeight="1" x14ac:dyDescent="0.25">
      <c r="A206" s="473">
        <v>1989</v>
      </c>
      <c r="B206" s="193">
        <f t="shared" si="18"/>
        <v>2328</v>
      </c>
      <c r="C206" s="193">
        <f t="shared" si="18"/>
        <v>1129</v>
      </c>
      <c r="D206" s="193" t="str">
        <f t="shared" si="18"/>
        <v>-</v>
      </c>
      <c r="E206" s="193">
        <f t="shared" si="18"/>
        <v>1781</v>
      </c>
      <c r="F206" s="193">
        <f t="shared" si="18"/>
        <v>692</v>
      </c>
      <c r="G206" s="193" t="str">
        <f t="shared" si="18"/>
        <v>-</v>
      </c>
      <c r="H206" s="193">
        <f t="shared" si="18"/>
        <v>5930</v>
      </c>
    </row>
    <row r="207" spans="1:8" ht="11.25" customHeight="1" x14ac:dyDescent="0.25">
      <c r="A207" s="473">
        <v>1990</v>
      </c>
      <c r="B207" s="193">
        <f t="shared" si="18"/>
        <v>2147</v>
      </c>
      <c r="C207" s="193">
        <f t="shared" si="18"/>
        <v>231</v>
      </c>
      <c r="D207" s="193" t="str">
        <f t="shared" si="18"/>
        <v>-</v>
      </c>
      <c r="E207" s="193">
        <f t="shared" si="18"/>
        <v>2730</v>
      </c>
      <c r="F207" s="193">
        <f t="shared" si="18"/>
        <v>1023</v>
      </c>
      <c r="G207" s="193">
        <f t="shared" si="18"/>
        <v>22</v>
      </c>
      <c r="H207" s="193">
        <f t="shared" si="18"/>
        <v>6153</v>
      </c>
    </row>
    <row r="208" spans="1:8" ht="11.25" customHeight="1" x14ac:dyDescent="0.25">
      <c r="A208" s="473">
        <v>1991</v>
      </c>
      <c r="B208" s="193">
        <f t="shared" si="18"/>
        <v>1838</v>
      </c>
      <c r="C208" s="193">
        <f t="shared" si="18"/>
        <v>1010</v>
      </c>
      <c r="D208" s="193" t="str">
        <f t="shared" si="18"/>
        <v>-</v>
      </c>
      <c r="E208" s="193">
        <f t="shared" si="18"/>
        <v>2026</v>
      </c>
      <c r="F208" s="193">
        <f t="shared" si="18"/>
        <v>657</v>
      </c>
      <c r="G208" s="193" t="str">
        <f t="shared" si="18"/>
        <v>-</v>
      </c>
      <c r="H208" s="193">
        <f t="shared" si="18"/>
        <v>5531</v>
      </c>
    </row>
    <row r="209" spans="1:8" ht="11.25" customHeight="1" x14ac:dyDescent="0.25">
      <c r="A209" s="473">
        <v>1992</v>
      </c>
      <c r="B209" s="193">
        <f t="shared" si="18"/>
        <v>2095</v>
      </c>
      <c r="C209" s="193">
        <f t="shared" si="18"/>
        <v>1363</v>
      </c>
      <c r="D209" s="193">
        <f t="shared" si="18"/>
        <v>984</v>
      </c>
      <c r="E209" s="193">
        <f t="shared" si="18"/>
        <v>666</v>
      </c>
      <c r="F209" s="193" t="str">
        <f t="shared" si="18"/>
        <v>-</v>
      </c>
      <c r="G209" s="193" t="str">
        <f t="shared" si="18"/>
        <v>-</v>
      </c>
      <c r="H209" s="193">
        <f t="shared" si="18"/>
        <v>5108</v>
      </c>
    </row>
    <row r="210" spans="1:8" ht="11.25" customHeight="1" x14ac:dyDescent="0.25">
      <c r="A210" s="473">
        <v>1993</v>
      </c>
      <c r="B210" s="193">
        <f t="shared" si="18"/>
        <v>1261</v>
      </c>
      <c r="C210" s="193">
        <f t="shared" si="18"/>
        <v>945</v>
      </c>
      <c r="D210" s="193">
        <f t="shared" si="18"/>
        <v>791</v>
      </c>
      <c r="E210" s="193">
        <f t="shared" si="18"/>
        <v>426</v>
      </c>
      <c r="F210" s="193">
        <f t="shared" si="18"/>
        <v>489</v>
      </c>
      <c r="G210" s="193" t="str">
        <f t="shared" si="18"/>
        <v>-</v>
      </c>
      <c r="H210" s="193">
        <f t="shared" si="18"/>
        <v>3912</v>
      </c>
    </row>
    <row r="211" spans="1:8" ht="11.25" customHeight="1" x14ac:dyDescent="0.25">
      <c r="A211" s="473">
        <v>1994</v>
      </c>
      <c r="B211" s="193" t="str">
        <f t="shared" si="18"/>
        <v>-</v>
      </c>
      <c r="C211" s="193" t="str">
        <f t="shared" si="18"/>
        <v>-</v>
      </c>
      <c r="D211" s="193" t="str">
        <f t="shared" si="18"/>
        <v>-</v>
      </c>
      <c r="E211" s="193" t="str">
        <f t="shared" si="18"/>
        <v>-</v>
      </c>
      <c r="F211" s="193" t="str">
        <f t="shared" si="18"/>
        <v>-</v>
      </c>
      <c r="G211" s="193" t="str">
        <f t="shared" si="18"/>
        <v>-</v>
      </c>
      <c r="H211" s="193" t="str">
        <f t="shared" si="18"/>
        <v>-</v>
      </c>
    </row>
    <row r="212" spans="1:8" ht="11.25" customHeight="1" x14ac:dyDescent="0.25">
      <c r="A212" s="473">
        <v>1995</v>
      </c>
      <c r="B212" s="193" t="str">
        <f t="shared" si="18"/>
        <v>-</v>
      </c>
      <c r="C212" s="193" t="str">
        <f t="shared" si="18"/>
        <v>-</v>
      </c>
      <c r="D212" s="193" t="str">
        <f t="shared" si="18"/>
        <v>-</v>
      </c>
      <c r="E212" s="193">
        <f t="shared" si="18"/>
        <v>397</v>
      </c>
      <c r="F212" s="193">
        <f t="shared" si="18"/>
        <v>74</v>
      </c>
      <c r="G212" s="193" t="str">
        <f t="shared" si="18"/>
        <v>-</v>
      </c>
      <c r="H212" s="193">
        <f t="shared" si="18"/>
        <v>471</v>
      </c>
    </row>
    <row r="213" spans="1:8" ht="11.25" customHeight="1" x14ac:dyDescent="0.25">
      <c r="A213" s="473">
        <v>1996</v>
      </c>
      <c r="B213" s="193" t="str">
        <f t="shared" ref="B213:H222" si="19">IF(AND(B166="-",B25="-"),"-",SUM(B166,B25))</f>
        <v>-</v>
      </c>
      <c r="C213" s="193" t="str">
        <f t="shared" si="19"/>
        <v>-</v>
      </c>
      <c r="D213" s="193">
        <f t="shared" si="19"/>
        <v>181</v>
      </c>
      <c r="E213" s="193">
        <f t="shared" si="19"/>
        <v>231</v>
      </c>
      <c r="F213" s="193" t="str">
        <f t="shared" si="19"/>
        <v>-</v>
      </c>
      <c r="G213" s="193" t="str">
        <f t="shared" si="19"/>
        <v>-</v>
      </c>
      <c r="H213" s="193">
        <f t="shared" si="19"/>
        <v>412</v>
      </c>
    </row>
    <row r="214" spans="1:8" ht="11.25" customHeight="1" x14ac:dyDescent="0.25">
      <c r="A214" s="473">
        <v>1997</v>
      </c>
      <c r="B214" s="193">
        <f t="shared" si="19"/>
        <v>300</v>
      </c>
      <c r="C214" s="193">
        <f t="shared" si="19"/>
        <v>160</v>
      </c>
      <c r="D214" s="193" t="str">
        <f t="shared" si="19"/>
        <v>-</v>
      </c>
      <c r="E214" s="193" t="str">
        <f t="shared" si="19"/>
        <v>-</v>
      </c>
      <c r="F214" s="193" t="str">
        <f t="shared" si="19"/>
        <v>-</v>
      </c>
      <c r="G214" s="193" t="str">
        <f t="shared" si="19"/>
        <v>-</v>
      </c>
      <c r="H214" s="193">
        <f t="shared" si="19"/>
        <v>460</v>
      </c>
    </row>
    <row r="215" spans="1:8" ht="11.25" customHeight="1" x14ac:dyDescent="0.25">
      <c r="A215" s="473">
        <v>1998</v>
      </c>
      <c r="B215" s="193">
        <f t="shared" si="19"/>
        <v>127</v>
      </c>
      <c r="C215" s="193">
        <f t="shared" si="19"/>
        <v>12</v>
      </c>
      <c r="D215" s="193" t="str">
        <f t="shared" si="19"/>
        <v>-</v>
      </c>
      <c r="E215" s="193" t="str">
        <f t="shared" si="19"/>
        <v>-</v>
      </c>
      <c r="F215" s="193" t="str">
        <f t="shared" si="19"/>
        <v>-</v>
      </c>
      <c r="G215" s="193" t="str">
        <f t="shared" si="19"/>
        <v>-</v>
      </c>
      <c r="H215" s="193">
        <f t="shared" si="19"/>
        <v>139</v>
      </c>
    </row>
    <row r="216" spans="1:8" ht="11.25" customHeight="1" x14ac:dyDescent="0.25">
      <c r="A216" s="473">
        <v>1999</v>
      </c>
      <c r="B216" s="193">
        <f t="shared" si="19"/>
        <v>271</v>
      </c>
      <c r="C216" s="193">
        <f t="shared" si="19"/>
        <v>232</v>
      </c>
      <c r="D216" s="193">
        <f t="shared" si="19"/>
        <v>135</v>
      </c>
      <c r="E216" s="193">
        <f t="shared" si="19"/>
        <v>86</v>
      </c>
      <c r="F216" s="193">
        <f t="shared" si="19"/>
        <v>6</v>
      </c>
      <c r="G216" s="193" t="str">
        <f t="shared" si="19"/>
        <v>-</v>
      </c>
      <c r="H216" s="193">
        <f t="shared" si="19"/>
        <v>730</v>
      </c>
    </row>
    <row r="217" spans="1:8" ht="11.25" customHeight="1" x14ac:dyDescent="0.25">
      <c r="A217" s="473">
        <v>2000</v>
      </c>
      <c r="B217" s="193">
        <f t="shared" si="19"/>
        <v>194</v>
      </c>
      <c r="C217" s="193">
        <f t="shared" si="19"/>
        <v>101</v>
      </c>
      <c r="D217" s="193" t="str">
        <f t="shared" si="19"/>
        <v>-</v>
      </c>
      <c r="E217" s="193">
        <f t="shared" si="19"/>
        <v>365</v>
      </c>
      <c r="F217" s="193">
        <f t="shared" si="19"/>
        <v>32</v>
      </c>
      <c r="G217" s="193" t="str">
        <f t="shared" si="19"/>
        <v>-</v>
      </c>
      <c r="H217" s="193">
        <f t="shared" si="19"/>
        <v>692</v>
      </c>
    </row>
    <row r="218" spans="1:8" ht="11.25" customHeight="1" x14ac:dyDescent="0.25">
      <c r="A218" s="473">
        <v>2001</v>
      </c>
      <c r="B218" s="193">
        <f t="shared" si="19"/>
        <v>238</v>
      </c>
      <c r="C218" s="193">
        <f t="shared" si="19"/>
        <v>239</v>
      </c>
      <c r="D218" s="193">
        <f t="shared" si="19"/>
        <v>256</v>
      </c>
      <c r="E218" s="193">
        <f t="shared" si="19"/>
        <v>196</v>
      </c>
      <c r="F218" s="193">
        <f t="shared" si="19"/>
        <v>77</v>
      </c>
      <c r="G218" s="193" t="str">
        <f t="shared" si="19"/>
        <v>-</v>
      </c>
      <c r="H218" s="193">
        <f t="shared" si="19"/>
        <v>1006</v>
      </c>
    </row>
    <row r="219" spans="1:8" ht="11.25" customHeight="1" x14ac:dyDescent="0.25">
      <c r="A219" s="473">
        <v>2002</v>
      </c>
      <c r="B219" s="193">
        <f t="shared" si="19"/>
        <v>468</v>
      </c>
      <c r="C219" s="193">
        <f t="shared" si="19"/>
        <v>240</v>
      </c>
      <c r="D219" s="193">
        <f t="shared" si="19"/>
        <v>602</v>
      </c>
      <c r="E219" s="193">
        <f t="shared" si="19"/>
        <v>458</v>
      </c>
      <c r="F219" s="193" t="str">
        <f t="shared" si="19"/>
        <v>-</v>
      </c>
      <c r="G219" s="193" t="str">
        <f t="shared" si="19"/>
        <v>-</v>
      </c>
      <c r="H219" s="193">
        <f t="shared" si="19"/>
        <v>1768</v>
      </c>
    </row>
    <row r="220" spans="1:8" ht="11.25" customHeight="1" x14ac:dyDescent="0.25">
      <c r="A220" s="473">
        <v>2003</v>
      </c>
      <c r="B220" s="193">
        <f t="shared" si="19"/>
        <v>534</v>
      </c>
      <c r="C220" s="193">
        <f t="shared" si="19"/>
        <v>219</v>
      </c>
      <c r="D220" s="193">
        <f t="shared" si="19"/>
        <v>628</v>
      </c>
      <c r="E220" s="193">
        <f t="shared" si="19"/>
        <v>590</v>
      </c>
      <c r="F220" s="193">
        <f t="shared" si="19"/>
        <v>140</v>
      </c>
      <c r="G220" s="193" t="str">
        <f t="shared" si="19"/>
        <v>-</v>
      </c>
      <c r="H220" s="193">
        <f t="shared" si="19"/>
        <v>2111</v>
      </c>
    </row>
    <row r="221" spans="1:8" ht="11.25" customHeight="1" x14ac:dyDescent="0.25">
      <c r="A221" s="473">
        <v>2004</v>
      </c>
      <c r="B221" s="193">
        <f t="shared" si="19"/>
        <v>511</v>
      </c>
      <c r="C221" s="193">
        <f t="shared" si="19"/>
        <v>14</v>
      </c>
      <c r="D221" s="193">
        <f t="shared" si="19"/>
        <v>474</v>
      </c>
      <c r="E221" s="193">
        <f t="shared" si="19"/>
        <v>448</v>
      </c>
      <c r="F221" s="193">
        <f t="shared" si="19"/>
        <v>281</v>
      </c>
      <c r="G221" s="193" t="str">
        <f t="shared" si="19"/>
        <v>-</v>
      </c>
      <c r="H221" s="193">
        <f t="shared" si="19"/>
        <v>1728</v>
      </c>
    </row>
    <row r="222" spans="1:8" ht="11.25" customHeight="1" x14ac:dyDescent="0.25">
      <c r="A222" s="477">
        <v>2005</v>
      </c>
      <c r="B222" s="197">
        <f t="shared" si="19"/>
        <v>722</v>
      </c>
      <c r="C222" s="197">
        <f t="shared" si="19"/>
        <v>155</v>
      </c>
      <c r="D222" s="197">
        <f t="shared" si="19"/>
        <v>392</v>
      </c>
      <c r="E222" s="197">
        <f t="shared" si="19"/>
        <v>685</v>
      </c>
      <c r="F222" s="197" t="str">
        <f t="shared" si="19"/>
        <v>-</v>
      </c>
      <c r="G222" s="197" t="str">
        <f t="shared" si="19"/>
        <v>-</v>
      </c>
      <c r="H222" s="197">
        <f t="shared" si="19"/>
        <v>1954</v>
      </c>
    </row>
    <row r="223" spans="1:8" ht="11.25" customHeight="1" x14ac:dyDescent="0.25">
      <c r="A223" s="473">
        <v>2006</v>
      </c>
      <c r="B223" s="193">
        <f t="shared" ref="B223:H229" si="20">IF(AND(B176="-",B35="-"),"-",SUM(B176,B35))</f>
        <v>946</v>
      </c>
      <c r="C223" s="193">
        <f t="shared" si="20"/>
        <v>731</v>
      </c>
      <c r="D223" s="193">
        <f t="shared" si="20"/>
        <v>100</v>
      </c>
      <c r="E223" s="193">
        <f t="shared" si="20"/>
        <v>377</v>
      </c>
      <c r="F223" s="193">
        <f t="shared" si="20"/>
        <v>268</v>
      </c>
      <c r="G223" s="193" t="str">
        <f t="shared" si="20"/>
        <v>-</v>
      </c>
      <c r="H223" s="193">
        <f t="shared" si="20"/>
        <v>2422</v>
      </c>
    </row>
    <row r="224" spans="1:8" ht="11.25" customHeight="1" x14ac:dyDescent="0.25">
      <c r="A224" s="477">
        <v>2007</v>
      </c>
      <c r="B224" s="197">
        <f t="shared" si="20"/>
        <v>544</v>
      </c>
      <c r="C224" s="197">
        <f t="shared" si="20"/>
        <v>326</v>
      </c>
      <c r="D224" s="197">
        <f t="shared" si="20"/>
        <v>404</v>
      </c>
      <c r="E224" s="197">
        <f t="shared" si="20"/>
        <v>298</v>
      </c>
      <c r="F224" s="197">
        <f t="shared" si="20"/>
        <v>32</v>
      </c>
      <c r="G224" s="197" t="str">
        <f t="shared" si="20"/>
        <v>-</v>
      </c>
      <c r="H224" s="197">
        <f t="shared" si="20"/>
        <v>1604</v>
      </c>
    </row>
    <row r="225" spans="1:8" ht="11.25" customHeight="1" x14ac:dyDescent="0.25">
      <c r="A225" s="477">
        <v>2008</v>
      </c>
      <c r="B225" s="197">
        <f t="shared" si="20"/>
        <v>552</v>
      </c>
      <c r="C225" s="197">
        <f t="shared" si="20"/>
        <v>715</v>
      </c>
      <c r="D225" s="197">
        <f t="shared" si="20"/>
        <v>259</v>
      </c>
      <c r="E225" s="197">
        <f t="shared" si="20"/>
        <v>279</v>
      </c>
      <c r="F225" s="197">
        <f t="shared" si="20"/>
        <v>73</v>
      </c>
      <c r="G225" s="197" t="str">
        <f t="shared" si="20"/>
        <v>-</v>
      </c>
      <c r="H225" s="197">
        <f t="shared" si="20"/>
        <v>1878</v>
      </c>
    </row>
    <row r="226" spans="1:8" ht="11.25" customHeight="1" x14ac:dyDescent="0.25">
      <c r="A226" s="477">
        <v>2009</v>
      </c>
      <c r="B226" s="197">
        <f t="shared" si="20"/>
        <v>546</v>
      </c>
      <c r="C226" s="197">
        <f t="shared" si="20"/>
        <v>649</v>
      </c>
      <c r="D226" s="197">
        <f t="shared" si="20"/>
        <v>691</v>
      </c>
      <c r="E226" s="197">
        <f t="shared" si="20"/>
        <v>498</v>
      </c>
      <c r="F226" s="197">
        <f t="shared" si="20"/>
        <v>147</v>
      </c>
      <c r="G226" s="197" t="str">
        <f t="shared" si="20"/>
        <v>-</v>
      </c>
      <c r="H226" s="197">
        <f t="shared" si="20"/>
        <v>2531</v>
      </c>
    </row>
    <row r="227" spans="1:8" ht="11.25" customHeight="1" x14ac:dyDescent="0.25">
      <c r="A227" s="477">
        <v>2010</v>
      </c>
      <c r="B227" s="197">
        <f t="shared" si="20"/>
        <v>602</v>
      </c>
      <c r="C227" s="197">
        <f t="shared" si="20"/>
        <v>1168</v>
      </c>
      <c r="D227" s="197">
        <f t="shared" si="20"/>
        <v>665</v>
      </c>
      <c r="E227" s="197">
        <f t="shared" si="20"/>
        <v>564</v>
      </c>
      <c r="F227" s="197">
        <f t="shared" si="20"/>
        <v>69</v>
      </c>
      <c r="G227" s="197" t="str">
        <f t="shared" si="20"/>
        <v>-</v>
      </c>
      <c r="H227" s="197">
        <f t="shared" si="20"/>
        <v>3068</v>
      </c>
    </row>
    <row r="228" spans="1:8" ht="11.25" customHeight="1" x14ac:dyDescent="0.25">
      <c r="A228" s="477">
        <v>2011</v>
      </c>
      <c r="B228" s="197">
        <f t="shared" si="20"/>
        <v>733</v>
      </c>
      <c r="C228" s="197">
        <f t="shared" si="20"/>
        <v>823</v>
      </c>
      <c r="D228" s="197">
        <f t="shared" si="20"/>
        <v>490</v>
      </c>
      <c r="E228" s="197">
        <f t="shared" si="20"/>
        <v>235</v>
      </c>
      <c r="F228" s="197">
        <f t="shared" si="20"/>
        <v>72</v>
      </c>
      <c r="G228" s="197" t="str">
        <f t="shared" si="20"/>
        <v>-</v>
      </c>
      <c r="H228" s="197">
        <f t="shared" si="20"/>
        <v>2353</v>
      </c>
    </row>
    <row r="229" spans="1:8" ht="11.25" customHeight="1" x14ac:dyDescent="0.25">
      <c r="A229" s="477">
        <v>2012</v>
      </c>
      <c r="B229" s="197">
        <f t="shared" si="20"/>
        <v>427</v>
      </c>
      <c r="C229" s="197">
        <f t="shared" si="20"/>
        <v>932</v>
      </c>
      <c r="D229" s="197">
        <f t="shared" si="20"/>
        <v>503</v>
      </c>
      <c r="E229" s="197">
        <f t="shared" si="20"/>
        <v>333</v>
      </c>
      <c r="F229" s="197">
        <f t="shared" si="20"/>
        <v>281</v>
      </c>
      <c r="G229" s="197" t="str">
        <f t="shared" si="20"/>
        <v>-</v>
      </c>
      <c r="H229" s="197">
        <f t="shared" si="20"/>
        <v>2476</v>
      </c>
    </row>
    <row r="230" spans="1:8" ht="11.25" customHeight="1" x14ac:dyDescent="0.25">
      <c r="A230" s="477">
        <v>2013</v>
      </c>
      <c r="B230" s="197">
        <f t="shared" ref="B230:H230" si="21">IF(AND(B183="-",B42="-"),"-",SUM(B183,B42))</f>
        <v>832</v>
      </c>
      <c r="C230" s="197">
        <f t="shared" si="21"/>
        <v>668</v>
      </c>
      <c r="D230" s="197">
        <f t="shared" si="21"/>
        <v>518</v>
      </c>
      <c r="E230" s="197">
        <f t="shared" si="21"/>
        <v>461</v>
      </c>
      <c r="F230" s="197">
        <f t="shared" si="21"/>
        <v>116</v>
      </c>
      <c r="G230" s="197" t="str">
        <f t="shared" si="21"/>
        <v>-</v>
      </c>
      <c r="H230" s="197">
        <f t="shared" si="21"/>
        <v>2595</v>
      </c>
    </row>
    <row r="231" spans="1:8" ht="11.25" customHeight="1" x14ac:dyDescent="0.25">
      <c r="A231" s="477">
        <v>2014</v>
      </c>
      <c r="B231" s="197">
        <f t="shared" ref="B231:H231" si="22">IF(AND(B184="-",B43="-"),"-",SUM(B184,B43))</f>
        <v>1294</v>
      </c>
      <c r="C231" s="197">
        <f t="shared" si="22"/>
        <v>316</v>
      </c>
      <c r="D231" s="197">
        <f t="shared" si="22"/>
        <v>600</v>
      </c>
      <c r="E231" s="197">
        <f t="shared" si="22"/>
        <v>437</v>
      </c>
      <c r="F231" s="197">
        <f t="shared" si="22"/>
        <v>191</v>
      </c>
      <c r="G231" s="197" t="str">
        <f t="shared" si="22"/>
        <v>-</v>
      </c>
      <c r="H231" s="197">
        <f t="shared" si="22"/>
        <v>2838</v>
      </c>
    </row>
    <row r="232" spans="1:8" ht="11.25" customHeight="1" x14ac:dyDescent="0.25">
      <c r="A232" s="477">
        <v>2015</v>
      </c>
      <c r="B232" s="197">
        <f t="shared" ref="B232:H232" si="23">IF(AND(B185="-",B44="-"),"-",SUM(B185,B44))</f>
        <v>1526</v>
      </c>
      <c r="C232" s="197">
        <f t="shared" si="23"/>
        <v>598</v>
      </c>
      <c r="D232" s="197">
        <f t="shared" si="23"/>
        <v>550</v>
      </c>
      <c r="E232" s="197">
        <f t="shared" si="23"/>
        <v>537</v>
      </c>
      <c r="F232" s="197">
        <f t="shared" si="23"/>
        <v>252</v>
      </c>
      <c r="G232" s="197" t="str">
        <f t="shared" si="23"/>
        <v>-</v>
      </c>
      <c r="H232" s="197">
        <f t="shared" si="23"/>
        <v>3463</v>
      </c>
    </row>
    <row r="233" spans="1:8" ht="11.25" customHeight="1" x14ac:dyDescent="0.25">
      <c r="A233" s="477">
        <v>2016</v>
      </c>
      <c r="B233" s="197">
        <f>IF(AND(B186="-",B45="-"),"-",SUM(B186,B45))</f>
        <v>796</v>
      </c>
      <c r="C233" s="197">
        <f t="shared" ref="C233:H233" si="24">IF(AND(C186="-",C45="-"),"-",SUM(C186,C45))</f>
        <v>489</v>
      </c>
      <c r="D233" s="197">
        <f t="shared" si="24"/>
        <v>299</v>
      </c>
      <c r="E233" s="197">
        <f t="shared" si="24"/>
        <v>269</v>
      </c>
      <c r="F233" s="197" t="str">
        <f t="shared" si="24"/>
        <v>-</v>
      </c>
      <c r="G233" s="197" t="str">
        <f t="shared" si="24"/>
        <v>-</v>
      </c>
      <c r="H233" s="197">
        <f t="shared" si="24"/>
        <v>1853</v>
      </c>
    </row>
    <row r="234" spans="1:8" ht="11.25" customHeight="1" x14ac:dyDescent="0.25">
      <c r="A234" s="477">
        <v>2017</v>
      </c>
      <c r="B234" s="197">
        <f t="shared" ref="B234:H234" si="25">IF(AND(B187="-",B46="-"),"-",SUM(B187,B46))</f>
        <v>860</v>
      </c>
      <c r="C234" s="197">
        <f t="shared" si="25"/>
        <v>722</v>
      </c>
      <c r="D234" s="197">
        <f t="shared" si="25"/>
        <v>406</v>
      </c>
      <c r="E234" s="197">
        <f t="shared" si="25"/>
        <v>530</v>
      </c>
      <c r="F234" s="197">
        <f t="shared" si="25"/>
        <v>197</v>
      </c>
      <c r="G234" s="197" t="str">
        <f t="shared" si="25"/>
        <v>-</v>
      </c>
      <c r="H234" s="197">
        <f t="shared" si="25"/>
        <v>2715</v>
      </c>
    </row>
    <row r="235" spans="1:8" s="358" customFormat="1" ht="11.25" customHeight="1" x14ac:dyDescent="0.25">
      <c r="A235" s="477">
        <v>2018</v>
      </c>
      <c r="B235" s="197">
        <f t="shared" ref="B235:H235" si="26">IF(AND(B188="-",B47="-"),"-",SUM(B188,B47))</f>
        <v>770</v>
      </c>
      <c r="C235" s="197">
        <f t="shared" si="26"/>
        <v>741</v>
      </c>
      <c r="D235" s="197">
        <f t="shared" si="26"/>
        <v>440</v>
      </c>
      <c r="E235" s="197">
        <f t="shared" si="26"/>
        <v>225</v>
      </c>
      <c r="F235" s="197">
        <f t="shared" si="26"/>
        <v>71</v>
      </c>
      <c r="G235" s="197" t="str">
        <f t="shared" si="26"/>
        <v>-</v>
      </c>
      <c r="H235" s="197">
        <f t="shared" si="26"/>
        <v>2247</v>
      </c>
    </row>
    <row r="236" spans="1:8" s="358" customFormat="1" ht="11.25" customHeight="1" x14ac:dyDescent="0.25">
      <c r="A236" s="157">
        <v>2019</v>
      </c>
      <c r="B236" s="197">
        <f t="shared" ref="B236:H237" si="27">IF(AND(B189="-",B48="-"),"-",SUM(B189,B48))</f>
        <v>412</v>
      </c>
      <c r="C236" s="197">
        <f t="shared" si="27"/>
        <v>361</v>
      </c>
      <c r="D236" s="197">
        <f t="shared" si="27"/>
        <v>770</v>
      </c>
      <c r="E236" s="197">
        <f t="shared" si="27"/>
        <v>245</v>
      </c>
      <c r="F236" s="197">
        <f t="shared" si="27"/>
        <v>137</v>
      </c>
      <c r="G236" s="197" t="str">
        <f t="shared" si="27"/>
        <v>-</v>
      </c>
      <c r="H236" s="197">
        <f t="shared" si="27"/>
        <v>1925</v>
      </c>
    </row>
    <row r="237" spans="1:8" ht="11.25" customHeight="1" x14ac:dyDescent="0.25">
      <c r="A237" s="157" t="s">
        <v>393</v>
      </c>
      <c r="B237" s="197">
        <f t="shared" si="27"/>
        <v>107</v>
      </c>
      <c r="C237" s="197">
        <f t="shared" si="27"/>
        <v>174</v>
      </c>
      <c r="D237" s="197">
        <f t="shared" si="27"/>
        <v>484</v>
      </c>
      <c r="E237" s="197">
        <f t="shared" si="27"/>
        <v>250</v>
      </c>
      <c r="F237" s="197">
        <f t="shared" si="27"/>
        <v>27</v>
      </c>
      <c r="G237" s="197" t="str">
        <f t="shared" si="27"/>
        <v>-</v>
      </c>
      <c r="H237" s="197">
        <f t="shared" si="27"/>
        <v>1042</v>
      </c>
    </row>
    <row r="238" spans="1:8" ht="11.25" customHeight="1" x14ac:dyDescent="0.25"/>
    <row r="239" spans="1:8" ht="11.25" customHeight="1" x14ac:dyDescent="0.25">
      <c r="A239" s="120" t="s">
        <v>309</v>
      </c>
    </row>
    <row r="240" spans="1:8" ht="11.25" customHeight="1" x14ac:dyDescent="0.25">
      <c r="A240" s="473">
        <v>1976</v>
      </c>
      <c r="B240" s="193">
        <f>'A-14'!C193</f>
        <v>56</v>
      </c>
      <c r="C240" s="193">
        <f>'A-14'!D193</f>
        <v>188</v>
      </c>
      <c r="D240" s="193">
        <f>'A-14'!E193</f>
        <v>369</v>
      </c>
      <c r="E240" s="193">
        <f>'A-14'!F193</f>
        <v>189</v>
      </c>
      <c r="F240" s="193">
        <f>'A-14'!G193</f>
        <v>64</v>
      </c>
      <c r="G240" s="193">
        <f>'A-14'!H193</f>
        <v>7</v>
      </c>
      <c r="H240" s="193">
        <f>'A-14'!J193</f>
        <v>866</v>
      </c>
    </row>
    <row r="241" spans="1:8" ht="11.25" customHeight="1" x14ac:dyDescent="0.25">
      <c r="A241" s="473">
        <v>1977</v>
      </c>
      <c r="B241" s="193">
        <f>'A-14'!C194</f>
        <v>78</v>
      </c>
      <c r="C241" s="193">
        <f>'A-14'!D194</f>
        <v>119</v>
      </c>
      <c r="D241" s="193">
        <f>'A-14'!E194</f>
        <v>164</v>
      </c>
      <c r="E241" s="193">
        <f>'A-14'!F194</f>
        <v>237</v>
      </c>
      <c r="F241" s="193">
        <f>'A-14'!G194</f>
        <v>89</v>
      </c>
      <c r="G241" s="193">
        <f>'A-14'!H194</f>
        <v>2</v>
      </c>
      <c r="H241" s="193">
        <f>'A-14'!J194</f>
        <v>687</v>
      </c>
    </row>
    <row r="242" spans="1:8" ht="11.25" customHeight="1" x14ac:dyDescent="0.25">
      <c r="A242" s="473">
        <v>1978</v>
      </c>
      <c r="B242" s="193">
        <f>'A-14'!C195</f>
        <v>64</v>
      </c>
      <c r="C242" s="193">
        <f>'A-14'!D195</f>
        <v>142</v>
      </c>
      <c r="D242" s="193">
        <f>'A-14'!E195</f>
        <v>102</v>
      </c>
      <c r="E242" s="193">
        <f>'A-14'!F195</f>
        <v>94</v>
      </c>
      <c r="F242" s="193">
        <f>'A-14'!G195</f>
        <v>48</v>
      </c>
      <c r="G242" s="193">
        <f>'A-14'!H195</f>
        <v>6</v>
      </c>
      <c r="H242" s="193">
        <f>'A-14'!J195</f>
        <v>450</v>
      </c>
    </row>
    <row r="243" spans="1:8" ht="11.25" customHeight="1" x14ac:dyDescent="0.25">
      <c r="A243" s="473">
        <v>1979</v>
      </c>
      <c r="B243" s="193">
        <f>'A-14'!C196</f>
        <v>62</v>
      </c>
      <c r="C243" s="193">
        <f>'A-14'!D196</f>
        <v>114</v>
      </c>
      <c r="D243" s="193">
        <f>'A-14'!E196</f>
        <v>185</v>
      </c>
      <c r="E243" s="193">
        <f>'A-14'!F196</f>
        <v>219</v>
      </c>
      <c r="F243" s="193">
        <f>'A-14'!G196</f>
        <v>30</v>
      </c>
      <c r="G243" s="193">
        <f>'A-14'!H196</f>
        <v>8</v>
      </c>
      <c r="H243" s="193">
        <f>'A-14'!J196</f>
        <v>610</v>
      </c>
    </row>
    <row r="244" spans="1:8" ht="11.25" customHeight="1" x14ac:dyDescent="0.25">
      <c r="A244" s="473">
        <v>1980</v>
      </c>
      <c r="B244" s="193">
        <f>'A-14'!C197</f>
        <v>47</v>
      </c>
      <c r="C244" s="193">
        <f>'A-14'!D197</f>
        <v>122</v>
      </c>
      <c r="D244" s="193">
        <f>'A-14'!E197</f>
        <v>142</v>
      </c>
      <c r="E244" s="193">
        <f>'A-14'!F197</f>
        <v>72</v>
      </c>
      <c r="F244" s="193">
        <f>'A-14'!G197</f>
        <v>20</v>
      </c>
      <c r="G244" s="193">
        <f>'A-14'!H197</f>
        <v>9</v>
      </c>
      <c r="H244" s="193">
        <f>'A-14'!J197</f>
        <v>403</v>
      </c>
    </row>
    <row r="245" spans="1:8" ht="11.25" customHeight="1" x14ac:dyDescent="0.25">
      <c r="A245" s="473">
        <v>1981</v>
      </c>
      <c r="B245" s="193">
        <f>'A-14'!C198</f>
        <v>102</v>
      </c>
      <c r="C245" s="193">
        <f>'A-14'!D198</f>
        <v>156</v>
      </c>
      <c r="D245" s="193">
        <f>'A-14'!E198</f>
        <v>286</v>
      </c>
      <c r="E245" s="193">
        <f>'A-14'!F198</f>
        <v>200</v>
      </c>
      <c r="F245" s="193">
        <f>'A-14'!G198</f>
        <v>112</v>
      </c>
      <c r="G245" s="193">
        <f>'A-14'!H198</f>
        <v>7</v>
      </c>
      <c r="H245" s="193">
        <f>'A-14'!J198</f>
        <v>856</v>
      </c>
    </row>
    <row r="246" spans="1:8" ht="11.25" customHeight="1" x14ac:dyDescent="0.25">
      <c r="A246" s="473">
        <v>1982</v>
      </c>
      <c r="B246" s="193">
        <f>'A-14'!C199</f>
        <v>54</v>
      </c>
      <c r="C246" s="193">
        <f>'A-14'!D199</f>
        <v>179</v>
      </c>
      <c r="D246" s="193">
        <f>'A-14'!E199</f>
        <v>258</v>
      </c>
      <c r="E246" s="193">
        <f>'A-14'!F199</f>
        <v>336</v>
      </c>
      <c r="F246" s="193">
        <f>'A-14'!G199</f>
        <v>234</v>
      </c>
      <c r="G246" s="193">
        <f>'A-14'!H199</f>
        <v>26</v>
      </c>
      <c r="H246" s="193">
        <f>'A-14'!J199</f>
        <v>1061</v>
      </c>
    </row>
    <row r="247" spans="1:8" ht="11.25" customHeight="1" x14ac:dyDescent="0.25">
      <c r="A247" s="473">
        <v>1983</v>
      </c>
      <c r="B247" s="193">
        <f>'A-14'!C200</f>
        <v>119</v>
      </c>
      <c r="C247" s="193">
        <f>'A-14'!D200</f>
        <v>248</v>
      </c>
      <c r="D247" s="193">
        <f>'A-14'!E200</f>
        <v>316</v>
      </c>
      <c r="E247" s="193">
        <f>'A-14'!F200</f>
        <v>473</v>
      </c>
      <c r="F247" s="193">
        <f>'A-14'!G200</f>
        <v>182</v>
      </c>
      <c r="G247" s="193">
        <f>'A-14'!H200</f>
        <v>10</v>
      </c>
      <c r="H247" s="193">
        <f>'A-14'!J200</f>
        <v>1338</v>
      </c>
    </row>
    <row r="248" spans="1:8" ht="11.25" customHeight="1" x14ac:dyDescent="0.25">
      <c r="A248" s="473">
        <v>1984</v>
      </c>
      <c r="B248" s="193">
        <f>'A-14'!C201</f>
        <v>56</v>
      </c>
      <c r="C248" s="193">
        <f>'A-14'!D201</f>
        <v>39</v>
      </c>
      <c r="D248" s="193">
        <f>'A-14'!E201</f>
        <v>145</v>
      </c>
      <c r="E248" s="193">
        <f>'A-14'!F201</f>
        <v>212</v>
      </c>
      <c r="F248" s="193">
        <f>'A-14'!G201</f>
        <v>0</v>
      </c>
      <c r="G248" s="193">
        <f>'A-14'!H201</f>
        <v>19</v>
      </c>
      <c r="H248" s="193">
        <f>'A-14'!J201</f>
        <v>452</v>
      </c>
    </row>
    <row r="249" spans="1:8" ht="11.25" customHeight="1" x14ac:dyDescent="0.25">
      <c r="A249" s="473">
        <v>1985</v>
      </c>
      <c r="B249" s="193">
        <f>'A-14'!C202</f>
        <v>64</v>
      </c>
      <c r="C249" s="193">
        <f>'A-14'!D202</f>
        <v>81</v>
      </c>
      <c r="D249" s="193">
        <f>'A-14'!E202</f>
        <v>417</v>
      </c>
      <c r="E249" s="193">
        <f>'A-14'!F202</f>
        <v>343</v>
      </c>
      <c r="F249" s="193">
        <f>'A-14'!G202</f>
        <v>203</v>
      </c>
      <c r="G249" s="193">
        <f>'A-14'!H202</f>
        <v>23</v>
      </c>
      <c r="H249" s="193">
        <f>'A-14'!J202</f>
        <v>1108</v>
      </c>
    </row>
    <row r="250" spans="1:8" ht="11.25" customHeight="1" x14ac:dyDescent="0.25">
      <c r="A250" s="473">
        <v>1986</v>
      </c>
      <c r="B250" s="193">
        <f>'A-14'!C203</f>
        <v>91</v>
      </c>
      <c r="C250" s="193">
        <f>'A-14'!D203</f>
        <v>334</v>
      </c>
      <c r="D250" s="193">
        <f>'A-14'!E203</f>
        <v>453</v>
      </c>
      <c r="E250" s="193">
        <f>'A-14'!F203</f>
        <v>159</v>
      </c>
      <c r="F250" s="193">
        <f>'A-14'!G203</f>
        <v>1</v>
      </c>
      <c r="G250" s="193">
        <f>'A-14'!H203</f>
        <v>0</v>
      </c>
      <c r="H250" s="193">
        <f>'A-14'!J203</f>
        <v>1038</v>
      </c>
    </row>
    <row r="251" spans="1:8" ht="11.25" customHeight="1" x14ac:dyDescent="0.25">
      <c r="A251" s="473">
        <v>1987</v>
      </c>
      <c r="B251" s="193">
        <f>'A-14'!C204</f>
        <v>134</v>
      </c>
      <c r="C251" s="193">
        <f>'A-14'!D204</f>
        <v>0</v>
      </c>
      <c r="D251" s="193">
        <f>'A-14'!E204</f>
        <v>443</v>
      </c>
      <c r="E251" s="193">
        <f>'A-14'!F204</f>
        <v>620</v>
      </c>
      <c r="F251" s="193">
        <f>'A-14'!G204</f>
        <v>0</v>
      </c>
      <c r="G251" s="193">
        <f>'A-14'!H204</f>
        <v>6</v>
      </c>
      <c r="H251" s="193">
        <f>'A-14'!J204</f>
        <v>1197</v>
      </c>
    </row>
    <row r="252" spans="1:8" ht="11.25" customHeight="1" x14ac:dyDescent="0.25">
      <c r="A252" s="473">
        <v>1988</v>
      </c>
      <c r="B252" s="193">
        <f>'A-14'!C205</f>
        <v>181</v>
      </c>
      <c r="C252" s="193">
        <f>'A-14'!D205</f>
        <v>199</v>
      </c>
      <c r="D252" s="193">
        <f>'A-14'!E205</f>
        <v>339</v>
      </c>
      <c r="E252" s="193">
        <f>'A-14'!F205</f>
        <v>518</v>
      </c>
      <c r="F252" s="193">
        <f>'A-14'!G205</f>
        <v>190</v>
      </c>
      <c r="G252" s="193">
        <f>'A-14'!H205</f>
        <v>0</v>
      </c>
      <c r="H252" s="193">
        <f>'A-14'!J205</f>
        <v>1427</v>
      </c>
    </row>
    <row r="253" spans="1:8" ht="11.25" customHeight="1" x14ac:dyDescent="0.25">
      <c r="A253" s="473">
        <v>1989</v>
      </c>
      <c r="B253" s="193">
        <f>'A-14'!C206</f>
        <v>138</v>
      </c>
      <c r="C253" s="193">
        <f>'A-14'!D206</f>
        <v>152</v>
      </c>
      <c r="D253" s="193">
        <f>'A-14'!E206</f>
        <v>558</v>
      </c>
      <c r="E253" s="193">
        <f>'A-14'!F206</f>
        <v>428</v>
      </c>
      <c r="F253" s="193">
        <f>'A-14'!G206</f>
        <v>380</v>
      </c>
      <c r="G253" s="193">
        <f>'A-14'!H206</f>
        <v>0</v>
      </c>
      <c r="H253" s="193">
        <f>'A-14'!J206</f>
        <v>1656</v>
      </c>
    </row>
    <row r="254" spans="1:8" ht="11.25" customHeight="1" x14ac:dyDescent="0.25">
      <c r="A254" s="473">
        <v>1990</v>
      </c>
      <c r="B254" s="193">
        <f>'A-14'!C207</f>
        <v>146</v>
      </c>
      <c r="C254" s="193">
        <f>'A-14'!D207</f>
        <v>153</v>
      </c>
      <c r="D254" s="193">
        <f>'A-14'!E207</f>
        <v>375</v>
      </c>
      <c r="E254" s="193">
        <f>'A-14'!F207</f>
        <v>575</v>
      </c>
      <c r="F254" s="193">
        <f>'A-14'!G207</f>
        <v>232</v>
      </c>
      <c r="G254" s="193">
        <f>'A-14'!H207</f>
        <v>2</v>
      </c>
      <c r="H254" s="193">
        <f>'A-14'!J207</f>
        <v>1481</v>
      </c>
    </row>
    <row r="255" spans="1:8" ht="11.25" customHeight="1" x14ac:dyDescent="0.25">
      <c r="A255" s="473">
        <v>1991</v>
      </c>
      <c r="B255" s="193">
        <f>'A-14'!C208</f>
        <v>112</v>
      </c>
      <c r="C255" s="193">
        <f>'A-14'!D208</f>
        <v>102</v>
      </c>
      <c r="D255" s="193">
        <f>'A-14'!E208</f>
        <v>335</v>
      </c>
      <c r="E255" s="193">
        <f>'A-14'!F208</f>
        <v>599</v>
      </c>
      <c r="F255" s="193">
        <f>'A-14'!G208</f>
        <v>0</v>
      </c>
      <c r="G255" s="193">
        <f>'A-14'!H208</f>
        <v>50</v>
      </c>
      <c r="H255" s="193">
        <f>'A-14'!J208</f>
        <v>1148</v>
      </c>
    </row>
    <row r="256" spans="1:8" ht="11.25" customHeight="1" x14ac:dyDescent="0.25">
      <c r="A256" s="473">
        <v>1992</v>
      </c>
      <c r="B256" s="193">
        <f>'A-14'!C209</f>
        <v>73</v>
      </c>
      <c r="C256" s="193">
        <f>'A-14'!D209</f>
        <v>89</v>
      </c>
      <c r="D256" s="193">
        <f>'A-14'!E209</f>
        <v>244</v>
      </c>
      <c r="E256" s="193">
        <f>'A-14'!F209</f>
        <v>237</v>
      </c>
      <c r="F256" s="193">
        <f>'A-14'!G209</f>
        <v>0</v>
      </c>
      <c r="G256" s="193">
        <f>'A-14'!H209</f>
        <v>1</v>
      </c>
      <c r="H256" s="193">
        <f>'A-14'!J209</f>
        <v>643</v>
      </c>
    </row>
    <row r="257" spans="1:8" ht="11.25" customHeight="1" x14ac:dyDescent="0.25">
      <c r="A257" s="473">
        <v>1993</v>
      </c>
      <c r="B257" s="193">
        <f>'A-14'!C210</f>
        <v>122</v>
      </c>
      <c r="C257" s="193">
        <f>'A-14'!D210</f>
        <v>96</v>
      </c>
      <c r="D257" s="193">
        <f>'A-14'!E210</f>
        <v>329</v>
      </c>
      <c r="E257" s="193">
        <f>'A-14'!F210</f>
        <v>407</v>
      </c>
      <c r="F257" s="193">
        <f>'A-14'!G210</f>
        <v>238</v>
      </c>
      <c r="G257" s="193">
        <f>'A-14'!H210</f>
        <v>0</v>
      </c>
      <c r="H257" s="193">
        <f>'A-14'!J210</f>
        <v>1192</v>
      </c>
    </row>
    <row r="258" spans="1:8" ht="11.25" customHeight="1" x14ac:dyDescent="0.25">
      <c r="A258" s="473">
        <v>1994</v>
      </c>
      <c r="B258" s="193">
        <f>'A-14'!C211</f>
        <v>28</v>
      </c>
      <c r="C258" s="193">
        <f>'A-14'!D211</f>
        <v>70</v>
      </c>
      <c r="D258" s="193">
        <f>'A-14'!E211</f>
        <v>3</v>
      </c>
      <c r="E258" s="193">
        <f>'A-14'!F211</f>
        <v>0</v>
      </c>
      <c r="F258" s="193">
        <f>'A-14'!G211</f>
        <v>0</v>
      </c>
      <c r="G258" s="193">
        <f>'A-14'!H211</f>
        <v>0</v>
      </c>
      <c r="H258" s="193">
        <f>'A-14'!J211</f>
        <v>101</v>
      </c>
    </row>
    <row r="259" spans="1:8" ht="11.25" customHeight="1" x14ac:dyDescent="0.25">
      <c r="A259" s="473">
        <v>1995</v>
      </c>
      <c r="B259" s="193">
        <f>'A-14'!C212</f>
        <v>10</v>
      </c>
      <c r="C259" s="193">
        <f>'A-14'!D212</f>
        <v>0</v>
      </c>
      <c r="D259" s="193">
        <f>'A-14'!E212</f>
        <v>1</v>
      </c>
      <c r="E259" s="193">
        <f>'A-14'!F212</f>
        <v>313</v>
      </c>
      <c r="F259" s="193">
        <f>'A-14'!G212</f>
        <v>0</v>
      </c>
      <c r="G259" s="193">
        <f>'A-14'!H212</f>
        <v>0</v>
      </c>
      <c r="H259" s="193">
        <f>'A-14'!J212</f>
        <v>324</v>
      </c>
    </row>
    <row r="260" spans="1:8" ht="11.25" customHeight="1" x14ac:dyDescent="0.25">
      <c r="A260" s="473">
        <v>1996</v>
      </c>
      <c r="B260" s="193">
        <f>'A-14'!C213</f>
        <v>13</v>
      </c>
      <c r="C260" s="193">
        <f>'A-14'!D213</f>
        <v>34</v>
      </c>
      <c r="D260" s="193">
        <f>'A-14'!E213</f>
        <v>42</v>
      </c>
      <c r="E260" s="193">
        <f>'A-14'!F213</f>
        <v>102</v>
      </c>
      <c r="F260" s="193">
        <f>'A-14'!G213</f>
        <v>90</v>
      </c>
      <c r="G260" s="193" t="str">
        <f>'A-14'!H213</f>
        <v>-</v>
      </c>
      <c r="H260" s="193">
        <f>'A-14'!J213</f>
        <v>281</v>
      </c>
    </row>
    <row r="261" spans="1:8" ht="11.25" customHeight="1" x14ac:dyDescent="0.25">
      <c r="A261" s="473">
        <v>1997</v>
      </c>
      <c r="B261" s="193">
        <f>'A-14'!C214</f>
        <v>25</v>
      </c>
      <c r="C261" s="193">
        <f>'A-14'!D214</f>
        <v>48</v>
      </c>
      <c r="D261" s="193">
        <f>'A-14'!E214</f>
        <v>0</v>
      </c>
      <c r="E261" s="193">
        <f>'A-14'!F214</f>
        <v>164</v>
      </c>
      <c r="F261" s="193">
        <f>'A-14'!G214</f>
        <v>62</v>
      </c>
      <c r="G261" s="193" t="str">
        <f>'A-14'!H214</f>
        <v>-</v>
      </c>
      <c r="H261" s="193">
        <f>'A-14'!J214</f>
        <v>299</v>
      </c>
    </row>
    <row r="262" spans="1:8" ht="11.25" customHeight="1" x14ac:dyDescent="0.25">
      <c r="A262" s="473">
        <v>1998</v>
      </c>
      <c r="B262" s="193">
        <f>'A-14'!C215</f>
        <v>33</v>
      </c>
      <c r="C262" s="193">
        <f>'A-14'!D215</f>
        <v>19</v>
      </c>
      <c r="D262" s="193">
        <f>'A-14'!E215</f>
        <v>3</v>
      </c>
      <c r="E262" s="193">
        <f>'A-14'!F215</f>
        <v>41</v>
      </c>
      <c r="F262" s="193">
        <f>'A-14'!G215</f>
        <v>43</v>
      </c>
      <c r="G262" s="193" t="str">
        <f>'A-14'!H215</f>
        <v>-</v>
      </c>
      <c r="H262" s="193">
        <f>'A-14'!J215</f>
        <v>139</v>
      </c>
    </row>
    <row r="263" spans="1:8" ht="11.25" customHeight="1" x14ac:dyDescent="0.25">
      <c r="A263" s="473">
        <v>1999</v>
      </c>
      <c r="B263" s="193">
        <f>'A-14'!C216</f>
        <v>43</v>
      </c>
      <c r="C263" s="193">
        <f>'A-14'!D216</f>
        <v>46</v>
      </c>
      <c r="D263" s="193">
        <f>'A-14'!E216</f>
        <v>5</v>
      </c>
      <c r="E263" s="193">
        <f>'A-14'!F216</f>
        <v>117</v>
      </c>
      <c r="F263" s="193">
        <f>'A-14'!G216</f>
        <v>71</v>
      </c>
      <c r="G263" s="193" t="str">
        <f>'A-14'!H216</f>
        <v>-</v>
      </c>
      <c r="H263" s="193">
        <f>'A-14'!J216</f>
        <v>282</v>
      </c>
    </row>
    <row r="264" spans="1:8" ht="11.25" customHeight="1" x14ac:dyDescent="0.25">
      <c r="A264" s="473">
        <v>2000</v>
      </c>
      <c r="B264" s="193">
        <f>'A-14'!C217</f>
        <v>43</v>
      </c>
      <c r="C264" s="193">
        <f>'A-14'!D217</f>
        <v>41</v>
      </c>
      <c r="D264" s="193">
        <f>'A-14'!E217</f>
        <v>5</v>
      </c>
      <c r="E264" s="193">
        <f>'A-14'!F217</f>
        <v>55</v>
      </c>
      <c r="F264" s="193">
        <f>'A-14'!G217</f>
        <v>0</v>
      </c>
      <c r="G264" s="193" t="str">
        <f>'A-14'!H217</f>
        <v>-</v>
      </c>
      <c r="H264" s="193">
        <f>'A-14'!J217</f>
        <v>144</v>
      </c>
    </row>
    <row r="265" spans="1:8" ht="11.25" customHeight="1" x14ac:dyDescent="0.25">
      <c r="A265" s="473">
        <v>2001</v>
      </c>
      <c r="B265" s="193">
        <f>'A-14'!C218</f>
        <v>53</v>
      </c>
      <c r="C265" s="193">
        <f>'A-14'!D218</f>
        <v>65</v>
      </c>
      <c r="D265" s="193">
        <f>'A-14'!E218</f>
        <v>122</v>
      </c>
      <c r="E265" s="193">
        <f>'A-14'!F218</f>
        <v>172</v>
      </c>
      <c r="F265" s="193">
        <f>'A-14'!G218</f>
        <v>104</v>
      </c>
      <c r="G265" s="193" t="str">
        <f>'A-14'!H218</f>
        <v>-</v>
      </c>
      <c r="H265" s="193">
        <f>'A-14'!J218</f>
        <v>516</v>
      </c>
    </row>
    <row r="266" spans="1:8" ht="11.25" customHeight="1" x14ac:dyDescent="0.25">
      <c r="A266" s="473">
        <v>2002</v>
      </c>
      <c r="B266" s="193">
        <f>'A-14'!C219</f>
        <v>31</v>
      </c>
      <c r="C266" s="193">
        <f>'A-14'!D219</f>
        <v>42</v>
      </c>
      <c r="D266" s="193">
        <f>'A-14'!E219</f>
        <v>61</v>
      </c>
      <c r="E266" s="193">
        <f>'A-14'!F219</f>
        <v>51</v>
      </c>
      <c r="F266" s="193">
        <f>'A-14'!G219</f>
        <v>41</v>
      </c>
      <c r="G266" s="193">
        <f>'A-14'!H219</f>
        <v>10</v>
      </c>
      <c r="H266" s="193">
        <f>'A-14'!J219</f>
        <v>226</v>
      </c>
    </row>
    <row r="267" spans="1:8" ht="11.25" customHeight="1" x14ac:dyDescent="0.25">
      <c r="A267" s="473">
        <v>2003</v>
      </c>
      <c r="B267" s="193">
        <f>'A-14'!C220</f>
        <v>24</v>
      </c>
      <c r="C267" s="193">
        <f>'A-14'!D220</f>
        <v>27</v>
      </c>
      <c r="D267" s="193">
        <f>'A-14'!E220</f>
        <v>63</v>
      </c>
      <c r="E267" s="193">
        <f>'A-14'!F220</f>
        <v>57</v>
      </c>
      <c r="F267" s="193">
        <f>'A-14'!G220</f>
        <v>45</v>
      </c>
      <c r="G267" s="193">
        <f>'A-14'!H220</f>
        <v>15</v>
      </c>
      <c r="H267" s="193">
        <f>'A-14'!J220</f>
        <v>216</v>
      </c>
    </row>
    <row r="268" spans="1:8" ht="11.25" customHeight="1" x14ac:dyDescent="0.25">
      <c r="A268" s="473">
        <v>2004</v>
      </c>
      <c r="B268" s="193">
        <f>'A-14'!C221</f>
        <v>27</v>
      </c>
      <c r="C268" s="193">
        <f>'A-14'!D221</f>
        <v>49</v>
      </c>
      <c r="D268" s="193">
        <f>'A-14'!E221</f>
        <v>127</v>
      </c>
      <c r="E268" s="193">
        <f>'A-14'!F221</f>
        <v>152</v>
      </c>
      <c r="F268" s="193">
        <f>'A-14'!G221</f>
        <v>76</v>
      </c>
      <c r="G268" s="193">
        <f>'A-14'!H221</f>
        <v>15</v>
      </c>
      <c r="H268" s="193">
        <f>'A-14'!J221</f>
        <v>431</v>
      </c>
    </row>
    <row r="269" spans="1:8" ht="11.25" customHeight="1" x14ac:dyDescent="0.25">
      <c r="A269" s="477">
        <v>2005</v>
      </c>
      <c r="B269" s="197">
        <f>'A-14'!C222</f>
        <v>98</v>
      </c>
      <c r="C269" s="197">
        <f>'A-14'!D222</f>
        <v>146</v>
      </c>
      <c r="D269" s="197">
        <f>'A-14'!E222</f>
        <v>126</v>
      </c>
      <c r="E269" s="197">
        <f>'A-14'!F222</f>
        <v>150</v>
      </c>
      <c r="F269" s="197">
        <f>'A-14'!G222</f>
        <v>77</v>
      </c>
      <c r="G269" s="197">
        <f>'A-14'!H222</f>
        <v>0</v>
      </c>
      <c r="H269" s="197">
        <f>'A-14'!J222</f>
        <v>597</v>
      </c>
    </row>
    <row r="270" spans="1:8" ht="11.25" customHeight="1" x14ac:dyDescent="0.25">
      <c r="A270" s="473">
        <v>2006</v>
      </c>
      <c r="B270" s="193">
        <f>'A-14'!C223</f>
        <v>96</v>
      </c>
      <c r="C270" s="193">
        <f>'A-14'!D223</f>
        <v>285</v>
      </c>
      <c r="D270" s="193">
        <f>'A-14'!E223</f>
        <v>167</v>
      </c>
      <c r="E270" s="193">
        <f>'A-14'!F223</f>
        <v>140</v>
      </c>
      <c r="F270" s="193">
        <f>'A-14'!G223</f>
        <v>117</v>
      </c>
      <c r="G270" s="193">
        <f>'A-14'!H223</f>
        <v>5</v>
      </c>
      <c r="H270" s="193">
        <f>'A-14'!J223</f>
        <v>805</v>
      </c>
    </row>
    <row r="271" spans="1:8" ht="11.25" customHeight="1" x14ac:dyDescent="0.25">
      <c r="A271" s="477">
        <v>2007</v>
      </c>
      <c r="B271" s="197">
        <f>'A-14'!C224</f>
        <v>22</v>
      </c>
      <c r="C271" s="197">
        <f>'A-14'!D224</f>
        <v>205</v>
      </c>
      <c r="D271" s="197">
        <f>'A-14'!E224</f>
        <v>189</v>
      </c>
      <c r="E271" s="197">
        <f>'A-14'!F224</f>
        <v>167</v>
      </c>
      <c r="F271" s="197">
        <f>'A-14'!G224</f>
        <v>7</v>
      </c>
      <c r="G271" s="197">
        <f>'A-14'!H224</f>
        <v>0</v>
      </c>
      <c r="H271" s="197">
        <f>'A-14'!J224</f>
        <v>590</v>
      </c>
    </row>
    <row r="272" spans="1:8" ht="11.25" customHeight="1" x14ac:dyDescent="0.25">
      <c r="A272" s="477">
        <v>2008</v>
      </c>
      <c r="B272" s="197">
        <f>'A-14'!C225</f>
        <v>30</v>
      </c>
      <c r="C272" s="197">
        <f>'A-14'!D225</f>
        <v>125</v>
      </c>
      <c r="D272" s="197">
        <f>'A-14'!E225</f>
        <v>102</v>
      </c>
      <c r="E272" s="197">
        <f>'A-14'!F225</f>
        <v>231</v>
      </c>
      <c r="F272" s="197">
        <f>'A-14'!G225</f>
        <v>92</v>
      </c>
      <c r="G272" s="197">
        <f>'A-14'!H225</f>
        <v>1</v>
      </c>
      <c r="H272" s="197">
        <f>'A-14'!J225</f>
        <v>580</v>
      </c>
    </row>
    <row r="273" spans="1:8" ht="11.25" customHeight="1" x14ac:dyDescent="0.25">
      <c r="A273" s="477">
        <v>2009</v>
      </c>
      <c r="B273" s="197">
        <f>'A-14'!C226</f>
        <v>82</v>
      </c>
      <c r="C273" s="197">
        <f>'A-14'!D226</f>
        <v>238</v>
      </c>
      <c r="D273" s="197">
        <f>'A-14'!E226</f>
        <v>233</v>
      </c>
      <c r="E273" s="197">
        <f>'A-14'!F226</f>
        <v>269</v>
      </c>
      <c r="F273" s="197">
        <f>'A-14'!G226</f>
        <v>5</v>
      </c>
      <c r="G273" s="197">
        <f>'A-14'!H226</f>
        <v>4</v>
      </c>
      <c r="H273" s="197">
        <f>'A-14'!J226</f>
        <v>827</v>
      </c>
    </row>
    <row r="274" spans="1:8" ht="11.25" customHeight="1" x14ac:dyDescent="0.25">
      <c r="A274" s="477">
        <v>2010</v>
      </c>
      <c r="B274" s="197">
        <f>'A-14'!C227</f>
        <v>155</v>
      </c>
      <c r="C274" s="197">
        <f>'A-14'!D227</f>
        <v>335</v>
      </c>
      <c r="D274" s="197">
        <f>'A-14'!E227</f>
        <v>155</v>
      </c>
      <c r="E274" s="197">
        <f>'A-14'!F227</f>
        <v>150</v>
      </c>
      <c r="F274" s="197">
        <f>'A-14'!G227</f>
        <v>62</v>
      </c>
      <c r="G274" s="197">
        <f>'A-14'!H227</f>
        <v>4</v>
      </c>
      <c r="H274" s="197">
        <f>'A-14'!J227</f>
        <v>857</v>
      </c>
    </row>
    <row r="275" spans="1:8" ht="11.25" customHeight="1" x14ac:dyDescent="0.25">
      <c r="A275" s="477">
        <v>2011</v>
      </c>
      <c r="B275" s="197">
        <f>'A-14'!C228</f>
        <v>92</v>
      </c>
      <c r="C275" s="197">
        <f>'A-14'!D228</f>
        <v>192</v>
      </c>
      <c r="D275" s="197">
        <f>'A-14'!E228</f>
        <v>152</v>
      </c>
      <c r="E275" s="197">
        <f>'A-14'!F228</f>
        <v>140</v>
      </c>
      <c r="F275" s="197">
        <f>'A-14'!G228</f>
        <v>24</v>
      </c>
      <c r="G275" s="197">
        <f>'A-14'!H228</f>
        <v>1</v>
      </c>
      <c r="H275" s="197">
        <f>'A-14'!J228</f>
        <v>600</v>
      </c>
    </row>
    <row r="276" spans="1:8" ht="11.25" customHeight="1" x14ac:dyDescent="0.25">
      <c r="A276" s="477">
        <v>2012</v>
      </c>
      <c r="B276" s="197">
        <f>'A-14'!C229</f>
        <v>144</v>
      </c>
      <c r="C276" s="197">
        <f>'A-14'!D229</f>
        <v>269</v>
      </c>
      <c r="D276" s="197">
        <f>'A-14'!E229</f>
        <v>214</v>
      </c>
      <c r="E276" s="197">
        <f>'A-14'!F229</f>
        <v>229</v>
      </c>
      <c r="F276" s="197">
        <f>'A-14'!G229</f>
        <v>104</v>
      </c>
      <c r="G276" s="197">
        <f>'A-14'!H229</f>
        <v>4</v>
      </c>
      <c r="H276" s="197">
        <f>'A-14'!J229</f>
        <v>960</v>
      </c>
    </row>
    <row r="277" spans="1:8" ht="11.25" customHeight="1" x14ac:dyDescent="0.25">
      <c r="A277" s="477">
        <v>2013</v>
      </c>
      <c r="B277" s="197">
        <f>'A-14'!C230</f>
        <v>279</v>
      </c>
      <c r="C277" s="197">
        <f>'A-14'!D230</f>
        <v>206</v>
      </c>
      <c r="D277" s="197">
        <f>'A-14'!E230</f>
        <v>369</v>
      </c>
      <c r="E277" s="197">
        <f>'A-14'!F230</f>
        <v>583</v>
      </c>
      <c r="F277" s="197">
        <f>'A-14'!G230</f>
        <v>159</v>
      </c>
      <c r="G277" s="197">
        <f>'A-14'!H230</f>
        <v>0</v>
      </c>
      <c r="H277" s="197">
        <f>'A-14'!J230</f>
        <v>1596</v>
      </c>
    </row>
    <row r="278" spans="1:8" ht="11.25" customHeight="1" x14ac:dyDescent="0.25">
      <c r="A278" s="477">
        <v>2014</v>
      </c>
      <c r="B278" s="197">
        <f>'A-14'!C231</f>
        <v>196</v>
      </c>
      <c r="C278" s="197">
        <f>'A-14'!D231</f>
        <v>295</v>
      </c>
      <c r="D278" s="197">
        <f>'A-14'!E231</f>
        <v>465</v>
      </c>
      <c r="E278" s="197">
        <f>'A-14'!F231</f>
        <v>419</v>
      </c>
      <c r="F278" s="197">
        <f>'A-14'!G231</f>
        <v>152</v>
      </c>
      <c r="G278" s="197">
        <f>'A-14'!H231</f>
        <v>0</v>
      </c>
      <c r="H278" s="197">
        <f>'A-14'!J231</f>
        <v>1527</v>
      </c>
    </row>
    <row r="279" spans="1:8" ht="11.25" customHeight="1" x14ac:dyDescent="0.25">
      <c r="A279" s="477">
        <v>2015</v>
      </c>
      <c r="B279" s="197">
        <f>'A-14'!C232</f>
        <v>324</v>
      </c>
      <c r="C279" s="197">
        <f>'A-14'!D232</f>
        <v>380</v>
      </c>
      <c r="D279" s="197">
        <f>'A-14'!E232</f>
        <v>389</v>
      </c>
      <c r="E279" s="197">
        <f>'A-14'!F232</f>
        <v>261</v>
      </c>
      <c r="F279" s="197">
        <f>'A-14'!G232</f>
        <v>104</v>
      </c>
      <c r="G279" s="197">
        <f>'A-14'!H232</f>
        <v>0</v>
      </c>
      <c r="H279" s="197">
        <f>'A-14'!J232</f>
        <v>1458</v>
      </c>
    </row>
    <row r="280" spans="1:8" ht="11.25" customHeight="1" x14ac:dyDescent="0.25">
      <c r="A280" s="477">
        <v>2016</v>
      </c>
      <c r="B280" s="197">
        <f>'A-14'!C233</f>
        <v>204</v>
      </c>
      <c r="C280" s="197">
        <f>'A-14'!D233</f>
        <v>233</v>
      </c>
      <c r="D280" s="197">
        <f>'A-14'!E233</f>
        <v>141</v>
      </c>
      <c r="E280" s="197">
        <f>'A-14'!F233</f>
        <v>90</v>
      </c>
      <c r="F280" s="197">
        <f>'A-14'!G233</f>
        <v>2</v>
      </c>
      <c r="G280" s="197">
        <f>'A-14'!H233</f>
        <v>0</v>
      </c>
      <c r="H280" s="197">
        <f>'A-14'!J233</f>
        <v>670</v>
      </c>
    </row>
    <row r="281" spans="1:8" ht="11.25" customHeight="1" x14ac:dyDescent="0.25">
      <c r="A281" s="477">
        <v>2017</v>
      </c>
      <c r="B281" s="197">
        <f>'A-14'!C234</f>
        <v>27</v>
      </c>
      <c r="C281" s="197">
        <f>'A-14'!D234</f>
        <v>90</v>
      </c>
      <c r="D281" s="197">
        <f>'A-14'!E234</f>
        <v>317</v>
      </c>
      <c r="E281" s="197">
        <f>'A-14'!F234</f>
        <v>357</v>
      </c>
      <c r="F281" s="197">
        <f>'A-14'!G234</f>
        <v>172</v>
      </c>
      <c r="G281" s="197">
        <f>'A-14'!H234</f>
        <v>0</v>
      </c>
      <c r="H281" s="197">
        <f>'A-14'!J234</f>
        <v>963</v>
      </c>
    </row>
    <row r="282" spans="1:8" s="358" customFormat="1" ht="11.25" customHeight="1" x14ac:dyDescent="0.25">
      <c r="A282" s="477">
        <v>2018</v>
      </c>
      <c r="B282" s="197">
        <f>'A-14'!C235</f>
        <v>99</v>
      </c>
      <c r="C282" s="197">
        <f>'A-14'!D235</f>
        <v>255</v>
      </c>
      <c r="D282" s="197">
        <f>'A-14'!E235</f>
        <v>272</v>
      </c>
      <c r="E282" s="197">
        <f>'A-14'!F235</f>
        <v>145</v>
      </c>
      <c r="F282" s="197">
        <f>'A-14'!G235</f>
        <v>110</v>
      </c>
      <c r="G282" s="197">
        <f>'A-14'!H235</f>
        <v>0</v>
      </c>
      <c r="H282" s="197">
        <f>'A-14'!J235</f>
        <v>881</v>
      </c>
    </row>
    <row r="283" spans="1:8" s="358" customFormat="1" ht="11.25" customHeight="1" x14ac:dyDescent="0.25">
      <c r="A283" s="157">
        <v>2019</v>
      </c>
      <c r="B283" s="197">
        <f>'A-14'!C236</f>
        <v>65</v>
      </c>
      <c r="C283" s="197">
        <f>'A-14'!D236</f>
        <v>72</v>
      </c>
      <c r="D283" s="197">
        <f>'A-14'!E236</f>
        <v>365</v>
      </c>
      <c r="E283" s="197">
        <f>'A-14'!F236</f>
        <v>276</v>
      </c>
      <c r="F283" s="197">
        <f>'A-14'!G236</f>
        <v>120</v>
      </c>
      <c r="G283" s="197">
        <f>'A-14'!H236</f>
        <v>0</v>
      </c>
      <c r="H283" s="197">
        <f>'A-14'!J236</f>
        <v>898</v>
      </c>
    </row>
    <row r="284" spans="1:8" ht="11.25" customHeight="1" x14ac:dyDescent="0.25">
      <c r="A284" s="157" t="s">
        <v>393</v>
      </c>
      <c r="B284" s="197">
        <f>'A-14'!C237</f>
        <v>1</v>
      </c>
      <c r="C284" s="197">
        <f>'A-14'!D237</f>
        <v>2</v>
      </c>
      <c r="D284" s="197">
        <f>'A-14'!E237</f>
        <v>29</v>
      </c>
      <c r="E284" s="197">
        <f>'A-14'!F237</f>
        <v>122</v>
      </c>
      <c r="F284" s="197">
        <f>'A-14'!G237</f>
        <v>31</v>
      </c>
      <c r="G284" s="197">
        <f>'A-14'!H237</f>
        <v>0</v>
      </c>
      <c r="H284" s="197">
        <f>'A-14'!J237</f>
        <v>185</v>
      </c>
    </row>
    <row r="285" spans="1:8" ht="11.25" customHeight="1" x14ac:dyDescent="0.25"/>
    <row r="286" spans="1:8" ht="11.25" customHeight="1" x14ac:dyDescent="0.25">
      <c r="A286" s="120" t="s">
        <v>310</v>
      </c>
    </row>
    <row r="287" spans="1:8" ht="11.25" customHeight="1" x14ac:dyDescent="0.25">
      <c r="A287" s="473">
        <v>1976</v>
      </c>
      <c r="B287" s="193">
        <f t="shared" ref="B287:H296" si="28">IF(AND(B240="-",B193="-"),"-",SUM(B240,B193))</f>
        <v>4822</v>
      </c>
      <c r="C287" s="193">
        <f t="shared" si="28"/>
        <v>8626</v>
      </c>
      <c r="D287" s="193">
        <f t="shared" si="28"/>
        <v>19561</v>
      </c>
      <c r="E287" s="193">
        <f t="shared" si="28"/>
        <v>18074</v>
      </c>
      <c r="F287" s="193">
        <f t="shared" si="28"/>
        <v>12643</v>
      </c>
      <c r="G287" s="193">
        <f t="shared" si="28"/>
        <v>128</v>
      </c>
      <c r="H287" s="193">
        <f t="shared" si="28"/>
        <v>63847</v>
      </c>
    </row>
    <row r="288" spans="1:8" ht="11.25" customHeight="1" x14ac:dyDescent="0.25">
      <c r="A288" s="473">
        <v>1977</v>
      </c>
      <c r="B288" s="193">
        <f t="shared" si="28"/>
        <v>4856</v>
      </c>
      <c r="C288" s="193">
        <f t="shared" si="28"/>
        <v>3736</v>
      </c>
      <c r="D288" s="193">
        <f t="shared" si="28"/>
        <v>21760</v>
      </c>
      <c r="E288" s="193">
        <f t="shared" si="28"/>
        <v>16321</v>
      </c>
      <c r="F288" s="193">
        <f t="shared" si="28"/>
        <v>10083</v>
      </c>
      <c r="G288" s="193">
        <f t="shared" si="28"/>
        <v>92</v>
      </c>
      <c r="H288" s="193">
        <f t="shared" si="28"/>
        <v>56846</v>
      </c>
    </row>
    <row r="289" spans="1:8" ht="11.25" customHeight="1" x14ac:dyDescent="0.25">
      <c r="A289" s="473">
        <v>1978</v>
      </c>
      <c r="B289" s="193">
        <f t="shared" si="28"/>
        <v>3014</v>
      </c>
      <c r="C289" s="193">
        <f t="shared" si="28"/>
        <v>3204</v>
      </c>
      <c r="D289" s="193">
        <f t="shared" si="28"/>
        <v>15597</v>
      </c>
      <c r="E289" s="193">
        <f t="shared" si="28"/>
        <v>11319</v>
      </c>
      <c r="F289" s="193">
        <f t="shared" si="28"/>
        <v>8836</v>
      </c>
      <c r="G289" s="193">
        <f t="shared" si="28"/>
        <v>64</v>
      </c>
      <c r="H289" s="193">
        <f t="shared" si="28"/>
        <v>42028</v>
      </c>
    </row>
    <row r="290" spans="1:8" ht="11.25" customHeight="1" x14ac:dyDescent="0.25">
      <c r="A290" s="473">
        <v>1979</v>
      </c>
      <c r="B290" s="193">
        <f t="shared" si="28"/>
        <v>4813</v>
      </c>
      <c r="C290" s="193">
        <f t="shared" si="28"/>
        <v>278</v>
      </c>
      <c r="D290" s="193">
        <f t="shared" si="28"/>
        <v>15895</v>
      </c>
      <c r="E290" s="193">
        <f t="shared" si="28"/>
        <v>22120</v>
      </c>
      <c r="F290" s="193">
        <f t="shared" si="28"/>
        <v>221</v>
      </c>
      <c r="G290" s="193">
        <f t="shared" si="28"/>
        <v>9</v>
      </c>
      <c r="H290" s="193">
        <f t="shared" si="28"/>
        <v>43328</v>
      </c>
    </row>
    <row r="291" spans="1:8" ht="11.25" customHeight="1" x14ac:dyDescent="0.25">
      <c r="A291" s="473">
        <v>1980</v>
      </c>
      <c r="B291" s="193">
        <f t="shared" si="28"/>
        <v>4710</v>
      </c>
      <c r="C291" s="193">
        <f t="shared" si="28"/>
        <v>340</v>
      </c>
      <c r="D291" s="193">
        <f t="shared" si="28"/>
        <v>9623</v>
      </c>
      <c r="E291" s="193">
        <f t="shared" si="28"/>
        <v>11918</v>
      </c>
      <c r="F291" s="193">
        <f t="shared" si="28"/>
        <v>660</v>
      </c>
      <c r="G291" s="193">
        <f t="shared" si="28"/>
        <v>17</v>
      </c>
      <c r="H291" s="193">
        <f t="shared" si="28"/>
        <v>27259</v>
      </c>
    </row>
    <row r="292" spans="1:8" ht="11.25" customHeight="1" x14ac:dyDescent="0.25">
      <c r="A292" s="473">
        <v>1981</v>
      </c>
      <c r="B292" s="193">
        <f t="shared" si="28"/>
        <v>5598</v>
      </c>
      <c r="C292" s="193">
        <f t="shared" si="28"/>
        <v>363</v>
      </c>
      <c r="D292" s="193">
        <f t="shared" si="28"/>
        <v>11487</v>
      </c>
      <c r="E292" s="193">
        <f t="shared" si="28"/>
        <v>11295</v>
      </c>
      <c r="F292" s="193">
        <f t="shared" si="28"/>
        <v>112</v>
      </c>
      <c r="G292" s="193">
        <f t="shared" si="28"/>
        <v>8</v>
      </c>
      <c r="H292" s="193">
        <f t="shared" si="28"/>
        <v>28856</v>
      </c>
    </row>
    <row r="293" spans="1:8" ht="11.25" customHeight="1" x14ac:dyDescent="0.25">
      <c r="A293" s="473">
        <v>1982</v>
      </c>
      <c r="B293" s="193">
        <f t="shared" si="28"/>
        <v>4733</v>
      </c>
      <c r="C293" s="193">
        <f t="shared" si="28"/>
        <v>855</v>
      </c>
      <c r="D293" s="193">
        <f t="shared" si="28"/>
        <v>11630</v>
      </c>
      <c r="E293" s="193">
        <f t="shared" si="28"/>
        <v>732</v>
      </c>
      <c r="F293" s="193">
        <f t="shared" si="28"/>
        <v>234</v>
      </c>
      <c r="G293" s="193">
        <f t="shared" si="28"/>
        <v>26</v>
      </c>
      <c r="H293" s="193">
        <f t="shared" si="28"/>
        <v>18184</v>
      </c>
    </row>
    <row r="294" spans="1:8" ht="11.25" customHeight="1" x14ac:dyDescent="0.25">
      <c r="A294" s="473">
        <v>1983</v>
      </c>
      <c r="B294" s="193">
        <f t="shared" si="28"/>
        <v>4606</v>
      </c>
      <c r="C294" s="193">
        <f t="shared" si="28"/>
        <v>871</v>
      </c>
      <c r="D294" s="193">
        <f t="shared" si="28"/>
        <v>3187</v>
      </c>
      <c r="E294" s="193">
        <f t="shared" si="28"/>
        <v>2568</v>
      </c>
      <c r="F294" s="193">
        <f t="shared" si="28"/>
        <v>914</v>
      </c>
      <c r="G294" s="193">
        <f t="shared" si="28"/>
        <v>10</v>
      </c>
      <c r="H294" s="193">
        <f t="shared" si="28"/>
        <v>12146</v>
      </c>
    </row>
    <row r="295" spans="1:8" ht="11.25" customHeight="1" x14ac:dyDescent="0.25">
      <c r="A295" s="473">
        <v>1984</v>
      </c>
      <c r="B295" s="193">
        <f t="shared" si="28"/>
        <v>721</v>
      </c>
      <c r="C295" s="193">
        <f t="shared" si="28"/>
        <v>39</v>
      </c>
      <c r="D295" s="193">
        <f t="shared" si="28"/>
        <v>145</v>
      </c>
      <c r="E295" s="193">
        <f t="shared" si="28"/>
        <v>1127</v>
      </c>
      <c r="F295" s="193">
        <f t="shared" si="28"/>
        <v>0</v>
      </c>
      <c r="G295" s="193">
        <f t="shared" si="28"/>
        <v>19</v>
      </c>
      <c r="H295" s="193">
        <f t="shared" si="28"/>
        <v>2032</v>
      </c>
    </row>
    <row r="296" spans="1:8" ht="11.25" customHeight="1" x14ac:dyDescent="0.25">
      <c r="A296" s="473">
        <v>1985</v>
      </c>
      <c r="B296" s="193">
        <f t="shared" si="28"/>
        <v>3081</v>
      </c>
      <c r="C296" s="193">
        <f t="shared" si="28"/>
        <v>101</v>
      </c>
      <c r="D296" s="193">
        <f t="shared" si="28"/>
        <v>2458</v>
      </c>
      <c r="E296" s="193">
        <f t="shared" si="28"/>
        <v>2314</v>
      </c>
      <c r="F296" s="193">
        <f t="shared" si="28"/>
        <v>217</v>
      </c>
      <c r="G296" s="193">
        <f t="shared" si="28"/>
        <v>24</v>
      </c>
      <c r="H296" s="193">
        <f t="shared" si="28"/>
        <v>8172</v>
      </c>
    </row>
    <row r="297" spans="1:8" ht="11.25" customHeight="1" x14ac:dyDescent="0.25">
      <c r="A297" s="473">
        <v>1986</v>
      </c>
      <c r="B297" s="193">
        <f t="shared" ref="B297:H306" si="29">IF(AND(B250="-",B203="-"),"-",SUM(B250,B203))</f>
        <v>2788</v>
      </c>
      <c r="C297" s="193">
        <f t="shared" si="29"/>
        <v>349</v>
      </c>
      <c r="D297" s="193">
        <f t="shared" si="29"/>
        <v>453</v>
      </c>
      <c r="E297" s="193">
        <f t="shared" si="29"/>
        <v>2853</v>
      </c>
      <c r="F297" s="193">
        <f t="shared" si="29"/>
        <v>1</v>
      </c>
      <c r="G297" s="193">
        <f t="shared" si="29"/>
        <v>0</v>
      </c>
      <c r="H297" s="193">
        <f t="shared" si="29"/>
        <v>6444</v>
      </c>
    </row>
    <row r="298" spans="1:8" ht="11.25" customHeight="1" x14ac:dyDescent="0.25">
      <c r="A298" s="473">
        <v>1987</v>
      </c>
      <c r="B298" s="193">
        <f t="shared" si="29"/>
        <v>2229</v>
      </c>
      <c r="C298" s="193">
        <f t="shared" si="29"/>
        <v>0</v>
      </c>
      <c r="D298" s="193">
        <f t="shared" si="29"/>
        <v>1782</v>
      </c>
      <c r="E298" s="193">
        <f t="shared" si="29"/>
        <v>627</v>
      </c>
      <c r="F298" s="193">
        <f t="shared" si="29"/>
        <v>0</v>
      </c>
      <c r="G298" s="193">
        <f t="shared" si="29"/>
        <v>6</v>
      </c>
      <c r="H298" s="193">
        <f t="shared" si="29"/>
        <v>4638</v>
      </c>
    </row>
    <row r="299" spans="1:8" ht="11.25" customHeight="1" x14ac:dyDescent="0.25">
      <c r="A299" s="473">
        <v>1988</v>
      </c>
      <c r="B299" s="193">
        <f t="shared" si="29"/>
        <v>3905</v>
      </c>
      <c r="C299" s="193">
        <f t="shared" si="29"/>
        <v>2405</v>
      </c>
      <c r="D299" s="193">
        <f t="shared" si="29"/>
        <v>342</v>
      </c>
      <c r="E299" s="193">
        <f t="shared" si="29"/>
        <v>542</v>
      </c>
      <c r="F299" s="193">
        <f t="shared" si="29"/>
        <v>190</v>
      </c>
      <c r="G299" s="193">
        <f t="shared" si="29"/>
        <v>0</v>
      </c>
      <c r="H299" s="193">
        <f t="shared" si="29"/>
        <v>7384</v>
      </c>
    </row>
    <row r="300" spans="1:8" ht="11.25" customHeight="1" x14ac:dyDescent="0.25">
      <c r="A300" s="473">
        <v>1989</v>
      </c>
      <c r="B300" s="193">
        <f t="shared" si="29"/>
        <v>2466</v>
      </c>
      <c r="C300" s="193">
        <f t="shared" si="29"/>
        <v>1281</v>
      </c>
      <c r="D300" s="193">
        <f t="shared" si="29"/>
        <v>558</v>
      </c>
      <c r="E300" s="193">
        <f t="shared" si="29"/>
        <v>2209</v>
      </c>
      <c r="F300" s="193">
        <f t="shared" si="29"/>
        <v>1072</v>
      </c>
      <c r="G300" s="193">
        <f t="shared" si="29"/>
        <v>0</v>
      </c>
      <c r="H300" s="193">
        <f t="shared" si="29"/>
        <v>7586</v>
      </c>
    </row>
    <row r="301" spans="1:8" ht="11.25" customHeight="1" x14ac:dyDescent="0.25">
      <c r="A301" s="473">
        <v>1990</v>
      </c>
      <c r="B301" s="193">
        <f t="shared" si="29"/>
        <v>2293</v>
      </c>
      <c r="C301" s="193">
        <f t="shared" si="29"/>
        <v>384</v>
      </c>
      <c r="D301" s="193">
        <f t="shared" si="29"/>
        <v>375</v>
      </c>
      <c r="E301" s="193">
        <f t="shared" si="29"/>
        <v>3305</v>
      </c>
      <c r="F301" s="193">
        <f t="shared" si="29"/>
        <v>1255</v>
      </c>
      <c r="G301" s="193">
        <f t="shared" si="29"/>
        <v>24</v>
      </c>
      <c r="H301" s="193">
        <f t="shared" si="29"/>
        <v>7634</v>
      </c>
    </row>
    <row r="302" spans="1:8" ht="11.25" customHeight="1" x14ac:dyDescent="0.25">
      <c r="A302" s="473">
        <v>1991</v>
      </c>
      <c r="B302" s="193">
        <f t="shared" si="29"/>
        <v>1950</v>
      </c>
      <c r="C302" s="193">
        <f t="shared" si="29"/>
        <v>1112</v>
      </c>
      <c r="D302" s="193">
        <f t="shared" si="29"/>
        <v>335</v>
      </c>
      <c r="E302" s="193">
        <f t="shared" si="29"/>
        <v>2625</v>
      </c>
      <c r="F302" s="193">
        <f t="shared" si="29"/>
        <v>657</v>
      </c>
      <c r="G302" s="193">
        <f t="shared" si="29"/>
        <v>50</v>
      </c>
      <c r="H302" s="193">
        <f t="shared" si="29"/>
        <v>6679</v>
      </c>
    </row>
    <row r="303" spans="1:8" ht="11.25" customHeight="1" x14ac:dyDescent="0.25">
      <c r="A303" s="473">
        <v>1992</v>
      </c>
      <c r="B303" s="193">
        <f t="shared" si="29"/>
        <v>2168</v>
      </c>
      <c r="C303" s="193">
        <f t="shared" si="29"/>
        <v>1452</v>
      </c>
      <c r="D303" s="193">
        <f t="shared" si="29"/>
        <v>1228</v>
      </c>
      <c r="E303" s="193">
        <f t="shared" si="29"/>
        <v>903</v>
      </c>
      <c r="F303" s="193">
        <f t="shared" si="29"/>
        <v>0</v>
      </c>
      <c r="G303" s="193">
        <f t="shared" si="29"/>
        <v>1</v>
      </c>
      <c r="H303" s="193">
        <f t="shared" si="29"/>
        <v>5751</v>
      </c>
    </row>
    <row r="304" spans="1:8" ht="11.25" customHeight="1" x14ac:dyDescent="0.25">
      <c r="A304" s="473">
        <v>1993</v>
      </c>
      <c r="B304" s="193">
        <f t="shared" si="29"/>
        <v>1383</v>
      </c>
      <c r="C304" s="193">
        <f t="shared" si="29"/>
        <v>1041</v>
      </c>
      <c r="D304" s="193">
        <f t="shared" si="29"/>
        <v>1120</v>
      </c>
      <c r="E304" s="193">
        <f t="shared" si="29"/>
        <v>833</v>
      </c>
      <c r="F304" s="193">
        <f t="shared" si="29"/>
        <v>727</v>
      </c>
      <c r="G304" s="193">
        <f t="shared" si="29"/>
        <v>0</v>
      </c>
      <c r="H304" s="193">
        <f t="shared" si="29"/>
        <v>5104</v>
      </c>
    </row>
    <row r="305" spans="1:8" ht="11.25" customHeight="1" x14ac:dyDescent="0.25">
      <c r="A305" s="473">
        <v>1994</v>
      </c>
      <c r="B305" s="193">
        <f t="shared" si="29"/>
        <v>28</v>
      </c>
      <c r="C305" s="193">
        <f t="shared" si="29"/>
        <v>70</v>
      </c>
      <c r="D305" s="193">
        <f t="shared" si="29"/>
        <v>3</v>
      </c>
      <c r="E305" s="193">
        <f t="shared" si="29"/>
        <v>0</v>
      </c>
      <c r="F305" s="193">
        <f t="shared" si="29"/>
        <v>0</v>
      </c>
      <c r="G305" s="193">
        <f t="shared" si="29"/>
        <v>0</v>
      </c>
      <c r="H305" s="193">
        <f t="shared" si="29"/>
        <v>101</v>
      </c>
    </row>
    <row r="306" spans="1:8" ht="11.25" customHeight="1" x14ac:dyDescent="0.25">
      <c r="A306" s="473">
        <v>1995</v>
      </c>
      <c r="B306" s="193">
        <f t="shared" si="29"/>
        <v>10</v>
      </c>
      <c r="C306" s="193">
        <f t="shared" si="29"/>
        <v>0</v>
      </c>
      <c r="D306" s="193">
        <f t="shared" si="29"/>
        <v>1</v>
      </c>
      <c r="E306" s="193">
        <f t="shared" si="29"/>
        <v>710</v>
      </c>
      <c r="F306" s="193">
        <f t="shared" si="29"/>
        <v>74</v>
      </c>
      <c r="G306" s="193">
        <f t="shared" si="29"/>
        <v>0</v>
      </c>
      <c r="H306" s="193">
        <f t="shared" si="29"/>
        <v>795</v>
      </c>
    </row>
    <row r="307" spans="1:8" ht="11.25" customHeight="1" x14ac:dyDescent="0.25">
      <c r="A307" s="473">
        <v>1996</v>
      </c>
      <c r="B307" s="193">
        <f t="shared" ref="B307:H313" si="30">IF(AND(B260="-",B213="-"),"-",SUM(B260,B213))</f>
        <v>13</v>
      </c>
      <c r="C307" s="193">
        <f t="shared" si="30"/>
        <v>34</v>
      </c>
      <c r="D307" s="193">
        <f t="shared" si="30"/>
        <v>223</v>
      </c>
      <c r="E307" s="193">
        <f t="shared" si="30"/>
        <v>333</v>
      </c>
      <c r="F307" s="193">
        <f t="shared" si="30"/>
        <v>90</v>
      </c>
      <c r="G307" s="193" t="str">
        <f t="shared" si="30"/>
        <v>-</v>
      </c>
      <c r="H307" s="193">
        <f t="shared" si="30"/>
        <v>693</v>
      </c>
    </row>
    <row r="308" spans="1:8" ht="11.25" customHeight="1" x14ac:dyDescent="0.25">
      <c r="A308" s="473">
        <v>1997</v>
      </c>
      <c r="B308" s="193">
        <f t="shared" si="30"/>
        <v>325</v>
      </c>
      <c r="C308" s="193">
        <f t="shared" si="30"/>
        <v>208</v>
      </c>
      <c r="D308" s="193">
        <f t="shared" si="30"/>
        <v>0</v>
      </c>
      <c r="E308" s="193">
        <f t="shared" si="30"/>
        <v>164</v>
      </c>
      <c r="F308" s="193">
        <f t="shared" si="30"/>
        <v>62</v>
      </c>
      <c r="G308" s="193" t="str">
        <f t="shared" si="30"/>
        <v>-</v>
      </c>
      <c r="H308" s="193">
        <f t="shared" si="30"/>
        <v>759</v>
      </c>
    </row>
    <row r="309" spans="1:8" ht="11.25" customHeight="1" x14ac:dyDescent="0.25">
      <c r="A309" s="473">
        <v>1998</v>
      </c>
      <c r="B309" s="193">
        <f t="shared" si="30"/>
        <v>160</v>
      </c>
      <c r="C309" s="193">
        <f t="shared" si="30"/>
        <v>31</v>
      </c>
      <c r="D309" s="193">
        <f t="shared" si="30"/>
        <v>3</v>
      </c>
      <c r="E309" s="193">
        <f t="shared" si="30"/>
        <v>41</v>
      </c>
      <c r="F309" s="193">
        <f t="shared" si="30"/>
        <v>43</v>
      </c>
      <c r="G309" s="193" t="str">
        <f t="shared" si="30"/>
        <v>-</v>
      </c>
      <c r="H309" s="193">
        <f t="shared" si="30"/>
        <v>278</v>
      </c>
    </row>
    <row r="310" spans="1:8" ht="11.25" customHeight="1" x14ac:dyDescent="0.25">
      <c r="A310" s="473">
        <v>1999</v>
      </c>
      <c r="B310" s="193">
        <f t="shared" si="30"/>
        <v>314</v>
      </c>
      <c r="C310" s="193">
        <f t="shared" si="30"/>
        <v>278</v>
      </c>
      <c r="D310" s="193">
        <f t="shared" si="30"/>
        <v>140</v>
      </c>
      <c r="E310" s="193">
        <f t="shared" si="30"/>
        <v>203</v>
      </c>
      <c r="F310" s="193">
        <f t="shared" si="30"/>
        <v>77</v>
      </c>
      <c r="G310" s="193" t="str">
        <f t="shared" si="30"/>
        <v>-</v>
      </c>
      <c r="H310" s="193">
        <f t="shared" si="30"/>
        <v>1012</v>
      </c>
    </row>
    <row r="311" spans="1:8" ht="11.25" customHeight="1" x14ac:dyDescent="0.25">
      <c r="A311" s="473">
        <v>2000</v>
      </c>
      <c r="B311" s="193">
        <f t="shared" si="30"/>
        <v>237</v>
      </c>
      <c r="C311" s="193">
        <f t="shared" si="30"/>
        <v>142</v>
      </c>
      <c r="D311" s="193">
        <f t="shared" si="30"/>
        <v>5</v>
      </c>
      <c r="E311" s="193">
        <f t="shared" si="30"/>
        <v>420</v>
      </c>
      <c r="F311" s="193">
        <f t="shared" si="30"/>
        <v>32</v>
      </c>
      <c r="G311" s="193" t="str">
        <f t="shared" si="30"/>
        <v>-</v>
      </c>
      <c r="H311" s="193">
        <f t="shared" si="30"/>
        <v>836</v>
      </c>
    </row>
    <row r="312" spans="1:8" ht="11.25" customHeight="1" x14ac:dyDescent="0.25">
      <c r="A312" s="473">
        <v>2001</v>
      </c>
      <c r="B312" s="193">
        <f t="shared" si="30"/>
        <v>291</v>
      </c>
      <c r="C312" s="193">
        <f t="shared" si="30"/>
        <v>304</v>
      </c>
      <c r="D312" s="193">
        <f t="shared" si="30"/>
        <v>378</v>
      </c>
      <c r="E312" s="193">
        <f t="shared" si="30"/>
        <v>368</v>
      </c>
      <c r="F312" s="193">
        <f t="shared" si="30"/>
        <v>181</v>
      </c>
      <c r="G312" s="193" t="str">
        <f t="shared" si="30"/>
        <v>-</v>
      </c>
      <c r="H312" s="193">
        <f t="shared" si="30"/>
        <v>1522</v>
      </c>
    </row>
    <row r="313" spans="1:8" ht="11.25" customHeight="1" x14ac:dyDescent="0.25">
      <c r="A313" s="473">
        <v>2002</v>
      </c>
      <c r="B313" s="193">
        <f t="shared" si="30"/>
        <v>499</v>
      </c>
      <c r="C313" s="193">
        <f t="shared" si="30"/>
        <v>282</v>
      </c>
      <c r="D313" s="193">
        <f t="shared" si="30"/>
        <v>663</v>
      </c>
      <c r="E313" s="193">
        <f t="shared" si="30"/>
        <v>509</v>
      </c>
      <c r="F313" s="193">
        <f t="shared" si="30"/>
        <v>41</v>
      </c>
      <c r="G313" s="193">
        <f t="shared" si="30"/>
        <v>10</v>
      </c>
      <c r="H313" s="193">
        <f t="shared" si="30"/>
        <v>1994</v>
      </c>
    </row>
    <row r="314" spans="1:8" ht="11.25" customHeight="1" x14ac:dyDescent="0.25">
      <c r="A314" s="477">
        <v>2003</v>
      </c>
      <c r="B314" s="193">
        <f t="shared" ref="B314:H314" si="31">IF(AND(B267="-",B220="-"),"-",SUM(B267,B220))</f>
        <v>558</v>
      </c>
      <c r="C314" s="193">
        <f t="shared" si="31"/>
        <v>246</v>
      </c>
      <c r="D314" s="193">
        <f t="shared" si="31"/>
        <v>691</v>
      </c>
      <c r="E314" s="193">
        <f t="shared" si="31"/>
        <v>647</v>
      </c>
      <c r="F314" s="193">
        <f t="shared" si="31"/>
        <v>185</v>
      </c>
      <c r="G314" s="193">
        <f t="shared" si="31"/>
        <v>15</v>
      </c>
      <c r="H314" s="193">
        <f t="shared" si="31"/>
        <v>2327</v>
      </c>
    </row>
    <row r="315" spans="1:8" ht="11.25" customHeight="1" x14ac:dyDescent="0.25">
      <c r="A315" s="473">
        <v>2004</v>
      </c>
      <c r="B315" s="197">
        <f t="shared" ref="B315:H315" si="32">IF(AND(B268="-",B221="-"),"-",SUM(B268,B221))</f>
        <v>538</v>
      </c>
      <c r="C315" s="197">
        <f t="shared" si="32"/>
        <v>63</v>
      </c>
      <c r="D315" s="197">
        <f t="shared" si="32"/>
        <v>601</v>
      </c>
      <c r="E315" s="197">
        <f t="shared" si="32"/>
        <v>600</v>
      </c>
      <c r="F315" s="197">
        <f t="shared" si="32"/>
        <v>357</v>
      </c>
      <c r="G315" s="197">
        <f t="shared" si="32"/>
        <v>15</v>
      </c>
      <c r="H315" s="197">
        <f t="shared" si="32"/>
        <v>2159</v>
      </c>
    </row>
    <row r="316" spans="1:8" ht="11.25" customHeight="1" x14ac:dyDescent="0.25">
      <c r="A316" s="477">
        <v>2005</v>
      </c>
      <c r="B316" s="197">
        <f t="shared" ref="B316:H316" si="33">IF(AND(B269="-",B222="-"),"-",SUM(B269,B222))</f>
        <v>820</v>
      </c>
      <c r="C316" s="197">
        <f t="shared" si="33"/>
        <v>301</v>
      </c>
      <c r="D316" s="197">
        <f t="shared" si="33"/>
        <v>518</v>
      </c>
      <c r="E316" s="197">
        <f t="shared" si="33"/>
        <v>835</v>
      </c>
      <c r="F316" s="197">
        <f t="shared" si="33"/>
        <v>77</v>
      </c>
      <c r="G316" s="197">
        <f t="shared" si="33"/>
        <v>0</v>
      </c>
      <c r="H316" s="197">
        <f t="shared" si="33"/>
        <v>2551</v>
      </c>
    </row>
    <row r="317" spans="1:8" ht="11.25" customHeight="1" x14ac:dyDescent="0.25">
      <c r="A317" s="477">
        <v>2006</v>
      </c>
      <c r="B317" s="197">
        <f t="shared" ref="B317:H317" si="34">IF(AND(B270="-",B223="-"),"-",SUM(B270,B223))</f>
        <v>1042</v>
      </c>
      <c r="C317" s="197">
        <f t="shared" si="34"/>
        <v>1016</v>
      </c>
      <c r="D317" s="197">
        <f t="shared" si="34"/>
        <v>267</v>
      </c>
      <c r="E317" s="197">
        <f t="shared" si="34"/>
        <v>517</v>
      </c>
      <c r="F317" s="197">
        <f t="shared" si="34"/>
        <v>385</v>
      </c>
      <c r="G317" s="197">
        <f t="shared" si="34"/>
        <v>5</v>
      </c>
      <c r="H317" s="197">
        <f t="shared" si="34"/>
        <v>3227</v>
      </c>
    </row>
    <row r="318" spans="1:8" ht="11.25" customHeight="1" x14ac:dyDescent="0.25">
      <c r="A318" s="477">
        <v>2007</v>
      </c>
      <c r="B318" s="197">
        <f t="shared" ref="B318:H318" si="35">IF(AND(B271="-",B224="-"),"-",SUM(B271,B224))</f>
        <v>566</v>
      </c>
      <c r="C318" s="197">
        <f t="shared" si="35"/>
        <v>531</v>
      </c>
      <c r="D318" s="197">
        <f t="shared" si="35"/>
        <v>593</v>
      </c>
      <c r="E318" s="197">
        <f t="shared" si="35"/>
        <v>465</v>
      </c>
      <c r="F318" s="197">
        <f t="shared" si="35"/>
        <v>39</v>
      </c>
      <c r="G318" s="197">
        <f t="shared" si="35"/>
        <v>0</v>
      </c>
      <c r="H318" s="197">
        <f t="shared" si="35"/>
        <v>2194</v>
      </c>
    </row>
    <row r="319" spans="1:8" ht="11.25" customHeight="1" x14ac:dyDescent="0.25">
      <c r="A319" s="477">
        <v>2008</v>
      </c>
      <c r="B319" s="197">
        <f t="shared" ref="B319:H319" si="36">IF(AND(B272="-",B225="-"),"-",SUM(B272,B225))</f>
        <v>582</v>
      </c>
      <c r="C319" s="197">
        <f t="shared" si="36"/>
        <v>840</v>
      </c>
      <c r="D319" s="197">
        <f t="shared" si="36"/>
        <v>361</v>
      </c>
      <c r="E319" s="197">
        <f t="shared" si="36"/>
        <v>510</v>
      </c>
      <c r="F319" s="197">
        <f t="shared" si="36"/>
        <v>165</v>
      </c>
      <c r="G319" s="197">
        <f t="shared" si="36"/>
        <v>1</v>
      </c>
      <c r="H319" s="197">
        <f t="shared" si="36"/>
        <v>2458</v>
      </c>
    </row>
    <row r="320" spans="1:8" ht="11.25" customHeight="1" x14ac:dyDescent="0.25">
      <c r="A320" s="477">
        <v>2009</v>
      </c>
      <c r="B320" s="197">
        <f t="shared" ref="B320:H320" si="37">IF(AND(B273="-",B226="-"),"-",SUM(B273,B226))</f>
        <v>628</v>
      </c>
      <c r="C320" s="197">
        <f t="shared" si="37"/>
        <v>887</v>
      </c>
      <c r="D320" s="197">
        <f t="shared" si="37"/>
        <v>924</v>
      </c>
      <c r="E320" s="197">
        <f t="shared" si="37"/>
        <v>767</v>
      </c>
      <c r="F320" s="197">
        <f t="shared" si="37"/>
        <v>152</v>
      </c>
      <c r="G320" s="197">
        <f t="shared" si="37"/>
        <v>4</v>
      </c>
      <c r="H320" s="197">
        <f t="shared" si="37"/>
        <v>3358</v>
      </c>
    </row>
    <row r="321" spans="1:8" ht="11.25" customHeight="1" x14ac:dyDescent="0.25">
      <c r="A321" s="477">
        <v>2010</v>
      </c>
      <c r="B321" s="197">
        <f t="shared" ref="B321:H321" si="38">IF(AND(B274="-",B227="-"),"-",SUM(B274,B227))</f>
        <v>757</v>
      </c>
      <c r="C321" s="197">
        <f t="shared" si="38"/>
        <v>1503</v>
      </c>
      <c r="D321" s="197">
        <f t="shared" si="38"/>
        <v>820</v>
      </c>
      <c r="E321" s="197">
        <f t="shared" si="38"/>
        <v>714</v>
      </c>
      <c r="F321" s="197">
        <f t="shared" si="38"/>
        <v>131</v>
      </c>
      <c r="G321" s="197">
        <f t="shared" si="38"/>
        <v>4</v>
      </c>
      <c r="H321" s="197">
        <f t="shared" si="38"/>
        <v>3925</v>
      </c>
    </row>
    <row r="322" spans="1:8" ht="11.25" customHeight="1" x14ac:dyDescent="0.25">
      <c r="A322" s="477">
        <v>2011</v>
      </c>
      <c r="B322" s="197">
        <f t="shared" ref="B322:H322" si="39">IF(AND(B275="-",B228="-"),"-",SUM(B275,B228))</f>
        <v>825</v>
      </c>
      <c r="C322" s="197">
        <f t="shared" si="39"/>
        <v>1015</v>
      </c>
      <c r="D322" s="197">
        <f t="shared" si="39"/>
        <v>642</v>
      </c>
      <c r="E322" s="197">
        <f t="shared" si="39"/>
        <v>375</v>
      </c>
      <c r="F322" s="197">
        <f t="shared" si="39"/>
        <v>96</v>
      </c>
      <c r="G322" s="197">
        <f t="shared" si="39"/>
        <v>1</v>
      </c>
      <c r="H322" s="197">
        <f t="shared" si="39"/>
        <v>2953</v>
      </c>
    </row>
    <row r="323" spans="1:8" ht="11.25" customHeight="1" x14ac:dyDescent="0.25">
      <c r="A323" s="477">
        <v>2012</v>
      </c>
      <c r="B323" s="197">
        <f t="shared" ref="B323:H323" si="40">IF(AND(B276="-",B229="-"),"-",SUM(B276,B229))</f>
        <v>571</v>
      </c>
      <c r="C323" s="197">
        <f t="shared" si="40"/>
        <v>1201</v>
      </c>
      <c r="D323" s="197">
        <f t="shared" si="40"/>
        <v>717</v>
      </c>
      <c r="E323" s="197">
        <f t="shared" si="40"/>
        <v>562</v>
      </c>
      <c r="F323" s="197">
        <f t="shared" si="40"/>
        <v>385</v>
      </c>
      <c r="G323" s="197">
        <f t="shared" si="40"/>
        <v>4</v>
      </c>
      <c r="H323" s="197">
        <f t="shared" si="40"/>
        <v>3436</v>
      </c>
    </row>
    <row r="324" spans="1:8" ht="11.25" customHeight="1" x14ac:dyDescent="0.25">
      <c r="A324" s="477">
        <v>2013</v>
      </c>
      <c r="B324" s="197">
        <f t="shared" ref="B324:H329" si="41">IF(AND(B277="-",B230="-"),"-",SUM(B277,B230))</f>
        <v>1111</v>
      </c>
      <c r="C324" s="197">
        <f t="shared" si="41"/>
        <v>874</v>
      </c>
      <c r="D324" s="197">
        <f t="shared" si="41"/>
        <v>887</v>
      </c>
      <c r="E324" s="197">
        <f t="shared" si="41"/>
        <v>1044</v>
      </c>
      <c r="F324" s="197">
        <f t="shared" si="41"/>
        <v>275</v>
      </c>
      <c r="G324" s="197">
        <f t="shared" si="41"/>
        <v>0</v>
      </c>
      <c r="H324" s="197">
        <f t="shared" si="41"/>
        <v>4191</v>
      </c>
    </row>
    <row r="325" spans="1:8" ht="11.25" customHeight="1" x14ac:dyDescent="0.25">
      <c r="A325" s="477">
        <v>2014</v>
      </c>
      <c r="B325" s="197">
        <f t="shared" si="41"/>
        <v>1490</v>
      </c>
      <c r="C325" s="197">
        <f t="shared" si="41"/>
        <v>611</v>
      </c>
      <c r="D325" s="197">
        <f t="shared" si="41"/>
        <v>1065</v>
      </c>
      <c r="E325" s="197">
        <f t="shared" si="41"/>
        <v>856</v>
      </c>
      <c r="F325" s="197">
        <f t="shared" si="41"/>
        <v>343</v>
      </c>
      <c r="G325" s="197">
        <f t="shared" si="41"/>
        <v>0</v>
      </c>
      <c r="H325" s="197">
        <f t="shared" si="41"/>
        <v>4365</v>
      </c>
    </row>
    <row r="326" spans="1:8" ht="11.25" customHeight="1" x14ac:dyDescent="0.25">
      <c r="A326" s="477">
        <v>2015</v>
      </c>
      <c r="B326" s="197">
        <f t="shared" si="41"/>
        <v>1850</v>
      </c>
      <c r="C326" s="197">
        <f t="shared" si="41"/>
        <v>978</v>
      </c>
      <c r="D326" s="197">
        <f t="shared" si="41"/>
        <v>939</v>
      </c>
      <c r="E326" s="197">
        <f t="shared" si="41"/>
        <v>798</v>
      </c>
      <c r="F326" s="197">
        <f t="shared" si="41"/>
        <v>356</v>
      </c>
      <c r="G326" s="197">
        <f t="shared" si="41"/>
        <v>0</v>
      </c>
      <c r="H326" s="197">
        <f t="shared" si="41"/>
        <v>4921</v>
      </c>
    </row>
    <row r="327" spans="1:8" ht="11.25" customHeight="1" x14ac:dyDescent="0.25">
      <c r="A327" s="477">
        <v>2016</v>
      </c>
      <c r="B327" s="197">
        <f t="shared" si="41"/>
        <v>1000</v>
      </c>
      <c r="C327" s="197">
        <f t="shared" si="41"/>
        <v>722</v>
      </c>
      <c r="D327" s="197">
        <f t="shared" si="41"/>
        <v>440</v>
      </c>
      <c r="E327" s="197">
        <f t="shared" si="41"/>
        <v>359</v>
      </c>
      <c r="F327" s="197">
        <f t="shared" si="41"/>
        <v>2</v>
      </c>
      <c r="G327" s="197">
        <f t="shared" si="41"/>
        <v>0</v>
      </c>
      <c r="H327" s="197">
        <f t="shared" si="41"/>
        <v>2523</v>
      </c>
    </row>
    <row r="328" spans="1:8" ht="11.25" customHeight="1" x14ac:dyDescent="0.25">
      <c r="A328" s="477">
        <v>2017</v>
      </c>
      <c r="B328" s="197">
        <f t="shared" si="41"/>
        <v>887</v>
      </c>
      <c r="C328" s="197">
        <f t="shared" si="41"/>
        <v>812</v>
      </c>
      <c r="D328" s="197">
        <f t="shared" si="41"/>
        <v>723</v>
      </c>
      <c r="E328" s="197">
        <f t="shared" si="41"/>
        <v>887</v>
      </c>
      <c r="F328" s="197">
        <f t="shared" si="41"/>
        <v>369</v>
      </c>
      <c r="G328" s="197">
        <f t="shared" si="41"/>
        <v>0</v>
      </c>
      <c r="H328" s="197">
        <f t="shared" si="41"/>
        <v>3678</v>
      </c>
    </row>
    <row r="329" spans="1:8" s="358" customFormat="1" ht="11.25" customHeight="1" x14ac:dyDescent="0.25">
      <c r="A329" s="157">
        <v>2018</v>
      </c>
      <c r="B329" s="197">
        <f t="shared" si="41"/>
        <v>869</v>
      </c>
      <c r="C329" s="197">
        <f t="shared" si="41"/>
        <v>996</v>
      </c>
      <c r="D329" s="197">
        <f t="shared" si="41"/>
        <v>712</v>
      </c>
      <c r="E329" s="197">
        <f t="shared" si="41"/>
        <v>370</v>
      </c>
      <c r="F329" s="197">
        <f t="shared" si="41"/>
        <v>181</v>
      </c>
      <c r="G329" s="197">
        <f t="shared" si="41"/>
        <v>0</v>
      </c>
      <c r="H329" s="197">
        <f t="shared" si="41"/>
        <v>3128</v>
      </c>
    </row>
    <row r="330" spans="1:8" s="358" customFormat="1" ht="11.25" customHeight="1" x14ac:dyDescent="0.25">
      <c r="A330" s="157">
        <v>2019</v>
      </c>
      <c r="B330" s="197">
        <f t="shared" ref="B330:H331" si="42">IF(AND(B283="-",B236="-"),"-",SUM(B283,B236))</f>
        <v>477</v>
      </c>
      <c r="C330" s="197">
        <f t="shared" si="42"/>
        <v>433</v>
      </c>
      <c r="D330" s="197">
        <f t="shared" si="42"/>
        <v>1135</v>
      </c>
      <c r="E330" s="197">
        <f t="shared" si="42"/>
        <v>521</v>
      </c>
      <c r="F330" s="197">
        <f t="shared" si="42"/>
        <v>257</v>
      </c>
      <c r="G330" s="197">
        <f t="shared" si="42"/>
        <v>0</v>
      </c>
      <c r="H330" s="197">
        <f t="shared" si="42"/>
        <v>2823</v>
      </c>
    </row>
    <row r="331" spans="1:8" ht="11.25" customHeight="1" x14ac:dyDescent="0.25">
      <c r="A331" s="157" t="s">
        <v>393</v>
      </c>
      <c r="B331" s="197">
        <f t="shared" si="42"/>
        <v>108</v>
      </c>
      <c r="C331" s="197">
        <f t="shared" si="42"/>
        <v>176</v>
      </c>
      <c r="D331" s="197">
        <f t="shared" si="42"/>
        <v>513</v>
      </c>
      <c r="E331" s="197">
        <f t="shared" si="42"/>
        <v>372</v>
      </c>
      <c r="F331" s="197">
        <f t="shared" si="42"/>
        <v>58</v>
      </c>
      <c r="G331" s="197">
        <f t="shared" si="42"/>
        <v>0</v>
      </c>
      <c r="H331" s="197">
        <f t="shared" si="42"/>
        <v>1227</v>
      </c>
    </row>
    <row r="332" spans="1:8" ht="11.25" customHeight="1" x14ac:dyDescent="0.25">
      <c r="A332" s="617" t="s">
        <v>98</v>
      </c>
      <c r="B332" s="617"/>
      <c r="C332" s="617"/>
      <c r="D332" s="617"/>
      <c r="E332" s="617"/>
      <c r="F332" s="617"/>
      <c r="G332" s="617"/>
      <c r="H332" s="617"/>
    </row>
    <row r="333" spans="1:8" ht="11.25" customHeight="1" x14ac:dyDescent="0.25">
      <c r="A333" s="618"/>
      <c r="B333" s="618"/>
      <c r="C333" s="618"/>
      <c r="D333" s="618"/>
      <c r="E333" s="618"/>
      <c r="F333" s="618"/>
      <c r="G333" s="618"/>
      <c r="H333" s="618"/>
    </row>
    <row r="334" spans="1:8" ht="11.25" customHeight="1" x14ac:dyDescent="0.25">
      <c r="A334" s="616" t="s">
        <v>48</v>
      </c>
      <c r="B334" s="616"/>
      <c r="C334" s="616"/>
      <c r="D334" s="616"/>
      <c r="E334" s="616"/>
      <c r="F334" s="616"/>
      <c r="G334" s="616"/>
      <c r="H334" s="616"/>
    </row>
    <row r="335" spans="1:8" ht="11.25" customHeight="1" x14ac:dyDescent="0.25">
      <c r="A335" s="618" t="s">
        <v>247</v>
      </c>
      <c r="B335" s="618"/>
      <c r="C335" s="618"/>
      <c r="D335" s="618"/>
      <c r="E335" s="618"/>
      <c r="F335" s="618"/>
      <c r="G335" s="618"/>
      <c r="H335" s="618"/>
    </row>
    <row r="336" spans="1:8" ht="18.75" customHeight="1" x14ac:dyDescent="0.25">
      <c r="A336" s="618"/>
      <c r="B336" s="618"/>
      <c r="C336" s="618"/>
      <c r="D336" s="618"/>
      <c r="E336" s="618"/>
      <c r="F336" s="618"/>
      <c r="G336" s="618"/>
      <c r="H336" s="618"/>
    </row>
    <row r="337" spans="1:8" ht="11.25" customHeight="1" x14ac:dyDescent="0.25"/>
    <row r="338" spans="1:8" ht="11.25" customHeight="1" x14ac:dyDescent="0.25"/>
    <row r="339" spans="1:8" ht="11.25" customHeight="1" x14ac:dyDescent="0.25"/>
    <row r="340" spans="1:8" ht="11.25" customHeight="1" x14ac:dyDescent="0.25"/>
    <row r="341" spans="1:8" ht="11.25" customHeight="1" x14ac:dyDescent="0.25">
      <c r="A341" s="240"/>
      <c r="B341" s="242"/>
      <c r="C341" s="242"/>
      <c r="D341" s="242"/>
      <c r="E341" s="242"/>
      <c r="F341" s="242"/>
      <c r="G341" s="242"/>
      <c r="H341" s="242"/>
    </row>
    <row r="342" spans="1:8" ht="11.25" customHeight="1" x14ac:dyDescent="0.25">
      <c r="A342" s="611" t="s">
        <v>375</v>
      </c>
      <c r="B342" s="611"/>
      <c r="C342" s="611"/>
      <c r="D342" s="611"/>
      <c r="E342" s="611"/>
      <c r="F342" s="611"/>
      <c r="G342" s="611"/>
      <c r="H342" s="611"/>
    </row>
    <row r="343" spans="1:8" ht="11.25" customHeight="1" x14ac:dyDescent="0.25">
      <c r="A343" s="611"/>
      <c r="B343" s="611"/>
      <c r="C343" s="611"/>
      <c r="D343" s="611"/>
      <c r="E343" s="611"/>
      <c r="F343" s="611"/>
      <c r="G343" s="611"/>
      <c r="H343" s="611"/>
    </row>
    <row r="344" spans="1:8" ht="11.25" customHeight="1" x14ac:dyDescent="0.25">
      <c r="A344" s="469" t="s">
        <v>33</v>
      </c>
      <c r="B344" s="471" t="s">
        <v>89</v>
      </c>
      <c r="C344" s="471" t="s">
        <v>90</v>
      </c>
      <c r="D344" s="471" t="s">
        <v>91</v>
      </c>
      <c r="E344" s="471" t="s">
        <v>92</v>
      </c>
      <c r="F344" s="471" t="s">
        <v>93</v>
      </c>
      <c r="G344" s="471" t="s">
        <v>94</v>
      </c>
      <c r="H344" s="471" t="s">
        <v>28</v>
      </c>
    </row>
    <row r="345" spans="1:8" ht="11.25" customHeight="1" x14ac:dyDescent="0.25">
      <c r="A345" s="159" t="s">
        <v>95</v>
      </c>
      <c r="B345" s="197"/>
      <c r="C345" s="197"/>
      <c r="D345" s="197"/>
      <c r="E345" s="197"/>
      <c r="F345" s="197"/>
      <c r="G345" s="197"/>
      <c r="H345" s="37"/>
    </row>
    <row r="346" spans="1:8" ht="11.25" customHeight="1" x14ac:dyDescent="0.25">
      <c r="A346" s="477" t="s">
        <v>30</v>
      </c>
      <c r="B346" s="197">
        <f>AVERAGE(B10:B14)</f>
        <v>2700</v>
      </c>
      <c r="C346" s="197">
        <f>AVERAGE(C10:C14)</f>
        <v>308.75</v>
      </c>
      <c r="D346" s="197">
        <f>AVERAGE(D10:D14)</f>
        <v>5650</v>
      </c>
      <c r="E346" s="197">
        <f>AVERAGE(E10:E14)</f>
        <v>2388</v>
      </c>
      <c r="F346" s="197">
        <f>AVERAGE(F10:F14)</f>
        <v>14</v>
      </c>
      <c r="G346" s="197" t="s">
        <v>29</v>
      </c>
      <c r="H346" s="37">
        <f>AVERAGE(H10:H14)</f>
        <v>9857.7999999999993</v>
      </c>
    </row>
    <row r="347" spans="1:8" ht="11.25" customHeight="1" x14ac:dyDescent="0.25">
      <c r="A347" s="477" t="s">
        <v>87</v>
      </c>
      <c r="B347" s="197">
        <f>AVERAGE(B15:B19)</f>
        <v>2255.4</v>
      </c>
      <c r="C347" s="197">
        <f>AVERAGE(C15:C19)</f>
        <v>830</v>
      </c>
      <c r="D347" s="197">
        <f>AVERAGE(D15:D19)</f>
        <v>437.5</v>
      </c>
      <c r="E347" s="197">
        <f>AVERAGE(E15:E19)</f>
        <v>750</v>
      </c>
      <c r="F347" s="197">
        <f>AVERAGE(F15:F19)</f>
        <v>15</v>
      </c>
      <c r="G347" s="197" t="s">
        <v>29</v>
      </c>
      <c r="H347" s="37">
        <f>AVERAGE(H15:H19)</f>
        <v>3847.4</v>
      </c>
    </row>
    <row r="348" spans="1:8" ht="11.25" customHeight="1" x14ac:dyDescent="0.25">
      <c r="A348" s="477" t="s">
        <v>14</v>
      </c>
      <c r="B348" s="197">
        <f>AVERAGE(B20:B24)</f>
        <v>1578.3333333333333</v>
      </c>
      <c r="C348" s="197">
        <f>AVERAGE(C20:C24)</f>
        <v>1053.6666666666667</v>
      </c>
      <c r="D348" s="197">
        <f>AVERAGE(D20:D24)</f>
        <v>774.5</v>
      </c>
      <c r="E348" s="197">
        <f>AVERAGE(E20:E24)</f>
        <v>634.5</v>
      </c>
      <c r="F348" s="197">
        <f>AVERAGE(F20:F24)</f>
        <v>303.66666666666669</v>
      </c>
      <c r="G348" s="197" t="s">
        <v>29</v>
      </c>
      <c r="H348" s="37">
        <f>AVERAGE(H20:H24)</f>
        <v>3223.5</v>
      </c>
    </row>
    <row r="349" spans="1:8" ht="11.25" customHeight="1" x14ac:dyDescent="0.25">
      <c r="A349" s="477" t="s">
        <v>207</v>
      </c>
      <c r="B349" s="197">
        <f>AVERAGE(B25:B29)</f>
        <v>221.25</v>
      </c>
      <c r="C349" s="197">
        <f>AVERAGE(C25:C29)</f>
        <v>124</v>
      </c>
      <c r="D349" s="197">
        <f>AVERAGE(D25:D29)</f>
        <v>158</v>
      </c>
      <c r="E349" s="197">
        <f>AVERAGE(E25:E29)</f>
        <v>129.33333333333334</v>
      </c>
      <c r="F349" s="197">
        <f>AVERAGE(F25:F29)</f>
        <v>4.5</v>
      </c>
      <c r="G349" s="197" t="s">
        <v>29</v>
      </c>
      <c r="H349" s="37">
        <f>AVERAGE(H25:H29)</f>
        <v>418.8</v>
      </c>
    </row>
    <row r="350" spans="1:8" ht="11.25" customHeight="1" x14ac:dyDescent="0.25">
      <c r="A350" s="477" t="s">
        <v>238</v>
      </c>
      <c r="B350" s="197">
        <f>AVERAGE(B30:B34)</f>
        <v>402</v>
      </c>
      <c r="C350" s="197">
        <f>AVERAGE(C30:C34)</f>
        <v>140.80000000000001</v>
      </c>
      <c r="D350" s="197">
        <f>AVERAGE(D30:D34)</f>
        <v>356.8</v>
      </c>
      <c r="E350" s="197">
        <f>AVERAGE(E30:E34)</f>
        <v>294.2</v>
      </c>
      <c r="F350" s="197">
        <f>AVERAGE(F30:F34)</f>
        <v>80</v>
      </c>
      <c r="G350" s="197" t="str">
        <f>G30</f>
        <v>-</v>
      </c>
      <c r="H350" s="37">
        <f>AVERAGE(H30:H34)</f>
        <v>1241.8</v>
      </c>
    </row>
    <row r="351" spans="1:8" ht="11.25" customHeight="1" x14ac:dyDescent="0.25">
      <c r="A351" s="477">
        <v>2006</v>
      </c>
      <c r="B351" s="197">
        <f t="shared" ref="B351:H363" si="43">B35</f>
        <v>359</v>
      </c>
      <c r="C351" s="197">
        <f t="shared" si="43"/>
        <v>381</v>
      </c>
      <c r="D351" s="197">
        <f t="shared" si="43"/>
        <v>99</v>
      </c>
      <c r="E351" s="197">
        <f t="shared" si="43"/>
        <v>296</v>
      </c>
      <c r="F351" s="197">
        <f t="shared" si="43"/>
        <v>169</v>
      </c>
      <c r="G351" s="197" t="str">
        <f t="shared" si="43"/>
        <v>-</v>
      </c>
      <c r="H351" s="37">
        <f t="shared" si="43"/>
        <v>1304</v>
      </c>
    </row>
    <row r="352" spans="1:8" ht="11.25" customHeight="1" x14ac:dyDescent="0.25">
      <c r="A352" s="477">
        <v>2007</v>
      </c>
      <c r="B352" s="197">
        <f t="shared" si="43"/>
        <v>445</v>
      </c>
      <c r="C352" s="197">
        <f t="shared" si="43"/>
        <v>253</v>
      </c>
      <c r="D352" s="197">
        <f t="shared" si="43"/>
        <v>354</v>
      </c>
      <c r="E352" s="197">
        <f t="shared" si="43"/>
        <v>114</v>
      </c>
      <c r="F352" s="197">
        <f t="shared" si="43"/>
        <v>8</v>
      </c>
      <c r="G352" s="197" t="str">
        <f t="shared" si="43"/>
        <v>-</v>
      </c>
      <c r="H352" s="37">
        <f t="shared" si="43"/>
        <v>1174</v>
      </c>
    </row>
    <row r="353" spans="1:8" ht="11.25" customHeight="1" x14ac:dyDescent="0.25">
      <c r="A353" s="477">
        <v>2008</v>
      </c>
      <c r="B353" s="197">
        <f t="shared" si="43"/>
        <v>246</v>
      </c>
      <c r="C353" s="197">
        <f t="shared" si="43"/>
        <v>353</v>
      </c>
      <c r="D353" s="197">
        <f t="shared" si="43"/>
        <v>223</v>
      </c>
      <c r="E353" s="197">
        <f t="shared" si="43"/>
        <v>213</v>
      </c>
      <c r="F353" s="197">
        <f t="shared" si="43"/>
        <v>60</v>
      </c>
      <c r="G353" s="197" t="str">
        <f t="shared" si="43"/>
        <v>-</v>
      </c>
      <c r="H353" s="37">
        <f t="shared" si="43"/>
        <v>1095</v>
      </c>
    </row>
    <row r="354" spans="1:8" ht="11.25" customHeight="1" x14ac:dyDescent="0.25">
      <c r="A354" s="477">
        <v>2009</v>
      </c>
      <c r="B354" s="197">
        <f t="shared" si="43"/>
        <v>467</v>
      </c>
      <c r="C354" s="197">
        <f t="shared" si="43"/>
        <v>551</v>
      </c>
      <c r="D354" s="197">
        <f t="shared" si="43"/>
        <v>432</v>
      </c>
      <c r="E354" s="197">
        <f t="shared" si="43"/>
        <v>320</v>
      </c>
      <c r="F354" s="197">
        <f t="shared" si="43"/>
        <v>134</v>
      </c>
      <c r="G354" s="197" t="str">
        <f t="shared" si="43"/>
        <v>-</v>
      </c>
      <c r="H354" s="37">
        <f t="shared" si="43"/>
        <v>1904</v>
      </c>
    </row>
    <row r="355" spans="1:8" ht="11.25" customHeight="1" x14ac:dyDescent="0.25">
      <c r="A355" s="477">
        <v>2010</v>
      </c>
      <c r="B355" s="197">
        <f t="shared" si="43"/>
        <v>511</v>
      </c>
      <c r="C355" s="197">
        <f t="shared" si="43"/>
        <v>858</v>
      </c>
      <c r="D355" s="197">
        <f t="shared" si="43"/>
        <v>501</v>
      </c>
      <c r="E355" s="197">
        <f t="shared" si="43"/>
        <v>428</v>
      </c>
      <c r="F355" s="197">
        <f t="shared" si="43"/>
        <v>46</v>
      </c>
      <c r="G355" s="197" t="str">
        <f t="shared" si="43"/>
        <v>-</v>
      </c>
      <c r="H355" s="37">
        <f t="shared" si="43"/>
        <v>2344</v>
      </c>
    </row>
    <row r="356" spans="1:8" ht="11.25" customHeight="1" x14ac:dyDescent="0.25">
      <c r="A356" s="477">
        <v>2011</v>
      </c>
      <c r="B356" s="197">
        <f t="shared" si="43"/>
        <v>606</v>
      </c>
      <c r="C356" s="197">
        <f t="shared" si="43"/>
        <v>656</v>
      </c>
      <c r="D356" s="197">
        <f t="shared" si="43"/>
        <v>448</v>
      </c>
      <c r="E356" s="197">
        <f t="shared" si="43"/>
        <v>208</v>
      </c>
      <c r="F356" s="197">
        <f t="shared" si="43"/>
        <v>54</v>
      </c>
      <c r="G356" s="197" t="str">
        <f t="shared" si="43"/>
        <v>-</v>
      </c>
      <c r="H356" s="37">
        <f t="shared" si="43"/>
        <v>1972</v>
      </c>
    </row>
    <row r="357" spans="1:8" ht="11.25" customHeight="1" x14ac:dyDescent="0.25">
      <c r="A357" s="477">
        <v>2012</v>
      </c>
      <c r="B357" s="197">
        <f t="shared" si="43"/>
        <v>364</v>
      </c>
      <c r="C357" s="197">
        <f t="shared" si="43"/>
        <v>633</v>
      </c>
      <c r="D357" s="197">
        <f t="shared" si="43"/>
        <v>452</v>
      </c>
      <c r="E357" s="197">
        <f t="shared" si="43"/>
        <v>306</v>
      </c>
      <c r="F357" s="197">
        <f t="shared" si="43"/>
        <v>198</v>
      </c>
      <c r="G357" s="197" t="str">
        <f t="shared" si="43"/>
        <v>-</v>
      </c>
      <c r="H357" s="37">
        <f t="shared" si="43"/>
        <v>1953</v>
      </c>
    </row>
    <row r="358" spans="1:8" ht="11.25" customHeight="1" x14ac:dyDescent="0.25">
      <c r="A358" s="477">
        <v>2013</v>
      </c>
      <c r="B358" s="197">
        <f t="shared" si="43"/>
        <v>721</v>
      </c>
      <c r="C358" s="197">
        <f t="shared" si="43"/>
        <v>498</v>
      </c>
      <c r="D358" s="197">
        <f t="shared" si="43"/>
        <v>471</v>
      </c>
      <c r="E358" s="197">
        <f t="shared" si="43"/>
        <v>405</v>
      </c>
      <c r="F358" s="197">
        <f t="shared" si="43"/>
        <v>83</v>
      </c>
      <c r="G358" s="197" t="str">
        <f t="shared" si="43"/>
        <v>-</v>
      </c>
      <c r="H358" s="37">
        <f t="shared" si="43"/>
        <v>2178</v>
      </c>
    </row>
    <row r="359" spans="1:8" ht="11.25" customHeight="1" x14ac:dyDescent="0.25">
      <c r="A359" s="477">
        <v>2014</v>
      </c>
      <c r="B359" s="197">
        <f t="shared" si="43"/>
        <v>589</v>
      </c>
      <c r="C359" s="197">
        <f t="shared" si="43"/>
        <v>188</v>
      </c>
      <c r="D359" s="197">
        <f t="shared" si="43"/>
        <v>397</v>
      </c>
      <c r="E359" s="197">
        <f t="shared" si="43"/>
        <v>337</v>
      </c>
      <c r="F359" s="197">
        <f t="shared" si="43"/>
        <v>117</v>
      </c>
      <c r="G359" s="197" t="str">
        <f t="shared" si="43"/>
        <v>-</v>
      </c>
      <c r="H359" s="37">
        <f t="shared" si="43"/>
        <v>1628</v>
      </c>
    </row>
    <row r="360" spans="1:8" ht="11.25" customHeight="1" x14ac:dyDescent="0.25">
      <c r="A360" s="477">
        <v>2015</v>
      </c>
      <c r="B360" s="197">
        <f t="shared" si="43"/>
        <v>818</v>
      </c>
      <c r="C360" s="197">
        <f t="shared" si="43"/>
        <v>484</v>
      </c>
      <c r="D360" s="197">
        <f t="shared" si="43"/>
        <v>491</v>
      </c>
      <c r="E360" s="197">
        <f t="shared" si="43"/>
        <v>450</v>
      </c>
      <c r="F360" s="197">
        <f t="shared" si="43"/>
        <v>127</v>
      </c>
      <c r="G360" s="197" t="str">
        <f t="shared" si="43"/>
        <v>-</v>
      </c>
      <c r="H360" s="37">
        <f t="shared" si="43"/>
        <v>2370</v>
      </c>
    </row>
    <row r="361" spans="1:8" ht="11.25" customHeight="1" x14ac:dyDescent="0.25">
      <c r="A361" s="477">
        <v>2016</v>
      </c>
      <c r="B361" s="197">
        <f t="shared" si="43"/>
        <v>647</v>
      </c>
      <c r="C361" s="197">
        <f t="shared" si="43"/>
        <v>359</v>
      </c>
      <c r="D361" s="197">
        <f t="shared" si="43"/>
        <v>248</v>
      </c>
      <c r="E361" s="197">
        <f t="shared" si="43"/>
        <v>186</v>
      </c>
      <c r="F361" s="197" t="str">
        <f t="shared" si="43"/>
        <v>-</v>
      </c>
      <c r="G361" s="197" t="str">
        <f t="shared" si="43"/>
        <v>-</v>
      </c>
      <c r="H361" s="37">
        <f t="shared" si="43"/>
        <v>1440</v>
      </c>
    </row>
    <row r="362" spans="1:8" ht="11.25" customHeight="1" x14ac:dyDescent="0.25">
      <c r="A362" s="477">
        <v>2017</v>
      </c>
      <c r="B362" s="197">
        <f t="shared" si="43"/>
        <v>762</v>
      </c>
      <c r="C362" s="197">
        <f t="shared" si="43"/>
        <v>606</v>
      </c>
      <c r="D362" s="197">
        <f t="shared" si="43"/>
        <v>380</v>
      </c>
      <c r="E362" s="197">
        <f t="shared" si="43"/>
        <v>411</v>
      </c>
      <c r="F362" s="197">
        <f t="shared" si="43"/>
        <v>121</v>
      </c>
      <c r="G362" s="197" t="str">
        <f t="shared" si="43"/>
        <v>-</v>
      </c>
      <c r="H362" s="37">
        <f t="shared" si="43"/>
        <v>2280</v>
      </c>
    </row>
    <row r="363" spans="1:8" s="358" customFormat="1" ht="11.25" customHeight="1" x14ac:dyDescent="0.25">
      <c r="A363" s="157">
        <v>2018</v>
      </c>
      <c r="B363" s="197">
        <f t="shared" si="43"/>
        <v>741</v>
      </c>
      <c r="C363" s="197">
        <f t="shared" si="43"/>
        <v>674</v>
      </c>
      <c r="D363" s="197">
        <f t="shared" si="43"/>
        <v>422</v>
      </c>
      <c r="E363" s="197">
        <f t="shared" si="43"/>
        <v>189</v>
      </c>
      <c r="F363" s="197">
        <f t="shared" si="43"/>
        <v>69</v>
      </c>
      <c r="G363" s="197" t="str">
        <f t="shared" si="43"/>
        <v>-</v>
      </c>
      <c r="H363" s="37">
        <f t="shared" si="43"/>
        <v>2095</v>
      </c>
    </row>
    <row r="364" spans="1:8" s="358" customFormat="1" ht="11.25" customHeight="1" x14ac:dyDescent="0.25">
      <c r="A364" s="157">
        <v>2019</v>
      </c>
      <c r="B364" s="197">
        <f t="shared" ref="B364:H365" si="44">B48</f>
        <v>361</v>
      </c>
      <c r="C364" s="197">
        <f t="shared" si="44"/>
        <v>335</v>
      </c>
      <c r="D364" s="197">
        <f t="shared" si="44"/>
        <v>661</v>
      </c>
      <c r="E364" s="197">
        <f t="shared" si="44"/>
        <v>191</v>
      </c>
      <c r="F364" s="197">
        <f t="shared" si="44"/>
        <v>113</v>
      </c>
      <c r="G364" s="197" t="str">
        <f t="shared" si="44"/>
        <v>-</v>
      </c>
      <c r="H364" s="37">
        <f t="shared" si="44"/>
        <v>1661</v>
      </c>
    </row>
    <row r="365" spans="1:8" ht="11.25" customHeight="1" x14ac:dyDescent="0.25">
      <c r="A365" s="157" t="s">
        <v>393</v>
      </c>
      <c r="B365" s="197">
        <f t="shared" si="44"/>
        <v>73</v>
      </c>
      <c r="C365" s="197">
        <f t="shared" si="44"/>
        <v>136</v>
      </c>
      <c r="D365" s="197">
        <f t="shared" si="44"/>
        <v>464</v>
      </c>
      <c r="E365" s="197">
        <f t="shared" si="44"/>
        <v>227</v>
      </c>
      <c r="F365" s="197">
        <f t="shared" si="44"/>
        <v>19</v>
      </c>
      <c r="G365" s="197" t="str">
        <f t="shared" si="44"/>
        <v>-</v>
      </c>
      <c r="H365" s="37">
        <f t="shared" si="44"/>
        <v>919</v>
      </c>
    </row>
    <row r="366" spans="1:8" ht="11.25" customHeight="1" x14ac:dyDescent="0.25">
      <c r="A366" s="477"/>
      <c r="B366" s="197"/>
      <c r="C366" s="197"/>
      <c r="D366" s="197"/>
      <c r="E366" s="197"/>
      <c r="F366" s="197"/>
      <c r="G366" s="197"/>
      <c r="H366" s="37"/>
    </row>
    <row r="367" spans="1:8" x14ac:dyDescent="0.25">
      <c r="A367" s="159" t="s">
        <v>307</v>
      </c>
      <c r="B367" s="197"/>
      <c r="C367" s="197"/>
      <c r="D367" s="197"/>
      <c r="E367" s="197"/>
      <c r="F367" s="197"/>
      <c r="G367" s="197"/>
      <c r="H367" s="37"/>
    </row>
    <row r="368" spans="1:8" ht="11.25" customHeight="1" x14ac:dyDescent="0.25">
      <c r="A368" s="477" t="s">
        <v>30</v>
      </c>
      <c r="B368" s="197">
        <f t="shared" ref="B368:H368" si="45">AVERAGE(B57:B61)</f>
        <v>79</v>
      </c>
      <c r="C368" s="197">
        <f t="shared" si="45"/>
        <v>140.6</v>
      </c>
      <c r="D368" s="197">
        <f t="shared" si="45"/>
        <v>284.39999999999998</v>
      </c>
      <c r="E368" s="197">
        <f t="shared" si="45"/>
        <v>312.8</v>
      </c>
      <c r="F368" s="197">
        <f t="shared" si="45"/>
        <v>146.19999999999999</v>
      </c>
      <c r="G368" s="197">
        <f t="shared" si="45"/>
        <v>17</v>
      </c>
      <c r="H368" s="37">
        <f t="shared" si="45"/>
        <v>963</v>
      </c>
    </row>
    <row r="369" spans="1:8" ht="11.25" customHeight="1" x14ac:dyDescent="0.25">
      <c r="A369" s="477" t="s">
        <v>87</v>
      </c>
      <c r="B369" s="197">
        <f t="shared" ref="B369:H369" si="46">AVERAGE(B62:B66)</f>
        <v>138</v>
      </c>
      <c r="C369" s="197">
        <f t="shared" si="46"/>
        <v>167.6</v>
      </c>
      <c r="D369" s="197">
        <f t="shared" si="46"/>
        <v>433.6</v>
      </c>
      <c r="E369" s="197">
        <f t="shared" si="46"/>
        <v>460</v>
      </c>
      <c r="F369" s="197">
        <f t="shared" si="46"/>
        <v>160.6</v>
      </c>
      <c r="G369" s="197">
        <f t="shared" si="46"/>
        <v>1.6</v>
      </c>
      <c r="H369" s="37">
        <f t="shared" si="46"/>
        <v>1359.8</v>
      </c>
    </row>
    <row r="370" spans="1:8" ht="11.25" customHeight="1" x14ac:dyDescent="0.25">
      <c r="A370" s="477" t="s">
        <v>14</v>
      </c>
      <c r="B370" s="197">
        <f t="shared" ref="B370:H370" si="47">AVERAGE(B67:B71)</f>
        <v>69</v>
      </c>
      <c r="C370" s="197">
        <f t="shared" si="47"/>
        <v>71.400000000000006</v>
      </c>
      <c r="D370" s="197">
        <f t="shared" si="47"/>
        <v>182.4</v>
      </c>
      <c r="E370" s="197">
        <f t="shared" si="47"/>
        <v>311.2</v>
      </c>
      <c r="F370" s="197">
        <f t="shared" si="47"/>
        <v>47.6</v>
      </c>
      <c r="G370" s="197">
        <f t="shared" si="47"/>
        <v>10.199999999999999</v>
      </c>
      <c r="H370" s="37">
        <f t="shared" si="47"/>
        <v>681.6</v>
      </c>
    </row>
    <row r="371" spans="1:8" ht="11.25" customHeight="1" x14ac:dyDescent="0.25">
      <c r="A371" s="477" t="s">
        <v>207</v>
      </c>
      <c r="B371" s="197">
        <f>AVERAGE(B72:B76)</f>
        <v>31.4</v>
      </c>
      <c r="C371" s="197">
        <f>AVERAGE(C72:C76)</f>
        <v>37.6</v>
      </c>
      <c r="D371" s="197">
        <f>AVERAGE(D72:D76)</f>
        <v>11</v>
      </c>
      <c r="E371" s="197">
        <f>AVERAGE(E72:E76)</f>
        <v>95.8</v>
      </c>
      <c r="F371" s="197">
        <f>AVERAGE(F72:F76)</f>
        <v>53.2</v>
      </c>
      <c r="G371" s="197" t="s">
        <v>29</v>
      </c>
      <c r="H371" s="37">
        <f>AVERAGE(H72:H76)</f>
        <v>229</v>
      </c>
    </row>
    <row r="372" spans="1:8" ht="11.25" customHeight="1" x14ac:dyDescent="0.25">
      <c r="A372" s="477" t="s">
        <v>238</v>
      </c>
      <c r="B372" s="197">
        <f>AVERAGE(B77:B81)</f>
        <v>46.6</v>
      </c>
      <c r="C372" s="197">
        <f>AVERAGE(C77:C81)</f>
        <v>65.8</v>
      </c>
      <c r="D372" s="197">
        <f>AVERAGE(D77:D81)</f>
        <v>99.8</v>
      </c>
      <c r="E372" s="197">
        <f>AVERAGE(E77:E81)</f>
        <v>116.4</v>
      </c>
      <c r="F372" s="197">
        <f>AVERAGE(F77:F81)</f>
        <v>68.599999999999994</v>
      </c>
      <c r="G372" s="197" t="str">
        <f>G77</f>
        <v>-</v>
      </c>
      <c r="H372" s="37">
        <f>AVERAGE(H77:H81)</f>
        <v>397.2</v>
      </c>
    </row>
    <row r="373" spans="1:8" ht="11.25" customHeight="1" x14ac:dyDescent="0.25">
      <c r="A373" s="477">
        <v>2006</v>
      </c>
      <c r="B373" s="197">
        <f t="shared" ref="B373:H385" si="48">B82</f>
        <v>96</v>
      </c>
      <c r="C373" s="197">
        <f t="shared" si="48"/>
        <v>285</v>
      </c>
      <c r="D373" s="197">
        <f t="shared" si="48"/>
        <v>167</v>
      </c>
      <c r="E373" s="197">
        <f t="shared" si="48"/>
        <v>140</v>
      </c>
      <c r="F373" s="197">
        <f t="shared" si="48"/>
        <v>117</v>
      </c>
      <c r="G373" s="197">
        <f t="shared" si="48"/>
        <v>5</v>
      </c>
      <c r="H373" s="37">
        <f t="shared" si="48"/>
        <v>805</v>
      </c>
    </row>
    <row r="374" spans="1:8" ht="11.25" customHeight="1" x14ac:dyDescent="0.25">
      <c r="A374" s="477">
        <v>2007</v>
      </c>
      <c r="B374" s="197">
        <f t="shared" si="48"/>
        <v>22</v>
      </c>
      <c r="C374" s="197">
        <f t="shared" si="48"/>
        <v>205</v>
      </c>
      <c r="D374" s="197">
        <f t="shared" si="48"/>
        <v>189</v>
      </c>
      <c r="E374" s="197">
        <f t="shared" si="48"/>
        <v>167</v>
      </c>
      <c r="F374" s="197">
        <f t="shared" si="48"/>
        <v>7</v>
      </c>
      <c r="G374" s="197">
        <f t="shared" si="48"/>
        <v>0</v>
      </c>
      <c r="H374" s="37">
        <f t="shared" si="48"/>
        <v>590</v>
      </c>
    </row>
    <row r="375" spans="1:8" ht="11.25" customHeight="1" x14ac:dyDescent="0.25">
      <c r="A375" s="477">
        <v>2008</v>
      </c>
      <c r="B375" s="197">
        <f t="shared" si="48"/>
        <v>30</v>
      </c>
      <c r="C375" s="197">
        <f t="shared" si="48"/>
        <v>125</v>
      </c>
      <c r="D375" s="197">
        <f t="shared" si="48"/>
        <v>102</v>
      </c>
      <c r="E375" s="197">
        <f t="shared" si="48"/>
        <v>231</v>
      </c>
      <c r="F375" s="197">
        <f t="shared" si="48"/>
        <v>92</v>
      </c>
      <c r="G375" s="197">
        <f t="shared" si="48"/>
        <v>1</v>
      </c>
      <c r="H375" s="37">
        <f t="shared" si="48"/>
        <v>580</v>
      </c>
    </row>
    <row r="376" spans="1:8" ht="11.25" customHeight="1" x14ac:dyDescent="0.25">
      <c r="A376" s="477">
        <v>2009</v>
      </c>
      <c r="B376" s="197">
        <f t="shared" si="48"/>
        <v>82</v>
      </c>
      <c r="C376" s="197">
        <f t="shared" si="48"/>
        <v>238</v>
      </c>
      <c r="D376" s="197">
        <f t="shared" si="48"/>
        <v>233</v>
      </c>
      <c r="E376" s="197">
        <f t="shared" si="48"/>
        <v>269</v>
      </c>
      <c r="F376" s="197">
        <f t="shared" si="48"/>
        <v>5</v>
      </c>
      <c r="G376" s="197">
        <f t="shared" si="48"/>
        <v>4</v>
      </c>
      <c r="H376" s="37">
        <f t="shared" si="48"/>
        <v>827</v>
      </c>
    </row>
    <row r="377" spans="1:8" ht="11.25" customHeight="1" x14ac:dyDescent="0.25">
      <c r="A377" s="477">
        <v>2010</v>
      </c>
      <c r="B377" s="197">
        <f t="shared" si="48"/>
        <v>155</v>
      </c>
      <c r="C377" s="197">
        <f t="shared" si="48"/>
        <v>335</v>
      </c>
      <c r="D377" s="197">
        <f t="shared" si="48"/>
        <v>155</v>
      </c>
      <c r="E377" s="197">
        <f t="shared" si="48"/>
        <v>150</v>
      </c>
      <c r="F377" s="197">
        <f t="shared" si="48"/>
        <v>62</v>
      </c>
      <c r="G377" s="197">
        <f t="shared" si="48"/>
        <v>4</v>
      </c>
      <c r="H377" s="37">
        <f t="shared" si="48"/>
        <v>857</v>
      </c>
    </row>
    <row r="378" spans="1:8" ht="11.25" customHeight="1" x14ac:dyDescent="0.25">
      <c r="A378" s="477">
        <v>2011</v>
      </c>
      <c r="B378" s="197">
        <f t="shared" si="48"/>
        <v>92</v>
      </c>
      <c r="C378" s="197">
        <f t="shared" si="48"/>
        <v>192</v>
      </c>
      <c r="D378" s="197">
        <f t="shared" si="48"/>
        <v>152</v>
      </c>
      <c r="E378" s="197">
        <f t="shared" si="48"/>
        <v>140</v>
      </c>
      <c r="F378" s="197">
        <f t="shared" si="48"/>
        <v>24</v>
      </c>
      <c r="G378" s="197">
        <f t="shared" si="48"/>
        <v>1</v>
      </c>
      <c r="H378" s="37">
        <f t="shared" si="48"/>
        <v>600</v>
      </c>
    </row>
    <row r="379" spans="1:8" ht="11.25" customHeight="1" x14ac:dyDescent="0.25">
      <c r="A379" s="477">
        <v>2012</v>
      </c>
      <c r="B379" s="197">
        <f t="shared" si="48"/>
        <v>144</v>
      </c>
      <c r="C379" s="197">
        <f t="shared" si="48"/>
        <v>269</v>
      </c>
      <c r="D379" s="197">
        <f t="shared" si="48"/>
        <v>214</v>
      </c>
      <c r="E379" s="197">
        <f t="shared" si="48"/>
        <v>229</v>
      </c>
      <c r="F379" s="197">
        <f t="shared" si="48"/>
        <v>104</v>
      </c>
      <c r="G379" s="197">
        <f t="shared" si="48"/>
        <v>4</v>
      </c>
      <c r="H379" s="37">
        <f t="shared" si="48"/>
        <v>960</v>
      </c>
    </row>
    <row r="380" spans="1:8" ht="11.25" customHeight="1" x14ac:dyDescent="0.25">
      <c r="A380" s="477">
        <v>2013</v>
      </c>
      <c r="B380" s="197">
        <f t="shared" si="48"/>
        <v>279</v>
      </c>
      <c r="C380" s="197">
        <f t="shared" si="48"/>
        <v>206</v>
      </c>
      <c r="D380" s="197">
        <f t="shared" si="48"/>
        <v>369</v>
      </c>
      <c r="E380" s="197">
        <f t="shared" si="48"/>
        <v>583</v>
      </c>
      <c r="F380" s="197">
        <f t="shared" si="48"/>
        <v>159</v>
      </c>
      <c r="G380" s="197">
        <f t="shared" si="48"/>
        <v>0</v>
      </c>
      <c r="H380" s="37">
        <f t="shared" si="48"/>
        <v>1596</v>
      </c>
    </row>
    <row r="381" spans="1:8" ht="11.25" customHeight="1" x14ac:dyDescent="0.25">
      <c r="A381" s="477">
        <v>2014</v>
      </c>
      <c r="B381" s="197">
        <f t="shared" si="48"/>
        <v>196</v>
      </c>
      <c r="C381" s="197">
        <f t="shared" si="48"/>
        <v>295</v>
      </c>
      <c r="D381" s="197">
        <f t="shared" si="48"/>
        <v>465</v>
      </c>
      <c r="E381" s="197">
        <f t="shared" si="48"/>
        <v>419</v>
      </c>
      <c r="F381" s="197">
        <f t="shared" si="48"/>
        <v>152</v>
      </c>
      <c r="G381" s="197">
        <f t="shared" si="48"/>
        <v>0</v>
      </c>
      <c r="H381" s="37">
        <f t="shared" si="48"/>
        <v>1527</v>
      </c>
    </row>
    <row r="382" spans="1:8" ht="11.25" customHeight="1" x14ac:dyDescent="0.25">
      <c r="A382" s="477">
        <v>2015</v>
      </c>
      <c r="B382" s="197">
        <f t="shared" si="48"/>
        <v>324</v>
      </c>
      <c r="C382" s="197">
        <f t="shared" si="48"/>
        <v>380</v>
      </c>
      <c r="D382" s="197">
        <f t="shared" si="48"/>
        <v>389</v>
      </c>
      <c r="E382" s="197">
        <f t="shared" si="48"/>
        <v>261</v>
      </c>
      <c r="F382" s="197">
        <f t="shared" si="48"/>
        <v>104</v>
      </c>
      <c r="G382" s="197">
        <f t="shared" si="48"/>
        <v>0</v>
      </c>
      <c r="H382" s="37">
        <f t="shared" si="48"/>
        <v>1458</v>
      </c>
    </row>
    <row r="383" spans="1:8" ht="11.25" customHeight="1" x14ac:dyDescent="0.25">
      <c r="A383" s="477">
        <v>2016</v>
      </c>
      <c r="B383" s="197">
        <f t="shared" si="48"/>
        <v>204</v>
      </c>
      <c r="C383" s="197">
        <f t="shared" si="48"/>
        <v>233</v>
      </c>
      <c r="D383" s="197">
        <f t="shared" si="48"/>
        <v>141</v>
      </c>
      <c r="E383" s="197">
        <f t="shared" si="48"/>
        <v>90</v>
      </c>
      <c r="F383" s="197">
        <f t="shared" si="48"/>
        <v>2</v>
      </c>
      <c r="G383" s="197">
        <f t="shared" si="48"/>
        <v>0</v>
      </c>
      <c r="H383" s="37">
        <f t="shared" si="48"/>
        <v>670</v>
      </c>
    </row>
    <row r="384" spans="1:8" ht="11.25" customHeight="1" x14ac:dyDescent="0.25">
      <c r="A384" s="477">
        <v>2017</v>
      </c>
      <c r="B384" s="197">
        <f t="shared" si="48"/>
        <v>27</v>
      </c>
      <c r="C384" s="197">
        <f t="shared" si="48"/>
        <v>90</v>
      </c>
      <c r="D384" s="197">
        <f t="shared" si="48"/>
        <v>317</v>
      </c>
      <c r="E384" s="197">
        <f t="shared" si="48"/>
        <v>357</v>
      </c>
      <c r="F384" s="197">
        <f t="shared" si="48"/>
        <v>172</v>
      </c>
      <c r="G384" s="197">
        <f t="shared" si="48"/>
        <v>0</v>
      </c>
      <c r="H384" s="37">
        <f t="shared" si="48"/>
        <v>963</v>
      </c>
    </row>
    <row r="385" spans="1:8" s="358" customFormat="1" ht="11.25" customHeight="1" x14ac:dyDescent="0.25">
      <c r="A385" s="157">
        <v>2018</v>
      </c>
      <c r="B385" s="197">
        <f t="shared" si="48"/>
        <v>99</v>
      </c>
      <c r="C385" s="197">
        <f t="shared" si="48"/>
        <v>255</v>
      </c>
      <c r="D385" s="197">
        <f t="shared" si="48"/>
        <v>272</v>
      </c>
      <c r="E385" s="197">
        <f t="shared" si="48"/>
        <v>145</v>
      </c>
      <c r="F385" s="197">
        <f t="shared" si="48"/>
        <v>110</v>
      </c>
      <c r="G385" s="197">
        <f t="shared" si="48"/>
        <v>0</v>
      </c>
      <c r="H385" s="37">
        <f t="shared" si="48"/>
        <v>881</v>
      </c>
    </row>
    <row r="386" spans="1:8" s="358" customFormat="1" ht="11.25" customHeight="1" x14ac:dyDescent="0.25">
      <c r="A386" s="157">
        <v>2019</v>
      </c>
      <c r="B386" s="197">
        <f t="shared" ref="B386:H387" si="49">B95</f>
        <v>65</v>
      </c>
      <c r="C386" s="197">
        <f t="shared" si="49"/>
        <v>72</v>
      </c>
      <c r="D386" s="197">
        <f t="shared" si="49"/>
        <v>365</v>
      </c>
      <c r="E386" s="197">
        <f t="shared" si="49"/>
        <v>276</v>
      </c>
      <c r="F386" s="197">
        <f t="shared" si="49"/>
        <v>120</v>
      </c>
      <c r="G386" s="197">
        <f t="shared" si="49"/>
        <v>0</v>
      </c>
      <c r="H386" s="37">
        <f t="shared" si="49"/>
        <v>898</v>
      </c>
    </row>
    <row r="387" spans="1:8" ht="11.25" customHeight="1" x14ac:dyDescent="0.25">
      <c r="A387" s="157" t="s">
        <v>393</v>
      </c>
      <c r="B387" s="197">
        <f t="shared" si="49"/>
        <v>1</v>
      </c>
      <c r="C387" s="197">
        <f t="shared" si="49"/>
        <v>2</v>
      </c>
      <c r="D387" s="197">
        <f t="shared" si="49"/>
        <v>29</v>
      </c>
      <c r="E387" s="197">
        <f t="shared" si="49"/>
        <v>122</v>
      </c>
      <c r="F387" s="197">
        <f t="shared" si="49"/>
        <v>31</v>
      </c>
      <c r="G387" s="197">
        <f t="shared" si="49"/>
        <v>0</v>
      </c>
      <c r="H387" s="37">
        <f t="shared" si="49"/>
        <v>185</v>
      </c>
    </row>
    <row r="388" spans="1:8" ht="11.25" customHeight="1" x14ac:dyDescent="0.25">
      <c r="A388" s="477"/>
      <c r="B388" s="197"/>
      <c r="C388" s="197"/>
      <c r="D388" s="197"/>
      <c r="E388" s="197"/>
      <c r="F388" s="197"/>
      <c r="G388" s="197"/>
      <c r="H388" s="37"/>
    </row>
    <row r="389" spans="1:8" x14ac:dyDescent="0.25">
      <c r="A389" s="397" t="s">
        <v>308</v>
      </c>
      <c r="B389" s="197"/>
      <c r="C389" s="197"/>
      <c r="D389" s="197"/>
      <c r="E389" s="197"/>
      <c r="F389" s="197"/>
      <c r="G389" s="197"/>
      <c r="H389" s="37"/>
    </row>
    <row r="390" spans="1:8" ht="11.25" customHeight="1" x14ac:dyDescent="0.25">
      <c r="A390" s="477" t="s">
        <v>30</v>
      </c>
      <c r="B390" s="197">
        <f t="shared" ref="B390:H390" si="50">AVERAGE(B104:B108)</f>
        <v>2779</v>
      </c>
      <c r="C390" s="197">
        <f t="shared" si="50"/>
        <v>387.6</v>
      </c>
      <c r="D390" s="197">
        <f t="shared" si="50"/>
        <v>4804.3999999999996</v>
      </c>
      <c r="E390" s="197">
        <f t="shared" si="50"/>
        <v>2700.8</v>
      </c>
      <c r="F390" s="197">
        <f t="shared" si="50"/>
        <v>149</v>
      </c>
      <c r="G390" s="197">
        <f t="shared" si="50"/>
        <v>17</v>
      </c>
      <c r="H390" s="37">
        <f t="shared" si="50"/>
        <v>10820.8</v>
      </c>
    </row>
    <row r="391" spans="1:8" ht="11.25" customHeight="1" x14ac:dyDescent="0.25">
      <c r="A391" s="477" t="s">
        <v>87</v>
      </c>
      <c r="B391" s="197">
        <f t="shared" ref="B391:H391" si="51">AVERAGE(B109:B113)</f>
        <v>2393.4</v>
      </c>
      <c r="C391" s="197">
        <f t="shared" si="51"/>
        <v>831.6</v>
      </c>
      <c r="D391" s="197">
        <f t="shared" si="51"/>
        <v>608.6</v>
      </c>
      <c r="E391" s="197">
        <f t="shared" si="51"/>
        <v>1210</v>
      </c>
      <c r="F391" s="197">
        <f t="shared" si="51"/>
        <v>163.6</v>
      </c>
      <c r="G391" s="197">
        <f t="shared" si="51"/>
        <v>1.6</v>
      </c>
      <c r="H391" s="37">
        <f t="shared" si="51"/>
        <v>5207.2</v>
      </c>
    </row>
    <row r="392" spans="1:8" ht="11.25" customHeight="1" x14ac:dyDescent="0.25">
      <c r="A392" s="477" t="s">
        <v>14</v>
      </c>
      <c r="B392" s="197">
        <f t="shared" ref="B392:H392" si="52">AVERAGE(B114:B118)</f>
        <v>1016</v>
      </c>
      <c r="C392" s="197">
        <f t="shared" si="52"/>
        <v>703.6</v>
      </c>
      <c r="D392" s="197">
        <f t="shared" si="52"/>
        <v>492.2</v>
      </c>
      <c r="E392" s="197">
        <f t="shared" si="52"/>
        <v>818.8</v>
      </c>
      <c r="F392" s="197">
        <f t="shared" si="52"/>
        <v>229.8</v>
      </c>
      <c r="G392" s="197">
        <f t="shared" si="52"/>
        <v>10.199999999999999</v>
      </c>
      <c r="H392" s="37">
        <f t="shared" si="52"/>
        <v>3260.4</v>
      </c>
    </row>
    <row r="393" spans="1:8" ht="11.25" customHeight="1" x14ac:dyDescent="0.25">
      <c r="A393" s="477" t="s">
        <v>207</v>
      </c>
      <c r="B393" s="197">
        <f>AVERAGE(B119:B123)</f>
        <v>208.4</v>
      </c>
      <c r="C393" s="197">
        <f>AVERAGE(C119:C123)</f>
        <v>136.80000000000001</v>
      </c>
      <c r="D393" s="197">
        <f>AVERAGE(D119:D123)</f>
        <v>74.2</v>
      </c>
      <c r="E393" s="197">
        <f>AVERAGE(E119:E123)</f>
        <v>173.4</v>
      </c>
      <c r="F393" s="197">
        <f>AVERAGE(F119:F123)</f>
        <v>55</v>
      </c>
      <c r="G393" s="197" t="s">
        <v>29</v>
      </c>
      <c r="H393" s="37">
        <f>AVERAGE(H119:H123)</f>
        <v>647.79999999999995</v>
      </c>
    </row>
    <row r="394" spans="1:8" ht="11.25" customHeight="1" x14ac:dyDescent="0.25">
      <c r="A394" s="477" t="s">
        <v>238</v>
      </c>
      <c r="B394" s="197">
        <f>AVERAGE(B124:B128)</f>
        <v>448.6</v>
      </c>
      <c r="C394" s="197">
        <f>AVERAGE(C124:C128)</f>
        <v>206.6</v>
      </c>
      <c r="D394" s="197">
        <f>AVERAGE(D124:D128)</f>
        <v>456.6</v>
      </c>
      <c r="E394" s="197">
        <f>AVERAGE(E124:E128)</f>
        <v>410.6</v>
      </c>
      <c r="F394" s="197">
        <f>AVERAGE(F124:F128)</f>
        <v>116.6</v>
      </c>
      <c r="G394" s="197" t="str">
        <f>G124</f>
        <v>-</v>
      </c>
      <c r="H394" s="37">
        <f>AVERAGE(H124:H128)</f>
        <v>1639</v>
      </c>
    </row>
    <row r="395" spans="1:8" ht="11.25" customHeight="1" x14ac:dyDescent="0.25">
      <c r="A395" s="477">
        <v>2006</v>
      </c>
      <c r="B395" s="197">
        <f t="shared" ref="B395:H407" si="53">B129</f>
        <v>455</v>
      </c>
      <c r="C395" s="197">
        <f t="shared" si="53"/>
        <v>666</v>
      </c>
      <c r="D395" s="197">
        <f t="shared" si="53"/>
        <v>266</v>
      </c>
      <c r="E395" s="197">
        <f t="shared" si="53"/>
        <v>436</v>
      </c>
      <c r="F395" s="197">
        <f t="shared" si="53"/>
        <v>286</v>
      </c>
      <c r="G395" s="197">
        <f t="shared" si="53"/>
        <v>5</v>
      </c>
      <c r="H395" s="37">
        <f t="shared" si="53"/>
        <v>2109</v>
      </c>
    </row>
    <row r="396" spans="1:8" ht="11.25" customHeight="1" x14ac:dyDescent="0.25">
      <c r="A396" s="477">
        <v>2007</v>
      </c>
      <c r="B396" s="197">
        <f t="shared" si="53"/>
        <v>467</v>
      </c>
      <c r="C396" s="197">
        <f t="shared" si="53"/>
        <v>458</v>
      </c>
      <c r="D396" s="197">
        <f t="shared" si="53"/>
        <v>543</v>
      </c>
      <c r="E396" s="197">
        <f t="shared" si="53"/>
        <v>281</v>
      </c>
      <c r="F396" s="197">
        <f t="shared" si="53"/>
        <v>15</v>
      </c>
      <c r="G396" s="197">
        <f t="shared" si="53"/>
        <v>0</v>
      </c>
      <c r="H396" s="37">
        <f t="shared" si="53"/>
        <v>1764</v>
      </c>
    </row>
    <row r="397" spans="1:8" ht="11.25" customHeight="1" x14ac:dyDescent="0.25">
      <c r="A397" s="477">
        <v>2008</v>
      </c>
      <c r="B397" s="197">
        <f t="shared" si="53"/>
        <v>276</v>
      </c>
      <c r="C397" s="197">
        <f t="shared" si="53"/>
        <v>478</v>
      </c>
      <c r="D397" s="197">
        <f t="shared" si="53"/>
        <v>325</v>
      </c>
      <c r="E397" s="197">
        <f t="shared" si="53"/>
        <v>444</v>
      </c>
      <c r="F397" s="197">
        <f t="shared" si="53"/>
        <v>152</v>
      </c>
      <c r="G397" s="197">
        <f t="shared" si="53"/>
        <v>1</v>
      </c>
      <c r="H397" s="37">
        <f t="shared" si="53"/>
        <v>1675</v>
      </c>
    </row>
    <row r="398" spans="1:8" ht="11.25" customHeight="1" x14ac:dyDescent="0.25">
      <c r="A398" s="477">
        <v>2009</v>
      </c>
      <c r="B398" s="197">
        <f t="shared" si="53"/>
        <v>549</v>
      </c>
      <c r="C398" s="197">
        <f t="shared" si="53"/>
        <v>789</v>
      </c>
      <c r="D398" s="197">
        <f t="shared" si="53"/>
        <v>665</v>
      </c>
      <c r="E398" s="197">
        <f t="shared" si="53"/>
        <v>589</v>
      </c>
      <c r="F398" s="197">
        <f t="shared" si="53"/>
        <v>139</v>
      </c>
      <c r="G398" s="197">
        <f t="shared" si="53"/>
        <v>4</v>
      </c>
      <c r="H398" s="37">
        <f t="shared" si="53"/>
        <v>2731</v>
      </c>
    </row>
    <row r="399" spans="1:8" ht="11.25" customHeight="1" x14ac:dyDescent="0.25">
      <c r="A399" s="477">
        <v>2010</v>
      </c>
      <c r="B399" s="197">
        <f t="shared" si="53"/>
        <v>666</v>
      </c>
      <c r="C399" s="197">
        <f t="shared" si="53"/>
        <v>1193</v>
      </c>
      <c r="D399" s="197">
        <f t="shared" si="53"/>
        <v>656</v>
      </c>
      <c r="E399" s="197">
        <f t="shared" si="53"/>
        <v>578</v>
      </c>
      <c r="F399" s="197">
        <f t="shared" si="53"/>
        <v>108</v>
      </c>
      <c r="G399" s="197">
        <f t="shared" si="53"/>
        <v>4</v>
      </c>
      <c r="H399" s="37">
        <f t="shared" si="53"/>
        <v>3201</v>
      </c>
    </row>
    <row r="400" spans="1:8" ht="11.25" customHeight="1" x14ac:dyDescent="0.25">
      <c r="A400" s="477">
        <v>2011</v>
      </c>
      <c r="B400" s="197">
        <f t="shared" si="53"/>
        <v>698</v>
      </c>
      <c r="C400" s="197">
        <f t="shared" si="53"/>
        <v>848</v>
      </c>
      <c r="D400" s="197">
        <f t="shared" si="53"/>
        <v>600</v>
      </c>
      <c r="E400" s="197">
        <f t="shared" si="53"/>
        <v>348</v>
      </c>
      <c r="F400" s="197">
        <f t="shared" si="53"/>
        <v>78</v>
      </c>
      <c r="G400" s="197">
        <f t="shared" si="53"/>
        <v>1</v>
      </c>
      <c r="H400" s="37">
        <f t="shared" si="53"/>
        <v>2572</v>
      </c>
    </row>
    <row r="401" spans="1:8" ht="11.25" customHeight="1" x14ac:dyDescent="0.25">
      <c r="A401" s="477">
        <v>2012</v>
      </c>
      <c r="B401" s="197">
        <f t="shared" si="53"/>
        <v>508</v>
      </c>
      <c r="C401" s="197">
        <f t="shared" si="53"/>
        <v>902</v>
      </c>
      <c r="D401" s="197">
        <f t="shared" si="53"/>
        <v>666</v>
      </c>
      <c r="E401" s="197">
        <f t="shared" si="53"/>
        <v>535</v>
      </c>
      <c r="F401" s="197">
        <f t="shared" si="53"/>
        <v>302</v>
      </c>
      <c r="G401" s="197">
        <f t="shared" si="53"/>
        <v>4</v>
      </c>
      <c r="H401" s="37">
        <f t="shared" si="53"/>
        <v>2913</v>
      </c>
    </row>
    <row r="402" spans="1:8" ht="11.25" customHeight="1" x14ac:dyDescent="0.25">
      <c r="A402" s="477">
        <v>2013</v>
      </c>
      <c r="B402" s="197">
        <f t="shared" si="53"/>
        <v>1000</v>
      </c>
      <c r="C402" s="197">
        <f t="shared" si="53"/>
        <v>704</v>
      </c>
      <c r="D402" s="197">
        <f t="shared" si="53"/>
        <v>840</v>
      </c>
      <c r="E402" s="197">
        <f t="shared" si="53"/>
        <v>988</v>
      </c>
      <c r="F402" s="197">
        <f t="shared" si="53"/>
        <v>242</v>
      </c>
      <c r="G402" s="197">
        <f t="shared" si="53"/>
        <v>0</v>
      </c>
      <c r="H402" s="37">
        <f t="shared" si="53"/>
        <v>3774</v>
      </c>
    </row>
    <row r="403" spans="1:8" ht="11.25" customHeight="1" x14ac:dyDescent="0.25">
      <c r="A403" s="477">
        <v>2014</v>
      </c>
      <c r="B403" s="197">
        <f t="shared" si="53"/>
        <v>785</v>
      </c>
      <c r="C403" s="197">
        <f t="shared" si="53"/>
        <v>483</v>
      </c>
      <c r="D403" s="197">
        <f t="shared" si="53"/>
        <v>862</v>
      </c>
      <c r="E403" s="197">
        <f t="shared" si="53"/>
        <v>756</v>
      </c>
      <c r="F403" s="197">
        <f t="shared" si="53"/>
        <v>269</v>
      </c>
      <c r="G403" s="197">
        <f t="shared" si="53"/>
        <v>0</v>
      </c>
      <c r="H403" s="37">
        <f t="shared" si="53"/>
        <v>3155</v>
      </c>
    </row>
    <row r="404" spans="1:8" ht="11.25" customHeight="1" x14ac:dyDescent="0.25">
      <c r="A404" s="477">
        <v>2015</v>
      </c>
      <c r="B404" s="197">
        <f t="shared" si="53"/>
        <v>1142</v>
      </c>
      <c r="C404" s="197">
        <f t="shared" si="53"/>
        <v>864</v>
      </c>
      <c r="D404" s="197">
        <f t="shared" si="53"/>
        <v>880</v>
      </c>
      <c r="E404" s="197">
        <f t="shared" si="53"/>
        <v>711</v>
      </c>
      <c r="F404" s="197">
        <f t="shared" si="53"/>
        <v>231</v>
      </c>
      <c r="G404" s="197">
        <f t="shared" si="53"/>
        <v>0</v>
      </c>
      <c r="H404" s="37">
        <f t="shared" si="53"/>
        <v>3828</v>
      </c>
    </row>
    <row r="405" spans="1:8" ht="11.25" customHeight="1" x14ac:dyDescent="0.25">
      <c r="A405" s="477">
        <v>2016</v>
      </c>
      <c r="B405" s="197">
        <f t="shared" si="53"/>
        <v>851</v>
      </c>
      <c r="C405" s="197">
        <f t="shared" si="53"/>
        <v>592</v>
      </c>
      <c r="D405" s="197">
        <f t="shared" si="53"/>
        <v>389</v>
      </c>
      <c r="E405" s="197">
        <f t="shared" si="53"/>
        <v>276</v>
      </c>
      <c r="F405" s="197">
        <f t="shared" si="53"/>
        <v>2</v>
      </c>
      <c r="G405" s="197">
        <f t="shared" si="53"/>
        <v>0</v>
      </c>
      <c r="H405" s="37">
        <f t="shared" si="53"/>
        <v>2110</v>
      </c>
    </row>
    <row r="406" spans="1:8" ht="11.25" customHeight="1" x14ac:dyDescent="0.25">
      <c r="A406" s="477">
        <v>2017</v>
      </c>
      <c r="B406" s="197">
        <f t="shared" si="53"/>
        <v>789</v>
      </c>
      <c r="C406" s="197">
        <f t="shared" si="53"/>
        <v>696</v>
      </c>
      <c r="D406" s="197">
        <f t="shared" si="53"/>
        <v>697</v>
      </c>
      <c r="E406" s="197">
        <f t="shared" si="53"/>
        <v>768</v>
      </c>
      <c r="F406" s="197">
        <f t="shared" si="53"/>
        <v>293</v>
      </c>
      <c r="G406" s="197">
        <f t="shared" si="53"/>
        <v>0</v>
      </c>
      <c r="H406" s="37">
        <f t="shared" si="53"/>
        <v>3243</v>
      </c>
    </row>
    <row r="407" spans="1:8" s="358" customFormat="1" ht="11.25" customHeight="1" x14ac:dyDescent="0.25">
      <c r="A407" s="157">
        <v>2018</v>
      </c>
      <c r="B407" s="197">
        <f t="shared" si="53"/>
        <v>840</v>
      </c>
      <c r="C407" s="197">
        <f t="shared" si="53"/>
        <v>929</v>
      </c>
      <c r="D407" s="197">
        <f t="shared" si="53"/>
        <v>694</v>
      </c>
      <c r="E407" s="197">
        <f t="shared" si="53"/>
        <v>334</v>
      </c>
      <c r="F407" s="197">
        <f t="shared" si="53"/>
        <v>179</v>
      </c>
      <c r="G407" s="197">
        <f t="shared" si="53"/>
        <v>0</v>
      </c>
      <c r="H407" s="37">
        <f t="shared" si="53"/>
        <v>2976</v>
      </c>
    </row>
    <row r="408" spans="1:8" s="358" customFormat="1" ht="11.25" customHeight="1" x14ac:dyDescent="0.25">
      <c r="A408" s="157">
        <v>2019</v>
      </c>
      <c r="B408" s="197">
        <f t="shared" ref="B408:H409" si="54">B142</f>
        <v>426</v>
      </c>
      <c r="C408" s="197">
        <f t="shared" si="54"/>
        <v>407</v>
      </c>
      <c r="D408" s="197">
        <f t="shared" si="54"/>
        <v>1026</v>
      </c>
      <c r="E408" s="197">
        <f t="shared" si="54"/>
        <v>467</v>
      </c>
      <c r="F408" s="197">
        <f t="shared" si="54"/>
        <v>233</v>
      </c>
      <c r="G408" s="197">
        <f t="shared" si="54"/>
        <v>0</v>
      </c>
      <c r="H408" s="37">
        <f t="shared" si="54"/>
        <v>2559</v>
      </c>
    </row>
    <row r="409" spans="1:8" ht="11.25" customHeight="1" x14ac:dyDescent="0.25">
      <c r="A409" s="157" t="s">
        <v>393</v>
      </c>
      <c r="B409" s="197">
        <f t="shared" si="54"/>
        <v>74</v>
      </c>
      <c r="C409" s="197">
        <f t="shared" si="54"/>
        <v>138</v>
      </c>
      <c r="D409" s="197">
        <f t="shared" si="54"/>
        <v>493</v>
      </c>
      <c r="E409" s="197">
        <f t="shared" si="54"/>
        <v>349</v>
      </c>
      <c r="F409" s="197">
        <f t="shared" si="54"/>
        <v>50</v>
      </c>
      <c r="G409" s="197">
        <f t="shared" si="54"/>
        <v>0</v>
      </c>
      <c r="H409" s="37">
        <f t="shared" si="54"/>
        <v>1104</v>
      </c>
    </row>
    <row r="410" spans="1:8" ht="11.25" customHeight="1" x14ac:dyDescent="0.25"/>
    <row r="411" spans="1:8" ht="11.25" customHeight="1" x14ac:dyDescent="0.25">
      <c r="A411" s="610" t="s">
        <v>376</v>
      </c>
      <c r="B411" s="611"/>
      <c r="C411" s="611"/>
      <c r="D411" s="611"/>
      <c r="E411" s="611"/>
      <c r="F411" s="611"/>
      <c r="G411" s="611"/>
      <c r="H411" s="611"/>
    </row>
    <row r="412" spans="1:8" ht="11.25" customHeight="1" x14ac:dyDescent="0.25">
      <c r="A412" s="612"/>
      <c r="B412" s="612"/>
      <c r="C412" s="612"/>
      <c r="D412" s="612"/>
      <c r="E412" s="612"/>
      <c r="F412" s="612"/>
      <c r="G412" s="612"/>
      <c r="H412" s="612"/>
    </row>
    <row r="413" spans="1:8" ht="11.25" customHeight="1" x14ac:dyDescent="0.25">
      <c r="A413" s="469" t="s">
        <v>33</v>
      </c>
      <c r="B413" s="471" t="s">
        <v>89</v>
      </c>
      <c r="C413" s="471" t="s">
        <v>90</v>
      </c>
      <c r="D413" s="471" t="s">
        <v>91</v>
      </c>
      <c r="E413" s="471" t="s">
        <v>92</v>
      </c>
      <c r="F413" s="471" t="s">
        <v>93</v>
      </c>
      <c r="G413" s="471" t="s">
        <v>94</v>
      </c>
      <c r="H413" s="471" t="s">
        <v>28</v>
      </c>
    </row>
    <row r="414" spans="1:8" ht="11.25" customHeight="1" x14ac:dyDescent="0.25">
      <c r="A414" s="116" t="s">
        <v>96</v>
      </c>
    </row>
    <row r="415" spans="1:8" ht="11.25" customHeight="1" x14ac:dyDescent="0.25">
      <c r="A415" s="473" t="s">
        <v>30</v>
      </c>
      <c r="B415" s="193">
        <f t="shared" ref="B415:H415" si="55">AVERAGE(B151:B155)</f>
        <v>968.8</v>
      </c>
      <c r="C415" s="193">
        <f t="shared" si="55"/>
        <v>58.2</v>
      </c>
      <c r="D415" s="193">
        <f t="shared" si="55"/>
        <v>977</v>
      </c>
      <c r="E415" s="193">
        <f t="shared" si="55"/>
        <v>906.4</v>
      </c>
      <c r="F415" s="193">
        <f t="shared" si="55"/>
        <v>146.4</v>
      </c>
      <c r="G415" s="193">
        <f t="shared" si="55"/>
        <v>0.4</v>
      </c>
      <c r="H415" s="24">
        <f t="shared" si="55"/>
        <v>3057.2</v>
      </c>
    </row>
    <row r="416" spans="1:8" ht="11.25" customHeight="1" x14ac:dyDescent="0.25">
      <c r="A416" s="473" t="s">
        <v>87</v>
      </c>
      <c r="B416" s="193">
        <f t="shared" ref="B416:H416" si="56">AVERAGE(B156:B160)</f>
        <v>342.8</v>
      </c>
      <c r="C416" s="193">
        <f t="shared" si="56"/>
        <v>87</v>
      </c>
      <c r="D416" s="193">
        <f t="shared" si="56"/>
        <v>467</v>
      </c>
      <c r="E416" s="193">
        <f t="shared" si="56"/>
        <v>1162</v>
      </c>
      <c r="F416" s="193">
        <f t="shared" si="56"/>
        <v>850</v>
      </c>
      <c r="G416" s="193">
        <f t="shared" si="56"/>
        <v>22</v>
      </c>
      <c r="H416" s="24">
        <f t="shared" si="56"/>
        <v>1530</v>
      </c>
    </row>
    <row r="417" spans="1:8" ht="11.25" customHeight="1" x14ac:dyDescent="0.25">
      <c r="A417" s="473" t="s">
        <v>14</v>
      </c>
      <c r="B417" s="193">
        <f>AVERAGE(B161:B165)</f>
        <v>153</v>
      </c>
      <c r="C417" s="193">
        <f>AVERAGE(C161:C165)</f>
        <v>52.333333333333336</v>
      </c>
      <c r="D417" s="193">
        <f>AVERAGE(D161:D165)</f>
        <v>113</v>
      </c>
      <c r="E417" s="193">
        <f>AVERAGE(E161:E165)</f>
        <v>325.66666666666669</v>
      </c>
      <c r="F417" s="193">
        <f>AVERAGE(F161:F165)</f>
        <v>154.5</v>
      </c>
      <c r="G417" s="193" t="s">
        <v>29</v>
      </c>
      <c r="H417" s="24">
        <f>AVERAGE(H161:H165)</f>
        <v>709.33333333333337</v>
      </c>
    </row>
    <row r="418" spans="1:8" ht="11.25" customHeight="1" x14ac:dyDescent="0.25">
      <c r="A418" s="473" t="s">
        <v>207</v>
      </c>
      <c r="B418" s="193">
        <f>AVERAGE(B166:B170)</f>
        <v>1.75</v>
      </c>
      <c r="C418" s="193">
        <f>AVERAGE(C166:C170)</f>
        <v>2.25</v>
      </c>
      <c r="D418" s="193" t="s">
        <v>29</v>
      </c>
      <c r="E418" s="193">
        <f>AVERAGE(E166:E170)</f>
        <v>294</v>
      </c>
      <c r="F418" s="193">
        <f>AVERAGE(F166:F170)</f>
        <v>29</v>
      </c>
      <c r="G418" s="193" t="s">
        <v>29</v>
      </c>
      <c r="H418" s="24">
        <f>AVERAGE(H166:H170)</f>
        <v>84.75</v>
      </c>
    </row>
    <row r="419" spans="1:8" ht="11.25" customHeight="1" x14ac:dyDescent="0.25">
      <c r="A419" s="473" t="s">
        <v>238</v>
      </c>
      <c r="B419" s="193">
        <f>AVERAGE(B171:B175)</f>
        <v>92.6</v>
      </c>
      <c r="C419" s="193">
        <f>AVERAGE(C171:C175)</f>
        <v>32.6</v>
      </c>
      <c r="D419" s="193">
        <f>AVERAGE(D171:D175)</f>
        <v>113.6</v>
      </c>
      <c r="E419" s="193">
        <f>AVERAGE(E171:E175)</f>
        <v>181.2</v>
      </c>
      <c r="F419" s="193">
        <f>AVERAGE(F171:F175)</f>
        <v>86</v>
      </c>
      <c r="G419" s="193" t="str">
        <f>G171</f>
        <v>-</v>
      </c>
      <c r="H419" s="24">
        <f>AVERAGE(H171:H175)</f>
        <v>471.6</v>
      </c>
    </row>
    <row r="420" spans="1:8" ht="11.25" customHeight="1" x14ac:dyDescent="0.25">
      <c r="A420" s="473">
        <v>2006</v>
      </c>
      <c r="B420" s="193">
        <f t="shared" ref="B420:H432" si="57">B176</f>
        <v>587</v>
      </c>
      <c r="C420" s="193">
        <f t="shared" si="57"/>
        <v>350</v>
      </c>
      <c r="D420" s="193">
        <f t="shared" si="57"/>
        <v>1</v>
      </c>
      <c r="E420" s="193">
        <f t="shared" si="57"/>
        <v>81</v>
      </c>
      <c r="F420" s="193">
        <f t="shared" si="57"/>
        <v>99</v>
      </c>
      <c r="G420" s="193" t="str">
        <f t="shared" si="57"/>
        <v>-</v>
      </c>
      <c r="H420" s="24">
        <f t="shared" si="57"/>
        <v>1118</v>
      </c>
    </row>
    <row r="421" spans="1:8" ht="11.25" customHeight="1" x14ac:dyDescent="0.25">
      <c r="A421" s="477">
        <v>2007</v>
      </c>
      <c r="B421" s="197">
        <f t="shared" si="57"/>
        <v>99</v>
      </c>
      <c r="C421" s="197">
        <f t="shared" si="57"/>
        <v>73</v>
      </c>
      <c r="D421" s="197">
        <f t="shared" si="57"/>
        <v>50</v>
      </c>
      <c r="E421" s="197">
        <f t="shared" si="57"/>
        <v>184</v>
      </c>
      <c r="F421" s="197">
        <f t="shared" si="57"/>
        <v>24</v>
      </c>
      <c r="G421" s="197" t="str">
        <f t="shared" si="57"/>
        <v>-</v>
      </c>
      <c r="H421" s="37">
        <f t="shared" si="57"/>
        <v>430</v>
      </c>
    </row>
    <row r="422" spans="1:8" ht="11.25" customHeight="1" x14ac:dyDescent="0.25">
      <c r="A422" s="477">
        <v>2008</v>
      </c>
      <c r="B422" s="197">
        <f t="shared" si="57"/>
        <v>306</v>
      </c>
      <c r="C422" s="197">
        <f t="shared" si="57"/>
        <v>362</v>
      </c>
      <c r="D422" s="197">
        <f t="shared" si="57"/>
        <v>36</v>
      </c>
      <c r="E422" s="197">
        <f t="shared" si="57"/>
        <v>66</v>
      </c>
      <c r="F422" s="197">
        <f t="shared" si="57"/>
        <v>13</v>
      </c>
      <c r="G422" s="197" t="str">
        <f t="shared" si="57"/>
        <v>-</v>
      </c>
      <c r="H422" s="37">
        <f t="shared" si="57"/>
        <v>783</v>
      </c>
    </row>
    <row r="423" spans="1:8" ht="11.25" customHeight="1" x14ac:dyDescent="0.25">
      <c r="A423" s="477">
        <v>2009</v>
      </c>
      <c r="B423" s="197">
        <f t="shared" si="57"/>
        <v>79</v>
      </c>
      <c r="C423" s="197">
        <f t="shared" si="57"/>
        <v>98</v>
      </c>
      <c r="D423" s="197">
        <f t="shared" si="57"/>
        <v>259</v>
      </c>
      <c r="E423" s="197">
        <f t="shared" si="57"/>
        <v>178</v>
      </c>
      <c r="F423" s="197">
        <f t="shared" si="57"/>
        <v>13</v>
      </c>
      <c r="G423" s="197" t="str">
        <f t="shared" si="57"/>
        <v>-</v>
      </c>
      <c r="H423" s="37">
        <f t="shared" si="57"/>
        <v>627</v>
      </c>
    </row>
    <row r="424" spans="1:8" ht="11.25" customHeight="1" x14ac:dyDescent="0.25">
      <c r="A424" s="477">
        <v>2010</v>
      </c>
      <c r="B424" s="197">
        <f t="shared" si="57"/>
        <v>91</v>
      </c>
      <c r="C424" s="197">
        <f t="shared" si="57"/>
        <v>310</v>
      </c>
      <c r="D424" s="197">
        <f t="shared" si="57"/>
        <v>164</v>
      </c>
      <c r="E424" s="197">
        <f t="shared" si="57"/>
        <v>136</v>
      </c>
      <c r="F424" s="197">
        <f t="shared" si="57"/>
        <v>23</v>
      </c>
      <c r="G424" s="197" t="str">
        <f t="shared" si="57"/>
        <v>-</v>
      </c>
      <c r="H424" s="37">
        <f t="shared" si="57"/>
        <v>724</v>
      </c>
    </row>
    <row r="425" spans="1:8" ht="11.25" customHeight="1" x14ac:dyDescent="0.25">
      <c r="A425" s="477">
        <v>2011</v>
      </c>
      <c r="B425" s="197">
        <f t="shared" si="57"/>
        <v>127</v>
      </c>
      <c r="C425" s="197">
        <f t="shared" si="57"/>
        <v>167</v>
      </c>
      <c r="D425" s="197">
        <f t="shared" si="57"/>
        <v>42</v>
      </c>
      <c r="E425" s="197">
        <f t="shared" si="57"/>
        <v>27</v>
      </c>
      <c r="F425" s="197">
        <f t="shared" si="57"/>
        <v>18</v>
      </c>
      <c r="G425" s="197" t="str">
        <f t="shared" si="57"/>
        <v>-</v>
      </c>
      <c r="H425" s="37">
        <f t="shared" si="57"/>
        <v>381</v>
      </c>
    </row>
    <row r="426" spans="1:8" ht="11.25" customHeight="1" x14ac:dyDescent="0.25">
      <c r="A426" s="477">
        <v>2012</v>
      </c>
      <c r="B426" s="197">
        <f t="shared" si="57"/>
        <v>63</v>
      </c>
      <c r="C426" s="197">
        <f t="shared" si="57"/>
        <v>299</v>
      </c>
      <c r="D426" s="197">
        <f t="shared" si="57"/>
        <v>51</v>
      </c>
      <c r="E426" s="197">
        <f t="shared" si="57"/>
        <v>27</v>
      </c>
      <c r="F426" s="197">
        <f t="shared" si="57"/>
        <v>83</v>
      </c>
      <c r="G426" s="197" t="str">
        <f t="shared" si="57"/>
        <v>-</v>
      </c>
      <c r="H426" s="37">
        <f t="shared" si="57"/>
        <v>523</v>
      </c>
    </row>
    <row r="427" spans="1:8" ht="11.25" customHeight="1" x14ac:dyDescent="0.25">
      <c r="A427" s="477">
        <v>2013</v>
      </c>
      <c r="B427" s="197">
        <f t="shared" si="57"/>
        <v>111</v>
      </c>
      <c r="C427" s="197">
        <f t="shared" si="57"/>
        <v>170</v>
      </c>
      <c r="D427" s="197">
        <f t="shared" si="57"/>
        <v>47</v>
      </c>
      <c r="E427" s="197">
        <f t="shared" si="57"/>
        <v>56</v>
      </c>
      <c r="F427" s="197">
        <f t="shared" si="57"/>
        <v>33</v>
      </c>
      <c r="G427" s="197" t="str">
        <f t="shared" si="57"/>
        <v>-</v>
      </c>
      <c r="H427" s="37">
        <f t="shared" si="57"/>
        <v>417</v>
      </c>
    </row>
    <row r="428" spans="1:8" ht="11.25" customHeight="1" x14ac:dyDescent="0.25">
      <c r="A428" s="473">
        <v>2014</v>
      </c>
      <c r="B428" s="193">
        <f t="shared" si="57"/>
        <v>705</v>
      </c>
      <c r="C428" s="193">
        <f t="shared" si="57"/>
        <v>128</v>
      </c>
      <c r="D428" s="193">
        <f t="shared" si="57"/>
        <v>203</v>
      </c>
      <c r="E428" s="193">
        <f t="shared" si="57"/>
        <v>100</v>
      </c>
      <c r="F428" s="193">
        <f t="shared" si="57"/>
        <v>74</v>
      </c>
      <c r="G428" s="193" t="str">
        <f t="shared" si="57"/>
        <v>-</v>
      </c>
      <c r="H428" s="24">
        <f t="shared" si="57"/>
        <v>1210</v>
      </c>
    </row>
    <row r="429" spans="1:8" ht="11.25" customHeight="1" x14ac:dyDescent="0.25">
      <c r="A429" s="477">
        <v>2015</v>
      </c>
      <c r="B429" s="197">
        <f t="shared" si="57"/>
        <v>708</v>
      </c>
      <c r="C429" s="197">
        <f t="shared" si="57"/>
        <v>114</v>
      </c>
      <c r="D429" s="197">
        <f t="shared" si="57"/>
        <v>59</v>
      </c>
      <c r="E429" s="197">
        <f t="shared" si="57"/>
        <v>87</v>
      </c>
      <c r="F429" s="197">
        <f t="shared" si="57"/>
        <v>125</v>
      </c>
      <c r="G429" s="197" t="str">
        <f t="shared" si="57"/>
        <v>-</v>
      </c>
      <c r="H429" s="37">
        <f t="shared" si="57"/>
        <v>1093</v>
      </c>
    </row>
    <row r="430" spans="1:8" ht="11.25" customHeight="1" x14ac:dyDescent="0.25">
      <c r="A430" s="477">
        <v>2016</v>
      </c>
      <c r="B430" s="197">
        <f t="shared" si="57"/>
        <v>149</v>
      </c>
      <c r="C430" s="197">
        <f t="shared" si="57"/>
        <v>130</v>
      </c>
      <c r="D430" s="197">
        <f t="shared" si="57"/>
        <v>51</v>
      </c>
      <c r="E430" s="197">
        <f t="shared" si="57"/>
        <v>83</v>
      </c>
      <c r="F430" s="197" t="str">
        <f t="shared" si="57"/>
        <v>-</v>
      </c>
      <c r="G430" s="197" t="str">
        <f t="shared" si="57"/>
        <v>-</v>
      </c>
      <c r="H430" s="37">
        <f t="shared" si="57"/>
        <v>413</v>
      </c>
    </row>
    <row r="431" spans="1:8" ht="11.25" customHeight="1" x14ac:dyDescent="0.25">
      <c r="A431" s="477">
        <v>2017</v>
      </c>
      <c r="B431" s="197">
        <f t="shared" si="57"/>
        <v>98</v>
      </c>
      <c r="C431" s="197">
        <f t="shared" si="57"/>
        <v>116</v>
      </c>
      <c r="D431" s="197">
        <f t="shared" si="57"/>
        <v>26</v>
      </c>
      <c r="E431" s="197">
        <f t="shared" si="57"/>
        <v>119</v>
      </c>
      <c r="F431" s="197">
        <f t="shared" si="57"/>
        <v>76</v>
      </c>
      <c r="G431" s="197" t="str">
        <f t="shared" si="57"/>
        <v>-</v>
      </c>
      <c r="H431" s="37">
        <f t="shared" si="57"/>
        <v>435</v>
      </c>
    </row>
    <row r="432" spans="1:8" s="358" customFormat="1" ht="11.25" customHeight="1" x14ac:dyDescent="0.25">
      <c r="A432" s="157">
        <v>2018</v>
      </c>
      <c r="B432" s="197">
        <f t="shared" si="57"/>
        <v>29</v>
      </c>
      <c r="C432" s="197">
        <f t="shared" si="57"/>
        <v>67</v>
      </c>
      <c r="D432" s="197">
        <f t="shared" si="57"/>
        <v>18</v>
      </c>
      <c r="E432" s="197">
        <f t="shared" si="57"/>
        <v>36</v>
      </c>
      <c r="F432" s="197">
        <f t="shared" si="57"/>
        <v>2</v>
      </c>
      <c r="G432" s="197" t="str">
        <f t="shared" si="57"/>
        <v>-</v>
      </c>
      <c r="H432" s="37">
        <f t="shared" si="57"/>
        <v>152</v>
      </c>
    </row>
    <row r="433" spans="1:8" s="358" customFormat="1" ht="11.25" customHeight="1" x14ac:dyDescent="0.25">
      <c r="A433" s="157">
        <v>2019</v>
      </c>
      <c r="B433" s="197">
        <f t="shared" ref="B433:H434" si="58">B189</f>
        <v>51</v>
      </c>
      <c r="C433" s="197">
        <f t="shared" si="58"/>
        <v>26</v>
      </c>
      <c r="D433" s="197">
        <f t="shared" si="58"/>
        <v>109</v>
      </c>
      <c r="E433" s="197">
        <f t="shared" si="58"/>
        <v>54</v>
      </c>
      <c r="F433" s="197">
        <f t="shared" si="58"/>
        <v>24</v>
      </c>
      <c r="G433" s="197" t="str">
        <f t="shared" si="58"/>
        <v>-</v>
      </c>
      <c r="H433" s="37">
        <f t="shared" si="58"/>
        <v>264</v>
      </c>
    </row>
    <row r="434" spans="1:8" ht="11.25" customHeight="1" x14ac:dyDescent="0.25">
      <c r="A434" s="157" t="s">
        <v>393</v>
      </c>
      <c r="B434" s="193">
        <f t="shared" si="58"/>
        <v>34</v>
      </c>
      <c r="C434" s="193">
        <f t="shared" si="58"/>
        <v>38</v>
      </c>
      <c r="D434" s="193">
        <f t="shared" si="58"/>
        <v>20</v>
      </c>
      <c r="E434" s="193">
        <f t="shared" si="58"/>
        <v>23</v>
      </c>
      <c r="F434" s="193">
        <f t="shared" si="58"/>
        <v>8</v>
      </c>
      <c r="G434" s="193" t="str">
        <f t="shared" si="58"/>
        <v>-</v>
      </c>
      <c r="H434" s="24">
        <f t="shared" si="58"/>
        <v>123</v>
      </c>
    </row>
    <row r="435" spans="1:8" ht="11.25" customHeight="1" x14ac:dyDescent="0.25">
      <c r="H435" s="480"/>
    </row>
    <row r="436" spans="1:8" ht="11.25" customHeight="1" x14ac:dyDescent="0.25">
      <c r="A436" s="116" t="s">
        <v>18</v>
      </c>
      <c r="H436" s="480"/>
    </row>
    <row r="437" spans="1:8" ht="11.25" customHeight="1" x14ac:dyDescent="0.25">
      <c r="A437" s="473" t="s">
        <v>30</v>
      </c>
      <c r="B437" s="193">
        <f>AVERAGE(B198:B202)</f>
        <v>3668.8</v>
      </c>
      <c r="C437" s="193">
        <f t="shared" ref="C437:H437" si="59">AVERAGE(C198:C202)</f>
        <v>305.2</v>
      </c>
      <c r="D437" s="193">
        <f t="shared" si="59"/>
        <v>5497</v>
      </c>
      <c r="E437" s="193">
        <f t="shared" si="59"/>
        <v>3294.4</v>
      </c>
      <c r="F437" s="193">
        <f t="shared" si="59"/>
        <v>149.19999999999999</v>
      </c>
      <c r="G437" s="193">
        <f>(G198+G202)/2</f>
        <v>1</v>
      </c>
      <c r="H437" s="24">
        <f t="shared" si="59"/>
        <v>12915</v>
      </c>
    </row>
    <row r="438" spans="1:8" ht="11.25" customHeight="1" x14ac:dyDescent="0.25">
      <c r="A438" s="473" t="s">
        <v>87</v>
      </c>
      <c r="B438" s="193">
        <f>AVERAGE(B203:B207)</f>
        <v>2598.1999999999998</v>
      </c>
      <c r="C438" s="193">
        <f t="shared" ref="C438:H438" si="60">AVERAGE(C203:C207)</f>
        <v>895.25</v>
      </c>
      <c r="D438" s="193">
        <f t="shared" si="60"/>
        <v>671</v>
      </c>
      <c r="E438" s="193">
        <f t="shared" si="60"/>
        <v>1447.2</v>
      </c>
      <c r="F438" s="193">
        <f t="shared" si="60"/>
        <v>857.5</v>
      </c>
      <c r="G438" s="193">
        <f t="shared" si="60"/>
        <v>22</v>
      </c>
      <c r="H438" s="24">
        <f t="shared" si="60"/>
        <v>5377.4</v>
      </c>
    </row>
    <row r="439" spans="1:8" ht="11.25" customHeight="1" x14ac:dyDescent="0.25">
      <c r="A439" s="473" t="s">
        <v>14</v>
      </c>
      <c r="B439" s="193">
        <f>AVERAGE(B208:B212)</f>
        <v>1731.3333333333333</v>
      </c>
      <c r="C439" s="193">
        <f t="shared" ref="C439:H439" si="61">AVERAGE(C208:C212)</f>
        <v>1106</v>
      </c>
      <c r="D439" s="193">
        <f t="shared" si="61"/>
        <v>887.5</v>
      </c>
      <c r="E439" s="193">
        <f t="shared" si="61"/>
        <v>878.75</v>
      </c>
      <c r="F439" s="193">
        <f t="shared" si="61"/>
        <v>406.66666666666669</v>
      </c>
      <c r="G439" s="193" t="s">
        <v>29</v>
      </c>
      <c r="H439" s="24">
        <f t="shared" si="61"/>
        <v>3755.5</v>
      </c>
    </row>
    <row r="440" spans="1:8" ht="11.25" customHeight="1" x14ac:dyDescent="0.25">
      <c r="A440" s="473" t="s">
        <v>207</v>
      </c>
      <c r="B440" s="193">
        <f>AVERAGE(B213:B217)</f>
        <v>223</v>
      </c>
      <c r="C440" s="193">
        <f t="shared" ref="C440:H440" si="62">AVERAGE(C213:C217)</f>
        <v>126.25</v>
      </c>
      <c r="D440" s="193">
        <f t="shared" si="62"/>
        <v>158</v>
      </c>
      <c r="E440" s="193">
        <f t="shared" si="62"/>
        <v>227.33333333333334</v>
      </c>
      <c r="F440" s="193">
        <f t="shared" si="62"/>
        <v>19</v>
      </c>
      <c r="G440" s="193" t="s">
        <v>29</v>
      </c>
      <c r="H440" s="24">
        <f t="shared" si="62"/>
        <v>486.6</v>
      </c>
    </row>
    <row r="441" spans="1:8" ht="11.25" customHeight="1" x14ac:dyDescent="0.25">
      <c r="A441" s="473" t="s">
        <v>238</v>
      </c>
      <c r="B441" s="193">
        <f>AVERAGE(B218:B222)</f>
        <v>494.6</v>
      </c>
      <c r="C441" s="193">
        <f>AVERAGE(C218:C222)</f>
        <v>173.4</v>
      </c>
      <c r="D441" s="193">
        <f>AVERAGE(D218:D222)</f>
        <v>470.4</v>
      </c>
      <c r="E441" s="193">
        <f>AVERAGE(E218:E222)</f>
        <v>475.4</v>
      </c>
      <c r="F441" s="193">
        <f>AVERAGE(F218:F222)</f>
        <v>166</v>
      </c>
      <c r="G441" s="193" t="str">
        <f>G218</f>
        <v>-</v>
      </c>
      <c r="H441" s="24">
        <f>AVERAGE(H218:H222)</f>
        <v>1713.4</v>
      </c>
    </row>
    <row r="442" spans="1:8" ht="11.25" customHeight="1" x14ac:dyDescent="0.25">
      <c r="A442" s="473">
        <v>2006</v>
      </c>
      <c r="B442" s="193">
        <f t="shared" ref="B442:H442" si="63">B223</f>
        <v>946</v>
      </c>
      <c r="C442" s="193">
        <f t="shared" si="63"/>
        <v>731</v>
      </c>
      <c r="D442" s="193">
        <f t="shared" si="63"/>
        <v>100</v>
      </c>
      <c r="E442" s="193">
        <f t="shared" si="63"/>
        <v>377</v>
      </c>
      <c r="F442" s="193">
        <f t="shared" si="63"/>
        <v>268</v>
      </c>
      <c r="G442" s="193" t="str">
        <f t="shared" si="63"/>
        <v>-</v>
      </c>
      <c r="H442" s="24">
        <f t="shared" si="63"/>
        <v>2422</v>
      </c>
    </row>
    <row r="443" spans="1:8" ht="11.25" customHeight="1" x14ac:dyDescent="0.25">
      <c r="A443" s="477">
        <v>2007</v>
      </c>
      <c r="B443" s="197">
        <f t="shared" ref="B443:H443" si="64">B224</f>
        <v>544</v>
      </c>
      <c r="C443" s="197">
        <f t="shared" si="64"/>
        <v>326</v>
      </c>
      <c r="D443" s="197">
        <f t="shared" si="64"/>
        <v>404</v>
      </c>
      <c r="E443" s="197">
        <f t="shared" si="64"/>
        <v>298</v>
      </c>
      <c r="F443" s="197">
        <f t="shared" si="64"/>
        <v>32</v>
      </c>
      <c r="G443" s="197" t="str">
        <f t="shared" si="64"/>
        <v>-</v>
      </c>
      <c r="H443" s="37">
        <f t="shared" si="64"/>
        <v>1604</v>
      </c>
    </row>
    <row r="444" spans="1:8" ht="11.25" customHeight="1" x14ac:dyDescent="0.25">
      <c r="A444" s="477">
        <v>2008</v>
      </c>
      <c r="B444" s="197">
        <f t="shared" ref="B444:H444" si="65">B225</f>
        <v>552</v>
      </c>
      <c r="C444" s="197">
        <f t="shared" si="65"/>
        <v>715</v>
      </c>
      <c r="D444" s="197">
        <f t="shared" si="65"/>
        <v>259</v>
      </c>
      <c r="E444" s="197">
        <f t="shared" si="65"/>
        <v>279</v>
      </c>
      <c r="F444" s="197">
        <f t="shared" si="65"/>
        <v>73</v>
      </c>
      <c r="G444" s="197" t="str">
        <f t="shared" si="65"/>
        <v>-</v>
      </c>
      <c r="H444" s="37">
        <f t="shared" si="65"/>
        <v>1878</v>
      </c>
    </row>
    <row r="445" spans="1:8" ht="11.25" customHeight="1" x14ac:dyDescent="0.25">
      <c r="A445" s="477">
        <v>2009</v>
      </c>
      <c r="B445" s="197">
        <f t="shared" ref="B445:H445" si="66">B226</f>
        <v>546</v>
      </c>
      <c r="C445" s="197">
        <f t="shared" si="66"/>
        <v>649</v>
      </c>
      <c r="D445" s="197">
        <f t="shared" si="66"/>
        <v>691</v>
      </c>
      <c r="E445" s="197">
        <f t="shared" si="66"/>
        <v>498</v>
      </c>
      <c r="F445" s="197">
        <f t="shared" si="66"/>
        <v>147</v>
      </c>
      <c r="G445" s="197" t="str">
        <f t="shared" si="66"/>
        <v>-</v>
      </c>
      <c r="H445" s="37">
        <f t="shared" si="66"/>
        <v>2531</v>
      </c>
    </row>
    <row r="446" spans="1:8" ht="11.25" customHeight="1" x14ac:dyDescent="0.25">
      <c r="A446" s="477">
        <v>2010</v>
      </c>
      <c r="B446" s="197">
        <f t="shared" ref="B446:H446" si="67">B227</f>
        <v>602</v>
      </c>
      <c r="C446" s="197">
        <f t="shared" si="67"/>
        <v>1168</v>
      </c>
      <c r="D446" s="197">
        <f t="shared" si="67"/>
        <v>665</v>
      </c>
      <c r="E446" s="197">
        <f t="shared" si="67"/>
        <v>564</v>
      </c>
      <c r="F446" s="197">
        <f t="shared" si="67"/>
        <v>69</v>
      </c>
      <c r="G446" s="197" t="str">
        <f t="shared" si="67"/>
        <v>-</v>
      </c>
      <c r="H446" s="37">
        <f t="shared" si="67"/>
        <v>3068</v>
      </c>
    </row>
    <row r="447" spans="1:8" ht="11.25" customHeight="1" x14ac:dyDescent="0.25">
      <c r="A447" s="477">
        <v>2011</v>
      </c>
      <c r="B447" s="197">
        <f t="shared" ref="B447:H447" si="68">B228</f>
        <v>733</v>
      </c>
      <c r="C447" s="197">
        <f t="shared" si="68"/>
        <v>823</v>
      </c>
      <c r="D447" s="197">
        <f t="shared" si="68"/>
        <v>490</v>
      </c>
      <c r="E447" s="197">
        <f t="shared" si="68"/>
        <v>235</v>
      </c>
      <c r="F447" s="197">
        <f t="shared" si="68"/>
        <v>72</v>
      </c>
      <c r="G447" s="197" t="str">
        <f t="shared" si="68"/>
        <v>-</v>
      </c>
      <c r="H447" s="37">
        <f t="shared" si="68"/>
        <v>2353</v>
      </c>
    </row>
    <row r="448" spans="1:8" ht="11.25" customHeight="1" x14ac:dyDescent="0.25">
      <c r="A448" s="477">
        <v>2012</v>
      </c>
      <c r="B448" s="197">
        <f t="shared" ref="B448:H448" si="69">B229</f>
        <v>427</v>
      </c>
      <c r="C448" s="197">
        <f t="shared" si="69"/>
        <v>932</v>
      </c>
      <c r="D448" s="197">
        <f t="shared" si="69"/>
        <v>503</v>
      </c>
      <c r="E448" s="197">
        <f t="shared" si="69"/>
        <v>333</v>
      </c>
      <c r="F448" s="197">
        <f t="shared" si="69"/>
        <v>281</v>
      </c>
      <c r="G448" s="197" t="str">
        <f t="shared" si="69"/>
        <v>-</v>
      </c>
      <c r="H448" s="37">
        <f t="shared" si="69"/>
        <v>2476</v>
      </c>
    </row>
    <row r="449" spans="1:8" ht="11.25" customHeight="1" x14ac:dyDescent="0.25">
      <c r="A449" s="477">
        <v>2013</v>
      </c>
      <c r="B449" s="197">
        <f t="shared" ref="B449:H454" si="70">B230</f>
        <v>832</v>
      </c>
      <c r="C449" s="197">
        <f t="shared" si="70"/>
        <v>668</v>
      </c>
      <c r="D449" s="197">
        <f t="shared" si="70"/>
        <v>518</v>
      </c>
      <c r="E449" s="197">
        <f t="shared" si="70"/>
        <v>461</v>
      </c>
      <c r="F449" s="197">
        <f t="shared" si="70"/>
        <v>116</v>
      </c>
      <c r="G449" s="197" t="str">
        <f t="shared" si="70"/>
        <v>-</v>
      </c>
      <c r="H449" s="37">
        <f t="shared" si="70"/>
        <v>2595</v>
      </c>
    </row>
    <row r="450" spans="1:8" ht="11.25" customHeight="1" x14ac:dyDescent="0.25">
      <c r="A450" s="473">
        <v>2014</v>
      </c>
      <c r="B450" s="193">
        <f t="shared" si="70"/>
        <v>1294</v>
      </c>
      <c r="C450" s="193">
        <f t="shared" si="70"/>
        <v>316</v>
      </c>
      <c r="D450" s="193">
        <f t="shared" si="70"/>
        <v>600</v>
      </c>
      <c r="E450" s="193">
        <f t="shared" si="70"/>
        <v>437</v>
      </c>
      <c r="F450" s="193">
        <f t="shared" si="70"/>
        <v>191</v>
      </c>
      <c r="G450" s="193" t="str">
        <f t="shared" si="70"/>
        <v>-</v>
      </c>
      <c r="H450" s="24">
        <f t="shared" si="70"/>
        <v>2838</v>
      </c>
    </row>
    <row r="451" spans="1:8" ht="11.25" customHeight="1" x14ac:dyDescent="0.25">
      <c r="A451" s="477">
        <v>2015</v>
      </c>
      <c r="B451" s="197">
        <f t="shared" si="70"/>
        <v>1526</v>
      </c>
      <c r="C451" s="197">
        <f t="shared" si="70"/>
        <v>598</v>
      </c>
      <c r="D451" s="197">
        <f t="shared" si="70"/>
        <v>550</v>
      </c>
      <c r="E451" s="197">
        <f t="shared" si="70"/>
        <v>537</v>
      </c>
      <c r="F451" s="197">
        <f t="shared" si="70"/>
        <v>252</v>
      </c>
      <c r="G451" s="197" t="str">
        <f t="shared" si="70"/>
        <v>-</v>
      </c>
      <c r="H451" s="37">
        <f t="shared" si="70"/>
        <v>3463</v>
      </c>
    </row>
    <row r="452" spans="1:8" ht="11.25" customHeight="1" x14ac:dyDescent="0.25">
      <c r="A452" s="477">
        <v>2016</v>
      </c>
      <c r="B452" s="197">
        <f t="shared" si="70"/>
        <v>796</v>
      </c>
      <c r="C452" s="197">
        <f t="shared" si="70"/>
        <v>489</v>
      </c>
      <c r="D452" s="197">
        <f t="shared" si="70"/>
        <v>299</v>
      </c>
      <c r="E452" s="197">
        <f t="shared" si="70"/>
        <v>269</v>
      </c>
      <c r="F452" s="197" t="str">
        <f t="shared" si="70"/>
        <v>-</v>
      </c>
      <c r="G452" s="197" t="str">
        <f t="shared" si="70"/>
        <v>-</v>
      </c>
      <c r="H452" s="37">
        <f t="shared" si="70"/>
        <v>1853</v>
      </c>
    </row>
    <row r="453" spans="1:8" ht="11.25" customHeight="1" x14ac:dyDescent="0.25">
      <c r="A453" s="477">
        <v>2017</v>
      </c>
      <c r="B453" s="197">
        <f t="shared" si="70"/>
        <v>860</v>
      </c>
      <c r="C453" s="197">
        <f t="shared" si="70"/>
        <v>722</v>
      </c>
      <c r="D453" s="197">
        <f t="shared" si="70"/>
        <v>406</v>
      </c>
      <c r="E453" s="197">
        <f t="shared" si="70"/>
        <v>530</v>
      </c>
      <c r="F453" s="197">
        <f t="shared" si="70"/>
        <v>197</v>
      </c>
      <c r="G453" s="197" t="str">
        <f t="shared" si="70"/>
        <v>-</v>
      </c>
      <c r="H453" s="37">
        <f t="shared" si="70"/>
        <v>2715</v>
      </c>
    </row>
    <row r="454" spans="1:8" s="358" customFormat="1" ht="11.25" customHeight="1" x14ac:dyDescent="0.25">
      <c r="A454" s="157">
        <v>2018</v>
      </c>
      <c r="B454" s="197">
        <f t="shared" si="70"/>
        <v>770</v>
      </c>
      <c r="C454" s="197">
        <f t="shared" si="70"/>
        <v>741</v>
      </c>
      <c r="D454" s="197">
        <f t="shared" si="70"/>
        <v>440</v>
      </c>
      <c r="E454" s="197">
        <f t="shared" si="70"/>
        <v>225</v>
      </c>
      <c r="F454" s="197">
        <f t="shared" si="70"/>
        <v>71</v>
      </c>
      <c r="G454" s="197" t="str">
        <f t="shared" si="70"/>
        <v>-</v>
      </c>
      <c r="H454" s="37">
        <f t="shared" si="70"/>
        <v>2247</v>
      </c>
    </row>
    <row r="455" spans="1:8" s="358" customFormat="1" ht="11.25" customHeight="1" x14ac:dyDescent="0.25">
      <c r="A455" s="157">
        <v>2019</v>
      </c>
      <c r="B455" s="197">
        <f t="shared" ref="B455:H456" si="71">B236</f>
        <v>412</v>
      </c>
      <c r="C455" s="197">
        <f t="shared" si="71"/>
        <v>361</v>
      </c>
      <c r="D455" s="197">
        <f t="shared" si="71"/>
        <v>770</v>
      </c>
      <c r="E455" s="197">
        <f t="shared" si="71"/>
        <v>245</v>
      </c>
      <c r="F455" s="197">
        <f t="shared" si="71"/>
        <v>137</v>
      </c>
      <c r="G455" s="197" t="str">
        <f t="shared" si="71"/>
        <v>-</v>
      </c>
      <c r="H455" s="37">
        <f t="shared" si="71"/>
        <v>1925</v>
      </c>
    </row>
    <row r="456" spans="1:8" ht="11.25" customHeight="1" x14ac:dyDescent="0.25">
      <c r="A456" s="157" t="s">
        <v>393</v>
      </c>
      <c r="B456" s="193">
        <f t="shared" si="71"/>
        <v>107</v>
      </c>
      <c r="C456" s="193">
        <f t="shared" si="71"/>
        <v>174</v>
      </c>
      <c r="D456" s="193">
        <f t="shared" si="71"/>
        <v>484</v>
      </c>
      <c r="E456" s="193">
        <f t="shared" si="71"/>
        <v>250</v>
      </c>
      <c r="F456" s="193">
        <f t="shared" si="71"/>
        <v>27</v>
      </c>
      <c r="G456" s="193" t="str">
        <f t="shared" si="71"/>
        <v>-</v>
      </c>
      <c r="H456" s="24">
        <f t="shared" si="71"/>
        <v>1042</v>
      </c>
    </row>
    <row r="457" spans="1:8" ht="11.25" customHeight="1" x14ac:dyDescent="0.25">
      <c r="H457" s="480"/>
    </row>
    <row r="458" spans="1:8" x14ac:dyDescent="0.25">
      <c r="A458" s="116" t="s">
        <v>377</v>
      </c>
      <c r="H458" s="480"/>
    </row>
    <row r="459" spans="1:8" ht="11.25" customHeight="1" x14ac:dyDescent="0.25">
      <c r="A459" s="473" t="s">
        <v>30</v>
      </c>
      <c r="B459" s="193">
        <f>AVERAGE(B245:B249)</f>
        <v>79</v>
      </c>
      <c r="C459" s="193">
        <f t="shared" ref="C459:H459" si="72">AVERAGE(C245:C249)</f>
        <v>140.6</v>
      </c>
      <c r="D459" s="193">
        <f t="shared" si="72"/>
        <v>284.39999999999998</v>
      </c>
      <c r="E459" s="193">
        <f t="shared" si="72"/>
        <v>312.8</v>
      </c>
      <c r="F459" s="193">
        <f t="shared" si="72"/>
        <v>146.19999999999999</v>
      </c>
      <c r="G459" s="193">
        <f t="shared" si="72"/>
        <v>17</v>
      </c>
      <c r="H459" s="24">
        <f t="shared" si="72"/>
        <v>963</v>
      </c>
    </row>
    <row r="460" spans="1:8" ht="11.25" customHeight="1" x14ac:dyDescent="0.25">
      <c r="A460" s="473" t="s">
        <v>87</v>
      </c>
      <c r="B460" s="193">
        <f>AVERAGE(B250:B254)</f>
        <v>138</v>
      </c>
      <c r="C460" s="193">
        <f t="shared" ref="C460:H460" si="73">AVERAGE(C250:C254)</f>
        <v>167.6</v>
      </c>
      <c r="D460" s="193">
        <f t="shared" si="73"/>
        <v>433.6</v>
      </c>
      <c r="E460" s="193">
        <f t="shared" si="73"/>
        <v>460</v>
      </c>
      <c r="F460" s="193">
        <f t="shared" si="73"/>
        <v>160.6</v>
      </c>
      <c r="G460" s="193">
        <f t="shared" si="73"/>
        <v>1.6</v>
      </c>
      <c r="H460" s="24">
        <f t="shared" si="73"/>
        <v>1359.8</v>
      </c>
    </row>
    <row r="461" spans="1:8" ht="11.25" customHeight="1" x14ac:dyDescent="0.25">
      <c r="A461" s="473" t="s">
        <v>14</v>
      </c>
      <c r="B461" s="193">
        <f>AVERAGE(B255:B259)</f>
        <v>69</v>
      </c>
      <c r="C461" s="193">
        <f t="shared" ref="C461:H461" si="74">AVERAGE(C255:C259)</f>
        <v>71.400000000000006</v>
      </c>
      <c r="D461" s="193">
        <f t="shared" si="74"/>
        <v>182.4</v>
      </c>
      <c r="E461" s="193">
        <f t="shared" si="74"/>
        <v>311.2</v>
      </c>
      <c r="F461" s="193">
        <f t="shared" si="74"/>
        <v>47.6</v>
      </c>
      <c r="G461" s="193">
        <f t="shared" si="74"/>
        <v>10.199999999999999</v>
      </c>
      <c r="H461" s="24">
        <f t="shared" si="74"/>
        <v>681.6</v>
      </c>
    </row>
    <row r="462" spans="1:8" ht="11.25" customHeight="1" x14ac:dyDescent="0.25">
      <c r="A462" s="473" t="s">
        <v>207</v>
      </c>
      <c r="B462" s="193">
        <f>AVERAGE(B260:B264)</f>
        <v>31.4</v>
      </c>
      <c r="C462" s="193">
        <f t="shared" ref="C462:H462" si="75">AVERAGE(C260:C264)</f>
        <v>37.6</v>
      </c>
      <c r="D462" s="193">
        <f t="shared" si="75"/>
        <v>11</v>
      </c>
      <c r="E462" s="193">
        <f t="shared" si="75"/>
        <v>95.8</v>
      </c>
      <c r="F462" s="193">
        <f t="shared" si="75"/>
        <v>53.2</v>
      </c>
      <c r="G462" s="193" t="s">
        <v>29</v>
      </c>
      <c r="H462" s="24">
        <f t="shared" si="75"/>
        <v>229</v>
      </c>
    </row>
    <row r="463" spans="1:8" ht="11.25" customHeight="1" x14ac:dyDescent="0.25">
      <c r="A463" s="473" t="s">
        <v>238</v>
      </c>
      <c r="B463" s="193">
        <f>AVERAGE(B265:B269)</f>
        <v>46.6</v>
      </c>
      <c r="C463" s="193">
        <f>AVERAGE(C265:C269)</f>
        <v>65.8</v>
      </c>
      <c r="D463" s="193">
        <f>AVERAGE(D265:D269)</f>
        <v>99.8</v>
      </c>
      <c r="E463" s="193">
        <f>AVERAGE(E265:E269)</f>
        <v>116.4</v>
      </c>
      <c r="F463" s="193">
        <f>AVERAGE(F265:F269)</f>
        <v>68.599999999999994</v>
      </c>
      <c r="G463" s="193" t="str">
        <f>G265</f>
        <v>-</v>
      </c>
      <c r="H463" s="24">
        <f>AVERAGE(H265:H269)</f>
        <v>397.2</v>
      </c>
    </row>
    <row r="464" spans="1:8" ht="11.25" customHeight="1" x14ac:dyDescent="0.25">
      <c r="A464" s="473">
        <v>2006</v>
      </c>
      <c r="B464" s="193">
        <f t="shared" ref="B464:H464" si="76">B270</f>
        <v>96</v>
      </c>
      <c r="C464" s="193">
        <f t="shared" si="76"/>
        <v>285</v>
      </c>
      <c r="D464" s="193">
        <f t="shared" si="76"/>
        <v>167</v>
      </c>
      <c r="E464" s="193">
        <f t="shared" si="76"/>
        <v>140</v>
      </c>
      <c r="F464" s="193">
        <f t="shared" si="76"/>
        <v>117</v>
      </c>
      <c r="G464" s="193">
        <f t="shared" si="76"/>
        <v>5</v>
      </c>
      <c r="H464" s="24">
        <f t="shared" si="76"/>
        <v>805</v>
      </c>
    </row>
    <row r="465" spans="1:8" ht="11.25" customHeight="1" x14ac:dyDescent="0.25">
      <c r="A465" s="477">
        <v>2007</v>
      </c>
      <c r="B465" s="197">
        <f t="shared" ref="B465:H465" si="77">B271</f>
        <v>22</v>
      </c>
      <c r="C465" s="197">
        <f t="shared" si="77"/>
        <v>205</v>
      </c>
      <c r="D465" s="197">
        <f t="shared" si="77"/>
        <v>189</v>
      </c>
      <c r="E465" s="197">
        <f t="shared" si="77"/>
        <v>167</v>
      </c>
      <c r="F465" s="197">
        <f t="shared" si="77"/>
        <v>7</v>
      </c>
      <c r="G465" s="197">
        <f t="shared" si="77"/>
        <v>0</v>
      </c>
      <c r="H465" s="37">
        <f t="shared" si="77"/>
        <v>590</v>
      </c>
    </row>
    <row r="466" spans="1:8" ht="11.25" customHeight="1" x14ac:dyDescent="0.25">
      <c r="A466" s="477">
        <v>2008</v>
      </c>
      <c r="B466" s="197">
        <f t="shared" ref="B466:H466" si="78">B272</f>
        <v>30</v>
      </c>
      <c r="C466" s="197">
        <f t="shared" si="78"/>
        <v>125</v>
      </c>
      <c r="D466" s="197">
        <f t="shared" si="78"/>
        <v>102</v>
      </c>
      <c r="E466" s="197">
        <f t="shared" si="78"/>
        <v>231</v>
      </c>
      <c r="F466" s="197">
        <f t="shared" si="78"/>
        <v>92</v>
      </c>
      <c r="G466" s="197">
        <f t="shared" si="78"/>
        <v>1</v>
      </c>
      <c r="H466" s="37">
        <f t="shared" si="78"/>
        <v>580</v>
      </c>
    </row>
    <row r="467" spans="1:8" ht="11.25" customHeight="1" x14ac:dyDescent="0.25">
      <c r="A467" s="477">
        <v>2009</v>
      </c>
      <c r="B467" s="197">
        <f t="shared" ref="B467:H467" si="79">B273</f>
        <v>82</v>
      </c>
      <c r="C467" s="197">
        <f t="shared" si="79"/>
        <v>238</v>
      </c>
      <c r="D467" s="197">
        <f t="shared" si="79"/>
        <v>233</v>
      </c>
      <c r="E467" s="197">
        <f t="shared" si="79"/>
        <v>269</v>
      </c>
      <c r="F467" s="197">
        <f t="shared" si="79"/>
        <v>5</v>
      </c>
      <c r="G467" s="197">
        <f t="shared" si="79"/>
        <v>4</v>
      </c>
      <c r="H467" s="37">
        <f t="shared" si="79"/>
        <v>827</v>
      </c>
    </row>
    <row r="468" spans="1:8" ht="11.25" customHeight="1" x14ac:dyDescent="0.25">
      <c r="A468" s="477">
        <v>2010</v>
      </c>
      <c r="B468" s="197">
        <f t="shared" ref="B468:H468" si="80">B274</f>
        <v>155</v>
      </c>
      <c r="C468" s="197">
        <f t="shared" si="80"/>
        <v>335</v>
      </c>
      <c r="D468" s="197">
        <f t="shared" si="80"/>
        <v>155</v>
      </c>
      <c r="E468" s="197">
        <f t="shared" si="80"/>
        <v>150</v>
      </c>
      <c r="F468" s="197">
        <f t="shared" si="80"/>
        <v>62</v>
      </c>
      <c r="G468" s="197">
        <f t="shared" si="80"/>
        <v>4</v>
      </c>
      <c r="H468" s="37">
        <f t="shared" si="80"/>
        <v>857</v>
      </c>
    </row>
    <row r="469" spans="1:8" ht="11.25" customHeight="1" x14ac:dyDescent="0.25">
      <c r="A469" s="477">
        <v>2011</v>
      </c>
      <c r="B469" s="197">
        <f t="shared" ref="B469:H469" si="81">B275</f>
        <v>92</v>
      </c>
      <c r="C469" s="197">
        <f t="shared" si="81"/>
        <v>192</v>
      </c>
      <c r="D469" s="197">
        <f t="shared" si="81"/>
        <v>152</v>
      </c>
      <c r="E469" s="197">
        <f t="shared" si="81"/>
        <v>140</v>
      </c>
      <c r="F469" s="197">
        <f t="shared" si="81"/>
        <v>24</v>
      </c>
      <c r="G469" s="197">
        <f t="shared" si="81"/>
        <v>1</v>
      </c>
      <c r="H469" s="37">
        <f t="shared" si="81"/>
        <v>600</v>
      </c>
    </row>
    <row r="470" spans="1:8" ht="11.25" customHeight="1" x14ac:dyDescent="0.25">
      <c r="A470" s="477">
        <v>2012</v>
      </c>
      <c r="B470" s="197">
        <f t="shared" ref="B470:H470" si="82">B276</f>
        <v>144</v>
      </c>
      <c r="C470" s="197">
        <f t="shared" si="82"/>
        <v>269</v>
      </c>
      <c r="D470" s="197">
        <f t="shared" si="82"/>
        <v>214</v>
      </c>
      <c r="E470" s="197">
        <f t="shared" si="82"/>
        <v>229</v>
      </c>
      <c r="F470" s="197">
        <f t="shared" si="82"/>
        <v>104</v>
      </c>
      <c r="G470" s="197">
        <f t="shared" si="82"/>
        <v>4</v>
      </c>
      <c r="H470" s="37">
        <f t="shared" si="82"/>
        <v>960</v>
      </c>
    </row>
    <row r="471" spans="1:8" ht="11.25" customHeight="1" x14ac:dyDescent="0.25">
      <c r="A471" s="477">
        <v>2013</v>
      </c>
      <c r="B471" s="197">
        <f t="shared" ref="B471:H476" si="83">B277</f>
        <v>279</v>
      </c>
      <c r="C471" s="197">
        <f t="shared" si="83"/>
        <v>206</v>
      </c>
      <c r="D471" s="197">
        <f t="shared" si="83"/>
        <v>369</v>
      </c>
      <c r="E471" s="197">
        <f t="shared" si="83"/>
        <v>583</v>
      </c>
      <c r="F471" s="197">
        <f t="shared" si="83"/>
        <v>159</v>
      </c>
      <c r="G471" s="197">
        <f t="shared" si="83"/>
        <v>0</v>
      </c>
      <c r="H471" s="37">
        <f t="shared" si="83"/>
        <v>1596</v>
      </c>
    </row>
    <row r="472" spans="1:8" ht="11.25" customHeight="1" x14ac:dyDescent="0.25">
      <c r="A472" s="473">
        <v>2014</v>
      </c>
      <c r="B472" s="193">
        <f t="shared" si="83"/>
        <v>196</v>
      </c>
      <c r="C472" s="193">
        <f t="shared" si="83"/>
        <v>295</v>
      </c>
      <c r="D472" s="193">
        <f t="shared" si="83"/>
        <v>465</v>
      </c>
      <c r="E472" s="193">
        <f t="shared" si="83"/>
        <v>419</v>
      </c>
      <c r="F472" s="193">
        <f t="shared" si="83"/>
        <v>152</v>
      </c>
      <c r="G472" s="193">
        <f t="shared" si="83"/>
        <v>0</v>
      </c>
      <c r="H472" s="24">
        <f t="shared" si="83"/>
        <v>1527</v>
      </c>
    </row>
    <row r="473" spans="1:8" ht="11.25" customHeight="1" x14ac:dyDescent="0.25">
      <c r="A473" s="477">
        <v>2015</v>
      </c>
      <c r="B473" s="197">
        <f t="shared" si="83"/>
        <v>324</v>
      </c>
      <c r="C473" s="197">
        <f t="shared" si="83"/>
        <v>380</v>
      </c>
      <c r="D473" s="197">
        <f t="shared" si="83"/>
        <v>389</v>
      </c>
      <c r="E473" s="197">
        <f t="shared" si="83"/>
        <v>261</v>
      </c>
      <c r="F473" s="197">
        <f t="shared" si="83"/>
        <v>104</v>
      </c>
      <c r="G473" s="197">
        <f t="shared" si="83"/>
        <v>0</v>
      </c>
      <c r="H473" s="37">
        <f t="shared" si="83"/>
        <v>1458</v>
      </c>
    </row>
    <row r="474" spans="1:8" ht="11.25" customHeight="1" x14ac:dyDescent="0.25">
      <c r="A474" s="477">
        <v>2016</v>
      </c>
      <c r="B474" s="197">
        <f t="shared" si="83"/>
        <v>204</v>
      </c>
      <c r="C474" s="197">
        <f t="shared" si="83"/>
        <v>233</v>
      </c>
      <c r="D474" s="197">
        <f t="shared" si="83"/>
        <v>141</v>
      </c>
      <c r="E474" s="197">
        <f t="shared" si="83"/>
        <v>90</v>
      </c>
      <c r="F474" s="197">
        <f t="shared" si="83"/>
        <v>2</v>
      </c>
      <c r="G474" s="197">
        <f t="shared" si="83"/>
        <v>0</v>
      </c>
      <c r="H474" s="37">
        <f t="shared" si="83"/>
        <v>670</v>
      </c>
    </row>
    <row r="475" spans="1:8" ht="11.25" customHeight="1" x14ac:dyDescent="0.25">
      <c r="A475" s="477">
        <v>2017</v>
      </c>
      <c r="B475" s="197">
        <f t="shared" si="83"/>
        <v>27</v>
      </c>
      <c r="C475" s="197">
        <f t="shared" si="83"/>
        <v>90</v>
      </c>
      <c r="D475" s="197">
        <f t="shared" si="83"/>
        <v>317</v>
      </c>
      <c r="E475" s="197">
        <f t="shared" si="83"/>
        <v>357</v>
      </c>
      <c r="F475" s="197">
        <f t="shared" si="83"/>
        <v>172</v>
      </c>
      <c r="G475" s="197">
        <f t="shared" si="83"/>
        <v>0</v>
      </c>
      <c r="H475" s="37">
        <f t="shared" si="83"/>
        <v>963</v>
      </c>
    </row>
    <row r="476" spans="1:8" s="358" customFormat="1" ht="11.25" customHeight="1" x14ac:dyDescent="0.25">
      <c r="A476" s="157">
        <v>2018</v>
      </c>
      <c r="B476" s="197">
        <f t="shared" si="83"/>
        <v>99</v>
      </c>
      <c r="C476" s="197">
        <f t="shared" si="83"/>
        <v>255</v>
      </c>
      <c r="D476" s="197">
        <f t="shared" si="83"/>
        <v>272</v>
      </c>
      <c r="E476" s="197">
        <f t="shared" si="83"/>
        <v>145</v>
      </c>
      <c r="F476" s="197">
        <f t="shared" si="83"/>
        <v>110</v>
      </c>
      <c r="G476" s="197">
        <f t="shared" si="83"/>
        <v>0</v>
      </c>
      <c r="H476" s="37">
        <f t="shared" si="83"/>
        <v>881</v>
      </c>
    </row>
    <row r="477" spans="1:8" s="358" customFormat="1" ht="11.25" customHeight="1" x14ac:dyDescent="0.25">
      <c r="A477" s="157">
        <v>2019</v>
      </c>
      <c r="B477" s="197">
        <f t="shared" ref="B477:H478" si="84">B283</f>
        <v>65</v>
      </c>
      <c r="C477" s="197">
        <f t="shared" si="84"/>
        <v>72</v>
      </c>
      <c r="D477" s="197">
        <f t="shared" si="84"/>
        <v>365</v>
      </c>
      <c r="E477" s="197">
        <f t="shared" si="84"/>
        <v>276</v>
      </c>
      <c r="F477" s="197">
        <f t="shared" si="84"/>
        <v>120</v>
      </c>
      <c r="G477" s="197">
        <f t="shared" si="84"/>
        <v>0</v>
      </c>
      <c r="H477" s="37">
        <f t="shared" si="84"/>
        <v>898</v>
      </c>
    </row>
    <row r="478" spans="1:8" ht="11.25" customHeight="1" x14ac:dyDescent="0.25">
      <c r="A478" s="157" t="s">
        <v>393</v>
      </c>
      <c r="B478" s="193">
        <f t="shared" si="84"/>
        <v>1</v>
      </c>
      <c r="C478" s="193">
        <f t="shared" si="84"/>
        <v>2</v>
      </c>
      <c r="D478" s="193">
        <f t="shared" si="84"/>
        <v>29</v>
      </c>
      <c r="E478" s="193">
        <f t="shared" si="84"/>
        <v>122</v>
      </c>
      <c r="F478" s="193">
        <f t="shared" si="84"/>
        <v>31</v>
      </c>
      <c r="G478" s="193">
        <f t="shared" si="84"/>
        <v>0</v>
      </c>
      <c r="H478" s="24">
        <f t="shared" si="84"/>
        <v>185</v>
      </c>
    </row>
    <row r="479" spans="1:8" ht="11.25" customHeight="1" x14ac:dyDescent="0.25"/>
    <row r="480" spans="1:8" ht="11.25" customHeight="1" x14ac:dyDescent="0.25">
      <c r="A480" s="610" t="s">
        <v>378</v>
      </c>
      <c r="B480" s="611"/>
      <c r="C480" s="611"/>
      <c r="D480" s="611"/>
      <c r="E480" s="611"/>
      <c r="F480" s="611"/>
      <c r="G480" s="611"/>
      <c r="H480" s="611"/>
    </row>
    <row r="481" spans="1:8" ht="11.25" customHeight="1" x14ac:dyDescent="0.25">
      <c r="A481" s="612"/>
      <c r="B481" s="612"/>
      <c r="C481" s="612"/>
      <c r="D481" s="612"/>
      <c r="E481" s="612"/>
      <c r="F481" s="612"/>
      <c r="G481" s="612"/>
      <c r="H481" s="612"/>
    </row>
    <row r="482" spans="1:8" ht="11.25" customHeight="1" x14ac:dyDescent="0.25">
      <c r="A482" s="469" t="s">
        <v>33</v>
      </c>
      <c r="B482" s="471" t="s">
        <v>89</v>
      </c>
      <c r="C482" s="471" t="s">
        <v>90</v>
      </c>
      <c r="D482" s="471" t="s">
        <v>91</v>
      </c>
      <c r="E482" s="471" t="s">
        <v>92</v>
      </c>
      <c r="F482" s="471" t="s">
        <v>93</v>
      </c>
      <c r="G482" s="471" t="s">
        <v>94</v>
      </c>
      <c r="H482" s="471" t="s">
        <v>28</v>
      </c>
    </row>
    <row r="483" spans="1:8" x14ac:dyDescent="0.25">
      <c r="A483" s="127" t="s">
        <v>379</v>
      </c>
    </row>
    <row r="484" spans="1:8" ht="11.25" customHeight="1" x14ac:dyDescent="0.25">
      <c r="A484" s="473" t="s">
        <v>30</v>
      </c>
      <c r="B484" s="193">
        <f>AVERAGE(B292:B296)</f>
        <v>3747.8</v>
      </c>
      <c r="C484" s="193">
        <f t="shared" ref="C484:H484" si="85">AVERAGE(C292:C296)</f>
        <v>445.8</v>
      </c>
      <c r="D484" s="193">
        <f t="shared" si="85"/>
        <v>5781.4</v>
      </c>
      <c r="E484" s="193">
        <f t="shared" si="85"/>
        <v>3607.2</v>
      </c>
      <c r="F484" s="193">
        <f t="shared" si="85"/>
        <v>295.39999999999998</v>
      </c>
      <c r="G484" s="193">
        <f>AVERAGE(G292:G296)</f>
        <v>17.399999999999999</v>
      </c>
      <c r="H484" s="37">
        <f t="shared" si="85"/>
        <v>13878</v>
      </c>
    </row>
    <row r="485" spans="1:8" ht="11.25" customHeight="1" x14ac:dyDescent="0.25">
      <c r="A485" s="473" t="s">
        <v>87</v>
      </c>
      <c r="B485" s="193">
        <f>AVERAGE(B297:B301)</f>
        <v>2736.2</v>
      </c>
      <c r="C485" s="193">
        <f t="shared" ref="C485:H485" si="86">AVERAGE(C297:C301)</f>
        <v>883.8</v>
      </c>
      <c r="D485" s="193">
        <f t="shared" si="86"/>
        <v>702</v>
      </c>
      <c r="E485" s="193">
        <f t="shared" si="86"/>
        <v>1907.2</v>
      </c>
      <c r="F485" s="193">
        <f t="shared" si="86"/>
        <v>503.6</v>
      </c>
      <c r="G485" s="193">
        <f t="shared" si="86"/>
        <v>6</v>
      </c>
      <c r="H485" s="37">
        <f t="shared" si="86"/>
        <v>6737.2</v>
      </c>
    </row>
    <row r="486" spans="1:8" ht="11.25" customHeight="1" x14ac:dyDescent="0.25">
      <c r="A486" s="473" t="s">
        <v>14</v>
      </c>
      <c r="B486" s="193">
        <f>AVERAGE(B302:B306)</f>
        <v>1107.8</v>
      </c>
      <c r="C486" s="193">
        <f t="shared" ref="C486:H486" si="87">AVERAGE(C302:C306)</f>
        <v>735</v>
      </c>
      <c r="D486" s="193">
        <f t="shared" si="87"/>
        <v>537.4</v>
      </c>
      <c r="E486" s="193">
        <f t="shared" si="87"/>
        <v>1014.2</v>
      </c>
      <c r="F486" s="193">
        <f t="shared" si="87"/>
        <v>291.60000000000002</v>
      </c>
      <c r="G486" s="193">
        <f>AVERAGE(G302:G306)</f>
        <v>10.199999999999999</v>
      </c>
      <c r="H486" s="37">
        <f t="shared" si="87"/>
        <v>3686</v>
      </c>
    </row>
    <row r="487" spans="1:8" ht="11.25" customHeight="1" x14ac:dyDescent="0.25">
      <c r="A487" s="473" t="s">
        <v>207</v>
      </c>
      <c r="B487" s="193">
        <f>AVERAGE(B307:B311)</f>
        <v>209.8</v>
      </c>
      <c r="C487" s="193">
        <f t="shared" ref="C487:H487" si="88">AVERAGE(C307:C311)</f>
        <v>138.6</v>
      </c>
      <c r="D487" s="193">
        <f t="shared" si="88"/>
        <v>74.2</v>
      </c>
      <c r="E487" s="193">
        <f t="shared" si="88"/>
        <v>232.2</v>
      </c>
      <c r="F487" s="193">
        <f t="shared" si="88"/>
        <v>60.8</v>
      </c>
      <c r="G487" s="193" t="s">
        <v>29</v>
      </c>
      <c r="H487" s="37">
        <f t="shared" si="88"/>
        <v>715.6</v>
      </c>
    </row>
    <row r="488" spans="1:8" ht="11.25" customHeight="1" x14ac:dyDescent="0.25">
      <c r="A488" s="473" t="s">
        <v>238</v>
      </c>
      <c r="B488" s="193">
        <f>AVERAGE(B312:B316)</f>
        <v>541.20000000000005</v>
      </c>
      <c r="C488" s="193">
        <f t="shared" ref="C488:H488" si="89">AVERAGE(C312:C316)</f>
        <v>239.2</v>
      </c>
      <c r="D488" s="193">
        <f t="shared" si="89"/>
        <v>570.20000000000005</v>
      </c>
      <c r="E488" s="193">
        <f t="shared" si="89"/>
        <v>591.79999999999995</v>
      </c>
      <c r="F488" s="193">
        <f t="shared" si="89"/>
        <v>168.2</v>
      </c>
      <c r="G488" s="193">
        <f t="shared" si="89"/>
        <v>10</v>
      </c>
      <c r="H488" s="37">
        <f t="shared" si="89"/>
        <v>2110.6</v>
      </c>
    </row>
    <row r="489" spans="1:8" ht="11.25" customHeight="1" x14ac:dyDescent="0.25">
      <c r="A489" s="477">
        <v>2006</v>
      </c>
      <c r="B489" s="197">
        <f t="shared" ref="B489:H489" si="90">B317</f>
        <v>1042</v>
      </c>
      <c r="C489" s="197">
        <f t="shared" si="90"/>
        <v>1016</v>
      </c>
      <c r="D489" s="197">
        <f t="shared" si="90"/>
        <v>267</v>
      </c>
      <c r="E489" s="197">
        <f t="shared" si="90"/>
        <v>517</v>
      </c>
      <c r="F489" s="197">
        <f t="shared" si="90"/>
        <v>385</v>
      </c>
      <c r="G489" s="197">
        <f t="shared" si="90"/>
        <v>5</v>
      </c>
      <c r="H489" s="37">
        <f t="shared" si="90"/>
        <v>3227</v>
      </c>
    </row>
    <row r="490" spans="1:8" ht="11.25" customHeight="1" x14ac:dyDescent="0.25">
      <c r="A490" s="477">
        <v>2007</v>
      </c>
      <c r="B490" s="197">
        <f t="shared" ref="B490:H490" si="91">B318</f>
        <v>566</v>
      </c>
      <c r="C490" s="197">
        <f t="shared" si="91"/>
        <v>531</v>
      </c>
      <c r="D490" s="197">
        <f t="shared" si="91"/>
        <v>593</v>
      </c>
      <c r="E490" s="197">
        <f t="shared" si="91"/>
        <v>465</v>
      </c>
      <c r="F490" s="197">
        <f t="shared" si="91"/>
        <v>39</v>
      </c>
      <c r="G490" s="197">
        <f t="shared" si="91"/>
        <v>0</v>
      </c>
      <c r="H490" s="37">
        <f t="shared" si="91"/>
        <v>2194</v>
      </c>
    </row>
    <row r="491" spans="1:8" ht="11.25" customHeight="1" x14ac:dyDescent="0.25">
      <c r="A491" s="477">
        <v>2008</v>
      </c>
      <c r="B491" s="197">
        <f t="shared" ref="B491:H491" si="92">B319</f>
        <v>582</v>
      </c>
      <c r="C491" s="197">
        <f t="shared" si="92"/>
        <v>840</v>
      </c>
      <c r="D491" s="197">
        <f t="shared" si="92"/>
        <v>361</v>
      </c>
      <c r="E491" s="197">
        <f t="shared" si="92"/>
        <v>510</v>
      </c>
      <c r="F491" s="197">
        <f t="shared" si="92"/>
        <v>165</v>
      </c>
      <c r="G491" s="197">
        <f t="shared" si="92"/>
        <v>1</v>
      </c>
      <c r="H491" s="37">
        <f t="shared" si="92"/>
        <v>2458</v>
      </c>
    </row>
    <row r="492" spans="1:8" ht="11.25" customHeight="1" x14ac:dyDescent="0.25">
      <c r="A492" s="477">
        <v>2009</v>
      </c>
      <c r="B492" s="197">
        <f t="shared" ref="B492:H492" si="93">B320</f>
        <v>628</v>
      </c>
      <c r="C492" s="197">
        <f t="shared" si="93"/>
        <v>887</v>
      </c>
      <c r="D492" s="197">
        <f t="shared" si="93"/>
        <v>924</v>
      </c>
      <c r="E492" s="197">
        <f t="shared" si="93"/>
        <v>767</v>
      </c>
      <c r="F492" s="197">
        <f t="shared" si="93"/>
        <v>152</v>
      </c>
      <c r="G492" s="197">
        <f t="shared" si="93"/>
        <v>4</v>
      </c>
      <c r="H492" s="37">
        <f t="shared" si="93"/>
        <v>3358</v>
      </c>
    </row>
    <row r="493" spans="1:8" ht="11.25" customHeight="1" x14ac:dyDescent="0.25">
      <c r="A493" s="477">
        <v>2010</v>
      </c>
      <c r="B493" s="197">
        <f t="shared" ref="B493:H493" si="94">B321</f>
        <v>757</v>
      </c>
      <c r="C493" s="197">
        <f t="shared" si="94"/>
        <v>1503</v>
      </c>
      <c r="D493" s="197">
        <f t="shared" si="94"/>
        <v>820</v>
      </c>
      <c r="E493" s="197">
        <f t="shared" si="94"/>
        <v>714</v>
      </c>
      <c r="F493" s="197">
        <f t="shared" si="94"/>
        <v>131</v>
      </c>
      <c r="G493" s="197">
        <f t="shared" si="94"/>
        <v>4</v>
      </c>
      <c r="H493" s="37">
        <f t="shared" si="94"/>
        <v>3925</v>
      </c>
    </row>
    <row r="494" spans="1:8" ht="11.25" customHeight="1" x14ac:dyDescent="0.25">
      <c r="A494" s="477">
        <v>2011</v>
      </c>
      <c r="B494" s="197">
        <f t="shared" ref="B494:H494" si="95">B322</f>
        <v>825</v>
      </c>
      <c r="C494" s="197">
        <f t="shared" si="95"/>
        <v>1015</v>
      </c>
      <c r="D494" s="197">
        <f t="shared" si="95"/>
        <v>642</v>
      </c>
      <c r="E494" s="197">
        <f t="shared" si="95"/>
        <v>375</v>
      </c>
      <c r="F494" s="197">
        <f t="shared" si="95"/>
        <v>96</v>
      </c>
      <c r="G494" s="197">
        <f t="shared" si="95"/>
        <v>1</v>
      </c>
      <c r="H494" s="37">
        <f t="shared" si="95"/>
        <v>2953</v>
      </c>
    </row>
    <row r="495" spans="1:8" ht="11.25" customHeight="1" x14ac:dyDescent="0.25">
      <c r="A495" s="477">
        <v>2012</v>
      </c>
      <c r="B495" s="197">
        <f t="shared" ref="B495:H495" si="96">B323</f>
        <v>571</v>
      </c>
      <c r="C495" s="197">
        <f t="shared" si="96"/>
        <v>1201</v>
      </c>
      <c r="D495" s="197">
        <f t="shared" si="96"/>
        <v>717</v>
      </c>
      <c r="E495" s="197">
        <f t="shared" si="96"/>
        <v>562</v>
      </c>
      <c r="F495" s="197">
        <f t="shared" si="96"/>
        <v>385</v>
      </c>
      <c r="G495" s="197">
        <f t="shared" si="96"/>
        <v>4</v>
      </c>
      <c r="H495" s="37">
        <f t="shared" si="96"/>
        <v>3436</v>
      </c>
    </row>
    <row r="496" spans="1:8" ht="11.25" customHeight="1" x14ac:dyDescent="0.25">
      <c r="A496" s="477">
        <v>2013</v>
      </c>
      <c r="B496" s="197">
        <f t="shared" ref="B496:H501" si="97">B324</f>
        <v>1111</v>
      </c>
      <c r="C496" s="197">
        <f t="shared" si="97"/>
        <v>874</v>
      </c>
      <c r="D496" s="197">
        <f t="shared" si="97"/>
        <v>887</v>
      </c>
      <c r="E496" s="197">
        <f t="shared" si="97"/>
        <v>1044</v>
      </c>
      <c r="F496" s="197">
        <f t="shared" si="97"/>
        <v>275</v>
      </c>
      <c r="G496" s="197">
        <f t="shared" si="97"/>
        <v>0</v>
      </c>
      <c r="H496" s="37">
        <f t="shared" si="97"/>
        <v>4191</v>
      </c>
    </row>
    <row r="497" spans="1:8" ht="11.25" customHeight="1" x14ac:dyDescent="0.25">
      <c r="A497" s="477">
        <v>2014</v>
      </c>
      <c r="B497" s="197">
        <f t="shared" si="97"/>
        <v>1490</v>
      </c>
      <c r="C497" s="197">
        <f t="shared" si="97"/>
        <v>611</v>
      </c>
      <c r="D497" s="197">
        <f t="shared" si="97"/>
        <v>1065</v>
      </c>
      <c r="E497" s="197">
        <f t="shared" si="97"/>
        <v>856</v>
      </c>
      <c r="F497" s="197">
        <f t="shared" si="97"/>
        <v>343</v>
      </c>
      <c r="G497" s="197">
        <f t="shared" si="97"/>
        <v>0</v>
      </c>
      <c r="H497" s="37">
        <f t="shared" si="97"/>
        <v>4365</v>
      </c>
    </row>
    <row r="498" spans="1:8" ht="11.25" customHeight="1" x14ac:dyDescent="0.25">
      <c r="A498" s="477">
        <v>2015</v>
      </c>
      <c r="B498" s="197">
        <f t="shared" si="97"/>
        <v>1850</v>
      </c>
      <c r="C498" s="197">
        <f t="shared" si="97"/>
        <v>978</v>
      </c>
      <c r="D498" s="197">
        <f t="shared" si="97"/>
        <v>939</v>
      </c>
      <c r="E498" s="197">
        <f t="shared" si="97"/>
        <v>798</v>
      </c>
      <c r="F498" s="197">
        <f t="shared" si="97"/>
        <v>356</v>
      </c>
      <c r="G498" s="197">
        <f t="shared" si="97"/>
        <v>0</v>
      </c>
      <c r="H498" s="37">
        <f t="shared" si="97"/>
        <v>4921</v>
      </c>
    </row>
    <row r="499" spans="1:8" ht="11.25" customHeight="1" x14ac:dyDescent="0.25">
      <c r="A499" s="477">
        <v>2016</v>
      </c>
      <c r="B499" s="197">
        <f t="shared" si="97"/>
        <v>1000</v>
      </c>
      <c r="C499" s="197">
        <f t="shared" si="97"/>
        <v>722</v>
      </c>
      <c r="D499" s="197">
        <f t="shared" si="97"/>
        <v>440</v>
      </c>
      <c r="E499" s="197">
        <f t="shared" si="97"/>
        <v>359</v>
      </c>
      <c r="F499" s="197">
        <f t="shared" si="97"/>
        <v>2</v>
      </c>
      <c r="G499" s="197">
        <f t="shared" si="97"/>
        <v>0</v>
      </c>
      <c r="H499" s="37">
        <f t="shared" si="97"/>
        <v>2523</v>
      </c>
    </row>
    <row r="500" spans="1:8" ht="11.25" customHeight="1" x14ac:dyDescent="0.25">
      <c r="A500" s="477">
        <v>2017</v>
      </c>
      <c r="B500" s="197">
        <f t="shared" si="97"/>
        <v>887</v>
      </c>
      <c r="C500" s="197">
        <f t="shared" si="97"/>
        <v>812</v>
      </c>
      <c r="D500" s="197">
        <f t="shared" si="97"/>
        <v>723</v>
      </c>
      <c r="E500" s="197">
        <f t="shared" si="97"/>
        <v>887</v>
      </c>
      <c r="F500" s="197">
        <f t="shared" si="97"/>
        <v>369</v>
      </c>
      <c r="G500" s="197">
        <f t="shared" si="97"/>
        <v>0</v>
      </c>
      <c r="H500" s="37">
        <f t="shared" si="97"/>
        <v>3678</v>
      </c>
    </row>
    <row r="501" spans="1:8" s="358" customFormat="1" ht="11.25" customHeight="1" x14ac:dyDescent="0.25">
      <c r="A501" s="157">
        <v>2018</v>
      </c>
      <c r="B501" s="197">
        <f t="shared" si="97"/>
        <v>869</v>
      </c>
      <c r="C501" s="197">
        <f t="shared" si="97"/>
        <v>996</v>
      </c>
      <c r="D501" s="197">
        <f t="shared" si="97"/>
        <v>712</v>
      </c>
      <c r="E501" s="197">
        <f t="shared" si="97"/>
        <v>370</v>
      </c>
      <c r="F501" s="197">
        <f t="shared" si="97"/>
        <v>181</v>
      </c>
      <c r="G501" s="197">
        <f t="shared" si="97"/>
        <v>0</v>
      </c>
      <c r="H501" s="37">
        <f t="shared" si="97"/>
        <v>3128</v>
      </c>
    </row>
    <row r="502" spans="1:8" s="358" customFormat="1" ht="11.25" customHeight="1" x14ac:dyDescent="0.25">
      <c r="A502" s="157">
        <v>2019</v>
      </c>
      <c r="B502" s="197">
        <f t="shared" ref="B502:H503" si="98">B330</f>
        <v>477</v>
      </c>
      <c r="C502" s="197">
        <f t="shared" si="98"/>
        <v>433</v>
      </c>
      <c r="D502" s="197">
        <f t="shared" si="98"/>
        <v>1135</v>
      </c>
      <c r="E502" s="197">
        <f t="shared" si="98"/>
        <v>521</v>
      </c>
      <c r="F502" s="197">
        <f t="shared" si="98"/>
        <v>257</v>
      </c>
      <c r="G502" s="197">
        <f t="shared" si="98"/>
        <v>0</v>
      </c>
      <c r="H502" s="37">
        <f t="shared" si="98"/>
        <v>2823</v>
      </c>
    </row>
    <row r="503" spans="1:8" ht="11.25" customHeight="1" x14ac:dyDescent="0.25">
      <c r="A503" s="157" t="s">
        <v>393</v>
      </c>
      <c r="B503" s="197">
        <f t="shared" si="98"/>
        <v>108</v>
      </c>
      <c r="C503" s="197">
        <f t="shared" si="98"/>
        <v>176</v>
      </c>
      <c r="D503" s="197">
        <f t="shared" si="98"/>
        <v>513</v>
      </c>
      <c r="E503" s="197">
        <f t="shared" si="98"/>
        <v>372</v>
      </c>
      <c r="F503" s="197">
        <f t="shared" si="98"/>
        <v>58</v>
      </c>
      <c r="G503" s="197">
        <f t="shared" si="98"/>
        <v>0</v>
      </c>
      <c r="H503" s="37">
        <f t="shared" si="98"/>
        <v>1227</v>
      </c>
    </row>
    <row r="504" spans="1:8" ht="24" customHeight="1" x14ac:dyDescent="0.25">
      <c r="A504" s="606" t="s">
        <v>98</v>
      </c>
      <c r="B504" s="606"/>
      <c r="C504" s="606"/>
      <c r="D504" s="606"/>
      <c r="E504" s="606"/>
      <c r="F504" s="606"/>
      <c r="G504" s="606"/>
      <c r="H504" s="606"/>
    </row>
    <row r="505" spans="1:8" ht="11.25" customHeight="1" x14ac:dyDescent="0.25">
      <c r="A505" s="613" t="s">
        <v>48</v>
      </c>
      <c r="B505" s="613"/>
      <c r="C505" s="613"/>
      <c r="D505" s="613"/>
      <c r="E505" s="613"/>
      <c r="F505" s="613"/>
      <c r="G505" s="613"/>
      <c r="H505" s="613"/>
    </row>
    <row r="506" spans="1:8" ht="11.25" customHeight="1" x14ac:dyDescent="0.25">
      <c r="A506" s="614" t="s">
        <v>247</v>
      </c>
      <c r="B506" s="614"/>
      <c r="C506" s="614"/>
      <c r="D506" s="614"/>
      <c r="E506" s="614"/>
      <c r="F506" s="614"/>
      <c r="G506" s="614"/>
      <c r="H506" s="614"/>
    </row>
    <row r="507" spans="1:8" ht="21.75" customHeight="1" x14ac:dyDescent="0.25">
      <c r="A507" s="614"/>
      <c r="B507" s="614"/>
      <c r="C507" s="614"/>
      <c r="D507" s="614"/>
      <c r="E507" s="614"/>
      <c r="F507" s="614"/>
      <c r="G507" s="614"/>
      <c r="H507" s="614"/>
    </row>
    <row r="508" spans="1:8" ht="11.25" customHeight="1" x14ac:dyDescent="0.25"/>
    <row r="509" spans="1:8" ht="11.25" customHeight="1" x14ac:dyDescent="0.25"/>
    <row r="510" spans="1:8" ht="11.25" customHeight="1" x14ac:dyDescent="0.25"/>
    <row r="511" spans="1:8" ht="11.25" customHeight="1" x14ac:dyDescent="0.25"/>
    <row r="512" spans="1:8" ht="11.25" customHeight="1" x14ac:dyDescent="0.25"/>
    <row r="513" ht="11.25" customHeight="1" x14ac:dyDescent="0.25"/>
    <row r="514" ht="11.25" customHeight="1" x14ac:dyDescent="0.25"/>
    <row r="515" ht="11.25" customHeight="1" x14ac:dyDescent="0.25"/>
    <row r="516" ht="11.25" customHeight="1" x14ac:dyDescent="0.25"/>
    <row r="517" ht="11.25" customHeight="1" x14ac:dyDescent="0.25"/>
    <row r="518" ht="11.25" customHeight="1" x14ac:dyDescent="0.25"/>
    <row r="519" ht="11.25" customHeight="1" x14ac:dyDescent="0.25"/>
    <row r="520" ht="11.25" customHeight="1" x14ac:dyDescent="0.25"/>
    <row r="521" ht="11.25" customHeight="1" x14ac:dyDescent="0.25"/>
    <row r="522" ht="11.25" customHeight="1" x14ac:dyDescent="0.25"/>
    <row r="523" ht="11.25" customHeight="1" x14ac:dyDescent="0.25"/>
    <row r="524" ht="11.25" customHeight="1" x14ac:dyDescent="0.25"/>
    <row r="525" ht="11.25" customHeight="1" x14ac:dyDescent="0.25"/>
    <row r="526" ht="11.25" customHeight="1" x14ac:dyDescent="0.25"/>
    <row r="527" ht="11.25" customHeight="1" x14ac:dyDescent="0.25"/>
    <row r="528" ht="11.25" customHeight="1" x14ac:dyDescent="0.25"/>
    <row r="529" ht="11.25" customHeight="1" x14ac:dyDescent="0.25"/>
    <row r="530" ht="11.25" customHeight="1" x14ac:dyDescent="0.25"/>
    <row r="531" ht="11.25" customHeight="1" x14ac:dyDescent="0.25"/>
    <row r="532" ht="11.25" customHeight="1" x14ac:dyDescent="0.25"/>
    <row r="533" ht="11.25" customHeight="1" x14ac:dyDescent="0.25"/>
    <row r="534" ht="11.25" customHeight="1" x14ac:dyDescent="0.25"/>
    <row r="535" ht="11.25" customHeight="1" x14ac:dyDescent="0.25"/>
    <row r="536" ht="11.25" customHeight="1" x14ac:dyDescent="0.25"/>
    <row r="537" ht="11.25" customHeight="1" x14ac:dyDescent="0.25"/>
  </sheetData>
  <mergeCells count="10">
    <mergeCell ref="A1:H2"/>
    <mergeCell ref="A334:H334"/>
    <mergeCell ref="A332:H333"/>
    <mergeCell ref="A335:H336"/>
    <mergeCell ref="A342:H343"/>
    <mergeCell ref="A480:H481"/>
    <mergeCell ref="A411:H412"/>
    <mergeCell ref="A505:H505"/>
    <mergeCell ref="A506:H507"/>
    <mergeCell ref="A504:H504"/>
  </mergeCells>
  <pageMargins left="0.7" right="0.7" top="0.75" bottom="0.75" header="0.3" footer="0.3"/>
  <pageSetup scale="94" orientation="portrait" r:id="rId1"/>
  <rowBreaks count="2" manualBreakCount="2">
    <brk id="410" max="7" man="1"/>
    <brk id="479" max="7"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58"/>
  <dimension ref="A1:Q513"/>
  <sheetViews>
    <sheetView showGridLines="0" topLeftCell="A471" zoomScaleNormal="100" zoomScaleSheetLayoutView="100" workbookViewId="0">
      <selection sqref="A1:J2"/>
    </sheetView>
  </sheetViews>
  <sheetFormatPr defaultRowHeight="15.75" x14ac:dyDescent="0.25"/>
  <cols>
    <col min="1" max="1" width="9" style="340"/>
    <col min="2" max="2" width="6.875" style="340" bestFit="1" customWidth="1"/>
    <col min="3" max="3" width="7.25" style="340" bestFit="1" customWidth="1"/>
    <col min="4" max="6" width="6.5" style="340" bestFit="1" customWidth="1"/>
    <col min="7" max="7" width="5.75" style="340" bestFit="1" customWidth="1"/>
    <col min="8" max="8" width="7.25" style="340" bestFit="1" customWidth="1"/>
    <col min="9" max="9" width="6.375" style="340" customWidth="1"/>
    <col min="10" max="10" width="5.75" style="340" bestFit="1" customWidth="1"/>
    <col min="11" max="14" width="7.25" style="340" bestFit="1" customWidth="1"/>
    <col min="15" max="15" width="5.75" style="340" bestFit="1" customWidth="1"/>
    <col min="16" max="16" width="8.375" style="340" bestFit="1" customWidth="1"/>
    <col min="17" max="16384" width="9" style="340"/>
  </cols>
  <sheetData>
    <row r="1" spans="1:16" ht="11.25" customHeight="1" x14ac:dyDescent="0.25">
      <c r="A1" s="523" t="s">
        <v>311</v>
      </c>
      <c r="B1" s="523"/>
      <c r="C1" s="523"/>
      <c r="D1" s="523"/>
      <c r="E1" s="523"/>
      <c r="F1" s="523"/>
      <c r="G1" s="523"/>
      <c r="H1" s="523"/>
      <c r="I1" s="523"/>
      <c r="J1" s="523"/>
      <c r="K1" s="523"/>
      <c r="L1" s="523"/>
      <c r="M1" s="523"/>
      <c r="N1" s="523"/>
      <c r="O1" s="523"/>
      <c r="P1" s="523"/>
    </row>
    <row r="2" spans="1:16" ht="11.25" customHeight="1" x14ac:dyDescent="0.25">
      <c r="A2" s="469" t="s">
        <v>33</v>
      </c>
      <c r="B2" s="471" t="s">
        <v>35</v>
      </c>
      <c r="C2" s="471" t="s">
        <v>36</v>
      </c>
      <c r="D2" s="471" t="s">
        <v>99</v>
      </c>
      <c r="E2" s="471" t="s">
        <v>100</v>
      </c>
      <c r="F2" s="471" t="s">
        <v>39</v>
      </c>
      <c r="G2" s="471" t="s">
        <v>40</v>
      </c>
      <c r="H2" s="471" t="s">
        <v>28</v>
      </c>
      <c r="I2" s="471"/>
      <c r="J2" s="471" t="s">
        <v>35</v>
      </c>
      <c r="K2" s="471" t="s">
        <v>36</v>
      </c>
      <c r="L2" s="471" t="s">
        <v>101</v>
      </c>
      <c r="M2" s="471" t="s">
        <v>102</v>
      </c>
      <c r="N2" s="471" t="s">
        <v>39</v>
      </c>
      <c r="O2" s="471" t="s">
        <v>40</v>
      </c>
      <c r="P2" s="471" t="s">
        <v>28</v>
      </c>
    </row>
    <row r="3" spans="1:16" ht="11.25" customHeight="1" x14ac:dyDescent="0.25">
      <c r="B3" s="583" t="s">
        <v>67</v>
      </c>
      <c r="C3" s="583"/>
      <c r="D3" s="583"/>
      <c r="E3" s="583"/>
      <c r="F3" s="583"/>
      <c r="G3" s="583"/>
      <c r="H3" s="583"/>
      <c r="I3" s="19"/>
      <c r="J3" s="583" t="s">
        <v>68</v>
      </c>
      <c r="K3" s="583"/>
      <c r="L3" s="583"/>
      <c r="M3" s="583"/>
      <c r="N3" s="583"/>
      <c r="O3" s="583"/>
      <c r="P3" s="583"/>
    </row>
    <row r="4" spans="1:16" ht="11.25" customHeight="1" x14ac:dyDescent="0.25">
      <c r="A4" s="116" t="s">
        <v>95</v>
      </c>
    </row>
    <row r="5" spans="1:16" ht="11.25" customHeight="1" x14ac:dyDescent="0.25">
      <c r="A5" s="473">
        <v>1976</v>
      </c>
      <c r="B5" s="193">
        <f>IF(AND('A-13'!B6="-",'A-13'!B53="-",'A-13'!B100="-"),"-",SUM('A-13'!B6,'A-13'!B53,'A-13'!B100))</f>
        <v>57430</v>
      </c>
      <c r="C5" s="193">
        <f>IF(AND('A-13'!C6="-",'A-13'!C53="-",'A-13'!C100="-"),"-",SUM('A-13'!C6,'A-13'!C53,'A-13'!C100))</f>
        <v>76322</v>
      </c>
      <c r="D5" s="193">
        <f>IF(AND('A-13'!D6="-",'A-13'!D53="-",'A-13'!D100="-"),"-",SUM('A-13'!D6,'A-13'!D53,'A-13'!D100))</f>
        <v>81854</v>
      </c>
      <c r="E5" s="193">
        <f>IF(AND('A-13'!E6="-",'A-13'!E53="-",'A-13'!E100="-"),"-",SUM('A-13'!E6,'A-13'!E53,'A-13'!E100))</f>
        <v>53648</v>
      </c>
      <c r="F5" s="193">
        <f>IF(AND('A-13'!F6="-",'A-13'!F53="-",'A-13'!F100="-"),"-",SUM('A-13'!F6,'A-13'!F53,'A-13'!F100))</f>
        <v>19697</v>
      </c>
      <c r="G5" s="193" t="s">
        <v>29</v>
      </c>
      <c r="H5" s="193">
        <f>IF(AND('A-13'!G6="-",'A-13'!G53="-",'A-13'!G100="-"),"-",SUM('A-13'!G6,'A-13'!G53,'A-13'!G100))</f>
        <v>288951</v>
      </c>
      <c r="J5" s="193" t="s">
        <v>29</v>
      </c>
      <c r="K5" s="193">
        <v>134856</v>
      </c>
      <c r="L5" s="193">
        <f>IF(AND('A-13'!K6="-",'A-13'!K53="-",'A-13'!K100="-"),"-",SUM('A-13'!K6,'A-13'!K53,'A-13'!K100))</f>
        <v>499452</v>
      </c>
      <c r="M5" s="193">
        <f>IF(AND('A-13'!L6="-",'A-13'!L53="-",'A-13'!L100="-"),"-",SUM('A-13'!L6,'A-13'!L53,'A-13'!L100))</f>
        <v>258775</v>
      </c>
      <c r="N5" s="193">
        <f>IF(AND('A-13'!M6="-",'A-13'!M53="-",'A-13'!M100="-"),"-",SUM('A-13'!M6,'A-13'!M53,'A-13'!M100))</f>
        <v>128020</v>
      </c>
      <c r="O5" s="193" t="s">
        <v>29</v>
      </c>
      <c r="P5" s="193">
        <f>IF(AND('A-13'!N6="-",'A-13'!N53="-",'A-13'!N100="-"),"-",SUM('A-13'!N6,'A-13'!N53,'A-13'!N100))</f>
        <v>1021103</v>
      </c>
    </row>
    <row r="6" spans="1:16" ht="11.25" customHeight="1" x14ac:dyDescent="0.25">
      <c r="A6" s="473">
        <v>1977</v>
      </c>
      <c r="B6" s="193">
        <f>IF(AND('A-13'!B7="-",'A-13'!B54="-",'A-13'!B101="-"),"-",SUM('A-13'!B7,'A-13'!B54,'A-13'!B101))</f>
        <v>46722</v>
      </c>
      <c r="C6" s="193">
        <f>IF(AND('A-13'!C7="-",'A-13'!C54="-",'A-13'!C101="-"),"-",SUM('A-13'!C7,'A-13'!C54,'A-13'!C101))</f>
        <v>25453</v>
      </c>
      <c r="D6" s="193">
        <f>IF(AND('A-13'!D7="-",'A-13'!D54="-",'A-13'!D101="-"),"-",SUM('A-13'!D7,'A-13'!D54,'A-13'!D101))</f>
        <v>56333</v>
      </c>
      <c r="E6" s="193">
        <f>IF(AND('A-13'!E7="-",'A-13'!E54="-",'A-13'!E101="-"),"-",SUM('A-13'!E7,'A-13'!E54,'A-13'!E101))</f>
        <v>29972</v>
      </c>
      <c r="F6" s="193">
        <f>IF(AND('A-13'!F7="-",'A-13'!F54="-",'A-13'!F101="-"),"-",SUM('A-13'!F7,'A-13'!F54,'A-13'!F101))</f>
        <v>18689</v>
      </c>
      <c r="G6" s="193" t="s">
        <v>29</v>
      </c>
      <c r="H6" s="193">
        <f>IF(AND('A-13'!G7="-",'A-13'!G54="-",'A-13'!G101="-"),"-",SUM('A-13'!G7,'A-13'!G54,'A-13'!G101))</f>
        <v>177169</v>
      </c>
      <c r="J6" s="193" t="s">
        <v>29</v>
      </c>
      <c r="K6" s="193" t="s">
        <v>29</v>
      </c>
      <c r="L6" s="193">
        <f>IF(AND('A-13'!K7="-",'A-13'!K54="-",'A-13'!K101="-"),"-",SUM('A-13'!K7,'A-13'!K54,'A-13'!K101))</f>
        <v>306448</v>
      </c>
      <c r="M6" s="193">
        <f>IF(AND('A-13'!L7="-",'A-13'!L54="-",'A-13'!L101="-"),"-",SUM('A-13'!L7,'A-13'!L54,'A-13'!L101))</f>
        <v>167596</v>
      </c>
      <c r="N6" s="193">
        <f>IF(AND('A-13'!M7="-",'A-13'!M54="-",'A-13'!M101="-"),"-",SUM('A-13'!M7,'A-13'!M54,'A-13'!M101))</f>
        <v>82743</v>
      </c>
      <c r="O6" s="193" t="s">
        <v>29</v>
      </c>
      <c r="P6" s="193">
        <f>IF(AND('A-13'!N7="-",'A-13'!N54="-",'A-13'!N101="-"),"-",SUM('A-13'!N7,'A-13'!N54,'A-13'!N101))</f>
        <v>556787</v>
      </c>
    </row>
    <row r="7" spans="1:16" ht="11.25" customHeight="1" x14ac:dyDescent="0.25">
      <c r="A7" s="473">
        <v>1978</v>
      </c>
      <c r="B7" s="193">
        <f>IF(AND('A-13'!B8="-",'A-13'!B55="-",'A-13'!B102="-"),"-",SUM('A-13'!B8,'A-13'!B55,'A-13'!B102))</f>
        <v>23878</v>
      </c>
      <c r="C7" s="193">
        <f>IF(AND('A-13'!C8="-",'A-13'!C55="-",'A-13'!C102="-"),"-",SUM('A-13'!C8,'A-13'!C55,'A-13'!C102))</f>
        <v>19173</v>
      </c>
      <c r="D7" s="193">
        <f>IF(AND('A-13'!D8="-",'A-13'!D55="-",'A-13'!D102="-"),"-",SUM('A-13'!D8,'A-13'!D55,'A-13'!D102))</f>
        <v>42433</v>
      </c>
      <c r="E7" s="193">
        <f>IF(AND('A-13'!E8="-",'A-13'!E55="-",'A-13'!E102="-"),"-",SUM('A-13'!E8,'A-13'!E55,'A-13'!E102))</f>
        <v>24994</v>
      </c>
      <c r="F7" s="193">
        <f>IF(AND('A-13'!F8="-",'A-13'!F55="-",'A-13'!F102="-"),"-",SUM('A-13'!F8,'A-13'!F55,'A-13'!F102))</f>
        <v>8518</v>
      </c>
      <c r="G7" s="193" t="s">
        <v>29</v>
      </c>
      <c r="H7" s="193">
        <f>IF(AND('A-13'!G8="-",'A-13'!G55="-",'A-13'!G102="-"),"-",SUM('A-13'!G8,'A-13'!G55,'A-13'!G102))</f>
        <v>118996</v>
      </c>
      <c r="J7" s="193" t="s">
        <v>29</v>
      </c>
      <c r="K7" s="193" t="s">
        <v>29</v>
      </c>
      <c r="L7" s="193">
        <f>IF(AND('A-13'!K8="-",'A-13'!K55="-",'A-13'!K102="-"),"-",SUM('A-13'!K8,'A-13'!K55,'A-13'!K102))</f>
        <v>256721</v>
      </c>
      <c r="M7" s="193">
        <f>IF(AND('A-13'!L8="-",'A-13'!L55="-",'A-13'!L102="-"),"-",SUM('A-13'!L8,'A-13'!L55,'A-13'!L102))</f>
        <v>100315</v>
      </c>
      <c r="N7" s="193">
        <f>IF(AND('A-13'!M8="-",'A-13'!M55="-",'A-13'!M102="-"),"-",SUM('A-13'!M8,'A-13'!M55,'A-13'!M102))</f>
        <v>97811</v>
      </c>
      <c r="O7" s="193" t="s">
        <v>29</v>
      </c>
      <c r="P7" s="193">
        <f>IF(AND('A-13'!N8="-",'A-13'!N55="-",'A-13'!N102="-"),"-",SUM('A-13'!N8,'A-13'!N55,'A-13'!N102))</f>
        <v>454847</v>
      </c>
    </row>
    <row r="8" spans="1:16" ht="11.25" customHeight="1" x14ac:dyDescent="0.25">
      <c r="A8" s="473">
        <v>1979</v>
      </c>
      <c r="B8" s="193">
        <f>IF(AND('A-13'!B9="-",'A-13'!B56="-",'A-13'!B103="-"),"-",SUM('A-13'!B9,'A-13'!B56,'A-13'!B103))</f>
        <v>43379</v>
      </c>
      <c r="C8" s="193">
        <f>IF(AND('A-13'!C9="-",'A-13'!C56="-",'A-13'!C103="-"),"-",SUM('A-13'!C9,'A-13'!C56,'A-13'!C103))</f>
        <v>299</v>
      </c>
      <c r="D8" s="193">
        <f>IF(AND('A-13'!D9="-",'A-13'!D56="-",'A-13'!D103="-"),"-",SUM('A-13'!D9,'A-13'!D56,'A-13'!D103))</f>
        <v>33803</v>
      </c>
      <c r="E8" s="193">
        <f>IF(AND('A-13'!E9="-",'A-13'!E56="-",'A-13'!E103="-"),"-",SUM('A-13'!E9,'A-13'!E56,'A-13'!E103))</f>
        <v>35078</v>
      </c>
      <c r="F8" s="193">
        <f>IF(AND('A-13'!F9="-",'A-13'!F56="-",'A-13'!F103="-"),"-",SUM('A-13'!F9,'A-13'!F56,'A-13'!F103))</f>
        <v>358</v>
      </c>
      <c r="G8" s="193" t="s">
        <v>29</v>
      </c>
      <c r="H8" s="193">
        <f>IF(AND('A-13'!G9="-",'A-13'!G56="-",'A-13'!G103="-"),"-",SUM('A-13'!G9,'A-13'!G56,'A-13'!G103))</f>
        <v>112917</v>
      </c>
      <c r="J8" s="193" t="s">
        <v>29</v>
      </c>
      <c r="K8" s="193" t="s">
        <v>29</v>
      </c>
      <c r="L8" s="193">
        <f>IF(AND('A-13'!K9="-",'A-13'!K56="-",'A-13'!K103="-"),"-",SUM('A-13'!K9,'A-13'!K56,'A-13'!K103))</f>
        <v>285233</v>
      </c>
      <c r="M8" s="193">
        <f>IF(AND('A-13'!L9="-",'A-13'!L56="-",'A-13'!L103="-"),"-",SUM('A-13'!L9,'A-13'!L56,'A-13'!L103))</f>
        <v>229487</v>
      </c>
      <c r="N8" s="193">
        <f>IF(AND('A-13'!M9="-",'A-13'!M56="-",'A-13'!M103="-"),"-",SUM('A-13'!M9,'A-13'!M56,'A-13'!M103))</f>
        <v>2555</v>
      </c>
      <c r="O8" s="193" t="s">
        <v>29</v>
      </c>
      <c r="P8" s="193">
        <f>IF(AND('A-13'!N9="-",'A-13'!N56="-",'A-13'!N103="-"),"-",SUM('A-13'!N9,'A-13'!N56,'A-13'!N103))</f>
        <v>517275</v>
      </c>
    </row>
    <row r="9" spans="1:16" ht="11.25" customHeight="1" x14ac:dyDescent="0.25">
      <c r="A9" s="473">
        <v>1980</v>
      </c>
      <c r="B9" s="193">
        <f>IF(AND('A-13'!B10="-",'A-13'!B57="-",'A-13'!B104="-"),"-",SUM('A-13'!B10,'A-13'!B57,'A-13'!B104))</f>
        <v>37397</v>
      </c>
      <c r="C9" s="193">
        <f>IF(AND('A-13'!C10="-",'A-13'!C57="-",'A-13'!C104="-"),"-",SUM('A-13'!C10,'A-13'!C57,'A-13'!C104))</f>
        <v>2097</v>
      </c>
      <c r="D9" s="193">
        <f>IF(AND('A-13'!D10="-",'A-13'!D57="-",'A-13'!D104="-"),"-",SUM('A-13'!D10,'A-13'!D57,'A-13'!D104))</f>
        <v>40763</v>
      </c>
      <c r="E9" s="193">
        <f>IF(AND('A-13'!E10="-",'A-13'!E57="-",'A-13'!E104="-"),"-",SUM('A-13'!E10,'A-13'!E57,'A-13'!E104))</f>
        <v>21722</v>
      </c>
      <c r="F9" s="193">
        <f>IF(AND('A-13'!F10="-",'A-13'!F57="-",'A-13'!F104="-"),"-",SUM('A-13'!F10,'A-13'!F57,'A-13'!F104))</f>
        <v>17</v>
      </c>
      <c r="G9" s="193" t="s">
        <v>29</v>
      </c>
      <c r="H9" s="193">
        <f>IF(AND('A-13'!G10="-",'A-13'!G57="-",'A-13'!G104="-"),"-",SUM('A-13'!G10,'A-13'!G57,'A-13'!G104))</f>
        <v>101996</v>
      </c>
      <c r="J9" s="193">
        <v>97</v>
      </c>
      <c r="K9" s="193" t="s">
        <v>29</v>
      </c>
      <c r="L9" s="193">
        <f>IF(AND('A-13'!K10="-",'A-13'!K57="-",'A-13'!K104="-"),"-",SUM('A-13'!K10,'A-13'!K57,'A-13'!K104))</f>
        <v>168781</v>
      </c>
      <c r="M9" s="193">
        <f>IF(AND('A-13'!L10="-",'A-13'!L57="-",'A-13'!L104="-"),"-",SUM('A-13'!L10,'A-13'!L57,'A-13'!L104))</f>
        <v>117825</v>
      </c>
      <c r="N9" s="193">
        <f>IF(AND('A-13'!M10="-",'A-13'!M57="-",'A-13'!M104="-"),"-",SUM('A-13'!M10,'A-13'!M57,'A-13'!M104))</f>
        <v>18</v>
      </c>
      <c r="O9" s="193" t="s">
        <v>29</v>
      </c>
      <c r="P9" s="193">
        <f>IF(AND('A-13'!N10="-",'A-13'!N57="-",'A-13'!N104="-"),"-",SUM('A-13'!N10,'A-13'!N57,'A-13'!N104))</f>
        <v>286721</v>
      </c>
    </row>
    <row r="10" spans="1:16" ht="11.25" customHeight="1" x14ac:dyDescent="0.25">
      <c r="A10" s="473">
        <v>1981</v>
      </c>
      <c r="B10" s="193">
        <f>IF(AND('A-13'!B11="-",'A-13'!B58="-",'A-13'!B105="-"),"-",SUM('A-13'!B11,'A-13'!B58,'A-13'!B105))</f>
        <v>36873</v>
      </c>
      <c r="C10" s="193">
        <f>IF(AND('A-13'!C11="-",'A-13'!C58="-",'A-13'!C105="-"),"-",SUM('A-13'!C11,'A-13'!C58,'A-13'!C105))</f>
        <v>2540</v>
      </c>
      <c r="D10" s="193">
        <f>IF(AND('A-13'!D11="-",'A-13'!D58="-",'A-13'!D105="-"),"-",SUM('A-13'!D11,'A-13'!D58,'A-13'!D105))</f>
        <v>23080</v>
      </c>
      <c r="E10" s="193">
        <f>IF(AND('A-13'!E11="-",'A-13'!E58="-",'A-13'!E105="-"),"-",SUM('A-13'!E11,'A-13'!E58,'A-13'!E105))</f>
        <v>17317</v>
      </c>
      <c r="F10" s="193" t="str">
        <f>IF(AND('A-13'!F11="-",'A-13'!F58="-",'A-13'!F105="-"),"-",SUM('A-13'!F11,'A-13'!F58,'A-13'!F105))</f>
        <v>-</v>
      </c>
      <c r="G10" s="193" t="s">
        <v>29</v>
      </c>
      <c r="H10" s="193">
        <f>IF(AND('A-13'!G11="-",'A-13'!G58="-",'A-13'!G105="-"),"-",SUM('A-13'!G11,'A-13'!G58,'A-13'!G105))</f>
        <v>79810</v>
      </c>
      <c r="J10" s="193" t="s">
        <v>29</v>
      </c>
      <c r="K10" s="193" t="s">
        <v>29</v>
      </c>
      <c r="L10" s="193">
        <f>IF(AND('A-13'!K11="-",'A-13'!K58="-",'A-13'!K105="-"),"-",SUM('A-13'!K11,'A-13'!K58,'A-13'!K105))</f>
        <v>173877</v>
      </c>
      <c r="M10" s="193">
        <f>IF(AND('A-13'!L11="-",'A-13'!L58="-",'A-13'!L105="-"),"-",SUM('A-13'!L11,'A-13'!L58,'A-13'!L105))</f>
        <v>98473</v>
      </c>
      <c r="N10" s="193" t="str">
        <f>IF(AND('A-13'!M11="-",'A-13'!M58="-",'A-13'!M105="-"),"-",SUM('A-13'!M11,'A-13'!M58,'A-13'!M105))</f>
        <v>-</v>
      </c>
      <c r="O10" s="193" t="s">
        <v>29</v>
      </c>
      <c r="P10" s="193">
        <f>IF(AND('A-13'!N11="-",'A-13'!N58="-",'A-13'!N105="-"),"-",SUM('A-13'!N11,'A-13'!N58,'A-13'!N105))</f>
        <v>272350</v>
      </c>
    </row>
    <row r="11" spans="1:16" ht="11.25" customHeight="1" x14ac:dyDescent="0.25">
      <c r="A11" s="473">
        <v>1982</v>
      </c>
      <c r="B11" s="193">
        <f>IF(AND('A-13'!B12="-",'A-13'!B59="-",'A-13'!B106="-"),"-",SUM('A-13'!B12,'A-13'!B59,'A-13'!B106))</f>
        <v>43719</v>
      </c>
      <c r="C11" s="193">
        <f>IF(AND('A-13'!C12="-",'A-13'!C59="-",'A-13'!C106="-"),"-",SUM('A-13'!C12,'A-13'!C59,'A-13'!C106))</f>
        <v>7105</v>
      </c>
      <c r="D11" s="193">
        <f>IF(AND('A-13'!D12="-",'A-13'!D59="-",'A-13'!D106="-"),"-",SUM('A-13'!D12,'A-13'!D59,'A-13'!D106))</f>
        <v>51891</v>
      </c>
      <c r="E11" s="193">
        <f>IF(AND('A-13'!E12="-",'A-13'!E59="-",'A-13'!E106="-"),"-",SUM('A-13'!E12,'A-13'!E59,'A-13'!E106))</f>
        <v>347</v>
      </c>
      <c r="F11" s="193" t="str">
        <f>IF(AND('A-13'!F12="-",'A-13'!F59="-",'A-13'!F106="-"),"-",SUM('A-13'!F12,'A-13'!F59,'A-13'!F106))</f>
        <v>-</v>
      </c>
      <c r="G11" s="193" t="s">
        <v>29</v>
      </c>
      <c r="H11" s="193">
        <f>IF(AND('A-13'!G12="-",'A-13'!G59="-",'A-13'!G106="-"),"-",SUM('A-13'!G12,'A-13'!G59,'A-13'!G106))</f>
        <v>103062</v>
      </c>
      <c r="J11" s="193" t="s">
        <v>29</v>
      </c>
      <c r="K11" s="193" t="s">
        <v>29</v>
      </c>
      <c r="L11" s="193">
        <f>IF(AND('A-13'!K12="-",'A-13'!K59="-",'A-13'!K106="-"),"-",SUM('A-13'!K12,'A-13'!K59,'A-13'!K106))</f>
        <v>179652</v>
      </c>
      <c r="M11" s="193">
        <f>IF(AND('A-13'!L12="-",'A-13'!L59="-",'A-13'!L106="-"),"-",SUM('A-13'!L12,'A-13'!L59,'A-13'!L106))</f>
        <v>13918</v>
      </c>
      <c r="N11" s="193">
        <f>IF(AND('A-13'!M12="-",'A-13'!M59="-",'A-13'!M106="-"),"-",SUM('A-13'!M12,'A-13'!M59,'A-13'!M106))</f>
        <v>159</v>
      </c>
      <c r="O11" s="193" t="s">
        <v>29</v>
      </c>
      <c r="P11" s="193">
        <f>IF(AND('A-13'!N12="-",'A-13'!N59="-",'A-13'!N106="-"),"-",SUM('A-13'!N12,'A-13'!N59,'A-13'!N106))</f>
        <v>193729</v>
      </c>
    </row>
    <row r="12" spans="1:16" ht="11.25" customHeight="1" x14ac:dyDescent="0.25">
      <c r="A12" s="473">
        <v>1983</v>
      </c>
      <c r="B12" s="193">
        <f>IF(AND('A-13'!B13="-",'A-13'!B60="-",'A-13'!B107="-"),"-",SUM('A-13'!B13,'A-13'!B60,'A-13'!B107))</f>
        <v>24243</v>
      </c>
      <c r="C12" s="193">
        <f>IF(AND('A-13'!C13="-",'A-13'!C60="-",'A-13'!C107="-"),"-",SUM('A-13'!C13,'A-13'!C60,'A-13'!C107))</f>
        <v>3892</v>
      </c>
      <c r="D12" s="193">
        <f>IF(AND('A-13'!D13="-",'A-13'!D60="-",'A-13'!D107="-"),"-",SUM('A-13'!D13,'A-13'!D60,'A-13'!D107))</f>
        <v>12894</v>
      </c>
      <c r="E12" s="193">
        <f>IF(AND('A-13'!E13="-",'A-13'!E60="-",'A-13'!E107="-"),"-",SUM('A-13'!E13,'A-13'!E60,'A-13'!E107))</f>
        <v>854</v>
      </c>
      <c r="F12" s="193" t="str">
        <f>IF(AND('A-13'!F13="-",'A-13'!F60="-",'A-13'!F107="-"),"-",SUM('A-13'!F13,'A-13'!F60,'A-13'!F107))</f>
        <v>-</v>
      </c>
      <c r="G12" s="193" t="s">
        <v>29</v>
      </c>
      <c r="H12" s="193">
        <f>IF(AND('A-13'!G13="-",'A-13'!G60="-",'A-13'!G107="-"),"-",SUM('A-13'!G13,'A-13'!G60,'A-13'!G107))</f>
        <v>41883</v>
      </c>
      <c r="J12" s="193" t="s">
        <v>29</v>
      </c>
      <c r="K12" s="193" t="s">
        <v>29</v>
      </c>
      <c r="L12" s="193">
        <f>IF(AND('A-13'!K13="-",'A-13'!K60="-",'A-13'!K107="-"),"-",SUM('A-13'!K13,'A-13'!K60,'A-13'!K107))</f>
        <v>3867</v>
      </c>
      <c r="M12" s="193">
        <f>IF(AND('A-13'!L13="-",'A-13'!L60="-",'A-13'!L107="-"),"-",SUM('A-13'!L13,'A-13'!L60,'A-13'!L107))</f>
        <v>1084</v>
      </c>
      <c r="N12" s="193" t="str">
        <f>IF(AND('A-13'!M13="-",'A-13'!M60="-",'A-13'!M107="-"),"-",SUM('A-13'!M13,'A-13'!M60,'A-13'!M107))</f>
        <v>-</v>
      </c>
      <c r="O12" s="193" t="s">
        <v>29</v>
      </c>
      <c r="P12" s="193">
        <f>IF(AND('A-13'!N13="-",'A-13'!N60="-",'A-13'!N107="-"),"-",SUM('A-13'!N13,'A-13'!N60,'A-13'!N107))</f>
        <v>4951</v>
      </c>
    </row>
    <row r="13" spans="1:16" ht="11.25" customHeight="1" x14ac:dyDescent="0.25">
      <c r="A13" s="473">
        <v>1984</v>
      </c>
      <c r="B13" s="193">
        <f>IF(AND('A-13'!B14="-",'A-13'!B61="-",'A-13'!B108="-"),"-",SUM('A-13'!B14,'A-13'!B61,'A-13'!B108))</f>
        <v>7180</v>
      </c>
      <c r="C13" s="193" t="str">
        <f>IF(AND('A-13'!C14="-",'A-13'!C61="-",'A-13'!C108="-"),"-",SUM('A-13'!C14,'A-13'!C61,'A-13'!C108))</f>
        <v>-</v>
      </c>
      <c r="D13" s="193" t="str">
        <f>IF(AND('A-13'!D14="-",'A-13'!D61="-",'A-13'!D108="-"),"-",SUM('A-13'!D14,'A-13'!D61,'A-13'!D108))</f>
        <v>-</v>
      </c>
      <c r="E13" s="193">
        <f>IF(AND('A-13'!E14="-",'A-13'!E61="-",'A-13'!E108="-"),"-",SUM('A-13'!E14,'A-13'!E61,'A-13'!E108))</f>
        <v>1244</v>
      </c>
      <c r="F13" s="193" t="str">
        <f>IF(AND('A-13'!F14="-",'A-13'!F61="-",'A-13'!F108="-"),"-",SUM('A-13'!F14,'A-13'!F61,'A-13'!F108))</f>
        <v>-</v>
      </c>
      <c r="G13" s="193" t="s">
        <v>29</v>
      </c>
      <c r="H13" s="193">
        <f>IF(AND('A-13'!G14="-",'A-13'!G61="-",'A-13'!G108="-"),"-",SUM('A-13'!G14,'A-13'!G61,'A-13'!G108))</f>
        <v>8424</v>
      </c>
      <c r="J13" s="193" t="s">
        <v>29</v>
      </c>
      <c r="K13" s="193" t="s">
        <v>29</v>
      </c>
      <c r="L13" s="193" t="str">
        <f>IF(AND('A-13'!K14="-",'A-13'!K61="-",'A-13'!K108="-"),"-",SUM('A-13'!K14,'A-13'!K61,'A-13'!K108))</f>
        <v>-</v>
      </c>
      <c r="M13" s="193">
        <f>IF(AND('A-13'!L14="-",'A-13'!L61="-",'A-13'!L108="-"),"-",SUM('A-13'!L14,'A-13'!L61,'A-13'!L108))</f>
        <v>16441</v>
      </c>
      <c r="N13" s="193" t="str">
        <f>IF(AND('A-13'!M14="-",'A-13'!M61="-",'A-13'!M108="-"),"-",SUM('A-13'!M14,'A-13'!M61,'A-13'!M108))</f>
        <v>-</v>
      </c>
      <c r="O13" s="193" t="s">
        <v>29</v>
      </c>
      <c r="P13" s="193">
        <f>IF(AND('A-13'!N14="-",'A-13'!N61="-",'A-13'!N108="-"),"-",SUM('A-13'!N14,'A-13'!N61,'A-13'!N108))</f>
        <v>16441</v>
      </c>
    </row>
    <row r="14" spans="1:16" ht="11.25" customHeight="1" x14ac:dyDescent="0.25">
      <c r="A14" s="473">
        <v>1985</v>
      </c>
      <c r="B14" s="193">
        <f>IF(AND('A-13'!B15="-",'A-13'!B62="-",'A-13'!B109="-"),"-",SUM('A-13'!B15,'A-13'!B62,'A-13'!B109))</f>
        <v>13960</v>
      </c>
      <c r="C14" s="193">
        <f>IF(AND('A-13'!C15="-",'A-13'!C62="-",'A-13'!C109="-"),"-",SUM('A-13'!C15,'A-13'!C62,'A-13'!C109))</f>
        <v>230</v>
      </c>
      <c r="D14" s="193">
        <f>IF(AND('A-13'!D15="-",'A-13'!D62="-",'A-13'!D109="-"),"-",SUM('A-13'!D15,'A-13'!D62,'A-13'!D109))</f>
        <v>9660</v>
      </c>
      <c r="E14" s="193">
        <f>IF(AND('A-13'!E15="-",'A-13'!E62="-",'A-13'!E109="-"),"-",SUM('A-13'!E15,'A-13'!E62,'A-13'!E109))</f>
        <v>3593</v>
      </c>
      <c r="F14" s="193">
        <f>IF(AND('A-13'!F15="-",'A-13'!F62="-",'A-13'!F109="-"),"-",SUM('A-13'!F15,'A-13'!F62,'A-13'!F109))</f>
        <v>31</v>
      </c>
      <c r="G14" s="193" t="s">
        <v>29</v>
      </c>
      <c r="H14" s="193">
        <f>IF(AND('A-13'!G15="-",'A-13'!G62="-",'A-13'!G109="-"),"-",SUM('A-13'!G15,'A-13'!G62,'A-13'!G109))</f>
        <v>27474</v>
      </c>
      <c r="J14" s="193" t="s">
        <v>29</v>
      </c>
      <c r="K14" s="193" t="s">
        <v>29</v>
      </c>
      <c r="L14" s="193">
        <f>IF(AND('A-13'!K15="-",'A-13'!K62="-",'A-13'!K109="-"),"-",SUM('A-13'!K15,'A-13'!K62,'A-13'!K109))</f>
        <v>114403</v>
      </c>
      <c r="M14" s="193">
        <f>IF(AND('A-13'!L15="-",'A-13'!L62="-",'A-13'!L109="-"),"-",SUM('A-13'!L15,'A-13'!L62,'A-13'!L109))</f>
        <v>54</v>
      </c>
      <c r="N14" s="193">
        <f>IF(AND('A-13'!M15="-",'A-13'!M62="-",'A-13'!M109="-"),"-",SUM('A-13'!M15,'A-13'!M62,'A-13'!M109))</f>
        <v>40</v>
      </c>
      <c r="O14" s="193" t="s">
        <v>29</v>
      </c>
      <c r="P14" s="193">
        <f>IF(AND('A-13'!N15="-",'A-13'!N62="-",'A-13'!N109="-"),"-",SUM('A-13'!N15,'A-13'!N62,'A-13'!N109))</f>
        <v>114497</v>
      </c>
    </row>
    <row r="15" spans="1:16" ht="11.25" customHeight="1" x14ac:dyDescent="0.25">
      <c r="A15" s="473">
        <v>1986</v>
      </c>
      <c r="B15" s="193">
        <f>IF(AND('A-13'!B16="-",'A-13'!B63="-",'A-13'!B110="-"),"-",SUM('A-13'!B16,'A-13'!B63,'A-13'!B110))</f>
        <v>18551</v>
      </c>
      <c r="C15" s="193">
        <f>IF(AND('A-13'!C16="-",'A-13'!C63="-",'A-13'!C110="-"),"-",SUM('A-13'!C16,'A-13'!C63,'A-13'!C110))</f>
        <v>163</v>
      </c>
      <c r="D15" s="193" t="str">
        <f>IF(AND('A-13'!D16="-",'A-13'!D63="-",'A-13'!D110="-"),"-",SUM('A-13'!D16,'A-13'!D63,'A-13'!D110))</f>
        <v>-</v>
      </c>
      <c r="E15" s="193">
        <f>IF(AND('A-13'!E16="-",'A-13'!E63="-",'A-13'!E110="-"),"-",SUM('A-13'!E16,'A-13'!E63,'A-13'!E110))</f>
        <v>2555</v>
      </c>
      <c r="F15" s="193" t="str">
        <f>IF(AND('A-13'!F16="-",'A-13'!F63="-",'A-13'!F110="-"),"-",SUM('A-13'!F16,'A-13'!F63,'A-13'!F110))</f>
        <v>-</v>
      </c>
      <c r="G15" s="193" t="s">
        <v>29</v>
      </c>
      <c r="H15" s="193">
        <f>IF(AND('A-13'!G16="-",'A-13'!G63="-",'A-13'!G110="-"),"-",SUM('A-13'!G16,'A-13'!G63,'A-13'!G110))</f>
        <v>21269</v>
      </c>
      <c r="J15" s="193" t="s">
        <v>29</v>
      </c>
      <c r="K15" s="193" t="s">
        <v>29</v>
      </c>
      <c r="L15" s="193" t="str">
        <f>IF(AND('A-13'!K16="-",'A-13'!K63="-",'A-13'!K110="-"),"-",SUM('A-13'!K16,'A-13'!K63,'A-13'!K110))</f>
        <v>-</v>
      </c>
      <c r="M15" s="193">
        <f>IF(AND('A-13'!L16="-",'A-13'!L63="-",'A-13'!L110="-"),"-",SUM('A-13'!L16,'A-13'!L63,'A-13'!L110))</f>
        <v>29434</v>
      </c>
      <c r="N15" s="193" t="str">
        <f>IF(AND('A-13'!M16="-",'A-13'!M63="-",'A-13'!M110="-"),"-",SUM('A-13'!M16,'A-13'!M63,'A-13'!M110))</f>
        <v>-</v>
      </c>
      <c r="O15" s="193" t="s">
        <v>29</v>
      </c>
      <c r="P15" s="193">
        <f>IF(AND('A-13'!N16="-",'A-13'!N63="-",'A-13'!N110="-"),"-",SUM('A-13'!N16,'A-13'!N63,'A-13'!N110))</f>
        <v>29434</v>
      </c>
    </row>
    <row r="16" spans="1:16" ht="11.25" customHeight="1" x14ac:dyDescent="0.25">
      <c r="A16" s="473">
        <v>1987</v>
      </c>
      <c r="B16" s="193">
        <f>IF(AND('A-13'!B17="-",'A-13'!B64="-",'A-13'!B111="-"),"-",SUM('A-13'!B17,'A-13'!B64,'A-13'!B111))</f>
        <v>31618</v>
      </c>
      <c r="C16" s="193" t="str">
        <f>IF(AND('A-13'!C17="-",'A-13'!C64="-",'A-13'!C111="-"),"-",SUM('A-13'!C17,'A-13'!C64,'A-13'!C111))</f>
        <v>-</v>
      </c>
      <c r="D16" s="193">
        <f>IF(AND('A-13'!D17="-",'A-13'!D64="-",'A-13'!D111="-"),"-",SUM('A-13'!D17,'A-13'!D64,'A-13'!D111))</f>
        <v>17770</v>
      </c>
      <c r="E16" s="193" t="str">
        <f>IF(AND('A-13'!E17="-",'A-13'!E64="-",'A-13'!E111="-"),"-",SUM('A-13'!E17,'A-13'!E64,'A-13'!E111))</f>
        <v>-</v>
      </c>
      <c r="F16" s="193" t="str">
        <f>IF(AND('A-13'!F17="-",'A-13'!F64="-",'A-13'!F111="-"),"-",SUM('A-13'!F17,'A-13'!F64,'A-13'!F111))</f>
        <v>-</v>
      </c>
      <c r="G16" s="193" t="s">
        <v>29</v>
      </c>
      <c r="H16" s="193">
        <f>IF(AND('A-13'!G17="-",'A-13'!G64="-",'A-13'!G111="-"),"-",SUM('A-13'!G17,'A-13'!G64,'A-13'!G111))</f>
        <v>49388</v>
      </c>
      <c r="J16" s="193" t="s">
        <v>29</v>
      </c>
      <c r="K16" s="193" t="s">
        <v>29</v>
      </c>
      <c r="L16" s="193">
        <f>IF(AND('A-13'!K17="-",'A-13'!K64="-",'A-13'!K111="-"),"-",SUM('A-13'!K17,'A-13'!K64,'A-13'!K111))</f>
        <v>36513</v>
      </c>
      <c r="M16" s="193" t="str">
        <f>IF(AND('A-13'!L17="-",'A-13'!L64="-",'A-13'!L111="-"),"-",SUM('A-13'!L17,'A-13'!L64,'A-13'!L111))</f>
        <v>-</v>
      </c>
      <c r="N16" s="193" t="str">
        <f>IF(AND('A-13'!M17="-",'A-13'!M64="-",'A-13'!M111="-"),"-",SUM('A-13'!M17,'A-13'!M64,'A-13'!M111))</f>
        <v>-</v>
      </c>
      <c r="O16" s="193" t="s">
        <v>29</v>
      </c>
      <c r="P16" s="193">
        <f>IF(AND('A-13'!N17="-",'A-13'!N64="-",'A-13'!N111="-"),"-",SUM('A-13'!N17,'A-13'!N64,'A-13'!N111))</f>
        <v>36513</v>
      </c>
    </row>
    <row r="17" spans="1:16" ht="11.25" customHeight="1" x14ac:dyDescent="0.25">
      <c r="A17" s="473">
        <v>1988</v>
      </c>
      <c r="B17" s="193">
        <f>IF(AND('A-13'!B18="-",'A-13'!B65="-",'A-13'!B112="-"),"-",SUM('A-13'!B18,'A-13'!B65,'A-13'!B112))</f>
        <v>40012</v>
      </c>
      <c r="C17" s="193">
        <f>IF(AND('A-13'!C18="-",'A-13'!C65="-",'A-13'!C112="-"),"-",SUM('A-13'!C18,'A-13'!C65,'A-13'!C112))</f>
        <v>28632</v>
      </c>
      <c r="D17" s="193">
        <f>IF(AND('A-13'!D18="-",'A-13'!D65="-",'A-13'!D112="-"),"-",SUM('A-13'!D18,'A-13'!D65,'A-13'!D112))</f>
        <v>57</v>
      </c>
      <c r="E17" s="193">
        <f>IF(AND('A-13'!E18="-",'A-13'!E65="-",'A-13'!E112="-"),"-",SUM('A-13'!E18,'A-13'!E65,'A-13'!E112))</f>
        <v>242</v>
      </c>
      <c r="F17" s="193" t="str">
        <f>IF(AND('A-13'!F18="-",'A-13'!F65="-",'A-13'!F112="-"),"-",SUM('A-13'!F18,'A-13'!F65,'A-13'!F112))</f>
        <v>-</v>
      </c>
      <c r="G17" s="193" t="s">
        <v>29</v>
      </c>
      <c r="H17" s="193">
        <f>IF(AND('A-13'!G18="-",'A-13'!G65="-",'A-13'!G112="-"),"-",SUM('A-13'!G18,'A-13'!G65,'A-13'!G112))</f>
        <v>68943</v>
      </c>
      <c r="J17" s="193" t="s">
        <v>29</v>
      </c>
      <c r="K17" s="193" t="s">
        <v>29</v>
      </c>
      <c r="L17" s="193">
        <f>IF(AND('A-13'!K18="-",'A-13'!K65="-",'A-13'!K112="-"),"-",SUM('A-13'!K18,'A-13'!K65,'A-13'!K112))</f>
        <v>381</v>
      </c>
      <c r="M17" s="193">
        <f>IF(AND('A-13'!L18="-",'A-13'!L65="-",'A-13'!L112="-"),"-",SUM('A-13'!L18,'A-13'!L65,'A-13'!L112))</f>
        <v>1848</v>
      </c>
      <c r="N17" s="193" t="str">
        <f>IF(AND('A-13'!M18="-",'A-13'!M65="-",'A-13'!M112="-"),"-",SUM('A-13'!M18,'A-13'!M65,'A-13'!M112))</f>
        <v>-</v>
      </c>
      <c r="O17" s="193" t="s">
        <v>29</v>
      </c>
      <c r="P17" s="193">
        <f>IF(AND('A-13'!N18="-",'A-13'!N65="-",'A-13'!N112="-"),"-",SUM('A-13'!N18,'A-13'!N65,'A-13'!N112))</f>
        <v>2229</v>
      </c>
    </row>
    <row r="18" spans="1:16" ht="11.25" customHeight="1" x14ac:dyDescent="0.25">
      <c r="A18" s="473">
        <v>1989</v>
      </c>
      <c r="B18" s="193">
        <f>IF(AND('A-13'!B19="-",'A-13'!B66="-",'A-13'!B113="-"),"-",SUM('A-13'!B19,'A-13'!B66,'A-13'!B113))</f>
        <v>22220</v>
      </c>
      <c r="C18" s="193">
        <f>IF(AND('A-13'!C19="-",'A-13'!C66="-",'A-13'!C113="-"),"-",SUM('A-13'!C19,'A-13'!C66,'A-13'!C113))</f>
        <v>14553</v>
      </c>
      <c r="D18" s="193" t="str">
        <f>IF(AND('A-13'!D19="-",'A-13'!D66="-",'A-13'!D113="-"),"-",SUM('A-13'!D19,'A-13'!D66,'A-13'!D113))</f>
        <v>-</v>
      </c>
      <c r="E18" s="193">
        <f>IF(AND('A-13'!E19="-",'A-13'!E66="-",'A-13'!E113="-"),"-",SUM('A-13'!E19,'A-13'!E66,'A-13'!E113))</f>
        <v>282</v>
      </c>
      <c r="F18" s="193" t="str">
        <f>IF(AND('A-13'!F19="-",'A-13'!F66="-",'A-13'!F113="-"),"-",SUM('A-13'!F19,'A-13'!F66,'A-13'!F113))</f>
        <v>-</v>
      </c>
      <c r="G18" s="193" t="s">
        <v>29</v>
      </c>
      <c r="H18" s="193">
        <f>IF(AND('A-13'!G19="-",'A-13'!G66="-",'A-13'!G113="-"),"-",SUM('A-13'!G19,'A-13'!G66,'A-13'!G113))</f>
        <v>37055</v>
      </c>
      <c r="J18" s="193" t="s">
        <v>29</v>
      </c>
      <c r="K18" s="193" t="s">
        <v>29</v>
      </c>
      <c r="L18" s="193" t="str">
        <f>IF(AND('A-13'!K19="-",'A-13'!K66="-",'A-13'!K113="-"),"-",SUM('A-13'!K19,'A-13'!K66,'A-13'!K113))</f>
        <v>-</v>
      </c>
      <c r="M18" s="193">
        <f>IF(AND('A-13'!L19="-",'A-13'!L66="-",'A-13'!L113="-"),"-",SUM('A-13'!L19,'A-13'!L66,'A-13'!L113))</f>
        <v>41109</v>
      </c>
      <c r="N18" s="193" t="str">
        <f>IF(AND('A-13'!M19="-",'A-13'!M66="-",'A-13'!M113="-"),"-",SUM('A-13'!M19,'A-13'!M66,'A-13'!M113))</f>
        <v>-</v>
      </c>
      <c r="O18" s="193" t="s">
        <v>29</v>
      </c>
      <c r="P18" s="193">
        <f>IF(AND('A-13'!N19="-",'A-13'!N66="-",'A-13'!N113="-"),"-",SUM('A-13'!N19,'A-13'!N66,'A-13'!N113))</f>
        <v>41109</v>
      </c>
    </row>
    <row r="19" spans="1:16" ht="11.25" customHeight="1" x14ac:dyDescent="0.25">
      <c r="A19" s="473">
        <v>1990</v>
      </c>
      <c r="B19" s="193">
        <f>IF(AND('A-13'!B20="-",'A-13'!B67="-",'A-13'!B114="-"),"-",SUM('A-13'!B20,'A-13'!B67,'A-13'!B114))</f>
        <v>23005</v>
      </c>
      <c r="C19" s="193">
        <f>IF(AND('A-13'!C20="-",'A-13'!C67="-",'A-13'!C114="-"),"-",SUM('A-13'!C20,'A-13'!C67,'A-13'!C114))</f>
        <v>1827</v>
      </c>
      <c r="D19" s="193" t="str">
        <f>IF(AND('A-13'!D20="-",'A-13'!D67="-",'A-13'!D114="-"),"-",SUM('A-13'!D20,'A-13'!D67,'A-13'!D114))</f>
        <v>-</v>
      </c>
      <c r="E19" s="193">
        <f>IF(AND('A-13'!E20="-",'A-13'!E67="-",'A-13'!E114="-"),"-",SUM('A-13'!E20,'A-13'!E67,'A-13'!E114))</f>
        <v>4166</v>
      </c>
      <c r="F19" s="193">
        <f>IF(AND('A-13'!F20="-",'A-13'!F67="-",'A-13'!F114="-"),"-",SUM('A-13'!F20,'A-13'!F67,'A-13'!F114))</f>
        <v>11</v>
      </c>
      <c r="G19" s="193" t="s">
        <v>29</v>
      </c>
      <c r="H19" s="193">
        <f>IF(AND('A-13'!G20="-",'A-13'!G67="-",'A-13'!G114="-"),"-",SUM('A-13'!G20,'A-13'!G67,'A-13'!G114))</f>
        <v>29009</v>
      </c>
      <c r="J19" s="193" t="s">
        <v>29</v>
      </c>
      <c r="K19" s="193" t="s">
        <v>29</v>
      </c>
      <c r="L19" s="193" t="str">
        <f>IF(AND('A-13'!K20="-",'A-13'!K67="-",'A-13'!K114="-"),"-",SUM('A-13'!K20,'A-13'!K67,'A-13'!K114))</f>
        <v>-</v>
      </c>
      <c r="M19" s="193">
        <f>IF(AND('A-13'!L20="-",'A-13'!L67="-",'A-13'!L114="-"),"-",SUM('A-13'!L20,'A-13'!L67,'A-13'!L114))</f>
        <v>67534</v>
      </c>
      <c r="N19" s="193">
        <f>IF(AND('A-13'!M20="-",'A-13'!M67="-",'A-13'!M114="-"),"-",SUM('A-13'!M20,'A-13'!M67,'A-13'!M114))</f>
        <v>16</v>
      </c>
      <c r="O19" s="193" t="s">
        <v>29</v>
      </c>
      <c r="P19" s="193">
        <f>IF(AND('A-13'!N20="-",'A-13'!N67="-",'A-13'!N114="-"),"-",SUM('A-13'!N20,'A-13'!N67,'A-13'!N114))</f>
        <v>67550</v>
      </c>
    </row>
    <row r="20" spans="1:16" ht="11.25" customHeight="1" x14ac:dyDescent="0.25">
      <c r="A20" s="473">
        <v>1991</v>
      </c>
      <c r="B20" s="193">
        <f>IF(AND('A-13'!B21="-",'A-13'!B68="-",'A-13'!B115="-"),"-",SUM('A-13'!B21,'A-13'!B68,'A-13'!B115))</f>
        <v>13642</v>
      </c>
      <c r="C20" s="193">
        <f>IF(AND('A-13'!C21="-",'A-13'!C68="-",'A-13'!C115="-"),"-",SUM('A-13'!C21,'A-13'!C68,'A-13'!C115))</f>
        <v>12361</v>
      </c>
      <c r="D20" s="193" t="str">
        <f>IF(AND('A-13'!D21="-",'A-13'!D68="-",'A-13'!D115="-"),"-",SUM('A-13'!D21,'A-13'!D68,'A-13'!D115))</f>
        <v>-</v>
      </c>
      <c r="E20" s="193">
        <f>IF(AND('A-13'!E21="-",'A-13'!E68="-",'A-13'!E115="-"),"-",SUM('A-13'!E21,'A-13'!E68,'A-13'!E115))</f>
        <v>683</v>
      </c>
      <c r="F20" s="193">
        <f>IF(AND('A-13'!F21="-",'A-13'!F68="-",'A-13'!F115="-"),"-",SUM('A-13'!F21,'A-13'!F68,'A-13'!F115))</f>
        <v>751</v>
      </c>
      <c r="G20" s="193" t="s">
        <v>29</v>
      </c>
      <c r="H20" s="193">
        <f>IF(AND('A-13'!G21="-",'A-13'!G68="-",'A-13'!G115="-"),"-",SUM('A-13'!G21,'A-13'!G68,'A-13'!G115))</f>
        <v>27437</v>
      </c>
      <c r="J20" s="193" t="s">
        <v>29</v>
      </c>
      <c r="K20" s="193" t="s">
        <v>29</v>
      </c>
      <c r="L20" s="193" t="str">
        <f>IF(AND('A-13'!K21="-",'A-13'!K68="-",'A-13'!K115="-"),"-",SUM('A-13'!K21,'A-13'!K68,'A-13'!K115))</f>
        <v>-</v>
      </c>
      <c r="M20" s="193">
        <f>IF(AND('A-13'!L21="-",'A-13'!L68="-",'A-13'!L115="-"),"-",SUM('A-13'!L21,'A-13'!L68,'A-13'!L115))</f>
        <v>25430</v>
      </c>
      <c r="N20" s="193">
        <f>IF(AND('A-13'!M21="-",'A-13'!M68="-",'A-13'!M115="-"),"-",SUM('A-13'!M21,'A-13'!M68,'A-13'!M115))</f>
        <v>12492</v>
      </c>
      <c r="O20" s="193" t="s">
        <v>29</v>
      </c>
      <c r="P20" s="193">
        <f>IF(AND('A-13'!N21="-",'A-13'!N68="-",'A-13'!N115="-"),"-",SUM('A-13'!N21,'A-13'!N68,'A-13'!N115))</f>
        <v>37922</v>
      </c>
    </row>
    <row r="21" spans="1:16" ht="11.25" customHeight="1" x14ac:dyDescent="0.25">
      <c r="A21" s="473">
        <v>1992</v>
      </c>
      <c r="B21" s="193">
        <f>IF(AND('A-13'!B22="-",'A-13'!B69="-",'A-13'!B116="-"),"-",SUM('A-13'!B22,'A-13'!B69,'A-13'!B116))</f>
        <v>19577</v>
      </c>
      <c r="C21" s="193">
        <f>IF(AND('A-13'!C22="-",'A-13'!C69="-",'A-13'!C116="-"),"-",SUM('A-13'!C22,'A-13'!C69,'A-13'!C116))</f>
        <v>12593</v>
      </c>
      <c r="D21" s="193">
        <f>IF(AND('A-13'!D22="-",'A-13'!D69="-",'A-13'!D116="-"),"-",SUM('A-13'!D22,'A-13'!D69,'A-13'!D116))</f>
        <v>5245</v>
      </c>
      <c r="E21" s="193">
        <f>IF(AND('A-13'!E22="-",'A-13'!E69="-",'A-13'!E116="-"),"-",SUM('A-13'!E22,'A-13'!E69,'A-13'!E116))</f>
        <v>3483</v>
      </c>
      <c r="F21" s="193" t="str">
        <f>IF(AND('A-13'!F22="-",'A-13'!F69="-",'A-13'!F116="-"),"-",SUM('A-13'!F22,'A-13'!F69,'A-13'!F116))</f>
        <v>-</v>
      </c>
      <c r="G21" s="193" t="s">
        <v>29</v>
      </c>
      <c r="H21" s="193">
        <f>IF(AND('A-13'!G22="-",'A-13'!G69="-",'A-13'!G116="-"),"-",SUM('A-13'!G22,'A-13'!G69,'A-13'!G116))</f>
        <v>40898</v>
      </c>
      <c r="J21" s="193" t="s">
        <v>29</v>
      </c>
      <c r="K21" s="193" t="s">
        <v>29</v>
      </c>
      <c r="L21" s="193">
        <f>IF(AND('A-13'!K22="-",'A-13'!K69="-",'A-13'!K116="-"),"-",SUM('A-13'!K22,'A-13'!K69,'A-13'!K116))</f>
        <v>9489</v>
      </c>
      <c r="M21" s="193">
        <f>IF(AND('A-13'!L22="-",'A-13'!L69="-",'A-13'!L116="-"),"-",SUM('A-13'!L22,'A-13'!L69,'A-13'!L116))</f>
        <v>7106</v>
      </c>
      <c r="N21" s="193" t="str">
        <f>IF(AND('A-13'!M22="-",'A-13'!M69="-",'A-13'!M116="-"),"-",SUM('A-13'!M22,'A-13'!M69,'A-13'!M116))</f>
        <v>-</v>
      </c>
      <c r="O21" s="193" t="s">
        <v>29</v>
      </c>
      <c r="P21" s="193">
        <f>IF(AND('A-13'!N22="-",'A-13'!N69="-",'A-13'!N116="-"),"-",SUM('A-13'!N22,'A-13'!N69,'A-13'!N116))</f>
        <v>16595</v>
      </c>
    </row>
    <row r="22" spans="1:16" ht="11.25" customHeight="1" x14ac:dyDescent="0.25">
      <c r="A22" s="473">
        <v>1993</v>
      </c>
      <c r="B22" s="193">
        <f>IF(AND('A-13'!B23="-",'A-13'!B70="-",'A-13'!B117="-"),"-",SUM('A-13'!B23,'A-13'!B70,'A-13'!B117))</f>
        <v>14351</v>
      </c>
      <c r="C22" s="193">
        <f>IF(AND('A-13'!C23="-",'A-13'!C70="-",'A-13'!C117="-"),"-",SUM('A-13'!C23,'A-13'!C70,'A-13'!C117))</f>
        <v>10623</v>
      </c>
      <c r="D22" s="193">
        <f>IF(AND('A-13'!D23="-",'A-13'!D70="-",'A-13'!D117="-"),"-",SUM('A-13'!D23,'A-13'!D70,'A-13'!D117))</f>
        <v>2612</v>
      </c>
      <c r="E22" s="193">
        <f>IF(AND('A-13'!E23="-",'A-13'!E70="-",'A-13'!E117="-"),"-",SUM('A-13'!E23,'A-13'!E70,'A-13'!E117))</f>
        <v>946</v>
      </c>
      <c r="F22" s="193">
        <f>IF(AND('A-13'!F23="-",'A-13'!F70="-",'A-13'!F117="-"),"-",SUM('A-13'!F23,'A-13'!F70,'A-13'!F117))</f>
        <v>1484</v>
      </c>
      <c r="G22" s="193" t="s">
        <v>29</v>
      </c>
      <c r="H22" s="193">
        <f>IF(AND('A-13'!G23="-",'A-13'!G70="-",'A-13'!G117="-"),"-",SUM('A-13'!G23,'A-13'!G70,'A-13'!G117))</f>
        <v>30016</v>
      </c>
      <c r="J22" s="193" t="s">
        <v>29</v>
      </c>
      <c r="K22" s="193" t="s">
        <v>29</v>
      </c>
      <c r="L22" s="193">
        <f>IF(AND('A-13'!K23="-",'A-13'!K70="-",'A-13'!K117="-"),"-",SUM('A-13'!K23,'A-13'!K70,'A-13'!K117))</f>
        <v>4748</v>
      </c>
      <c r="M22" s="193">
        <f>IF(AND('A-13'!L23="-",'A-13'!L70="-",'A-13'!L117="-"),"-",SUM('A-13'!L23,'A-13'!L70,'A-13'!L117))</f>
        <v>3464</v>
      </c>
      <c r="N22" s="193">
        <f>IF(AND('A-13'!M23="-",'A-13'!M70="-",'A-13'!M117="-"),"-",SUM('A-13'!M23,'A-13'!M70,'A-13'!M117))</f>
        <v>5173</v>
      </c>
      <c r="O22" s="193" t="s">
        <v>29</v>
      </c>
      <c r="P22" s="193">
        <f>IF(AND('A-13'!N23="-",'A-13'!N70="-",'A-13'!N117="-"),"-",SUM('A-13'!N23,'A-13'!N70,'A-13'!N117))</f>
        <v>13385</v>
      </c>
    </row>
    <row r="23" spans="1:16" ht="11.25" customHeight="1" x14ac:dyDescent="0.25">
      <c r="A23" s="473">
        <v>1994</v>
      </c>
      <c r="B23" s="193" t="str">
        <f>IF(AND('A-13'!B24="-",'A-13'!B71="-",'A-13'!B118="-"),"-",SUM('A-13'!B24,'A-13'!B71,'A-13'!B118))</f>
        <v>-</v>
      </c>
      <c r="C23" s="193" t="str">
        <f>IF(AND('A-13'!C24="-",'A-13'!C71="-",'A-13'!C118="-"),"-",SUM('A-13'!C24,'A-13'!C71,'A-13'!C118))</f>
        <v>-</v>
      </c>
      <c r="D23" s="193" t="str">
        <f>IF(AND('A-13'!D24="-",'A-13'!D71="-",'A-13'!D118="-"),"-",SUM('A-13'!D24,'A-13'!D71,'A-13'!D118))</f>
        <v>-</v>
      </c>
      <c r="E23" s="193" t="str">
        <f>IF(AND('A-13'!E24="-",'A-13'!E71="-",'A-13'!E118="-"),"-",SUM('A-13'!E24,'A-13'!E71,'A-13'!E118))</f>
        <v>-</v>
      </c>
      <c r="F23" s="193" t="str">
        <f>IF(AND('A-13'!F24="-",'A-13'!F71="-",'A-13'!F118="-"),"-",SUM('A-13'!F24,'A-13'!F71,'A-13'!F118))</f>
        <v>-</v>
      </c>
      <c r="G23" s="193" t="s">
        <v>29</v>
      </c>
      <c r="H23" s="193" t="str">
        <f>IF(AND('A-13'!G24="-",'A-13'!G71="-",'A-13'!G118="-"),"-",SUM('A-13'!G24,'A-13'!G71,'A-13'!G118))</f>
        <v>-</v>
      </c>
      <c r="J23" s="193" t="s">
        <v>29</v>
      </c>
      <c r="K23" s="193" t="s">
        <v>29</v>
      </c>
      <c r="L23" s="193" t="str">
        <f>IF(AND('A-13'!K24="-",'A-13'!K71="-",'A-13'!K118="-"),"-",SUM('A-13'!K24,'A-13'!K71,'A-13'!K118))</f>
        <v>-</v>
      </c>
      <c r="M23" s="193" t="str">
        <f>IF(AND('A-13'!L24="-",'A-13'!L71="-",'A-13'!L118="-"),"-",SUM('A-13'!L24,'A-13'!L71,'A-13'!L118))</f>
        <v>-</v>
      </c>
      <c r="N23" s="193" t="str">
        <f>IF(AND('A-13'!M24="-",'A-13'!M71="-",'A-13'!M118="-"),"-",SUM('A-13'!M24,'A-13'!M71,'A-13'!M118))</f>
        <v>-</v>
      </c>
      <c r="O23" s="193" t="s">
        <v>29</v>
      </c>
      <c r="P23" s="193" t="str">
        <f>IF(AND('A-13'!N24="-",'A-13'!N71="-",'A-13'!N118="-"),"-",SUM('A-13'!N24,'A-13'!N71,'A-13'!N118))</f>
        <v>-</v>
      </c>
    </row>
    <row r="24" spans="1:16" ht="11.25" customHeight="1" x14ac:dyDescent="0.25">
      <c r="A24" s="473">
        <v>1995</v>
      </c>
      <c r="B24" s="193" t="str">
        <f>IF(AND('A-13'!B25="-",'A-13'!B72="-",'A-13'!B119="-"),"-",SUM('A-13'!B25,'A-13'!B72,'A-13'!B119))</f>
        <v>-</v>
      </c>
      <c r="C24" s="193" t="str">
        <f>IF(AND('A-13'!C25="-",'A-13'!C72="-",'A-13'!C119="-"),"-",SUM('A-13'!C25,'A-13'!C72,'A-13'!C119))</f>
        <v>-</v>
      </c>
      <c r="D24" s="193" t="str">
        <f>IF(AND('A-13'!D25="-",'A-13'!D72="-",'A-13'!D119="-"),"-",SUM('A-13'!D25,'A-13'!D72,'A-13'!D119))</f>
        <v>-</v>
      </c>
      <c r="E24" s="193">
        <f>IF(AND('A-13'!E25="-",'A-13'!E72="-",'A-13'!E119="-"),"-",SUM('A-13'!E25,'A-13'!E72,'A-13'!E119))</f>
        <v>3</v>
      </c>
      <c r="F24" s="193" t="str">
        <f>IF(AND('A-13'!F25="-",'A-13'!F72="-",'A-13'!F119="-"),"-",SUM('A-13'!F25,'A-13'!F72,'A-13'!F119))</f>
        <v>-</v>
      </c>
      <c r="G24" s="193" t="s">
        <v>29</v>
      </c>
      <c r="H24" s="193">
        <f>IF(AND('A-13'!G25="-",'A-13'!G72="-",'A-13'!G119="-"),"-",SUM('A-13'!G25,'A-13'!G72,'A-13'!G119))</f>
        <v>3</v>
      </c>
      <c r="J24" s="193" t="s">
        <v>29</v>
      </c>
      <c r="K24" s="193" t="s">
        <v>29</v>
      </c>
      <c r="L24" s="193" t="str">
        <f>IF(AND('A-13'!K25="-",'A-13'!K72="-",'A-13'!K119="-"),"-",SUM('A-13'!K25,'A-13'!K72,'A-13'!K119))</f>
        <v>-</v>
      </c>
      <c r="M24" s="193">
        <f>IF(AND('A-13'!L25="-",'A-13'!L72="-",'A-13'!L119="-"),"-",SUM('A-13'!L25,'A-13'!L72,'A-13'!L119))</f>
        <v>18366</v>
      </c>
      <c r="N24" s="193">
        <f>IF(AND('A-13'!M25="-",'A-13'!M72="-",'A-13'!M119="-"),"-",SUM('A-13'!M25,'A-13'!M72,'A-13'!M119))</f>
        <v>7060</v>
      </c>
      <c r="O24" s="193" t="s">
        <v>29</v>
      </c>
      <c r="P24" s="193">
        <f>IF(AND('A-13'!N25="-",'A-13'!N72="-",'A-13'!N119="-"),"-",SUM('A-13'!N25,'A-13'!N72,'A-13'!N119))</f>
        <v>25426</v>
      </c>
    </row>
    <row r="25" spans="1:16" ht="11.25" customHeight="1" x14ac:dyDescent="0.25">
      <c r="A25" s="473">
        <v>1996</v>
      </c>
      <c r="B25" s="193" t="str">
        <f>IF(AND('A-13'!B26="-",'A-13'!B73="-",'A-13'!B120="-"),"-",SUM('A-13'!B26,'A-13'!B73,'A-13'!B120))</f>
        <v>-</v>
      </c>
      <c r="C25" s="193" t="str">
        <f>IF(AND('A-13'!C26="-",'A-13'!C73="-",'A-13'!C120="-"),"-",SUM('A-13'!C26,'A-13'!C73,'A-13'!C120))</f>
        <v>-</v>
      </c>
      <c r="D25" s="193" t="str">
        <f>IF(AND('A-13'!D26="-",'A-13'!D73="-",'A-13'!D120="-"),"-",SUM('A-13'!D26,'A-13'!D73,'A-13'!D120))</f>
        <v>-</v>
      </c>
      <c r="E25" s="193" t="str">
        <f>IF(AND('A-13'!E26="-",'A-13'!E73="-",'A-13'!E120="-"),"-",SUM('A-13'!E26,'A-13'!E73,'A-13'!E120))</f>
        <v>-</v>
      </c>
      <c r="F25" s="193" t="str">
        <f>IF(AND('A-13'!F26="-",'A-13'!F73="-",'A-13'!F120="-"),"-",SUM('A-13'!F26,'A-13'!F73,'A-13'!F120))</f>
        <v>-</v>
      </c>
      <c r="G25" s="193" t="s">
        <v>29</v>
      </c>
      <c r="H25" s="193" t="str">
        <f>IF(AND('A-13'!G26="-",'A-13'!G73="-",'A-13'!G120="-"),"-",SUM('A-13'!G26,'A-13'!G73,'A-13'!G120))</f>
        <v>-</v>
      </c>
      <c r="J25" s="193" t="s">
        <v>29</v>
      </c>
      <c r="K25" s="193" t="s">
        <v>29</v>
      </c>
      <c r="L25" s="193">
        <f>IF(AND('A-13'!K26="-",'A-13'!K73="-",'A-13'!K120="-"),"-",SUM('A-13'!K26,'A-13'!K73,'A-13'!K120))</f>
        <v>7137</v>
      </c>
      <c r="M25" s="193">
        <f>IF(AND('A-13'!L26="-",'A-13'!L73="-",'A-13'!L120="-"),"-",SUM('A-13'!L26,'A-13'!L73,'A-13'!L120))</f>
        <v>10389</v>
      </c>
      <c r="N25" s="193" t="str">
        <f>IF(AND('A-13'!M26="-",'A-13'!M73="-",'A-13'!M120="-"),"-",SUM('A-13'!M26,'A-13'!M73,'A-13'!M120))</f>
        <v>-</v>
      </c>
      <c r="O25" s="193" t="s">
        <v>29</v>
      </c>
      <c r="P25" s="193">
        <f>IF(AND('A-13'!N26="-",'A-13'!N73="-",'A-13'!N120="-"),"-",SUM('A-13'!N26,'A-13'!N73,'A-13'!N120))</f>
        <v>17526</v>
      </c>
    </row>
    <row r="26" spans="1:16" ht="11.25" customHeight="1" x14ac:dyDescent="0.25">
      <c r="A26" s="473">
        <v>1997</v>
      </c>
      <c r="B26" s="193">
        <f>IF(AND('A-13'!B27="-",'A-13'!B74="-",'A-13'!B121="-"),"-",SUM('A-13'!B27,'A-13'!B74,'A-13'!B121))</f>
        <v>4514</v>
      </c>
      <c r="C26" s="193">
        <f>IF(AND('A-13'!C27="-",'A-13'!C74="-",'A-13'!C121="-"),"-",SUM('A-13'!C27,'A-13'!C74,'A-13'!C121))</f>
        <v>1904</v>
      </c>
      <c r="D26" s="193" t="str">
        <f>IF(AND('A-13'!D27="-",'A-13'!D74="-",'A-13'!D121="-"),"-",SUM('A-13'!D27,'A-13'!D74,'A-13'!D121))</f>
        <v>-</v>
      </c>
      <c r="E26" s="193" t="str">
        <f>IF(AND('A-13'!E27="-",'A-13'!E74="-",'A-13'!E121="-"),"-",SUM('A-13'!E27,'A-13'!E74,'A-13'!E121))</f>
        <v>-</v>
      </c>
      <c r="F26" s="193" t="str">
        <f>IF(AND('A-13'!F27="-",'A-13'!F74="-",'A-13'!F121="-"),"-",SUM('A-13'!F27,'A-13'!F74,'A-13'!F121))</f>
        <v>-</v>
      </c>
      <c r="G26" s="193" t="s">
        <v>29</v>
      </c>
      <c r="H26" s="193">
        <f>IF(AND('A-13'!G27="-",'A-13'!G74="-",'A-13'!G121="-"),"-",SUM('A-13'!G27,'A-13'!G74,'A-13'!G121))</f>
        <v>6418</v>
      </c>
      <c r="J26" s="193" t="s">
        <v>29</v>
      </c>
      <c r="K26" s="193" t="s">
        <v>29</v>
      </c>
      <c r="L26" s="193" t="str">
        <f>IF(AND('A-13'!K27="-",'A-13'!K74="-",'A-13'!K121="-"),"-",SUM('A-13'!K27,'A-13'!K74,'A-13'!K121))</f>
        <v>-</v>
      </c>
      <c r="M26" s="193" t="str">
        <f>IF(AND('A-13'!L27="-",'A-13'!L74="-",'A-13'!L121="-"),"-",SUM('A-13'!L27,'A-13'!L74,'A-13'!L121))</f>
        <v>-</v>
      </c>
      <c r="N26" s="193" t="str">
        <f>IF(AND('A-13'!M27="-",'A-13'!M74="-",'A-13'!M121="-"),"-",SUM('A-13'!M27,'A-13'!M74,'A-13'!M121))</f>
        <v>-</v>
      </c>
      <c r="O26" s="193" t="s">
        <v>29</v>
      </c>
      <c r="P26" s="193" t="str">
        <f>IF(AND('A-13'!N27="-",'A-13'!N74="-",'A-13'!N121="-"),"-",SUM('A-13'!N27,'A-13'!N74,'A-13'!N121))</f>
        <v>-</v>
      </c>
    </row>
    <row r="27" spans="1:16" ht="11.25" customHeight="1" x14ac:dyDescent="0.25">
      <c r="A27" s="473">
        <v>1998</v>
      </c>
      <c r="B27" s="193">
        <f>IF(AND('A-13'!B28="-",'A-13'!B75="-",'A-13'!B122="-"),"-",SUM('A-13'!B28,'A-13'!B75,'A-13'!B122))</f>
        <v>5747</v>
      </c>
      <c r="C27" s="193">
        <f>IF(AND('A-13'!C28="-",'A-13'!C75="-",'A-13'!C122="-"),"-",SUM('A-13'!C28,'A-13'!C75,'A-13'!C122))</f>
        <v>182</v>
      </c>
      <c r="D27" s="193" t="str">
        <f>IF(AND('A-13'!D28="-",'A-13'!D75="-",'A-13'!D122="-"),"-",SUM('A-13'!D28,'A-13'!D75,'A-13'!D122))</f>
        <v>-</v>
      </c>
      <c r="E27" s="193" t="str">
        <f>IF(AND('A-13'!E28="-",'A-13'!E75="-",'A-13'!E122="-"),"-",SUM('A-13'!E28,'A-13'!E75,'A-13'!E122))</f>
        <v>-</v>
      </c>
      <c r="F27" s="193" t="str">
        <f>IF(AND('A-13'!F28="-",'A-13'!F75="-",'A-13'!F122="-"),"-",SUM('A-13'!F28,'A-13'!F75,'A-13'!F122))</f>
        <v>-</v>
      </c>
      <c r="G27" s="193" t="s">
        <v>29</v>
      </c>
      <c r="H27" s="193">
        <f>IF(AND('A-13'!G28="-",'A-13'!G75="-",'A-13'!G122="-"),"-",SUM('A-13'!G28,'A-13'!G75,'A-13'!G122))</f>
        <v>5929</v>
      </c>
      <c r="J27" s="193" t="s">
        <v>29</v>
      </c>
      <c r="K27" s="193" t="s">
        <v>29</v>
      </c>
      <c r="L27" s="193" t="str">
        <f>IF(AND('A-13'!K28="-",'A-13'!K75="-",'A-13'!K122="-"),"-",SUM('A-13'!K28,'A-13'!K75,'A-13'!K122))</f>
        <v>-</v>
      </c>
      <c r="M27" s="193" t="str">
        <f>IF(AND('A-13'!L28="-",'A-13'!L75="-",'A-13'!L122="-"),"-",SUM('A-13'!L28,'A-13'!L75,'A-13'!L122))</f>
        <v>-</v>
      </c>
      <c r="N27" s="193" t="str">
        <f>IF(AND('A-13'!M28="-",'A-13'!M75="-",'A-13'!M122="-"),"-",SUM('A-13'!M28,'A-13'!M75,'A-13'!M122))</f>
        <v>-</v>
      </c>
      <c r="O27" s="193" t="s">
        <v>29</v>
      </c>
      <c r="P27" s="193" t="str">
        <f>IF(AND('A-13'!N28="-",'A-13'!N75="-",'A-13'!N122="-"),"-",SUM('A-13'!N28,'A-13'!N75,'A-13'!N122))</f>
        <v>-</v>
      </c>
    </row>
    <row r="28" spans="1:16" ht="11.25" customHeight="1" x14ac:dyDescent="0.25">
      <c r="A28" s="473">
        <v>1999</v>
      </c>
      <c r="B28" s="193">
        <f>IF(AND('A-13'!B29="-",'A-13'!B76="-",'A-13'!B123="-"),"-",SUM('A-13'!B29,'A-13'!B76,'A-13'!B123))</f>
        <v>4191</v>
      </c>
      <c r="C28" s="193">
        <f>IF(AND('A-13'!C29="-",'A-13'!C76="-",'A-13'!C123="-"),"-",SUM('A-13'!C29,'A-13'!C76,'A-13'!C123))</f>
        <v>7075</v>
      </c>
      <c r="D28" s="193">
        <f>IF(AND('A-13'!D29="-",'A-13'!D76="-",'A-13'!D123="-"),"-",SUM('A-13'!D29,'A-13'!D76,'A-13'!D123))</f>
        <v>4030</v>
      </c>
      <c r="E28" s="193">
        <f>IF(AND('A-13'!E29="-",'A-13'!E76="-",'A-13'!E123="-"),"-",SUM('A-13'!E29,'A-13'!E76,'A-13'!E123))</f>
        <v>2160</v>
      </c>
      <c r="F28" s="193" t="str">
        <f>IF(AND('A-13'!F29="-",'A-13'!F76="-",'A-13'!F123="-"),"-",SUM('A-13'!F29,'A-13'!F76,'A-13'!F123))</f>
        <v>-</v>
      </c>
      <c r="G28" s="193" t="s">
        <v>29</v>
      </c>
      <c r="H28" s="193">
        <f>IF(AND('A-13'!G29="-",'A-13'!G76="-",'A-13'!G123="-"),"-",SUM('A-13'!G29,'A-13'!G76,'A-13'!G123))</f>
        <v>17456</v>
      </c>
      <c r="J28" s="193" t="s">
        <v>29</v>
      </c>
      <c r="K28" s="193" t="s">
        <v>29</v>
      </c>
      <c r="L28" s="193">
        <f>IF(AND('A-13'!K29="-",'A-13'!K76="-",'A-13'!K123="-"),"-",SUM('A-13'!K29,'A-13'!K76,'A-13'!K123))</f>
        <v>673</v>
      </c>
      <c r="M28" s="193">
        <f>IF(AND('A-13'!L29="-",'A-13'!L76="-",'A-13'!L123="-"),"-",SUM('A-13'!L29,'A-13'!L76,'A-13'!L123))</f>
        <v>2813</v>
      </c>
      <c r="N28" s="193">
        <f>IF(AND('A-13'!M29="-",'A-13'!M76="-",'A-13'!M123="-"),"-",SUM('A-13'!M29,'A-13'!M76,'A-13'!M123))</f>
        <v>337</v>
      </c>
      <c r="O28" s="193" t="s">
        <v>29</v>
      </c>
      <c r="P28" s="193">
        <f>IF(AND('A-13'!N29="-",'A-13'!N76="-",'A-13'!N123="-"),"-",SUM('A-13'!N29,'A-13'!N76,'A-13'!N123))</f>
        <v>3823</v>
      </c>
    </row>
    <row r="29" spans="1:16" ht="11.25" customHeight="1" x14ac:dyDescent="0.25">
      <c r="A29" s="473">
        <v>2000</v>
      </c>
      <c r="B29" s="193">
        <f>IF(AND('A-13'!B30="-",'A-13'!B77="-",'A-13'!B124="-"),"-",SUM('A-13'!B30,'A-13'!B77,'A-13'!B124))</f>
        <v>6534</v>
      </c>
      <c r="C29" s="193">
        <f>IF(AND('A-13'!C30="-",'A-13'!C77="-",'A-13'!C124="-"),"-",SUM('A-13'!C30,'A-13'!C77,'A-13'!C124))</f>
        <v>2427</v>
      </c>
      <c r="D29" s="193" t="str">
        <f>IF(AND('A-13'!D30="-",'A-13'!D77="-",'A-13'!D124="-"),"-",SUM('A-13'!D30,'A-13'!D77,'A-13'!D124))</f>
        <v>-</v>
      </c>
      <c r="E29" s="193">
        <f>IF(AND('A-13'!E30="-",'A-13'!E77="-",'A-13'!E124="-"),"-",SUM('A-13'!E30,'A-13'!E77,'A-13'!E124))</f>
        <v>752</v>
      </c>
      <c r="F29" s="193">
        <f>IF(AND('A-13'!F30="-",'A-13'!F77="-",'A-13'!F124="-"),"-",SUM('A-13'!F30,'A-13'!F77,'A-13'!F124))</f>
        <v>3</v>
      </c>
      <c r="G29" s="193" t="s">
        <v>29</v>
      </c>
      <c r="H29" s="193">
        <f>IF(AND('A-13'!G30="-",'A-13'!G77="-",'A-13'!G124="-"),"-",SUM('A-13'!G30,'A-13'!G77,'A-13'!G124))</f>
        <v>9716</v>
      </c>
      <c r="J29" s="193" t="s">
        <v>29</v>
      </c>
      <c r="K29" s="193" t="s">
        <v>29</v>
      </c>
      <c r="L29" s="193" t="str">
        <f>IF(AND('A-13'!K30="-",'A-13'!K77="-",'A-13'!K124="-"),"-",SUM('A-13'!K30,'A-13'!K77,'A-13'!K124))</f>
        <v>-</v>
      </c>
      <c r="M29" s="193">
        <f>IF(AND('A-13'!L30="-",'A-13'!L77="-",'A-13'!L124="-"),"-",SUM('A-13'!L30,'A-13'!L77,'A-13'!L124))</f>
        <v>2419</v>
      </c>
      <c r="N29" s="193">
        <f>IF(AND('A-13'!M30="-",'A-13'!M77="-",'A-13'!M124="-"),"-",SUM('A-13'!M30,'A-13'!M77,'A-13'!M124))</f>
        <v>49</v>
      </c>
      <c r="O29" s="193" t="s">
        <v>29</v>
      </c>
      <c r="P29" s="193">
        <f>IF(AND('A-13'!N30="-",'A-13'!N77="-",'A-13'!N124="-"),"-",SUM('A-13'!N30,'A-13'!N77,'A-13'!N124))</f>
        <v>2468</v>
      </c>
    </row>
    <row r="30" spans="1:16" ht="11.25" customHeight="1" x14ac:dyDescent="0.25">
      <c r="A30" s="473">
        <v>2001</v>
      </c>
      <c r="B30" s="193">
        <f>IF(AND('A-13'!B31="-",'A-13'!B78="-",'A-13'!B125="-"),"-",SUM('A-13'!B31,'A-13'!B78,'A-13'!B125))</f>
        <v>7092</v>
      </c>
      <c r="C30" s="193">
        <f>IF(AND('A-13'!C31="-",'A-13'!C78="-",'A-13'!C125="-"),"-",SUM('A-13'!C31,'A-13'!C78,'A-13'!C125))</f>
        <v>7188</v>
      </c>
      <c r="D30" s="193">
        <f>IF(AND('A-13'!D31="-",'A-13'!D78="-",'A-13'!D125="-"),"-",SUM('A-13'!D31,'A-13'!D78,'A-13'!D125))</f>
        <v>4940</v>
      </c>
      <c r="E30" s="193">
        <f>IF(AND('A-13'!E31="-",'A-13'!E78="-",'A-13'!E125="-"),"-",SUM('A-13'!E31,'A-13'!E78,'A-13'!E125))</f>
        <v>846</v>
      </c>
      <c r="F30" s="193">
        <f>IF(AND('A-13'!F31="-",'A-13'!F78="-",'A-13'!F125="-"),"-",SUM('A-13'!F31,'A-13'!F78,'A-13'!F125))</f>
        <v>219</v>
      </c>
      <c r="G30" s="193" t="s">
        <v>29</v>
      </c>
      <c r="H30" s="193">
        <f>IF(AND('A-13'!G31="-",'A-13'!G78="-",'A-13'!G125="-"),"-",SUM('A-13'!G31,'A-13'!G78,'A-13'!G125))</f>
        <v>20285</v>
      </c>
      <c r="J30" s="193" t="s">
        <v>29</v>
      </c>
      <c r="K30" s="193" t="s">
        <v>29</v>
      </c>
      <c r="L30" s="193"/>
      <c r="M30" s="193">
        <f>IF(AND('A-13'!L31="-",'A-13'!L78="-",'A-13'!L125="-"),"-",SUM('A-13'!L31,'A-13'!L78,'A-13'!L125))</f>
        <v>2070</v>
      </c>
      <c r="N30" s="193">
        <f>IF(AND('A-13'!M31="-",'A-13'!M78="-",'A-13'!M125="-"),"-",SUM('A-13'!M31,'A-13'!M78,'A-13'!M125))</f>
        <v>2615</v>
      </c>
      <c r="O30" s="193" t="s">
        <v>29</v>
      </c>
      <c r="P30" s="193">
        <f>IF(AND('A-13'!N31="-",'A-13'!N78="-",'A-13'!N125="-"),"-",SUM('A-13'!N31,'A-13'!N78,'A-13'!N125))</f>
        <v>6654</v>
      </c>
    </row>
    <row r="31" spans="1:16" ht="11.25" customHeight="1" x14ac:dyDescent="0.25">
      <c r="A31" s="473">
        <v>2002</v>
      </c>
      <c r="B31" s="193">
        <f>IF(AND('A-13'!B32="-",'A-13'!B79="-",'A-13'!B126="-"),"-",SUM('A-13'!B32,'A-13'!B79,'A-13'!B126))</f>
        <v>18010</v>
      </c>
      <c r="C31" s="193">
        <f>IF(AND('A-13'!C32="-",'A-13'!C79="-",'A-13'!C126="-"),"-",SUM('A-13'!C32,'A-13'!C79,'A-13'!C126))</f>
        <v>11001</v>
      </c>
      <c r="D31" s="193">
        <f>IF(AND('A-13'!D32="-",'A-13'!D79="-",'A-13'!D126="-"),"-",SUM('A-13'!D32,'A-13'!D79,'A-13'!D126))</f>
        <v>15271</v>
      </c>
      <c r="E31" s="193">
        <f>IF(AND('A-13'!E32="-",'A-13'!E79="-",'A-13'!E126="-"),"-",SUM('A-13'!E32,'A-13'!E79,'A-13'!E126))</f>
        <v>7781</v>
      </c>
      <c r="F31" s="193" t="str">
        <f>IF(AND('A-13'!F32="-",'A-13'!F79="-",'A-13'!F126="-"),"-",SUM('A-13'!F32,'A-13'!F79,'A-13'!F126))</f>
        <v>-</v>
      </c>
      <c r="G31" s="193" t="s">
        <v>29</v>
      </c>
      <c r="H31" s="193">
        <f>IF(AND('A-13'!G32="-",'A-13'!G79="-",'A-13'!G126="-"),"-",SUM('A-13'!G32,'A-13'!G79,'A-13'!G126))</f>
        <v>52063</v>
      </c>
      <c r="J31" s="193" t="s">
        <v>29</v>
      </c>
      <c r="K31" s="193" t="s">
        <v>29</v>
      </c>
      <c r="L31" s="193" t="str">
        <f>IF(AND('A-13'!K32="-",'A-13'!K79="-",'A-13'!K126="-"),"-",SUM('A-13'!K32,'A-13'!K79,'A-13'!K126))</f>
        <v>-</v>
      </c>
      <c r="M31" s="193">
        <f>IF(AND('A-13'!L32="-",'A-13'!L79="-",'A-13'!L126="-"),"-",SUM('A-13'!L32,'A-13'!L79,'A-13'!L126))</f>
        <v>53</v>
      </c>
      <c r="N31" s="193" t="str">
        <f>IF(AND('A-13'!M32="-",'A-13'!M79="-",'A-13'!M126="-"),"-",SUM('A-13'!M32,'A-13'!M79,'A-13'!M126))</f>
        <v>-</v>
      </c>
      <c r="O31" s="193" t="s">
        <v>29</v>
      </c>
      <c r="P31" s="193">
        <f>IF(AND('A-13'!N32="-",'A-13'!N79="-",'A-13'!N126="-"),"-",SUM('A-13'!N32,'A-13'!N79,'A-13'!N126))</f>
        <v>53</v>
      </c>
    </row>
    <row r="32" spans="1:16" ht="11.25" customHeight="1" x14ac:dyDescent="0.25">
      <c r="A32" s="473">
        <v>2003</v>
      </c>
      <c r="B32" s="193">
        <f>IF(AND('A-13'!B33="-",'A-13'!B80="-",'A-13'!B127="-"),"-",SUM('A-13'!B33,'A-13'!B80,'A-13'!B127))</f>
        <v>17920</v>
      </c>
      <c r="C32" s="193">
        <f>IF(AND('A-13'!C33="-",'A-13'!C80="-",'A-13'!C127="-"),"-",SUM('A-13'!C33,'A-13'!C80,'A-13'!C127))</f>
        <v>8808</v>
      </c>
      <c r="D32" s="193">
        <f>IF(AND('A-13'!D33="-",'A-13'!D80="-",'A-13'!D127="-"),"-",SUM('A-13'!D33,'A-13'!D80,'A-13'!D127))</f>
        <v>14372</v>
      </c>
      <c r="E32" s="193">
        <f>IF(AND('A-13'!E33="-",'A-13'!E80="-",'A-13'!E127="-"),"-",SUM('A-13'!E33,'A-13'!E80,'A-13'!E127))</f>
        <v>12056</v>
      </c>
      <c r="F32" s="193">
        <f>IF(AND('A-13'!F33="-",'A-13'!F80="-",'A-13'!F127="-"),"-",SUM('A-13'!F33,'A-13'!F80,'A-13'!F127))</f>
        <v>1126</v>
      </c>
      <c r="G32" s="193" t="s">
        <v>29</v>
      </c>
      <c r="H32" s="193">
        <f>IF(AND('A-13'!G33="-",'A-13'!G80="-",'A-13'!G127="-"),"-",SUM('A-13'!G33,'A-13'!G80,'A-13'!G127))</f>
        <v>54282</v>
      </c>
      <c r="J32" s="193" t="s">
        <v>29</v>
      </c>
      <c r="K32" s="193" t="s">
        <v>29</v>
      </c>
      <c r="L32" s="193">
        <f>IF(AND('A-13'!K33="-",'A-13'!K80="-",'A-13'!K127="-"),"-",SUM('A-13'!K33,'A-13'!K80,'A-13'!K127))</f>
        <v>3279</v>
      </c>
      <c r="M32" s="193">
        <f>IF(AND('A-13'!L33="-",'A-13'!L80="-",'A-13'!L127="-"),"-",SUM('A-13'!L33,'A-13'!L80,'A-13'!L127))</f>
        <v>3755</v>
      </c>
      <c r="N32" s="193">
        <f>IF(AND('A-13'!M33="-",'A-13'!M80="-",'A-13'!M127="-"),"-",SUM('A-13'!M33,'A-13'!M80,'A-13'!M127))</f>
        <v>633</v>
      </c>
      <c r="O32" s="193" t="s">
        <v>29</v>
      </c>
      <c r="P32" s="193">
        <f>IF(AND('A-13'!N33="-",'A-13'!N80="-",'A-13'!N127="-"),"-",SUM('A-13'!N33,'A-13'!N80,'A-13'!N127))</f>
        <v>7667</v>
      </c>
    </row>
    <row r="33" spans="1:16" ht="11.25" customHeight="1" x14ac:dyDescent="0.25">
      <c r="A33" s="473">
        <v>2004</v>
      </c>
      <c r="B33" s="193">
        <f>IF(AND('A-13'!B34="-",'A-13'!B81="-",'A-13'!B128="-"),"-",SUM('A-13'!B34,'A-13'!B81,'A-13'!B128))</f>
        <v>15254</v>
      </c>
      <c r="C33" s="193">
        <f>IF(AND('A-13'!C34="-",'A-13'!C81="-",'A-13'!C128="-"),"-",SUM('A-13'!C34,'A-13'!C81,'A-13'!C128))</f>
        <v>1157</v>
      </c>
      <c r="D33" s="193">
        <f>IF(AND('A-13'!D34="-",'A-13'!D81="-",'A-13'!D128="-"),"-",SUM('A-13'!D34,'A-13'!D81,'A-13'!D128))</f>
        <v>7891</v>
      </c>
      <c r="E33" s="193">
        <f>IF(AND('A-13'!E34="-",'A-13'!E81="-",'A-13'!E128="-"),"-",SUM('A-13'!E34,'A-13'!E81,'A-13'!E128))</f>
        <v>8885</v>
      </c>
      <c r="F33" s="193">
        <f>IF(AND('A-13'!F34="-",'A-13'!F81="-",'A-13'!F128="-"),"-",SUM('A-13'!F34,'A-13'!F81,'A-13'!F128))</f>
        <v>1827</v>
      </c>
      <c r="G33" s="193" t="s">
        <v>29</v>
      </c>
      <c r="H33" s="193">
        <f>IF(AND('A-13'!G34="-",'A-13'!G81="-",'A-13'!G128="-"),"-",SUM('A-13'!G34,'A-13'!G81,'A-13'!G128))</f>
        <v>35014</v>
      </c>
      <c r="J33" s="193" t="s">
        <v>29</v>
      </c>
      <c r="K33" s="193" t="s">
        <v>29</v>
      </c>
      <c r="L33" s="193">
        <f>IF(AND('A-13'!K34="-",'A-13'!K81="-",'A-13'!K128="-"),"-",SUM('A-13'!K34,'A-13'!K81,'A-13'!K128))</f>
        <v>2042</v>
      </c>
      <c r="M33" s="193">
        <f>IF(AND('A-13'!L34="-",'A-13'!L81="-",'A-13'!L128="-"),"-",SUM('A-13'!L34,'A-13'!L81,'A-13'!L128))</f>
        <v>4652</v>
      </c>
      <c r="N33" s="193">
        <f>IF(AND('A-13'!M34="-",'A-13'!M81="-",'A-13'!M128="-"),"-",SUM('A-13'!M34,'A-13'!M81,'A-13'!M128))</f>
        <v>5469</v>
      </c>
      <c r="O33" s="193" t="s">
        <v>29</v>
      </c>
      <c r="P33" s="193">
        <f>IF(AND('A-13'!N34="-",'A-13'!N81="-",'A-13'!N128="-"),"-",SUM('A-13'!N34,'A-13'!N81,'A-13'!N128))</f>
        <v>12163</v>
      </c>
    </row>
    <row r="34" spans="1:16" ht="11.25" customHeight="1" x14ac:dyDescent="0.25">
      <c r="A34" s="477">
        <v>2005</v>
      </c>
      <c r="B34" s="193">
        <f>IF(AND('A-13'!B35="-",'A-13'!B82="-",'A-13'!B129="-"),"-",SUM('A-13'!B35,'A-13'!B82,'A-13'!B129))</f>
        <v>18294</v>
      </c>
      <c r="C34" s="193">
        <f>IF(AND('A-13'!C35="-",'A-13'!C82="-",'A-13'!C129="-"),"-",SUM('A-13'!C35,'A-13'!C82,'A-13'!C129))</f>
        <v>2204</v>
      </c>
      <c r="D34" s="193">
        <f>IF(AND('A-13'!D35="-",'A-13'!D82="-",'A-13'!D129="-"),"-",SUM('A-13'!D35,'A-13'!D82,'A-13'!D129))</f>
        <v>6009</v>
      </c>
      <c r="E34" s="193">
        <f>IF(AND('A-13'!E35="-",'A-13'!E82="-",'A-13'!E129="-"),"-",SUM('A-13'!E35,'A-13'!E82,'A-13'!E129))</f>
        <v>7073</v>
      </c>
      <c r="F34" s="193" t="str">
        <f>IF(AND('A-13'!F35="-",'A-13'!F82="-",'A-13'!F129="-"),"-",SUM('A-13'!F35,'A-13'!F82,'A-13'!F129))</f>
        <v>-</v>
      </c>
      <c r="G34" s="193" t="s">
        <v>29</v>
      </c>
      <c r="H34" s="193">
        <f>IF(AND('A-13'!G35="-",'A-13'!G82="-",'A-13'!G129="-"),"-",SUM('A-13'!G35,'A-13'!G82,'A-13'!G129))</f>
        <v>33580</v>
      </c>
      <c r="I34" s="197"/>
      <c r="J34" s="197" t="s">
        <v>29</v>
      </c>
      <c r="K34" s="197" t="s">
        <v>29</v>
      </c>
      <c r="L34" s="193">
        <f>IF(AND('A-13'!K35="-",'A-13'!K82="-",'A-13'!K129="-"),"-",SUM('A-13'!K35,'A-13'!K82,'A-13'!K129))</f>
        <v>166</v>
      </c>
      <c r="M34" s="193">
        <f>IF(AND('A-13'!L35="-",'A-13'!L82="-",'A-13'!L129="-"),"-",SUM('A-13'!L35,'A-13'!L82,'A-13'!L129))</f>
        <v>638</v>
      </c>
      <c r="N34" s="193" t="str">
        <f>IF(AND('A-13'!M35="-",'A-13'!M82="-",'A-13'!M129="-"),"-",SUM('A-13'!M35,'A-13'!M82,'A-13'!M129))</f>
        <v>-</v>
      </c>
      <c r="O34" s="193" t="s">
        <v>29</v>
      </c>
      <c r="P34" s="193">
        <f>IF(AND('A-13'!N35="-",'A-13'!N82="-",'A-13'!N129="-"),"-",SUM('A-13'!N35,'A-13'!N82,'A-13'!N129))</f>
        <v>804</v>
      </c>
    </row>
    <row r="35" spans="1:16" ht="11.25" customHeight="1" x14ac:dyDescent="0.25">
      <c r="A35" s="473">
        <v>2006</v>
      </c>
      <c r="B35" s="193">
        <f>IF(AND('A-13'!B36="-",'A-13'!B83="-",'A-13'!B130="-"),"-",SUM('A-13'!B36,'A-13'!B83,'A-13'!B130))</f>
        <v>4735</v>
      </c>
      <c r="C35" s="193">
        <f>IF(AND('A-13'!C36="-",'A-13'!C83="-",'A-13'!C130="-"),"-",SUM('A-13'!C36,'A-13'!C83,'A-13'!C130))</f>
        <v>3548</v>
      </c>
      <c r="D35" s="193">
        <f>IF(AND('A-13'!D36="-",'A-13'!D83="-",'A-13'!D130="-"),"-",SUM('A-13'!D36,'A-13'!D83,'A-13'!D130))</f>
        <v>1073</v>
      </c>
      <c r="E35" s="193">
        <f>IF(AND('A-13'!E36="-",'A-13'!E83="-",'A-13'!E130="-"),"-",SUM('A-13'!E36,'A-13'!E83,'A-13'!E130))</f>
        <v>3458</v>
      </c>
      <c r="F35" s="193">
        <f>IF(AND('A-13'!F36="-",'A-13'!F83="-",'A-13'!F130="-"),"-",SUM('A-13'!F36,'A-13'!F83,'A-13'!F130))</f>
        <v>1831</v>
      </c>
      <c r="G35" s="193" t="s">
        <v>29</v>
      </c>
      <c r="H35" s="193">
        <f>IF(AND('A-13'!G36="-",'A-13'!G83="-",'A-13'!G130="-"),"-",SUM('A-13'!G36,'A-13'!G83,'A-13'!G130))</f>
        <v>14645</v>
      </c>
      <c r="J35" s="193" t="s">
        <v>29</v>
      </c>
      <c r="K35" s="193" t="s">
        <v>29</v>
      </c>
      <c r="L35" s="193">
        <f>IF(AND('A-13'!K36="-",'A-13'!K83="-",'A-13'!K130="-"),"-",SUM('A-13'!K36,'A-13'!K83,'A-13'!K130))</f>
        <v>122</v>
      </c>
      <c r="M35" s="193">
        <f>IF(AND('A-13'!L36="-",'A-13'!L83="-",'A-13'!L130="-"),"-",SUM('A-13'!L36,'A-13'!L83,'A-13'!L130))</f>
        <v>816</v>
      </c>
      <c r="N35" s="193">
        <f>IF(AND('A-13'!M36="-",'A-13'!M83="-",'A-13'!M130="-"),"-",SUM('A-13'!M36,'A-13'!M83,'A-13'!M130))</f>
        <v>253</v>
      </c>
      <c r="O35" s="193" t="s">
        <v>29</v>
      </c>
      <c r="P35" s="193">
        <f>IF(AND('A-13'!N36="-",'A-13'!N83="-",'A-13'!N130="-"),"-",SUM('A-13'!N36,'A-13'!N83,'A-13'!N130))</f>
        <v>1191</v>
      </c>
    </row>
    <row r="36" spans="1:16" ht="11.25" customHeight="1" x14ac:dyDescent="0.25">
      <c r="A36" s="477">
        <v>2007</v>
      </c>
      <c r="B36" s="193">
        <f>IF(AND('A-13'!B37="-",'A-13'!B84="-",'A-13'!B131="-"),"-",SUM('A-13'!B37,'A-13'!B84,'A-13'!B131))</f>
        <v>5693</v>
      </c>
      <c r="C36" s="193">
        <f>IF(AND('A-13'!C37="-",'A-13'!C84="-",'A-13'!C131="-"),"-",SUM('A-13'!C37,'A-13'!C84,'A-13'!C131))</f>
        <v>3868</v>
      </c>
      <c r="D36" s="193">
        <f>IF(AND('A-13'!D37="-",'A-13'!D84="-",'A-13'!D131="-"),"-",SUM('A-13'!D37,'A-13'!D84,'A-13'!D131))</f>
        <v>3459</v>
      </c>
      <c r="E36" s="193">
        <f>IF(AND('A-13'!E37="-",'A-13'!E84="-",'A-13'!E131="-"),"-",SUM('A-13'!E37,'A-13'!E84,'A-13'!E131))</f>
        <v>721</v>
      </c>
      <c r="F36" s="193">
        <f>IF(AND('A-13'!F37="-",'A-13'!F84="-",'A-13'!F131="-"),"-",SUM('A-13'!F37,'A-13'!F84,'A-13'!F131))</f>
        <v>27</v>
      </c>
      <c r="G36" s="193" t="s">
        <v>29</v>
      </c>
      <c r="H36" s="193">
        <f>IF(AND('A-13'!G37="-",'A-13'!G84="-",'A-13'!G131="-"),"-",SUM('A-13'!G37,'A-13'!G84,'A-13'!G131))</f>
        <v>13768</v>
      </c>
      <c r="I36" s="197"/>
      <c r="J36" s="197" t="s">
        <v>29</v>
      </c>
      <c r="K36" s="197" t="s">
        <v>29</v>
      </c>
      <c r="L36" s="193">
        <f>IF(AND('A-13'!K37="-",'A-13'!K84="-",'A-13'!K131="-"),"-",SUM('A-13'!K37,'A-13'!K84,'A-13'!K131))</f>
        <v>1944</v>
      </c>
      <c r="M36" s="193">
        <f>IF(AND('A-13'!L37="-",'A-13'!L84="-",'A-13'!L131="-"),"-",SUM('A-13'!L37,'A-13'!L84,'A-13'!L131))</f>
        <v>1043</v>
      </c>
      <c r="N36" s="193">
        <f>IF(AND('A-13'!M37="-",'A-13'!M84="-",'A-13'!M131="-"),"-",SUM('A-13'!M37,'A-13'!M84,'A-13'!M131))</f>
        <v>34</v>
      </c>
      <c r="O36" s="193" t="s">
        <v>29</v>
      </c>
      <c r="P36" s="193">
        <f>IF(AND('A-13'!N37="-",'A-13'!N84="-",'A-13'!N131="-"),"-",SUM('A-13'!N37,'A-13'!N84,'A-13'!N131))</f>
        <v>3021</v>
      </c>
    </row>
    <row r="37" spans="1:16" ht="11.25" customHeight="1" x14ac:dyDescent="0.25">
      <c r="A37" s="477">
        <v>2008</v>
      </c>
      <c r="B37" s="193">
        <f>IF(AND('A-13'!B38="-",'A-13'!B85="-",'A-13'!B132="-"),"-",SUM('A-13'!B38,'A-13'!B85,'A-13'!B132))</f>
        <v>1451</v>
      </c>
      <c r="C37" s="193">
        <f>IF(AND('A-13'!C38="-",'A-13'!C85="-",'A-13'!C132="-"),"-",SUM('A-13'!C38,'A-13'!C85,'A-13'!C132))</f>
        <v>3350</v>
      </c>
      <c r="D37" s="193">
        <f>IF(AND('A-13'!D38="-",'A-13'!D85="-",'A-13'!D132="-"),"-",SUM('A-13'!D38,'A-13'!D85,'A-13'!D132))</f>
        <v>1173</v>
      </c>
      <c r="E37" s="193">
        <f>IF(AND('A-13'!E38="-",'A-13'!E85="-",'A-13'!E132="-"),"-",SUM('A-13'!E38,'A-13'!E85,'A-13'!E132))</f>
        <v>1161</v>
      </c>
      <c r="F37" s="193">
        <f>IF(AND('A-13'!F38="-",'A-13'!F85="-",'A-13'!F132="-"),"-",SUM('A-13'!F38,'A-13'!F85,'A-13'!F132))</f>
        <v>259</v>
      </c>
      <c r="G37" s="193" t="s">
        <v>29</v>
      </c>
      <c r="H37" s="193">
        <f>IF(AND('A-13'!G38="-",'A-13'!G85="-",'A-13'!G132="-"),"-",SUM('A-13'!G38,'A-13'!G85,'A-13'!G132))</f>
        <v>7394</v>
      </c>
      <c r="I37" s="197"/>
      <c r="J37" s="197" t="s">
        <v>29</v>
      </c>
      <c r="K37" s="197" t="s">
        <v>29</v>
      </c>
      <c r="L37" s="193">
        <f>IF(AND('A-13'!K38="-",'A-13'!K85="-",'A-13'!K132="-"),"-",SUM('A-13'!K38,'A-13'!K85,'A-13'!K132))</f>
        <v>351</v>
      </c>
      <c r="M37" s="193">
        <f>IF(AND('A-13'!L38="-",'A-13'!L85="-",'A-13'!L132="-"),"-",SUM('A-13'!L38,'A-13'!L85,'A-13'!L132))</f>
        <v>917</v>
      </c>
      <c r="N37" s="193">
        <f>IF(AND('A-13'!M38="-",'A-13'!M85="-",'A-13'!M132="-"),"-",SUM('A-13'!M38,'A-13'!M85,'A-13'!M132))</f>
        <v>361</v>
      </c>
      <c r="O37" s="193" t="s">
        <v>29</v>
      </c>
      <c r="P37" s="193">
        <f>IF(AND('A-13'!N38="-",'A-13'!N85="-",'A-13'!N132="-"),"-",SUM('A-13'!N38,'A-13'!N85,'A-13'!N132))</f>
        <v>1629</v>
      </c>
    </row>
    <row r="38" spans="1:16" ht="11.25" customHeight="1" x14ac:dyDescent="0.25">
      <c r="A38" s="477">
        <v>2009</v>
      </c>
      <c r="B38" s="193">
        <f>IF(AND('A-13'!B39="-",'A-13'!B86="-",'A-13'!B133="-"),"-",SUM('A-13'!B39,'A-13'!B86,'A-13'!B133))</f>
        <v>5545</v>
      </c>
      <c r="C38" s="193">
        <f>IF(AND('A-13'!C39="-",'A-13'!C86="-",'A-13'!C133="-"),"-",SUM('A-13'!C39,'A-13'!C86,'A-13'!C133))</f>
        <v>4095</v>
      </c>
      <c r="D38" s="193">
        <f>IF(AND('A-13'!D39="-",'A-13'!D86="-",'A-13'!D133="-"),"-",SUM('A-13'!D39,'A-13'!D86,'A-13'!D133))</f>
        <v>1615</v>
      </c>
      <c r="E38" s="193">
        <f>IF(AND('A-13'!E39="-",'A-13'!E86="-",'A-13'!E133="-"),"-",SUM('A-13'!E39,'A-13'!E86,'A-13'!E133))</f>
        <v>680</v>
      </c>
      <c r="F38" s="193">
        <f>IF(AND('A-13'!F39="-",'A-13'!F86="-",'A-13'!F133="-"),"-",SUM('A-13'!F39,'A-13'!F86,'A-13'!F133))</f>
        <v>120</v>
      </c>
      <c r="G38" s="193" t="s">
        <v>29</v>
      </c>
      <c r="H38" s="193">
        <f>IF(AND('A-13'!G39="-",'A-13'!G86="-",'A-13'!G133="-"),"-",SUM('A-13'!G39,'A-13'!G86,'A-13'!G133))</f>
        <v>12055</v>
      </c>
      <c r="I38" s="197"/>
      <c r="J38" s="197" t="s">
        <v>29</v>
      </c>
      <c r="K38" s="197" t="s">
        <v>29</v>
      </c>
      <c r="L38" s="193">
        <f>IF(AND('A-13'!K39="-",'A-13'!K86="-",'A-13'!K133="-"),"-",SUM('A-13'!K39,'A-13'!K86,'A-13'!K133))</f>
        <v>4857</v>
      </c>
      <c r="M38" s="193">
        <f>IF(AND('A-13'!L39="-",'A-13'!L86="-",'A-13'!L133="-"),"-",SUM('A-13'!L39,'A-13'!L86,'A-13'!L133))</f>
        <v>9281</v>
      </c>
      <c r="N38" s="193">
        <f>IF(AND('A-13'!M39="-",'A-13'!M86="-",'A-13'!M133="-"),"-",SUM('A-13'!M39,'A-13'!M86,'A-13'!M133))</f>
        <v>3663</v>
      </c>
      <c r="O38" s="193" t="s">
        <v>29</v>
      </c>
      <c r="P38" s="193">
        <f>IF(AND('A-13'!N39="-",'A-13'!N86="-",'A-13'!N133="-"),"-",SUM('A-13'!N39,'A-13'!N86,'A-13'!N133))</f>
        <v>17801</v>
      </c>
    </row>
    <row r="39" spans="1:16" ht="11.25" customHeight="1" x14ac:dyDescent="0.25">
      <c r="A39" s="477">
        <v>2010</v>
      </c>
      <c r="B39" s="193">
        <f>IF(AND('A-13'!B40="-",'A-13'!B87="-",'A-13'!B134="-"),"-",SUM('A-13'!B40,'A-13'!B87,'A-13'!B134))</f>
        <v>8219</v>
      </c>
      <c r="C39" s="193">
        <f>IF(AND('A-13'!C40="-",'A-13'!C87="-",'A-13'!C134="-"),"-",SUM('A-13'!C40,'A-13'!C87,'A-13'!C134))</f>
        <v>22332</v>
      </c>
      <c r="D39" s="193">
        <f>IF(AND('A-13'!D40="-",'A-13'!D87="-",'A-13'!D134="-"),"-",SUM('A-13'!D40,'A-13'!D87,'A-13'!D134))</f>
        <v>6113</v>
      </c>
      <c r="E39" s="193">
        <f>IF(AND('A-13'!E40="-",'A-13'!E87="-",'A-13'!E134="-"),"-",SUM('A-13'!E40,'A-13'!E87,'A-13'!E134))</f>
        <v>7267</v>
      </c>
      <c r="F39" s="193">
        <f>IF(AND('A-13'!F40="-",'A-13'!F87="-",'A-13'!F134="-"),"-",SUM('A-13'!F40,'A-13'!F87,'A-13'!F134))</f>
        <v>282</v>
      </c>
      <c r="G39" s="193" t="s">
        <v>29</v>
      </c>
      <c r="H39" s="193">
        <f>IF(AND('A-13'!G40="-",'A-13'!G87="-",'A-13'!G134="-"),"-",SUM('A-13'!G40,'A-13'!G87,'A-13'!G134))</f>
        <v>44213</v>
      </c>
      <c r="I39" s="197"/>
      <c r="J39" s="197" t="s">
        <v>29</v>
      </c>
      <c r="K39" s="197" t="s">
        <v>29</v>
      </c>
      <c r="L39" s="193">
        <f>IF(AND('A-13'!K40="-",'A-13'!K87="-",'A-13'!K134="-"),"-",SUM('A-13'!K40,'A-13'!K87,'A-13'!K134))</f>
        <v>1085</v>
      </c>
      <c r="M39" s="193">
        <f>IF(AND('A-13'!L40="-",'A-13'!L87="-",'A-13'!L134="-"),"-",SUM('A-13'!L40,'A-13'!L87,'A-13'!L134))</f>
        <v>744</v>
      </c>
      <c r="N39" s="193">
        <f>IF(AND('A-13'!M40="-",'A-13'!M87="-",'A-13'!M134="-"),"-",SUM('A-13'!M40,'A-13'!M87,'A-13'!M134))</f>
        <v>124</v>
      </c>
      <c r="O39" s="193" t="s">
        <v>29</v>
      </c>
      <c r="P39" s="193">
        <f>IF(AND('A-13'!N40="-",'A-13'!N87="-",'A-13'!N134="-"),"-",SUM('A-13'!N40,'A-13'!N87,'A-13'!N134))</f>
        <v>1953</v>
      </c>
    </row>
    <row r="40" spans="1:16" ht="11.25" customHeight="1" x14ac:dyDescent="0.25">
      <c r="A40" s="477">
        <v>2011</v>
      </c>
      <c r="B40" s="193">
        <f>IF(AND('A-13'!B41="-",'A-13'!B88="-",'A-13'!B135="-"),"-",SUM('A-13'!B41,'A-13'!B88,'A-13'!B135))</f>
        <v>7682</v>
      </c>
      <c r="C40" s="193">
        <f>IF(AND('A-13'!C41="-",'A-13'!C88="-",'A-13'!C135="-"),"-",SUM('A-13'!C41,'A-13'!C88,'A-13'!C135))</f>
        <v>9315</v>
      </c>
      <c r="D40" s="193">
        <f>IF(AND('A-13'!D41="-",'A-13'!D88="-",'A-13'!D135="-"),"-",SUM('A-13'!D41,'A-13'!D88,'A-13'!D135))</f>
        <v>6015</v>
      </c>
      <c r="E40" s="193">
        <f>IF(AND('A-13'!E41="-",'A-13'!E88="-",'A-13'!E135="-"),"-",SUM('A-13'!E41,'A-13'!E88,'A-13'!E135))</f>
        <v>2520</v>
      </c>
      <c r="F40" s="193">
        <f>IF(AND('A-13'!F41="-",'A-13'!F88="-",'A-13'!F135="-"),"-",SUM('A-13'!F41,'A-13'!F88,'A-13'!F135))</f>
        <v>338</v>
      </c>
      <c r="G40" s="193" t="s">
        <v>29</v>
      </c>
      <c r="H40" s="193">
        <f>IF(AND('A-13'!G41="-",'A-13'!G88="-",'A-13'!G135="-"),"-",SUM('A-13'!G41,'A-13'!G88,'A-13'!G135))</f>
        <v>25870</v>
      </c>
      <c r="I40" s="197"/>
      <c r="J40" s="197" t="s">
        <v>29</v>
      </c>
      <c r="K40" s="197" t="s">
        <v>29</v>
      </c>
      <c r="L40" s="193">
        <f>IF(AND('A-13'!K41="-",'A-13'!K88="-",'A-13'!K135="-"),"-",SUM('A-13'!K41,'A-13'!K88,'A-13'!K135))</f>
        <v>1630</v>
      </c>
      <c r="M40" s="193">
        <f>IF(AND('A-13'!L41="-",'A-13'!L88="-",'A-13'!L135="-"),"-",SUM('A-13'!L41,'A-13'!L88,'A-13'!L135))</f>
        <v>892</v>
      </c>
      <c r="N40" s="193">
        <f>IF(AND('A-13'!M41="-",'A-13'!M88="-",'A-13'!M135="-"),"-",SUM('A-13'!M41,'A-13'!M88,'A-13'!M135))</f>
        <v>493</v>
      </c>
      <c r="O40" s="193" t="s">
        <v>29</v>
      </c>
      <c r="P40" s="193">
        <f>IF(AND('A-13'!N41="-",'A-13'!N88="-",'A-13'!N135="-"),"-",SUM('A-13'!N41,'A-13'!N88,'A-13'!N135))</f>
        <v>3015</v>
      </c>
    </row>
    <row r="41" spans="1:16" ht="11.25" customHeight="1" x14ac:dyDescent="0.25">
      <c r="A41" s="477">
        <v>2012</v>
      </c>
      <c r="B41" s="193">
        <f>IF(AND('A-13'!B42="-",'A-13'!B89="-",'A-13'!B136="-"),"-",SUM('A-13'!B42,'A-13'!B89,'A-13'!B136))</f>
        <v>10366</v>
      </c>
      <c r="C41" s="193">
        <f>IF(AND('A-13'!C42="-",'A-13'!C89="-",'A-13'!C136="-"),"-",SUM('A-13'!C42,'A-13'!C89,'A-13'!C136))</f>
        <v>10371</v>
      </c>
      <c r="D41" s="193">
        <f>IF(AND('A-13'!D42="-",'A-13'!D89="-",'A-13'!D136="-"),"-",SUM('A-13'!D42,'A-13'!D89,'A-13'!D136))</f>
        <v>5312</v>
      </c>
      <c r="E41" s="193">
        <f>IF(AND('A-13'!E42="-",'A-13'!E89="-",'A-13'!E136="-"),"-",SUM('A-13'!E42,'A-13'!E89,'A-13'!E136))</f>
        <v>6398</v>
      </c>
      <c r="F41" s="193">
        <f>IF(AND('A-13'!F42="-",'A-13'!F89="-",'A-13'!F136="-"),"-",SUM('A-13'!F42,'A-13'!F89,'A-13'!F136))</f>
        <v>2158</v>
      </c>
      <c r="G41" s="193" t="s">
        <v>29</v>
      </c>
      <c r="H41" s="193">
        <f>IF(AND('A-13'!G42="-",'A-13'!G89="-",'A-13'!G136="-"),"-",SUM('A-13'!G42,'A-13'!G89,'A-13'!G136))</f>
        <v>34605</v>
      </c>
      <c r="I41" s="197"/>
      <c r="J41" s="197" t="s">
        <v>29</v>
      </c>
      <c r="K41" s="197" t="s">
        <v>29</v>
      </c>
      <c r="L41" s="193">
        <f>IF(AND('A-13'!K42="-",'A-13'!K89="-",'A-13'!K136="-"),"-",SUM('A-13'!K42,'A-13'!K89,'A-13'!K136))</f>
        <v>746</v>
      </c>
      <c r="M41" s="193">
        <f>IF(AND('A-13'!L42="-",'A-13'!L89="-",'A-13'!L136="-"),"-",SUM('A-13'!L42,'A-13'!L89,'A-13'!L136))</f>
        <v>1116</v>
      </c>
      <c r="N41" s="193">
        <f>IF(AND('A-13'!M42="-",'A-13'!M89="-",'A-13'!M136="-"),"-",SUM('A-13'!M42,'A-13'!M89,'A-13'!M136))</f>
        <v>1317</v>
      </c>
      <c r="O41" s="193" t="s">
        <v>29</v>
      </c>
      <c r="P41" s="193">
        <f>IF(AND('A-13'!N42="-",'A-13'!N89="-",'A-13'!N136="-"),"-",SUM('A-13'!N42,'A-13'!N89,'A-13'!N136))</f>
        <v>3179</v>
      </c>
    </row>
    <row r="42" spans="1:16" ht="11.25" customHeight="1" x14ac:dyDescent="0.25">
      <c r="A42" s="477">
        <v>2013</v>
      </c>
      <c r="B42" s="193">
        <f>IF(AND('A-13'!B43="-",'A-13'!B90="-",'A-13'!B137="-"),"-",SUM('A-13'!B43,'A-13'!B90,'A-13'!B137))</f>
        <v>10487</v>
      </c>
      <c r="C42" s="193">
        <f>IF(AND('A-13'!C43="-",'A-13'!C90="-",'A-13'!C137="-"),"-",SUM('A-13'!C43,'A-13'!C90,'A-13'!C137))</f>
        <v>11848</v>
      </c>
      <c r="D42" s="193">
        <f>IF(AND('A-13'!D43="-",'A-13'!D90="-",'A-13'!D137="-"),"-",SUM('A-13'!D43,'A-13'!D90,'A-13'!D137))</f>
        <v>7816</v>
      </c>
      <c r="E42" s="193">
        <f>IF(AND('A-13'!E43="-",'A-13'!E90="-",'A-13'!E137="-"),"-",SUM('A-13'!E43,'A-13'!E90,'A-13'!E137))</f>
        <v>8689</v>
      </c>
      <c r="F42" s="193">
        <f>IF(AND('A-13'!F43="-",'A-13'!F90="-",'A-13'!F137="-"),"-",SUM('A-13'!F43,'A-13'!F90,'A-13'!F137))</f>
        <v>690</v>
      </c>
      <c r="G42" s="193" t="s">
        <v>29</v>
      </c>
      <c r="H42" s="193">
        <f>IF(AND('A-13'!G43="-",'A-13'!G90="-",'A-13'!G137="-"),"-",SUM('A-13'!G43,'A-13'!G90,'A-13'!G137))</f>
        <v>39530</v>
      </c>
      <c r="I42" s="197"/>
      <c r="J42" s="197" t="s">
        <v>29</v>
      </c>
      <c r="K42" s="197" t="s">
        <v>29</v>
      </c>
      <c r="L42" s="193">
        <f>IF(AND('A-13'!K43="-",'A-13'!K90="-",'A-13'!K137="-"),"-",SUM('A-13'!K43,'A-13'!K90,'A-13'!K137))</f>
        <v>1892</v>
      </c>
      <c r="M42" s="193">
        <f>IF(AND('A-13'!L43="-",'A-13'!L90="-",'A-13'!L137="-"),"-",SUM('A-13'!L43,'A-13'!L90,'A-13'!L137))</f>
        <v>3764</v>
      </c>
      <c r="N42" s="193">
        <f>IF(AND('A-13'!M43="-",'A-13'!M90="-",'A-13'!M137="-"),"-",SUM('A-13'!M43,'A-13'!M90,'A-13'!M137))</f>
        <v>258</v>
      </c>
      <c r="O42" s="193" t="s">
        <v>29</v>
      </c>
      <c r="P42" s="193">
        <f>IF(AND('A-13'!N43="-",'A-13'!N90="-",'A-13'!N137="-"),"-",SUM('A-13'!N43,'A-13'!N90,'A-13'!N137))</f>
        <v>5914</v>
      </c>
    </row>
    <row r="43" spans="1:16" ht="11.25" customHeight="1" x14ac:dyDescent="0.25">
      <c r="A43" s="477">
        <v>2014</v>
      </c>
      <c r="B43" s="193">
        <f>IF(AND('A-13'!B44="-",'A-13'!B91="-",'A-13'!B138="-"),"-",SUM('A-13'!B44,'A-13'!B91,'A-13'!B138))</f>
        <v>12788</v>
      </c>
      <c r="C43" s="193">
        <f>IF(AND('A-13'!C44="-",'A-13'!C91="-",'A-13'!C138="-"),"-",SUM('A-13'!C44,'A-13'!C91,'A-13'!C138))</f>
        <v>2557</v>
      </c>
      <c r="D43" s="193">
        <f>IF(AND('A-13'!D44="-",'A-13'!D91="-",'A-13'!D138="-"),"-",SUM('A-13'!D44,'A-13'!D91,'A-13'!D138))</f>
        <v>8098</v>
      </c>
      <c r="E43" s="193">
        <f>IF(AND('A-13'!E44="-",'A-13'!E91="-",'A-13'!E138="-"),"-",SUM('A-13'!E44,'A-13'!E91,'A-13'!E138))</f>
        <v>5664</v>
      </c>
      <c r="F43" s="193">
        <f>IF(AND('A-13'!F44="-",'A-13'!F91="-",'A-13'!F138="-"),"-",SUM('A-13'!F44,'A-13'!F91,'A-13'!F138))</f>
        <v>620</v>
      </c>
      <c r="G43" s="193" t="s">
        <v>29</v>
      </c>
      <c r="H43" s="193">
        <f>IF(AND('A-13'!G44="-",'A-13'!G91="-",'A-13'!G138="-"),"-",SUM('A-13'!G44,'A-13'!G91,'A-13'!G138))</f>
        <v>29727</v>
      </c>
      <c r="I43" s="197"/>
      <c r="J43" s="197" t="s">
        <v>29</v>
      </c>
      <c r="K43" s="197" t="s">
        <v>29</v>
      </c>
      <c r="L43" s="193">
        <f>IF(AND('A-13'!K44="-",'A-13'!K91="-",'A-13'!K138="-"),"-",SUM('A-13'!K44,'A-13'!K91,'A-13'!K138))</f>
        <v>2907</v>
      </c>
      <c r="M43" s="193">
        <f>IF(AND('A-13'!L44="-",'A-13'!L91="-",'A-13'!L138="-"),"-",SUM('A-13'!L44,'A-13'!L91,'A-13'!L138))</f>
        <v>6050</v>
      </c>
      <c r="N43" s="193">
        <f>IF(AND('A-13'!M44="-",'A-13'!M91="-",'A-13'!M138="-"),"-",SUM('A-13'!M44,'A-13'!M91,'A-13'!M138))</f>
        <v>4211</v>
      </c>
      <c r="O43" s="193" t="s">
        <v>29</v>
      </c>
      <c r="P43" s="193">
        <f>IF(AND('A-13'!N44="-",'A-13'!N91="-",'A-13'!N138="-"),"-",SUM('A-13'!N44,'A-13'!N91,'A-13'!N138))</f>
        <v>13168</v>
      </c>
    </row>
    <row r="44" spans="1:16" ht="11.25" customHeight="1" x14ac:dyDescent="0.25">
      <c r="A44" s="477">
        <v>2015</v>
      </c>
      <c r="B44" s="193">
        <f>IF(AND('A-13'!B45="-",'A-13'!B92="-",'A-13'!B139="-"),"-",SUM('A-13'!B45,'A-13'!B92,'A-13'!B139))</f>
        <v>12922</v>
      </c>
      <c r="C44" s="193">
        <f>IF(AND('A-13'!C45="-",'A-13'!C92="-",'A-13'!C139="-"),"-",SUM('A-13'!C45,'A-13'!C92,'A-13'!C139))</f>
        <v>14408</v>
      </c>
      <c r="D44" s="193">
        <f>IF(AND('A-13'!D45="-",'A-13'!D92="-",'A-13'!D139="-"),"-",SUM('A-13'!D45,'A-13'!D92,'A-13'!D139))</f>
        <v>12610</v>
      </c>
      <c r="E44" s="193">
        <f>IF(AND('A-13'!E45="-",'A-13'!E92="-",'A-13'!E139="-"),"-",SUM('A-13'!E45,'A-13'!E92,'A-13'!E139))</f>
        <v>9831</v>
      </c>
      <c r="F44" s="193">
        <f>IF(AND('A-13'!F45="-",'A-13'!F92="-",'A-13'!F139="-"),"-",SUM('A-13'!F45,'A-13'!F92,'A-13'!F139))</f>
        <v>1517</v>
      </c>
      <c r="G44" s="193" t="s">
        <v>29</v>
      </c>
      <c r="H44" s="193">
        <f>IF(AND('A-13'!G45="-",'A-13'!G92="-",'A-13'!G139="-"),"-",SUM('A-13'!G45,'A-13'!G92,'A-13'!G139))</f>
        <v>51288</v>
      </c>
      <c r="I44" s="197"/>
      <c r="J44" s="197" t="s">
        <v>29</v>
      </c>
      <c r="K44" s="197" t="s">
        <v>29</v>
      </c>
      <c r="L44" s="193">
        <f>IF(AND('A-13'!K45="-",'A-13'!K92="-",'A-13'!K139="-"),"-",SUM('A-13'!K45,'A-13'!K92,'A-13'!K139))</f>
        <v>687</v>
      </c>
      <c r="M44" s="193">
        <f>IF(AND('A-13'!L45="-",'A-13'!L92="-",'A-13'!L139="-"),"-",SUM('A-13'!L45,'A-13'!L92,'A-13'!L139))</f>
        <v>998</v>
      </c>
      <c r="N44" s="193">
        <f>IF(AND('A-13'!M45="-",'A-13'!M92="-",'A-13'!M139="-"),"-",SUM('A-13'!M45,'A-13'!M92,'A-13'!M139))</f>
        <v>497</v>
      </c>
      <c r="O44" s="193" t="s">
        <v>29</v>
      </c>
      <c r="P44" s="193">
        <f>IF(AND('A-13'!N45="-",'A-13'!N92="-",'A-13'!N139="-"),"-",SUM('A-13'!N45,'A-13'!N92,'A-13'!N139))</f>
        <v>2182</v>
      </c>
    </row>
    <row r="45" spans="1:16" ht="11.25" customHeight="1" x14ac:dyDescent="0.25">
      <c r="A45" s="477">
        <v>2016</v>
      </c>
      <c r="B45" s="197">
        <f>IF(AND('A-13'!B46="-",'A-13'!B93="-",'A-13'!B140="-"),"-",SUM('A-13'!B46,'A-13'!B93,'A-13'!B140))</f>
        <v>6434</v>
      </c>
      <c r="C45" s="197">
        <f>IF(AND('A-13'!C46="-",'A-13'!C93="-",'A-13'!C140="-"),"-",SUM('A-13'!C46,'A-13'!C93,'A-13'!C140))</f>
        <v>3964</v>
      </c>
      <c r="D45" s="197">
        <f>IF(AND('A-13'!D46="-",'A-13'!D93="-",'A-13'!D140="-"),"-",SUM('A-13'!D46,'A-13'!D93,'A-13'!D140))</f>
        <v>3325</v>
      </c>
      <c r="E45" s="197">
        <f>IF(AND('A-13'!E46="-",'A-13'!E93="-",'A-13'!E140="-"),"-",SUM('A-13'!E46,'A-13'!E93,'A-13'!E140))</f>
        <v>1962</v>
      </c>
      <c r="F45" s="197" t="str">
        <f>IF(AND('A-13'!F46="-",'A-13'!F93="-",'A-13'!F140="-"),"-",SUM('A-13'!F46,'A-13'!F93,'A-13'!F140))</f>
        <v>-</v>
      </c>
      <c r="G45" s="197" t="s">
        <v>29</v>
      </c>
      <c r="H45" s="197">
        <f>IF(AND('A-13'!G46="-",'A-13'!G93="-",'A-13'!G140="-"),"-",SUM('A-13'!G46,'A-13'!G93,'A-13'!G140))</f>
        <v>15685</v>
      </c>
      <c r="I45" s="197"/>
      <c r="J45" s="52" t="s">
        <v>29</v>
      </c>
      <c r="K45" s="52" t="s">
        <v>29</v>
      </c>
      <c r="L45" s="197" t="str">
        <f>IF(AND('A-13'!K46="-",'A-13'!K93="-",'A-13'!K140="-"),"-",SUM('A-13'!K46,'A-13'!K93,'A-13'!K140))</f>
        <v>-</v>
      </c>
      <c r="M45" s="197" t="str">
        <f>IF(AND('A-13'!L46="-",'A-13'!L93="-",'A-13'!L140="-"),"-",SUM('A-13'!L46,'A-13'!L93,'A-13'!L140))</f>
        <v>-</v>
      </c>
      <c r="N45" s="197" t="str">
        <f>IF(AND('A-13'!M46="-",'A-13'!M93="-",'A-13'!M140="-"),"-",SUM('A-13'!M46,'A-13'!M93,'A-13'!M140))</f>
        <v>-</v>
      </c>
      <c r="O45" s="197" t="s">
        <v>29</v>
      </c>
      <c r="P45" s="264" t="str">
        <f>IF(AND('A-13'!N46="-",'A-13'!N93="-",'A-13'!N140="-"),"-",SUM('A-13'!N46,'A-13'!N93,'A-13'!N140))</f>
        <v>-</v>
      </c>
    </row>
    <row r="46" spans="1:16" ht="11.25" customHeight="1" x14ac:dyDescent="0.25">
      <c r="A46" s="477">
        <v>2017</v>
      </c>
      <c r="B46" s="197">
        <f>IF(AND('A-13'!B47="-",'A-13'!B94="-",'A-13'!B141="-"),"-",SUM('A-13'!B47,'A-13'!B94,'A-13'!B141))</f>
        <v>13356</v>
      </c>
      <c r="C46" s="197">
        <f>IF(AND('A-13'!C47="-",'A-13'!C94="-",'A-13'!C141="-"),"-",SUM('A-13'!C47,'A-13'!C94,'A-13'!C141))</f>
        <v>7246</v>
      </c>
      <c r="D46" s="197">
        <f>IF(AND('A-13'!D47="-",'A-13'!D94="-",'A-13'!D141="-"),"-",SUM('A-13'!D47,'A-13'!D94,'A-13'!D141))</f>
        <v>5706</v>
      </c>
      <c r="E46" s="197">
        <f>IF(AND('A-13'!E47="-",'A-13'!E94="-",'A-13'!E141="-"),"-",SUM('A-13'!E47,'A-13'!E94,'A-13'!E141))</f>
        <v>5285</v>
      </c>
      <c r="F46" s="197">
        <f>IF(AND('A-13'!F47="-",'A-13'!F94="-",'A-13'!F141="-"),"-",SUM('A-13'!F47,'A-13'!F94,'A-13'!F141))</f>
        <v>766</v>
      </c>
      <c r="G46" s="197" t="s">
        <v>29</v>
      </c>
      <c r="H46" s="197">
        <f>IF(AND('A-13'!G47="-",'A-13'!G94="-",'A-13'!G141="-"),"-",SUM('A-13'!G47,'A-13'!G94,'A-13'!G141))</f>
        <v>32359</v>
      </c>
      <c r="I46" s="197"/>
      <c r="J46" s="52" t="s">
        <v>29</v>
      </c>
      <c r="K46" s="52" t="s">
        <v>29</v>
      </c>
      <c r="L46" s="197">
        <f>IF(AND('A-13'!K47="-",'A-13'!K94="-",'A-13'!K141="-"),"-",SUM('A-13'!K47,'A-13'!K94,'A-13'!K141))</f>
        <v>217</v>
      </c>
      <c r="M46" s="197">
        <f>IF(AND('A-13'!L47="-",'A-13'!L94="-",'A-13'!L141="-"),"-",SUM('A-13'!L47,'A-13'!L94,'A-13'!L141))</f>
        <v>719</v>
      </c>
      <c r="N46" s="197">
        <f>IF(AND('A-13'!M47="-",'A-13'!M94="-",'A-13'!M141="-"),"-",SUM('A-13'!M47,'A-13'!M94,'A-13'!M141))</f>
        <v>301</v>
      </c>
      <c r="O46" s="197" t="s">
        <v>29</v>
      </c>
      <c r="P46" s="197">
        <f>IF(AND('A-13'!N47="-",'A-13'!N94="-",'A-13'!N141="-"),"-",SUM('A-13'!N47,'A-13'!N94,'A-13'!N141))</f>
        <v>1237</v>
      </c>
    </row>
    <row r="47" spans="1:16" s="358" customFormat="1" ht="11.25" customHeight="1" x14ac:dyDescent="0.25">
      <c r="A47" s="157">
        <v>2018</v>
      </c>
      <c r="B47" s="197">
        <f>IF(AND('A-13'!B48="-",'A-13'!B95="-",'A-13'!B142="-"),"-",SUM('A-13'!B48,'A-13'!B95,'A-13'!B142))</f>
        <v>6653</v>
      </c>
      <c r="C47" s="197">
        <f>IF(AND('A-13'!C48="-",'A-13'!C95="-",'A-13'!C142="-"),"-",SUM('A-13'!C48,'A-13'!C95,'A-13'!C142))</f>
        <v>8942</v>
      </c>
      <c r="D47" s="197">
        <f>IF(AND('A-13'!D48="-",'A-13'!D95="-",'A-13'!D142="-"),"-",SUM('A-13'!D48,'A-13'!D95,'A-13'!D142))</f>
        <v>5438</v>
      </c>
      <c r="E47" s="197">
        <f>IF(AND('A-13'!E48="-",'A-13'!E95="-",'A-13'!E142="-"),"-",SUM('A-13'!E48,'A-13'!E95,'A-13'!E142))</f>
        <v>1683</v>
      </c>
      <c r="F47" s="197">
        <f>IF(AND('A-13'!F48="-",'A-13'!F95="-",'A-13'!F142="-"),"-",SUM('A-13'!F48,'A-13'!F95,'A-13'!F142))</f>
        <v>709</v>
      </c>
      <c r="G47" s="197" t="s">
        <v>29</v>
      </c>
      <c r="H47" s="197">
        <f>IF(AND('A-13'!G48="-",'A-13'!G95="-",'A-13'!G142="-"),"-",SUM('A-13'!G48,'A-13'!G95,'A-13'!G142))</f>
        <v>23425</v>
      </c>
      <c r="J47" s="52" t="s">
        <v>29</v>
      </c>
      <c r="K47" s="52" t="s">
        <v>29</v>
      </c>
      <c r="L47" s="197">
        <f>IF(AND('A-13'!K48="-",'A-13'!K95="-",'A-13'!K142="-"),"-",SUM('A-13'!K48,'A-13'!K95,'A-13'!K142))</f>
        <v>415</v>
      </c>
      <c r="M47" s="197">
        <f>IF(AND('A-13'!L48="-",'A-13'!L95="-",'A-13'!L142="-"),"-",SUM('A-13'!L48,'A-13'!L95,'A-13'!L142))</f>
        <v>456</v>
      </c>
      <c r="N47" s="197">
        <f>IF(AND('A-13'!M48="-",'A-13'!M95="-",'A-13'!M142="-"),"-",SUM('A-13'!M48,'A-13'!M95,'A-13'!M142))</f>
        <v>388</v>
      </c>
      <c r="O47" s="197" t="s">
        <v>29</v>
      </c>
      <c r="P47" s="197">
        <f>IF(AND('A-13'!N48="-",'A-13'!N95="-",'A-13'!N142="-"),"-",SUM('A-13'!N48,'A-13'!N95,'A-13'!N142))</f>
        <v>1259</v>
      </c>
    </row>
    <row r="48" spans="1:16" s="358" customFormat="1" ht="11.25" customHeight="1" x14ac:dyDescent="0.25">
      <c r="A48" s="157">
        <v>2019</v>
      </c>
      <c r="B48" s="197">
        <f>IF(AND('A-13'!B49="-",'A-13'!B96="-",'A-13'!B143="-"),"-",SUM('A-13'!B49,'A-13'!B96,'A-13'!B143))</f>
        <v>3762</v>
      </c>
      <c r="C48" s="197">
        <f>IF(AND('A-13'!C49="-",'A-13'!C96="-",'A-13'!C143="-"),"-",SUM('A-13'!C49,'A-13'!C96,'A-13'!C143))</f>
        <v>3018</v>
      </c>
      <c r="D48" s="197">
        <f>IF(AND('A-13'!D49="-",'A-13'!D96="-",'A-13'!D143="-"),"-",SUM('A-13'!D49,'A-13'!D96,'A-13'!D143))</f>
        <v>11394</v>
      </c>
      <c r="E48" s="197">
        <f>IF(AND('A-13'!E49="-",'A-13'!E96="-",'A-13'!E143="-"),"-",SUM('A-13'!E49,'A-13'!E96,'A-13'!E143))</f>
        <v>2641</v>
      </c>
      <c r="F48" s="197">
        <f>IF(AND('A-13'!F49="-",'A-13'!F96="-",'A-13'!F143="-"),"-",SUM('A-13'!F49,'A-13'!F96,'A-13'!F143))</f>
        <v>1732</v>
      </c>
      <c r="G48" s="197" t="s">
        <v>29</v>
      </c>
      <c r="H48" s="197">
        <f>IF(AND('A-13'!G49="-",'A-13'!G96="-",'A-13'!G143="-"),"-",SUM('A-13'!G49,'A-13'!G96,'A-13'!G143))</f>
        <v>22547</v>
      </c>
      <c r="J48" s="52" t="s">
        <v>29</v>
      </c>
      <c r="K48" s="52" t="s">
        <v>29</v>
      </c>
      <c r="L48" s="197">
        <f>IF(AND('A-13'!K49="-",'A-13'!K96="-",'A-13'!K143="-"),"-",SUM('A-13'!K49,'A-13'!K96,'A-13'!K143))</f>
        <v>1477</v>
      </c>
      <c r="M48" s="197">
        <f>IF(AND('A-13'!L49="-",'A-13'!L96="-",'A-13'!L143="-"),"-",SUM('A-13'!L49,'A-13'!L96,'A-13'!L143))</f>
        <v>1060</v>
      </c>
      <c r="N48" s="197">
        <f>IF(AND('A-13'!M49="-",'A-13'!M96="-",'A-13'!M143="-"),"-",SUM('A-13'!M49,'A-13'!M96,'A-13'!M143))</f>
        <v>1201</v>
      </c>
      <c r="O48" s="197" t="s">
        <v>29</v>
      </c>
      <c r="P48" s="197">
        <f>IF(AND('A-13'!N49="-",'A-13'!N96="-",'A-13'!N143="-"),"-",SUM('A-13'!N49,'A-13'!N96,'A-13'!N143))</f>
        <v>3738</v>
      </c>
    </row>
    <row r="49" spans="1:16" ht="11.25" customHeight="1" x14ac:dyDescent="0.25">
      <c r="A49" s="157" t="s">
        <v>393</v>
      </c>
      <c r="B49" s="193">
        <f>IF(AND('A-13'!B50="-",'A-13'!B97="-",'A-13'!B144="-"),"-",SUM('A-13'!B50,'A-13'!B97,'A-13'!B144))</f>
        <v>478</v>
      </c>
      <c r="C49" s="193">
        <f>IF(AND('A-13'!C50="-",'A-13'!C97="-",'A-13'!C144="-"),"-",SUM('A-13'!C50,'A-13'!C97,'A-13'!C144))</f>
        <v>1175</v>
      </c>
      <c r="D49" s="193">
        <f>IF(AND('A-13'!D50="-",'A-13'!D97="-",'A-13'!D144="-"),"-",SUM('A-13'!D50,'A-13'!D97,'A-13'!D144))</f>
        <v>7269</v>
      </c>
      <c r="E49" s="193">
        <f>IF(AND('A-13'!E50="-",'A-13'!E97="-",'A-13'!E144="-"),"-",SUM('A-13'!E50,'A-13'!E97,'A-13'!E144))</f>
        <v>2861</v>
      </c>
      <c r="F49" s="193">
        <f>IF(AND('A-13'!F50="-",'A-13'!F97="-",'A-13'!F144="-"),"-",SUM('A-13'!F50,'A-13'!F97,'A-13'!F144))</f>
        <v>149</v>
      </c>
      <c r="G49" s="193" t="s">
        <v>29</v>
      </c>
      <c r="H49" s="193">
        <f>IF(AND('A-13'!G50="-",'A-13'!G97="-",'A-13'!G144="-"),"-",SUM('A-13'!G50,'A-13'!G97,'A-13'!G144))</f>
        <v>11932</v>
      </c>
      <c r="J49" s="31" t="s">
        <v>29</v>
      </c>
      <c r="K49" s="31" t="s">
        <v>29</v>
      </c>
      <c r="L49" s="193">
        <f>IF(AND('A-13'!K50="-",'A-13'!K97="-",'A-13'!K144="-"),"-",SUM('A-13'!K50,'A-13'!K97,'A-13'!K144))</f>
        <v>222</v>
      </c>
      <c r="M49" s="193">
        <f>IF(AND('A-13'!L50="-",'A-13'!L97="-",'A-13'!L144="-"),"-",SUM('A-13'!L50,'A-13'!L97,'A-13'!L144))</f>
        <v>314</v>
      </c>
      <c r="N49" s="193">
        <f>IF(AND('A-13'!M50="-",'A-13'!M97="-",'A-13'!M144="-"),"-",SUM('A-13'!M50,'A-13'!M97,'A-13'!M144))</f>
        <v>86</v>
      </c>
      <c r="O49" s="193" t="s">
        <v>29</v>
      </c>
      <c r="P49" s="193">
        <f>IF(AND('A-13'!N50="-",'A-13'!N97="-",'A-13'!N144="-"),"-",SUM('A-13'!N50,'A-13'!N97,'A-13'!N144))</f>
        <v>622</v>
      </c>
    </row>
    <row r="50" spans="1:16" ht="11.25" customHeight="1" x14ac:dyDescent="0.25"/>
    <row r="51" spans="1:16" ht="11.25" customHeight="1" x14ac:dyDescent="0.25">
      <c r="A51" s="116" t="s">
        <v>307</v>
      </c>
      <c r="B51" s="155"/>
      <c r="C51" s="155"/>
      <c r="D51" s="155"/>
      <c r="E51" s="155"/>
    </row>
    <row r="52" spans="1:16" ht="11.25" customHeight="1" x14ac:dyDescent="0.25">
      <c r="A52" s="473">
        <v>1976</v>
      </c>
      <c r="B52" s="193">
        <f>IF(AND('A-15'!C6="-",'A-15'!C53="-",'A-15'!C100="-",'A-15'!C147="-"),"-",SUM('A-15'!C6,'A-15'!C53,'A-15'!C100,'A-15'!C147))</f>
        <v>381</v>
      </c>
      <c r="C52" s="193">
        <f>IF(AND('A-15'!D6="-",'A-15'!D53="-",'A-15'!D100="-",'A-15'!D147="-"),"-",SUM('A-15'!D6,'A-15'!D53,'A-15'!D100,'A-15'!D147))</f>
        <v>2900</v>
      </c>
      <c r="D52" s="193">
        <f>IF(AND('A-15'!E6="-",'A-15'!E53="-",'A-15'!E100="-",'A-15'!E147="-"),"-",SUM('A-15'!E6,'A-15'!E53,'A-15'!E100,'A-15'!E147))</f>
        <v>3581</v>
      </c>
      <c r="E52" s="193">
        <f>IF(AND('A-15'!F6="-",'A-15'!F53="-",'A-15'!F100="-",'A-15'!F147="-"),"-",SUM('A-15'!F6,'A-15'!F53,'A-15'!F100,'A-15'!F147))</f>
        <v>957</v>
      </c>
      <c r="F52" s="193">
        <f>IF(AND('A-15'!G6="-",'A-15'!G53="-",'A-15'!G100="-",'A-15'!G147="-"),"-",SUM('A-15'!G6,'A-15'!G53,'A-15'!G100,'A-15'!G147))</f>
        <v>70</v>
      </c>
      <c r="G52" s="193">
        <f>IF(AND('A-15'!H6="-",'A-15'!H53="-",'A-15'!H100="-",'A-15'!H147="-"),"-",SUM('A-15'!H6,'A-15'!H53,'A-15'!H100,'A-15'!H147))</f>
        <v>1</v>
      </c>
      <c r="H52" s="193">
        <f>IF(AND('A-15'!J6="-",'A-15'!J53="-",'A-15'!J100="-",'A-15'!J147="-"),"-",SUM('A-15'!J6,'A-15'!J53,'A-15'!J100,'A-15'!J147))</f>
        <v>7889</v>
      </c>
      <c r="J52" s="193">
        <f>IF(AND('A-15'!N6="-",'A-15'!N53="-",'A-15'!N100="-",'A-15'!N147="-"),"-",SUM('A-15'!N6,'A-15'!N53,'A-15'!N100,'A-15'!N147))</f>
        <v>0</v>
      </c>
      <c r="K52" s="193">
        <f>IF(AND('A-15'!O6="-",'A-15'!O53="-",'A-15'!O100="-",'A-15'!O147="-"),"-",SUM('A-15'!O6,'A-15'!O53,'A-15'!O100,'A-15'!O147))</f>
        <v>1466</v>
      </c>
      <c r="L52" s="193">
        <f>IF(AND('A-15'!P6="-",'A-15'!P53="-",'A-15'!P100="-",'A-15'!P147="-"),"-",SUM('A-15'!P6,'A-15'!P53,'A-15'!P100,'A-15'!P147))</f>
        <v>4153</v>
      </c>
      <c r="M52" s="193">
        <f>IF(AND('A-15'!Q6="-",'A-15'!Q53="-",'A-15'!Q100="-",'A-15'!Q147="-"),"-",SUM('A-15'!Q6,'A-15'!Q53,'A-15'!Q100,'A-15'!Q147))</f>
        <v>1583</v>
      </c>
      <c r="N52" s="193">
        <f>IF(AND('A-15'!R6="-",'A-15'!R53="-",'A-15'!R100="-",'A-15'!R147="-"),"-",SUM('A-15'!R6,'A-15'!R53,'A-15'!R100,'A-15'!R147))</f>
        <v>126</v>
      </c>
      <c r="O52" s="193">
        <f>IF(AND('A-15'!S6="-",'A-15'!S53="-",'A-15'!S100="-",'A-15'!S147="-"),"-",SUM('A-15'!S6,'A-15'!S53,'A-15'!S100,'A-15'!S147))</f>
        <v>16</v>
      </c>
      <c r="P52" s="193">
        <f>IF(AND('A-15'!U6="-",'A-15'!U53="-",'A-15'!U100="-",'A-15'!U147="-"),"-",SUM('A-15'!U6,'A-15'!U53,'A-15'!U100,'A-15'!U147))</f>
        <v>7328</v>
      </c>
    </row>
    <row r="53" spans="1:16" ht="11.25" customHeight="1" x14ac:dyDescent="0.25">
      <c r="A53" s="473">
        <v>1977</v>
      </c>
      <c r="B53" s="193">
        <f>IF(AND('A-15'!C7="-",'A-15'!C54="-",'A-15'!C101="-",'A-15'!C148="-"),"-",SUM('A-15'!C7,'A-15'!C54,'A-15'!C101,'A-15'!C148))</f>
        <v>1676</v>
      </c>
      <c r="C53" s="193">
        <f>IF(AND('A-15'!D7="-",'A-15'!D54="-",'A-15'!D101="-",'A-15'!D148="-"),"-",SUM('A-15'!D7,'A-15'!D54,'A-15'!D101,'A-15'!D148))</f>
        <v>1840</v>
      </c>
      <c r="D53" s="193">
        <f>IF(AND('A-15'!E7="-",'A-15'!E54="-",'A-15'!E101="-",'A-15'!E148="-"),"-",SUM('A-15'!E7,'A-15'!E54,'A-15'!E101,'A-15'!E148))</f>
        <v>871</v>
      </c>
      <c r="E53" s="193">
        <f>IF(AND('A-15'!F7="-",'A-15'!F54="-",'A-15'!F101="-",'A-15'!F148="-"),"-",SUM('A-15'!F7,'A-15'!F54,'A-15'!F101,'A-15'!F148))</f>
        <v>413</v>
      </c>
      <c r="F53" s="193">
        <f>IF(AND('A-15'!G7="-",'A-15'!G54="-",'A-15'!G101="-",'A-15'!G148="-"),"-",SUM('A-15'!G7,'A-15'!G54,'A-15'!G101,'A-15'!G148))</f>
        <v>168</v>
      </c>
      <c r="G53" s="193">
        <f>IF(AND('A-15'!H7="-",'A-15'!H54="-",'A-15'!H101="-",'A-15'!H148="-"),"-",SUM('A-15'!H7,'A-15'!H54,'A-15'!H101,'A-15'!H148))</f>
        <v>8</v>
      </c>
      <c r="H53" s="193">
        <f>IF(AND('A-15'!J7="-",'A-15'!J54="-",'A-15'!J101="-",'A-15'!J148="-"),"-",SUM('A-15'!J7,'A-15'!J54,'A-15'!J101,'A-15'!J148))</f>
        <v>4968</v>
      </c>
      <c r="J53" s="193">
        <f>IF(AND('A-15'!N7="-",'A-15'!N54="-",'A-15'!N101="-",'A-15'!N148="-"),"-",SUM('A-15'!N7,'A-15'!N54,'A-15'!N101,'A-15'!N148))</f>
        <v>258</v>
      </c>
      <c r="K53" s="193">
        <f>IF(AND('A-15'!O7="-",'A-15'!O54="-",'A-15'!O101="-",'A-15'!O148="-"),"-",SUM('A-15'!O7,'A-15'!O54,'A-15'!O101,'A-15'!O148))</f>
        <v>3440</v>
      </c>
      <c r="L53" s="193">
        <f>IF(AND('A-15'!P7="-",'A-15'!P54="-",'A-15'!P101="-",'A-15'!P148="-"),"-",SUM('A-15'!P7,'A-15'!P54,'A-15'!P101,'A-15'!P148))</f>
        <v>1263</v>
      </c>
      <c r="M53" s="193">
        <f>IF(AND('A-15'!Q7="-",'A-15'!Q54="-",'A-15'!Q101="-",'A-15'!Q148="-"),"-",SUM('A-15'!Q7,'A-15'!Q54,'A-15'!Q101,'A-15'!Q148))</f>
        <v>1592</v>
      </c>
      <c r="N53" s="193">
        <f>IF(AND('A-15'!R7="-",'A-15'!R54="-",'A-15'!R101="-",'A-15'!R148="-"),"-",SUM('A-15'!R7,'A-15'!R54,'A-15'!R101,'A-15'!R148))</f>
        <v>419</v>
      </c>
      <c r="O53" s="193">
        <f>IF(AND('A-15'!S7="-",'A-15'!S54="-",'A-15'!S101="-",'A-15'!S148="-"),"-",SUM('A-15'!S7,'A-15'!S54,'A-15'!S101,'A-15'!S148))</f>
        <v>4</v>
      </c>
      <c r="P53" s="193">
        <f>IF(AND('A-15'!U7="-",'A-15'!U54="-",'A-15'!U101="-",'A-15'!U148="-"),"-",SUM('A-15'!U7,'A-15'!U54,'A-15'!U101,'A-15'!U148))</f>
        <v>6972</v>
      </c>
    </row>
    <row r="54" spans="1:16" ht="11.25" customHeight="1" x14ac:dyDescent="0.25">
      <c r="A54" s="473">
        <v>1978</v>
      </c>
      <c r="B54" s="193">
        <f>IF(AND('A-15'!C8="-",'A-15'!C55="-",'A-15'!C102="-",'A-15'!C149="-"),"-",SUM('A-15'!C8,'A-15'!C55,'A-15'!C102,'A-15'!C149))</f>
        <v>946</v>
      </c>
      <c r="C54" s="193">
        <f>IF(AND('A-15'!D8="-",'A-15'!D55="-",'A-15'!D102="-",'A-15'!D149="-"),"-",SUM('A-15'!D8,'A-15'!D55,'A-15'!D102,'A-15'!D149))</f>
        <v>3877</v>
      </c>
      <c r="D54" s="193">
        <f>IF(AND('A-15'!E8="-",'A-15'!E55="-",'A-15'!E102="-",'A-15'!E149="-"),"-",SUM('A-15'!E8,'A-15'!E55,'A-15'!E102,'A-15'!E149))</f>
        <v>827</v>
      </c>
      <c r="E54" s="193">
        <f>IF(AND('A-15'!F8="-",'A-15'!F55="-",'A-15'!F102="-",'A-15'!F149="-"),"-",SUM('A-15'!F8,'A-15'!F55,'A-15'!F102,'A-15'!F149))</f>
        <v>232</v>
      </c>
      <c r="F54" s="193">
        <f>IF(AND('A-15'!G8="-",'A-15'!G55="-",'A-15'!G102="-",'A-15'!G149="-"),"-",SUM('A-15'!G8,'A-15'!G55,'A-15'!G102,'A-15'!G149))</f>
        <v>64</v>
      </c>
      <c r="G54" s="193">
        <f>IF(AND('A-15'!H8="-",'A-15'!H55="-",'A-15'!H102="-",'A-15'!H149="-"),"-",SUM('A-15'!H8,'A-15'!H55,'A-15'!H102,'A-15'!H149))</f>
        <v>26</v>
      </c>
      <c r="H54" s="193">
        <f>IF(AND('A-15'!J8="-",'A-15'!J55="-",'A-15'!J102="-",'A-15'!J149="-"),"-",SUM('A-15'!J8,'A-15'!J55,'A-15'!J102,'A-15'!J149))</f>
        <v>5946</v>
      </c>
      <c r="J54" s="193">
        <f>IF(AND('A-15'!N8="-",'A-15'!N55="-",'A-15'!N102="-",'A-15'!N149="-"),"-",SUM('A-15'!N8,'A-15'!N55,'A-15'!N102,'A-15'!N149))</f>
        <v>231</v>
      </c>
      <c r="K54" s="193">
        <f>IF(AND('A-15'!O8="-",'A-15'!O55="-",'A-15'!O102="-",'A-15'!O149="-"),"-",SUM('A-15'!O8,'A-15'!O55,'A-15'!O102,'A-15'!O149))</f>
        <v>3405</v>
      </c>
      <c r="L54" s="193">
        <f>IF(AND('A-15'!P8="-",'A-15'!P55="-",'A-15'!P102="-",'A-15'!P149="-"),"-",SUM('A-15'!P8,'A-15'!P55,'A-15'!P102,'A-15'!P149))</f>
        <v>1307</v>
      </c>
      <c r="M54" s="193">
        <f>IF(AND('A-15'!Q8="-",'A-15'!Q55="-",'A-15'!Q102="-",'A-15'!Q149="-"),"-",SUM('A-15'!Q8,'A-15'!Q55,'A-15'!Q102,'A-15'!Q149))</f>
        <v>509</v>
      </c>
      <c r="N54" s="193">
        <f>IF(AND('A-15'!R8="-",'A-15'!R55="-",'A-15'!R102="-",'A-15'!R149="-"),"-",SUM('A-15'!R8,'A-15'!R55,'A-15'!R102,'A-15'!R149))</f>
        <v>550</v>
      </c>
      <c r="O54" s="193">
        <f>IF(AND('A-15'!S8="-",'A-15'!S55="-",'A-15'!S102="-",'A-15'!S149="-"),"-",SUM('A-15'!S8,'A-15'!S55,'A-15'!S102,'A-15'!S149))</f>
        <v>8</v>
      </c>
      <c r="P54" s="193">
        <f>IF(AND('A-15'!U8="-",'A-15'!U55="-",'A-15'!U102="-",'A-15'!U149="-"),"-",SUM('A-15'!U8,'A-15'!U55,'A-15'!U102,'A-15'!U149))</f>
        <v>6002</v>
      </c>
    </row>
    <row r="55" spans="1:16" ht="11.25" customHeight="1" x14ac:dyDescent="0.25">
      <c r="A55" s="473">
        <v>1979</v>
      </c>
      <c r="B55" s="193">
        <f>IF(AND('A-15'!C9="-",'A-15'!C56="-",'A-15'!C103="-",'A-15'!C150="-"),"-",SUM('A-15'!C9,'A-15'!C56,'A-15'!C103,'A-15'!C150))</f>
        <v>798</v>
      </c>
      <c r="C55" s="193">
        <f>IF(AND('A-15'!D9="-",'A-15'!D56="-",'A-15'!D103="-",'A-15'!D150="-"),"-",SUM('A-15'!D9,'A-15'!D56,'A-15'!D103,'A-15'!D150))</f>
        <v>723</v>
      </c>
      <c r="D55" s="193">
        <f>IF(AND('A-15'!E9="-",'A-15'!E56="-",'A-15'!E103="-",'A-15'!E150="-"),"-",SUM('A-15'!E9,'A-15'!E56,'A-15'!E103,'A-15'!E150))</f>
        <v>330</v>
      </c>
      <c r="E55" s="193">
        <f>IF(AND('A-15'!F9="-",'A-15'!F56="-",'A-15'!F103="-",'A-15'!F150="-"),"-",SUM('A-15'!F9,'A-15'!F56,'A-15'!F103,'A-15'!F150))</f>
        <v>299</v>
      </c>
      <c r="F55" s="193">
        <f>IF(AND('A-15'!G9="-",'A-15'!G56="-",'A-15'!G103="-",'A-15'!G150="-"),"-",SUM('A-15'!G9,'A-15'!G56,'A-15'!G103,'A-15'!G150))</f>
        <v>27</v>
      </c>
      <c r="G55" s="193">
        <f>IF(AND('A-15'!H9="-",'A-15'!H56="-",'A-15'!H103="-",'A-15'!H150="-"),"-",SUM('A-15'!H9,'A-15'!H56,'A-15'!H103,'A-15'!H150))</f>
        <v>4</v>
      </c>
      <c r="H55" s="193">
        <f>IF(AND('A-15'!J9="-",'A-15'!J56="-",'A-15'!J103="-",'A-15'!J150="-"),"-",SUM('A-15'!J9,'A-15'!J56,'A-15'!J103,'A-15'!J150))</f>
        <v>2177</v>
      </c>
      <c r="J55" s="193">
        <f>IF(AND('A-15'!N9="-",'A-15'!N56="-",'A-15'!N103="-",'A-15'!N150="-"),"-",SUM('A-15'!N9,'A-15'!N56,'A-15'!N103,'A-15'!N150))</f>
        <v>1051</v>
      </c>
      <c r="K55" s="193">
        <f>IF(AND('A-15'!O9="-",'A-15'!O56="-",'A-15'!O103="-",'A-15'!O150="-"),"-",SUM('A-15'!O9,'A-15'!O56,'A-15'!O103,'A-15'!O150))</f>
        <v>4777</v>
      </c>
      <c r="L55" s="193">
        <f>IF(AND('A-15'!P9="-",'A-15'!P56="-",'A-15'!P103="-",'A-15'!P150="-"),"-",SUM('A-15'!P9,'A-15'!P56,'A-15'!P103,'A-15'!P150))</f>
        <v>2071</v>
      </c>
      <c r="M55" s="193">
        <f>IF(AND('A-15'!Q9="-",'A-15'!Q56="-",'A-15'!Q103="-",'A-15'!Q150="-"),"-",SUM('A-15'!Q9,'A-15'!Q56,'A-15'!Q103,'A-15'!Q150))</f>
        <v>2132</v>
      </c>
      <c r="N55" s="193">
        <f>IF(AND('A-15'!R9="-",'A-15'!R56="-",'A-15'!R103="-",'A-15'!R150="-"),"-",SUM('A-15'!R9,'A-15'!R56,'A-15'!R103,'A-15'!R150))</f>
        <v>109</v>
      </c>
      <c r="O55" s="193">
        <f>IF(AND('A-15'!S9="-",'A-15'!S56="-",'A-15'!S103="-",'A-15'!S150="-"),"-",SUM('A-15'!S9,'A-15'!S56,'A-15'!S103,'A-15'!S150))</f>
        <v>4</v>
      </c>
      <c r="P55" s="193">
        <f>IF(AND('A-15'!U9="-",'A-15'!U56="-",'A-15'!U103="-",'A-15'!U150="-"),"-",SUM('A-15'!U9,'A-15'!U56,'A-15'!U103,'A-15'!U150))</f>
        <v>10140</v>
      </c>
    </row>
    <row r="56" spans="1:16" ht="11.25" customHeight="1" x14ac:dyDescent="0.25">
      <c r="A56" s="473">
        <v>1980</v>
      </c>
      <c r="B56" s="193">
        <f>IF(AND('A-15'!C10="-",'A-15'!C57="-",'A-15'!C104="-",'A-15'!C151="-"),"-",SUM('A-15'!C10,'A-15'!C57,'A-15'!C104,'A-15'!C151))</f>
        <v>133</v>
      </c>
      <c r="C56" s="193">
        <f>IF(AND('A-15'!D10="-",'A-15'!D57="-",'A-15'!D104="-",'A-15'!D151="-"),"-",SUM('A-15'!D10,'A-15'!D57,'A-15'!D104,'A-15'!D151))</f>
        <v>847</v>
      </c>
      <c r="D56" s="193">
        <f>IF(AND('A-15'!E10="-",'A-15'!E57="-",'A-15'!E104="-",'A-15'!E151="-"),"-",SUM('A-15'!E10,'A-15'!E57,'A-15'!E104,'A-15'!E151))</f>
        <v>3272</v>
      </c>
      <c r="E56" s="193">
        <f>IF(AND('A-15'!F10="-",'A-15'!F57="-",'A-15'!F104="-",'A-15'!F151="-"),"-",SUM('A-15'!F10,'A-15'!F57,'A-15'!F104,'A-15'!F151))</f>
        <v>176</v>
      </c>
      <c r="F56" s="193">
        <f>IF(AND('A-15'!G10="-",'A-15'!G57="-",'A-15'!G104="-",'A-15'!G151="-"),"-",SUM('A-15'!G10,'A-15'!G57,'A-15'!G104,'A-15'!G151))</f>
        <v>22</v>
      </c>
      <c r="G56" s="193">
        <f>IF(AND('A-15'!H10="-",'A-15'!H57="-",'A-15'!H104="-",'A-15'!H151="-"),"-",SUM('A-15'!H10,'A-15'!H57,'A-15'!H104,'A-15'!H151))</f>
        <v>15</v>
      </c>
      <c r="H56" s="193">
        <f>IF(AND('A-15'!J10="-",'A-15'!J57="-",'A-15'!J104="-",'A-15'!J151="-"),"-",SUM('A-15'!J10,'A-15'!J57,'A-15'!J104,'A-15'!J151))</f>
        <v>4450</v>
      </c>
      <c r="J56" s="193">
        <f>IF(AND('A-15'!N10="-",'A-15'!N57="-",'A-15'!N104="-",'A-15'!N151="-"),"-",SUM('A-15'!N10,'A-15'!N57,'A-15'!N104,'A-15'!N151))</f>
        <v>2062</v>
      </c>
      <c r="K56" s="193">
        <f>IF(AND('A-15'!O10="-",'A-15'!O57="-",'A-15'!O104="-",'A-15'!O151="-"),"-",SUM('A-15'!O10,'A-15'!O57,'A-15'!O104,'A-15'!O151))</f>
        <v>25295</v>
      </c>
      <c r="L56" s="193">
        <f>IF(AND('A-15'!P10="-",'A-15'!P57="-",'A-15'!P104="-",'A-15'!P151="-"),"-",SUM('A-15'!P10,'A-15'!P57,'A-15'!P104,'A-15'!P151))</f>
        <v>5779</v>
      </c>
      <c r="M56" s="193">
        <f>IF(AND('A-15'!Q10="-",'A-15'!Q57="-",'A-15'!Q104="-",'A-15'!Q151="-"),"-",SUM('A-15'!Q10,'A-15'!Q57,'A-15'!Q104,'A-15'!Q151))</f>
        <v>558</v>
      </c>
      <c r="N56" s="193">
        <f>IF(AND('A-15'!R10="-",'A-15'!R57="-",'A-15'!R104="-",'A-15'!R151="-"),"-",SUM('A-15'!R10,'A-15'!R57,'A-15'!R104,'A-15'!R151))</f>
        <v>1012</v>
      </c>
      <c r="O56" s="193">
        <f>IF(AND('A-15'!S10="-",'A-15'!S57="-",'A-15'!S104="-",'A-15'!S151="-"),"-",SUM('A-15'!S10,'A-15'!S57,'A-15'!S104,'A-15'!S151))</f>
        <v>25</v>
      </c>
      <c r="P56" s="193">
        <f>IF(AND('A-15'!U10="-",'A-15'!U57="-",'A-15'!U104="-",'A-15'!U151="-"),"-",SUM('A-15'!U10,'A-15'!U57,'A-15'!U104,'A-15'!U151))</f>
        <v>34706</v>
      </c>
    </row>
    <row r="57" spans="1:16" ht="11.25" customHeight="1" x14ac:dyDescent="0.25">
      <c r="A57" s="473">
        <v>1981</v>
      </c>
      <c r="B57" s="193">
        <f>IF(AND('A-15'!C11="-",'A-15'!C58="-",'A-15'!C105="-",'A-15'!C152="-"),"-",SUM('A-15'!C11,'A-15'!C58,'A-15'!C105,'A-15'!C152))</f>
        <v>1579</v>
      </c>
      <c r="C57" s="193">
        <f>IF(AND('A-15'!D11="-",'A-15'!D58="-",'A-15'!D105="-",'A-15'!D152="-"),"-",SUM('A-15'!D11,'A-15'!D58,'A-15'!D105,'A-15'!D152))</f>
        <v>2487</v>
      </c>
      <c r="D57" s="193">
        <f>IF(AND('A-15'!E11="-",'A-15'!E58="-",'A-15'!E105="-",'A-15'!E152="-"),"-",SUM('A-15'!E11,'A-15'!E58,'A-15'!E105,'A-15'!E152))</f>
        <v>3652</v>
      </c>
      <c r="E57" s="193">
        <f>IF(AND('A-15'!F11="-",'A-15'!F58="-",'A-15'!F105="-",'A-15'!F152="-"),"-",SUM('A-15'!F11,'A-15'!F58,'A-15'!F105,'A-15'!F152))</f>
        <v>269</v>
      </c>
      <c r="F57" s="193">
        <f>IF(AND('A-15'!G11="-",'A-15'!G58="-",'A-15'!G105="-",'A-15'!G152="-"),"-",SUM('A-15'!G11,'A-15'!G58,'A-15'!G105,'A-15'!G152))</f>
        <v>270</v>
      </c>
      <c r="G57" s="193">
        <f>IF(AND('A-15'!H11="-",'A-15'!H58="-",'A-15'!H105="-",'A-15'!H152="-"),"-",SUM('A-15'!H11,'A-15'!H58,'A-15'!H105,'A-15'!H152))</f>
        <v>258</v>
      </c>
      <c r="H57" s="193">
        <f>IF(AND('A-15'!J11="-",'A-15'!J58="-",'A-15'!J105="-",'A-15'!J152="-"),"-",SUM('A-15'!J11,'A-15'!J58,'A-15'!J105,'A-15'!J152))</f>
        <v>8257</v>
      </c>
      <c r="J57" s="193">
        <f>IF(AND('A-15'!N11="-",'A-15'!N58="-",'A-15'!N105="-",'A-15'!N152="-"),"-",SUM('A-15'!N11,'A-15'!N58,'A-15'!N105,'A-15'!N152))</f>
        <v>1284</v>
      </c>
      <c r="K57" s="193">
        <f>IF(AND('A-15'!O11="-",'A-15'!O58="-",'A-15'!O105="-",'A-15'!O152="-"),"-",SUM('A-15'!O11,'A-15'!O58,'A-15'!O105,'A-15'!O152))</f>
        <v>7598</v>
      </c>
      <c r="L57" s="193">
        <f>IF(AND('A-15'!P11="-",'A-15'!P58="-",'A-15'!P105="-",'A-15'!P152="-"),"-",SUM('A-15'!P11,'A-15'!P58,'A-15'!P105,'A-15'!P152))</f>
        <v>6925</v>
      </c>
      <c r="M57" s="193">
        <f>IF(AND('A-15'!Q11="-",'A-15'!Q58="-",'A-15'!Q105="-",'A-15'!Q152="-"),"-",SUM('A-15'!Q11,'A-15'!Q58,'A-15'!Q105,'A-15'!Q152))</f>
        <v>3086</v>
      </c>
      <c r="N57" s="193">
        <f>IF(AND('A-15'!R11="-",'A-15'!R58="-",'A-15'!R105="-",'A-15'!R152="-"),"-",SUM('A-15'!R11,'A-15'!R58,'A-15'!R105,'A-15'!R152))</f>
        <v>13717</v>
      </c>
      <c r="O57" s="193">
        <f>IF(AND('A-15'!S11="-",'A-15'!S58="-",'A-15'!S105="-",'A-15'!S152="-"),"-",SUM('A-15'!S11,'A-15'!S58,'A-15'!S105,'A-15'!S152))</f>
        <v>13</v>
      </c>
      <c r="P57" s="193">
        <f>IF(AND('A-15'!U11="-",'A-15'!U58="-",'A-15'!U105="-",'A-15'!U152="-"),"-",SUM('A-15'!U11,'A-15'!U58,'A-15'!U105,'A-15'!U152))</f>
        <v>32610</v>
      </c>
    </row>
    <row r="58" spans="1:16" ht="11.25" customHeight="1" x14ac:dyDescent="0.25">
      <c r="A58" s="473">
        <v>1982</v>
      </c>
      <c r="B58" s="193">
        <f>IF(AND('A-15'!C12="-",'A-15'!C59="-",'A-15'!C106="-",'A-15'!C153="-"),"-",SUM('A-15'!C12,'A-15'!C59,'A-15'!C106,'A-15'!C153))</f>
        <v>1270</v>
      </c>
      <c r="C58" s="193">
        <f>IF(AND('A-15'!D12="-",'A-15'!D59="-",'A-15'!D106="-",'A-15'!D153="-"),"-",SUM('A-15'!D12,'A-15'!D59,'A-15'!D106,'A-15'!D153))</f>
        <v>3392</v>
      </c>
      <c r="D58" s="193">
        <f>IF(AND('A-15'!E12="-",'A-15'!E59="-",'A-15'!E106="-",'A-15'!E153="-"),"-",SUM('A-15'!E12,'A-15'!E59,'A-15'!E106,'A-15'!E153))</f>
        <v>8974</v>
      </c>
      <c r="E58" s="193">
        <f>IF(AND('A-15'!F12="-",'A-15'!F59="-",'A-15'!F106="-",'A-15'!F153="-"),"-",SUM('A-15'!F12,'A-15'!F59,'A-15'!F106,'A-15'!F153))</f>
        <v>1984</v>
      </c>
      <c r="F58" s="193">
        <f>IF(AND('A-15'!G12="-",'A-15'!G59="-",'A-15'!G106="-",'A-15'!G153="-"),"-",SUM('A-15'!G12,'A-15'!G59,'A-15'!G106,'A-15'!G153))</f>
        <v>2656</v>
      </c>
      <c r="G58" s="193">
        <f>IF(AND('A-15'!H12="-",'A-15'!H59="-",'A-15'!H106="-",'A-15'!H153="-"),"-",SUM('A-15'!H12,'A-15'!H59,'A-15'!H106,'A-15'!H153))</f>
        <v>223</v>
      </c>
      <c r="H58" s="193">
        <f>IF(AND('A-15'!J12="-",'A-15'!J59="-",'A-15'!J106="-",'A-15'!J153="-"),"-",SUM('A-15'!J12,'A-15'!J59,'A-15'!J106,'A-15'!J153))</f>
        <v>18276</v>
      </c>
      <c r="J58" s="193">
        <f>IF(AND('A-15'!N12="-",'A-15'!N59="-",'A-15'!N106="-",'A-15'!N153="-"),"-",SUM('A-15'!N12,'A-15'!N59,'A-15'!N106,'A-15'!N153))</f>
        <v>34</v>
      </c>
      <c r="K58" s="193">
        <f>IF(AND('A-15'!O12="-",'A-15'!O59="-",'A-15'!O106="-",'A-15'!O153="-"),"-",SUM('A-15'!O12,'A-15'!O59,'A-15'!O106,'A-15'!O153))</f>
        <v>22681</v>
      </c>
      <c r="L58" s="193">
        <f>IF(AND('A-15'!P12="-",'A-15'!P59="-",'A-15'!P106="-",'A-15'!P153="-"),"-",SUM('A-15'!P12,'A-15'!P59,'A-15'!P106,'A-15'!P153))</f>
        <v>16482</v>
      </c>
      <c r="M58" s="193">
        <f>IF(AND('A-15'!Q12="-",'A-15'!Q59="-",'A-15'!Q106="-",'A-15'!Q153="-"),"-",SUM('A-15'!Q12,'A-15'!Q59,'A-15'!Q106,'A-15'!Q153))</f>
        <v>46240</v>
      </c>
      <c r="N58" s="193">
        <f>IF(AND('A-15'!R12="-",'A-15'!R59="-",'A-15'!R106="-",'A-15'!R153="-"),"-",SUM('A-15'!R12,'A-15'!R59,'A-15'!R106,'A-15'!R153))</f>
        <v>38292</v>
      </c>
      <c r="O58" s="193">
        <f>IF(AND('A-15'!S12="-",'A-15'!S59="-",'A-15'!S106="-",'A-15'!S153="-"),"-",SUM('A-15'!S12,'A-15'!S59,'A-15'!S106,'A-15'!S153))</f>
        <v>57</v>
      </c>
      <c r="P58" s="193">
        <f>IF(AND('A-15'!U12="-",'A-15'!U59="-",'A-15'!U106="-",'A-15'!U153="-"),"-",SUM('A-15'!U12,'A-15'!U59,'A-15'!U106,'A-15'!U153))</f>
        <v>123729</v>
      </c>
    </row>
    <row r="59" spans="1:16" ht="11.25" customHeight="1" x14ac:dyDescent="0.25">
      <c r="A59" s="473">
        <v>1983</v>
      </c>
      <c r="B59" s="193">
        <f>IF(AND('A-15'!C13="-",'A-15'!C60="-",'A-15'!C107="-",'A-15'!C154="-"),"-",SUM('A-15'!C13,'A-15'!C60,'A-15'!C107,'A-15'!C154))</f>
        <v>2540</v>
      </c>
      <c r="C59" s="193">
        <f>IF(AND('A-15'!D13="-",'A-15'!D60="-",'A-15'!D107="-",'A-15'!D154="-"),"-",SUM('A-15'!D13,'A-15'!D60,'A-15'!D107,'A-15'!D154))</f>
        <v>2864</v>
      </c>
      <c r="D59" s="193">
        <f>IF(AND('A-15'!E13="-",'A-15'!E60="-",'A-15'!E107="-",'A-15'!E154="-"),"-",SUM('A-15'!E13,'A-15'!E60,'A-15'!E107,'A-15'!E154))</f>
        <v>1061</v>
      </c>
      <c r="E59" s="193">
        <f>IF(AND('A-15'!F13="-",'A-15'!F60="-",'A-15'!F107="-",'A-15'!F154="-"),"-",SUM('A-15'!F13,'A-15'!F60,'A-15'!F107,'A-15'!F154))</f>
        <v>806</v>
      </c>
      <c r="F59" s="193">
        <f>IF(AND('A-15'!G13="-",'A-15'!G60="-",'A-15'!G107="-",'A-15'!G154="-"),"-",SUM('A-15'!G13,'A-15'!G60,'A-15'!G107,'A-15'!G154))</f>
        <v>255</v>
      </c>
      <c r="G59" s="193">
        <f>IF(AND('A-15'!H13="-",'A-15'!H60="-",'A-15'!H107="-",'A-15'!H154="-"),"-",SUM('A-15'!H13,'A-15'!H60,'A-15'!H107,'A-15'!H154))</f>
        <v>65</v>
      </c>
      <c r="H59" s="193">
        <f>IF(AND('A-15'!J13="-",'A-15'!J60="-",'A-15'!J107="-",'A-15'!J154="-"),"-",SUM('A-15'!J13,'A-15'!J60,'A-15'!J107,'A-15'!J154))</f>
        <v>7526</v>
      </c>
      <c r="J59" s="193">
        <f>IF(AND('A-15'!N13="-",'A-15'!N60="-",'A-15'!N107="-",'A-15'!N154="-"),"-",SUM('A-15'!N13,'A-15'!N60,'A-15'!N107,'A-15'!N154))</f>
        <v>95</v>
      </c>
      <c r="K59" s="193">
        <f>IF(AND('A-15'!O13="-",'A-15'!O60="-",'A-15'!O107="-",'A-15'!O154="-"),"-",SUM('A-15'!O13,'A-15'!O60,'A-15'!O107,'A-15'!O154))</f>
        <v>4987</v>
      </c>
      <c r="L59" s="193">
        <f>IF(AND('A-15'!P13="-",'A-15'!P60="-",'A-15'!P107="-",'A-15'!P154="-"),"-",SUM('A-15'!P13,'A-15'!P60,'A-15'!P107,'A-15'!P154))</f>
        <v>5305</v>
      </c>
      <c r="M59" s="193">
        <f>IF(AND('A-15'!Q13="-",'A-15'!Q60="-",'A-15'!Q107="-",'A-15'!Q154="-"),"-",SUM('A-15'!Q13,'A-15'!Q60,'A-15'!Q107,'A-15'!Q154))</f>
        <v>19961</v>
      </c>
      <c r="N59" s="193">
        <f>IF(AND('A-15'!R13="-",'A-15'!R60="-",'A-15'!R107="-",'A-15'!R154="-"),"-",SUM('A-15'!R13,'A-15'!R60,'A-15'!R107,'A-15'!R154))</f>
        <v>7747</v>
      </c>
      <c r="O59" s="193">
        <f>IF(AND('A-15'!S13="-",'A-15'!S60="-",'A-15'!S107="-",'A-15'!S154="-"),"-",SUM('A-15'!S13,'A-15'!S60,'A-15'!S107,'A-15'!S154))</f>
        <v>17</v>
      </c>
      <c r="P59" s="193">
        <f>IF(AND('A-15'!U13="-",'A-15'!U60="-",'A-15'!U107="-",'A-15'!U154="-"),"-",SUM('A-15'!U13,'A-15'!U60,'A-15'!U107,'A-15'!U154))</f>
        <v>38095</v>
      </c>
    </row>
    <row r="60" spans="1:16" ht="11.25" customHeight="1" x14ac:dyDescent="0.25">
      <c r="A60" s="473">
        <v>1984</v>
      </c>
      <c r="B60" s="193">
        <f>IF(AND('A-15'!C14="-",'A-15'!C61="-",'A-15'!C108="-",'A-15'!C155="-"),"-",SUM('A-15'!C14,'A-15'!C61,'A-15'!C108,'A-15'!C155))</f>
        <v>1348</v>
      </c>
      <c r="C60" s="193">
        <f>IF(AND('A-15'!D14="-",'A-15'!D61="-",'A-15'!D108="-",'A-15'!D155="-"),"-",SUM('A-15'!D14,'A-15'!D61,'A-15'!D108,'A-15'!D155))</f>
        <v>517</v>
      </c>
      <c r="D60" s="193">
        <f>IF(AND('A-15'!E14="-",'A-15'!E61="-",'A-15'!E108="-",'A-15'!E155="-"),"-",SUM('A-15'!E14,'A-15'!E61,'A-15'!E108,'A-15'!E155))</f>
        <v>751</v>
      </c>
      <c r="E60" s="193">
        <f>IF(AND('A-15'!F14="-",'A-15'!F61="-",'A-15'!F108="-",'A-15'!F155="-"),"-",SUM('A-15'!F14,'A-15'!F61,'A-15'!F108,'A-15'!F155))</f>
        <v>1367</v>
      </c>
      <c r="F60" s="193">
        <f>IF(AND('A-15'!G14="-",'A-15'!G61="-",'A-15'!G108="-",'A-15'!G155="-"),"-",SUM('A-15'!G14,'A-15'!G61,'A-15'!G108,'A-15'!G155))</f>
        <v>0</v>
      </c>
      <c r="G60" s="193">
        <f>IF(AND('A-15'!H14="-",'A-15'!H61="-",'A-15'!H108="-",'A-15'!H155="-"),"-",SUM('A-15'!H14,'A-15'!H61,'A-15'!H108,'A-15'!H155))</f>
        <v>147</v>
      </c>
      <c r="H60" s="193">
        <f>IF(AND('A-15'!J14="-",'A-15'!J61="-",'A-15'!J108="-",'A-15'!J155="-"),"-",SUM('A-15'!J14,'A-15'!J61,'A-15'!J108,'A-15'!J155))</f>
        <v>3983</v>
      </c>
      <c r="J60" s="193">
        <f>IF(AND('A-15'!N14="-",'A-15'!N61="-",'A-15'!N108="-",'A-15'!N155="-"),"-",SUM('A-15'!N14,'A-15'!N61,'A-15'!N108,'A-15'!N155))</f>
        <v>0</v>
      </c>
      <c r="K60" s="193">
        <f>IF(AND('A-15'!O14="-",'A-15'!O61="-",'A-15'!O108="-",'A-15'!O155="-"),"-",SUM('A-15'!O14,'A-15'!O61,'A-15'!O108,'A-15'!O155))</f>
        <v>0</v>
      </c>
      <c r="L60" s="193">
        <f>IF(AND('A-15'!P14="-",'A-15'!P61="-",'A-15'!P108="-",'A-15'!P155="-"),"-",SUM('A-15'!P14,'A-15'!P61,'A-15'!P108,'A-15'!P155))</f>
        <v>19715</v>
      </c>
      <c r="M60" s="193">
        <f>IF(AND('A-15'!Q14="-",'A-15'!Q61="-",'A-15'!Q108="-",'A-15'!Q155="-"),"-",SUM('A-15'!Q14,'A-15'!Q61,'A-15'!Q108,'A-15'!Q155))</f>
        <v>23772</v>
      </c>
      <c r="N60" s="193">
        <f>IF(AND('A-15'!R14="-",'A-15'!R61="-",'A-15'!R108="-",'A-15'!R155="-"),"-",SUM('A-15'!R14,'A-15'!R61,'A-15'!R108,'A-15'!R155))</f>
        <v>0</v>
      </c>
      <c r="O60" s="193">
        <f>IF(AND('A-15'!S14="-",'A-15'!S61="-",'A-15'!S108="-",'A-15'!S155="-"),"-",SUM('A-15'!S14,'A-15'!S61,'A-15'!S108,'A-15'!S155))</f>
        <v>147</v>
      </c>
      <c r="P60" s="193">
        <f>IF(AND('A-15'!U14="-",'A-15'!U61="-",'A-15'!U108="-",'A-15'!U155="-"),"-",SUM('A-15'!U14,'A-15'!U61,'A-15'!U108,'A-15'!U155))</f>
        <v>43487</v>
      </c>
    </row>
    <row r="61" spans="1:16" ht="11.25" customHeight="1" x14ac:dyDescent="0.25">
      <c r="A61" s="473">
        <v>1985</v>
      </c>
      <c r="B61" s="193">
        <f>IF(AND('A-15'!C15="-",'A-15'!C62="-",'A-15'!C109="-",'A-15'!C156="-"),"-",SUM('A-15'!C15,'A-15'!C62,'A-15'!C109,'A-15'!C156))</f>
        <v>4014</v>
      </c>
      <c r="C61" s="193">
        <f>IF(AND('A-15'!D15="-",'A-15'!D62="-",'A-15'!D109="-",'A-15'!D156="-"),"-",SUM('A-15'!D15,'A-15'!D62,'A-15'!D109,'A-15'!D156))</f>
        <v>156</v>
      </c>
      <c r="D61" s="193">
        <f>IF(AND('A-15'!E15="-",'A-15'!E62="-",'A-15'!E109="-",'A-15'!E156="-"),"-",SUM('A-15'!E15,'A-15'!E62,'A-15'!E109,'A-15'!E156))</f>
        <v>3743</v>
      </c>
      <c r="E61" s="193">
        <f>IF(AND('A-15'!F15="-",'A-15'!F62="-",'A-15'!F109="-",'A-15'!F156="-"),"-",SUM('A-15'!F15,'A-15'!F62,'A-15'!F109,'A-15'!F156))</f>
        <v>2252</v>
      </c>
      <c r="F61" s="193">
        <f>IF(AND('A-15'!G15="-",'A-15'!G62="-",'A-15'!G109="-",'A-15'!G156="-"),"-",SUM('A-15'!G15,'A-15'!G62,'A-15'!G109,'A-15'!G156))</f>
        <v>1910</v>
      </c>
      <c r="G61" s="193">
        <f>IF(AND('A-15'!H15="-",'A-15'!H62="-",'A-15'!H109="-",'A-15'!H156="-"),"-",SUM('A-15'!H15,'A-15'!H62,'A-15'!H109,'A-15'!H156))</f>
        <v>299</v>
      </c>
      <c r="H61" s="193">
        <f>IF(AND('A-15'!J15="-",'A-15'!J62="-",'A-15'!J109="-",'A-15'!J156="-"),"-",SUM('A-15'!J15,'A-15'!J62,'A-15'!J109,'A-15'!J156))</f>
        <v>12075</v>
      </c>
      <c r="J61" s="193">
        <f>IF(AND('A-15'!N15="-",'A-15'!N62="-",'A-15'!N109="-",'A-15'!N156="-"),"-",SUM('A-15'!N15,'A-15'!N62,'A-15'!N109,'A-15'!N156))</f>
        <v>1</v>
      </c>
      <c r="K61" s="193">
        <f>IF(AND('A-15'!O15="-",'A-15'!O62="-",'A-15'!O109="-",'A-15'!O156="-"),"-",SUM('A-15'!O15,'A-15'!O62,'A-15'!O109,'A-15'!O156))</f>
        <v>1911</v>
      </c>
      <c r="L61" s="193">
        <f>IF(AND('A-15'!P15="-",'A-15'!P62="-",'A-15'!P109="-",'A-15'!P156="-"),"-",SUM('A-15'!P15,'A-15'!P62,'A-15'!P109,'A-15'!P156))</f>
        <v>33602</v>
      </c>
      <c r="M61" s="193">
        <f>IF(AND('A-15'!Q15="-",'A-15'!Q62="-",'A-15'!Q109="-",'A-15'!Q156="-"),"-",SUM('A-15'!Q15,'A-15'!Q62,'A-15'!Q109,'A-15'!Q156))</f>
        <v>29361</v>
      </c>
      <c r="N61" s="193">
        <f>IF(AND('A-15'!R15="-",'A-15'!R62="-",'A-15'!R109="-",'A-15'!R156="-"),"-",SUM('A-15'!R15,'A-15'!R62,'A-15'!R109,'A-15'!R156))</f>
        <v>23573</v>
      </c>
      <c r="O61" s="193">
        <f>IF(AND('A-15'!S15="-",'A-15'!S62="-",'A-15'!S109="-",'A-15'!S156="-"),"-",SUM('A-15'!S15,'A-15'!S62,'A-15'!S109,'A-15'!S156))</f>
        <v>37</v>
      </c>
      <c r="P61" s="193">
        <f>IF(AND('A-15'!U15="-",'A-15'!U62="-",'A-15'!U109="-",'A-15'!U156="-"),"-",SUM('A-15'!U15,'A-15'!U62,'A-15'!U109,'A-15'!U156))</f>
        <v>88448</v>
      </c>
    </row>
    <row r="62" spans="1:16" ht="11.25" customHeight="1" x14ac:dyDescent="0.25">
      <c r="A62" s="473">
        <v>1986</v>
      </c>
      <c r="B62" s="193">
        <f>IF(AND('A-15'!C16="-",'A-15'!C63="-",'A-15'!C110="-",'A-15'!C157="-"),"-",SUM('A-15'!C16,'A-15'!C63,'A-15'!C110,'A-15'!C157))</f>
        <v>3891</v>
      </c>
      <c r="C62" s="193">
        <f>IF(AND('A-15'!D16="-",'A-15'!D63="-",'A-15'!D110="-",'A-15'!D157="-"),"-",SUM('A-15'!D16,'A-15'!D63,'A-15'!D110,'A-15'!D157))</f>
        <v>4461</v>
      </c>
      <c r="D62" s="193">
        <f>IF(AND('A-15'!E16="-",'A-15'!E63="-",'A-15'!E110="-",'A-15'!E157="-"),"-",SUM('A-15'!E16,'A-15'!E63,'A-15'!E110,'A-15'!E157))</f>
        <v>3688</v>
      </c>
      <c r="E62" s="193">
        <f>IF(AND('A-15'!F16="-",'A-15'!F63="-",'A-15'!F110="-",'A-15'!F157="-"),"-",SUM('A-15'!F16,'A-15'!F63,'A-15'!F110,'A-15'!F157))</f>
        <v>418</v>
      </c>
      <c r="F62" s="193">
        <f>IF(AND('A-15'!G16="-",'A-15'!G63="-",'A-15'!G110="-",'A-15'!G157="-"),"-",SUM('A-15'!G16,'A-15'!G63,'A-15'!G110,'A-15'!G157))</f>
        <v>0</v>
      </c>
      <c r="G62" s="193">
        <f>IF(AND('A-15'!H16="-",'A-15'!H63="-",'A-15'!H110="-",'A-15'!H157="-"),"-",SUM('A-15'!H16,'A-15'!H63,'A-15'!H110,'A-15'!H157))</f>
        <v>0</v>
      </c>
      <c r="H62" s="193">
        <f>IF(AND('A-15'!J16="-",'A-15'!J63="-",'A-15'!J110="-",'A-15'!J157="-"),"-",SUM('A-15'!J16,'A-15'!J63,'A-15'!J110,'A-15'!J157))</f>
        <v>12458</v>
      </c>
      <c r="J62" s="193">
        <f>IF(AND('A-15'!N16="-",'A-15'!N63="-",'A-15'!N110="-",'A-15'!N157="-"),"-",SUM('A-15'!N16,'A-15'!N63,'A-15'!N110,'A-15'!N157))</f>
        <v>0</v>
      </c>
      <c r="K62" s="193">
        <f>IF(AND('A-15'!O16="-",'A-15'!O63="-",'A-15'!O110="-",'A-15'!O157="-"),"-",SUM('A-15'!O16,'A-15'!O63,'A-15'!O110,'A-15'!O157))</f>
        <v>21166</v>
      </c>
      <c r="L62" s="193">
        <f>IF(AND('A-15'!P16="-",'A-15'!P63="-",'A-15'!P110="-",'A-15'!P157="-"),"-",SUM('A-15'!P16,'A-15'!P63,'A-15'!P110,'A-15'!P157))</f>
        <v>51622</v>
      </c>
      <c r="M62" s="193">
        <f>IF(AND('A-15'!Q16="-",'A-15'!Q63="-",'A-15'!Q110="-",'A-15'!Q157="-"),"-",SUM('A-15'!Q16,'A-15'!Q63,'A-15'!Q110,'A-15'!Q157))</f>
        <v>11711</v>
      </c>
      <c r="N62" s="193">
        <f>IF(AND('A-15'!R16="-",'A-15'!R63="-",'A-15'!R110="-",'A-15'!R157="-"),"-",SUM('A-15'!R16,'A-15'!R63,'A-15'!R110,'A-15'!R157))</f>
        <v>13</v>
      </c>
      <c r="O62" s="193">
        <f>IF(AND('A-15'!S16="-",'A-15'!S63="-",'A-15'!S110="-",'A-15'!S157="-"),"-",SUM('A-15'!S16,'A-15'!S63,'A-15'!S110,'A-15'!S157))</f>
        <v>0</v>
      </c>
      <c r="P62" s="193">
        <f>IF(AND('A-15'!U16="-",'A-15'!U63="-",'A-15'!U110="-",'A-15'!U157="-"),"-",SUM('A-15'!U16,'A-15'!U63,'A-15'!U110,'A-15'!U157))</f>
        <v>84512</v>
      </c>
    </row>
    <row r="63" spans="1:16" ht="11.25" customHeight="1" x14ac:dyDescent="0.25">
      <c r="A63" s="473">
        <v>1987</v>
      </c>
      <c r="B63" s="193">
        <f>IF(AND('A-15'!C17="-",'A-15'!C64="-",'A-15'!C111="-",'A-15'!C158="-"),"-",SUM('A-15'!C17,'A-15'!C64,'A-15'!C111,'A-15'!C158))</f>
        <v>8563</v>
      </c>
      <c r="C63" s="193">
        <f>IF(AND('A-15'!D17="-",'A-15'!D64="-",'A-15'!D111="-",'A-15'!D158="-"),"-",SUM('A-15'!D17,'A-15'!D64,'A-15'!D111,'A-15'!D158))</f>
        <v>0</v>
      </c>
      <c r="D63" s="193">
        <f>IF(AND('A-15'!E17="-",'A-15'!E64="-",'A-15'!E111="-",'A-15'!E158="-"),"-",SUM('A-15'!E17,'A-15'!E64,'A-15'!E111,'A-15'!E158))</f>
        <v>2181</v>
      </c>
      <c r="E63" s="193">
        <f>IF(AND('A-15'!F17="-",'A-15'!F64="-",'A-15'!F111="-",'A-15'!F158="-"),"-",SUM('A-15'!F17,'A-15'!F64,'A-15'!F111,'A-15'!F158))</f>
        <v>7271</v>
      </c>
      <c r="F63" s="193">
        <f>IF(AND('A-15'!G17="-",'A-15'!G64="-",'A-15'!G111="-",'A-15'!G158="-"),"-",SUM('A-15'!G17,'A-15'!G64,'A-15'!G111,'A-15'!G158))</f>
        <v>0</v>
      </c>
      <c r="G63" s="193">
        <f>IF(AND('A-15'!H17="-",'A-15'!H64="-",'A-15'!H111="-",'A-15'!H158="-"),"-",SUM('A-15'!H17,'A-15'!H64,'A-15'!H111,'A-15'!H158))</f>
        <v>52</v>
      </c>
      <c r="H63" s="193">
        <f>IF(AND('A-15'!J17="-",'A-15'!J64="-",'A-15'!J111="-",'A-15'!J158="-"),"-",SUM('A-15'!J17,'A-15'!J64,'A-15'!J111,'A-15'!J158))</f>
        <v>18015</v>
      </c>
      <c r="J63" s="193">
        <f>IF(AND('A-15'!N17="-",'A-15'!N64="-",'A-15'!N111="-",'A-15'!N158="-"),"-",SUM('A-15'!N17,'A-15'!N64,'A-15'!N111,'A-15'!N158))</f>
        <v>16</v>
      </c>
      <c r="K63" s="193">
        <f>IF(AND('A-15'!O17="-",'A-15'!O64="-",'A-15'!O111="-",'A-15'!O158="-"),"-",SUM('A-15'!O17,'A-15'!O64,'A-15'!O111,'A-15'!O158))</f>
        <v>0</v>
      </c>
      <c r="L63" s="193">
        <f>IF(AND('A-15'!P17="-",'A-15'!P64="-",'A-15'!P111="-",'A-15'!P158="-"),"-",SUM('A-15'!P17,'A-15'!P64,'A-15'!P111,'A-15'!P158))</f>
        <v>45619</v>
      </c>
      <c r="M63" s="193">
        <f>IF(AND('A-15'!Q17="-",'A-15'!Q64="-",'A-15'!Q111="-",'A-15'!Q158="-"),"-",SUM('A-15'!Q17,'A-15'!Q64,'A-15'!Q111,'A-15'!Q158))</f>
        <v>44040</v>
      </c>
      <c r="N63" s="193">
        <f>IF(AND('A-15'!R17="-",'A-15'!R64="-",'A-15'!R111="-",'A-15'!R158="-"),"-",SUM('A-15'!R17,'A-15'!R64,'A-15'!R111,'A-15'!R158))</f>
        <v>0</v>
      </c>
      <c r="O63" s="193">
        <f>IF(AND('A-15'!S17="-",'A-15'!S64="-",'A-15'!S111="-",'A-15'!S158="-"),"-",SUM('A-15'!S17,'A-15'!S64,'A-15'!S111,'A-15'!S158))</f>
        <v>33</v>
      </c>
      <c r="P63" s="193">
        <f>IF(AND('A-15'!U17="-",'A-15'!U64="-",'A-15'!U111="-",'A-15'!U158="-"),"-",SUM('A-15'!U17,'A-15'!U64,'A-15'!U111,'A-15'!U158))</f>
        <v>89675</v>
      </c>
    </row>
    <row r="64" spans="1:16" ht="11.25" customHeight="1" x14ac:dyDescent="0.25">
      <c r="A64" s="473">
        <v>1988</v>
      </c>
      <c r="B64" s="193">
        <f>IF(AND('A-15'!C18="-",'A-15'!C65="-",'A-15'!C112="-",'A-15'!C159="-"),"-",SUM('A-15'!C18,'A-15'!C65,'A-15'!C112,'A-15'!C159))</f>
        <v>7714</v>
      </c>
      <c r="C64" s="193">
        <f>IF(AND('A-15'!D18="-",'A-15'!D65="-",'A-15'!D112="-",'A-15'!D159="-"),"-",SUM('A-15'!D18,'A-15'!D65,'A-15'!D112,'A-15'!D159))</f>
        <v>9764</v>
      </c>
      <c r="D64" s="193">
        <f>IF(AND('A-15'!E18="-",'A-15'!E65="-",'A-15'!E112="-",'A-15'!E159="-"),"-",SUM('A-15'!E18,'A-15'!E65,'A-15'!E112,'A-15'!E159))</f>
        <v>6379</v>
      </c>
      <c r="E64" s="193">
        <f>IF(AND('A-15'!F18="-",'A-15'!F65="-",'A-15'!F112="-",'A-15'!F159="-"),"-",SUM('A-15'!F18,'A-15'!F65,'A-15'!F112,'A-15'!F159))</f>
        <v>6825</v>
      </c>
      <c r="F64" s="193">
        <f>IF(AND('A-15'!G18="-",'A-15'!G65="-",'A-15'!G112="-",'A-15'!G159="-"),"-",SUM('A-15'!G18,'A-15'!G65,'A-15'!G112,'A-15'!G159))</f>
        <v>1968</v>
      </c>
      <c r="G64" s="193">
        <f>IF(AND('A-15'!H18="-",'A-15'!H65="-",'A-15'!H112="-",'A-15'!H159="-"),"-",SUM('A-15'!H18,'A-15'!H65,'A-15'!H112,'A-15'!H159))</f>
        <v>0</v>
      </c>
      <c r="H64" s="193">
        <f>IF(AND('A-15'!J18="-",'A-15'!J65="-",'A-15'!J112="-",'A-15'!J159="-"),"-",SUM('A-15'!J18,'A-15'!J65,'A-15'!J112,'A-15'!J159))</f>
        <v>32650</v>
      </c>
      <c r="J64" s="193">
        <f>IF(AND('A-15'!N18="-",'A-15'!N65="-",'A-15'!N112="-",'A-15'!N159="-"),"-",SUM('A-15'!N18,'A-15'!N65,'A-15'!N112,'A-15'!N159))</f>
        <v>0</v>
      </c>
      <c r="K64" s="193">
        <f>IF(AND('A-15'!O18="-",'A-15'!O65="-",'A-15'!O112="-",'A-15'!O159="-"),"-",SUM('A-15'!O18,'A-15'!O65,'A-15'!O112,'A-15'!O159))</f>
        <v>114</v>
      </c>
      <c r="L64" s="193">
        <f>IF(AND('A-15'!P18="-",'A-15'!P65="-",'A-15'!P112="-",'A-15'!P159="-"),"-",SUM('A-15'!P18,'A-15'!P65,'A-15'!P112,'A-15'!P159))</f>
        <v>11813</v>
      </c>
      <c r="M64" s="193">
        <f>IF(AND('A-15'!Q18="-",'A-15'!Q65="-",'A-15'!Q112="-",'A-15'!Q159="-"),"-",SUM('A-15'!Q18,'A-15'!Q65,'A-15'!Q112,'A-15'!Q159))</f>
        <v>46236</v>
      </c>
      <c r="N64" s="193">
        <f>IF(AND('A-15'!R18="-",'A-15'!R65="-",'A-15'!R112="-",'A-15'!R159="-"),"-",SUM('A-15'!R18,'A-15'!R65,'A-15'!R112,'A-15'!R159))</f>
        <v>10167</v>
      </c>
      <c r="O64" s="193">
        <f>IF(AND('A-15'!S18="-",'A-15'!S65="-",'A-15'!S112="-",'A-15'!S159="-"),"-",SUM('A-15'!S18,'A-15'!S65,'A-15'!S112,'A-15'!S159))</f>
        <v>0</v>
      </c>
      <c r="P64" s="193">
        <f>IF(AND('A-15'!U18="-",'A-15'!U65="-",'A-15'!U112="-",'A-15'!U159="-"),"-",SUM('A-15'!U18,'A-15'!U65,'A-15'!U112,'A-15'!U159))</f>
        <v>68330</v>
      </c>
    </row>
    <row r="65" spans="1:16" ht="11.25" customHeight="1" x14ac:dyDescent="0.25">
      <c r="A65" s="473">
        <v>1989</v>
      </c>
      <c r="B65" s="193">
        <f>IF(AND('A-15'!C19="-",'A-15'!C66="-",'A-15'!C113="-",'A-15'!C160="-"),"-",SUM('A-15'!C19,'A-15'!C66,'A-15'!C113,'A-15'!C160))</f>
        <v>6711</v>
      </c>
      <c r="C65" s="193">
        <f>IF(AND('A-15'!D19="-",'A-15'!D66="-",'A-15'!D113="-",'A-15'!D160="-"),"-",SUM('A-15'!D19,'A-15'!D66,'A-15'!D113,'A-15'!D160))</f>
        <v>7645</v>
      </c>
      <c r="D65" s="193">
        <f>IF(AND('A-15'!E19="-",'A-15'!E66="-",'A-15'!E113="-",'A-15'!E160="-"),"-",SUM('A-15'!E19,'A-15'!E66,'A-15'!E113,'A-15'!E160))</f>
        <v>10111</v>
      </c>
      <c r="E65" s="193">
        <f>IF(AND('A-15'!F19="-",'A-15'!F66="-",'A-15'!F113="-",'A-15'!F160="-"),"-",SUM('A-15'!F19,'A-15'!F66,'A-15'!F113,'A-15'!F160))</f>
        <v>5247</v>
      </c>
      <c r="F65" s="193">
        <f>IF(AND('A-15'!G19="-",'A-15'!G66="-",'A-15'!G113="-",'A-15'!G160="-"),"-",SUM('A-15'!G19,'A-15'!G66,'A-15'!G113,'A-15'!G160))</f>
        <v>1582</v>
      </c>
      <c r="G65" s="193">
        <f>IF(AND('A-15'!H19="-",'A-15'!H66="-",'A-15'!H113="-",'A-15'!H160="-"),"-",SUM('A-15'!H19,'A-15'!H66,'A-15'!H113,'A-15'!H160))</f>
        <v>0</v>
      </c>
      <c r="H65" s="193">
        <f>IF(AND('A-15'!J19="-",'A-15'!J66="-",'A-15'!J113="-",'A-15'!J160="-"),"-",SUM('A-15'!J19,'A-15'!J66,'A-15'!J113,'A-15'!J160))</f>
        <v>31296</v>
      </c>
      <c r="J65" s="193">
        <f>IF(AND('A-15'!N19="-",'A-15'!N66="-",'A-15'!N113="-",'A-15'!N160="-"),"-",SUM('A-15'!N19,'A-15'!N66,'A-15'!N113,'A-15'!N160))</f>
        <v>1</v>
      </c>
      <c r="K65" s="193">
        <f>IF(AND('A-15'!O19="-",'A-15'!O66="-",'A-15'!O113="-",'A-15'!O160="-"),"-",SUM('A-15'!O19,'A-15'!O66,'A-15'!O113,'A-15'!O160))</f>
        <v>0</v>
      </c>
      <c r="L65" s="193">
        <f>IF(AND('A-15'!P19="-",'A-15'!P66="-",'A-15'!P113="-",'A-15'!P160="-"),"-",SUM('A-15'!P19,'A-15'!P66,'A-15'!P113,'A-15'!P160))</f>
        <v>31817</v>
      </c>
      <c r="M65" s="193">
        <f>IF(AND('A-15'!Q19="-",'A-15'!Q66="-",'A-15'!Q113="-",'A-15'!Q160="-"),"-",SUM('A-15'!Q19,'A-15'!Q66,'A-15'!Q113,'A-15'!Q160))</f>
        <v>23499</v>
      </c>
      <c r="N65" s="193">
        <f>IF(AND('A-15'!R19="-",'A-15'!R66="-",'A-15'!R113="-",'A-15'!R160="-"),"-",SUM('A-15'!R19,'A-15'!R66,'A-15'!R113,'A-15'!R160))</f>
        <v>28590</v>
      </c>
      <c r="O65" s="193">
        <f>IF(AND('A-15'!S19="-",'A-15'!S66="-",'A-15'!S113="-",'A-15'!S160="-"),"-",SUM('A-15'!S19,'A-15'!S66,'A-15'!S113,'A-15'!S160))</f>
        <v>0</v>
      </c>
      <c r="P65" s="193">
        <f>IF(AND('A-15'!U19="-",'A-15'!U66="-",'A-15'!U113="-",'A-15'!U160="-"),"-",SUM('A-15'!U19,'A-15'!U66,'A-15'!U113,'A-15'!U160))</f>
        <v>83907</v>
      </c>
    </row>
    <row r="66" spans="1:16" ht="11.25" customHeight="1" x14ac:dyDescent="0.25">
      <c r="A66" s="473">
        <v>1990</v>
      </c>
      <c r="B66" s="193">
        <f>IF(AND('A-15'!C20="-",'A-15'!C67="-",'A-15'!C114="-",'A-15'!C161="-"),"-",SUM('A-15'!C20,'A-15'!C67,'A-15'!C114,'A-15'!C161))</f>
        <v>7504</v>
      </c>
      <c r="C66" s="193">
        <f>IF(AND('A-15'!D20="-",'A-15'!D67="-",'A-15'!D114="-",'A-15'!D161="-"),"-",SUM('A-15'!D20,'A-15'!D67,'A-15'!D114,'A-15'!D161))</f>
        <v>7906</v>
      </c>
      <c r="D66" s="193">
        <f>IF(AND('A-15'!E20="-",'A-15'!E67="-",'A-15'!E114="-",'A-15'!E161="-"),"-",SUM('A-15'!E20,'A-15'!E67,'A-15'!E114,'A-15'!E161))</f>
        <v>11270</v>
      </c>
      <c r="E66" s="193">
        <f>IF(AND('A-15'!F20="-",'A-15'!F67="-",'A-15'!F114="-",'A-15'!F161="-"),"-",SUM('A-15'!F20,'A-15'!F67,'A-15'!F114,'A-15'!F161))</f>
        <v>2771</v>
      </c>
      <c r="F66" s="193">
        <f>IF(AND('A-15'!G20="-",'A-15'!G67="-",'A-15'!G114="-",'A-15'!G161="-"),"-",SUM('A-15'!G20,'A-15'!G67,'A-15'!G114,'A-15'!G161))</f>
        <v>2690</v>
      </c>
      <c r="G66" s="193">
        <f>IF(AND('A-15'!H20="-",'A-15'!H67="-",'A-15'!H114="-",'A-15'!H161="-"),"-",SUM('A-15'!H20,'A-15'!H67,'A-15'!H114,'A-15'!H161))</f>
        <v>8</v>
      </c>
      <c r="H66" s="193">
        <f>IF(AND('A-15'!J20="-",'A-15'!J67="-",'A-15'!J114="-",'A-15'!J161="-"),"-",SUM('A-15'!J20,'A-15'!J67,'A-15'!J114,'A-15'!J161))</f>
        <v>32141</v>
      </c>
      <c r="J66" s="193">
        <f>IF(AND('A-15'!N20="-",'A-15'!N67="-",'A-15'!N114="-",'A-15'!N161="-"),"-",SUM('A-15'!N20,'A-15'!N67,'A-15'!N114,'A-15'!N161))</f>
        <v>0</v>
      </c>
      <c r="K66" s="193">
        <f>IF(AND('A-15'!O20="-",'A-15'!O67="-",'A-15'!O114="-",'A-15'!O161="-"),"-",SUM('A-15'!O20,'A-15'!O67,'A-15'!O114,'A-15'!O161))</f>
        <v>1</v>
      </c>
      <c r="L66" s="193">
        <f>IF(AND('A-15'!P20="-",'A-15'!P67="-",'A-15'!P114="-",'A-15'!P161="-"),"-",SUM('A-15'!P20,'A-15'!P67,'A-15'!P114,'A-15'!P161))</f>
        <v>20680</v>
      </c>
      <c r="M66" s="193">
        <f>IF(AND('A-15'!Q20="-",'A-15'!Q67="-",'A-15'!Q114="-",'A-15'!Q161="-"),"-",SUM('A-15'!Q20,'A-15'!Q67,'A-15'!Q114,'A-15'!Q161))</f>
        <v>54225</v>
      </c>
      <c r="N66" s="193">
        <f>IF(AND('A-15'!R20="-",'A-15'!R67="-",'A-15'!R114="-",'A-15'!R161="-"),"-",SUM('A-15'!R20,'A-15'!R67,'A-15'!R114,'A-15'!R161))</f>
        <v>16485</v>
      </c>
      <c r="O66" s="193">
        <f>IF(AND('A-15'!S20="-",'A-15'!S67="-",'A-15'!S114="-",'A-15'!S161="-"),"-",SUM('A-15'!S20,'A-15'!S67,'A-15'!S114,'A-15'!S161))</f>
        <v>1</v>
      </c>
      <c r="P66" s="193">
        <f>IF(AND('A-15'!U20="-",'A-15'!U67="-",'A-15'!U114="-",'A-15'!U161="-"),"-",SUM('A-15'!U20,'A-15'!U67,'A-15'!U114,'A-15'!U161))</f>
        <v>91391</v>
      </c>
    </row>
    <row r="67" spans="1:16" ht="11.25" customHeight="1" x14ac:dyDescent="0.25">
      <c r="A67" s="473">
        <v>1991</v>
      </c>
      <c r="B67" s="193">
        <f>IF(AND('A-15'!C21="-",'A-15'!C68="-",'A-15'!C115="-",'A-15'!C162="-"),"-",SUM('A-15'!C21,'A-15'!C68,'A-15'!C115,'A-15'!C162))</f>
        <v>4456</v>
      </c>
      <c r="C67" s="193">
        <f>IF(AND('A-15'!D21="-",'A-15'!D68="-",'A-15'!D115="-",'A-15'!D162="-"),"-",SUM('A-15'!D21,'A-15'!D68,'A-15'!D115,'A-15'!D162))</f>
        <v>6039</v>
      </c>
      <c r="D67" s="193">
        <f>IF(AND('A-15'!E21="-",'A-15'!E68="-",'A-15'!E115="-",'A-15'!E162="-"),"-",SUM('A-15'!E21,'A-15'!E68,'A-15'!E115,'A-15'!E162))</f>
        <v>6875</v>
      </c>
      <c r="E67" s="193">
        <f>IF(AND('A-15'!F21="-",'A-15'!F68="-",'A-15'!F115="-",'A-15'!F162="-"),"-",SUM('A-15'!F21,'A-15'!F68,'A-15'!F115,'A-15'!F162))</f>
        <v>4497</v>
      </c>
      <c r="F67" s="193">
        <f>IF(AND('A-15'!G21="-",'A-15'!G68="-",'A-15'!G115="-",'A-15'!G162="-"),"-",SUM('A-15'!G21,'A-15'!G68,'A-15'!G115,'A-15'!G162))</f>
        <v>0</v>
      </c>
      <c r="G67" s="193">
        <f>IF(AND('A-15'!H21="-",'A-15'!H68="-",'A-15'!H115="-",'A-15'!H162="-"),"-",SUM('A-15'!H21,'A-15'!H68,'A-15'!H115,'A-15'!H162))</f>
        <v>147</v>
      </c>
      <c r="H67" s="193">
        <f>IF(AND('A-15'!J21="-",'A-15'!J68="-",'A-15'!J115="-",'A-15'!J162="-"),"-",SUM('A-15'!J21,'A-15'!J68,'A-15'!J115,'A-15'!J162))</f>
        <v>21867</v>
      </c>
      <c r="J67" s="193">
        <f>IF(AND('A-15'!N21="-",'A-15'!N68="-",'A-15'!N115="-",'A-15'!N162="-"),"-",SUM('A-15'!N21,'A-15'!N68,'A-15'!N115,'A-15'!N162))</f>
        <v>0</v>
      </c>
      <c r="K67" s="193">
        <f>IF(AND('A-15'!O21="-",'A-15'!O68="-",'A-15'!O115="-",'A-15'!O162="-"),"-",SUM('A-15'!O21,'A-15'!O68,'A-15'!O115,'A-15'!O162))</f>
        <v>0</v>
      </c>
      <c r="L67" s="193">
        <f>IF(AND('A-15'!P21="-",'A-15'!P68="-",'A-15'!P115="-",'A-15'!P162="-"),"-",SUM('A-15'!P21,'A-15'!P68,'A-15'!P115,'A-15'!P162))</f>
        <v>38943</v>
      </c>
      <c r="M67" s="193">
        <f>IF(AND('A-15'!Q21="-",'A-15'!Q68="-",'A-15'!Q115="-",'A-15'!Q162="-"),"-",SUM('A-15'!Q21,'A-15'!Q68,'A-15'!Q115,'A-15'!Q162))</f>
        <v>38011</v>
      </c>
      <c r="N67" s="193">
        <f>IF(AND('A-15'!R21="-",'A-15'!R68="-",'A-15'!R115="-",'A-15'!R162="-"),"-",SUM('A-15'!R21,'A-15'!R68,'A-15'!R115,'A-15'!R162))</f>
        <v>0</v>
      </c>
      <c r="O67" s="193">
        <f>IF(AND('A-15'!S21="-",'A-15'!S68="-",'A-15'!S115="-",'A-15'!S162="-"),"-",SUM('A-15'!S21,'A-15'!S68,'A-15'!S115,'A-15'!S162))</f>
        <v>498</v>
      </c>
      <c r="P67" s="193">
        <f>IF(AND('A-15'!U21="-",'A-15'!U68="-",'A-15'!U115="-",'A-15'!U162="-"),"-",SUM('A-15'!U21,'A-15'!U68,'A-15'!U115,'A-15'!U162))</f>
        <v>76954</v>
      </c>
    </row>
    <row r="68" spans="1:16" ht="11.25" customHeight="1" x14ac:dyDescent="0.25">
      <c r="A68" s="473">
        <v>1992</v>
      </c>
      <c r="B68" s="193">
        <f>IF(AND('A-15'!C22="-",'A-15'!C69="-",'A-15'!C116="-",'A-15'!C163="-"),"-",SUM('A-15'!C22,'A-15'!C69,'A-15'!C116,'A-15'!C163))</f>
        <v>8787</v>
      </c>
      <c r="C68" s="193">
        <f>IF(AND('A-15'!D22="-",'A-15'!D69="-",'A-15'!D116="-",'A-15'!D163="-"),"-",SUM('A-15'!D22,'A-15'!D69,'A-15'!D116,'A-15'!D163))</f>
        <v>5538</v>
      </c>
      <c r="D68" s="193">
        <f>IF(AND('A-15'!E22="-",'A-15'!E69="-",'A-15'!E116="-",'A-15'!E163="-"),"-",SUM('A-15'!E22,'A-15'!E69,'A-15'!E116,'A-15'!E163))</f>
        <v>4724</v>
      </c>
      <c r="E68" s="193">
        <f>IF(AND('A-15'!F22="-",'A-15'!F69="-",'A-15'!F116="-",'A-15'!F163="-"),"-",SUM('A-15'!F22,'A-15'!F69,'A-15'!F116,'A-15'!F163))</f>
        <v>4027</v>
      </c>
      <c r="F68" s="193">
        <f>IF(AND('A-15'!G22="-",'A-15'!G69="-",'A-15'!G116="-",'A-15'!G163="-"),"-",SUM('A-15'!G22,'A-15'!G69,'A-15'!G116,'A-15'!G163))</f>
        <v>0</v>
      </c>
      <c r="G68" s="193">
        <f>IF(AND('A-15'!H22="-",'A-15'!H69="-",'A-15'!H116="-",'A-15'!H163="-"),"-",SUM('A-15'!H22,'A-15'!H69,'A-15'!H116,'A-15'!H163))</f>
        <v>0</v>
      </c>
      <c r="H68" s="193">
        <f>IF(AND('A-15'!J22="-",'A-15'!J69="-",'A-15'!J116="-",'A-15'!J163="-"),"-",SUM('A-15'!J22,'A-15'!J69,'A-15'!J116,'A-15'!J163))</f>
        <v>23076</v>
      </c>
      <c r="J68" s="193">
        <f>IF(AND('A-15'!N22="-",'A-15'!N69="-",'A-15'!N116="-",'A-15'!N163="-"),"-",SUM('A-15'!N22,'A-15'!N69,'A-15'!N116,'A-15'!N163))</f>
        <v>2</v>
      </c>
      <c r="K68" s="193">
        <f>IF(AND('A-15'!O22="-",'A-15'!O69="-",'A-15'!O116="-",'A-15'!O163="-"),"-",SUM('A-15'!O22,'A-15'!O69,'A-15'!O116,'A-15'!O163))</f>
        <v>3</v>
      </c>
      <c r="L68" s="193">
        <f>IF(AND('A-15'!P22="-",'A-15'!P69="-",'A-15'!P116="-",'A-15'!P163="-"),"-",SUM('A-15'!P22,'A-15'!P69,'A-15'!P116,'A-15'!P163))</f>
        <v>40215</v>
      </c>
      <c r="M68" s="193">
        <f>IF(AND('A-15'!Q22="-",'A-15'!Q69="-",'A-15'!Q116="-",'A-15'!Q163="-"),"-",SUM('A-15'!Q22,'A-15'!Q69,'A-15'!Q116,'A-15'!Q163))</f>
        <v>35369</v>
      </c>
      <c r="N68" s="193">
        <f>IF(AND('A-15'!R22="-",'A-15'!R69="-",'A-15'!R116="-",'A-15'!R163="-"),"-",SUM('A-15'!R22,'A-15'!R69,'A-15'!R116,'A-15'!R163))</f>
        <v>0</v>
      </c>
      <c r="O68" s="193">
        <f>IF(AND('A-15'!S22="-",'A-15'!S69="-",'A-15'!S116="-",'A-15'!S163="-"),"-",SUM('A-15'!S22,'A-15'!S69,'A-15'!S116,'A-15'!S163))</f>
        <v>15</v>
      </c>
      <c r="P68" s="193">
        <f>IF(AND('A-15'!U22="-",'A-15'!U69="-",'A-15'!U116="-",'A-15'!U163="-"),"-",SUM('A-15'!U22,'A-15'!U69,'A-15'!U116,'A-15'!U163))</f>
        <v>75589</v>
      </c>
    </row>
    <row r="69" spans="1:16" ht="11.25" customHeight="1" x14ac:dyDescent="0.25">
      <c r="A69" s="473">
        <v>1993</v>
      </c>
      <c r="B69" s="193">
        <f>IF(AND('A-15'!C23="-",'A-15'!C70="-",'A-15'!C117="-",'A-15'!C164="-"),"-",SUM('A-15'!C23,'A-15'!C70,'A-15'!C117,'A-15'!C164))</f>
        <v>7325</v>
      </c>
      <c r="C69" s="193">
        <f>IF(AND('A-15'!D23="-",'A-15'!D70="-",'A-15'!D117="-",'A-15'!D164="-"),"-",SUM('A-15'!D23,'A-15'!D70,'A-15'!D117,'A-15'!D164))</f>
        <v>5217</v>
      </c>
      <c r="D69" s="193">
        <f>IF(AND('A-15'!E23="-",'A-15'!E70="-",'A-15'!E117="-",'A-15'!E164="-"),"-",SUM('A-15'!E23,'A-15'!E70,'A-15'!E117,'A-15'!E164))</f>
        <v>5923</v>
      </c>
      <c r="E69" s="193">
        <f>IF(AND('A-15'!F23="-",'A-15'!F70="-",'A-15'!F117="-",'A-15'!F164="-"),"-",SUM('A-15'!F23,'A-15'!F70,'A-15'!F117,'A-15'!F164))</f>
        <v>3648</v>
      </c>
      <c r="F69" s="193">
        <f>IF(AND('A-15'!G23="-",'A-15'!G70="-",'A-15'!G117="-",'A-15'!G164="-"),"-",SUM('A-15'!G23,'A-15'!G70,'A-15'!G117,'A-15'!G164))</f>
        <v>2853</v>
      </c>
      <c r="G69" s="193">
        <f>IF(AND('A-15'!H23="-",'A-15'!H70="-",'A-15'!H117="-",'A-15'!H164="-"),"-",SUM('A-15'!H23,'A-15'!H70,'A-15'!H117,'A-15'!H164))</f>
        <v>0</v>
      </c>
      <c r="H69" s="193">
        <f>IF(AND('A-15'!J23="-",'A-15'!J70="-",'A-15'!J117="-",'A-15'!J164="-"),"-",SUM('A-15'!J23,'A-15'!J70,'A-15'!J117,'A-15'!J164))</f>
        <v>24966</v>
      </c>
      <c r="J69" s="193">
        <f>IF(AND('A-15'!N23="-",'A-15'!N70="-",'A-15'!N117="-",'A-15'!N164="-"),"-",SUM('A-15'!N23,'A-15'!N70,'A-15'!N117,'A-15'!N164))</f>
        <v>1</v>
      </c>
      <c r="K69" s="193">
        <f>IF(AND('A-15'!O23="-",'A-15'!O70="-",'A-15'!O117="-",'A-15'!O164="-"),"-",SUM('A-15'!O23,'A-15'!O70,'A-15'!O117,'A-15'!O164))</f>
        <v>0</v>
      </c>
      <c r="L69" s="193">
        <f>IF(AND('A-15'!P23="-",'A-15'!P70="-",'A-15'!P117="-",'A-15'!P164="-"),"-",SUM('A-15'!P23,'A-15'!P70,'A-15'!P117,'A-15'!P164))</f>
        <v>6944</v>
      </c>
      <c r="M69" s="193">
        <f>IF(AND('A-15'!Q23="-",'A-15'!Q70="-",'A-15'!Q117="-",'A-15'!Q164="-"),"-",SUM('A-15'!Q23,'A-15'!Q70,'A-15'!Q117,'A-15'!Q164))</f>
        <v>25420</v>
      </c>
      <c r="N69" s="193">
        <f>IF(AND('A-15'!R23="-",'A-15'!R70="-",'A-15'!R117="-",'A-15'!R164="-"),"-",SUM('A-15'!R23,'A-15'!R70,'A-15'!R117,'A-15'!R164))</f>
        <v>26375</v>
      </c>
      <c r="O69" s="193">
        <f>IF(AND('A-15'!S23="-",'A-15'!S70="-",'A-15'!S117="-",'A-15'!S164="-"),"-",SUM('A-15'!S23,'A-15'!S70,'A-15'!S117,'A-15'!S164))</f>
        <v>0</v>
      </c>
      <c r="P69" s="193">
        <f>IF(AND('A-15'!U23="-",'A-15'!U70="-",'A-15'!U117="-",'A-15'!U164="-"),"-",SUM('A-15'!U23,'A-15'!U70,'A-15'!U117,'A-15'!U164))</f>
        <v>58740</v>
      </c>
    </row>
    <row r="70" spans="1:16" ht="11.25" customHeight="1" x14ac:dyDescent="0.25">
      <c r="A70" s="473">
        <v>1994</v>
      </c>
      <c r="B70" s="193">
        <f>IF(AND('A-15'!C24="-",'A-15'!C71="-",'A-15'!C118="-",'A-15'!C165="-"),"-",SUM('A-15'!C24,'A-15'!C71,'A-15'!C118,'A-15'!C165))</f>
        <v>449</v>
      </c>
      <c r="C70" s="193">
        <f>IF(AND('A-15'!D24="-",'A-15'!D71="-",'A-15'!D118="-",'A-15'!D165="-"),"-",SUM('A-15'!D24,'A-15'!D71,'A-15'!D118,'A-15'!D165))</f>
        <v>4113</v>
      </c>
      <c r="D70" s="193">
        <f>IF(AND('A-15'!E24="-",'A-15'!E71="-",'A-15'!E118="-",'A-15'!E165="-"),"-",SUM('A-15'!E24,'A-15'!E71,'A-15'!E118,'A-15'!E165))</f>
        <v>8</v>
      </c>
      <c r="E70" s="193">
        <f>IF(AND('A-15'!F24="-",'A-15'!F71="-",'A-15'!F118="-",'A-15'!F165="-"),"-",SUM('A-15'!F24,'A-15'!F71,'A-15'!F118,'A-15'!F165))</f>
        <v>0</v>
      </c>
      <c r="F70" s="193">
        <f>IF(AND('A-15'!G24="-",'A-15'!G71="-",'A-15'!G118="-",'A-15'!G165="-"),"-",SUM('A-15'!G24,'A-15'!G71,'A-15'!G118,'A-15'!G165))</f>
        <v>0</v>
      </c>
      <c r="G70" s="193">
        <f>IF(AND('A-15'!H24="-",'A-15'!H71="-",'A-15'!H118="-",'A-15'!H165="-"),"-",SUM('A-15'!H24,'A-15'!H71,'A-15'!H118,'A-15'!H165))</f>
        <v>0</v>
      </c>
      <c r="H70" s="193">
        <f>IF(AND('A-15'!J24="-",'A-15'!J71="-",'A-15'!J118="-",'A-15'!J165="-"),"-",SUM('A-15'!J24,'A-15'!J71,'A-15'!J118,'A-15'!J165))</f>
        <v>4570</v>
      </c>
      <c r="J70" s="193">
        <f>IF(AND('A-15'!N24="-",'A-15'!N71="-",'A-15'!N118="-",'A-15'!N165="-"),"-",SUM('A-15'!N24,'A-15'!N71,'A-15'!N118,'A-15'!N165))</f>
        <v>0</v>
      </c>
      <c r="K70" s="193">
        <f>IF(AND('A-15'!O24="-",'A-15'!O71="-",'A-15'!O118="-",'A-15'!O165="-"),"-",SUM('A-15'!O24,'A-15'!O71,'A-15'!O118,'A-15'!O165))</f>
        <v>0</v>
      </c>
      <c r="L70" s="193">
        <f>IF(AND('A-15'!P24="-",'A-15'!P71="-",'A-15'!P118="-",'A-15'!P165="-"),"-",SUM('A-15'!P24,'A-15'!P71,'A-15'!P118,'A-15'!P165))</f>
        <v>0</v>
      </c>
      <c r="M70" s="193">
        <f>IF(AND('A-15'!Q24="-",'A-15'!Q71="-",'A-15'!Q118="-",'A-15'!Q165="-"),"-",SUM('A-15'!Q24,'A-15'!Q71,'A-15'!Q118,'A-15'!Q165))</f>
        <v>0</v>
      </c>
      <c r="N70" s="193">
        <f>IF(AND('A-15'!R24="-",'A-15'!R71="-",'A-15'!R118="-",'A-15'!R165="-"),"-",SUM('A-15'!R24,'A-15'!R71,'A-15'!R118,'A-15'!R165))</f>
        <v>0</v>
      </c>
      <c r="O70" s="193">
        <f>IF(AND('A-15'!S24="-",'A-15'!S71="-",'A-15'!S118="-",'A-15'!S165="-"),"-",SUM('A-15'!S24,'A-15'!S71,'A-15'!S118,'A-15'!S165))</f>
        <v>0</v>
      </c>
      <c r="P70" s="193">
        <f>IF(AND('A-15'!U24="-",'A-15'!U71="-",'A-15'!U118="-",'A-15'!U165="-"),"-",SUM('A-15'!U24,'A-15'!U71,'A-15'!U118,'A-15'!U165))</f>
        <v>0</v>
      </c>
    </row>
    <row r="71" spans="1:16" ht="11.25" customHeight="1" x14ac:dyDescent="0.25">
      <c r="A71" s="473">
        <v>1995</v>
      </c>
      <c r="B71" s="193">
        <f>IF(AND('A-15'!C25="-",'A-15'!C72="-",'A-15'!C119="-",'A-15'!C166="-"),"-",SUM('A-15'!C25,'A-15'!C72,'A-15'!C119,'A-15'!C166))</f>
        <v>698</v>
      </c>
      <c r="C71" s="193">
        <f>IF(AND('A-15'!D25="-",'A-15'!D72="-",'A-15'!D119="-",'A-15'!D166="-"),"-",SUM('A-15'!D25,'A-15'!D72,'A-15'!D119,'A-15'!D166))</f>
        <v>0</v>
      </c>
      <c r="D71" s="193">
        <f>IF(AND('A-15'!E25="-",'A-15'!E72="-",'A-15'!E119="-",'A-15'!E166="-"),"-",SUM('A-15'!E25,'A-15'!E72,'A-15'!E119,'A-15'!E166))</f>
        <v>23</v>
      </c>
      <c r="E71" s="193">
        <f>IF(AND('A-15'!F25="-",'A-15'!F72="-",'A-15'!F119="-",'A-15'!F166="-"),"-",SUM('A-15'!F25,'A-15'!F72,'A-15'!F119,'A-15'!F166))</f>
        <v>9044</v>
      </c>
      <c r="F71" s="193">
        <f>IF(AND('A-15'!G25="-",'A-15'!G72="-",'A-15'!G119="-",'A-15'!G166="-"),"-",SUM('A-15'!G25,'A-15'!G72,'A-15'!G119,'A-15'!G166))</f>
        <v>0</v>
      </c>
      <c r="G71" s="193">
        <f>IF(AND('A-15'!H25="-",'A-15'!H72="-",'A-15'!H119="-",'A-15'!H166="-"),"-",SUM('A-15'!H25,'A-15'!H72,'A-15'!H119,'A-15'!H166))</f>
        <v>0</v>
      </c>
      <c r="H71" s="193">
        <f>IF(AND('A-15'!J25="-",'A-15'!J72="-",'A-15'!J119="-",'A-15'!J166="-"),"-",SUM('A-15'!J25,'A-15'!J72,'A-15'!J119,'A-15'!J166))</f>
        <v>9765</v>
      </c>
      <c r="J71" s="193">
        <f>IF(AND('A-15'!N25="-",'A-15'!N72="-",'A-15'!N119="-",'A-15'!N166="-"),"-",SUM('A-15'!N25,'A-15'!N72,'A-15'!N119,'A-15'!N166))</f>
        <v>0</v>
      </c>
      <c r="K71" s="193">
        <f>IF(AND('A-15'!O25="-",'A-15'!O72="-",'A-15'!O119="-",'A-15'!O166="-"),"-",SUM('A-15'!O25,'A-15'!O72,'A-15'!O119,'A-15'!O166))</f>
        <v>0</v>
      </c>
      <c r="L71" s="193">
        <f>IF(AND('A-15'!P25="-",'A-15'!P72="-",'A-15'!P119="-",'A-15'!P166="-"),"-",SUM('A-15'!P25,'A-15'!P72,'A-15'!P119,'A-15'!P166))</f>
        <v>0</v>
      </c>
      <c r="M71" s="193">
        <f>IF(AND('A-15'!Q25="-",'A-15'!Q72="-",'A-15'!Q119="-",'A-15'!Q166="-"),"-",SUM('A-15'!Q25,'A-15'!Q72,'A-15'!Q119,'A-15'!Q166))</f>
        <v>31390</v>
      </c>
      <c r="N71" s="193">
        <f>IF(AND('A-15'!R25="-",'A-15'!R72="-",'A-15'!R119="-",'A-15'!R166="-"),"-",SUM('A-15'!R25,'A-15'!R72,'A-15'!R119,'A-15'!R166))</f>
        <v>0</v>
      </c>
      <c r="O71" s="193">
        <f>IF(AND('A-15'!S25="-",'A-15'!S72="-",'A-15'!S119="-",'A-15'!S166="-"),"-",SUM('A-15'!S25,'A-15'!S72,'A-15'!S119,'A-15'!S166))</f>
        <v>0</v>
      </c>
      <c r="P71" s="193">
        <f>IF(AND('A-15'!U25="-",'A-15'!U72="-",'A-15'!U119="-",'A-15'!U166="-"),"-",SUM('A-15'!U25,'A-15'!U72,'A-15'!U119,'A-15'!U166))</f>
        <v>31390</v>
      </c>
    </row>
    <row r="72" spans="1:16" ht="11.25" customHeight="1" x14ac:dyDescent="0.25">
      <c r="A72" s="473">
        <v>1996</v>
      </c>
      <c r="B72" s="193">
        <f>IF(AND('A-15'!C26="-",'A-15'!C73="-",'A-15'!C120="-",'A-15'!C167="-"),"-",SUM('A-15'!C26,'A-15'!C73,'A-15'!C120,'A-15'!C167))</f>
        <v>1473</v>
      </c>
      <c r="C72" s="193">
        <f>IF(AND('A-15'!D26="-",'A-15'!D73="-",'A-15'!D120="-",'A-15'!D167="-"),"-",SUM('A-15'!D26,'A-15'!D73,'A-15'!D120,'A-15'!D167))</f>
        <v>1974</v>
      </c>
      <c r="D72" s="193">
        <f>IF(AND('A-15'!E26="-",'A-15'!E73="-",'A-15'!E120="-",'A-15'!E167="-"),"-",SUM('A-15'!E26,'A-15'!E73,'A-15'!E120,'A-15'!E167))</f>
        <v>457</v>
      </c>
      <c r="E72" s="193">
        <f>IF(AND('A-15'!F26="-",'A-15'!F73="-",'A-15'!F120="-",'A-15'!F167="-"),"-",SUM('A-15'!F26,'A-15'!F73,'A-15'!F120,'A-15'!F167))</f>
        <v>4845</v>
      </c>
      <c r="F72" s="193">
        <f>IF(AND('A-15'!G26="-",'A-15'!G73="-",'A-15'!G120="-",'A-15'!G167="-"),"-",SUM('A-15'!G26,'A-15'!G73,'A-15'!G120,'A-15'!G167))</f>
        <v>3561</v>
      </c>
      <c r="G72" s="193" t="str">
        <f>IF(AND('A-15'!H26="-",'A-15'!H73="-",'A-15'!H120="-",'A-15'!H167="-"),"-",SUM('A-15'!H26,'A-15'!H73,'A-15'!H120,'A-15'!H167))</f>
        <v>-</v>
      </c>
      <c r="H72" s="193">
        <f>IF(AND('A-15'!J26="-",'A-15'!J73="-",'A-15'!J120="-",'A-15'!J167="-"),"-",SUM('A-15'!J26,'A-15'!J73,'A-15'!J120,'A-15'!J167))</f>
        <v>12310</v>
      </c>
      <c r="J72" s="193">
        <f>IF(AND('A-15'!N26="-",'A-15'!N73="-",'A-15'!N120="-",'A-15'!N167="-"),"-",SUM('A-15'!N26,'A-15'!N73,'A-15'!N120,'A-15'!N167))</f>
        <v>0</v>
      </c>
      <c r="K72" s="193">
        <f>IF(AND('A-15'!O26="-",'A-15'!O73="-",'A-15'!O120="-",'A-15'!O167="-"),"-",SUM('A-15'!O26,'A-15'!O73,'A-15'!O120,'A-15'!O167))</f>
        <v>0</v>
      </c>
      <c r="L72" s="193">
        <f>IF(AND('A-15'!P26="-",'A-15'!P73="-",'A-15'!P120="-",'A-15'!P167="-"),"-",SUM('A-15'!P26,'A-15'!P73,'A-15'!P120,'A-15'!P167))</f>
        <v>0</v>
      </c>
      <c r="M72" s="193">
        <f>IF(AND('A-15'!Q26="-",'A-15'!Q73="-",'A-15'!Q120="-",'A-15'!Q167="-"),"-",SUM('A-15'!Q26,'A-15'!Q73,'A-15'!Q120,'A-15'!Q167))</f>
        <v>4655</v>
      </c>
      <c r="N72" s="193">
        <f>IF(AND('A-15'!R26="-",'A-15'!R73="-",'A-15'!R120="-",'A-15'!R167="-"),"-",SUM('A-15'!R26,'A-15'!R73,'A-15'!R120,'A-15'!R167))</f>
        <v>13885</v>
      </c>
      <c r="O72" s="193" t="str">
        <f>IF(AND('A-15'!S26="-",'A-15'!S73="-",'A-15'!S120="-",'A-15'!S167="-"),"-",SUM('A-15'!S26,'A-15'!S73,'A-15'!S120,'A-15'!S167))</f>
        <v>-</v>
      </c>
      <c r="P72" s="193">
        <f>IF(AND('A-15'!U26="-",'A-15'!U73="-",'A-15'!U120="-",'A-15'!U167="-"),"-",SUM('A-15'!U26,'A-15'!U73,'A-15'!U120,'A-15'!U167))</f>
        <v>18540</v>
      </c>
    </row>
    <row r="73" spans="1:16" ht="11.25" customHeight="1" x14ac:dyDescent="0.25">
      <c r="A73" s="473">
        <v>1997</v>
      </c>
      <c r="B73" s="193">
        <f>IF(AND('A-15'!C27="-",'A-15'!C74="-",'A-15'!C121="-",'A-15'!C168="-"),"-",SUM('A-15'!C27,'A-15'!C74,'A-15'!C121,'A-15'!C168))</f>
        <v>819</v>
      </c>
      <c r="C73" s="193">
        <f>IF(AND('A-15'!D27="-",'A-15'!D74="-",'A-15'!D121="-",'A-15'!D168="-"),"-",SUM('A-15'!D27,'A-15'!D74,'A-15'!D121,'A-15'!D168))</f>
        <v>7486</v>
      </c>
      <c r="D73" s="193">
        <f>IF(AND('A-15'!E27="-",'A-15'!E74="-",'A-15'!E121="-",'A-15'!E168="-"),"-",SUM('A-15'!E27,'A-15'!E74,'A-15'!E121,'A-15'!E168))</f>
        <v>0</v>
      </c>
      <c r="E73" s="193">
        <f>IF(AND('A-15'!F27="-",'A-15'!F74="-",'A-15'!F121="-",'A-15'!F168="-"),"-",SUM('A-15'!F27,'A-15'!F74,'A-15'!F121,'A-15'!F168))</f>
        <v>4720</v>
      </c>
      <c r="F73" s="193">
        <f>IF(AND('A-15'!G27="-",'A-15'!G74="-",'A-15'!G121="-",'A-15'!G168="-"),"-",SUM('A-15'!G27,'A-15'!G74,'A-15'!G121,'A-15'!G168))</f>
        <v>1136</v>
      </c>
      <c r="G73" s="193" t="str">
        <f>IF(AND('A-15'!H27="-",'A-15'!H74="-",'A-15'!H121="-",'A-15'!H168="-"),"-",SUM('A-15'!H27,'A-15'!H74,'A-15'!H121,'A-15'!H168))</f>
        <v>-</v>
      </c>
      <c r="H73" s="193">
        <f>IF(AND('A-15'!J27="-",'A-15'!J74="-",'A-15'!J121="-",'A-15'!J168="-"),"-",SUM('A-15'!J27,'A-15'!J74,'A-15'!J121,'A-15'!J168))</f>
        <v>14161</v>
      </c>
      <c r="J73" s="193">
        <f>IF(AND('A-15'!N27="-",'A-15'!N74="-",'A-15'!N121="-",'A-15'!N168="-"),"-",SUM('A-15'!N27,'A-15'!N74,'A-15'!N121,'A-15'!N168))</f>
        <v>0</v>
      </c>
      <c r="K73" s="193">
        <f>IF(AND('A-15'!O27="-",'A-15'!O74="-",'A-15'!O121="-",'A-15'!O168="-"),"-",SUM('A-15'!O27,'A-15'!O74,'A-15'!O121,'A-15'!O168))</f>
        <v>0</v>
      </c>
      <c r="L73" s="193">
        <f>IF(AND('A-15'!P27="-",'A-15'!P74="-",'A-15'!P121="-",'A-15'!P168="-"),"-",SUM('A-15'!P27,'A-15'!P74,'A-15'!P121,'A-15'!P168))</f>
        <v>0</v>
      </c>
      <c r="M73" s="193">
        <f>IF(AND('A-15'!Q27="-",'A-15'!Q74="-",'A-15'!Q121="-",'A-15'!Q168="-"),"-",SUM('A-15'!Q27,'A-15'!Q74,'A-15'!Q121,'A-15'!Q168))</f>
        <v>11481</v>
      </c>
      <c r="N73" s="193">
        <f>IF(AND('A-15'!R27="-",'A-15'!R74="-",'A-15'!R121="-",'A-15'!R168="-"),"-",SUM('A-15'!R27,'A-15'!R74,'A-15'!R121,'A-15'!R168))</f>
        <v>4343</v>
      </c>
      <c r="O73" s="193" t="str">
        <f>IF(AND('A-15'!S27="-",'A-15'!S74="-",'A-15'!S121="-",'A-15'!S168="-"),"-",SUM('A-15'!S27,'A-15'!S74,'A-15'!S121,'A-15'!S168))</f>
        <v>-</v>
      </c>
      <c r="P73" s="193">
        <f>IF(AND('A-15'!U27="-",'A-15'!U74="-",'A-15'!U121="-",'A-15'!U168="-"),"-",SUM('A-15'!U27,'A-15'!U74,'A-15'!U121,'A-15'!U168))</f>
        <v>15824</v>
      </c>
    </row>
    <row r="74" spans="1:16" ht="11.25" customHeight="1" x14ac:dyDescent="0.25">
      <c r="A74" s="473">
        <v>1998</v>
      </c>
      <c r="B74" s="193">
        <f>IF(AND('A-15'!C28="-",'A-15'!C75="-",'A-15'!C122="-",'A-15'!C169="-"),"-",SUM('A-15'!C28,'A-15'!C75,'A-15'!C122,'A-15'!C169))</f>
        <v>5189</v>
      </c>
      <c r="C74" s="193">
        <f>IF(AND('A-15'!D28="-",'A-15'!D75="-",'A-15'!D122="-",'A-15'!D169="-"),"-",SUM('A-15'!D28,'A-15'!D75,'A-15'!D122,'A-15'!D169))</f>
        <v>4442</v>
      </c>
      <c r="D74" s="193">
        <f>IF(AND('A-15'!E28="-",'A-15'!E75="-",'A-15'!E122="-",'A-15'!E169="-"),"-",SUM('A-15'!E28,'A-15'!E75,'A-15'!E122,'A-15'!E169))</f>
        <v>47</v>
      </c>
      <c r="E74" s="193">
        <f>IF(AND('A-15'!F28="-",'A-15'!F75="-",'A-15'!F122="-",'A-15'!F169="-"),"-",SUM('A-15'!F28,'A-15'!F75,'A-15'!F122,'A-15'!F169))</f>
        <v>3860</v>
      </c>
      <c r="F74" s="193">
        <f>IF(AND('A-15'!G28="-",'A-15'!G75="-",'A-15'!G122="-",'A-15'!G169="-"),"-",SUM('A-15'!G28,'A-15'!G75,'A-15'!G122,'A-15'!G169))</f>
        <v>1148</v>
      </c>
      <c r="G74" s="193" t="str">
        <f>IF(AND('A-15'!H28="-",'A-15'!H75="-",'A-15'!H122="-",'A-15'!H169="-"),"-",SUM('A-15'!H28,'A-15'!H75,'A-15'!H122,'A-15'!H169))</f>
        <v>-</v>
      </c>
      <c r="H74" s="193">
        <f>IF(AND('A-15'!J28="-",'A-15'!J75="-",'A-15'!J122="-",'A-15'!J169="-"),"-",SUM('A-15'!J28,'A-15'!J75,'A-15'!J122,'A-15'!J169))</f>
        <v>14686</v>
      </c>
      <c r="J74" s="193">
        <f>IF(AND('A-15'!N28="-",'A-15'!N75="-",'A-15'!N122="-",'A-15'!N169="-"),"-",SUM('A-15'!N28,'A-15'!N75,'A-15'!N122,'A-15'!N169))</f>
        <v>0</v>
      </c>
      <c r="K74" s="193">
        <f>IF(AND('A-15'!O28="-",'A-15'!O75="-",'A-15'!O122="-",'A-15'!O169="-"),"-",SUM('A-15'!O28,'A-15'!O75,'A-15'!O122,'A-15'!O169))</f>
        <v>0</v>
      </c>
      <c r="L74" s="193">
        <f>IF(AND('A-15'!P28="-",'A-15'!P75="-",'A-15'!P122="-",'A-15'!P169="-"),"-",SUM('A-15'!P28,'A-15'!P75,'A-15'!P122,'A-15'!P169))</f>
        <v>74</v>
      </c>
      <c r="M74" s="193">
        <f>IF(AND('A-15'!Q28="-",'A-15'!Q75="-",'A-15'!Q122="-",'A-15'!Q169="-"),"-",SUM('A-15'!Q28,'A-15'!Q75,'A-15'!Q122,'A-15'!Q169))</f>
        <v>3855</v>
      </c>
      <c r="N74" s="193">
        <f>IF(AND('A-15'!R28="-",'A-15'!R75="-",'A-15'!R122="-",'A-15'!R169="-"),"-",SUM('A-15'!R28,'A-15'!R75,'A-15'!R122,'A-15'!R169))</f>
        <v>4225</v>
      </c>
      <c r="O74" s="193" t="str">
        <f>IF(AND('A-15'!S28="-",'A-15'!S75="-",'A-15'!S122="-",'A-15'!S169="-"),"-",SUM('A-15'!S28,'A-15'!S75,'A-15'!S122,'A-15'!S169))</f>
        <v>-</v>
      </c>
      <c r="P74" s="193">
        <f>IF(AND('A-15'!U28="-",'A-15'!U75="-",'A-15'!U122="-",'A-15'!U169="-"),"-",SUM('A-15'!U28,'A-15'!U75,'A-15'!U122,'A-15'!U169))</f>
        <v>8154</v>
      </c>
    </row>
    <row r="75" spans="1:16" ht="11.25" customHeight="1" x14ac:dyDescent="0.25">
      <c r="A75" s="473">
        <v>1999</v>
      </c>
      <c r="B75" s="193">
        <f>IF(AND('A-15'!C29="-",'A-15'!C76="-",'A-15'!C123="-",'A-15'!C170="-"),"-",SUM('A-15'!C29,'A-15'!C76,'A-15'!C123,'A-15'!C170))</f>
        <v>2536</v>
      </c>
      <c r="C75" s="193">
        <f>IF(AND('A-15'!D29="-",'A-15'!D76="-",'A-15'!D123="-",'A-15'!D170="-"),"-",SUM('A-15'!D29,'A-15'!D76,'A-15'!D123,'A-15'!D170))</f>
        <v>15666</v>
      </c>
      <c r="D75" s="193">
        <f>IF(AND('A-15'!E29="-",'A-15'!E76="-",'A-15'!E123="-",'A-15'!E170="-"),"-",SUM('A-15'!E29,'A-15'!E76,'A-15'!E123,'A-15'!E170))</f>
        <v>1530</v>
      </c>
      <c r="E75" s="193">
        <f>IF(AND('A-15'!F29="-",'A-15'!F76="-",'A-15'!F123="-",'A-15'!F170="-"),"-",SUM('A-15'!F29,'A-15'!F76,'A-15'!F123,'A-15'!F170))</f>
        <v>4101</v>
      </c>
      <c r="F75" s="193">
        <f>IF(AND('A-15'!G29="-",'A-15'!G76="-",'A-15'!G123="-",'A-15'!G170="-"),"-",SUM('A-15'!G29,'A-15'!G76,'A-15'!G123,'A-15'!G170))</f>
        <v>3619</v>
      </c>
      <c r="G75" s="193" t="str">
        <f>IF(AND('A-15'!H29="-",'A-15'!H76="-",'A-15'!H123="-",'A-15'!H170="-"),"-",SUM('A-15'!H29,'A-15'!H76,'A-15'!H123,'A-15'!H170))</f>
        <v>-</v>
      </c>
      <c r="H75" s="193">
        <f>IF(AND('A-15'!J29="-",'A-15'!J76="-",'A-15'!J123="-",'A-15'!J170="-"),"-",SUM('A-15'!J29,'A-15'!J76,'A-15'!J123,'A-15'!J170))</f>
        <v>27452</v>
      </c>
      <c r="J75" s="193">
        <f>IF(AND('A-15'!N29="-",'A-15'!N76="-",'A-15'!N123="-",'A-15'!N170="-"),"-",SUM('A-15'!N29,'A-15'!N76,'A-15'!N123,'A-15'!N170))</f>
        <v>0</v>
      </c>
      <c r="K75" s="193">
        <f>IF(AND('A-15'!O29="-",'A-15'!O76="-",'A-15'!O123="-",'A-15'!O170="-"),"-",SUM('A-15'!O29,'A-15'!O76,'A-15'!O123,'A-15'!O170))</f>
        <v>0</v>
      </c>
      <c r="L75" s="193">
        <f>IF(AND('A-15'!P29="-",'A-15'!P76="-",'A-15'!P123="-",'A-15'!P170="-"),"-",SUM('A-15'!P29,'A-15'!P76,'A-15'!P123,'A-15'!P170))</f>
        <v>0</v>
      </c>
      <c r="M75" s="193">
        <f>IF(AND('A-15'!Q29="-",'A-15'!Q76="-",'A-15'!Q123="-",'A-15'!Q170="-"),"-",SUM('A-15'!Q29,'A-15'!Q76,'A-15'!Q123,'A-15'!Q170))</f>
        <v>13151</v>
      </c>
      <c r="N75" s="193">
        <f>IF(AND('A-15'!R29="-",'A-15'!R76="-",'A-15'!R123="-",'A-15'!R170="-"),"-",SUM('A-15'!R29,'A-15'!R76,'A-15'!R123,'A-15'!R170))</f>
        <v>20213</v>
      </c>
      <c r="O75" s="193" t="str">
        <f>IF(AND('A-15'!S29="-",'A-15'!S76="-",'A-15'!S123="-",'A-15'!S170="-"),"-",SUM('A-15'!S29,'A-15'!S76,'A-15'!S123,'A-15'!S170))</f>
        <v>-</v>
      </c>
      <c r="P75" s="193">
        <f>IF(AND('A-15'!U29="-",'A-15'!U76="-",'A-15'!U123="-",'A-15'!U170="-"),"-",SUM('A-15'!U29,'A-15'!U76,'A-15'!U123,'A-15'!U170))</f>
        <v>33364</v>
      </c>
    </row>
    <row r="76" spans="1:16" ht="11.25" customHeight="1" x14ac:dyDescent="0.25">
      <c r="A76" s="473">
        <v>2000</v>
      </c>
      <c r="B76" s="193">
        <f>IF(AND('A-15'!C30="-",'A-15'!C77="-",'A-15'!C124="-",'A-15'!C171="-"),"-",SUM('A-15'!C30,'A-15'!C77,'A-15'!C124,'A-15'!C171))</f>
        <v>2885</v>
      </c>
      <c r="C76" s="193">
        <f>IF(AND('A-15'!D30="-",'A-15'!D77="-",'A-15'!D124="-",'A-15'!D171="-"),"-",SUM('A-15'!D30,'A-15'!D77,'A-15'!D124,'A-15'!D171))</f>
        <v>3052</v>
      </c>
      <c r="D76" s="193">
        <f>IF(AND('A-15'!E30="-",'A-15'!E77="-",'A-15'!E124="-",'A-15'!E171="-"),"-",SUM('A-15'!E30,'A-15'!E77,'A-15'!E124,'A-15'!E171))</f>
        <v>196</v>
      </c>
      <c r="E76" s="193">
        <f>IF(AND('A-15'!F30="-",'A-15'!F77="-",'A-15'!F124="-",'A-15'!F171="-"),"-",SUM('A-15'!F30,'A-15'!F77,'A-15'!F124,'A-15'!F171))</f>
        <v>1505</v>
      </c>
      <c r="F76" s="193">
        <f>IF(AND('A-15'!G30="-",'A-15'!G77="-",'A-15'!G124="-",'A-15'!G171="-"),"-",SUM('A-15'!G30,'A-15'!G77,'A-15'!G124,'A-15'!G171))</f>
        <v>0</v>
      </c>
      <c r="G76" s="193" t="str">
        <f>IF(AND('A-15'!H30="-",'A-15'!H77="-",'A-15'!H124="-",'A-15'!H171="-"),"-",SUM('A-15'!H30,'A-15'!H77,'A-15'!H124,'A-15'!H171))</f>
        <v>-</v>
      </c>
      <c r="H76" s="193">
        <f>IF(AND('A-15'!J30="-",'A-15'!J77="-",'A-15'!J124="-",'A-15'!J171="-"),"-",SUM('A-15'!J30,'A-15'!J77,'A-15'!J124,'A-15'!J171))</f>
        <v>7638</v>
      </c>
      <c r="J76" s="193">
        <f>IF(AND('A-15'!N30="-",'A-15'!N77="-",'A-15'!N124="-",'A-15'!N171="-"),"-",SUM('A-15'!N30,'A-15'!N77,'A-15'!N124,'A-15'!N171))</f>
        <v>0</v>
      </c>
      <c r="K76" s="193">
        <f>IF(AND('A-15'!O30="-",'A-15'!O77="-",'A-15'!O124="-",'A-15'!O171="-"),"-",SUM('A-15'!O30,'A-15'!O77,'A-15'!O124,'A-15'!O171))</f>
        <v>1</v>
      </c>
      <c r="L76" s="193">
        <f>IF(AND('A-15'!P30="-",'A-15'!P77="-",'A-15'!P124="-",'A-15'!P171="-"),"-",SUM('A-15'!P30,'A-15'!P77,'A-15'!P124,'A-15'!P171))</f>
        <v>0</v>
      </c>
      <c r="M76" s="193">
        <f>IF(AND('A-15'!Q30="-",'A-15'!Q77="-",'A-15'!Q124="-",'A-15'!Q171="-"),"-",SUM('A-15'!Q30,'A-15'!Q77,'A-15'!Q124,'A-15'!Q171))</f>
        <v>22174</v>
      </c>
      <c r="N76" s="193">
        <f>IF(AND('A-15'!R30="-",'A-15'!R77="-",'A-15'!R124="-",'A-15'!R171="-"),"-",SUM('A-15'!R30,'A-15'!R77,'A-15'!R124,'A-15'!R171))</f>
        <v>0</v>
      </c>
      <c r="O76" s="193" t="str">
        <f>IF(AND('A-15'!S30="-",'A-15'!S77="-",'A-15'!S124="-",'A-15'!S171="-"),"-",SUM('A-15'!S30,'A-15'!S77,'A-15'!S124,'A-15'!S171))</f>
        <v>-</v>
      </c>
      <c r="P76" s="193">
        <f>IF(AND('A-15'!U30="-",'A-15'!U77="-",'A-15'!U124="-",'A-15'!U171="-"),"-",SUM('A-15'!U30,'A-15'!U77,'A-15'!U124,'A-15'!U171))</f>
        <v>22175</v>
      </c>
    </row>
    <row r="77" spans="1:16" ht="11.25" customHeight="1" x14ac:dyDescent="0.25">
      <c r="A77" s="473">
        <v>2001</v>
      </c>
      <c r="B77" s="193">
        <f>IF(AND('A-15'!C31="-",'A-15'!C78="-",'A-15'!C125="-",'A-15'!C172="-"),"-",SUM('A-15'!C31,'A-15'!C78,'A-15'!C125,'A-15'!C172))</f>
        <v>2278</v>
      </c>
      <c r="C77" s="193">
        <f>IF(AND('A-15'!D31="-",'A-15'!D78="-",'A-15'!D125="-",'A-15'!D172="-"),"-",SUM('A-15'!D31,'A-15'!D78,'A-15'!D125,'A-15'!D172))</f>
        <v>13705</v>
      </c>
      <c r="D77" s="193">
        <f>IF(AND('A-15'!E31="-",'A-15'!E78="-",'A-15'!E125="-",'A-15'!E172="-"),"-",SUM('A-15'!E31,'A-15'!E78,'A-15'!E125,'A-15'!E172))</f>
        <v>6561</v>
      </c>
      <c r="E77" s="193">
        <f>IF(AND('A-15'!F31="-",'A-15'!F78="-",'A-15'!F125="-",'A-15'!F172="-"),"-",SUM('A-15'!F31,'A-15'!F78,'A-15'!F125,'A-15'!F172))</f>
        <v>2988</v>
      </c>
      <c r="F77" s="193">
        <f>IF(AND('A-15'!G31="-",'A-15'!G78="-",'A-15'!G125="-",'A-15'!G172="-"),"-",SUM('A-15'!G31,'A-15'!G78,'A-15'!G125,'A-15'!G172))</f>
        <v>3311</v>
      </c>
      <c r="G77" s="193" t="str">
        <f>IF(AND('A-15'!H31="-",'A-15'!H78="-",'A-15'!H125="-",'A-15'!H172="-"),"-",SUM('A-15'!H31,'A-15'!H78,'A-15'!H125,'A-15'!H172))</f>
        <v>-</v>
      </c>
      <c r="H77" s="193">
        <f>IF(AND('A-15'!J31="-",'A-15'!J78="-",'A-15'!J125="-",'A-15'!J172="-"),"-",SUM('A-15'!J31,'A-15'!J78,'A-15'!J125,'A-15'!J172))</f>
        <v>28843</v>
      </c>
      <c r="J77" s="193">
        <f>IF(AND('A-15'!N31="-",'A-15'!N78="-",'A-15'!N125="-",'A-15'!N172="-"),"-",SUM('A-15'!N31,'A-15'!N78,'A-15'!N125,'A-15'!N172))</f>
        <v>0</v>
      </c>
      <c r="K77" s="193">
        <f>IF(AND('A-15'!O31="-",'A-15'!O78="-",'A-15'!O125="-",'A-15'!O172="-"),"-",SUM('A-15'!O31,'A-15'!O78,'A-15'!O125,'A-15'!O172))</f>
        <v>12</v>
      </c>
      <c r="L77" s="193">
        <f>IF(AND('A-15'!P31="-",'A-15'!P78="-",'A-15'!P125="-",'A-15'!P172="-"),"-",SUM('A-15'!P31,'A-15'!P78,'A-15'!P125,'A-15'!P172))</f>
        <v>8510</v>
      </c>
      <c r="M77" s="193">
        <f>IF(AND('A-15'!Q31="-",'A-15'!Q78="-",'A-15'!Q125="-",'A-15'!Q172="-"),"-",SUM('A-15'!Q31,'A-15'!Q78,'A-15'!Q125,'A-15'!Q172))</f>
        <v>27984</v>
      </c>
      <c r="N77" s="193">
        <f>IF(AND('A-15'!R31="-",'A-15'!R78="-",'A-15'!R125="-",'A-15'!R172="-"),"-",SUM('A-15'!R31,'A-15'!R78,'A-15'!R125,'A-15'!R172))</f>
        <v>22089</v>
      </c>
      <c r="O77" s="193" t="str">
        <f>IF(AND('A-15'!S31="-",'A-15'!S78="-",'A-15'!S125="-",'A-15'!S172="-"),"-",SUM('A-15'!S31,'A-15'!S78,'A-15'!S125,'A-15'!S172))</f>
        <v>-</v>
      </c>
      <c r="P77" s="193">
        <f>IF(AND('A-15'!U31="-",'A-15'!U78="-",'A-15'!U125="-",'A-15'!U172="-"),"-",SUM('A-15'!U31,'A-15'!U78,'A-15'!U125,'A-15'!U172))</f>
        <v>58595</v>
      </c>
    </row>
    <row r="78" spans="1:16" ht="11.25" customHeight="1" x14ac:dyDescent="0.25">
      <c r="A78" s="473">
        <v>2002</v>
      </c>
      <c r="B78" s="193">
        <f>IF(AND('A-15'!C32="-",'A-15'!C79="-",'A-15'!C126="-",'A-15'!C173="-"),"-",SUM('A-15'!C32,'A-15'!C79,'A-15'!C126,'A-15'!C173))</f>
        <v>5364</v>
      </c>
      <c r="C78" s="193">
        <f>IF(AND('A-15'!D32="-",'A-15'!D79="-",'A-15'!D126="-",'A-15'!D173="-"),"-",SUM('A-15'!D32,'A-15'!D79,'A-15'!D126,'A-15'!D173))</f>
        <v>11206</v>
      </c>
      <c r="D78" s="193">
        <f>IF(AND('A-15'!E32="-",'A-15'!E79="-",'A-15'!E126="-",'A-15'!E173="-"),"-",SUM('A-15'!E32,'A-15'!E79,'A-15'!E126,'A-15'!E173))</f>
        <v>12079</v>
      </c>
      <c r="E78" s="193">
        <f>IF(AND('A-15'!F32="-",'A-15'!F79="-",'A-15'!F126="-",'A-15'!F173="-"),"-",SUM('A-15'!F32,'A-15'!F79,'A-15'!F126,'A-15'!F173))</f>
        <v>8074</v>
      </c>
      <c r="F78" s="193">
        <f>IF(AND('A-15'!G32="-",'A-15'!G79="-",'A-15'!G126="-",'A-15'!G173="-"),"-",SUM('A-15'!G32,'A-15'!G79,'A-15'!G126,'A-15'!G173))</f>
        <v>3123</v>
      </c>
      <c r="G78" s="193">
        <f>IF(AND('A-15'!H32="-",'A-15'!H79="-",'A-15'!H126="-",'A-15'!H173="-"),"-",SUM('A-15'!H32,'A-15'!H79,'A-15'!H126,'A-15'!H173))</f>
        <v>30</v>
      </c>
      <c r="H78" s="193">
        <f>IF(AND('A-15'!J32="-",'A-15'!J79="-",'A-15'!J126="-",'A-15'!J173="-"),"-",SUM('A-15'!J32,'A-15'!J79,'A-15'!J126,'A-15'!J173))</f>
        <v>39846</v>
      </c>
      <c r="J78" s="193">
        <f>IF(AND('A-15'!N32="-",'A-15'!N79="-",'A-15'!N126="-",'A-15'!N173="-"),"-",SUM('A-15'!N32,'A-15'!N79,'A-15'!N126,'A-15'!N173))</f>
        <v>1</v>
      </c>
      <c r="K78" s="193">
        <f>IF(AND('A-15'!O32="-",'A-15'!O79="-",'A-15'!O126="-",'A-15'!O173="-"),"-",SUM('A-15'!O32,'A-15'!O79,'A-15'!O126,'A-15'!O173))</f>
        <v>1</v>
      </c>
      <c r="L78" s="193">
        <f>IF(AND('A-15'!P32="-",'A-15'!P79="-",'A-15'!P126="-",'A-15'!P173="-"),"-",SUM('A-15'!P32,'A-15'!P79,'A-15'!P126,'A-15'!P173))</f>
        <v>3449</v>
      </c>
      <c r="M78" s="193">
        <f>IF(AND('A-15'!Q32="-",'A-15'!Q79="-",'A-15'!Q126="-",'A-15'!Q173="-"),"-",SUM('A-15'!Q32,'A-15'!Q79,'A-15'!Q126,'A-15'!Q173))</f>
        <v>4929</v>
      </c>
      <c r="N78" s="193">
        <f>IF(AND('A-15'!R32="-",'A-15'!R79="-",'A-15'!R126="-",'A-15'!R173="-"),"-",SUM('A-15'!R32,'A-15'!R79,'A-15'!R126,'A-15'!R173))</f>
        <v>9042</v>
      </c>
      <c r="O78" s="193">
        <f>IF(AND('A-15'!S32="-",'A-15'!S79="-",'A-15'!S126="-",'A-15'!S173="-"),"-",SUM('A-15'!S32,'A-15'!S79,'A-15'!S126,'A-15'!S173))</f>
        <v>80</v>
      </c>
      <c r="P78" s="193">
        <f>IF(AND('A-15'!U32="-",'A-15'!U79="-",'A-15'!U126="-",'A-15'!U173="-"),"-",SUM('A-15'!U32,'A-15'!U79,'A-15'!U126,'A-15'!U173))</f>
        <v>17422</v>
      </c>
    </row>
    <row r="79" spans="1:16" ht="11.25" customHeight="1" x14ac:dyDescent="0.25">
      <c r="A79" s="473">
        <v>2003</v>
      </c>
      <c r="B79" s="193">
        <f>IF(AND('A-15'!C33="-",'A-15'!C80="-",'A-15'!C127="-",'A-15'!C174="-"),"-",SUM('A-15'!C33,'A-15'!C80,'A-15'!C127,'A-15'!C174))</f>
        <v>2856</v>
      </c>
      <c r="C79" s="193">
        <f>IF(AND('A-15'!D33="-",'A-15'!D80="-",'A-15'!D127="-",'A-15'!D174="-"),"-",SUM('A-15'!D33,'A-15'!D80,'A-15'!D127,'A-15'!D174))</f>
        <v>13039</v>
      </c>
      <c r="D79" s="193">
        <f>IF(AND('A-15'!E33="-",'A-15'!E80="-",'A-15'!E127="-",'A-15'!E174="-"),"-",SUM('A-15'!E33,'A-15'!E80,'A-15'!E127,'A-15'!E174))</f>
        <v>12935</v>
      </c>
      <c r="E79" s="193">
        <f>IF(AND('A-15'!F33="-",'A-15'!F80="-",'A-15'!F127="-",'A-15'!F174="-"),"-",SUM('A-15'!F33,'A-15'!F80,'A-15'!F127,'A-15'!F174))</f>
        <v>5232</v>
      </c>
      <c r="F79" s="193">
        <f>IF(AND('A-15'!G33="-",'A-15'!G80="-",'A-15'!G127="-",'A-15'!G174="-"),"-",SUM('A-15'!G33,'A-15'!G80,'A-15'!G127,'A-15'!G174))</f>
        <v>1110</v>
      </c>
      <c r="G79" s="193">
        <f>IF(AND('A-15'!H33="-",'A-15'!H80="-",'A-15'!H127="-",'A-15'!H174="-"),"-",SUM('A-15'!H33,'A-15'!H80,'A-15'!H127,'A-15'!H174))</f>
        <v>35</v>
      </c>
      <c r="H79" s="193">
        <f>IF(AND('A-15'!J33="-",'A-15'!J80="-",'A-15'!J127="-",'A-15'!J174="-"),"-",SUM('A-15'!J33,'A-15'!J80,'A-15'!J127,'A-15'!J174))</f>
        <v>35172</v>
      </c>
      <c r="J79" s="193">
        <f>IF(AND('A-15'!N33="-",'A-15'!N80="-",'A-15'!N127="-",'A-15'!N174="-"),"-",SUM('A-15'!N33,'A-15'!N80,'A-15'!N127,'A-15'!N174))</f>
        <v>3</v>
      </c>
      <c r="K79" s="193">
        <f>IF(AND('A-15'!O33="-",'A-15'!O80="-",'A-15'!O127="-",'A-15'!O174="-"),"-",SUM('A-15'!O33,'A-15'!O80,'A-15'!O127,'A-15'!O174))</f>
        <v>0</v>
      </c>
      <c r="L79" s="193">
        <f>IF(AND('A-15'!P33="-",'A-15'!P80="-",'A-15'!P127="-",'A-15'!P174="-"),"-",SUM('A-15'!P33,'A-15'!P80,'A-15'!P127,'A-15'!P174))</f>
        <v>4449</v>
      </c>
      <c r="M79" s="193">
        <f>IF(AND('A-15'!Q33="-",'A-15'!Q80="-",'A-15'!Q127="-",'A-15'!Q174="-"),"-",SUM('A-15'!Q33,'A-15'!Q80,'A-15'!Q127,'A-15'!Q174))</f>
        <v>4276</v>
      </c>
      <c r="N79" s="193">
        <f>IF(AND('A-15'!R33="-",'A-15'!R80="-",'A-15'!R127="-",'A-15'!R174="-"),"-",SUM('A-15'!R33,'A-15'!R80,'A-15'!R127,'A-15'!R174))</f>
        <v>2214</v>
      </c>
      <c r="O79" s="193">
        <f>IF(AND('A-15'!S33="-",'A-15'!S80="-",'A-15'!S127="-",'A-15'!S174="-"),"-",SUM('A-15'!S33,'A-15'!S80,'A-15'!S127,'A-15'!S174))</f>
        <v>85</v>
      </c>
      <c r="P79" s="193">
        <f>IF(AND('A-15'!U33="-",'A-15'!U80="-",'A-15'!U127="-",'A-15'!U174="-"),"-",SUM('A-15'!U33,'A-15'!U80,'A-15'!U127,'A-15'!U174))</f>
        <v>10942</v>
      </c>
    </row>
    <row r="80" spans="1:16" ht="11.25" customHeight="1" x14ac:dyDescent="0.25">
      <c r="A80" s="473">
        <v>2004</v>
      </c>
      <c r="B80" s="193">
        <f>IF(AND('A-15'!C34="-",'A-15'!C81="-",'A-15'!C128="-",'A-15'!C175="-"),"-",SUM('A-15'!C34,'A-15'!C81,'A-15'!C128,'A-15'!C175))</f>
        <v>9947</v>
      </c>
      <c r="C80" s="193">
        <f>IF(AND('A-15'!D34="-",'A-15'!D81="-",'A-15'!D128="-",'A-15'!D175="-"),"-",SUM('A-15'!D34,'A-15'!D81,'A-15'!D128,'A-15'!D175))</f>
        <v>16977</v>
      </c>
      <c r="D80" s="193">
        <f>IF(AND('A-15'!E34="-",'A-15'!E81="-",'A-15'!E128="-",'A-15'!E175="-"),"-",SUM('A-15'!E34,'A-15'!E81,'A-15'!E128,'A-15'!E175))</f>
        <v>10765</v>
      </c>
      <c r="E80" s="193">
        <f>IF(AND('A-15'!F34="-",'A-15'!F81="-",'A-15'!F128="-",'A-15'!F175="-"),"-",SUM('A-15'!F34,'A-15'!F81,'A-15'!F128,'A-15'!F175))</f>
        <v>6960</v>
      </c>
      <c r="F80" s="193">
        <f>IF(AND('A-15'!G34="-",'A-15'!G81="-",'A-15'!G128="-",'A-15'!G175="-"),"-",SUM('A-15'!G34,'A-15'!G81,'A-15'!G128,'A-15'!G175))</f>
        <v>5086</v>
      </c>
      <c r="G80" s="193">
        <f>IF(AND('A-15'!H34="-",'A-15'!H81="-",'A-15'!H128="-",'A-15'!H175="-"),"-",SUM('A-15'!H34,'A-15'!H81,'A-15'!H128,'A-15'!H175))</f>
        <v>25</v>
      </c>
      <c r="H80" s="193">
        <f>IF(AND('A-15'!J34="-",'A-15'!J81="-",'A-15'!J128="-",'A-15'!J175="-"),"-",SUM('A-15'!J34,'A-15'!J81,'A-15'!J128,'A-15'!J175))</f>
        <v>49735</v>
      </c>
      <c r="J80" s="193">
        <f>IF(AND('A-15'!N34="-",'A-15'!N81="-",'A-15'!N128="-",'A-15'!N175="-"),"-",SUM('A-15'!N34,'A-15'!N81,'A-15'!N128,'A-15'!N175))</f>
        <v>3</v>
      </c>
      <c r="K80" s="193">
        <f>IF(AND('A-15'!O34="-",'A-15'!O81="-",'A-15'!O128="-",'A-15'!O175="-"),"-",SUM('A-15'!O34,'A-15'!O81,'A-15'!O128,'A-15'!O175))</f>
        <v>3</v>
      </c>
      <c r="L80" s="193">
        <f>IF(AND('A-15'!P34="-",'A-15'!P81="-",'A-15'!P128="-",'A-15'!P175="-"),"-",SUM('A-15'!P34,'A-15'!P81,'A-15'!P128,'A-15'!P175))</f>
        <v>16133</v>
      </c>
      <c r="M80" s="193">
        <f>IF(AND('A-15'!Q34="-",'A-15'!Q81="-",'A-15'!Q128="-",'A-15'!Q175="-"),"-",SUM('A-15'!Q34,'A-15'!Q81,'A-15'!Q128,'A-15'!Q175))</f>
        <v>36684</v>
      </c>
      <c r="N80" s="193">
        <f>IF(AND('A-15'!R34="-",'A-15'!R81="-",'A-15'!R128="-",'A-15'!R175="-"),"-",SUM('A-15'!R34,'A-15'!R81,'A-15'!R128,'A-15'!R175))</f>
        <v>9274</v>
      </c>
      <c r="O80" s="193">
        <f>IF(AND('A-15'!S34="-",'A-15'!S81="-",'A-15'!S128="-",'A-15'!S175="-"),"-",SUM('A-15'!S34,'A-15'!S81,'A-15'!S128,'A-15'!S175))</f>
        <v>100</v>
      </c>
      <c r="P80" s="193">
        <f>IF(AND('A-15'!U34="-",'A-15'!U81="-",'A-15'!U128="-",'A-15'!U175="-"),"-",SUM('A-15'!U34,'A-15'!U81,'A-15'!U128,'A-15'!U175))</f>
        <v>62097</v>
      </c>
    </row>
    <row r="81" spans="1:16" ht="11.25" customHeight="1" x14ac:dyDescent="0.25">
      <c r="A81" s="477">
        <v>2005</v>
      </c>
      <c r="B81" s="197">
        <f>IF(AND('A-15'!C35="-",'A-15'!C82="-",'A-15'!C129="-",'A-15'!C176="-"),"-",SUM('A-15'!C35,'A-15'!C82,'A-15'!C129,'A-15'!C176))</f>
        <v>6858</v>
      </c>
      <c r="C81" s="197">
        <f>IF(AND('A-15'!D35="-",'A-15'!D82="-",'A-15'!D129="-",'A-15'!D176="-"),"-",SUM('A-15'!D35,'A-15'!D82,'A-15'!D129,'A-15'!D176))</f>
        <v>18374</v>
      </c>
      <c r="D81" s="197">
        <f>IF(AND('A-15'!E35="-",'A-15'!E82="-",'A-15'!E129="-",'A-15'!E176="-"),"-",SUM('A-15'!E35,'A-15'!E82,'A-15'!E129,'A-15'!E176))</f>
        <v>4971</v>
      </c>
      <c r="E81" s="197">
        <f>IF(AND('A-15'!F35="-",'A-15'!F82="-",'A-15'!F129="-",'A-15'!F176="-"),"-",SUM('A-15'!F35,'A-15'!F82,'A-15'!F129,'A-15'!F176))</f>
        <v>8100</v>
      </c>
      <c r="F81" s="197">
        <f>IF(AND('A-15'!G35="-",'A-15'!G82="-",'A-15'!G129="-",'A-15'!G176="-"),"-",SUM('A-15'!G35,'A-15'!G82,'A-15'!G129,'A-15'!G176))</f>
        <v>3672</v>
      </c>
      <c r="G81" s="197">
        <f>IF(AND('A-15'!H35="-",'A-15'!H82="-",'A-15'!H129="-",'A-15'!H176="-"),"-",SUM('A-15'!H35,'A-15'!H82,'A-15'!H129,'A-15'!H176))</f>
        <v>0</v>
      </c>
      <c r="H81" s="197">
        <f>IF(AND('A-15'!J35="-",'A-15'!J82="-",'A-15'!J129="-",'A-15'!J176="-"),"-",SUM('A-15'!J35,'A-15'!J82,'A-15'!J129,'A-15'!J176))</f>
        <v>41975</v>
      </c>
      <c r="I81" s="197"/>
      <c r="J81" s="197">
        <f>IF(AND('A-15'!N35="-",'A-15'!N82="-",'A-15'!N129="-",'A-15'!N176="-"),"-",SUM('A-15'!N35,'A-15'!N82,'A-15'!N129,'A-15'!N176))</f>
        <v>3</v>
      </c>
      <c r="K81" s="197">
        <f>IF(AND('A-15'!O35="-",'A-15'!O82="-",'A-15'!O129="-",'A-15'!O176="-"),"-",SUM('A-15'!O35,'A-15'!O82,'A-15'!O129,'A-15'!O176))</f>
        <v>1</v>
      </c>
      <c r="L81" s="197">
        <f>IF(AND('A-15'!P35="-",'A-15'!P82="-",'A-15'!P129="-",'A-15'!P176="-"),"-",SUM('A-15'!P35,'A-15'!P82,'A-15'!P129,'A-15'!P176))</f>
        <v>3756</v>
      </c>
      <c r="M81" s="197">
        <f>IF(AND('A-15'!Q35="-",'A-15'!Q82="-",'A-15'!Q129="-",'A-15'!Q176="-"),"-",SUM('A-15'!Q35,'A-15'!Q82,'A-15'!Q129,'A-15'!Q176))</f>
        <v>15949</v>
      </c>
      <c r="N81" s="197">
        <f>IF(AND('A-15'!R35="-",'A-15'!R82="-",'A-15'!R129="-",'A-15'!R176="-"),"-",SUM('A-15'!R35,'A-15'!R82,'A-15'!R129,'A-15'!R176))</f>
        <v>4288</v>
      </c>
      <c r="O81" s="197">
        <f>IF(AND('A-15'!S35="-",'A-15'!S82="-",'A-15'!S129="-",'A-15'!S176="-"),"-",SUM('A-15'!S35,'A-15'!S82,'A-15'!S129,'A-15'!S176))</f>
        <v>0</v>
      </c>
      <c r="P81" s="197">
        <f>IF(AND('A-15'!U35="-",'A-15'!U82="-",'A-15'!U129="-",'A-15'!U176="-"),"-",SUM('A-15'!U35,'A-15'!U82,'A-15'!U129,'A-15'!U176))</f>
        <v>23997</v>
      </c>
    </row>
    <row r="82" spans="1:16" ht="11.25" customHeight="1" x14ac:dyDescent="0.25">
      <c r="A82" s="473">
        <v>2006</v>
      </c>
      <c r="B82" s="193">
        <f>IF(AND('A-15'!C36="-",'A-15'!C83="-",'A-15'!C130="-",'A-15'!C177="-"),"-",SUM('A-15'!C36,'A-15'!C83,'A-15'!C130,'A-15'!C177))</f>
        <v>2821</v>
      </c>
      <c r="C82" s="193">
        <f>IF(AND('A-15'!D36="-",'A-15'!D83="-",'A-15'!D130="-",'A-15'!D177="-"),"-",SUM('A-15'!D36,'A-15'!D83,'A-15'!D130,'A-15'!D177))</f>
        <v>8341</v>
      </c>
      <c r="D82" s="193">
        <f>IF(AND('A-15'!E36="-",'A-15'!E83="-",'A-15'!E130="-",'A-15'!E177="-"),"-",SUM('A-15'!E36,'A-15'!E83,'A-15'!E130,'A-15'!E177))</f>
        <v>7736</v>
      </c>
      <c r="E82" s="193">
        <f>IF(AND('A-15'!F36="-",'A-15'!F83="-",'A-15'!F130="-",'A-15'!F177="-"),"-",SUM('A-15'!F36,'A-15'!F83,'A-15'!F130,'A-15'!F177))</f>
        <v>6690</v>
      </c>
      <c r="F82" s="193">
        <f>IF(AND('A-15'!G36="-",'A-15'!G83="-",'A-15'!G130="-",'A-15'!G177="-"),"-",SUM('A-15'!G36,'A-15'!G83,'A-15'!G130,'A-15'!G177))</f>
        <v>4957</v>
      </c>
      <c r="G82" s="193">
        <f>IF(AND('A-15'!H36="-",'A-15'!H83="-",'A-15'!H130="-",'A-15'!H177="-"),"-",SUM('A-15'!H36,'A-15'!H83,'A-15'!H130,'A-15'!H177))</f>
        <v>15</v>
      </c>
      <c r="H82" s="193">
        <f>IF(AND('A-15'!J36="-",'A-15'!J83="-",'A-15'!J130="-",'A-15'!J177="-"),"-",SUM('A-15'!J36,'A-15'!J83,'A-15'!J130,'A-15'!J177))</f>
        <v>30545</v>
      </c>
      <c r="J82" s="193">
        <f>IF(AND('A-15'!N36="-",'A-15'!N83="-",'A-15'!N130="-",'A-15'!N177="-"),"-",SUM('A-15'!N36,'A-15'!N83,'A-15'!N130,'A-15'!N177))</f>
        <v>16</v>
      </c>
      <c r="K82" s="193">
        <f>IF(AND('A-15'!O36="-",'A-15'!O83="-",'A-15'!O130="-",'A-15'!O177="-"),"-",SUM('A-15'!O36,'A-15'!O83,'A-15'!O130,'A-15'!O177))</f>
        <v>102</v>
      </c>
      <c r="L82" s="193">
        <f>IF(AND('A-15'!P36="-",'A-15'!P83="-",'A-15'!P130="-",'A-15'!P177="-"),"-",SUM('A-15'!P36,'A-15'!P83,'A-15'!P130,'A-15'!P177))</f>
        <v>10475</v>
      </c>
      <c r="M82" s="193">
        <f>IF(AND('A-15'!Q36="-",'A-15'!Q83="-",'A-15'!Q130="-",'A-15'!Q177="-"),"-",SUM('A-15'!Q36,'A-15'!Q83,'A-15'!Q130,'A-15'!Q177))</f>
        <v>10634</v>
      </c>
      <c r="N82" s="193">
        <f>IF(AND('A-15'!R36="-",'A-15'!R83="-",'A-15'!R130="-",'A-15'!R177="-"),"-",SUM('A-15'!R36,'A-15'!R83,'A-15'!R130,'A-15'!R177))</f>
        <v>10711</v>
      </c>
      <c r="O82" s="193">
        <f>IF(AND('A-15'!S36="-",'A-15'!S83="-",'A-15'!S130="-",'A-15'!S177="-"),"-",SUM('A-15'!S36,'A-15'!S83,'A-15'!S130,'A-15'!S177))</f>
        <v>5</v>
      </c>
      <c r="P82" s="193">
        <f>IF(AND('A-15'!U36="-",'A-15'!U83="-",'A-15'!U130="-",'A-15'!U177="-"),"-",SUM('A-15'!U36,'A-15'!U83,'A-15'!U130,'A-15'!U177))</f>
        <v>31938</v>
      </c>
    </row>
    <row r="83" spans="1:16" ht="11.25" customHeight="1" x14ac:dyDescent="0.25">
      <c r="A83" s="477">
        <v>2007</v>
      </c>
      <c r="B83" s="197">
        <f>IF(AND('A-15'!C37="-",'A-15'!C84="-",'A-15'!C131="-",'A-15'!C178="-"),"-",SUM('A-15'!C37,'A-15'!C84,'A-15'!C131,'A-15'!C178))</f>
        <v>316</v>
      </c>
      <c r="C83" s="197">
        <f>IF(AND('A-15'!D37="-",'A-15'!D84="-",'A-15'!D131="-",'A-15'!D178="-"),"-",SUM('A-15'!D37,'A-15'!D84,'A-15'!D131,'A-15'!D178))</f>
        <v>14629</v>
      </c>
      <c r="D83" s="197">
        <f>IF(AND('A-15'!E37="-",'A-15'!E84="-",'A-15'!E131="-",'A-15'!E178="-"),"-",SUM('A-15'!E37,'A-15'!E84,'A-15'!E131,'A-15'!E178))</f>
        <v>3349</v>
      </c>
      <c r="E83" s="197">
        <f>IF(AND('A-15'!F37="-",'A-15'!F84="-",'A-15'!F131="-",'A-15'!F178="-"),"-",SUM('A-15'!F37,'A-15'!F84,'A-15'!F131,'A-15'!F178))</f>
        <v>4579</v>
      </c>
      <c r="F83" s="197">
        <f>IF(AND('A-15'!G37="-",'A-15'!G84="-",'A-15'!G131="-",'A-15'!G178="-"),"-",SUM('A-15'!G37,'A-15'!G84,'A-15'!G131,'A-15'!G178))</f>
        <v>70</v>
      </c>
      <c r="G83" s="197">
        <f>IF(AND('A-15'!H37="-",'A-15'!H84="-",'A-15'!H131="-",'A-15'!H178="-"),"-",SUM('A-15'!H37,'A-15'!H84,'A-15'!H131,'A-15'!H178))</f>
        <v>0</v>
      </c>
      <c r="H83" s="197">
        <f>IF(AND('A-15'!J37="-",'A-15'!J84="-",'A-15'!J131="-",'A-15'!J178="-"),"-",SUM('A-15'!J37,'A-15'!J84,'A-15'!J131,'A-15'!J178))</f>
        <v>22943</v>
      </c>
      <c r="I83" s="197"/>
      <c r="J83" s="197">
        <f>IF(AND('A-15'!N37="-",'A-15'!N84="-",'A-15'!N131="-",'A-15'!N178="-"),"-",SUM('A-15'!N37,'A-15'!N84,'A-15'!N131,'A-15'!N178))</f>
        <v>0</v>
      </c>
      <c r="K83" s="197">
        <f>IF(AND('A-15'!O37="-",'A-15'!O84="-",'A-15'!O131="-",'A-15'!O178="-"),"-",SUM('A-15'!O37,'A-15'!O84,'A-15'!O131,'A-15'!O178))</f>
        <v>12</v>
      </c>
      <c r="L83" s="197">
        <f>IF(AND('A-15'!P37="-",'A-15'!P84="-",'A-15'!P131="-",'A-15'!P178="-"),"-",SUM('A-15'!P37,'A-15'!P84,'A-15'!P131,'A-15'!P178))</f>
        <v>22743</v>
      </c>
      <c r="M83" s="197">
        <f>IF(AND('A-15'!Q37="-",'A-15'!Q84="-",'A-15'!Q131="-",'A-15'!Q178="-"),"-",SUM('A-15'!Q37,'A-15'!Q84,'A-15'!Q131,'A-15'!Q178))</f>
        <v>16423</v>
      </c>
      <c r="N83" s="197">
        <f>IF(AND('A-15'!R37="-",'A-15'!R84="-",'A-15'!R131="-",'A-15'!R178="-"),"-",SUM('A-15'!R37,'A-15'!R84,'A-15'!R131,'A-15'!R178))</f>
        <v>860</v>
      </c>
      <c r="O83" s="197">
        <f>IF(AND('A-15'!S37="-",'A-15'!S84="-",'A-15'!S131="-",'A-15'!S178="-"),"-",SUM('A-15'!S37,'A-15'!S84,'A-15'!S131,'A-15'!S178))</f>
        <v>0</v>
      </c>
      <c r="P83" s="197">
        <f>IF(AND('A-15'!U37="-",'A-15'!U84="-",'A-15'!U131="-",'A-15'!U178="-"),"-",SUM('A-15'!U37,'A-15'!U84,'A-15'!U131,'A-15'!U178))</f>
        <v>40038</v>
      </c>
    </row>
    <row r="84" spans="1:16" ht="11.25" customHeight="1" x14ac:dyDescent="0.25">
      <c r="A84" s="477">
        <v>2008</v>
      </c>
      <c r="B84" s="197">
        <f>IF(AND('A-15'!C38="-",'A-15'!C85="-",'A-15'!C132="-",'A-15'!C179="-"),"-",SUM('A-15'!C38,'A-15'!C85,'A-15'!C132,'A-15'!C179))</f>
        <v>358</v>
      </c>
      <c r="C84" s="197">
        <f>IF(AND('A-15'!D38="-",'A-15'!D85="-",'A-15'!D132="-",'A-15'!D179="-"),"-",SUM('A-15'!D38,'A-15'!D85,'A-15'!D132,'A-15'!D179))</f>
        <v>8864</v>
      </c>
      <c r="D84" s="197">
        <f>IF(AND('A-15'!E38="-",'A-15'!E85="-",'A-15'!E132="-",'A-15'!E179="-"),"-",SUM('A-15'!E38,'A-15'!E85,'A-15'!E132,'A-15'!E179))</f>
        <v>2099</v>
      </c>
      <c r="E84" s="197">
        <f>IF(AND('A-15'!F38="-",'A-15'!F85="-",'A-15'!F132="-",'A-15'!F179="-"),"-",SUM('A-15'!F38,'A-15'!F85,'A-15'!F132,'A-15'!F179))</f>
        <v>6007</v>
      </c>
      <c r="F84" s="197">
        <f>IF(AND('A-15'!G38="-",'A-15'!G85="-",'A-15'!G132="-",'A-15'!G179="-"),"-",SUM('A-15'!G38,'A-15'!G85,'A-15'!G132,'A-15'!G179))</f>
        <v>3579</v>
      </c>
      <c r="G84" s="197">
        <f>IF(AND('A-15'!H38="-",'A-15'!H85="-",'A-15'!H132="-",'A-15'!H179="-"),"-",SUM('A-15'!H38,'A-15'!H85,'A-15'!H132,'A-15'!H179))</f>
        <v>1</v>
      </c>
      <c r="H84" s="197">
        <f>IF(AND('A-15'!J38="-",'A-15'!J85="-",'A-15'!J132="-",'A-15'!J179="-"),"-",SUM('A-15'!J38,'A-15'!J85,'A-15'!J132,'A-15'!J179))</f>
        <v>20907</v>
      </c>
      <c r="I84" s="197"/>
      <c r="J84" s="197">
        <f>IF(AND('A-15'!N38="-",'A-15'!N85="-",'A-15'!N132="-",'A-15'!N179="-"),"-",SUM('A-15'!N38,'A-15'!N85,'A-15'!N132,'A-15'!N179))</f>
        <v>0</v>
      </c>
      <c r="K84" s="197">
        <f>IF(AND('A-15'!O38="-",'A-15'!O85="-",'A-15'!O132="-",'A-15'!O179="-"),"-",SUM('A-15'!O38,'A-15'!O85,'A-15'!O132,'A-15'!O179))</f>
        <v>18</v>
      </c>
      <c r="L84" s="197">
        <f>IF(AND('A-15'!P38="-",'A-15'!P85="-",'A-15'!P132="-",'A-15'!P179="-"),"-",SUM('A-15'!P38,'A-15'!P85,'A-15'!P132,'A-15'!P179))</f>
        <v>865</v>
      </c>
      <c r="M84" s="197">
        <f>IF(AND('A-15'!Q38="-",'A-15'!Q85="-",'A-15'!Q132="-",'A-15'!Q179="-"),"-",SUM('A-15'!Q38,'A-15'!Q85,'A-15'!Q132,'A-15'!Q179))</f>
        <v>3561</v>
      </c>
      <c r="N84" s="197">
        <f>IF(AND('A-15'!R38="-",'A-15'!R85="-",'A-15'!R132="-",'A-15'!R179="-"),"-",SUM('A-15'!R38,'A-15'!R85,'A-15'!R132,'A-15'!R179))</f>
        <v>9820</v>
      </c>
      <c r="O84" s="197">
        <f>IF(AND('A-15'!S38="-",'A-15'!S85="-",'A-15'!S132="-",'A-15'!S179="-"),"-",SUM('A-15'!S38,'A-15'!S85,'A-15'!S132,'A-15'!S179))</f>
        <v>0</v>
      </c>
      <c r="P84" s="197">
        <f>IF(AND('A-15'!U38="-",'A-15'!U85="-",'A-15'!U132="-",'A-15'!U179="-"),"-",SUM('A-15'!U38,'A-15'!U85,'A-15'!U132,'A-15'!U179))</f>
        <v>14264</v>
      </c>
    </row>
    <row r="85" spans="1:16" ht="11.25" customHeight="1" x14ac:dyDescent="0.25">
      <c r="A85" s="477">
        <v>2009</v>
      </c>
      <c r="B85" s="197">
        <f>IF(AND('A-15'!C39="-",'A-15'!C86="-",'A-15'!C133="-",'A-15'!C180="-"),"-",SUM('A-15'!C39,'A-15'!C86,'A-15'!C133,'A-15'!C180))</f>
        <v>1491</v>
      </c>
      <c r="C85" s="197">
        <f>IF(AND('A-15'!D39="-",'A-15'!D86="-",'A-15'!D133="-",'A-15'!D180="-"),"-",SUM('A-15'!D39,'A-15'!D86,'A-15'!D133,'A-15'!D180))</f>
        <v>5828</v>
      </c>
      <c r="D85" s="197">
        <f>IF(AND('A-15'!E39="-",'A-15'!E86="-",'A-15'!E133="-",'A-15'!E180="-"),"-",SUM('A-15'!E39,'A-15'!E86,'A-15'!E133,'A-15'!E180))</f>
        <v>2329</v>
      </c>
      <c r="E85" s="197">
        <f>IF(AND('A-15'!F39="-",'A-15'!F86="-",'A-15'!F133="-",'A-15'!F180="-"),"-",SUM('A-15'!F39,'A-15'!F86,'A-15'!F133,'A-15'!F180))</f>
        <v>2566</v>
      </c>
      <c r="F85" s="197">
        <f>IF(AND('A-15'!G39="-",'A-15'!G86="-",'A-15'!G133="-",'A-15'!G180="-"),"-",SUM('A-15'!G39,'A-15'!G86,'A-15'!G133,'A-15'!G180))</f>
        <v>12</v>
      </c>
      <c r="G85" s="197">
        <f>IF(AND('A-15'!H39="-",'A-15'!H86="-",'A-15'!H133="-",'A-15'!H180="-"),"-",SUM('A-15'!H39,'A-15'!H86,'A-15'!H133,'A-15'!H180))</f>
        <v>25</v>
      </c>
      <c r="H85" s="197">
        <f>IF(AND('A-15'!J39="-",'A-15'!J86="-",'A-15'!J133="-",'A-15'!J180="-"),"-",SUM('A-15'!J39,'A-15'!J86,'A-15'!J133,'A-15'!J180))</f>
        <v>12226</v>
      </c>
      <c r="I85" s="197"/>
      <c r="J85" s="197">
        <f>IF(AND('A-15'!N39="-",'A-15'!N86="-",'A-15'!N133="-",'A-15'!N180="-"),"-",SUM('A-15'!N39,'A-15'!N86,'A-15'!N133,'A-15'!N180))</f>
        <v>0</v>
      </c>
      <c r="K85" s="197">
        <f>IF(AND('A-15'!O39="-",'A-15'!O86="-",'A-15'!O133="-",'A-15'!O180="-"),"-",SUM('A-15'!O39,'A-15'!O86,'A-15'!O133,'A-15'!O180))</f>
        <v>0</v>
      </c>
      <c r="L85" s="197">
        <f>IF(AND('A-15'!P39="-",'A-15'!P86="-",'A-15'!P133="-",'A-15'!P180="-"),"-",SUM('A-15'!P39,'A-15'!P86,'A-15'!P133,'A-15'!P180))</f>
        <v>25422</v>
      </c>
      <c r="M85" s="197">
        <f>IF(AND('A-15'!Q39="-",'A-15'!Q86="-",'A-15'!Q133="-",'A-15'!Q180="-"),"-",SUM('A-15'!Q39,'A-15'!Q86,'A-15'!Q133,'A-15'!Q180))</f>
        <v>35141</v>
      </c>
      <c r="N85" s="197">
        <f>IF(AND('A-15'!R39="-",'A-15'!R86="-",'A-15'!R133="-",'A-15'!R180="-"),"-",SUM('A-15'!R39,'A-15'!R86,'A-15'!R133,'A-15'!R180))</f>
        <v>100</v>
      </c>
      <c r="O85" s="197">
        <f>IF(AND('A-15'!S39="-",'A-15'!S86="-",'A-15'!S133="-",'A-15'!S180="-"),"-",SUM('A-15'!S39,'A-15'!S86,'A-15'!S133,'A-15'!S180))</f>
        <v>15</v>
      </c>
      <c r="P85" s="197">
        <f>IF(AND('A-15'!U39="-",'A-15'!U86="-",'A-15'!U133="-",'A-15'!U180="-"),"-",SUM('A-15'!U39,'A-15'!U86,'A-15'!U133,'A-15'!U180))</f>
        <v>60663</v>
      </c>
    </row>
    <row r="86" spans="1:16" ht="11.25" customHeight="1" x14ac:dyDescent="0.25">
      <c r="A86" s="477">
        <v>2010</v>
      </c>
      <c r="B86" s="197">
        <f>IF(AND('A-15'!C40="-",'A-15'!C87="-",'A-15'!C134="-",'A-15'!C181="-"),"-",SUM('A-15'!C40,'A-15'!C87,'A-15'!C134,'A-15'!C181))</f>
        <v>1926</v>
      </c>
      <c r="C86" s="197">
        <f>IF(AND('A-15'!D40="-",'A-15'!D87="-",'A-15'!D134="-",'A-15'!D181="-"),"-",SUM('A-15'!D40,'A-15'!D87,'A-15'!D134,'A-15'!D181))</f>
        <v>12150</v>
      </c>
      <c r="D86" s="197">
        <f>IF(AND('A-15'!E40="-",'A-15'!E87="-",'A-15'!E134="-",'A-15'!E181="-"),"-",SUM('A-15'!E40,'A-15'!E87,'A-15'!E134,'A-15'!E181))</f>
        <v>6943</v>
      </c>
      <c r="E86" s="197">
        <f>IF(AND('A-15'!F40="-",'A-15'!F87="-",'A-15'!F134="-",'A-15'!F181="-"),"-",SUM('A-15'!F40,'A-15'!F87,'A-15'!F134,'A-15'!F181))</f>
        <v>9693</v>
      </c>
      <c r="F86" s="197">
        <f>IF(AND('A-15'!G40="-",'A-15'!G87="-",'A-15'!G134="-",'A-15'!G181="-"),"-",SUM('A-15'!G40,'A-15'!G87,'A-15'!G134,'A-15'!G181))</f>
        <v>1664</v>
      </c>
      <c r="G86" s="197">
        <f>IF(AND('A-15'!H40="-",'A-15'!H87="-",'A-15'!H134="-",'A-15'!H181="-"),"-",SUM('A-15'!H40,'A-15'!H87,'A-15'!H134,'A-15'!H181))</f>
        <v>10</v>
      </c>
      <c r="H86" s="52">
        <f>IF(AND('A-15'!J40="-",'A-15'!J87="-",'A-15'!J134="-",'A-15'!J181="-"),"-",SUM('A-15'!J40,'A-15'!J87,'A-15'!J134,'A-15'!J181))</f>
        <v>32376</v>
      </c>
      <c r="I86" s="197"/>
      <c r="J86" s="197">
        <f>IF(AND('A-15'!N40="-",'A-15'!N87="-",'A-15'!N134="-",'A-15'!N181="-"),"-",SUM('A-15'!N40,'A-15'!N87,'A-15'!N134,'A-15'!N181))</f>
        <v>2</v>
      </c>
      <c r="K86" s="197">
        <f>IF(AND('A-15'!O40="-",'A-15'!O87="-",'A-15'!O134="-",'A-15'!O181="-"),"-",SUM('A-15'!O40,'A-15'!O87,'A-15'!O134,'A-15'!O181))</f>
        <v>63</v>
      </c>
      <c r="L86" s="197">
        <f>IF(AND('A-15'!P40="-",'A-15'!P87="-",'A-15'!P134="-",'A-15'!P181="-"),"-",SUM('A-15'!P40,'A-15'!P87,'A-15'!P134,'A-15'!P181))</f>
        <v>2015</v>
      </c>
      <c r="M86" s="197">
        <f>IF(AND('A-15'!Q40="-",'A-15'!Q87="-",'A-15'!Q134="-",'A-15'!Q181="-"),"-",SUM('A-15'!Q40,'A-15'!Q87,'A-15'!Q134,'A-15'!Q181))</f>
        <v>5058</v>
      </c>
      <c r="N86" s="197">
        <f>IF(AND('A-15'!R40="-",'A-15'!R87="-",'A-15'!R134="-",'A-15'!R181="-"),"-",SUM('A-15'!R40,'A-15'!R87,'A-15'!R134,'A-15'!R181))</f>
        <v>4323</v>
      </c>
      <c r="O86" s="197">
        <f>IF(AND('A-15'!S40="-",'A-15'!S87="-",'A-15'!S134="-",'A-15'!S181="-"),"-",SUM('A-15'!S40,'A-15'!S87,'A-15'!S134,'A-15'!S181))</f>
        <v>15</v>
      </c>
      <c r="P86" s="197">
        <f>IF(AND('A-15'!U40="-",'A-15'!U87="-",'A-15'!U134="-",'A-15'!U181="-"),"-",SUM('A-15'!U40,'A-15'!U87,'A-15'!U134,'A-15'!U181))</f>
        <v>11461</v>
      </c>
    </row>
    <row r="87" spans="1:16" ht="11.25" customHeight="1" x14ac:dyDescent="0.25">
      <c r="A87" s="477">
        <v>2011</v>
      </c>
      <c r="B87" s="197">
        <f>IF(AND('A-15'!C41="-",'A-15'!C88="-",'A-15'!C135="-",'A-15'!C182="-"),"-",SUM('A-15'!C41,'A-15'!C88,'A-15'!C135,'A-15'!C182))</f>
        <v>1120</v>
      </c>
      <c r="C87" s="197">
        <f>IF(AND('A-15'!D41="-",'A-15'!D88="-",'A-15'!D135="-",'A-15'!D182="-"),"-",SUM('A-15'!D41,'A-15'!D88,'A-15'!D135,'A-15'!D182))</f>
        <v>8817</v>
      </c>
      <c r="D87" s="197">
        <f>IF(AND('A-15'!E41="-",'A-15'!E88="-",'A-15'!E135="-",'A-15'!E182="-"),"-",SUM('A-15'!E41,'A-15'!E88,'A-15'!E135,'A-15'!E182))</f>
        <v>14761</v>
      </c>
      <c r="E87" s="197">
        <f>IF(AND('A-15'!F41="-",'A-15'!F88="-",'A-15'!F135="-",'A-15'!F182="-"),"-",SUM('A-15'!F41,'A-15'!F88,'A-15'!F135,'A-15'!F182))</f>
        <v>6708</v>
      </c>
      <c r="F87" s="197">
        <f>IF(AND('A-15'!G41="-",'A-15'!G88="-",'A-15'!G135="-",'A-15'!G182="-"),"-",SUM('A-15'!G41,'A-15'!G88,'A-15'!G135,'A-15'!G182))</f>
        <v>418</v>
      </c>
      <c r="G87" s="197">
        <f>IF(AND('A-15'!H41="-",'A-15'!H88="-",'A-15'!H135="-",'A-15'!H182="-"),"-",SUM('A-15'!H41,'A-15'!H88,'A-15'!H135,'A-15'!H182))</f>
        <v>0</v>
      </c>
      <c r="H87" s="197">
        <f>IF(AND('A-15'!J41="-",'A-15'!J88="-",'A-15'!J135="-",'A-15'!J182="-"),"-",SUM('A-15'!J41,'A-15'!J88,'A-15'!J135,'A-15'!J182))</f>
        <v>31824</v>
      </c>
      <c r="I87" s="197"/>
      <c r="J87" s="197">
        <f>IF(AND('A-15'!N41="-",'A-15'!N88="-",'A-15'!N135="-",'A-15'!N182="-"),"-",SUM('A-15'!N41,'A-15'!N88,'A-15'!N135,'A-15'!N182))</f>
        <v>0</v>
      </c>
      <c r="K87" s="197">
        <f>IF(AND('A-15'!O41="-",'A-15'!O88="-",'A-15'!O135="-",'A-15'!O182="-"),"-",SUM('A-15'!O41,'A-15'!O88,'A-15'!O135,'A-15'!O182))</f>
        <v>0</v>
      </c>
      <c r="L87" s="197">
        <f>IF(AND('A-15'!P41="-",'A-15'!P88="-",'A-15'!P135="-",'A-15'!P182="-"),"-",SUM('A-15'!P41,'A-15'!P88,'A-15'!P135,'A-15'!P182))</f>
        <v>2062</v>
      </c>
      <c r="M87" s="197">
        <f>IF(AND('A-15'!Q41="-",'A-15'!Q88="-",'A-15'!Q135="-",'A-15'!Q182="-"),"-",SUM('A-15'!Q41,'A-15'!Q88,'A-15'!Q135,'A-15'!Q182))</f>
        <v>4791</v>
      </c>
      <c r="N87" s="197">
        <f>IF(AND('A-15'!R41="-",'A-15'!R88="-",'A-15'!R135="-",'A-15'!R182="-"),"-",SUM('A-15'!R41,'A-15'!R88,'A-15'!R135,'A-15'!R182))</f>
        <v>6711</v>
      </c>
      <c r="O87" s="197">
        <f>IF(AND('A-15'!S41="-",'A-15'!S88="-",'A-15'!S135="-",'A-15'!S182="-"),"-",SUM('A-15'!S41,'A-15'!S88,'A-15'!S135,'A-15'!S182))</f>
        <v>0</v>
      </c>
      <c r="P87" s="197">
        <f>IF(AND('A-15'!U41="-",'A-15'!U88="-",'A-15'!U135="-",'A-15'!U182="-"),"-",SUM('A-15'!U41,'A-15'!U88,'A-15'!U135,'A-15'!U182))</f>
        <v>13564</v>
      </c>
    </row>
    <row r="88" spans="1:16" ht="11.25" customHeight="1" x14ac:dyDescent="0.25">
      <c r="A88" s="477">
        <v>2012</v>
      </c>
      <c r="B88" s="197">
        <f>IF(AND('A-15'!C42="-",'A-15'!C89="-",'A-15'!C136="-",'A-15'!C183="-"),"-",SUM('A-15'!C42,'A-15'!C89,'A-15'!C136,'A-15'!C183))</f>
        <v>4465</v>
      </c>
      <c r="C88" s="197">
        <f>IF(AND('A-15'!D42="-",'A-15'!D89="-",'A-15'!D136="-",'A-15'!D183="-"),"-",SUM('A-15'!D42,'A-15'!D89,'A-15'!D136,'A-15'!D183))</f>
        <v>20696</v>
      </c>
      <c r="D88" s="197">
        <f>IF(AND('A-15'!E42="-",'A-15'!E89="-",'A-15'!E136="-",'A-15'!E183="-"),"-",SUM('A-15'!E42,'A-15'!E89,'A-15'!E136,'A-15'!E183))</f>
        <v>10144</v>
      </c>
      <c r="E88" s="197">
        <f>IF(AND('A-15'!F42="-",'A-15'!F89="-",'A-15'!F136="-",'A-15'!F183="-"),"-",SUM('A-15'!F42,'A-15'!F89,'A-15'!F136,'A-15'!F183))</f>
        <v>14650</v>
      </c>
      <c r="F88" s="197">
        <f>IF(AND('A-15'!G42="-",'A-15'!G89="-",'A-15'!G136="-",'A-15'!G183="-"),"-",SUM('A-15'!G42,'A-15'!G89,'A-15'!G136,'A-15'!G183))</f>
        <v>4834</v>
      </c>
      <c r="G88" s="197">
        <f>IF(AND('A-15'!H42="-",'A-15'!H89="-",'A-15'!H136="-",'A-15'!H183="-"),"-",SUM('A-15'!H42,'A-15'!H89,'A-15'!H136,'A-15'!H183))</f>
        <v>10</v>
      </c>
      <c r="H88" s="197">
        <f>IF(AND('A-15'!J42="-",'A-15'!J89="-",'A-15'!J136="-",'A-15'!J183="-"),"-",SUM('A-15'!J42,'A-15'!J89,'A-15'!J136,'A-15'!J183))</f>
        <v>54789</v>
      </c>
      <c r="I88" s="197"/>
      <c r="J88" s="197">
        <f>IF(AND('A-15'!N42="-",'A-15'!N89="-",'A-15'!N136="-",'A-15'!N183="-"),"-",SUM('A-15'!N42,'A-15'!N89,'A-15'!N136,'A-15'!N183))</f>
        <v>1</v>
      </c>
      <c r="K88" s="197">
        <f>IF(AND('A-15'!O42="-",'A-15'!O89="-",'A-15'!O136="-",'A-15'!O183="-"),"-",SUM('A-15'!O42,'A-15'!O89,'A-15'!O136,'A-15'!O183))</f>
        <v>101</v>
      </c>
      <c r="L88" s="197">
        <f>IF(AND('A-15'!P42="-",'A-15'!P89="-",'A-15'!P136="-",'A-15'!P183="-"),"-",SUM('A-15'!P42,'A-15'!P89,'A-15'!P136,'A-15'!P183))</f>
        <v>2769</v>
      </c>
      <c r="M88" s="197">
        <f>IF(AND('A-15'!Q42="-",'A-15'!Q89="-",'A-15'!Q136="-",'A-15'!Q183="-"),"-",SUM('A-15'!Q42,'A-15'!Q89,'A-15'!Q136,'A-15'!Q183))</f>
        <v>18790</v>
      </c>
      <c r="N88" s="197">
        <f>IF(AND('A-15'!R42="-",'A-15'!R89="-",'A-15'!R136="-",'A-15'!R183="-"),"-",SUM('A-15'!R42,'A-15'!R89,'A-15'!R136,'A-15'!R183))</f>
        <v>15869</v>
      </c>
      <c r="O88" s="197">
        <f>IF(AND('A-15'!S42="-",'A-15'!S89="-",'A-15'!S136="-",'A-15'!S183="-"),"-",SUM('A-15'!S42,'A-15'!S89,'A-15'!S136,'A-15'!S183))</f>
        <v>0</v>
      </c>
      <c r="P88" s="197">
        <f>IF(AND('A-15'!U42="-",'A-15'!U89="-",'A-15'!U136="-",'A-15'!U183="-"),"-",SUM('A-15'!U42,'A-15'!U89,'A-15'!U136,'A-15'!U183))</f>
        <v>37530</v>
      </c>
    </row>
    <row r="89" spans="1:16" ht="11.25" customHeight="1" x14ac:dyDescent="0.25">
      <c r="A89" s="477">
        <v>2013</v>
      </c>
      <c r="B89" s="197">
        <f>IF(AND('A-15'!C43="-",'A-15'!C90="-",'A-15'!C137="-",'A-15'!C184="-"),"-",SUM('A-15'!C43,'A-15'!C90,'A-15'!C137,'A-15'!C184))</f>
        <v>11929</v>
      </c>
      <c r="C89" s="197">
        <f>IF(AND('A-15'!D43="-",'A-15'!D90="-",'A-15'!D137="-",'A-15'!D184="-"),"-",SUM('A-15'!D43,'A-15'!D90,'A-15'!D137,'A-15'!D184))</f>
        <v>19103</v>
      </c>
      <c r="D89" s="197">
        <f>IF(AND('A-15'!E43="-",'A-15'!E90="-",'A-15'!E137="-",'A-15'!E184="-"),"-",SUM('A-15'!E43,'A-15'!E90,'A-15'!E137,'A-15'!E184))</f>
        <v>9310</v>
      </c>
      <c r="E89" s="197">
        <f>IF(AND('A-15'!F43="-",'A-15'!F90="-",'A-15'!F137="-",'A-15'!F184="-"),"-",SUM('A-15'!F43,'A-15'!F90,'A-15'!F137,'A-15'!F184))</f>
        <v>7916</v>
      </c>
      <c r="F89" s="197">
        <f>IF(AND('A-15'!G43="-",'A-15'!G90="-",'A-15'!G137="-",'A-15'!G184="-"),"-",SUM('A-15'!G43,'A-15'!G90,'A-15'!G137,'A-15'!G184))</f>
        <v>2902</v>
      </c>
      <c r="G89" s="197">
        <f>IF(AND('A-15'!H43="-",'A-15'!H90="-",'A-15'!H137="-",'A-15'!H184="-"),"-",SUM('A-15'!H43,'A-15'!H90,'A-15'!H137,'A-15'!H184))</f>
        <v>0</v>
      </c>
      <c r="H89" s="197">
        <f>IF(AND('A-15'!J43="-",'A-15'!J90="-",'A-15'!J137="-",'A-15'!J184="-"),"-",SUM('A-15'!J43,'A-15'!J90,'A-15'!J137,'A-15'!J184))</f>
        <v>51160</v>
      </c>
      <c r="I89" s="197"/>
      <c r="J89" s="197">
        <f>IF(AND('A-15'!N43="-",'A-15'!N90="-",'A-15'!N137="-",'A-15'!N184="-"),"-",SUM('A-15'!N43,'A-15'!N90,'A-15'!N137,'A-15'!N184))</f>
        <v>0</v>
      </c>
      <c r="K89" s="197">
        <f>IF(AND('A-15'!O43="-",'A-15'!O90="-",'A-15'!O137="-",'A-15'!O184="-"),"-",SUM('A-15'!O43,'A-15'!O90,'A-15'!O137,'A-15'!O184))</f>
        <v>7</v>
      </c>
      <c r="L89" s="197">
        <f>IF(AND('A-15'!P43="-",'A-15'!P90="-",'A-15'!P137="-",'A-15'!P184="-"),"-",SUM('A-15'!P43,'A-15'!P90,'A-15'!P137,'A-15'!P184))</f>
        <v>7722</v>
      </c>
      <c r="M89" s="197">
        <f>IF(AND('A-15'!Q43="-",'A-15'!Q90="-",'A-15'!Q137="-",'A-15'!Q184="-"),"-",SUM('A-15'!Q43,'A-15'!Q90,'A-15'!Q137,'A-15'!Q184))</f>
        <v>36163</v>
      </c>
      <c r="N89" s="197">
        <f>IF(AND('A-15'!R43="-",'A-15'!R90="-",'A-15'!R137="-",'A-15'!R184="-"),"-",SUM('A-15'!R43,'A-15'!R90,'A-15'!R137,'A-15'!R184))</f>
        <v>4376</v>
      </c>
      <c r="O89" s="197">
        <f>IF(AND('A-15'!S43="-",'A-15'!S90="-",'A-15'!S137="-",'A-15'!S184="-"),"-",SUM('A-15'!S43,'A-15'!S90,'A-15'!S137,'A-15'!S184))</f>
        <v>0</v>
      </c>
      <c r="P89" s="197">
        <f>IF(AND('A-15'!U43="-",'A-15'!U90="-",'A-15'!U137="-",'A-15'!U184="-"),"-",SUM('A-15'!U43,'A-15'!U90,'A-15'!U137,'A-15'!U184))</f>
        <v>48268</v>
      </c>
    </row>
    <row r="90" spans="1:16" ht="11.25" customHeight="1" x14ac:dyDescent="0.25">
      <c r="A90" s="477">
        <v>2014</v>
      </c>
      <c r="B90" s="197">
        <f>IF(AND('A-15'!C44="-",'A-15'!C91="-",'A-15'!C138="-",'A-15'!C185="-"),"-",SUM('A-15'!C44,'A-15'!C91,'A-15'!C138,'A-15'!C185))</f>
        <v>12608</v>
      </c>
      <c r="C90" s="197">
        <f>IF(AND('A-15'!D44="-",'A-15'!D91="-",'A-15'!D138="-",'A-15'!D185="-"),"-",SUM('A-15'!D44,'A-15'!D91,'A-15'!D138,'A-15'!D185))</f>
        <v>17002</v>
      </c>
      <c r="D90" s="197">
        <f>IF(AND('A-15'!E44="-",'A-15'!E91="-",'A-15'!E138="-",'A-15'!E185="-"),"-",SUM('A-15'!E44,'A-15'!E91,'A-15'!E138,'A-15'!E185))</f>
        <v>20643</v>
      </c>
      <c r="E90" s="197">
        <f>IF(AND('A-15'!F44="-",'A-15'!F91="-",'A-15'!F138="-",'A-15'!F185="-"),"-",SUM('A-15'!F44,'A-15'!F91,'A-15'!F138,'A-15'!F185))</f>
        <v>8793</v>
      </c>
      <c r="F90" s="197">
        <f>IF(AND('A-15'!G44="-",'A-15'!G91="-",'A-15'!G138="-",'A-15'!G185="-"),"-",SUM('A-15'!G44,'A-15'!G91,'A-15'!G138,'A-15'!G185))</f>
        <v>2715</v>
      </c>
      <c r="G90" s="197">
        <f>IF(AND('A-15'!H44="-",'A-15'!H91="-",'A-15'!H138="-",'A-15'!H185="-"),"-",SUM('A-15'!H44,'A-15'!H91,'A-15'!H138,'A-15'!H185))</f>
        <v>0</v>
      </c>
      <c r="H90" s="197">
        <f>IF(AND('A-15'!J44="-",'A-15'!J91="-",'A-15'!J138="-",'A-15'!J185="-"),"-",SUM('A-15'!J44,'A-15'!J91,'A-15'!J138,'A-15'!J185))</f>
        <v>61761</v>
      </c>
      <c r="I90" s="197"/>
      <c r="J90" s="197">
        <f>IF(AND('A-15'!N44="-",'A-15'!N91="-",'A-15'!N138="-",'A-15'!N185="-"),"-",SUM('A-15'!N44,'A-15'!N91,'A-15'!N138,'A-15'!N185))</f>
        <v>0</v>
      </c>
      <c r="K90" s="197">
        <f>IF(AND('A-15'!O44="-",'A-15'!O91="-",'A-15'!O138="-",'A-15'!O185="-"),"-",SUM('A-15'!O44,'A-15'!O91,'A-15'!O138,'A-15'!O185))</f>
        <v>30</v>
      </c>
      <c r="L90" s="197">
        <f>IF(AND('A-15'!P44="-",'A-15'!P91="-",'A-15'!P138="-",'A-15'!P185="-"),"-",SUM('A-15'!P44,'A-15'!P91,'A-15'!P138,'A-15'!P185))</f>
        <v>10405</v>
      </c>
      <c r="M90" s="197">
        <f>IF(AND('A-15'!Q44="-",'A-15'!Q91="-",'A-15'!Q138="-",'A-15'!Q185="-"),"-",SUM('A-15'!Q44,'A-15'!Q91,'A-15'!Q138,'A-15'!Q185))</f>
        <v>39231</v>
      </c>
      <c r="N90" s="197">
        <f>IF(AND('A-15'!R44="-",'A-15'!R91="-",'A-15'!R138="-",'A-15'!R185="-"),"-",SUM('A-15'!R44,'A-15'!R91,'A-15'!R138,'A-15'!R185))</f>
        <v>6369</v>
      </c>
      <c r="O90" s="197">
        <f>IF(AND('A-15'!S44="-",'A-15'!S91="-",'A-15'!S138="-",'A-15'!S185="-"),"-",SUM('A-15'!S44,'A-15'!S91,'A-15'!S138,'A-15'!S185))</f>
        <v>0</v>
      </c>
      <c r="P90" s="197">
        <f>IF(AND('A-15'!U44="-",'A-15'!U91="-",'A-15'!U138="-",'A-15'!U185="-"),"-",SUM('A-15'!U44,'A-15'!U91,'A-15'!U138,'A-15'!U185))</f>
        <v>56035</v>
      </c>
    </row>
    <row r="91" spans="1:16" ht="11.25" customHeight="1" x14ac:dyDescent="0.25">
      <c r="A91" s="477">
        <v>2015</v>
      </c>
      <c r="B91" s="197">
        <f>IF(AND('A-15'!C45="-",'A-15'!C92="-",'A-15'!C139="-",'A-15'!C186="-"),"-",SUM('A-15'!C45,'A-15'!C92,'A-15'!C139,'A-15'!C186))</f>
        <v>7315</v>
      </c>
      <c r="C91" s="197">
        <f>IF(AND('A-15'!D45="-",'A-15'!D92="-",'A-15'!D139="-",'A-15'!D186="-"),"-",SUM('A-15'!D45,'A-15'!D92,'A-15'!D139,'A-15'!D186))</f>
        <v>23697</v>
      </c>
      <c r="D91" s="197">
        <f>IF(AND('A-15'!E45="-",'A-15'!E92="-",'A-15'!E139="-",'A-15'!E186="-"),"-",SUM('A-15'!E45,'A-15'!E92,'A-15'!E139,'A-15'!E186))</f>
        <v>23110</v>
      </c>
      <c r="E91" s="197">
        <f>IF(AND('A-15'!F45="-",'A-15'!F92="-",'A-15'!F139="-",'A-15'!F186="-"),"-",SUM('A-15'!F45,'A-15'!F92,'A-15'!F139,'A-15'!F186))</f>
        <v>4031</v>
      </c>
      <c r="F91" s="197">
        <f>IF(AND('A-15'!G45="-",'A-15'!G92="-",'A-15'!G139="-",'A-15'!G186="-"),"-",SUM('A-15'!G45,'A-15'!G92,'A-15'!G139,'A-15'!G186))</f>
        <v>786</v>
      </c>
      <c r="G91" s="197">
        <f>IF(AND('A-15'!H45="-",'A-15'!H92="-",'A-15'!H139="-",'A-15'!H186="-"),"-",SUM('A-15'!H45,'A-15'!H92,'A-15'!H139,'A-15'!H186))</f>
        <v>0</v>
      </c>
      <c r="H91" s="197">
        <f>IF(AND('A-15'!J45="-",'A-15'!J92="-",'A-15'!J139="-",'A-15'!J186="-"),"-",SUM('A-15'!J45,'A-15'!J92,'A-15'!J139,'A-15'!J186))</f>
        <v>58939</v>
      </c>
      <c r="I91" s="197"/>
      <c r="J91" s="197">
        <f>IF(AND('A-15'!N45="-",'A-15'!N92="-",'A-15'!N139="-",'A-15'!N186="-"),"-",SUM('A-15'!N45,'A-15'!N92,'A-15'!N139,'A-15'!N186))</f>
        <v>0</v>
      </c>
      <c r="K91" s="197">
        <f>IF(AND('A-15'!O45="-",'A-15'!O92="-",'A-15'!O139="-",'A-15'!O186="-"),"-",SUM('A-15'!O45,'A-15'!O92,'A-15'!O139,'A-15'!O186))</f>
        <v>3</v>
      </c>
      <c r="L91" s="197">
        <f>IF(AND('A-15'!P45="-",'A-15'!P92="-",'A-15'!P139="-",'A-15'!P186="-"),"-",SUM('A-15'!P45,'A-15'!P92,'A-15'!P139,'A-15'!P186))</f>
        <v>1994</v>
      </c>
      <c r="M91" s="197">
        <f>IF(AND('A-15'!Q45="-",'A-15'!Q92="-",'A-15'!Q139="-",'A-15'!Q186="-"),"-",SUM('A-15'!Q45,'A-15'!Q92,'A-15'!Q139,'A-15'!Q186))</f>
        <v>1307</v>
      </c>
      <c r="N91" s="197">
        <f>IF(AND('A-15'!R45="-",'A-15'!R92="-",'A-15'!R139="-",'A-15'!R186="-"),"-",SUM('A-15'!R45,'A-15'!R92,'A-15'!R139,'A-15'!R186))</f>
        <v>706</v>
      </c>
      <c r="O91" s="197">
        <f>IF(AND('A-15'!S45="-",'A-15'!S92="-",'A-15'!S139="-",'A-15'!S186="-"),"-",SUM('A-15'!S45,'A-15'!S92,'A-15'!S139,'A-15'!S186))</f>
        <v>0</v>
      </c>
      <c r="P91" s="197">
        <f>IF(AND('A-15'!U45="-",'A-15'!U92="-",'A-15'!U139="-",'A-15'!U186="-"),"-",SUM('A-15'!U45,'A-15'!U92,'A-15'!U139,'A-15'!U186))</f>
        <v>4010</v>
      </c>
    </row>
    <row r="92" spans="1:16" ht="11.25" customHeight="1" x14ac:dyDescent="0.25">
      <c r="A92" s="477">
        <v>2016</v>
      </c>
      <c r="B92" s="197">
        <f>IF(AND('A-15'!C46="-",'A-15'!C93="-",'A-15'!C140="-",'A-15'!C187="-"),"-",SUM('A-15'!C46,'A-15'!C93,'A-15'!C140,'A-15'!C187))</f>
        <v>2905</v>
      </c>
      <c r="C92" s="197">
        <f>IF(AND('A-15'!D46="-",'A-15'!D93="-",'A-15'!D140="-",'A-15'!D187="-"),"-",SUM('A-15'!D46,'A-15'!D93,'A-15'!D140,'A-15'!D187))</f>
        <v>13752</v>
      </c>
      <c r="D92" s="197">
        <f>IF(AND('A-15'!E46="-",'A-15'!E93="-",'A-15'!E140="-",'A-15'!E187="-"),"-",SUM('A-15'!E46,'A-15'!E93,'A-15'!E140,'A-15'!E187))</f>
        <v>5129</v>
      </c>
      <c r="E92" s="197">
        <f>IF(AND('A-15'!F46="-",'A-15'!F93="-",'A-15'!F140="-",'A-15'!F187="-"),"-",SUM('A-15'!F46,'A-15'!F93,'A-15'!F140,'A-15'!F187))</f>
        <v>1310</v>
      </c>
      <c r="F92" s="197">
        <f>IF(AND('A-15'!G46="-",'A-15'!G93="-",'A-15'!G140="-",'A-15'!G187="-"),"-",SUM('A-15'!G46,'A-15'!G93,'A-15'!G140,'A-15'!G187))</f>
        <v>5</v>
      </c>
      <c r="G92" s="197">
        <f>IF(AND('A-15'!H46="-",'A-15'!H93="-",'A-15'!H140="-",'A-15'!H187="-"),"-",SUM('A-15'!H46,'A-15'!H93,'A-15'!H140,'A-15'!H187))</f>
        <v>0</v>
      </c>
      <c r="H92" s="197">
        <f>IF(AND('A-15'!J46="-",'A-15'!J93="-",'A-15'!J140="-",'A-15'!J187="-"),"-",SUM('A-15'!J46,'A-15'!J93,'A-15'!J140,'A-15'!J187))</f>
        <v>23101</v>
      </c>
      <c r="I92" s="197"/>
      <c r="J92" s="197">
        <f>IF(AND('A-15'!N46="-",'A-15'!N93="-",'A-15'!N140="-",'A-15'!N187="-"),"-",SUM('A-15'!N46,'A-15'!N93,'A-15'!N140,'A-15'!N187))</f>
        <v>0</v>
      </c>
      <c r="K92" s="197">
        <f>IF(AND('A-15'!O46="-",'A-15'!O93="-",'A-15'!O140="-",'A-15'!O187="-"),"-",SUM('A-15'!O46,'A-15'!O93,'A-15'!O140,'A-15'!O187))</f>
        <v>0</v>
      </c>
      <c r="L92" s="197">
        <f>IF(AND('A-15'!P46="-",'A-15'!P93="-",'A-15'!P140="-",'A-15'!P187="-"),"-",SUM('A-15'!P46,'A-15'!P93,'A-15'!P140,'A-15'!P187))</f>
        <v>29</v>
      </c>
      <c r="M92" s="197">
        <f>IF(AND('A-15'!Q46="-",'A-15'!Q93="-",'A-15'!Q140="-",'A-15'!Q187="-"),"-",SUM('A-15'!Q46,'A-15'!Q93,'A-15'!Q140,'A-15'!Q187))</f>
        <v>15</v>
      </c>
      <c r="N92" s="197">
        <f>IF(AND('A-15'!R46="-",'A-15'!R93="-",'A-15'!R140="-",'A-15'!R187="-"),"-",SUM('A-15'!R46,'A-15'!R93,'A-15'!R140,'A-15'!R187))</f>
        <v>0</v>
      </c>
      <c r="O92" s="197">
        <f>IF(AND('A-15'!S46="-",'A-15'!S93="-",'A-15'!S140="-",'A-15'!S187="-"),"-",SUM('A-15'!S46,'A-15'!S93,'A-15'!S140,'A-15'!S187))</f>
        <v>1</v>
      </c>
      <c r="P92" s="197">
        <f>IF(AND('A-15'!U46="-",'A-15'!U93="-",'A-15'!U140="-",'A-15'!U187="-"),"-",SUM('A-15'!U46,'A-15'!U93,'A-15'!U140,'A-15'!U187))</f>
        <v>44</v>
      </c>
    </row>
    <row r="93" spans="1:16" ht="11.25" customHeight="1" x14ac:dyDescent="0.25">
      <c r="A93" s="477">
        <v>2017</v>
      </c>
      <c r="B93" s="197">
        <f>IF(AND('A-15'!C47="-",'A-15'!C94="-",'A-15'!C141="-",'A-15'!C188="-"),"-",SUM('A-15'!C47,'A-15'!C94,'A-15'!C141,'A-15'!C188))</f>
        <v>1253</v>
      </c>
      <c r="C93" s="197">
        <f>IF(AND('A-15'!D47="-",'A-15'!D94="-",'A-15'!D141="-",'A-15'!D188="-"),"-",SUM('A-15'!D47,'A-15'!D94,'A-15'!D141,'A-15'!D188))</f>
        <v>2039</v>
      </c>
      <c r="D93" s="197">
        <f>IF(AND('A-15'!E47="-",'A-15'!E94="-",'A-15'!E141="-",'A-15'!E188="-"),"-",SUM('A-15'!E47,'A-15'!E94,'A-15'!E141,'A-15'!E188))</f>
        <v>15772</v>
      </c>
      <c r="E93" s="197">
        <f>IF(AND('A-15'!F47="-",'A-15'!F94="-",'A-15'!F141="-",'A-15'!F188="-"),"-",SUM('A-15'!F47,'A-15'!F94,'A-15'!F141,'A-15'!F188))</f>
        <v>4605</v>
      </c>
      <c r="F93" s="197">
        <f>IF(AND('A-15'!G47="-",'A-15'!G94="-",'A-15'!G141="-",'A-15'!G188="-"),"-",SUM('A-15'!G47,'A-15'!G94,'A-15'!G141,'A-15'!G188))</f>
        <v>745</v>
      </c>
      <c r="G93" s="197">
        <f>IF(AND('A-15'!H47="-",'A-15'!H94="-",'A-15'!H141="-",'A-15'!H188="-"),"-",SUM('A-15'!H47,'A-15'!H94,'A-15'!H141,'A-15'!H188))</f>
        <v>0</v>
      </c>
      <c r="H93" s="197">
        <f>IF(AND('A-15'!J47="-",'A-15'!J94="-",'A-15'!J141="-",'A-15'!J188="-"),"-",SUM('A-15'!J47,'A-15'!J94,'A-15'!J141,'A-15'!J188))</f>
        <v>24414</v>
      </c>
      <c r="I93" s="197"/>
      <c r="J93" s="197">
        <f>IF(AND('A-15'!N47="-",'A-15'!N94="-",'A-15'!N141="-",'A-15'!N188="-"),"-",SUM('A-15'!N47,'A-15'!N94,'A-15'!N141,'A-15'!N188))</f>
        <v>0</v>
      </c>
      <c r="K93" s="197">
        <f>IF(AND('A-15'!O47="-",'A-15'!O94="-",'A-15'!O141="-",'A-15'!O188="-"),"-",SUM('A-15'!O47,'A-15'!O94,'A-15'!O141,'A-15'!O188))</f>
        <v>0</v>
      </c>
      <c r="L93" s="197">
        <f>IF(AND('A-15'!P47="-",'A-15'!P94="-",'A-15'!P141="-",'A-15'!P188="-"),"-",SUM('A-15'!P47,'A-15'!P94,'A-15'!P141,'A-15'!P188))</f>
        <v>1003</v>
      </c>
      <c r="M93" s="197">
        <f>IF(AND('A-15'!Q47="-",'A-15'!Q94="-",'A-15'!Q141="-",'A-15'!Q188="-"),"-",SUM('A-15'!Q47,'A-15'!Q94,'A-15'!Q141,'A-15'!Q188))</f>
        <v>7150</v>
      </c>
      <c r="N93" s="197">
        <f>IF(AND('A-15'!R47="-",'A-15'!R94="-",'A-15'!R141="-",'A-15'!R188="-"),"-",SUM('A-15'!R47,'A-15'!R94,'A-15'!R141,'A-15'!R188))</f>
        <v>5197</v>
      </c>
      <c r="O93" s="197">
        <f>IF(AND('A-15'!S47="-",'A-15'!S94="-",'A-15'!S141="-",'A-15'!S188="-"),"-",SUM('A-15'!S47,'A-15'!S94,'A-15'!S141,'A-15'!S188))</f>
        <v>0</v>
      </c>
      <c r="P93" s="197">
        <f>IF(AND('A-15'!U47="-",'A-15'!U94="-",'A-15'!U141="-",'A-15'!U188="-"),"-",SUM('A-15'!U47,'A-15'!U94,'A-15'!U141,'A-15'!U188))</f>
        <v>13350</v>
      </c>
    </row>
    <row r="94" spans="1:16" s="358" customFormat="1" ht="11.25" customHeight="1" x14ac:dyDescent="0.25">
      <c r="A94" s="157">
        <v>2018</v>
      </c>
      <c r="B94" s="197">
        <f>IF(AND('A-15'!C48="-",'A-15'!C95="-",'A-15'!C142="-",'A-15'!C189="-"),"-",SUM('A-15'!C48,'A-15'!C95,'A-15'!C142,'A-15'!C189))</f>
        <v>1319</v>
      </c>
      <c r="C94" s="197">
        <f>IF(AND('A-15'!D48="-",'A-15'!D95="-",'A-15'!D142="-",'A-15'!D189="-"),"-",SUM('A-15'!D48,'A-15'!D95,'A-15'!D142,'A-15'!D189))</f>
        <v>11756</v>
      </c>
      <c r="D94" s="197">
        <f>IF(AND('A-15'!E48="-",'A-15'!E95="-",'A-15'!E142="-",'A-15'!E189="-"),"-",SUM('A-15'!E48,'A-15'!E95,'A-15'!E142,'A-15'!E189))</f>
        <v>8486</v>
      </c>
      <c r="E94" s="197">
        <f>IF(AND('A-15'!F48="-",'A-15'!F95="-",'A-15'!F142="-",'A-15'!F189="-"),"-",SUM('A-15'!F48,'A-15'!F95,'A-15'!F142,'A-15'!F189))</f>
        <v>1883</v>
      </c>
      <c r="F94" s="197">
        <f>IF(AND('A-15'!G48="-",'A-15'!G95="-",'A-15'!G142="-",'A-15'!G189="-"),"-",SUM('A-15'!G48,'A-15'!G95,'A-15'!G142,'A-15'!G189))</f>
        <v>459</v>
      </c>
      <c r="G94" s="197">
        <f>IF(AND('A-15'!H48="-",'A-15'!H95="-",'A-15'!H142="-",'A-15'!H189="-"),"-",SUM('A-15'!H48,'A-15'!H95,'A-15'!H142,'A-15'!H189))</f>
        <v>0</v>
      </c>
      <c r="H94" s="197">
        <f>IF(AND('A-15'!J48="-",'A-15'!J95="-",'A-15'!J142="-",'A-15'!J189="-"),"-",SUM('A-15'!J48,'A-15'!J95,'A-15'!J142,'A-15'!J189))</f>
        <v>23903</v>
      </c>
      <c r="J94" s="197">
        <f>IF(AND('A-15'!N48="-",'A-15'!N95="-",'A-15'!N142="-",'A-15'!N189="-"),"-",SUM('A-15'!N48,'A-15'!N95,'A-15'!N142,'A-15'!N189))</f>
        <v>0</v>
      </c>
      <c r="K94" s="197">
        <f>IF(AND('A-15'!O48="-",'A-15'!O95="-",'A-15'!O142="-",'A-15'!O189="-"),"-",SUM('A-15'!O48,'A-15'!O95,'A-15'!O142,'A-15'!O189))</f>
        <v>15</v>
      </c>
      <c r="L94" s="197">
        <f>IF(AND('A-15'!P48="-",'A-15'!P95="-",'A-15'!P142="-",'A-15'!P189="-"),"-",SUM('A-15'!P48,'A-15'!P95,'A-15'!P142,'A-15'!P189))</f>
        <v>1751</v>
      </c>
      <c r="M94" s="197">
        <f>IF(AND('A-15'!Q48="-",'A-15'!Q95="-",'A-15'!Q142="-",'A-15'!Q189="-"),"-",SUM('A-15'!Q48,'A-15'!Q95,'A-15'!Q142,'A-15'!Q189))</f>
        <v>5512</v>
      </c>
      <c r="N94" s="197">
        <f>IF(AND('A-15'!R48="-",'A-15'!R95="-",'A-15'!R142="-",'A-15'!R189="-"),"-",SUM('A-15'!R48,'A-15'!R95,'A-15'!R142,'A-15'!R189))</f>
        <v>4524</v>
      </c>
      <c r="O94" s="197">
        <f>IF(AND('A-15'!S48="-",'A-15'!S95="-",'A-15'!S142="-",'A-15'!S189="-"),"-",SUM('A-15'!S48,'A-15'!S95,'A-15'!S142,'A-15'!S189))</f>
        <v>0</v>
      </c>
      <c r="P94" s="197">
        <f>IF(AND('A-15'!U48="-",'A-15'!U95="-",'A-15'!U142="-",'A-15'!U189="-"),"-",SUM('A-15'!U48,'A-15'!U95,'A-15'!U142,'A-15'!U189))</f>
        <v>11802</v>
      </c>
    </row>
    <row r="95" spans="1:16" s="358" customFormat="1" ht="11.25" customHeight="1" x14ac:dyDescent="0.25">
      <c r="A95" s="157">
        <v>2019</v>
      </c>
      <c r="B95" s="197">
        <f>IF(AND('A-15'!C49="-",'A-15'!C96="-",'A-15'!C143="-",'A-15'!C190="-"),"-",SUM('A-15'!C49,'A-15'!C96,'A-15'!C143,'A-15'!C190))</f>
        <v>809</v>
      </c>
      <c r="C95" s="197">
        <f>IF(AND('A-15'!D49="-",'A-15'!D96="-",'A-15'!D143="-",'A-15'!D190="-"),"-",SUM('A-15'!D49,'A-15'!D96,'A-15'!D143,'A-15'!D190))</f>
        <v>2110</v>
      </c>
      <c r="D95" s="197">
        <f>IF(AND('A-15'!E49="-",'A-15'!E96="-",'A-15'!E143="-",'A-15'!E190="-"),"-",SUM('A-15'!E49,'A-15'!E96,'A-15'!E143,'A-15'!E190))</f>
        <v>12314</v>
      </c>
      <c r="E95" s="197">
        <f>IF(AND('A-15'!F49="-",'A-15'!F96="-",'A-15'!F143="-",'A-15'!F190="-"),"-",SUM('A-15'!F49,'A-15'!F96,'A-15'!F143,'A-15'!F190))</f>
        <v>2789</v>
      </c>
      <c r="F95" s="197">
        <f>IF(AND('A-15'!G49="-",'A-15'!G96="-",'A-15'!G143="-",'A-15'!G190="-"),"-",SUM('A-15'!G49,'A-15'!G96,'A-15'!G143,'A-15'!G190))</f>
        <v>299</v>
      </c>
      <c r="G95" s="197">
        <f>IF(AND('A-15'!H49="-",'A-15'!H96="-",'A-15'!H143="-",'A-15'!H190="-"),"-",SUM('A-15'!H49,'A-15'!H96,'A-15'!H143,'A-15'!H190))</f>
        <v>0</v>
      </c>
      <c r="H95" s="197">
        <f>IF(AND('A-15'!J49="-",'A-15'!J96="-",'A-15'!J143="-",'A-15'!J190="-"),"-",SUM('A-15'!J49,'A-15'!J96,'A-15'!J143,'A-15'!J190))</f>
        <v>18321</v>
      </c>
      <c r="J95" s="197">
        <f>IF(AND('A-15'!N49="-",'A-15'!N96="-",'A-15'!N143="-",'A-15'!N190="-"),"-",SUM('A-15'!N49,'A-15'!N96,'A-15'!N143,'A-15'!N190))</f>
        <v>0</v>
      </c>
      <c r="K95" s="197">
        <f>IF(AND('A-15'!O49="-",'A-15'!O96="-",'A-15'!O143="-",'A-15'!O190="-"),"-",SUM('A-15'!O49,'A-15'!O96,'A-15'!O143,'A-15'!O190))</f>
        <v>0</v>
      </c>
      <c r="L95" s="197">
        <f>IF(AND('A-15'!P49="-",'A-15'!P96="-",'A-15'!P143="-",'A-15'!P190="-"),"-",SUM('A-15'!P49,'A-15'!P96,'A-15'!P143,'A-15'!P190))</f>
        <v>14414</v>
      </c>
      <c r="M95" s="197">
        <f>IF(AND('A-15'!Q49="-",'A-15'!Q96="-",'A-15'!Q143="-",'A-15'!Q190="-"),"-",SUM('A-15'!Q49,'A-15'!Q96,'A-15'!Q143,'A-15'!Q190))</f>
        <v>33818</v>
      </c>
      <c r="N95" s="197">
        <f>IF(AND('A-15'!R49="-",'A-15'!R96="-",'A-15'!R143="-",'A-15'!R190="-"),"-",SUM('A-15'!R49,'A-15'!R96,'A-15'!R143,'A-15'!R190))</f>
        <v>7273</v>
      </c>
      <c r="O95" s="197">
        <f>IF(AND('A-15'!S49="-",'A-15'!S96="-",'A-15'!S143="-",'A-15'!S190="-"),"-",SUM('A-15'!S49,'A-15'!S96,'A-15'!S143,'A-15'!S190))</f>
        <v>0</v>
      </c>
      <c r="P95" s="197">
        <f>IF(AND('A-15'!U49="-",'A-15'!U96="-",'A-15'!U143="-",'A-15'!U190="-"),"-",SUM('A-15'!U49,'A-15'!U96,'A-15'!U143,'A-15'!U190))</f>
        <v>55505</v>
      </c>
    </row>
    <row r="96" spans="1:16" ht="11.25" customHeight="1" x14ac:dyDescent="0.25">
      <c r="A96" s="157" t="s">
        <v>393</v>
      </c>
      <c r="B96" s="193">
        <f>IF(AND('A-15'!C50="-",'A-15'!C97="-",'A-15'!C144="-",'A-15'!C191="-"),"-",SUM('A-15'!C50,'A-15'!C97,'A-15'!C144,'A-15'!C191))</f>
        <v>8</v>
      </c>
      <c r="C96" s="193">
        <f>IF(AND('A-15'!D50="-",'A-15'!D97="-",'A-15'!D144="-",'A-15'!D191="-"),"-",SUM('A-15'!D50,'A-15'!D97,'A-15'!D144,'A-15'!D191))</f>
        <v>23</v>
      </c>
      <c r="D96" s="193">
        <f>IF(AND('A-15'!E50="-",'A-15'!E97="-",'A-15'!E144="-",'A-15'!E191="-"),"-",SUM('A-15'!E50,'A-15'!E97,'A-15'!E144,'A-15'!E191))</f>
        <v>622</v>
      </c>
      <c r="E96" s="193">
        <f>IF(AND('A-15'!F50="-",'A-15'!F97="-",'A-15'!F144="-",'A-15'!F191="-"),"-",SUM('A-15'!F50,'A-15'!F97,'A-15'!F144,'A-15'!F191))</f>
        <v>1718</v>
      </c>
      <c r="F96" s="193">
        <f>IF(AND('A-15'!G50="-",'A-15'!G97="-",'A-15'!G144="-",'A-15'!G191="-"),"-",SUM('A-15'!G50,'A-15'!G97,'A-15'!G144,'A-15'!G191))</f>
        <v>66</v>
      </c>
      <c r="G96" s="193">
        <f>IF(AND('A-15'!H50="-",'A-15'!H97="-",'A-15'!H144="-",'A-15'!H191="-"),"-",SUM('A-15'!H50,'A-15'!H97,'A-15'!H144,'A-15'!H191))</f>
        <v>0</v>
      </c>
      <c r="H96" s="193">
        <f>IF(AND('A-15'!J50="-",'A-15'!J97="-",'A-15'!J144="-",'A-15'!J191="-"),"-",SUM('A-15'!J50,'A-15'!J97,'A-15'!J144,'A-15'!J191))</f>
        <v>2437</v>
      </c>
      <c r="J96" s="193">
        <f>IF(AND('A-15'!N50="-",'A-15'!N97="-",'A-15'!N144="-",'A-15'!N191="-"),"-",SUM('A-15'!N50,'A-15'!N97,'A-15'!N144,'A-15'!N191))</f>
        <v>0</v>
      </c>
      <c r="K96" s="193">
        <f>IF(AND('A-15'!O50="-",'A-15'!O97="-",'A-15'!O144="-",'A-15'!O191="-"),"-",SUM('A-15'!O50,'A-15'!O97,'A-15'!O144,'A-15'!O191))</f>
        <v>0</v>
      </c>
      <c r="L96" s="193">
        <f>IF(AND('A-15'!P50="-",'A-15'!P97="-",'A-15'!P144="-",'A-15'!P191="-"),"-",SUM('A-15'!P50,'A-15'!P97,'A-15'!P144,'A-15'!P191))</f>
        <v>587</v>
      </c>
      <c r="M96" s="193">
        <f>IF(AND('A-15'!Q50="-",'A-15'!Q97="-",'A-15'!Q144="-",'A-15'!Q191="-"),"-",SUM('A-15'!Q50,'A-15'!Q97,'A-15'!Q144,'A-15'!Q191))</f>
        <v>10864</v>
      </c>
      <c r="N96" s="193">
        <f>IF(AND('A-15'!R50="-",'A-15'!R97="-",'A-15'!R144="-",'A-15'!R191="-"),"-",SUM('A-15'!R50,'A-15'!R97,'A-15'!R144,'A-15'!R191))</f>
        <v>2940</v>
      </c>
      <c r="O96" s="193">
        <f>IF(AND('A-15'!S50="-",'A-15'!S97="-",'A-15'!S144="-",'A-15'!S191="-"),"-",SUM('A-15'!S50,'A-15'!S97,'A-15'!S144,'A-15'!S191))</f>
        <v>0</v>
      </c>
      <c r="P96" s="193">
        <f>IF(AND('A-15'!U50="-",'A-15'!U97="-",'A-15'!U144="-",'A-15'!U191="-"),"-",SUM('A-15'!U50,'A-15'!U97,'A-15'!U144,'A-15'!U191))</f>
        <v>14391</v>
      </c>
    </row>
    <row r="97" spans="1:16" ht="11.25" customHeight="1" x14ac:dyDescent="0.25"/>
    <row r="98" spans="1:16" ht="11.25" customHeight="1" x14ac:dyDescent="0.25">
      <c r="A98" s="120" t="s">
        <v>308</v>
      </c>
      <c r="B98" s="155"/>
      <c r="C98" s="155"/>
      <c r="D98" s="155"/>
      <c r="E98" s="155"/>
    </row>
    <row r="99" spans="1:16" ht="11.25" customHeight="1" x14ac:dyDescent="0.25">
      <c r="A99" s="473">
        <v>1976</v>
      </c>
      <c r="B99" s="193">
        <f t="shared" ref="B99:H108" si="0">IF(AND(B52="-",B5="-"),"-",SUM(B52,B5))</f>
        <v>57811</v>
      </c>
      <c r="C99" s="193">
        <f t="shared" si="0"/>
        <v>79222</v>
      </c>
      <c r="D99" s="193">
        <f t="shared" si="0"/>
        <v>85435</v>
      </c>
      <c r="E99" s="193">
        <f t="shared" si="0"/>
        <v>54605</v>
      </c>
      <c r="F99" s="193">
        <f t="shared" si="0"/>
        <v>19767</v>
      </c>
      <c r="G99" s="193">
        <f t="shared" si="0"/>
        <v>1</v>
      </c>
      <c r="H99" s="193">
        <f t="shared" si="0"/>
        <v>296840</v>
      </c>
      <c r="J99" s="193">
        <f t="shared" ref="J99:P108" si="1">IF(AND(J52="-",J5="-"),"-",SUM(J52,J5))</f>
        <v>0</v>
      </c>
      <c r="K99" s="193">
        <f t="shared" si="1"/>
        <v>136322</v>
      </c>
      <c r="L99" s="193">
        <f t="shared" si="1"/>
        <v>503605</v>
      </c>
      <c r="M99" s="193">
        <f t="shared" si="1"/>
        <v>260358</v>
      </c>
      <c r="N99" s="193">
        <f t="shared" si="1"/>
        <v>128146</v>
      </c>
      <c r="O99" s="193">
        <f t="shared" si="1"/>
        <v>16</v>
      </c>
      <c r="P99" s="193">
        <f t="shared" si="1"/>
        <v>1028431</v>
      </c>
    </row>
    <row r="100" spans="1:16" ht="11.25" customHeight="1" x14ac:dyDescent="0.25">
      <c r="A100" s="473">
        <v>1977</v>
      </c>
      <c r="B100" s="193">
        <f t="shared" si="0"/>
        <v>48398</v>
      </c>
      <c r="C100" s="193">
        <f t="shared" si="0"/>
        <v>27293</v>
      </c>
      <c r="D100" s="193">
        <f t="shared" si="0"/>
        <v>57204</v>
      </c>
      <c r="E100" s="193">
        <f t="shared" si="0"/>
        <v>30385</v>
      </c>
      <c r="F100" s="193">
        <f t="shared" si="0"/>
        <v>18857</v>
      </c>
      <c r="G100" s="193">
        <f t="shared" si="0"/>
        <v>8</v>
      </c>
      <c r="H100" s="193">
        <f t="shared" si="0"/>
        <v>182137</v>
      </c>
      <c r="J100" s="193">
        <f t="shared" si="1"/>
        <v>258</v>
      </c>
      <c r="K100" s="193">
        <f t="shared" si="1"/>
        <v>3440</v>
      </c>
      <c r="L100" s="193">
        <f t="shared" si="1"/>
        <v>307711</v>
      </c>
      <c r="M100" s="193">
        <f t="shared" si="1"/>
        <v>169188</v>
      </c>
      <c r="N100" s="193">
        <f t="shared" si="1"/>
        <v>83162</v>
      </c>
      <c r="O100" s="193">
        <f t="shared" si="1"/>
        <v>4</v>
      </c>
      <c r="P100" s="193">
        <f t="shared" si="1"/>
        <v>563759</v>
      </c>
    </row>
    <row r="101" spans="1:16" ht="11.25" customHeight="1" x14ac:dyDescent="0.25">
      <c r="A101" s="473">
        <v>1978</v>
      </c>
      <c r="B101" s="193">
        <f t="shared" si="0"/>
        <v>24824</v>
      </c>
      <c r="C101" s="193">
        <f t="shared" si="0"/>
        <v>23050</v>
      </c>
      <c r="D101" s="193">
        <f t="shared" si="0"/>
        <v>43260</v>
      </c>
      <c r="E101" s="193">
        <f t="shared" si="0"/>
        <v>25226</v>
      </c>
      <c r="F101" s="193">
        <f t="shared" si="0"/>
        <v>8582</v>
      </c>
      <c r="G101" s="193">
        <f t="shared" si="0"/>
        <v>26</v>
      </c>
      <c r="H101" s="193">
        <f t="shared" si="0"/>
        <v>124942</v>
      </c>
      <c r="J101" s="193">
        <f t="shared" si="1"/>
        <v>231</v>
      </c>
      <c r="K101" s="193">
        <f t="shared" si="1"/>
        <v>3405</v>
      </c>
      <c r="L101" s="193">
        <f t="shared" si="1"/>
        <v>258028</v>
      </c>
      <c r="M101" s="193">
        <f t="shared" si="1"/>
        <v>100824</v>
      </c>
      <c r="N101" s="193">
        <f t="shared" si="1"/>
        <v>98361</v>
      </c>
      <c r="O101" s="193">
        <f t="shared" si="1"/>
        <v>8</v>
      </c>
      <c r="P101" s="193">
        <f t="shared" si="1"/>
        <v>460849</v>
      </c>
    </row>
    <row r="102" spans="1:16" ht="11.25" customHeight="1" x14ac:dyDescent="0.25">
      <c r="A102" s="473">
        <v>1979</v>
      </c>
      <c r="B102" s="193">
        <f t="shared" si="0"/>
        <v>44177</v>
      </c>
      <c r="C102" s="193">
        <f t="shared" si="0"/>
        <v>1022</v>
      </c>
      <c r="D102" s="193">
        <f t="shared" si="0"/>
        <v>34133</v>
      </c>
      <c r="E102" s="193">
        <f t="shared" si="0"/>
        <v>35377</v>
      </c>
      <c r="F102" s="193">
        <f t="shared" si="0"/>
        <v>385</v>
      </c>
      <c r="G102" s="193">
        <f t="shared" si="0"/>
        <v>4</v>
      </c>
      <c r="H102" s="193">
        <f t="shared" si="0"/>
        <v>115094</v>
      </c>
      <c r="J102" s="193">
        <f t="shared" si="1"/>
        <v>1051</v>
      </c>
      <c r="K102" s="193">
        <f t="shared" si="1"/>
        <v>4777</v>
      </c>
      <c r="L102" s="193">
        <f t="shared" si="1"/>
        <v>287304</v>
      </c>
      <c r="M102" s="193">
        <f t="shared" si="1"/>
        <v>231619</v>
      </c>
      <c r="N102" s="193">
        <f t="shared" si="1"/>
        <v>2664</v>
      </c>
      <c r="O102" s="193">
        <f t="shared" si="1"/>
        <v>4</v>
      </c>
      <c r="P102" s="193">
        <f t="shared" si="1"/>
        <v>527415</v>
      </c>
    </row>
    <row r="103" spans="1:16" ht="11.25" customHeight="1" x14ac:dyDescent="0.25">
      <c r="A103" s="473">
        <v>1980</v>
      </c>
      <c r="B103" s="193">
        <f t="shared" si="0"/>
        <v>37530</v>
      </c>
      <c r="C103" s="193">
        <f t="shared" si="0"/>
        <v>2944</v>
      </c>
      <c r="D103" s="193">
        <f t="shared" si="0"/>
        <v>44035</v>
      </c>
      <c r="E103" s="193">
        <f t="shared" si="0"/>
        <v>21898</v>
      </c>
      <c r="F103" s="193">
        <f t="shared" si="0"/>
        <v>39</v>
      </c>
      <c r="G103" s="193">
        <f t="shared" si="0"/>
        <v>15</v>
      </c>
      <c r="H103" s="193">
        <f t="shared" si="0"/>
        <v>106446</v>
      </c>
      <c r="J103" s="193">
        <f t="shared" si="1"/>
        <v>2159</v>
      </c>
      <c r="K103" s="193">
        <f t="shared" si="1"/>
        <v>25295</v>
      </c>
      <c r="L103" s="193">
        <f t="shared" si="1"/>
        <v>174560</v>
      </c>
      <c r="M103" s="193">
        <f t="shared" si="1"/>
        <v>118383</v>
      </c>
      <c r="N103" s="193">
        <f t="shared" si="1"/>
        <v>1030</v>
      </c>
      <c r="O103" s="193">
        <f t="shared" si="1"/>
        <v>25</v>
      </c>
      <c r="P103" s="193">
        <f t="shared" si="1"/>
        <v>321427</v>
      </c>
    </row>
    <row r="104" spans="1:16" ht="11.25" customHeight="1" x14ac:dyDescent="0.25">
      <c r="A104" s="473">
        <v>1981</v>
      </c>
      <c r="B104" s="193">
        <f t="shared" si="0"/>
        <v>38452</v>
      </c>
      <c r="C104" s="193">
        <f t="shared" si="0"/>
        <v>5027</v>
      </c>
      <c r="D104" s="193">
        <f t="shared" si="0"/>
        <v>26732</v>
      </c>
      <c r="E104" s="193">
        <f t="shared" si="0"/>
        <v>17586</v>
      </c>
      <c r="F104" s="193">
        <f t="shared" si="0"/>
        <v>270</v>
      </c>
      <c r="G104" s="193">
        <f t="shared" si="0"/>
        <v>258</v>
      </c>
      <c r="H104" s="193">
        <f t="shared" si="0"/>
        <v>88067</v>
      </c>
      <c r="J104" s="193">
        <f t="shared" si="1"/>
        <v>1284</v>
      </c>
      <c r="K104" s="193">
        <f t="shared" si="1"/>
        <v>7598</v>
      </c>
      <c r="L104" s="193">
        <f t="shared" si="1"/>
        <v>180802</v>
      </c>
      <c r="M104" s="193">
        <f t="shared" si="1"/>
        <v>101559</v>
      </c>
      <c r="N104" s="193">
        <f t="shared" si="1"/>
        <v>13717</v>
      </c>
      <c r="O104" s="193">
        <f t="shared" si="1"/>
        <v>13</v>
      </c>
      <c r="P104" s="193">
        <f t="shared" si="1"/>
        <v>304960</v>
      </c>
    </row>
    <row r="105" spans="1:16" ht="11.25" customHeight="1" x14ac:dyDescent="0.25">
      <c r="A105" s="473">
        <v>1982</v>
      </c>
      <c r="B105" s="193">
        <f t="shared" si="0"/>
        <v>44989</v>
      </c>
      <c r="C105" s="193">
        <f t="shared" si="0"/>
        <v>10497</v>
      </c>
      <c r="D105" s="193">
        <f t="shared" si="0"/>
        <v>60865</v>
      </c>
      <c r="E105" s="193">
        <f t="shared" si="0"/>
        <v>2331</v>
      </c>
      <c r="F105" s="193">
        <f t="shared" si="0"/>
        <v>2656</v>
      </c>
      <c r="G105" s="193">
        <f t="shared" si="0"/>
        <v>223</v>
      </c>
      <c r="H105" s="193">
        <f t="shared" si="0"/>
        <v>121338</v>
      </c>
      <c r="J105" s="193">
        <f t="shared" si="1"/>
        <v>34</v>
      </c>
      <c r="K105" s="193">
        <f t="shared" si="1"/>
        <v>22681</v>
      </c>
      <c r="L105" s="193">
        <f t="shared" si="1"/>
        <v>196134</v>
      </c>
      <c r="M105" s="193">
        <f t="shared" si="1"/>
        <v>60158</v>
      </c>
      <c r="N105" s="193">
        <f t="shared" si="1"/>
        <v>38451</v>
      </c>
      <c r="O105" s="193">
        <f t="shared" si="1"/>
        <v>57</v>
      </c>
      <c r="P105" s="193">
        <f t="shared" si="1"/>
        <v>317458</v>
      </c>
    </row>
    <row r="106" spans="1:16" ht="11.25" customHeight="1" x14ac:dyDescent="0.25">
      <c r="A106" s="473">
        <v>1983</v>
      </c>
      <c r="B106" s="193">
        <f t="shared" si="0"/>
        <v>26783</v>
      </c>
      <c r="C106" s="193">
        <f t="shared" si="0"/>
        <v>6756</v>
      </c>
      <c r="D106" s="193">
        <f t="shared" si="0"/>
        <v>13955</v>
      </c>
      <c r="E106" s="193">
        <f t="shared" si="0"/>
        <v>1660</v>
      </c>
      <c r="F106" s="193">
        <f t="shared" si="0"/>
        <v>255</v>
      </c>
      <c r="G106" s="193">
        <f t="shared" si="0"/>
        <v>65</v>
      </c>
      <c r="H106" s="193">
        <f t="shared" si="0"/>
        <v>49409</v>
      </c>
      <c r="J106" s="193">
        <f t="shared" si="1"/>
        <v>95</v>
      </c>
      <c r="K106" s="193">
        <f t="shared" si="1"/>
        <v>4987</v>
      </c>
      <c r="L106" s="193">
        <f t="shared" si="1"/>
        <v>9172</v>
      </c>
      <c r="M106" s="193">
        <f t="shared" si="1"/>
        <v>21045</v>
      </c>
      <c r="N106" s="193">
        <f t="shared" si="1"/>
        <v>7747</v>
      </c>
      <c r="O106" s="193">
        <f t="shared" si="1"/>
        <v>17</v>
      </c>
      <c r="P106" s="193">
        <f t="shared" si="1"/>
        <v>43046</v>
      </c>
    </row>
    <row r="107" spans="1:16" ht="11.25" customHeight="1" x14ac:dyDescent="0.25">
      <c r="A107" s="473">
        <v>1984</v>
      </c>
      <c r="B107" s="193">
        <f t="shared" si="0"/>
        <v>8528</v>
      </c>
      <c r="C107" s="193">
        <f t="shared" si="0"/>
        <v>517</v>
      </c>
      <c r="D107" s="193">
        <f t="shared" si="0"/>
        <v>751</v>
      </c>
      <c r="E107" s="193">
        <f t="shared" si="0"/>
        <v>2611</v>
      </c>
      <c r="F107" s="193">
        <f t="shared" si="0"/>
        <v>0</v>
      </c>
      <c r="G107" s="193">
        <f t="shared" si="0"/>
        <v>147</v>
      </c>
      <c r="H107" s="193">
        <f t="shared" si="0"/>
        <v>12407</v>
      </c>
      <c r="J107" s="193">
        <f t="shared" si="1"/>
        <v>0</v>
      </c>
      <c r="K107" s="193">
        <f t="shared" si="1"/>
        <v>0</v>
      </c>
      <c r="L107" s="193">
        <f t="shared" si="1"/>
        <v>19715</v>
      </c>
      <c r="M107" s="193">
        <f t="shared" si="1"/>
        <v>40213</v>
      </c>
      <c r="N107" s="193">
        <f t="shared" si="1"/>
        <v>0</v>
      </c>
      <c r="O107" s="193">
        <f t="shared" si="1"/>
        <v>147</v>
      </c>
      <c r="P107" s="193">
        <f t="shared" si="1"/>
        <v>59928</v>
      </c>
    </row>
    <row r="108" spans="1:16" ht="11.25" customHeight="1" x14ac:dyDescent="0.25">
      <c r="A108" s="473">
        <v>1985</v>
      </c>
      <c r="B108" s="193">
        <f t="shared" si="0"/>
        <v>17974</v>
      </c>
      <c r="C108" s="193">
        <f t="shared" si="0"/>
        <v>386</v>
      </c>
      <c r="D108" s="193">
        <f t="shared" si="0"/>
        <v>13403</v>
      </c>
      <c r="E108" s="193">
        <f t="shared" si="0"/>
        <v>5845</v>
      </c>
      <c r="F108" s="193">
        <f t="shared" si="0"/>
        <v>1941</v>
      </c>
      <c r="G108" s="193">
        <f t="shared" si="0"/>
        <v>299</v>
      </c>
      <c r="H108" s="193">
        <f t="shared" si="0"/>
        <v>39549</v>
      </c>
      <c r="J108" s="193">
        <f t="shared" si="1"/>
        <v>1</v>
      </c>
      <c r="K108" s="193">
        <f t="shared" si="1"/>
        <v>1911</v>
      </c>
      <c r="L108" s="193">
        <f t="shared" si="1"/>
        <v>148005</v>
      </c>
      <c r="M108" s="193">
        <f t="shared" si="1"/>
        <v>29415</v>
      </c>
      <c r="N108" s="193">
        <f t="shared" si="1"/>
        <v>23613</v>
      </c>
      <c r="O108" s="193">
        <f t="shared" si="1"/>
        <v>37</v>
      </c>
      <c r="P108" s="193">
        <f t="shared" si="1"/>
        <v>202945</v>
      </c>
    </row>
    <row r="109" spans="1:16" ht="11.25" customHeight="1" x14ac:dyDescent="0.25">
      <c r="A109" s="473">
        <v>1986</v>
      </c>
      <c r="B109" s="193">
        <f t="shared" ref="B109:H118" si="2">IF(AND(B62="-",B15="-"),"-",SUM(B62,B15))</f>
        <v>22442</v>
      </c>
      <c r="C109" s="193">
        <f t="shared" si="2"/>
        <v>4624</v>
      </c>
      <c r="D109" s="193">
        <f t="shared" si="2"/>
        <v>3688</v>
      </c>
      <c r="E109" s="193">
        <f t="shared" si="2"/>
        <v>2973</v>
      </c>
      <c r="F109" s="193">
        <f t="shared" si="2"/>
        <v>0</v>
      </c>
      <c r="G109" s="193">
        <f t="shared" si="2"/>
        <v>0</v>
      </c>
      <c r="H109" s="193">
        <f t="shared" si="2"/>
        <v>33727</v>
      </c>
      <c r="J109" s="193">
        <f t="shared" ref="J109:P118" si="3">IF(AND(J62="-",J15="-"),"-",SUM(J62,J15))</f>
        <v>0</v>
      </c>
      <c r="K109" s="193">
        <f t="shared" si="3"/>
        <v>21166</v>
      </c>
      <c r="L109" s="193">
        <f t="shared" si="3"/>
        <v>51622</v>
      </c>
      <c r="M109" s="193">
        <f t="shared" si="3"/>
        <v>41145</v>
      </c>
      <c r="N109" s="193">
        <f t="shared" si="3"/>
        <v>13</v>
      </c>
      <c r="O109" s="193">
        <f t="shared" si="3"/>
        <v>0</v>
      </c>
      <c r="P109" s="193">
        <f t="shared" si="3"/>
        <v>113946</v>
      </c>
    </row>
    <row r="110" spans="1:16" ht="11.25" customHeight="1" x14ac:dyDescent="0.25">
      <c r="A110" s="473">
        <v>1987</v>
      </c>
      <c r="B110" s="193">
        <f t="shared" si="2"/>
        <v>40181</v>
      </c>
      <c r="C110" s="193">
        <f t="shared" si="2"/>
        <v>0</v>
      </c>
      <c r="D110" s="193">
        <f t="shared" si="2"/>
        <v>19951</v>
      </c>
      <c r="E110" s="193">
        <f t="shared" si="2"/>
        <v>7271</v>
      </c>
      <c r="F110" s="193">
        <f t="shared" si="2"/>
        <v>0</v>
      </c>
      <c r="G110" s="193">
        <f t="shared" si="2"/>
        <v>52</v>
      </c>
      <c r="H110" s="193">
        <f t="shared" si="2"/>
        <v>67403</v>
      </c>
      <c r="J110" s="193">
        <f t="shared" si="3"/>
        <v>16</v>
      </c>
      <c r="K110" s="193">
        <f t="shared" si="3"/>
        <v>0</v>
      </c>
      <c r="L110" s="193">
        <f t="shared" si="3"/>
        <v>82132</v>
      </c>
      <c r="M110" s="193">
        <f t="shared" si="3"/>
        <v>44040</v>
      </c>
      <c r="N110" s="193">
        <f t="shared" si="3"/>
        <v>0</v>
      </c>
      <c r="O110" s="193">
        <f t="shared" si="3"/>
        <v>33</v>
      </c>
      <c r="P110" s="193">
        <f t="shared" si="3"/>
        <v>126188</v>
      </c>
    </row>
    <row r="111" spans="1:16" ht="11.25" customHeight="1" x14ac:dyDescent="0.25">
      <c r="A111" s="473">
        <v>1988</v>
      </c>
      <c r="B111" s="193">
        <f t="shared" si="2"/>
        <v>47726</v>
      </c>
      <c r="C111" s="193">
        <f t="shared" si="2"/>
        <v>38396</v>
      </c>
      <c r="D111" s="193">
        <f t="shared" si="2"/>
        <v>6436</v>
      </c>
      <c r="E111" s="193">
        <f t="shared" si="2"/>
        <v>7067</v>
      </c>
      <c r="F111" s="193">
        <f t="shared" si="2"/>
        <v>1968</v>
      </c>
      <c r="G111" s="193">
        <f t="shared" si="2"/>
        <v>0</v>
      </c>
      <c r="H111" s="193">
        <f t="shared" si="2"/>
        <v>101593</v>
      </c>
      <c r="J111" s="193">
        <f t="shared" si="3"/>
        <v>0</v>
      </c>
      <c r="K111" s="193">
        <f t="shared" si="3"/>
        <v>114</v>
      </c>
      <c r="L111" s="193">
        <f t="shared" si="3"/>
        <v>12194</v>
      </c>
      <c r="M111" s="193">
        <f t="shared" si="3"/>
        <v>48084</v>
      </c>
      <c r="N111" s="193">
        <f t="shared" si="3"/>
        <v>10167</v>
      </c>
      <c r="O111" s="193">
        <f t="shared" si="3"/>
        <v>0</v>
      </c>
      <c r="P111" s="193">
        <f t="shared" si="3"/>
        <v>70559</v>
      </c>
    </row>
    <row r="112" spans="1:16" ht="11.25" customHeight="1" x14ac:dyDescent="0.25">
      <c r="A112" s="473">
        <v>1989</v>
      </c>
      <c r="B112" s="193">
        <f t="shared" si="2"/>
        <v>28931</v>
      </c>
      <c r="C112" s="193">
        <f t="shared" si="2"/>
        <v>22198</v>
      </c>
      <c r="D112" s="193">
        <f t="shared" si="2"/>
        <v>10111</v>
      </c>
      <c r="E112" s="193">
        <f t="shared" si="2"/>
        <v>5529</v>
      </c>
      <c r="F112" s="193">
        <f t="shared" si="2"/>
        <v>1582</v>
      </c>
      <c r="G112" s="193">
        <f t="shared" si="2"/>
        <v>0</v>
      </c>
      <c r="H112" s="193">
        <f t="shared" si="2"/>
        <v>68351</v>
      </c>
      <c r="J112" s="193">
        <f t="shared" si="3"/>
        <v>1</v>
      </c>
      <c r="K112" s="193">
        <f t="shared" si="3"/>
        <v>0</v>
      </c>
      <c r="L112" s="193">
        <f t="shared" si="3"/>
        <v>31817</v>
      </c>
      <c r="M112" s="193">
        <f t="shared" si="3"/>
        <v>64608</v>
      </c>
      <c r="N112" s="193">
        <f t="shared" si="3"/>
        <v>28590</v>
      </c>
      <c r="O112" s="193">
        <f t="shared" si="3"/>
        <v>0</v>
      </c>
      <c r="P112" s="193">
        <f t="shared" si="3"/>
        <v>125016</v>
      </c>
    </row>
    <row r="113" spans="1:16" ht="11.25" customHeight="1" x14ac:dyDescent="0.25">
      <c r="A113" s="473">
        <v>1990</v>
      </c>
      <c r="B113" s="193">
        <f t="shared" si="2"/>
        <v>30509</v>
      </c>
      <c r="C113" s="193">
        <f t="shared" si="2"/>
        <v>9733</v>
      </c>
      <c r="D113" s="193">
        <f t="shared" si="2"/>
        <v>11270</v>
      </c>
      <c r="E113" s="193">
        <f t="shared" si="2"/>
        <v>6937</v>
      </c>
      <c r="F113" s="193">
        <f t="shared" si="2"/>
        <v>2701</v>
      </c>
      <c r="G113" s="193">
        <f t="shared" si="2"/>
        <v>8</v>
      </c>
      <c r="H113" s="193">
        <f t="shared" si="2"/>
        <v>61150</v>
      </c>
      <c r="J113" s="193">
        <f t="shared" si="3"/>
        <v>0</v>
      </c>
      <c r="K113" s="193">
        <f t="shared" si="3"/>
        <v>1</v>
      </c>
      <c r="L113" s="193">
        <f t="shared" si="3"/>
        <v>20680</v>
      </c>
      <c r="M113" s="193">
        <f t="shared" si="3"/>
        <v>121759</v>
      </c>
      <c r="N113" s="193">
        <f t="shared" si="3"/>
        <v>16501</v>
      </c>
      <c r="O113" s="193">
        <f t="shared" si="3"/>
        <v>1</v>
      </c>
      <c r="P113" s="193">
        <f t="shared" si="3"/>
        <v>158941</v>
      </c>
    </row>
    <row r="114" spans="1:16" ht="11.25" customHeight="1" x14ac:dyDescent="0.25">
      <c r="A114" s="473">
        <v>1991</v>
      </c>
      <c r="B114" s="193">
        <f t="shared" si="2"/>
        <v>18098</v>
      </c>
      <c r="C114" s="193">
        <f t="shared" si="2"/>
        <v>18400</v>
      </c>
      <c r="D114" s="193">
        <f t="shared" si="2"/>
        <v>6875</v>
      </c>
      <c r="E114" s="193">
        <f t="shared" si="2"/>
        <v>5180</v>
      </c>
      <c r="F114" s="193">
        <f t="shared" si="2"/>
        <v>751</v>
      </c>
      <c r="G114" s="193">
        <f t="shared" si="2"/>
        <v>147</v>
      </c>
      <c r="H114" s="193">
        <f t="shared" si="2"/>
        <v>49304</v>
      </c>
      <c r="J114" s="193">
        <f t="shared" si="3"/>
        <v>0</v>
      </c>
      <c r="K114" s="193">
        <f t="shared" si="3"/>
        <v>0</v>
      </c>
      <c r="L114" s="193">
        <f t="shared" si="3"/>
        <v>38943</v>
      </c>
      <c r="M114" s="193">
        <f t="shared" si="3"/>
        <v>63441</v>
      </c>
      <c r="N114" s="193">
        <f t="shared" si="3"/>
        <v>12492</v>
      </c>
      <c r="O114" s="193">
        <f t="shared" si="3"/>
        <v>498</v>
      </c>
      <c r="P114" s="193">
        <f t="shared" si="3"/>
        <v>114876</v>
      </c>
    </row>
    <row r="115" spans="1:16" ht="11.25" customHeight="1" x14ac:dyDescent="0.25">
      <c r="A115" s="473">
        <v>1992</v>
      </c>
      <c r="B115" s="193">
        <f t="shared" si="2"/>
        <v>28364</v>
      </c>
      <c r="C115" s="193">
        <f t="shared" si="2"/>
        <v>18131</v>
      </c>
      <c r="D115" s="193">
        <f t="shared" si="2"/>
        <v>9969</v>
      </c>
      <c r="E115" s="193">
        <f t="shared" si="2"/>
        <v>7510</v>
      </c>
      <c r="F115" s="193">
        <f t="shared" si="2"/>
        <v>0</v>
      </c>
      <c r="G115" s="193">
        <f t="shared" si="2"/>
        <v>0</v>
      </c>
      <c r="H115" s="193">
        <f t="shared" si="2"/>
        <v>63974</v>
      </c>
      <c r="J115" s="193">
        <f t="shared" si="3"/>
        <v>2</v>
      </c>
      <c r="K115" s="193">
        <f t="shared" si="3"/>
        <v>3</v>
      </c>
      <c r="L115" s="193">
        <f t="shared" si="3"/>
        <v>49704</v>
      </c>
      <c r="M115" s="193">
        <f t="shared" si="3"/>
        <v>42475</v>
      </c>
      <c r="N115" s="193">
        <f t="shared" si="3"/>
        <v>0</v>
      </c>
      <c r="O115" s="193">
        <f t="shared" si="3"/>
        <v>15</v>
      </c>
      <c r="P115" s="193">
        <f t="shared" si="3"/>
        <v>92184</v>
      </c>
    </row>
    <row r="116" spans="1:16" ht="11.25" customHeight="1" x14ac:dyDescent="0.25">
      <c r="A116" s="473">
        <v>1993</v>
      </c>
      <c r="B116" s="193">
        <f t="shared" si="2"/>
        <v>21676</v>
      </c>
      <c r="C116" s="193">
        <f t="shared" si="2"/>
        <v>15840</v>
      </c>
      <c r="D116" s="193">
        <f t="shared" si="2"/>
        <v>8535</v>
      </c>
      <c r="E116" s="193">
        <f t="shared" si="2"/>
        <v>4594</v>
      </c>
      <c r="F116" s="193">
        <f t="shared" si="2"/>
        <v>4337</v>
      </c>
      <c r="G116" s="193">
        <f t="shared" si="2"/>
        <v>0</v>
      </c>
      <c r="H116" s="193">
        <f t="shared" si="2"/>
        <v>54982</v>
      </c>
      <c r="J116" s="193">
        <f t="shared" si="3"/>
        <v>1</v>
      </c>
      <c r="K116" s="193">
        <f t="shared" si="3"/>
        <v>0</v>
      </c>
      <c r="L116" s="193">
        <f t="shared" si="3"/>
        <v>11692</v>
      </c>
      <c r="M116" s="193">
        <f t="shared" si="3"/>
        <v>28884</v>
      </c>
      <c r="N116" s="193">
        <f t="shared" si="3"/>
        <v>31548</v>
      </c>
      <c r="O116" s="193">
        <f t="shared" si="3"/>
        <v>0</v>
      </c>
      <c r="P116" s="193">
        <f t="shared" si="3"/>
        <v>72125</v>
      </c>
    </row>
    <row r="117" spans="1:16" ht="11.25" customHeight="1" x14ac:dyDescent="0.25">
      <c r="A117" s="473">
        <v>1994</v>
      </c>
      <c r="B117" s="193">
        <f t="shared" si="2"/>
        <v>449</v>
      </c>
      <c r="C117" s="193">
        <f t="shared" si="2"/>
        <v>4113</v>
      </c>
      <c r="D117" s="193">
        <f t="shared" si="2"/>
        <v>8</v>
      </c>
      <c r="E117" s="193">
        <f t="shared" si="2"/>
        <v>0</v>
      </c>
      <c r="F117" s="193">
        <f t="shared" si="2"/>
        <v>0</v>
      </c>
      <c r="G117" s="193">
        <f t="shared" si="2"/>
        <v>0</v>
      </c>
      <c r="H117" s="193">
        <f t="shared" si="2"/>
        <v>4570</v>
      </c>
      <c r="J117" s="193">
        <f t="shared" si="3"/>
        <v>0</v>
      </c>
      <c r="K117" s="193">
        <f t="shared" si="3"/>
        <v>0</v>
      </c>
      <c r="L117" s="193">
        <f t="shared" si="3"/>
        <v>0</v>
      </c>
      <c r="M117" s="193">
        <f t="shared" si="3"/>
        <v>0</v>
      </c>
      <c r="N117" s="193">
        <f t="shared" si="3"/>
        <v>0</v>
      </c>
      <c r="O117" s="193">
        <f t="shared" si="3"/>
        <v>0</v>
      </c>
      <c r="P117" s="193">
        <f t="shared" si="3"/>
        <v>0</v>
      </c>
    </row>
    <row r="118" spans="1:16" ht="11.25" customHeight="1" x14ac:dyDescent="0.25">
      <c r="A118" s="473">
        <v>1995</v>
      </c>
      <c r="B118" s="193">
        <f t="shared" si="2"/>
        <v>698</v>
      </c>
      <c r="C118" s="193">
        <f t="shared" si="2"/>
        <v>0</v>
      </c>
      <c r="D118" s="193">
        <f t="shared" si="2"/>
        <v>23</v>
      </c>
      <c r="E118" s="193">
        <f t="shared" si="2"/>
        <v>9047</v>
      </c>
      <c r="F118" s="193">
        <f t="shared" si="2"/>
        <v>0</v>
      </c>
      <c r="G118" s="193">
        <f t="shared" si="2"/>
        <v>0</v>
      </c>
      <c r="H118" s="193">
        <f t="shared" si="2"/>
        <v>9768</v>
      </c>
      <c r="J118" s="193">
        <f t="shared" si="3"/>
        <v>0</v>
      </c>
      <c r="K118" s="193">
        <f t="shared" si="3"/>
        <v>0</v>
      </c>
      <c r="L118" s="193">
        <f t="shared" si="3"/>
        <v>0</v>
      </c>
      <c r="M118" s="193">
        <f t="shared" si="3"/>
        <v>49756</v>
      </c>
      <c r="N118" s="193">
        <f t="shared" si="3"/>
        <v>7060</v>
      </c>
      <c r="O118" s="193">
        <f t="shared" si="3"/>
        <v>0</v>
      </c>
      <c r="P118" s="193">
        <f t="shared" si="3"/>
        <v>56816</v>
      </c>
    </row>
    <row r="119" spans="1:16" ht="11.25" customHeight="1" x14ac:dyDescent="0.25">
      <c r="A119" s="473">
        <v>1996</v>
      </c>
      <c r="B119" s="193">
        <f t="shared" ref="B119:H128" si="4">IF(AND(B72="-",B25="-"),"-",SUM(B72,B25))</f>
        <v>1473</v>
      </c>
      <c r="C119" s="193">
        <f t="shared" si="4"/>
        <v>1974</v>
      </c>
      <c r="D119" s="193">
        <f t="shared" si="4"/>
        <v>457</v>
      </c>
      <c r="E119" s="193">
        <f t="shared" si="4"/>
        <v>4845</v>
      </c>
      <c r="F119" s="193">
        <f t="shared" si="4"/>
        <v>3561</v>
      </c>
      <c r="G119" s="193" t="str">
        <f t="shared" si="4"/>
        <v>-</v>
      </c>
      <c r="H119" s="193">
        <f t="shared" si="4"/>
        <v>12310</v>
      </c>
      <c r="J119" s="193">
        <f t="shared" ref="J119:P125" si="5">IF(AND(J72="-",J25="-"),"-",SUM(J72,J25))</f>
        <v>0</v>
      </c>
      <c r="K119" s="193">
        <f t="shared" si="5"/>
        <v>0</v>
      </c>
      <c r="L119" s="193">
        <f t="shared" si="5"/>
        <v>7137</v>
      </c>
      <c r="M119" s="193">
        <f t="shared" si="5"/>
        <v>15044</v>
      </c>
      <c r="N119" s="193">
        <f t="shared" si="5"/>
        <v>13885</v>
      </c>
      <c r="O119" s="193" t="str">
        <f t="shared" si="5"/>
        <v>-</v>
      </c>
      <c r="P119" s="193">
        <f t="shared" si="5"/>
        <v>36066</v>
      </c>
    </row>
    <row r="120" spans="1:16" ht="11.25" customHeight="1" x14ac:dyDescent="0.25">
      <c r="A120" s="473">
        <v>1997</v>
      </c>
      <c r="B120" s="193">
        <f t="shared" si="4"/>
        <v>5333</v>
      </c>
      <c r="C120" s="193">
        <f t="shared" si="4"/>
        <v>9390</v>
      </c>
      <c r="D120" s="193">
        <f t="shared" si="4"/>
        <v>0</v>
      </c>
      <c r="E120" s="193">
        <f t="shared" si="4"/>
        <v>4720</v>
      </c>
      <c r="F120" s="193">
        <f t="shared" si="4"/>
        <v>1136</v>
      </c>
      <c r="G120" s="193" t="str">
        <f t="shared" si="4"/>
        <v>-</v>
      </c>
      <c r="H120" s="193">
        <f t="shared" si="4"/>
        <v>20579</v>
      </c>
      <c r="J120" s="193">
        <f t="shared" si="5"/>
        <v>0</v>
      </c>
      <c r="K120" s="193">
        <f t="shared" si="5"/>
        <v>0</v>
      </c>
      <c r="L120" s="193">
        <f t="shared" si="5"/>
        <v>0</v>
      </c>
      <c r="M120" s="193">
        <f t="shared" si="5"/>
        <v>11481</v>
      </c>
      <c r="N120" s="193">
        <f t="shared" si="5"/>
        <v>4343</v>
      </c>
      <c r="O120" s="193" t="str">
        <f t="shared" si="5"/>
        <v>-</v>
      </c>
      <c r="P120" s="193">
        <f t="shared" si="5"/>
        <v>15824</v>
      </c>
    </row>
    <row r="121" spans="1:16" ht="11.25" customHeight="1" x14ac:dyDescent="0.25">
      <c r="A121" s="473">
        <v>1998</v>
      </c>
      <c r="B121" s="193">
        <f t="shared" si="4"/>
        <v>10936</v>
      </c>
      <c r="C121" s="193">
        <f t="shared" si="4"/>
        <v>4624</v>
      </c>
      <c r="D121" s="193">
        <f t="shared" si="4"/>
        <v>47</v>
      </c>
      <c r="E121" s="193">
        <f t="shared" si="4"/>
        <v>3860</v>
      </c>
      <c r="F121" s="193">
        <f t="shared" si="4"/>
        <v>1148</v>
      </c>
      <c r="G121" s="193" t="str">
        <f t="shared" si="4"/>
        <v>-</v>
      </c>
      <c r="H121" s="193">
        <f t="shared" si="4"/>
        <v>20615</v>
      </c>
      <c r="J121" s="193">
        <f t="shared" si="5"/>
        <v>0</v>
      </c>
      <c r="K121" s="193">
        <f t="shared" si="5"/>
        <v>0</v>
      </c>
      <c r="L121" s="193">
        <f t="shared" si="5"/>
        <v>74</v>
      </c>
      <c r="M121" s="193">
        <f t="shared" si="5"/>
        <v>3855</v>
      </c>
      <c r="N121" s="193">
        <f t="shared" si="5"/>
        <v>4225</v>
      </c>
      <c r="O121" s="193" t="str">
        <f t="shared" si="5"/>
        <v>-</v>
      </c>
      <c r="P121" s="193">
        <f t="shared" si="5"/>
        <v>8154</v>
      </c>
    </row>
    <row r="122" spans="1:16" ht="11.25" customHeight="1" x14ac:dyDescent="0.25">
      <c r="A122" s="473">
        <v>1999</v>
      </c>
      <c r="B122" s="193">
        <f t="shared" si="4"/>
        <v>6727</v>
      </c>
      <c r="C122" s="193">
        <f t="shared" si="4"/>
        <v>22741</v>
      </c>
      <c r="D122" s="193">
        <f t="shared" si="4"/>
        <v>5560</v>
      </c>
      <c r="E122" s="193">
        <f t="shared" si="4"/>
        <v>6261</v>
      </c>
      <c r="F122" s="193">
        <f t="shared" si="4"/>
        <v>3619</v>
      </c>
      <c r="G122" s="193" t="str">
        <f t="shared" si="4"/>
        <v>-</v>
      </c>
      <c r="H122" s="193">
        <f t="shared" si="4"/>
        <v>44908</v>
      </c>
      <c r="J122" s="193">
        <f t="shared" si="5"/>
        <v>0</v>
      </c>
      <c r="K122" s="193">
        <f t="shared" si="5"/>
        <v>0</v>
      </c>
      <c r="L122" s="193">
        <f t="shared" si="5"/>
        <v>673</v>
      </c>
      <c r="M122" s="193">
        <f t="shared" si="5"/>
        <v>15964</v>
      </c>
      <c r="N122" s="193">
        <f t="shared" si="5"/>
        <v>20550</v>
      </c>
      <c r="O122" s="193" t="str">
        <f t="shared" si="5"/>
        <v>-</v>
      </c>
      <c r="P122" s="193">
        <f t="shared" si="5"/>
        <v>37187</v>
      </c>
    </row>
    <row r="123" spans="1:16" ht="11.25" customHeight="1" x14ac:dyDescent="0.25">
      <c r="A123" s="473">
        <v>2000</v>
      </c>
      <c r="B123" s="193">
        <f t="shared" si="4"/>
        <v>9419</v>
      </c>
      <c r="C123" s="193">
        <f t="shared" si="4"/>
        <v>5479</v>
      </c>
      <c r="D123" s="193">
        <f t="shared" si="4"/>
        <v>196</v>
      </c>
      <c r="E123" s="193">
        <f t="shared" si="4"/>
        <v>2257</v>
      </c>
      <c r="F123" s="193">
        <f t="shared" si="4"/>
        <v>3</v>
      </c>
      <c r="G123" s="193" t="str">
        <f t="shared" si="4"/>
        <v>-</v>
      </c>
      <c r="H123" s="193">
        <f t="shared" si="4"/>
        <v>17354</v>
      </c>
      <c r="J123" s="193">
        <f t="shared" si="5"/>
        <v>0</v>
      </c>
      <c r="K123" s="193">
        <f t="shared" si="5"/>
        <v>1</v>
      </c>
      <c r="L123" s="193">
        <f t="shared" si="5"/>
        <v>0</v>
      </c>
      <c r="M123" s="193">
        <f t="shared" si="5"/>
        <v>24593</v>
      </c>
      <c r="N123" s="193">
        <f t="shared" si="5"/>
        <v>49</v>
      </c>
      <c r="O123" s="193" t="str">
        <f t="shared" si="5"/>
        <v>-</v>
      </c>
      <c r="P123" s="193">
        <f t="shared" si="5"/>
        <v>24643</v>
      </c>
    </row>
    <row r="124" spans="1:16" ht="11.25" customHeight="1" x14ac:dyDescent="0.25">
      <c r="A124" s="473">
        <v>2001</v>
      </c>
      <c r="B124" s="193">
        <f t="shared" si="4"/>
        <v>9370</v>
      </c>
      <c r="C124" s="193">
        <f t="shared" si="4"/>
        <v>20893</v>
      </c>
      <c r="D124" s="193">
        <f t="shared" si="4"/>
        <v>11501</v>
      </c>
      <c r="E124" s="193">
        <f t="shared" si="4"/>
        <v>3834</v>
      </c>
      <c r="F124" s="193">
        <f t="shared" si="4"/>
        <v>3530</v>
      </c>
      <c r="G124" s="193" t="str">
        <f t="shared" si="4"/>
        <v>-</v>
      </c>
      <c r="H124" s="193">
        <f t="shared" si="4"/>
        <v>49128</v>
      </c>
      <c r="J124" s="193">
        <f t="shared" si="5"/>
        <v>0</v>
      </c>
      <c r="K124" s="193">
        <f t="shared" si="5"/>
        <v>12</v>
      </c>
      <c r="L124" s="193">
        <f t="shared" si="5"/>
        <v>8510</v>
      </c>
      <c r="M124" s="193">
        <f t="shared" si="5"/>
        <v>30054</v>
      </c>
      <c r="N124" s="193">
        <f t="shared" si="5"/>
        <v>24704</v>
      </c>
      <c r="O124" s="193" t="str">
        <f t="shared" si="5"/>
        <v>-</v>
      </c>
      <c r="P124" s="193">
        <f t="shared" si="5"/>
        <v>65249</v>
      </c>
    </row>
    <row r="125" spans="1:16" ht="11.25" customHeight="1" x14ac:dyDescent="0.25">
      <c r="A125" s="473">
        <v>2002</v>
      </c>
      <c r="B125" s="193">
        <f t="shared" si="4"/>
        <v>23374</v>
      </c>
      <c r="C125" s="193">
        <f t="shared" si="4"/>
        <v>22207</v>
      </c>
      <c r="D125" s="193">
        <f t="shared" si="4"/>
        <v>27350</v>
      </c>
      <c r="E125" s="193">
        <f t="shared" si="4"/>
        <v>15855</v>
      </c>
      <c r="F125" s="193">
        <f t="shared" si="4"/>
        <v>3123</v>
      </c>
      <c r="G125" s="193">
        <f t="shared" si="4"/>
        <v>30</v>
      </c>
      <c r="H125" s="193">
        <f t="shared" si="4"/>
        <v>91909</v>
      </c>
      <c r="J125" s="193">
        <f t="shared" si="5"/>
        <v>1</v>
      </c>
      <c r="K125" s="193">
        <f t="shared" si="5"/>
        <v>1</v>
      </c>
      <c r="L125" s="193">
        <f t="shared" si="5"/>
        <v>3449</v>
      </c>
      <c r="M125" s="193">
        <f t="shared" si="5"/>
        <v>4982</v>
      </c>
      <c r="N125" s="193">
        <f t="shared" si="5"/>
        <v>9042</v>
      </c>
      <c r="O125" s="193">
        <f t="shared" si="5"/>
        <v>80</v>
      </c>
      <c r="P125" s="193">
        <f t="shared" si="5"/>
        <v>17475</v>
      </c>
    </row>
    <row r="126" spans="1:16" ht="11.25" customHeight="1" x14ac:dyDescent="0.25">
      <c r="A126" s="473">
        <v>2003</v>
      </c>
      <c r="B126" s="193">
        <f t="shared" si="4"/>
        <v>20776</v>
      </c>
      <c r="C126" s="193">
        <f t="shared" si="4"/>
        <v>21847</v>
      </c>
      <c r="D126" s="193">
        <f t="shared" si="4"/>
        <v>27307</v>
      </c>
      <c r="E126" s="193">
        <f t="shared" si="4"/>
        <v>17288</v>
      </c>
      <c r="F126" s="193">
        <f t="shared" si="4"/>
        <v>2236</v>
      </c>
      <c r="G126" s="193">
        <f t="shared" si="4"/>
        <v>35</v>
      </c>
      <c r="H126" s="193">
        <f t="shared" si="4"/>
        <v>89454</v>
      </c>
      <c r="J126" s="193">
        <f t="shared" ref="J126:P126" si="6">IF(AND(J79="-",J32="-"),"-",SUM(J79,J32))</f>
        <v>3</v>
      </c>
      <c r="K126" s="193">
        <f t="shared" si="6"/>
        <v>0</v>
      </c>
      <c r="L126" s="193">
        <f t="shared" si="6"/>
        <v>7728</v>
      </c>
      <c r="M126" s="193">
        <f t="shared" si="6"/>
        <v>8031</v>
      </c>
      <c r="N126" s="193">
        <f t="shared" si="6"/>
        <v>2847</v>
      </c>
      <c r="O126" s="193">
        <f t="shared" si="6"/>
        <v>85</v>
      </c>
      <c r="P126" s="193">
        <f t="shared" si="6"/>
        <v>18609</v>
      </c>
    </row>
    <row r="127" spans="1:16" ht="11.25" customHeight="1" x14ac:dyDescent="0.25">
      <c r="A127" s="473">
        <v>2004</v>
      </c>
      <c r="B127" s="193">
        <f t="shared" si="4"/>
        <v>25201</v>
      </c>
      <c r="C127" s="193">
        <f t="shared" si="4"/>
        <v>18134</v>
      </c>
      <c r="D127" s="193">
        <f t="shared" si="4"/>
        <v>18656</v>
      </c>
      <c r="E127" s="193">
        <f t="shared" si="4"/>
        <v>15845</v>
      </c>
      <c r="F127" s="193">
        <f t="shared" si="4"/>
        <v>6913</v>
      </c>
      <c r="G127" s="193">
        <f t="shared" si="4"/>
        <v>25</v>
      </c>
      <c r="H127" s="193">
        <f t="shared" si="4"/>
        <v>84749</v>
      </c>
      <c r="J127" s="193">
        <f t="shared" ref="J127:P127" si="7">IF(AND(J80="-",J33="-"),"-",SUM(J80,J33))</f>
        <v>3</v>
      </c>
      <c r="K127" s="193">
        <f t="shared" si="7"/>
        <v>3</v>
      </c>
      <c r="L127" s="193">
        <f t="shared" si="7"/>
        <v>18175</v>
      </c>
      <c r="M127" s="193">
        <f t="shared" si="7"/>
        <v>41336</v>
      </c>
      <c r="N127" s="193">
        <f t="shared" si="7"/>
        <v>14743</v>
      </c>
      <c r="O127" s="193">
        <f t="shared" si="7"/>
        <v>100</v>
      </c>
      <c r="P127" s="193">
        <f t="shared" si="7"/>
        <v>74260</v>
      </c>
    </row>
    <row r="128" spans="1:16" ht="11.25" customHeight="1" x14ac:dyDescent="0.25">
      <c r="A128" s="477">
        <v>2005</v>
      </c>
      <c r="B128" s="197">
        <f t="shared" si="4"/>
        <v>25152</v>
      </c>
      <c r="C128" s="197">
        <f t="shared" si="4"/>
        <v>20578</v>
      </c>
      <c r="D128" s="197">
        <f t="shared" si="4"/>
        <v>10980</v>
      </c>
      <c r="E128" s="197">
        <f t="shared" si="4"/>
        <v>15173</v>
      </c>
      <c r="F128" s="197">
        <f t="shared" si="4"/>
        <v>3672</v>
      </c>
      <c r="G128" s="197">
        <f t="shared" si="4"/>
        <v>0</v>
      </c>
      <c r="H128" s="197">
        <f t="shared" si="4"/>
        <v>75555</v>
      </c>
      <c r="I128" s="197"/>
      <c r="J128" s="197">
        <f t="shared" ref="J128:P128" si="8">IF(AND(J81="-",J34="-"),"-",SUM(J81,J34))</f>
        <v>3</v>
      </c>
      <c r="K128" s="197">
        <f t="shared" si="8"/>
        <v>1</v>
      </c>
      <c r="L128" s="197">
        <f t="shared" si="8"/>
        <v>3922</v>
      </c>
      <c r="M128" s="197">
        <f t="shared" si="8"/>
        <v>16587</v>
      </c>
      <c r="N128" s="197">
        <f t="shared" si="8"/>
        <v>4288</v>
      </c>
      <c r="O128" s="197">
        <f t="shared" si="8"/>
        <v>0</v>
      </c>
      <c r="P128" s="197">
        <f t="shared" si="8"/>
        <v>24801</v>
      </c>
    </row>
    <row r="129" spans="1:16" ht="11.25" customHeight="1" x14ac:dyDescent="0.25">
      <c r="A129" s="473">
        <v>2006</v>
      </c>
      <c r="B129" s="193">
        <f t="shared" ref="B129:H129" si="9">IF(AND(B82="-",B35="-"),"-",SUM(B82,B35))</f>
        <v>7556</v>
      </c>
      <c r="C129" s="193">
        <f t="shared" si="9"/>
        <v>11889</v>
      </c>
      <c r="D129" s="193">
        <f t="shared" si="9"/>
        <v>8809</v>
      </c>
      <c r="E129" s="193">
        <f t="shared" si="9"/>
        <v>10148</v>
      </c>
      <c r="F129" s="193">
        <f t="shared" si="9"/>
        <v>6788</v>
      </c>
      <c r="G129" s="193">
        <f t="shared" si="9"/>
        <v>15</v>
      </c>
      <c r="H129" s="193">
        <f t="shared" si="9"/>
        <v>45190</v>
      </c>
      <c r="J129" s="193">
        <f t="shared" ref="J129:P129" si="10">IF(AND(J82="-",J35="-"),"-",SUM(J82,J35))</f>
        <v>16</v>
      </c>
      <c r="K129" s="193">
        <f t="shared" si="10"/>
        <v>102</v>
      </c>
      <c r="L129" s="193">
        <f t="shared" si="10"/>
        <v>10597</v>
      </c>
      <c r="M129" s="193">
        <f t="shared" si="10"/>
        <v>11450</v>
      </c>
      <c r="N129" s="193">
        <f t="shared" si="10"/>
        <v>10964</v>
      </c>
      <c r="O129" s="193">
        <f t="shared" si="10"/>
        <v>5</v>
      </c>
      <c r="P129" s="193">
        <f t="shared" si="10"/>
        <v>33129</v>
      </c>
    </row>
    <row r="130" spans="1:16" ht="11.25" customHeight="1" x14ac:dyDescent="0.25">
      <c r="A130" s="477">
        <v>2007</v>
      </c>
      <c r="B130" s="197">
        <f t="shared" ref="B130:H130" si="11">IF(AND(B83="-",B36="-"),"-",SUM(B83,B36))</f>
        <v>6009</v>
      </c>
      <c r="C130" s="197">
        <f t="shared" si="11"/>
        <v>18497</v>
      </c>
      <c r="D130" s="197">
        <f t="shared" si="11"/>
        <v>6808</v>
      </c>
      <c r="E130" s="197">
        <f t="shared" si="11"/>
        <v>5300</v>
      </c>
      <c r="F130" s="197">
        <f t="shared" si="11"/>
        <v>97</v>
      </c>
      <c r="G130" s="197">
        <f t="shared" si="11"/>
        <v>0</v>
      </c>
      <c r="H130" s="197">
        <f t="shared" si="11"/>
        <v>36711</v>
      </c>
      <c r="I130" s="197"/>
      <c r="J130" s="197">
        <f t="shared" ref="J130:P130" si="12">IF(AND(J83="-",J36="-"),"-",SUM(J83,J36))</f>
        <v>0</v>
      </c>
      <c r="K130" s="197">
        <f t="shared" si="12"/>
        <v>12</v>
      </c>
      <c r="L130" s="197">
        <f t="shared" si="12"/>
        <v>24687</v>
      </c>
      <c r="M130" s="197">
        <f t="shared" si="12"/>
        <v>17466</v>
      </c>
      <c r="N130" s="197">
        <f t="shared" si="12"/>
        <v>894</v>
      </c>
      <c r="O130" s="197">
        <f t="shared" si="12"/>
        <v>0</v>
      </c>
      <c r="P130" s="197">
        <f t="shared" si="12"/>
        <v>43059</v>
      </c>
    </row>
    <row r="131" spans="1:16" ht="11.25" customHeight="1" x14ac:dyDescent="0.25">
      <c r="A131" s="477">
        <v>2008</v>
      </c>
      <c r="B131" s="197">
        <f t="shared" ref="B131:H131" si="13">IF(AND(B84="-",B37="-"),"-",SUM(B84,B37))</f>
        <v>1809</v>
      </c>
      <c r="C131" s="197">
        <f t="shared" si="13"/>
        <v>12214</v>
      </c>
      <c r="D131" s="197">
        <f t="shared" si="13"/>
        <v>3272</v>
      </c>
      <c r="E131" s="197">
        <f t="shared" si="13"/>
        <v>7168</v>
      </c>
      <c r="F131" s="197">
        <f t="shared" si="13"/>
        <v>3838</v>
      </c>
      <c r="G131" s="197">
        <f t="shared" si="13"/>
        <v>1</v>
      </c>
      <c r="H131" s="197">
        <f t="shared" si="13"/>
        <v>28301</v>
      </c>
      <c r="I131" s="197"/>
      <c r="J131" s="197">
        <f t="shared" ref="J131:P131" si="14">IF(AND(J84="-",J37="-"),"-",SUM(J84,J37))</f>
        <v>0</v>
      </c>
      <c r="K131" s="197">
        <f t="shared" si="14"/>
        <v>18</v>
      </c>
      <c r="L131" s="197">
        <f t="shared" si="14"/>
        <v>1216</v>
      </c>
      <c r="M131" s="197">
        <f t="shared" si="14"/>
        <v>4478</v>
      </c>
      <c r="N131" s="197">
        <f t="shared" si="14"/>
        <v>10181</v>
      </c>
      <c r="O131" s="197">
        <f t="shared" si="14"/>
        <v>0</v>
      </c>
      <c r="P131" s="197">
        <f t="shared" si="14"/>
        <v>15893</v>
      </c>
    </row>
    <row r="132" spans="1:16" ht="11.25" customHeight="1" x14ac:dyDescent="0.25">
      <c r="A132" s="477">
        <v>2009</v>
      </c>
      <c r="B132" s="197">
        <f t="shared" ref="B132:H132" si="15">IF(AND(B85="-",B38="-"),"-",SUM(B85,B38))</f>
        <v>7036</v>
      </c>
      <c r="C132" s="197">
        <f t="shared" si="15"/>
        <v>9923</v>
      </c>
      <c r="D132" s="197">
        <f t="shared" si="15"/>
        <v>3944</v>
      </c>
      <c r="E132" s="197">
        <f t="shared" si="15"/>
        <v>3246</v>
      </c>
      <c r="F132" s="197">
        <f t="shared" si="15"/>
        <v>132</v>
      </c>
      <c r="G132" s="197">
        <f t="shared" si="15"/>
        <v>25</v>
      </c>
      <c r="H132" s="197">
        <f t="shared" si="15"/>
        <v>24281</v>
      </c>
      <c r="I132" s="197"/>
      <c r="J132" s="197">
        <f t="shared" ref="J132:P132" si="16">IF(AND(J85="-",J38="-"),"-",SUM(J85,J38))</f>
        <v>0</v>
      </c>
      <c r="K132" s="197">
        <f t="shared" si="16"/>
        <v>0</v>
      </c>
      <c r="L132" s="197">
        <f t="shared" si="16"/>
        <v>30279</v>
      </c>
      <c r="M132" s="197">
        <f t="shared" si="16"/>
        <v>44422</v>
      </c>
      <c r="N132" s="197">
        <f t="shared" si="16"/>
        <v>3763</v>
      </c>
      <c r="O132" s="197">
        <f t="shared" si="16"/>
        <v>15</v>
      </c>
      <c r="P132" s="197">
        <f t="shared" si="16"/>
        <v>78464</v>
      </c>
    </row>
    <row r="133" spans="1:16" ht="11.25" customHeight="1" x14ac:dyDescent="0.25">
      <c r="A133" s="477">
        <v>2010</v>
      </c>
      <c r="B133" s="197">
        <f t="shared" ref="B133:H133" si="17">IF(AND(B86="-",B39="-"),"-",SUM(B86,B39))</f>
        <v>10145</v>
      </c>
      <c r="C133" s="197">
        <f t="shared" si="17"/>
        <v>34482</v>
      </c>
      <c r="D133" s="197">
        <f t="shared" si="17"/>
        <v>13056</v>
      </c>
      <c r="E133" s="197">
        <f t="shared" si="17"/>
        <v>16960</v>
      </c>
      <c r="F133" s="197">
        <f t="shared" si="17"/>
        <v>1946</v>
      </c>
      <c r="G133" s="197">
        <f t="shared" si="17"/>
        <v>10</v>
      </c>
      <c r="H133" s="197">
        <f t="shared" si="17"/>
        <v>76589</v>
      </c>
      <c r="I133" s="197"/>
      <c r="J133" s="197">
        <f t="shared" ref="J133:P133" si="18">IF(AND(J86="-",J39="-"),"-",SUM(J86,J39))</f>
        <v>2</v>
      </c>
      <c r="K133" s="197">
        <f t="shared" si="18"/>
        <v>63</v>
      </c>
      <c r="L133" s="197">
        <f t="shared" si="18"/>
        <v>3100</v>
      </c>
      <c r="M133" s="197">
        <f t="shared" si="18"/>
        <v>5802</v>
      </c>
      <c r="N133" s="197">
        <f t="shared" si="18"/>
        <v>4447</v>
      </c>
      <c r="O133" s="197">
        <f t="shared" si="18"/>
        <v>15</v>
      </c>
      <c r="P133" s="197">
        <f t="shared" si="18"/>
        <v>13414</v>
      </c>
    </row>
    <row r="134" spans="1:16" ht="11.25" customHeight="1" x14ac:dyDescent="0.25">
      <c r="A134" s="477">
        <v>2011</v>
      </c>
      <c r="B134" s="197">
        <f t="shared" ref="B134:H134" si="19">IF(AND(B87="-",B40="-"),"-",SUM(B87,B40))</f>
        <v>8802</v>
      </c>
      <c r="C134" s="197">
        <f t="shared" si="19"/>
        <v>18132</v>
      </c>
      <c r="D134" s="197">
        <f t="shared" si="19"/>
        <v>20776</v>
      </c>
      <c r="E134" s="197">
        <f t="shared" si="19"/>
        <v>9228</v>
      </c>
      <c r="F134" s="197">
        <f t="shared" si="19"/>
        <v>756</v>
      </c>
      <c r="G134" s="197">
        <f t="shared" si="19"/>
        <v>0</v>
      </c>
      <c r="H134" s="197">
        <f t="shared" si="19"/>
        <v>57694</v>
      </c>
      <c r="I134" s="197"/>
      <c r="J134" s="197">
        <f t="shared" ref="J134:P134" si="20">IF(AND(J87="-",J40="-"),"-",SUM(J87,J40))</f>
        <v>0</v>
      </c>
      <c r="K134" s="197">
        <f t="shared" si="20"/>
        <v>0</v>
      </c>
      <c r="L134" s="197">
        <f t="shared" si="20"/>
        <v>3692</v>
      </c>
      <c r="M134" s="197">
        <f t="shared" si="20"/>
        <v>5683</v>
      </c>
      <c r="N134" s="197">
        <f t="shared" si="20"/>
        <v>7204</v>
      </c>
      <c r="O134" s="197">
        <f t="shared" si="20"/>
        <v>0</v>
      </c>
      <c r="P134" s="197">
        <f t="shared" si="20"/>
        <v>16579</v>
      </c>
    </row>
    <row r="135" spans="1:16" ht="11.25" customHeight="1" x14ac:dyDescent="0.25">
      <c r="A135" s="477">
        <v>2012</v>
      </c>
      <c r="B135" s="197">
        <f t="shared" ref="B135:H135" si="21">IF(AND(B88="-",B41="-"),"-",SUM(B88,B41))</f>
        <v>14831</v>
      </c>
      <c r="C135" s="197">
        <f t="shared" si="21"/>
        <v>31067</v>
      </c>
      <c r="D135" s="197">
        <f t="shared" si="21"/>
        <v>15456</v>
      </c>
      <c r="E135" s="197">
        <f t="shared" si="21"/>
        <v>21048</v>
      </c>
      <c r="F135" s="197">
        <f t="shared" si="21"/>
        <v>6992</v>
      </c>
      <c r="G135" s="197">
        <f t="shared" si="21"/>
        <v>10</v>
      </c>
      <c r="H135" s="197">
        <f t="shared" si="21"/>
        <v>89394</v>
      </c>
      <c r="I135" s="197"/>
      <c r="J135" s="197">
        <f t="shared" ref="J135:P135" si="22">IF(AND(J88="-",J41="-"),"-",SUM(J88,J41))</f>
        <v>1</v>
      </c>
      <c r="K135" s="197">
        <f t="shared" si="22"/>
        <v>101</v>
      </c>
      <c r="L135" s="197">
        <f t="shared" si="22"/>
        <v>3515</v>
      </c>
      <c r="M135" s="197">
        <f t="shared" si="22"/>
        <v>19906</v>
      </c>
      <c r="N135" s="197">
        <f t="shared" si="22"/>
        <v>17186</v>
      </c>
      <c r="O135" s="197">
        <f t="shared" si="22"/>
        <v>0</v>
      </c>
      <c r="P135" s="197">
        <f t="shared" si="22"/>
        <v>40709</v>
      </c>
    </row>
    <row r="136" spans="1:16" ht="11.25" customHeight="1" x14ac:dyDescent="0.25">
      <c r="A136" s="477">
        <v>2013</v>
      </c>
      <c r="B136" s="197">
        <f t="shared" ref="B136:H136" si="23">IF(AND(B89="-",B42="-"),"-",SUM(B89,B42))</f>
        <v>22416</v>
      </c>
      <c r="C136" s="197">
        <f t="shared" si="23"/>
        <v>30951</v>
      </c>
      <c r="D136" s="197">
        <f t="shared" si="23"/>
        <v>17126</v>
      </c>
      <c r="E136" s="197">
        <f t="shared" si="23"/>
        <v>16605</v>
      </c>
      <c r="F136" s="197">
        <f t="shared" si="23"/>
        <v>3592</v>
      </c>
      <c r="G136" s="197">
        <f t="shared" si="23"/>
        <v>0</v>
      </c>
      <c r="H136" s="197">
        <f t="shared" si="23"/>
        <v>90690</v>
      </c>
      <c r="I136" s="197"/>
      <c r="J136" s="197">
        <f t="shared" ref="J136:P136" si="24">IF(AND(J89="-",J42="-"),"-",SUM(J89,J42))</f>
        <v>0</v>
      </c>
      <c r="K136" s="197">
        <f t="shared" si="24"/>
        <v>7</v>
      </c>
      <c r="L136" s="197">
        <f t="shared" si="24"/>
        <v>9614</v>
      </c>
      <c r="M136" s="197">
        <f t="shared" si="24"/>
        <v>39927</v>
      </c>
      <c r="N136" s="197">
        <f t="shared" si="24"/>
        <v>4634</v>
      </c>
      <c r="O136" s="197">
        <f t="shared" si="24"/>
        <v>0</v>
      </c>
      <c r="P136" s="197">
        <f t="shared" si="24"/>
        <v>54182</v>
      </c>
    </row>
    <row r="137" spans="1:16" ht="11.25" customHeight="1" x14ac:dyDescent="0.25">
      <c r="A137" s="477">
        <v>2014</v>
      </c>
      <c r="B137" s="197">
        <f t="shared" ref="B137:H137" si="25">IF(AND(B90="-",B43="-"),"-",SUM(B90,B43))</f>
        <v>25396</v>
      </c>
      <c r="C137" s="197">
        <f t="shared" si="25"/>
        <v>19559</v>
      </c>
      <c r="D137" s="197">
        <f t="shared" si="25"/>
        <v>28741</v>
      </c>
      <c r="E137" s="197">
        <f t="shared" si="25"/>
        <v>14457</v>
      </c>
      <c r="F137" s="197">
        <f t="shared" si="25"/>
        <v>3335</v>
      </c>
      <c r="G137" s="197">
        <f t="shared" si="25"/>
        <v>0</v>
      </c>
      <c r="H137" s="197">
        <f t="shared" si="25"/>
        <v>91488</v>
      </c>
      <c r="I137" s="197"/>
      <c r="J137" s="197">
        <f t="shared" ref="J137:P137" si="26">IF(AND(J90="-",J43="-"),"-",SUM(J90,J43))</f>
        <v>0</v>
      </c>
      <c r="K137" s="197">
        <f t="shared" si="26"/>
        <v>30</v>
      </c>
      <c r="L137" s="197">
        <f t="shared" si="26"/>
        <v>13312</v>
      </c>
      <c r="M137" s="197">
        <f t="shared" si="26"/>
        <v>45281</v>
      </c>
      <c r="N137" s="197">
        <f t="shared" si="26"/>
        <v>10580</v>
      </c>
      <c r="O137" s="197">
        <f t="shared" si="26"/>
        <v>0</v>
      </c>
      <c r="P137" s="197">
        <f t="shared" si="26"/>
        <v>69203</v>
      </c>
    </row>
    <row r="138" spans="1:16" ht="11.25" customHeight="1" x14ac:dyDescent="0.25">
      <c r="A138" s="477">
        <v>2015</v>
      </c>
      <c r="B138" s="197">
        <f t="shared" ref="B138:H138" si="27">IF(AND(B91="-",B44="-"),"-",SUM(B91,B44))</f>
        <v>20237</v>
      </c>
      <c r="C138" s="197">
        <f t="shared" si="27"/>
        <v>38105</v>
      </c>
      <c r="D138" s="197">
        <f t="shared" si="27"/>
        <v>35720</v>
      </c>
      <c r="E138" s="197">
        <f t="shared" si="27"/>
        <v>13862</v>
      </c>
      <c r="F138" s="197">
        <f t="shared" si="27"/>
        <v>2303</v>
      </c>
      <c r="G138" s="197">
        <f t="shared" si="27"/>
        <v>0</v>
      </c>
      <c r="H138" s="197">
        <f t="shared" si="27"/>
        <v>110227</v>
      </c>
      <c r="I138" s="197"/>
      <c r="J138" s="197">
        <f t="shared" ref="J138:P138" si="28">IF(AND(J91="-",J44="-"),"-",SUM(J91,J44))</f>
        <v>0</v>
      </c>
      <c r="K138" s="197">
        <f t="shared" si="28"/>
        <v>3</v>
      </c>
      <c r="L138" s="197">
        <f t="shared" si="28"/>
        <v>2681</v>
      </c>
      <c r="M138" s="197">
        <f t="shared" si="28"/>
        <v>2305</v>
      </c>
      <c r="N138" s="197">
        <f t="shared" si="28"/>
        <v>1203</v>
      </c>
      <c r="O138" s="197">
        <f t="shared" si="28"/>
        <v>0</v>
      </c>
      <c r="P138" s="197">
        <f t="shared" si="28"/>
        <v>6192</v>
      </c>
    </row>
    <row r="139" spans="1:16" ht="11.25" customHeight="1" x14ac:dyDescent="0.25">
      <c r="A139" s="477">
        <v>2016</v>
      </c>
      <c r="B139" s="197">
        <f t="shared" ref="B139:H139" si="29">IF(AND(B92="-",B45="-"),"-",SUM(B92,B45))</f>
        <v>9339</v>
      </c>
      <c r="C139" s="197">
        <f t="shared" si="29"/>
        <v>17716</v>
      </c>
      <c r="D139" s="197">
        <f t="shared" si="29"/>
        <v>8454</v>
      </c>
      <c r="E139" s="197">
        <f t="shared" si="29"/>
        <v>3272</v>
      </c>
      <c r="F139" s="197">
        <f t="shared" si="29"/>
        <v>5</v>
      </c>
      <c r="G139" s="197">
        <f t="shared" si="29"/>
        <v>0</v>
      </c>
      <c r="H139" s="197">
        <f t="shared" si="29"/>
        <v>38786</v>
      </c>
      <c r="I139" s="197"/>
      <c r="J139" s="197">
        <f t="shared" ref="J139:P139" si="30">IF(AND(J92="-",J45="-"),"-",SUM(J92,J45))</f>
        <v>0</v>
      </c>
      <c r="K139" s="197">
        <f t="shared" si="30"/>
        <v>0</v>
      </c>
      <c r="L139" s="197">
        <f t="shared" si="30"/>
        <v>29</v>
      </c>
      <c r="M139" s="197">
        <f t="shared" si="30"/>
        <v>15</v>
      </c>
      <c r="N139" s="197">
        <f t="shared" si="30"/>
        <v>0</v>
      </c>
      <c r="O139" s="197">
        <f t="shared" si="30"/>
        <v>1</v>
      </c>
      <c r="P139" s="197">
        <f t="shared" si="30"/>
        <v>44</v>
      </c>
    </row>
    <row r="140" spans="1:16" ht="11.25" customHeight="1" x14ac:dyDescent="0.25">
      <c r="A140" s="477">
        <v>2017</v>
      </c>
      <c r="B140" s="197">
        <f t="shared" ref="B140:H140" si="31">IF(AND(B93="-",B46="-"),"-",SUM(B93,B46))</f>
        <v>14609</v>
      </c>
      <c r="C140" s="197">
        <f t="shared" si="31"/>
        <v>9285</v>
      </c>
      <c r="D140" s="197">
        <f t="shared" si="31"/>
        <v>21478</v>
      </c>
      <c r="E140" s="197">
        <f t="shared" si="31"/>
        <v>9890</v>
      </c>
      <c r="F140" s="197">
        <f t="shared" si="31"/>
        <v>1511</v>
      </c>
      <c r="G140" s="197">
        <f t="shared" si="31"/>
        <v>0</v>
      </c>
      <c r="H140" s="197">
        <f t="shared" si="31"/>
        <v>56773</v>
      </c>
      <c r="I140" s="197"/>
      <c r="J140" s="197">
        <f t="shared" ref="J140:P140" si="32">IF(AND(J93="-",J46="-"),"-",SUM(J93,J46))</f>
        <v>0</v>
      </c>
      <c r="K140" s="197">
        <f t="shared" si="32"/>
        <v>0</v>
      </c>
      <c r="L140" s="197">
        <f t="shared" si="32"/>
        <v>1220</v>
      </c>
      <c r="M140" s="197">
        <f t="shared" si="32"/>
        <v>7869</v>
      </c>
      <c r="N140" s="197">
        <f t="shared" si="32"/>
        <v>5498</v>
      </c>
      <c r="O140" s="197">
        <f t="shared" si="32"/>
        <v>0</v>
      </c>
      <c r="P140" s="197">
        <f t="shared" si="32"/>
        <v>14587</v>
      </c>
    </row>
    <row r="141" spans="1:16" s="358" customFormat="1" ht="11.25" customHeight="1" x14ac:dyDescent="0.25">
      <c r="A141" s="157">
        <v>2018</v>
      </c>
      <c r="B141" s="197">
        <f t="shared" ref="B141:H141" si="33">IF(AND(B94="-",B47="-"),"-",SUM(B94,B47))</f>
        <v>7972</v>
      </c>
      <c r="C141" s="197">
        <f t="shared" si="33"/>
        <v>20698</v>
      </c>
      <c r="D141" s="197">
        <f t="shared" si="33"/>
        <v>13924</v>
      </c>
      <c r="E141" s="197">
        <f t="shared" si="33"/>
        <v>3566</v>
      </c>
      <c r="F141" s="197">
        <f t="shared" si="33"/>
        <v>1168</v>
      </c>
      <c r="G141" s="197">
        <f t="shared" si="33"/>
        <v>0</v>
      </c>
      <c r="H141" s="197">
        <f t="shared" si="33"/>
        <v>47328</v>
      </c>
      <c r="J141" s="197">
        <f t="shared" ref="J141:P141" si="34">IF(AND(J94="-",J47="-"),"-",SUM(J94,J47))</f>
        <v>0</v>
      </c>
      <c r="K141" s="197">
        <f t="shared" si="34"/>
        <v>15</v>
      </c>
      <c r="L141" s="197">
        <f t="shared" si="34"/>
        <v>2166</v>
      </c>
      <c r="M141" s="197">
        <f t="shared" si="34"/>
        <v>5968</v>
      </c>
      <c r="N141" s="197">
        <f t="shared" si="34"/>
        <v>4912</v>
      </c>
      <c r="O141" s="197">
        <f t="shared" si="34"/>
        <v>0</v>
      </c>
      <c r="P141" s="197">
        <f t="shared" si="34"/>
        <v>13061</v>
      </c>
    </row>
    <row r="142" spans="1:16" s="358" customFormat="1" ht="11.25" customHeight="1" x14ac:dyDescent="0.25">
      <c r="A142" s="157">
        <v>2019</v>
      </c>
      <c r="B142" s="197">
        <f t="shared" ref="B142:H143" si="35">IF(AND(B95="-",B48="-"),"-",SUM(B95,B48))</f>
        <v>4571</v>
      </c>
      <c r="C142" s="197">
        <f t="shared" si="35"/>
        <v>5128</v>
      </c>
      <c r="D142" s="197">
        <f t="shared" si="35"/>
        <v>23708</v>
      </c>
      <c r="E142" s="197">
        <f t="shared" si="35"/>
        <v>5430</v>
      </c>
      <c r="F142" s="197">
        <f t="shared" si="35"/>
        <v>2031</v>
      </c>
      <c r="G142" s="197">
        <f t="shared" si="35"/>
        <v>0</v>
      </c>
      <c r="H142" s="197">
        <f t="shared" si="35"/>
        <v>40868</v>
      </c>
      <c r="J142" s="197">
        <f t="shared" ref="J142:P143" si="36">IF(AND(J95="-",J48="-"),"-",SUM(J95,J48))</f>
        <v>0</v>
      </c>
      <c r="K142" s="197">
        <f t="shared" si="36"/>
        <v>0</v>
      </c>
      <c r="L142" s="197">
        <f t="shared" si="36"/>
        <v>15891</v>
      </c>
      <c r="M142" s="197">
        <f t="shared" si="36"/>
        <v>34878</v>
      </c>
      <c r="N142" s="197">
        <f t="shared" si="36"/>
        <v>8474</v>
      </c>
      <c r="O142" s="197">
        <f t="shared" si="36"/>
        <v>0</v>
      </c>
      <c r="P142" s="197">
        <f t="shared" si="36"/>
        <v>59243</v>
      </c>
    </row>
    <row r="143" spans="1:16" ht="11.25" customHeight="1" x14ac:dyDescent="0.25">
      <c r="A143" s="157" t="s">
        <v>393</v>
      </c>
      <c r="B143" s="193">
        <f t="shared" si="35"/>
        <v>486</v>
      </c>
      <c r="C143" s="193">
        <f t="shared" si="35"/>
        <v>1198</v>
      </c>
      <c r="D143" s="193">
        <f t="shared" si="35"/>
        <v>7891</v>
      </c>
      <c r="E143" s="193">
        <f t="shared" si="35"/>
        <v>4579</v>
      </c>
      <c r="F143" s="193">
        <f t="shared" si="35"/>
        <v>215</v>
      </c>
      <c r="G143" s="193">
        <f t="shared" si="35"/>
        <v>0</v>
      </c>
      <c r="H143" s="193">
        <f t="shared" si="35"/>
        <v>14369</v>
      </c>
      <c r="J143" s="193">
        <f t="shared" si="36"/>
        <v>0</v>
      </c>
      <c r="K143" s="193">
        <f t="shared" si="36"/>
        <v>0</v>
      </c>
      <c r="L143" s="193">
        <f t="shared" si="36"/>
        <v>809</v>
      </c>
      <c r="M143" s="193">
        <f t="shared" si="36"/>
        <v>11178</v>
      </c>
      <c r="N143" s="193">
        <f t="shared" si="36"/>
        <v>3026</v>
      </c>
      <c r="O143" s="193">
        <f t="shared" si="36"/>
        <v>0</v>
      </c>
      <c r="P143" s="193">
        <f t="shared" si="36"/>
        <v>15013</v>
      </c>
    </row>
    <row r="144" spans="1:16" ht="11.25" customHeight="1" x14ac:dyDescent="0.25"/>
    <row r="145" spans="1:16" ht="11.25" customHeight="1" x14ac:dyDescent="0.25">
      <c r="A145" s="116" t="s">
        <v>96</v>
      </c>
      <c r="B145" s="110"/>
      <c r="C145" s="110"/>
      <c r="D145" s="110"/>
    </row>
    <row r="146" spans="1:16" ht="11.25" customHeight="1" x14ac:dyDescent="0.25">
      <c r="A146" s="473">
        <v>1976</v>
      </c>
      <c r="B146" s="193">
        <f>IF(AND('A-13'!B147="-",'A-8'!D29="-"),"-",SUM('A-13'!B147,'A-8'!D29))</f>
        <v>26728</v>
      </c>
      <c r="C146" s="193">
        <f>IF(AND('A-13'!C147="-",'A-8'!E29="-"),"-",SUM('A-13'!C147,'A-8'!E29))</f>
        <v>28181</v>
      </c>
      <c r="D146" s="193">
        <f>IF(AND('A-13'!D147="-",'A-8'!F29="-"),"-",SUM('A-13'!D147,'A-8'!F29))</f>
        <v>9056</v>
      </c>
      <c r="E146" s="193">
        <f>IF(AND('A-13'!E147="-",'A-8'!G29="-"),"-",SUM('A-13'!E147,'A-8'!G29))</f>
        <v>5894</v>
      </c>
      <c r="F146" s="193">
        <f>IF(AND('A-13'!F147="-",'A-8'!H29="-"),"-",SUM('A-13'!F147,'A-8'!H29))</f>
        <v>4232</v>
      </c>
      <c r="G146" s="193">
        <f>'A-8'!I29</f>
        <v>210</v>
      </c>
      <c r="H146" s="193">
        <f>SUM(B146:G146)</f>
        <v>74301</v>
      </c>
      <c r="J146" s="193" t="s">
        <v>29</v>
      </c>
      <c r="K146" s="193">
        <f>IF(AND('A-13'!J147="-",'A-8'!N29="-"),"-",SUM('A-13'!J147,'A-8'!N29))</f>
        <v>162988</v>
      </c>
      <c r="L146" s="193">
        <f>IF(AND('A-13'!K147="-",'A-8'!O29="-"),"-",SUM('A-13'!K147,'A-8'!O29))</f>
        <v>194685</v>
      </c>
      <c r="M146" s="193">
        <f>IF(AND('A-13'!L147="-",'A-8'!P29="-"),"-",SUM('A-13'!L147,'A-8'!P29))</f>
        <v>85875</v>
      </c>
      <c r="N146" s="193">
        <f>IF(AND('A-13'!M147="-",'A-8'!Q29="-"),"-",SUM('A-13'!M147,'A-8'!Q29))</f>
        <v>57506</v>
      </c>
      <c r="O146" s="193">
        <f>'A-8'!R29</f>
        <v>1747</v>
      </c>
      <c r="P146" s="193">
        <v>398636</v>
      </c>
    </row>
    <row r="147" spans="1:16" ht="11.25" customHeight="1" x14ac:dyDescent="0.25">
      <c r="A147" s="473">
        <v>1977</v>
      </c>
      <c r="B147" s="193">
        <f>IF(AND('A-13'!B148="-",'A-8'!D30="-"),"-",SUM('A-13'!B148,'A-8'!D30))</f>
        <v>21182</v>
      </c>
      <c r="C147" s="193">
        <f>IF(AND('A-13'!C148="-",'A-8'!E30="-"),"-",SUM('A-13'!C148,'A-8'!E30))</f>
        <v>12219</v>
      </c>
      <c r="D147" s="193">
        <f>IF(AND('A-13'!D148="-",'A-8'!F30="-"),"-",SUM('A-13'!D148,'A-8'!F30))</f>
        <v>10755</v>
      </c>
      <c r="E147" s="193">
        <f>IF(AND('A-13'!E148="-",'A-8'!G30="-"),"-",SUM('A-13'!E148,'A-8'!G30))</f>
        <v>6185</v>
      </c>
      <c r="F147" s="193">
        <f>IF(AND('A-13'!F148="-",'A-8'!H30="-"),"-",SUM('A-13'!F148,'A-8'!H30))</f>
        <v>11290</v>
      </c>
      <c r="G147" s="193">
        <f>'A-8'!I30</f>
        <v>697</v>
      </c>
      <c r="H147" s="193">
        <f t="shared" ref="H147:H174" si="37">SUM(B147:G147)</f>
        <v>62328</v>
      </c>
      <c r="J147" s="193">
        <v>4</v>
      </c>
      <c r="K147" s="193">
        <f>IF(AND('A-13'!J148="-",'A-8'!N30="-"),"-",SUM('A-13'!J148,'A-8'!N30))</f>
        <v>26661</v>
      </c>
      <c r="L147" s="193">
        <f>IF(AND('A-13'!K148="-",'A-8'!O30="-"),"-",SUM('A-13'!K148,'A-8'!O30))</f>
        <v>102923</v>
      </c>
      <c r="M147" s="193">
        <f>IF(AND('A-13'!L148="-",'A-8'!P30="-"),"-",SUM('A-13'!L148,'A-8'!P30))</f>
        <v>23826</v>
      </c>
      <c r="N147" s="193">
        <f>IF(AND('A-13'!M148="-",'A-8'!Q30="-"),"-",SUM('A-13'!M148,'A-8'!Q30))</f>
        <v>18464</v>
      </c>
      <c r="O147" s="193">
        <f>'A-8'!R30</f>
        <v>374</v>
      </c>
      <c r="P147" s="193">
        <v>172252</v>
      </c>
    </row>
    <row r="148" spans="1:16" ht="11.25" customHeight="1" x14ac:dyDescent="0.25">
      <c r="A148" s="473">
        <v>1978</v>
      </c>
      <c r="B148" s="193">
        <f>IF(AND('A-13'!B149="-",'A-8'!D31="-"),"-",SUM('A-13'!B149,'A-8'!D31))</f>
        <v>1892</v>
      </c>
      <c r="C148" s="193">
        <f>IF(AND('A-13'!C149="-",'A-8'!E31="-"),"-",SUM('A-13'!C149,'A-8'!E31))</f>
        <v>8166</v>
      </c>
      <c r="D148" s="193">
        <f>IF(AND('A-13'!D149="-",'A-8'!F31="-"),"-",SUM('A-13'!D149,'A-8'!F31))</f>
        <v>9530</v>
      </c>
      <c r="E148" s="193">
        <f>IF(AND('A-13'!E149="-",'A-8'!G31="-"),"-",SUM('A-13'!E149,'A-8'!G31))</f>
        <v>2479</v>
      </c>
      <c r="F148" s="193">
        <f>IF(AND('A-13'!F149="-",'A-8'!H31="-"),"-",SUM('A-13'!F149,'A-8'!H31))</f>
        <v>1694</v>
      </c>
      <c r="G148" s="193">
        <f>'A-8'!I31</f>
        <v>1966</v>
      </c>
      <c r="H148" s="193">
        <f t="shared" si="37"/>
        <v>25727</v>
      </c>
      <c r="J148" s="193" t="s">
        <v>29</v>
      </c>
      <c r="K148" s="193">
        <f>IF(AND('A-13'!J149="-",'A-8'!N31="-"),"-",SUM('A-13'!J149,'A-8'!N31))</f>
        <v>17840</v>
      </c>
      <c r="L148" s="193">
        <f>IF(AND('A-13'!K149="-",'A-8'!O31="-"),"-",SUM('A-13'!K149,'A-8'!O31))</f>
        <v>83076</v>
      </c>
      <c r="M148" s="193">
        <f>IF(AND('A-13'!L149="-",'A-8'!P31="-"),"-",SUM('A-13'!L149,'A-8'!P31))</f>
        <v>20265</v>
      </c>
      <c r="N148" s="193">
        <f>IF(AND('A-13'!M149="-",'A-8'!Q31="-"),"-",SUM('A-13'!M149,'A-8'!Q31))</f>
        <v>25692</v>
      </c>
      <c r="O148" s="193">
        <f>'A-8'!R31</f>
        <v>1092</v>
      </c>
      <c r="P148" s="193">
        <v>147965</v>
      </c>
    </row>
    <row r="149" spans="1:16" ht="11.25" customHeight="1" x14ac:dyDescent="0.25">
      <c r="A149" s="473">
        <v>1979</v>
      </c>
      <c r="B149" s="193">
        <f>IF(AND('A-13'!B150="-",'A-8'!D32="-"),"-",SUM('A-13'!B150,'A-8'!D32))</f>
        <v>3829</v>
      </c>
      <c r="C149" s="193">
        <f>IF(AND('A-13'!C150="-",'A-8'!E32="-"),"-",SUM('A-13'!C150,'A-8'!E32))</f>
        <v>15</v>
      </c>
      <c r="D149" s="193">
        <f>IF(AND('A-13'!D150="-",'A-8'!F32="-"),"-",SUM('A-13'!D150,'A-8'!F32))</f>
        <v>4428</v>
      </c>
      <c r="E149" s="193">
        <f>IF(AND('A-13'!E150="-",'A-8'!G32="-"),"-",SUM('A-13'!E150,'A-8'!G32))</f>
        <v>6647</v>
      </c>
      <c r="F149" s="193">
        <f>IF(AND('A-13'!F150="-",'A-8'!H32="-"),"-",SUM('A-13'!F150,'A-8'!H32))</f>
        <v>629</v>
      </c>
      <c r="G149" s="193">
        <f>'A-8'!I32</f>
        <v>9</v>
      </c>
      <c r="H149" s="193">
        <f t="shared" si="37"/>
        <v>15557</v>
      </c>
      <c r="J149" s="193">
        <v>7</v>
      </c>
      <c r="K149" s="193">
        <f>IF(AND('A-13'!J150="-",'A-8'!N32="-"),"-",SUM('A-13'!J150,'A-8'!N32))</f>
        <v>11</v>
      </c>
      <c r="L149" s="193">
        <f>IF(AND('A-13'!K150="-",'A-8'!O32="-"),"-",SUM('A-13'!K150,'A-8'!O32))</f>
        <v>107189</v>
      </c>
      <c r="M149" s="193">
        <f>IF(AND('A-13'!L150="-",'A-8'!P32="-"),"-",SUM('A-13'!L150,'A-8'!P32))</f>
        <v>51453</v>
      </c>
      <c r="N149" s="193">
        <f>IF(AND('A-13'!M150="-",'A-8'!Q32="-"),"-",SUM('A-13'!M150,'A-8'!Q32))</f>
        <v>2626</v>
      </c>
      <c r="O149" s="193" t="str">
        <f>'A-8'!R32</f>
        <v>-</v>
      </c>
      <c r="P149" s="193">
        <v>161286</v>
      </c>
    </row>
    <row r="150" spans="1:16" ht="11.25" customHeight="1" x14ac:dyDescent="0.25">
      <c r="A150" s="473">
        <v>1980</v>
      </c>
      <c r="B150" s="193">
        <f>IF(AND('A-13'!B151="-",'A-8'!D33="-"),"-",SUM('A-13'!B151,'A-8'!D33))</f>
        <v>11515</v>
      </c>
      <c r="C150" s="193">
        <f>IF(AND('A-13'!C151="-",'A-8'!E33="-"),"-",SUM('A-13'!C151,'A-8'!E33))</f>
        <v>15</v>
      </c>
      <c r="D150" s="193">
        <f>IF(AND('A-13'!D151="-",'A-8'!F33="-"),"-",SUM('A-13'!D151,'A-8'!F33))</f>
        <v>1511</v>
      </c>
      <c r="E150" s="193">
        <f>IF(AND('A-13'!E151="-",'A-8'!G33="-"),"-",SUM('A-13'!E151,'A-8'!G33))</f>
        <v>2755</v>
      </c>
      <c r="F150" s="193">
        <f>IF(AND('A-13'!F151="-",'A-8'!H33="-"),"-",SUM('A-13'!F151,'A-8'!H33))</f>
        <v>557</v>
      </c>
      <c r="G150" s="193">
        <f>'A-8'!I33</f>
        <v>5</v>
      </c>
      <c r="H150" s="193">
        <f t="shared" si="37"/>
        <v>16358</v>
      </c>
      <c r="J150" s="193" t="s">
        <v>29</v>
      </c>
      <c r="K150" s="193" t="str">
        <f>IF(AND('A-13'!J151="-",'A-8'!N33="-"),"-",SUM('A-13'!J151,'A-8'!N33))</f>
        <v>-</v>
      </c>
      <c r="L150" s="193">
        <f>IF(AND('A-13'!K151="-",'A-8'!O33="-"),"-",SUM('A-13'!K151,'A-8'!O33))</f>
        <v>30259</v>
      </c>
      <c r="M150" s="193">
        <f>IF(AND('A-13'!L151="-",'A-8'!P33="-"),"-",SUM('A-13'!L151,'A-8'!P33))</f>
        <v>25561</v>
      </c>
      <c r="N150" s="193">
        <f>IF(AND('A-13'!M151="-",'A-8'!Q33="-"),"-",SUM('A-13'!M151,'A-8'!Q33))</f>
        <v>9812</v>
      </c>
      <c r="O150" s="193">
        <f>'A-8'!R33</f>
        <v>304</v>
      </c>
      <c r="P150" s="193">
        <v>65936</v>
      </c>
    </row>
    <row r="151" spans="1:16" ht="11.25" customHeight="1" x14ac:dyDescent="0.25">
      <c r="A151" s="473">
        <v>1981</v>
      </c>
      <c r="B151" s="193">
        <f>IF(AND('A-13'!B152="-",'A-8'!D34="-"),"-",SUM('A-13'!B152,'A-8'!D34))</f>
        <v>15893</v>
      </c>
      <c r="C151" s="193">
        <f>IF(AND('A-13'!C152="-",'A-8'!E34="-"),"-",SUM('A-13'!C152,'A-8'!E34))</f>
        <v>28</v>
      </c>
      <c r="D151" s="193">
        <f>IF(AND('A-13'!D152="-",'A-8'!F34="-"),"-",SUM('A-13'!D152,'A-8'!F34))</f>
        <v>2184</v>
      </c>
      <c r="E151" s="193">
        <f>IF(AND('A-13'!E152="-",'A-8'!G34="-"),"-",SUM('A-13'!E152,'A-8'!G34))</f>
        <v>1802</v>
      </c>
      <c r="F151" s="193">
        <f>IF(AND('A-13'!F152="-",'A-8'!H34="-"),"-",SUM('A-13'!F152,'A-8'!H34))</f>
        <v>0</v>
      </c>
      <c r="G151" s="193">
        <f>'A-8'!I34</f>
        <v>9</v>
      </c>
      <c r="H151" s="193">
        <f t="shared" si="37"/>
        <v>19916</v>
      </c>
      <c r="J151" s="193" t="s">
        <v>29</v>
      </c>
      <c r="K151" s="193" t="str">
        <f>IF(AND('A-13'!J152="-",'A-8'!N34="-"),"-",SUM('A-13'!J152,'A-8'!N34))</f>
        <v>-</v>
      </c>
      <c r="L151" s="193">
        <f>IF(AND('A-13'!K152="-",'A-8'!O34="-"),"-",SUM('A-13'!K152,'A-8'!O34))</f>
        <v>77778</v>
      </c>
      <c r="M151" s="193">
        <f>IF(AND('A-13'!L152="-",'A-8'!P34="-"),"-",SUM('A-13'!L152,'A-8'!P34))</f>
        <v>45012</v>
      </c>
      <c r="N151" s="193" t="str">
        <f>IF(AND('A-13'!M152="-",'A-8'!Q34="-"),"-",SUM('A-13'!M152,'A-8'!Q34))</f>
        <v>-</v>
      </c>
      <c r="O151" s="193" t="str">
        <f>'A-8'!R34</f>
        <v>-</v>
      </c>
      <c r="P151" s="193">
        <v>122790</v>
      </c>
    </row>
    <row r="152" spans="1:16" ht="11.25" customHeight="1" x14ac:dyDescent="0.25">
      <c r="A152" s="473">
        <v>1982</v>
      </c>
      <c r="B152" s="193">
        <f>IF(AND('A-13'!B153="-",'A-8'!D35="-"),"-",SUM('A-13'!B153,'A-8'!D35))</f>
        <v>19036</v>
      </c>
      <c r="C152" s="193">
        <f>IF(AND('A-13'!C153="-",'A-8'!E35="-"),"-",SUM('A-13'!C153,'A-8'!E35))</f>
        <v>1577</v>
      </c>
      <c r="D152" s="193">
        <f>IF(AND('A-13'!D153="-",'A-8'!F35="-"),"-",SUM('A-13'!D153,'A-8'!F35))</f>
        <v>6720</v>
      </c>
      <c r="E152" s="193">
        <f>IF(AND('A-13'!E153="-",'A-8'!G35="-"),"-",SUM('A-13'!E153,'A-8'!G35))</f>
        <v>0</v>
      </c>
      <c r="F152" s="193">
        <f>IF(AND('A-13'!F153="-",'A-8'!H35="-"),"-",SUM('A-13'!F153,'A-8'!H35))</f>
        <v>0</v>
      </c>
      <c r="G152" s="193">
        <f>'A-8'!I35</f>
        <v>0</v>
      </c>
      <c r="H152" s="193">
        <f t="shared" si="37"/>
        <v>27333</v>
      </c>
      <c r="J152" s="193" t="s">
        <v>29</v>
      </c>
      <c r="K152" s="193" t="str">
        <f>IF(AND('A-13'!J153="-",'A-8'!N35="-"),"-",SUM('A-13'!J153,'A-8'!N35))</f>
        <v>-</v>
      </c>
      <c r="L152" s="193">
        <f>IF(AND('A-13'!K153="-",'A-8'!O35="-"),"-",SUM('A-13'!K153,'A-8'!O35))</f>
        <v>67866</v>
      </c>
      <c r="M152" s="193" t="str">
        <f>IF(AND('A-13'!L153="-",'A-8'!P35="-"),"-",SUM('A-13'!L153,'A-8'!P35))</f>
        <v>-</v>
      </c>
      <c r="N152" s="193" t="str">
        <f>IF(AND('A-13'!M153="-",'A-8'!Q35="-"),"-",SUM('A-13'!M153,'A-8'!Q35))</f>
        <v>-</v>
      </c>
      <c r="O152" s="193" t="str">
        <f>'A-8'!R35</f>
        <v>-</v>
      </c>
      <c r="P152" s="193">
        <v>67866</v>
      </c>
    </row>
    <row r="153" spans="1:16" ht="11.25" customHeight="1" x14ac:dyDescent="0.25">
      <c r="A153" s="473">
        <v>1983</v>
      </c>
      <c r="B153" s="193">
        <f>IF(AND('A-13'!B154="-",'A-8'!D36="-"),"-",SUM('A-13'!B154,'A-8'!D36))</f>
        <v>8255</v>
      </c>
      <c r="C153" s="193">
        <f>IF(AND('A-13'!C154="-",'A-8'!E36="-"),"-",SUM('A-13'!C154,'A-8'!E36))</f>
        <v>2185</v>
      </c>
      <c r="D153" s="193">
        <f>IF(AND('A-13'!D154="-",'A-8'!F36="-"),"-",SUM('A-13'!D154,'A-8'!F36))</f>
        <v>516</v>
      </c>
      <c r="E153" s="193">
        <f>IF(AND('A-13'!E154="-",'A-8'!G36="-"),"-",SUM('A-13'!E154,'A-8'!G36))</f>
        <v>563</v>
      </c>
      <c r="F153" s="193">
        <f>IF(AND('A-13'!F154="-",'A-8'!H36="-"),"-",SUM('A-13'!F154,'A-8'!H36))</f>
        <v>534</v>
      </c>
      <c r="G153" s="193">
        <f>'A-8'!I36</f>
        <v>0</v>
      </c>
      <c r="H153" s="193">
        <f t="shared" si="37"/>
        <v>12053</v>
      </c>
      <c r="J153" s="193" t="s">
        <v>29</v>
      </c>
      <c r="K153" s="193" t="str">
        <f>IF(AND('A-13'!J154="-",'A-8'!N36="-"),"-",SUM('A-13'!J154,'A-8'!N36))</f>
        <v>-</v>
      </c>
      <c r="L153" s="193">
        <f>IF(AND('A-13'!K154="-",'A-8'!O36="-"),"-",SUM('A-13'!K154,'A-8'!O36))</f>
        <v>243</v>
      </c>
      <c r="M153" s="193">
        <f>IF(AND('A-13'!L154="-",'A-8'!P36="-"),"-",SUM('A-13'!L154,'A-8'!P36))</f>
        <v>7265</v>
      </c>
      <c r="N153" s="193">
        <f>IF(AND('A-13'!M154="-",'A-8'!Q36="-"),"-",SUM('A-13'!M154,'A-8'!Q36))</f>
        <v>15916</v>
      </c>
      <c r="O153" s="193" t="str">
        <f>'A-8'!R36</f>
        <v>-</v>
      </c>
      <c r="P153" s="193">
        <v>23424</v>
      </c>
    </row>
    <row r="154" spans="1:16" ht="11.25" customHeight="1" x14ac:dyDescent="0.25">
      <c r="A154" s="473">
        <v>1984</v>
      </c>
      <c r="B154" s="193">
        <f>IF(AND('A-13'!B155="-",'A-8'!D37="-"),"-",SUM('A-13'!B155,'A-8'!D37))</f>
        <v>1909</v>
      </c>
      <c r="C154" s="193">
        <f>IF(AND('A-13'!C155="-",'A-8'!E37="-"),"-",SUM('A-13'!C155,'A-8'!E37))</f>
        <v>0</v>
      </c>
      <c r="D154" s="193">
        <f>IF(AND('A-13'!D155="-",'A-8'!F37="-"),"-",SUM('A-13'!D155,'A-8'!F37))</f>
        <v>0</v>
      </c>
      <c r="E154" s="193">
        <f>IF(AND('A-13'!E155="-",'A-8'!G37="-"),"-",SUM('A-13'!E155,'A-8'!G37))</f>
        <v>569</v>
      </c>
      <c r="F154" s="193">
        <f>IF(AND('A-13'!F155="-",'A-8'!H37="-"),"-",SUM('A-13'!F155,'A-8'!H37))</f>
        <v>0</v>
      </c>
      <c r="G154" s="193">
        <f>'A-8'!I37</f>
        <v>0</v>
      </c>
      <c r="H154" s="193">
        <f t="shared" si="37"/>
        <v>2478</v>
      </c>
      <c r="J154" s="193" t="s">
        <v>29</v>
      </c>
      <c r="K154" s="193" t="str">
        <f>IF(AND('A-13'!J155="-",'A-8'!N37="-"),"-",SUM('A-13'!J155,'A-8'!N37))</f>
        <v>-</v>
      </c>
      <c r="L154" s="193" t="str">
        <f>IF(AND('A-13'!K155="-",'A-8'!O37="-"),"-",SUM('A-13'!K155,'A-8'!O37))</f>
        <v>-</v>
      </c>
      <c r="M154" s="193">
        <f>IF(AND('A-13'!L155="-",'A-8'!P37="-"),"-",SUM('A-13'!L155,'A-8'!P37))</f>
        <v>20298</v>
      </c>
      <c r="N154" s="193" t="str">
        <f>IF(AND('A-13'!M155="-",'A-8'!Q37="-"),"-",SUM('A-13'!M155,'A-8'!Q37))</f>
        <v>-</v>
      </c>
      <c r="O154" s="193" t="str">
        <f>'A-8'!R37</f>
        <v>-</v>
      </c>
      <c r="P154" s="193">
        <v>20298</v>
      </c>
    </row>
    <row r="155" spans="1:16" ht="11.25" customHeight="1" x14ac:dyDescent="0.25">
      <c r="A155" s="473">
        <v>1985</v>
      </c>
      <c r="B155" s="193">
        <f>IF(AND('A-13'!B156="-",'A-8'!D38="-"),"-",SUM('A-13'!B156,'A-8'!D38))</f>
        <v>10916</v>
      </c>
      <c r="C155" s="193">
        <f>IF(AND('A-13'!C156="-",'A-8'!E38="-"),"-",SUM('A-13'!C156,'A-8'!E38))</f>
        <v>0</v>
      </c>
      <c r="D155" s="193">
        <f>IF(AND('A-13'!D156="-",'A-8'!F38="-"),"-",SUM('A-13'!D156,'A-8'!F38))</f>
        <v>0</v>
      </c>
      <c r="E155" s="193">
        <f>IF(AND('A-13'!E156="-",'A-8'!G38="-"),"-",SUM('A-13'!E156,'A-8'!G38))</f>
        <v>942</v>
      </c>
      <c r="F155" s="193">
        <f>IF(AND('A-13'!F156="-",'A-8'!H38="-"),"-",SUM('A-13'!F156,'A-8'!H38))</f>
        <v>0</v>
      </c>
      <c r="G155" s="193">
        <f>'A-8'!I38</f>
        <v>3</v>
      </c>
      <c r="H155" s="193">
        <f t="shared" si="37"/>
        <v>11861</v>
      </c>
      <c r="J155" s="193" t="s">
        <v>29</v>
      </c>
      <c r="K155" s="193" t="str">
        <f>IF(AND('A-13'!J156="-",'A-8'!N38="-"),"-",SUM('A-13'!J156,'A-8'!N38))</f>
        <v>-</v>
      </c>
      <c r="L155" s="193" t="str">
        <f>IF(AND('A-13'!K156="-",'A-8'!O38="-"),"-",SUM('A-13'!K156,'A-8'!O38))</f>
        <v>-</v>
      </c>
      <c r="M155" s="193">
        <f>IF(AND('A-13'!L156="-",'A-8'!P38="-"),"-",SUM('A-13'!L156,'A-8'!P38))</f>
        <v>32581</v>
      </c>
      <c r="N155" s="193" t="str">
        <f>IF(AND('A-13'!M156="-",'A-8'!Q38="-"),"-",SUM('A-13'!M156,'A-8'!Q38))</f>
        <v>-</v>
      </c>
      <c r="O155" s="193" t="str">
        <f>'A-8'!R38</f>
        <v>-</v>
      </c>
      <c r="P155" s="193">
        <v>32581</v>
      </c>
    </row>
    <row r="156" spans="1:16" ht="11.25" customHeight="1" x14ac:dyDescent="0.25">
      <c r="A156" s="473">
        <v>1986</v>
      </c>
      <c r="B156" s="193">
        <f>IF(AND('A-13'!B157="-",'A-8'!D39="-"),"-",SUM('A-13'!B157,'A-8'!D39))</f>
        <v>12647</v>
      </c>
      <c r="C156" s="193" t="str">
        <f>IF(AND('A-13'!C157="-",'A-8'!E39="-"),"-",SUM('A-13'!C157,'A-8'!E39))</f>
        <v>-</v>
      </c>
      <c r="D156" s="193" t="str">
        <f>IF(AND('A-13'!D157="-",'A-8'!F39="-"),"-",SUM('A-13'!D157,'A-8'!F39))</f>
        <v>-</v>
      </c>
      <c r="E156" s="193">
        <f>IF(AND('A-13'!E157="-",'A-8'!G39="-"),"-",SUM('A-13'!E157,'A-8'!G39))</f>
        <v>5021</v>
      </c>
      <c r="F156" s="193" t="str">
        <f>IF(AND('A-13'!F157="-",'A-8'!H39="-"),"-",SUM('A-13'!F157,'A-8'!H39))</f>
        <v>-</v>
      </c>
      <c r="G156" s="193" t="str">
        <f>'A-8'!I39</f>
        <v>-</v>
      </c>
      <c r="H156" s="193">
        <f t="shared" si="37"/>
        <v>17668</v>
      </c>
      <c r="J156" s="193" t="s">
        <v>29</v>
      </c>
      <c r="K156" s="193" t="str">
        <f>IF(AND('A-13'!J157="-",'A-8'!N39="-"),"-",SUM('A-13'!J157,'A-8'!N39))</f>
        <v>-</v>
      </c>
      <c r="L156" s="193" t="str">
        <f>IF(AND('A-13'!K157="-",'A-8'!O39="-"),"-",SUM('A-13'!K157,'A-8'!O39))</f>
        <v>-</v>
      </c>
      <c r="M156" s="193">
        <f>IF(AND('A-13'!L157="-",'A-8'!P39="-"),"-",SUM('A-13'!L157,'A-8'!P39))</f>
        <v>91665</v>
      </c>
      <c r="N156" s="193" t="str">
        <f>IF(AND('A-13'!M157="-",'A-8'!Q39="-"),"-",SUM('A-13'!M157,'A-8'!Q39))</f>
        <v>-</v>
      </c>
      <c r="O156" s="193" t="str">
        <f>'A-8'!R39</f>
        <v>-</v>
      </c>
      <c r="P156" s="193">
        <v>91665</v>
      </c>
    </row>
    <row r="157" spans="1:16" ht="11.25" customHeight="1" x14ac:dyDescent="0.25">
      <c r="A157" s="473">
        <v>1987</v>
      </c>
      <c r="B157" s="193">
        <f>IF(AND('A-13'!B158="-",'A-8'!D40="-"),"-",SUM('A-13'!B158,'A-8'!D40))</f>
        <v>6341</v>
      </c>
      <c r="C157" s="193" t="str">
        <f>IF(AND('A-13'!C158="-",'A-8'!E40="-"),"-",SUM('A-13'!C158,'A-8'!E40))</f>
        <v>-</v>
      </c>
      <c r="D157" s="193">
        <f>IF(AND('A-13'!D158="-",'A-8'!F40="-"),"-",SUM('A-13'!D158,'A-8'!F40))</f>
        <v>3549</v>
      </c>
      <c r="E157" s="193" t="str">
        <f>IF(AND('A-13'!E158="-",'A-8'!G40="-"),"-",SUM('A-13'!E158,'A-8'!G40))</f>
        <v>-</v>
      </c>
      <c r="F157" s="193" t="str">
        <f>IF(AND('A-13'!F158="-",'A-8'!H40="-"),"-",SUM('A-13'!F158,'A-8'!H40))</f>
        <v>-</v>
      </c>
      <c r="G157" s="193" t="str">
        <f>'A-8'!I40</f>
        <v>-</v>
      </c>
      <c r="H157" s="193">
        <f t="shared" si="37"/>
        <v>9890</v>
      </c>
      <c r="J157" s="193" t="s">
        <v>29</v>
      </c>
      <c r="K157" s="193" t="str">
        <f>IF(AND('A-13'!J158="-",'A-8'!N40="-"),"-",SUM('A-13'!J158,'A-8'!N40))</f>
        <v>-</v>
      </c>
      <c r="L157" s="193">
        <f>IF(AND('A-13'!K158="-",'A-8'!O40="-"),"-",SUM('A-13'!K158,'A-8'!O40))</f>
        <v>18234</v>
      </c>
      <c r="M157" s="193" t="str">
        <f>IF(AND('A-13'!L158="-",'A-8'!P40="-"),"-",SUM('A-13'!L158,'A-8'!P40))</f>
        <v>-</v>
      </c>
      <c r="N157" s="193" t="str">
        <f>IF(AND('A-13'!M158="-",'A-8'!Q40="-"),"-",SUM('A-13'!M158,'A-8'!Q40))</f>
        <v>-</v>
      </c>
      <c r="O157" s="193" t="str">
        <f>'A-8'!R40</f>
        <v>-</v>
      </c>
      <c r="P157" s="193">
        <v>18234</v>
      </c>
    </row>
    <row r="158" spans="1:16" ht="11.25" customHeight="1" x14ac:dyDescent="0.25">
      <c r="A158" s="473">
        <v>1988</v>
      </c>
      <c r="B158" s="193">
        <f>IF(AND('A-13'!B159="-",'A-8'!D41="-"),"-",SUM('A-13'!B159,'A-8'!D41))</f>
        <v>2635</v>
      </c>
      <c r="C158" s="193">
        <f>IF(AND('A-13'!C159="-",'A-8'!E41="-"),"-",SUM('A-13'!C159,'A-8'!E41))</f>
        <v>2268</v>
      </c>
      <c r="D158" s="193" t="str">
        <f>IF(AND('A-13'!D159="-",'A-8'!F41="-"),"-",SUM('A-13'!D159,'A-8'!F41))</f>
        <v>-</v>
      </c>
      <c r="E158" s="193" t="str">
        <f>IF(AND('A-13'!E159="-",'A-8'!G41="-"),"-",SUM('A-13'!E159,'A-8'!G41))</f>
        <v>-</v>
      </c>
      <c r="F158" s="193" t="str">
        <f>IF(AND('A-13'!F159="-",'A-8'!H41="-"),"-",SUM('A-13'!F159,'A-8'!H41))</f>
        <v>-</v>
      </c>
      <c r="G158" s="193" t="str">
        <f>'A-8'!I41</f>
        <v>-</v>
      </c>
      <c r="H158" s="193">
        <f t="shared" si="37"/>
        <v>4903</v>
      </c>
      <c r="J158" s="193" t="s">
        <v>29</v>
      </c>
      <c r="K158" s="193" t="str">
        <f>IF(AND('A-13'!J159="-",'A-8'!N41="-"),"-",SUM('A-13'!J159,'A-8'!N41))</f>
        <v>-</v>
      </c>
      <c r="L158" s="193" t="str">
        <f>IF(AND('A-13'!K159="-",'A-8'!O41="-"),"-",SUM('A-13'!K159,'A-8'!O41))</f>
        <v>-</v>
      </c>
      <c r="M158" s="193" t="str">
        <f>IF(AND('A-13'!L159="-",'A-8'!P41="-"),"-",SUM('A-13'!L159,'A-8'!P41))</f>
        <v>-</v>
      </c>
      <c r="N158" s="193" t="str">
        <f>IF(AND('A-13'!M159="-",'A-8'!Q41="-"),"-",SUM('A-13'!M159,'A-8'!Q41))</f>
        <v>-</v>
      </c>
      <c r="O158" s="193" t="str">
        <f>'A-8'!R41</f>
        <v>-</v>
      </c>
      <c r="P158" s="193" t="s">
        <v>29</v>
      </c>
    </row>
    <row r="159" spans="1:16" ht="11.25" customHeight="1" x14ac:dyDescent="0.25">
      <c r="A159" s="473">
        <v>1989</v>
      </c>
      <c r="B159" s="193">
        <f>IF(AND('A-13'!B160="-",'A-8'!D42="-"),"-",SUM('A-13'!B160,'A-8'!D42))</f>
        <v>1697</v>
      </c>
      <c r="C159" s="193">
        <f>IF(AND('A-13'!C160="-",'A-8'!E42="-"),"-",SUM('A-13'!C160,'A-8'!E42))</f>
        <v>1292</v>
      </c>
      <c r="D159" s="193" t="str">
        <f>IF(AND('A-13'!D160="-",'A-8'!F42="-"),"-",SUM('A-13'!D160,'A-8'!F42))</f>
        <v>-</v>
      </c>
      <c r="E159" s="193">
        <f>IF(AND('A-13'!E160="-",'A-8'!G42="-"),"-",SUM('A-13'!E160,'A-8'!G42))</f>
        <v>1979</v>
      </c>
      <c r="F159" s="193">
        <f>IF(AND('A-13'!F160="-",'A-8'!H42="-"),"-",SUM('A-13'!F160,'A-8'!H42))</f>
        <v>1055</v>
      </c>
      <c r="G159" s="193" t="str">
        <f>'A-8'!I42</f>
        <v>-</v>
      </c>
      <c r="H159" s="193">
        <f t="shared" si="37"/>
        <v>6023</v>
      </c>
      <c r="J159" s="193" t="s">
        <v>29</v>
      </c>
      <c r="K159" s="193" t="str">
        <f>IF(AND('A-13'!J160="-",'A-8'!N42="-"),"-",SUM('A-13'!J160,'A-8'!N42))</f>
        <v>-</v>
      </c>
      <c r="L159" s="193" t="str">
        <f>IF(AND('A-13'!K160="-",'A-8'!O42="-"),"-",SUM('A-13'!K160,'A-8'!O42))</f>
        <v>-</v>
      </c>
      <c r="M159" s="193">
        <f>IF(AND('A-13'!L160="-",'A-8'!P42="-"),"-",SUM('A-13'!L160,'A-8'!P42))</f>
        <v>20989</v>
      </c>
      <c r="N159" s="193">
        <f>IF(AND('A-13'!M160="-",'A-8'!Q42="-"),"-",SUM('A-13'!M160,'A-8'!Q42))</f>
        <v>16165</v>
      </c>
      <c r="O159" s="193" t="str">
        <f>'A-8'!R42</f>
        <v>-</v>
      </c>
      <c r="P159" s="193">
        <v>37154</v>
      </c>
    </row>
    <row r="160" spans="1:16" ht="11.25" customHeight="1" x14ac:dyDescent="0.25">
      <c r="A160" s="473">
        <v>1990</v>
      </c>
      <c r="B160" s="193">
        <f>IF(AND('A-13'!B161="-",'A-8'!D43="-"),"-",SUM('A-13'!B161,'A-8'!D43))</f>
        <v>624</v>
      </c>
      <c r="C160" s="193">
        <f>IF(AND('A-13'!C161="-",'A-8'!E43="-"),"-",SUM('A-13'!C161,'A-8'!E43))</f>
        <v>232</v>
      </c>
      <c r="D160" s="193" t="str">
        <f>IF(AND('A-13'!D161="-",'A-8'!F43="-"),"-",SUM('A-13'!D161,'A-8'!F43))</f>
        <v>-</v>
      </c>
      <c r="E160" s="193">
        <f>IF(AND('A-13'!E161="-",'A-8'!G43="-"),"-",SUM('A-13'!E161,'A-8'!G43))</f>
        <v>1072</v>
      </c>
      <c r="F160" s="193">
        <f>IF(AND('A-13'!F161="-",'A-8'!H43="-"),"-",SUM('A-13'!F161,'A-8'!H43))</f>
        <v>2349</v>
      </c>
      <c r="G160" s="193">
        <f>'A-8'!I43</f>
        <v>71</v>
      </c>
      <c r="H160" s="193">
        <f t="shared" si="37"/>
        <v>4348</v>
      </c>
      <c r="J160" s="193" t="s">
        <v>29</v>
      </c>
      <c r="K160" s="193" t="str">
        <f>IF(AND('A-13'!J161="-",'A-8'!N43="-"),"-",SUM('A-13'!J161,'A-8'!N43))</f>
        <v>-</v>
      </c>
      <c r="L160" s="193" t="str">
        <f>IF(AND('A-13'!K161="-",'A-8'!O43="-"),"-",SUM('A-13'!K161,'A-8'!O43))</f>
        <v>-</v>
      </c>
      <c r="M160" s="193">
        <f>IF(AND('A-13'!L161="-",'A-8'!P43="-"),"-",SUM('A-13'!L161,'A-8'!P43))</f>
        <v>10709</v>
      </c>
      <c r="N160" s="193">
        <f>IF(AND('A-13'!M161="-",'A-8'!Q43="-"),"-",SUM('A-13'!M161,'A-8'!Q43))</f>
        <v>22447</v>
      </c>
      <c r="O160" s="193">
        <f>'A-8'!R43</f>
        <v>304</v>
      </c>
      <c r="P160" s="193">
        <v>33460</v>
      </c>
    </row>
    <row r="161" spans="1:16" ht="11.25" customHeight="1" x14ac:dyDescent="0.25">
      <c r="A161" s="473">
        <v>1991</v>
      </c>
      <c r="B161" s="193">
        <f>IF(AND('A-13'!B162="-",'A-8'!D44="-"),"-",SUM('A-13'!B162,'A-8'!D44))</f>
        <v>1173</v>
      </c>
      <c r="C161" s="193">
        <f>IF(AND('A-13'!C162="-",'A-8'!E44="-"),"-",SUM('A-13'!C162,'A-8'!E44))</f>
        <v>93</v>
      </c>
      <c r="D161" s="193" t="str">
        <f>IF(AND('A-13'!D162="-",'A-8'!F44="-"),"-",SUM('A-13'!D162,'A-8'!F44))</f>
        <v>-</v>
      </c>
      <c r="E161" s="193">
        <f>IF(AND('A-13'!E162="-",'A-8'!G44="-"),"-",SUM('A-13'!E162,'A-8'!G44))</f>
        <v>898</v>
      </c>
      <c r="F161" s="193">
        <f>IF(AND('A-13'!F162="-",'A-8'!H44="-"),"-",SUM('A-13'!F162,'A-8'!H44))</f>
        <v>122</v>
      </c>
      <c r="G161" s="193" t="str">
        <f>'A-8'!I44</f>
        <v>-</v>
      </c>
      <c r="H161" s="193">
        <f t="shared" si="37"/>
        <v>2286</v>
      </c>
      <c r="J161" s="193" t="s">
        <v>29</v>
      </c>
      <c r="K161" s="193" t="str">
        <f>IF(AND('A-13'!J162="-",'A-8'!N44="-"),"-",SUM('A-13'!J162,'A-8'!N44))</f>
        <v>-</v>
      </c>
      <c r="L161" s="193" t="str">
        <f>IF(AND('A-13'!K162="-",'A-8'!O44="-"),"-",SUM('A-13'!K162,'A-8'!O44))</f>
        <v>-</v>
      </c>
      <c r="M161" s="193">
        <f>IF(AND('A-13'!L162="-",'A-8'!P44="-"),"-",SUM('A-13'!L162,'A-8'!P44))</f>
        <v>36213</v>
      </c>
      <c r="N161" s="193">
        <f>IF(AND('A-13'!M162="-",'A-8'!Q44="-"),"-",SUM('A-13'!M162,'A-8'!Q44))</f>
        <v>6813</v>
      </c>
      <c r="O161" s="193" t="str">
        <f>'A-8'!R44</f>
        <v>-</v>
      </c>
      <c r="P161" s="193">
        <v>43026</v>
      </c>
    </row>
    <row r="162" spans="1:16" ht="11.25" customHeight="1" x14ac:dyDescent="0.25">
      <c r="A162" s="473">
        <v>1992</v>
      </c>
      <c r="B162" s="193">
        <f>IF(AND('A-13'!B163="-",'A-8'!D45="-"),"-",SUM('A-13'!B163,'A-8'!D45))</f>
        <v>2960</v>
      </c>
      <c r="C162" s="193">
        <f>IF(AND('A-13'!C163="-",'A-8'!E45="-"),"-",SUM('A-13'!C163,'A-8'!E45))</f>
        <v>963</v>
      </c>
      <c r="D162" s="193">
        <f>IF(AND('A-13'!D163="-",'A-8'!F45="-"),"-",SUM('A-13'!D163,'A-8'!F45))</f>
        <v>211</v>
      </c>
      <c r="E162" s="193">
        <f>IF(AND('A-13'!E163="-",'A-8'!G45="-"),"-",SUM('A-13'!E163,'A-8'!G45))</f>
        <v>89</v>
      </c>
      <c r="F162" s="193" t="str">
        <f>IF(AND('A-13'!F163="-",'A-8'!H45="-"),"-",SUM('A-13'!F163,'A-8'!H45))</f>
        <v>-</v>
      </c>
      <c r="G162" s="193" t="str">
        <f>'A-8'!I45</f>
        <v>-</v>
      </c>
      <c r="H162" s="193">
        <f t="shared" si="37"/>
        <v>4223</v>
      </c>
      <c r="J162" s="193" t="s">
        <v>29</v>
      </c>
      <c r="K162" s="193" t="str">
        <f>IF(AND('A-13'!J163="-",'A-8'!N45="-"),"-",SUM('A-13'!J163,'A-8'!N45))</f>
        <v>-</v>
      </c>
      <c r="L162" s="193">
        <f>IF(AND('A-13'!K163="-",'A-8'!O45="-"),"-",SUM('A-13'!K163,'A-8'!O45))</f>
        <v>1445</v>
      </c>
      <c r="M162" s="193">
        <f>IF(AND('A-13'!L163="-",'A-8'!P45="-"),"-",SUM('A-13'!L163,'A-8'!P45))</f>
        <v>1068</v>
      </c>
      <c r="N162" s="193" t="str">
        <f>IF(AND('A-13'!M163="-",'A-8'!Q45="-"),"-",SUM('A-13'!M163,'A-8'!Q45))</f>
        <v>-</v>
      </c>
      <c r="O162" s="193" t="str">
        <f>'A-8'!R45</f>
        <v>-</v>
      </c>
      <c r="P162" s="193">
        <v>2513</v>
      </c>
    </row>
    <row r="163" spans="1:16" ht="11.25" customHeight="1" x14ac:dyDescent="0.25">
      <c r="A163" s="473">
        <v>1993</v>
      </c>
      <c r="B163" s="193">
        <f>IF(AND('A-13'!B164="-",'A-8'!D46="-"),"-",SUM('A-13'!B164,'A-8'!D46))</f>
        <v>261</v>
      </c>
      <c r="C163" s="193">
        <f>IF(AND('A-13'!C164="-",'A-8'!E46="-"),"-",SUM('A-13'!C164,'A-8'!E46))</f>
        <v>16</v>
      </c>
      <c r="D163" s="193">
        <f>IF(AND('A-13'!D164="-",'A-8'!F46="-"),"-",SUM('A-13'!D164,'A-8'!F46))</f>
        <v>57</v>
      </c>
      <c r="E163" s="193">
        <f>IF(AND('A-13'!E164="-",'A-8'!G46="-"),"-",SUM('A-13'!E164,'A-8'!G46))</f>
        <v>44</v>
      </c>
      <c r="F163" s="193">
        <f>IF(AND('A-13'!F164="-",'A-8'!H46="-"),"-",SUM('A-13'!F164,'A-8'!H46))</f>
        <v>83</v>
      </c>
      <c r="G163" s="193" t="str">
        <f>'A-8'!I46</f>
        <v>-</v>
      </c>
      <c r="H163" s="193">
        <f t="shared" si="37"/>
        <v>461</v>
      </c>
      <c r="J163" s="193" t="s">
        <v>29</v>
      </c>
      <c r="K163" s="193" t="str">
        <f>IF(AND('A-13'!J164="-",'A-8'!N46="-"),"-",SUM('A-13'!J164,'A-8'!N46))</f>
        <v>-</v>
      </c>
      <c r="L163" s="193">
        <f>IF(AND('A-13'!K164="-",'A-8'!O46="-"),"-",SUM('A-13'!K164,'A-8'!O46))</f>
        <v>377</v>
      </c>
      <c r="M163" s="193">
        <f>IF(AND('A-13'!L164="-",'A-8'!P46="-"),"-",SUM('A-13'!L164,'A-8'!P46))</f>
        <v>741</v>
      </c>
      <c r="N163" s="193">
        <f>IF(AND('A-13'!M164="-",'A-8'!Q46="-"),"-",SUM('A-13'!M164,'A-8'!Q46))</f>
        <v>1060</v>
      </c>
      <c r="O163" s="193" t="str">
        <f>'A-8'!R46</f>
        <v>-</v>
      </c>
      <c r="P163" s="193">
        <v>2178</v>
      </c>
    </row>
    <row r="164" spans="1:16" ht="11.25" customHeight="1" x14ac:dyDescent="0.25">
      <c r="A164" s="473">
        <v>1994</v>
      </c>
      <c r="B164" s="193" t="str">
        <f>IF(AND('A-13'!B165="-",'A-8'!D47="-"),"-",SUM('A-13'!B165,'A-8'!D47))</f>
        <v>-</v>
      </c>
      <c r="C164" s="193" t="str">
        <f>IF(AND('A-13'!C165="-",'A-8'!E47="-"),"-",SUM('A-13'!C165,'A-8'!E47))</f>
        <v>-</v>
      </c>
      <c r="D164" s="193" t="str">
        <f>IF(AND('A-13'!D165="-",'A-8'!F47="-"),"-",SUM('A-13'!D165,'A-8'!F47))</f>
        <v>-</v>
      </c>
      <c r="E164" s="193" t="str">
        <f>IF(AND('A-13'!E165="-",'A-8'!G47="-"),"-",SUM('A-13'!E165,'A-8'!G47))</f>
        <v>-</v>
      </c>
      <c r="F164" s="193" t="str">
        <f>IF(AND('A-13'!F165="-",'A-8'!H47="-"),"-",SUM('A-13'!F165,'A-8'!H47))</f>
        <v>-</v>
      </c>
      <c r="G164" s="193" t="str">
        <f>'A-8'!I47</f>
        <v>-</v>
      </c>
      <c r="H164" s="193" t="s">
        <v>29</v>
      </c>
      <c r="J164" s="193" t="s">
        <v>29</v>
      </c>
      <c r="K164" s="193" t="str">
        <f>IF(AND('A-13'!J165="-",'A-8'!N47="-"),"-",SUM('A-13'!J165,'A-8'!N47))</f>
        <v>-</v>
      </c>
      <c r="L164" s="193" t="str">
        <f>IF(AND('A-13'!K165="-",'A-8'!O47="-"),"-",SUM('A-13'!K165,'A-8'!O47))</f>
        <v>-</v>
      </c>
      <c r="M164" s="193" t="str">
        <f>IF(AND('A-13'!L165="-",'A-8'!P47="-"),"-",SUM('A-13'!L165,'A-8'!P47))</f>
        <v>-</v>
      </c>
      <c r="N164" s="193" t="str">
        <f>IF(AND('A-13'!M165="-",'A-8'!Q47="-"),"-",SUM('A-13'!M165,'A-8'!Q47))</f>
        <v>-</v>
      </c>
      <c r="O164" s="193" t="str">
        <f>'A-8'!R47</f>
        <v>-</v>
      </c>
      <c r="P164" s="193" t="s">
        <v>29</v>
      </c>
    </row>
    <row r="165" spans="1:16" ht="11.25" customHeight="1" x14ac:dyDescent="0.25">
      <c r="A165" s="473">
        <v>1995</v>
      </c>
      <c r="B165" s="193" t="str">
        <f>IF(AND('A-13'!B166="-",'A-8'!D48="-"),"-",SUM('A-13'!B166,'A-8'!D48))</f>
        <v>-</v>
      </c>
      <c r="C165" s="193" t="str">
        <f>IF(AND('A-13'!C166="-",'A-8'!E48="-"),"-",SUM('A-13'!C166,'A-8'!E48))</f>
        <v>-</v>
      </c>
      <c r="D165" s="193" t="str">
        <f>IF(AND('A-13'!D166="-",'A-8'!F48="-"),"-",SUM('A-13'!D166,'A-8'!F48))</f>
        <v>-</v>
      </c>
      <c r="E165" s="193" t="str">
        <f>IF(AND('A-13'!E166="-",'A-8'!G48="-"),"-",SUM('A-13'!E166,'A-8'!G48))</f>
        <v>-</v>
      </c>
      <c r="F165" s="193" t="str">
        <f>IF(AND('A-13'!F166="-",'A-8'!H48="-"),"-",SUM('A-13'!F166,'A-8'!H48))</f>
        <v>-</v>
      </c>
      <c r="G165" s="193" t="str">
        <f>'A-8'!I48</f>
        <v>-</v>
      </c>
      <c r="H165" s="193" t="s">
        <v>29</v>
      </c>
      <c r="J165" s="193" t="s">
        <v>29</v>
      </c>
      <c r="K165" s="193" t="str">
        <f>IF(AND('A-13'!J166="-",'A-8'!N48="-"),"-",SUM('A-13'!J166,'A-8'!N48))</f>
        <v>-</v>
      </c>
      <c r="L165" s="193" t="str">
        <f>IF(AND('A-13'!K166="-",'A-8'!O48="-"),"-",SUM('A-13'!K166,'A-8'!O48))</f>
        <v>-</v>
      </c>
      <c r="M165" s="193" t="str">
        <f>IF(AND('A-13'!L166="-",'A-8'!P48="-"),"-",SUM('A-13'!L166,'A-8'!P48))</f>
        <v>-</v>
      </c>
      <c r="N165" s="193" t="str">
        <f>IF(AND('A-13'!M166="-",'A-8'!Q48="-"),"-",SUM('A-13'!M166,'A-8'!Q48))</f>
        <v>-</v>
      </c>
      <c r="O165" s="193" t="str">
        <f>'A-8'!R48</f>
        <v>-</v>
      </c>
      <c r="P165" s="193" t="s">
        <v>29</v>
      </c>
    </row>
    <row r="166" spans="1:16" ht="11.25" customHeight="1" x14ac:dyDescent="0.25">
      <c r="A166" s="473">
        <v>1996</v>
      </c>
      <c r="B166" s="193" t="str">
        <f>IF(AND('A-13'!B167="-",'A-8'!D49="-"),"-",SUM('A-13'!B167,'A-8'!D49))</f>
        <v>-</v>
      </c>
      <c r="C166" s="193" t="str">
        <f>IF(AND('A-13'!C167="-",'A-8'!E49="-"),"-",SUM('A-13'!C167,'A-8'!E49))</f>
        <v>-</v>
      </c>
      <c r="D166" s="193" t="str">
        <f>IF(AND('A-13'!D167="-",'A-8'!F49="-"),"-",SUM('A-13'!D167,'A-8'!F49))</f>
        <v>-</v>
      </c>
      <c r="E166" s="193" t="str">
        <f>IF(AND('A-13'!E167="-",'A-8'!G49="-"),"-",SUM('A-13'!E167,'A-8'!G49))</f>
        <v>-</v>
      </c>
      <c r="F166" s="193" t="str">
        <f>IF(AND('A-13'!F167="-",'A-8'!H49="-"),"-",SUM('A-13'!F167,'A-8'!H49))</f>
        <v>-</v>
      </c>
      <c r="G166" s="193" t="str">
        <f>'A-8'!I49</f>
        <v>-</v>
      </c>
      <c r="H166" s="193" t="s">
        <v>29</v>
      </c>
      <c r="J166" s="193" t="s">
        <v>29</v>
      </c>
      <c r="K166" s="193" t="str">
        <f>IF(AND('A-13'!J167="-",'A-8'!N49="-"),"-",SUM('A-13'!J167,'A-8'!N49))</f>
        <v>-</v>
      </c>
      <c r="L166" s="193" t="str">
        <f>IF(AND('A-13'!K167="-",'A-8'!O49="-"),"-",SUM('A-13'!K167,'A-8'!O49))</f>
        <v>-</v>
      </c>
      <c r="M166" s="193" t="str">
        <f>IF(AND('A-13'!L167="-",'A-8'!P49="-"),"-",SUM('A-13'!L167,'A-8'!P49))</f>
        <v>-</v>
      </c>
      <c r="N166" s="193" t="str">
        <f>IF(AND('A-13'!M167="-",'A-8'!Q49="-"),"-",SUM('A-13'!M167,'A-8'!Q49))</f>
        <v>-</v>
      </c>
      <c r="O166" s="193" t="str">
        <f>'A-8'!R49</f>
        <v>-</v>
      </c>
      <c r="P166" s="193" t="s">
        <v>29</v>
      </c>
    </row>
    <row r="167" spans="1:16" ht="11.25" customHeight="1" x14ac:dyDescent="0.25">
      <c r="A167" s="473">
        <v>1997</v>
      </c>
      <c r="B167" s="193">
        <f>IF(AND('A-13'!B168="-",'A-8'!D50="-"),"-",SUM('A-13'!B168,'A-8'!D50))</f>
        <v>25</v>
      </c>
      <c r="C167" s="193">
        <f>IF(AND('A-13'!C168="-",'A-8'!E50="-"),"-",SUM('A-13'!C168,'A-8'!E50))</f>
        <v>3</v>
      </c>
      <c r="D167" s="193" t="str">
        <f>IF(AND('A-13'!D168="-",'A-8'!F50="-"),"-",SUM('A-13'!D168,'A-8'!F50))</f>
        <v>-</v>
      </c>
      <c r="E167" s="193" t="str">
        <f>IF(AND('A-13'!E168="-",'A-8'!G50="-"),"-",SUM('A-13'!E168,'A-8'!G50))</f>
        <v>-</v>
      </c>
      <c r="F167" s="193" t="str">
        <f>IF(AND('A-13'!F168="-",'A-8'!H50="-"),"-",SUM('A-13'!F168,'A-8'!H50))</f>
        <v>-</v>
      </c>
      <c r="G167" s="193" t="str">
        <f>'A-8'!I50</f>
        <v>-</v>
      </c>
      <c r="H167" s="193">
        <f t="shared" si="37"/>
        <v>28</v>
      </c>
      <c r="J167" s="193" t="s">
        <v>29</v>
      </c>
      <c r="K167" s="193" t="str">
        <f>IF(AND('A-13'!J168="-",'A-8'!N50="-"),"-",SUM('A-13'!J168,'A-8'!N50))</f>
        <v>-</v>
      </c>
      <c r="L167" s="193" t="str">
        <f>IF(AND('A-13'!K168="-",'A-8'!O50="-"),"-",SUM('A-13'!K168,'A-8'!O50))</f>
        <v>-</v>
      </c>
      <c r="M167" s="193" t="str">
        <f>IF(AND('A-13'!L168="-",'A-8'!P50="-"),"-",SUM('A-13'!L168,'A-8'!P50))</f>
        <v>-</v>
      </c>
      <c r="N167" s="193" t="str">
        <f>IF(AND('A-13'!M168="-",'A-8'!Q50="-"),"-",SUM('A-13'!M168,'A-8'!Q50))</f>
        <v>-</v>
      </c>
      <c r="O167" s="193" t="str">
        <f>'A-8'!R50</f>
        <v>-</v>
      </c>
      <c r="P167" s="193" t="s">
        <v>29</v>
      </c>
    </row>
    <row r="168" spans="1:16" ht="11.25" customHeight="1" x14ac:dyDescent="0.25">
      <c r="A168" s="473">
        <v>1998</v>
      </c>
      <c r="B168" s="193">
        <f>IF(AND('A-13'!B169="-",'A-8'!D51="-"),"-",SUM('A-13'!B169,'A-8'!D51))</f>
        <v>0</v>
      </c>
      <c r="C168" s="193">
        <f>IF(AND('A-13'!C169="-",'A-8'!E51="-"),"-",SUM('A-13'!C169,'A-8'!E51))</f>
        <v>0</v>
      </c>
      <c r="D168" s="193" t="str">
        <f>IF(AND('A-13'!D169="-",'A-8'!F51="-"),"-",SUM('A-13'!D169,'A-8'!F51))</f>
        <v>-</v>
      </c>
      <c r="E168" s="193" t="str">
        <f>IF(AND('A-13'!E169="-",'A-8'!G51="-"),"-",SUM('A-13'!E169,'A-8'!G51))</f>
        <v>-</v>
      </c>
      <c r="F168" s="193" t="str">
        <f>IF(AND('A-13'!F169="-",'A-8'!H51="-"),"-",SUM('A-13'!F169,'A-8'!H51))</f>
        <v>-</v>
      </c>
      <c r="G168" s="193" t="str">
        <f>'A-8'!I51</f>
        <v>-</v>
      </c>
      <c r="H168" s="193">
        <f t="shared" si="37"/>
        <v>0</v>
      </c>
      <c r="J168" s="193" t="s">
        <v>29</v>
      </c>
      <c r="K168" s="193" t="str">
        <f>IF(AND('A-13'!J169="-",'A-8'!N51="-"),"-",SUM('A-13'!J169,'A-8'!N51))</f>
        <v>-</v>
      </c>
      <c r="L168" s="193" t="str">
        <f>IF(AND('A-13'!K169="-",'A-8'!O51="-"),"-",SUM('A-13'!K169,'A-8'!O51))</f>
        <v>-</v>
      </c>
      <c r="M168" s="193" t="str">
        <f>IF(AND('A-13'!L169="-",'A-8'!P51="-"),"-",SUM('A-13'!L169,'A-8'!P51))</f>
        <v>-</v>
      </c>
      <c r="N168" s="193" t="str">
        <f>IF(AND('A-13'!M169="-",'A-8'!Q51="-"),"-",SUM('A-13'!M169,'A-8'!Q51))</f>
        <v>-</v>
      </c>
      <c r="O168" s="193" t="str">
        <f>'A-8'!R51</f>
        <v>-</v>
      </c>
      <c r="P168" s="193" t="s">
        <v>29</v>
      </c>
    </row>
    <row r="169" spans="1:16" ht="11.25" customHeight="1" x14ac:dyDescent="0.25">
      <c r="A169" s="473">
        <v>1999</v>
      </c>
      <c r="B169" s="193">
        <f>IF(AND('A-13'!B170="-",'A-8'!D52="-"),"-",SUM('A-13'!B170,'A-8'!D52))</f>
        <v>0</v>
      </c>
      <c r="C169" s="193">
        <f>IF(AND('A-13'!C170="-",'A-8'!E52="-"),"-",SUM('A-13'!C170,'A-8'!E52))</f>
        <v>15</v>
      </c>
      <c r="D169" s="193" t="str">
        <f>IF(AND('A-13'!D170="-",'A-8'!F52="-"),"-",SUM('A-13'!D170,'A-8'!F52))</f>
        <v>-</v>
      </c>
      <c r="E169" s="193" t="str">
        <f>IF(AND('A-13'!E170="-",'A-8'!G52="-"),"-",SUM('A-13'!E170,'A-8'!G52))</f>
        <v>-</v>
      </c>
      <c r="F169" s="193" t="str">
        <f>IF(AND('A-13'!F170="-",'A-8'!H52="-"),"-",SUM('A-13'!F170,'A-8'!H52))</f>
        <v>-</v>
      </c>
      <c r="G169" s="193" t="str">
        <f>'A-8'!I52</f>
        <v>-</v>
      </c>
      <c r="H169" s="193">
        <f t="shared" si="37"/>
        <v>15</v>
      </c>
      <c r="J169" s="193" t="s">
        <v>29</v>
      </c>
      <c r="K169" s="193" t="str">
        <f>IF(AND('A-13'!J170="-",'A-8'!N52="-"),"-",SUM('A-13'!J170,'A-8'!N52))</f>
        <v>-</v>
      </c>
      <c r="L169" s="193" t="str">
        <f>IF(AND('A-13'!K170="-",'A-8'!O52="-"),"-",SUM('A-13'!K170,'A-8'!O52))</f>
        <v>-</v>
      </c>
      <c r="M169" s="193">
        <f>IF(AND('A-13'!L170="-",'A-8'!P52="-"),"-",SUM('A-13'!L170,'A-8'!P52))</f>
        <v>27</v>
      </c>
      <c r="N169" s="193" t="str">
        <f>IF(AND('A-13'!M170="-",'A-8'!Q52="-"),"-",SUM('A-13'!M170,'A-8'!Q52))</f>
        <v>-</v>
      </c>
      <c r="O169" s="193" t="str">
        <f>'A-8'!R52</f>
        <v>-</v>
      </c>
      <c r="P169" s="193">
        <f t="shared" ref="P169:P184" si="38">SUM(J169:O169)</f>
        <v>27</v>
      </c>
    </row>
    <row r="170" spans="1:16" ht="11.25" customHeight="1" x14ac:dyDescent="0.25">
      <c r="A170" s="473">
        <v>2000</v>
      </c>
      <c r="B170" s="193">
        <f>IF(AND('A-13'!B171="-",'A-8'!D53="-"),"-",SUM('A-13'!B171,'A-8'!D53))</f>
        <v>9</v>
      </c>
      <c r="C170" s="193">
        <f>IF(AND('A-13'!C171="-",'A-8'!E53="-"),"-",SUM('A-13'!C171,'A-8'!E53))</f>
        <v>236</v>
      </c>
      <c r="D170" s="193" t="str">
        <f>IF(AND('A-13'!D171="-",'A-8'!F53="-"),"-",SUM('A-13'!D171,'A-8'!F53))</f>
        <v>-</v>
      </c>
      <c r="E170" s="193">
        <f>IF(AND('A-13'!E171="-",'A-8'!G53="-"),"-",SUM('A-13'!E171,'A-8'!G53))</f>
        <v>2464</v>
      </c>
      <c r="F170" s="193">
        <f>IF(AND('A-13'!F171="-",'A-8'!H53="-"),"-",SUM('A-13'!F171,'A-8'!H53))</f>
        <v>89</v>
      </c>
      <c r="G170" s="193" t="str">
        <f>'A-8'!I53</f>
        <v>-</v>
      </c>
      <c r="H170" s="193">
        <f t="shared" si="37"/>
        <v>2798</v>
      </c>
      <c r="J170" s="193" t="s">
        <v>29</v>
      </c>
      <c r="K170" s="193" t="str">
        <f>IF(AND('A-13'!J171="-",'A-8'!N53="-"),"-",SUM('A-13'!J171,'A-8'!N53))</f>
        <v>-</v>
      </c>
      <c r="L170" s="193" t="str">
        <f>IF(AND('A-13'!K171="-",'A-8'!O53="-"),"-",SUM('A-13'!K171,'A-8'!O53))</f>
        <v>-</v>
      </c>
      <c r="M170" s="193">
        <f>IF(AND('A-13'!L171="-",'A-8'!P53="-"),"-",SUM('A-13'!L171,'A-8'!P53))</f>
        <v>14014</v>
      </c>
      <c r="N170" s="193">
        <f>IF(AND('A-13'!M171="-",'A-8'!Q53="-"),"-",SUM('A-13'!M171,'A-8'!Q53))</f>
        <v>1043</v>
      </c>
      <c r="O170" s="193" t="str">
        <f>'A-8'!R53</f>
        <v>-</v>
      </c>
      <c r="P170" s="193">
        <f t="shared" si="38"/>
        <v>15057</v>
      </c>
    </row>
    <row r="171" spans="1:16" ht="11.25" customHeight="1" x14ac:dyDescent="0.25">
      <c r="A171" s="473">
        <v>2001</v>
      </c>
      <c r="B171" s="193">
        <f>IF(AND('A-13'!B172="-",'A-8'!D54="-"),"-",SUM('A-13'!B172,'A-8'!D54))</f>
        <v>898</v>
      </c>
      <c r="C171" s="193">
        <f>IF(AND('A-13'!C172="-",'A-8'!E54="-"),"-",SUM('A-13'!C172,'A-8'!E54))</f>
        <v>1713</v>
      </c>
      <c r="D171" s="193">
        <f>IF(AND('A-13'!D172="-",'A-8'!F54="-"),"-",SUM('A-13'!D172,'A-8'!F54))</f>
        <v>1036</v>
      </c>
      <c r="E171" s="193">
        <f>IF(AND('A-13'!E172="-",'A-8'!G54="-"),"-",SUM('A-13'!E172,'A-8'!G54))</f>
        <v>901</v>
      </c>
      <c r="F171" s="193">
        <f>IF(AND('A-13'!F172="-",'A-8'!H54="-"),"-",SUM('A-13'!F172,'A-8'!H54))</f>
        <v>487</v>
      </c>
      <c r="G171" s="193" t="str">
        <f>'A-8'!I54</f>
        <v>-</v>
      </c>
      <c r="H171" s="193">
        <f t="shared" si="37"/>
        <v>5035</v>
      </c>
      <c r="J171" s="193" t="s">
        <v>29</v>
      </c>
      <c r="K171" s="193" t="str">
        <f>IF(AND('A-13'!J172="-",'A-8'!N54="-"),"-",SUM('A-13'!J172,'A-8'!N54))</f>
        <v>-</v>
      </c>
      <c r="L171" s="193">
        <f>IF(AND('A-13'!K172="-",'A-8'!O54="-"),"-",SUM('A-13'!K172,'A-8'!O54))</f>
        <v>4052</v>
      </c>
      <c r="M171" s="193">
        <f>IF(AND('A-13'!L172="-",'A-8'!P54="-"),"-",SUM('A-13'!L172,'A-8'!P54))</f>
        <v>3970</v>
      </c>
      <c r="N171" s="193">
        <f>IF(AND('A-13'!M172="-",'A-8'!Q54="-"),"-",SUM('A-13'!M172,'A-8'!Q54))</f>
        <v>2769</v>
      </c>
      <c r="O171" s="193" t="str">
        <f>'A-8'!R54</f>
        <v>-</v>
      </c>
      <c r="P171" s="193">
        <f t="shared" si="38"/>
        <v>10791</v>
      </c>
    </row>
    <row r="172" spans="1:16" ht="11.25" customHeight="1" x14ac:dyDescent="0.25">
      <c r="A172" s="473">
        <v>2002</v>
      </c>
      <c r="B172" s="193">
        <f>IF(AND('A-13'!B173="-",'A-8'!D55="-"),"-",SUM('A-13'!B173,'A-8'!D55))</f>
        <v>1226</v>
      </c>
      <c r="C172" s="193">
        <f>IF(AND('A-13'!C173="-",'A-8'!E55="-"),"-",SUM('A-13'!C173,'A-8'!E55))</f>
        <v>3237</v>
      </c>
      <c r="D172" s="193">
        <f>IF(AND('A-13'!D173="-",'A-8'!F55="-"),"-",SUM('A-13'!D173,'A-8'!F55))</f>
        <v>5096</v>
      </c>
      <c r="E172" s="193">
        <f>IF(AND('A-13'!E173="-",'A-8'!G55="-"),"-",SUM('A-13'!E173,'A-8'!G55))</f>
        <v>4994</v>
      </c>
      <c r="F172" s="193" t="str">
        <f>IF(AND('A-13'!F173="-",'A-8'!H55="-"),"-",SUM('A-13'!F173,'A-8'!H55))</f>
        <v>-</v>
      </c>
      <c r="G172" s="193" t="str">
        <f>'A-8'!I55</f>
        <v>-</v>
      </c>
      <c r="H172" s="193">
        <f t="shared" si="37"/>
        <v>14553</v>
      </c>
      <c r="J172" s="193" t="s">
        <v>29</v>
      </c>
      <c r="K172" s="193" t="str">
        <f>IF(AND('A-13'!J173="-",'A-8'!N55="-"),"-",SUM('A-13'!J173,'A-8'!N55))</f>
        <v>-</v>
      </c>
      <c r="L172" s="193" t="str">
        <f>IF(AND('A-13'!K173="-",'A-8'!O55="-"),"-",SUM('A-13'!K173,'A-8'!O55))</f>
        <v>-</v>
      </c>
      <c r="M172" s="193">
        <f>IF(AND('A-13'!L173="-",'A-8'!P55="-"),"-",SUM('A-13'!L173,'A-8'!P55))</f>
        <v>1642</v>
      </c>
      <c r="N172" s="193" t="str">
        <f>IF(AND('A-13'!M173="-",'A-8'!Q55="-"),"-",SUM('A-13'!M173,'A-8'!Q55))</f>
        <v>-</v>
      </c>
      <c r="O172" s="193" t="str">
        <f>'A-8'!R55</f>
        <v>-</v>
      </c>
      <c r="P172" s="193">
        <f t="shared" si="38"/>
        <v>1642</v>
      </c>
    </row>
    <row r="173" spans="1:16" ht="11.25" customHeight="1" x14ac:dyDescent="0.25">
      <c r="A173" s="473">
        <v>2003</v>
      </c>
      <c r="B173" s="193">
        <f>IF(AND('A-13'!B174="-",'A-8'!D56="-"),"-",SUM('A-13'!B174,'A-8'!D56))</f>
        <v>5717</v>
      </c>
      <c r="C173" s="193">
        <f>IF(AND('A-13'!C174="-",'A-8'!E56="-"),"-",SUM('A-13'!C174,'A-8'!E56))</f>
        <v>1281</v>
      </c>
      <c r="D173" s="193">
        <f>IF(AND('A-13'!D174="-",'A-8'!F56="-"),"-",SUM('A-13'!D174,'A-8'!F56))</f>
        <v>1796</v>
      </c>
      <c r="E173" s="193">
        <f>IF(AND('A-13'!E174="-",'A-8'!G56="-"),"-",SUM('A-13'!E174,'A-8'!G56))</f>
        <v>2760</v>
      </c>
      <c r="F173" s="193">
        <f>IF(AND('A-13'!F174="-",'A-8'!H56="-"),"-",SUM('A-13'!F174,'A-8'!H56))</f>
        <v>750</v>
      </c>
      <c r="G173" s="193" t="str">
        <f>'A-8'!I56</f>
        <v>-</v>
      </c>
      <c r="H173" s="193">
        <f t="shared" si="37"/>
        <v>12304</v>
      </c>
      <c r="J173" s="193" t="s">
        <v>29</v>
      </c>
      <c r="K173" s="193" t="str">
        <f>IF(AND('A-13'!J174="-",'A-8'!N56="-"),"-",SUM('A-13'!J174,'A-8'!N56))</f>
        <v>-</v>
      </c>
      <c r="L173" s="193">
        <f>IF(AND('A-13'!K174="-",'A-8'!O56="-"),"-",SUM('A-13'!K174,'A-8'!O56))</f>
        <v>1890</v>
      </c>
      <c r="M173" s="193">
        <f>IF(AND('A-13'!L174="-",'A-8'!P56="-"),"-",SUM('A-13'!L174,'A-8'!P56))</f>
        <v>4169</v>
      </c>
      <c r="N173" s="193">
        <f>IF(AND('A-13'!M174="-",'A-8'!Q56="-"),"-",SUM('A-13'!M174,'A-8'!Q56))</f>
        <v>1672</v>
      </c>
      <c r="O173" s="193" t="str">
        <f>'A-8'!R56</f>
        <v>-</v>
      </c>
      <c r="P173" s="193">
        <f t="shared" si="38"/>
        <v>7731</v>
      </c>
    </row>
    <row r="174" spans="1:16" ht="11.25" customHeight="1" x14ac:dyDescent="0.25">
      <c r="A174" s="473">
        <v>2004</v>
      </c>
      <c r="B174" s="193">
        <f>IF(AND('A-13'!B175="-",'A-8'!D57="-"),"-",SUM('A-13'!B175,'A-8'!D57))</f>
        <v>1940</v>
      </c>
      <c r="C174" s="193">
        <f>IF(AND('A-13'!C175="-",'A-8'!E57="-"),"-",SUM('A-13'!C175,'A-8'!E57))</f>
        <v>94</v>
      </c>
      <c r="D174" s="193">
        <f>IF(AND('A-13'!D175="-",'A-8'!F57="-"),"-",SUM('A-13'!D175,'A-8'!F57))</f>
        <v>453</v>
      </c>
      <c r="E174" s="193">
        <f>IF(AND('A-13'!E175="-",'A-8'!G57="-"),"-",SUM('A-13'!E175,'A-8'!G57))</f>
        <v>430</v>
      </c>
      <c r="F174" s="193">
        <f>IF(AND('A-13'!F175="-",'A-8'!H57="-"),"-",SUM('A-13'!F175,'A-8'!H57))</f>
        <v>559</v>
      </c>
      <c r="G174" s="193" t="str">
        <f>'A-8'!I57</f>
        <v>-</v>
      </c>
      <c r="H174" s="193">
        <f t="shared" si="37"/>
        <v>3476</v>
      </c>
      <c r="J174" s="193" t="s">
        <v>29</v>
      </c>
      <c r="K174" s="193" t="str">
        <f>IF(AND('A-13'!J175="-",'A-8'!N57="-"),"-",SUM('A-13'!J175,'A-8'!N57))</f>
        <v>-</v>
      </c>
      <c r="L174" s="193">
        <f>IF(AND('A-13'!K175="-",'A-8'!O57="-"),"-",SUM('A-13'!K175,'A-8'!O57))</f>
        <v>906</v>
      </c>
      <c r="M174" s="193">
        <f>IF(AND('A-13'!L175="-",'A-8'!P57="-"),"-",SUM('A-13'!L175,'A-8'!P57))</f>
        <v>1708</v>
      </c>
      <c r="N174" s="193">
        <f>IF(AND('A-13'!M175="-",'A-8'!Q57="-"),"-",SUM('A-13'!M175,'A-8'!Q57))</f>
        <v>7355</v>
      </c>
      <c r="O174" s="193" t="str">
        <f>'A-8'!R57</f>
        <v>-</v>
      </c>
      <c r="P174" s="193">
        <f t="shared" si="38"/>
        <v>9969</v>
      </c>
    </row>
    <row r="175" spans="1:16" ht="11.25" customHeight="1" x14ac:dyDescent="0.25">
      <c r="A175" s="477">
        <v>2005</v>
      </c>
      <c r="B175" s="193">
        <f>IF(AND('A-13'!B176="-",'A-8'!D58="-"),"-",SUM('A-13'!B176,'A-8'!D58))</f>
        <v>5373</v>
      </c>
      <c r="C175" s="193">
        <f>IF(AND('A-13'!C176="-",'A-8'!E58="-"),"-",SUM('A-13'!C176,'A-8'!E58))</f>
        <v>1235</v>
      </c>
      <c r="D175" s="193">
        <f>IF(AND('A-13'!D176="-",'A-8'!F58="-"),"-",SUM('A-13'!D176,'A-8'!F58))</f>
        <v>629</v>
      </c>
      <c r="E175" s="193">
        <f>IF(AND('A-13'!E176="-",'A-8'!G58="-"),"-",SUM('A-13'!E176,'A-8'!G58))</f>
        <v>4334</v>
      </c>
      <c r="F175" s="193" t="str">
        <f>IF(AND('A-13'!F176="-",'A-8'!H58="-"),"-",SUM('A-13'!F176,'A-8'!H58))</f>
        <v>-</v>
      </c>
      <c r="G175" s="197" t="str">
        <f>'A-8'!I58</f>
        <v>-</v>
      </c>
      <c r="H175" s="197">
        <f>SUM(B175:G175)</f>
        <v>11571</v>
      </c>
      <c r="I175" s="197"/>
      <c r="J175" s="197" t="s">
        <v>29</v>
      </c>
      <c r="K175" s="193" t="str">
        <f>IF(AND('A-13'!J176="-",'A-8'!N58="-"),"-",SUM('A-13'!J176,'A-8'!N58))</f>
        <v>-</v>
      </c>
      <c r="L175" s="193">
        <f>IF(AND('A-13'!K176="-",'A-8'!O58="-"),"-",SUM('A-13'!K176,'A-8'!O58))</f>
        <v>358</v>
      </c>
      <c r="M175" s="193">
        <f>IF(AND('A-13'!L176="-",'A-8'!P58="-"),"-",SUM('A-13'!L176,'A-8'!P58))</f>
        <v>2898</v>
      </c>
      <c r="N175" s="193" t="str">
        <f>IF(AND('A-13'!M176="-",'A-8'!Q58="-"),"-",SUM('A-13'!M176,'A-8'!Q58))</f>
        <v>-</v>
      </c>
      <c r="O175" s="197" t="str">
        <f>'A-8'!R58</f>
        <v>-</v>
      </c>
      <c r="P175" s="193">
        <f t="shared" si="38"/>
        <v>3256</v>
      </c>
    </row>
    <row r="176" spans="1:16" ht="11.25" customHeight="1" x14ac:dyDescent="0.25">
      <c r="A176" s="473">
        <v>2006</v>
      </c>
      <c r="B176" s="193">
        <f>IF(AND('A-13'!B177="-",'A-8'!D59="-"),"-",SUM('A-13'!B177,'A-8'!D59))</f>
        <v>8913</v>
      </c>
      <c r="C176" s="193">
        <f>IF(AND('A-13'!C177="-",'A-8'!E59="-"),"-",SUM('A-13'!C177,'A-8'!E59))</f>
        <v>3532</v>
      </c>
      <c r="D176" s="193">
        <f>IF(AND('A-13'!D177="-",'A-8'!F59="-"),"-",SUM('A-13'!D177,'A-8'!F59))</f>
        <v>1</v>
      </c>
      <c r="E176" s="193">
        <f>IF(AND('A-13'!E177="-",'A-8'!G59="-"),"-",SUM('A-13'!E177,'A-8'!G59))</f>
        <v>62</v>
      </c>
      <c r="F176" s="193">
        <f>IF(AND('A-13'!F177="-",'A-8'!H59="-"),"-",SUM('A-13'!F177,'A-8'!H59))</f>
        <v>105</v>
      </c>
      <c r="G176" s="193" t="str">
        <f>'A-8'!I59</f>
        <v>-</v>
      </c>
      <c r="H176" s="193">
        <f>SUM(B176:G176)</f>
        <v>12613</v>
      </c>
      <c r="J176" s="193" t="s">
        <v>29</v>
      </c>
      <c r="K176" s="193" t="str">
        <f>IF(AND('A-13'!J177="-",'A-8'!N59="-"),"-",SUM('A-13'!J177,'A-8'!N59))</f>
        <v>-</v>
      </c>
      <c r="L176" s="193">
        <f>IF(AND('A-13'!K177="-",'A-8'!O59="-"),"-",SUM('A-13'!K177,'A-8'!O59))</f>
        <v>17</v>
      </c>
      <c r="M176" s="193">
        <f>IF(AND('A-13'!L177="-",'A-8'!P59="-"),"-",SUM('A-13'!L177,'A-8'!P59))</f>
        <v>944</v>
      </c>
      <c r="N176" s="193">
        <f>IF(AND('A-13'!M177="-",'A-8'!Q59="-"),"-",SUM('A-13'!M177,'A-8'!Q59))</f>
        <v>527</v>
      </c>
      <c r="O176" s="193" t="str">
        <f>'A-8'!R59</f>
        <v>-</v>
      </c>
      <c r="P176" s="193">
        <f t="shared" si="38"/>
        <v>1488</v>
      </c>
    </row>
    <row r="177" spans="1:16" ht="11.25" customHeight="1" x14ac:dyDescent="0.25">
      <c r="A177" s="477">
        <v>2007</v>
      </c>
      <c r="B177" s="193">
        <f>IF(AND('A-13'!B178="-",'A-8'!D60="-"),"-",SUM('A-13'!B178,'A-8'!D60))</f>
        <v>950</v>
      </c>
      <c r="C177" s="193">
        <f>IF(AND('A-13'!C178="-",'A-8'!E60="-"),"-",SUM('A-13'!C178,'A-8'!E60))</f>
        <v>600</v>
      </c>
      <c r="D177" s="193">
        <f>IF(AND('A-13'!D178="-",'A-8'!F60="-"),"-",SUM('A-13'!D178,'A-8'!F60))</f>
        <v>158</v>
      </c>
      <c r="E177" s="193">
        <f>IF(AND('A-13'!E178="-",'A-8'!G60="-"),"-",SUM('A-13'!E178,'A-8'!G60))</f>
        <v>213</v>
      </c>
      <c r="F177" s="193">
        <f>IF(AND('A-13'!F178="-",'A-8'!H60="-"),"-",SUM('A-13'!F178,'A-8'!H60))</f>
        <v>22</v>
      </c>
      <c r="G177" s="197" t="str">
        <f>'A-8'!I60</f>
        <v>-</v>
      </c>
      <c r="H177" s="197">
        <f>SUM(B177:G177)</f>
        <v>1943</v>
      </c>
      <c r="I177" s="197"/>
      <c r="J177" s="197" t="s">
        <v>29</v>
      </c>
      <c r="K177" s="193" t="str">
        <f>IF(AND('A-13'!J178="-",'A-8'!N60="-"),"-",SUM('A-13'!J178,'A-8'!N60))</f>
        <v>-</v>
      </c>
      <c r="L177" s="193">
        <f>IF(AND('A-13'!K178="-",'A-8'!O60="-"),"-",SUM('A-13'!K178,'A-8'!O60))</f>
        <v>1400</v>
      </c>
      <c r="M177" s="193">
        <f>IF(AND('A-13'!L178="-",'A-8'!P60="-"),"-",SUM('A-13'!L178,'A-8'!P60))</f>
        <v>12736</v>
      </c>
      <c r="N177" s="193">
        <f>IF(AND('A-13'!M178="-",'A-8'!Q60="-"),"-",SUM('A-13'!M178,'A-8'!Q60))</f>
        <v>283</v>
      </c>
      <c r="O177" s="197" t="str">
        <f>'A-8'!R60</f>
        <v>-</v>
      </c>
      <c r="P177" s="193">
        <f t="shared" si="38"/>
        <v>14419</v>
      </c>
    </row>
    <row r="178" spans="1:16" ht="11.25" customHeight="1" x14ac:dyDescent="0.25">
      <c r="A178" s="477">
        <v>2008</v>
      </c>
      <c r="B178" s="193">
        <f>IF(AND('A-13'!B179="-",'A-8'!D61="-"),"-",SUM('A-13'!B179,'A-8'!D61))</f>
        <v>2977</v>
      </c>
      <c r="C178" s="193">
        <f>IF(AND('A-13'!C179="-",'A-8'!E61="-"),"-",SUM('A-13'!C179,'A-8'!E61))</f>
        <v>3355</v>
      </c>
      <c r="D178" s="193">
        <f>IF(AND('A-13'!D179="-",'A-8'!F61="-"),"-",SUM('A-13'!D179,'A-8'!F61))</f>
        <v>136</v>
      </c>
      <c r="E178" s="193">
        <f>IF(AND('A-13'!E179="-",'A-8'!G61="-"),"-",SUM('A-13'!E179,'A-8'!G61))</f>
        <v>185</v>
      </c>
      <c r="F178" s="193">
        <f>IF(AND('A-13'!F179="-",'A-8'!H61="-"),"-",SUM('A-13'!F179,'A-8'!H61))</f>
        <v>23</v>
      </c>
      <c r="G178" s="197" t="str">
        <f>'A-8'!I61</f>
        <v>-</v>
      </c>
      <c r="H178" s="197">
        <f>SUM(B178:G178)</f>
        <v>6676</v>
      </c>
      <c r="I178" s="197"/>
      <c r="J178" s="197" t="s">
        <v>29</v>
      </c>
      <c r="K178" s="193" t="str">
        <f>IF(AND('A-13'!J179="-",'A-8'!N61="-"),"-",SUM('A-13'!J179,'A-8'!N61))</f>
        <v>-</v>
      </c>
      <c r="L178" s="193">
        <f>IF(AND('A-13'!K179="-",'A-8'!O61="-"),"-",SUM('A-13'!K179,'A-8'!O61))</f>
        <v>53</v>
      </c>
      <c r="M178" s="193">
        <f>IF(AND('A-13'!L179="-",'A-8'!P61="-"),"-",SUM('A-13'!L179,'A-8'!P61))</f>
        <v>421</v>
      </c>
      <c r="N178" s="193">
        <f>IF(AND('A-13'!M179="-",'A-8'!Q61="-"),"-",SUM('A-13'!M179,'A-8'!Q61))</f>
        <v>37</v>
      </c>
      <c r="O178" s="197" t="str">
        <f>'A-8'!R61</f>
        <v>-</v>
      </c>
      <c r="P178" s="193">
        <f t="shared" si="38"/>
        <v>511</v>
      </c>
    </row>
    <row r="179" spans="1:16" ht="11.25" customHeight="1" x14ac:dyDescent="0.25">
      <c r="A179" s="477">
        <v>2009</v>
      </c>
      <c r="B179" s="193">
        <f>IF(AND('A-13'!B180="-",'A-8'!D62="-"),"-",SUM('A-13'!B180,'A-8'!D62))</f>
        <v>265</v>
      </c>
      <c r="C179" s="193">
        <f>IF(AND('A-13'!C180="-",'A-8'!E62="-"),"-",SUM('A-13'!C180,'A-8'!E62))</f>
        <v>281</v>
      </c>
      <c r="D179" s="193">
        <f>IF(AND('A-13'!D180="-",'A-8'!F62="-"),"-",SUM('A-13'!D180,'A-8'!F62))</f>
        <v>260</v>
      </c>
      <c r="E179" s="193">
        <f>IF(AND('A-13'!E180="-",'A-8'!G62="-"),"-",SUM('A-13'!E180,'A-8'!G62))</f>
        <v>163</v>
      </c>
      <c r="F179" s="193">
        <f>IF(AND('A-13'!F180="-",'A-8'!H62="-"),"-",SUM('A-13'!F180,'A-8'!H62))</f>
        <v>4</v>
      </c>
      <c r="G179" s="197" t="str">
        <f>'A-8'!I62</f>
        <v>-</v>
      </c>
      <c r="H179" s="197">
        <f>SUM(B179:G179)</f>
        <v>973</v>
      </c>
      <c r="I179" s="197"/>
      <c r="J179" s="197" t="s">
        <v>29</v>
      </c>
      <c r="K179" s="193" t="str">
        <f>IF(AND('A-13'!J180="-",'A-8'!N62="-"),"-",SUM('A-13'!J180,'A-8'!N62))</f>
        <v>-</v>
      </c>
      <c r="L179" s="193">
        <f>IF(AND('A-13'!K180="-",'A-8'!O62="-"),"-",SUM('A-13'!K180,'A-8'!O62))</f>
        <v>9648</v>
      </c>
      <c r="M179" s="193">
        <f>IF(AND('A-13'!L180="-",'A-8'!P62="-"),"-",SUM('A-13'!L180,'A-8'!P62))</f>
        <v>5125</v>
      </c>
      <c r="N179" s="193">
        <f>IF(AND('A-13'!M180="-",'A-8'!Q62="-"),"-",SUM('A-13'!M180,'A-8'!Q62))</f>
        <v>165</v>
      </c>
      <c r="O179" s="197" t="str">
        <f>'A-8'!R62</f>
        <v>-</v>
      </c>
      <c r="P179" s="193">
        <f t="shared" si="38"/>
        <v>14938</v>
      </c>
    </row>
    <row r="180" spans="1:16" ht="11.25" customHeight="1" x14ac:dyDescent="0.25">
      <c r="A180" s="477">
        <v>2010</v>
      </c>
      <c r="B180" s="193">
        <f>IF(AND('A-13'!B181="-",'A-8'!D63="-"),"-",SUM('A-13'!B181,'A-8'!D63))</f>
        <v>790</v>
      </c>
      <c r="C180" s="193">
        <f>IF(AND('A-13'!C181="-",'A-8'!E63="-"),"-",SUM('A-13'!C181,'A-8'!E63))</f>
        <v>6882</v>
      </c>
      <c r="D180" s="193">
        <f>IF(AND('A-13'!D181="-",'A-8'!F63="-"),"-",SUM('A-13'!D181,'A-8'!F63))</f>
        <v>2289</v>
      </c>
      <c r="E180" s="193">
        <f>IF(AND('A-13'!E181="-",'A-8'!G63="-"),"-",SUM('A-13'!E181,'A-8'!G63))</f>
        <v>1894</v>
      </c>
      <c r="F180" s="193">
        <f>IF(AND('A-13'!F181="-",'A-8'!H63="-"),"-",SUM('A-13'!F181,'A-8'!H63))</f>
        <v>151</v>
      </c>
      <c r="G180" s="197" t="str">
        <f>'A-8'!I63</f>
        <v>-</v>
      </c>
      <c r="H180" s="197">
        <f t="shared" ref="H180:H188" si="39">SUM(B180:G180)</f>
        <v>12006</v>
      </c>
      <c r="I180" s="197"/>
      <c r="J180" s="197" t="s">
        <v>29</v>
      </c>
      <c r="K180" s="193" t="str">
        <f>IF(AND('A-13'!J181="-",'A-8'!N63="-"),"-",SUM('A-13'!J181,'A-8'!N63))</f>
        <v>-</v>
      </c>
      <c r="L180" s="193">
        <f>IF(AND('A-13'!K181="-",'A-8'!O63="-"),"-",SUM('A-13'!K181,'A-8'!O63))</f>
        <v>736</v>
      </c>
      <c r="M180" s="193">
        <f>IF(AND('A-13'!L181="-",'A-8'!P63="-"),"-",SUM('A-13'!L181,'A-8'!P63))</f>
        <v>406</v>
      </c>
      <c r="N180" s="193">
        <f>IF(AND('A-13'!M181="-",'A-8'!Q63="-"),"-",SUM('A-13'!M181,'A-8'!Q63))</f>
        <v>49</v>
      </c>
      <c r="O180" s="197" t="str">
        <f>'A-8'!R63</f>
        <v>-</v>
      </c>
      <c r="P180" s="193">
        <f t="shared" si="38"/>
        <v>1191</v>
      </c>
    </row>
    <row r="181" spans="1:16" ht="11.25" customHeight="1" x14ac:dyDescent="0.25">
      <c r="A181" s="477">
        <v>2011</v>
      </c>
      <c r="B181" s="193">
        <f>IF(AND('A-13'!B182="-",'A-8'!D64="-"),"-",SUM('A-13'!B182,'A-8'!D64))</f>
        <v>1529</v>
      </c>
      <c r="C181" s="193">
        <f>IF(AND('A-13'!C182="-",'A-8'!E64="-"),"-",SUM('A-13'!C182,'A-8'!E64))</f>
        <v>1943</v>
      </c>
      <c r="D181" s="193">
        <f>IF(AND('A-13'!D182="-",'A-8'!F64="-"),"-",SUM('A-13'!D182,'A-8'!F64))</f>
        <v>115</v>
      </c>
      <c r="E181" s="193">
        <f>IF(AND('A-13'!E182="-",'A-8'!G64="-"),"-",SUM('A-13'!E182,'A-8'!G64))</f>
        <v>251</v>
      </c>
      <c r="F181" s="193">
        <f>IF(AND('A-13'!F182="-",'A-8'!H64="-"),"-",SUM('A-13'!F182,'A-8'!H64))</f>
        <v>30</v>
      </c>
      <c r="G181" s="197" t="str">
        <f>'A-8'!I64</f>
        <v>-</v>
      </c>
      <c r="H181" s="197">
        <f t="shared" si="39"/>
        <v>3868</v>
      </c>
      <c r="I181" s="197"/>
      <c r="J181" s="197" t="s">
        <v>29</v>
      </c>
      <c r="K181" s="193" t="str">
        <f>IF(AND('A-13'!J182="-",'A-8'!N64="-"),"-",SUM('A-13'!J182,'A-8'!N64))</f>
        <v>-</v>
      </c>
      <c r="L181" s="193">
        <f>IF(AND('A-13'!K182="-",'A-8'!O64="-"),"-",SUM('A-13'!K182,'A-8'!O64))</f>
        <v>235</v>
      </c>
      <c r="M181" s="193">
        <f>IF(AND('A-13'!L182="-",'A-8'!P64="-"),"-",SUM('A-13'!L182,'A-8'!P64))</f>
        <v>172</v>
      </c>
      <c r="N181" s="193">
        <f>IF(AND('A-13'!M182="-",'A-8'!Q64="-"),"-",SUM('A-13'!M182,'A-8'!Q64))</f>
        <v>95</v>
      </c>
      <c r="O181" s="197" t="str">
        <f>'A-8'!R64</f>
        <v>-</v>
      </c>
      <c r="P181" s="193">
        <f t="shared" si="38"/>
        <v>502</v>
      </c>
    </row>
    <row r="182" spans="1:16" ht="11.25" customHeight="1" x14ac:dyDescent="0.25">
      <c r="A182" s="477">
        <v>2012</v>
      </c>
      <c r="B182" s="193">
        <f>IF(AND('A-13'!B183="-",'A-8'!D65="-"),"-",SUM('A-13'!B183,'A-8'!D65))</f>
        <v>1297</v>
      </c>
      <c r="C182" s="193">
        <f>IF(AND('A-13'!C183="-",'A-8'!E65="-"),"-",SUM('A-13'!C183,'A-8'!E65))</f>
        <v>7053</v>
      </c>
      <c r="D182" s="193">
        <f>IF(AND('A-13'!D183="-",'A-8'!F65="-"),"-",SUM('A-13'!D183,'A-8'!F65))</f>
        <v>276</v>
      </c>
      <c r="E182" s="193">
        <f>IF(AND('A-13'!E183="-",'A-8'!G65="-"),"-",SUM('A-13'!E183,'A-8'!G65))</f>
        <v>149</v>
      </c>
      <c r="F182" s="193">
        <f>IF(AND('A-13'!F183="-",'A-8'!H65="-"),"-",SUM('A-13'!F183,'A-8'!H65))</f>
        <v>1919</v>
      </c>
      <c r="G182" s="197" t="str">
        <f>'A-8'!I65</f>
        <v>-</v>
      </c>
      <c r="H182" s="197">
        <f t="shared" si="39"/>
        <v>10694</v>
      </c>
      <c r="I182" s="197"/>
      <c r="J182" s="197" t="s">
        <v>29</v>
      </c>
      <c r="K182" s="193" t="str">
        <f>IF(AND('A-13'!J183="-",'A-8'!N65="-"),"-",SUM('A-13'!J183,'A-8'!N65))</f>
        <v>-</v>
      </c>
      <c r="L182" s="193">
        <f>IF(AND('A-13'!K183="-",'A-8'!O65="-"),"-",SUM('A-13'!K183,'A-8'!O65))</f>
        <v>61</v>
      </c>
      <c r="M182" s="193">
        <f>IF(AND('A-13'!L183="-",'A-8'!P65="-"),"-",SUM('A-13'!L183,'A-8'!P65))</f>
        <v>37</v>
      </c>
      <c r="N182" s="193">
        <f>IF(AND('A-13'!M183="-",'A-8'!Q65="-"),"-",SUM('A-13'!M183,'A-8'!Q65))</f>
        <v>615</v>
      </c>
      <c r="O182" s="197" t="str">
        <f>'A-8'!R65</f>
        <v>-</v>
      </c>
      <c r="P182" s="193">
        <f t="shared" si="38"/>
        <v>713</v>
      </c>
    </row>
    <row r="183" spans="1:16" ht="11.25" customHeight="1" x14ac:dyDescent="0.25">
      <c r="A183" s="477">
        <v>2013</v>
      </c>
      <c r="B183" s="193">
        <f>IF(AND('A-13'!B184="-",'A-8'!D66="-"),"-",SUM('A-13'!B184,'A-8'!D66))</f>
        <v>534</v>
      </c>
      <c r="C183" s="193">
        <f>IF(AND('A-13'!C184="-",'A-8'!E66="-"),"-",SUM('A-13'!C184,'A-8'!E66))</f>
        <v>1062</v>
      </c>
      <c r="D183" s="193">
        <f>IF(AND('A-13'!D184="-",'A-8'!F66="-"),"-",SUM('A-13'!D184,'A-8'!F66))</f>
        <v>178</v>
      </c>
      <c r="E183" s="193">
        <f>IF(AND('A-13'!E184="-",'A-8'!G66="-"),"-",SUM('A-13'!E184,'A-8'!G66))</f>
        <v>298</v>
      </c>
      <c r="F183" s="193">
        <f>IF(AND('A-13'!F184="-",'A-8'!H66="-"),"-",SUM('A-13'!F184,'A-8'!H66))</f>
        <v>433</v>
      </c>
      <c r="G183" s="197" t="str">
        <f>'A-8'!I66</f>
        <v>-</v>
      </c>
      <c r="H183" s="197">
        <f t="shared" si="39"/>
        <v>2505</v>
      </c>
      <c r="I183" s="197"/>
      <c r="J183" s="197" t="s">
        <v>29</v>
      </c>
      <c r="K183" s="193" t="str">
        <f>IF(AND('A-13'!J184="-",'A-8'!N66="-"),"-",SUM('A-13'!J184,'A-8'!N66))</f>
        <v>-</v>
      </c>
      <c r="L183" s="193">
        <f>IF(AND('A-13'!K184="-",'A-8'!O66="-"),"-",SUM('A-13'!K184,'A-8'!O66))</f>
        <v>67</v>
      </c>
      <c r="M183" s="193">
        <f>IF(AND('A-13'!L184="-",'A-8'!P66="-"),"-",SUM('A-13'!L184,'A-8'!P66))</f>
        <v>375</v>
      </c>
      <c r="N183" s="193">
        <f>IF(AND('A-13'!M184="-",'A-8'!Q66="-"),"-",SUM('A-13'!M184,'A-8'!Q66))</f>
        <v>137</v>
      </c>
      <c r="O183" s="197" t="str">
        <f>'A-8'!R66</f>
        <v>-</v>
      </c>
      <c r="P183" s="193">
        <f t="shared" si="38"/>
        <v>579</v>
      </c>
    </row>
    <row r="184" spans="1:16" ht="11.25" customHeight="1" x14ac:dyDescent="0.25">
      <c r="A184" s="477">
        <v>2014</v>
      </c>
      <c r="B184" s="193">
        <f>IF(AND('A-13'!B185="-",'A-8'!D67="-"),"-",SUM('A-13'!B185,'A-8'!D67))</f>
        <v>20242</v>
      </c>
      <c r="C184" s="193">
        <f>IF(AND('A-13'!C185="-",'A-8'!E67="-"),"-",SUM('A-13'!C185,'A-8'!E67))</f>
        <v>1278</v>
      </c>
      <c r="D184" s="193">
        <f>IF(AND('A-13'!D185="-",'A-8'!F67="-"),"-",SUM('A-13'!D185,'A-8'!F67))</f>
        <v>2880</v>
      </c>
      <c r="E184" s="193">
        <f>IF(AND('A-13'!E185="-",'A-8'!G67="-"),"-",SUM('A-13'!E185,'A-8'!G67))</f>
        <v>472</v>
      </c>
      <c r="F184" s="193">
        <f>IF(AND('A-13'!F185="-",'A-8'!H67="-"),"-",SUM('A-13'!F185,'A-8'!H67))</f>
        <v>290</v>
      </c>
      <c r="G184" s="197" t="str">
        <f>'A-8'!I67</f>
        <v>-</v>
      </c>
      <c r="H184" s="197">
        <f t="shared" si="39"/>
        <v>25162</v>
      </c>
      <c r="I184" s="197"/>
      <c r="J184" s="197" t="s">
        <v>29</v>
      </c>
      <c r="K184" s="193" t="str">
        <f>IF(AND('A-13'!J185="-",'A-8'!N67="-"),"-",SUM('A-13'!J185,'A-8'!N67))</f>
        <v>-</v>
      </c>
      <c r="L184" s="193">
        <f>IF(AND('A-13'!K185="-",'A-8'!O67="-"),"-",SUM('A-13'!K185,'A-8'!O67))</f>
        <v>2962</v>
      </c>
      <c r="M184" s="193">
        <f>IF(AND('A-13'!L185="-",'A-8'!P67="-"),"-",SUM('A-13'!L185,'A-8'!P67))</f>
        <v>2392</v>
      </c>
      <c r="N184" s="193">
        <f>IF(AND('A-13'!M185="-",'A-8'!Q67="-"),"-",SUM('A-13'!M185,'A-8'!Q67))</f>
        <v>4587</v>
      </c>
      <c r="O184" s="197" t="str">
        <f>'A-8'!R67</f>
        <v>-</v>
      </c>
      <c r="P184" s="193">
        <f t="shared" si="38"/>
        <v>9941</v>
      </c>
    </row>
    <row r="185" spans="1:16" ht="11.25" customHeight="1" x14ac:dyDescent="0.25">
      <c r="A185" s="477">
        <v>2015</v>
      </c>
      <c r="B185" s="193">
        <f>IF(AND('A-13'!B186="-",'A-8'!D68="-"),"-",SUM('A-13'!B186,'A-8'!D68))</f>
        <v>9487</v>
      </c>
      <c r="C185" s="193">
        <f>IF(AND('A-13'!C186="-",'A-8'!E68="-"),"-",SUM('A-13'!C186,'A-8'!E68))</f>
        <v>2177</v>
      </c>
      <c r="D185" s="193">
        <f>IF(AND('A-13'!D186="-",'A-8'!F68="-"),"-",SUM('A-13'!D186,'A-8'!F68))</f>
        <v>1389</v>
      </c>
      <c r="E185" s="193">
        <f>IF(AND('A-13'!E186="-",'A-8'!G68="-"),"-",SUM('A-13'!E186,'A-8'!G68))</f>
        <v>1037</v>
      </c>
      <c r="F185" s="193">
        <f>IF(AND('A-13'!F186="-",'A-8'!H68="-"),"-",SUM('A-13'!F186,'A-8'!H68))</f>
        <v>817</v>
      </c>
      <c r="G185" s="197" t="str">
        <f>'A-8'!I68</f>
        <v>-</v>
      </c>
      <c r="H185" s="197">
        <f t="shared" si="39"/>
        <v>14907</v>
      </c>
      <c r="I185" s="197"/>
      <c r="J185" s="52" t="s">
        <v>29</v>
      </c>
      <c r="K185" s="31" t="str">
        <f>IF(AND('A-13'!J186="-",'A-8'!N68="-"),"-",SUM('A-13'!J186,'A-8'!N68))</f>
        <v>-</v>
      </c>
      <c r="L185" s="31">
        <f>IF(AND('A-13'!K186="-",'A-8'!O68="-"),"-",SUM('A-13'!K186,'A-8'!O68))</f>
        <v>369</v>
      </c>
      <c r="M185" s="31">
        <f>IF(AND('A-13'!L186="-",'A-8'!P68="-"),"-",SUM('A-13'!L186,'A-8'!P68))</f>
        <v>582</v>
      </c>
      <c r="N185" s="31">
        <f>IF(AND('A-13'!M186="-",'A-8'!Q68="-"),"-",SUM('A-13'!M186,'A-8'!Q68))</f>
        <v>1952</v>
      </c>
      <c r="O185" s="52" t="str">
        <f>'A-8'!R68</f>
        <v>-</v>
      </c>
      <c r="P185" s="193">
        <f t="shared" ref="P185:P188" si="40">SUM(J185:O185)</f>
        <v>2903</v>
      </c>
    </row>
    <row r="186" spans="1:16" ht="11.25" customHeight="1" x14ac:dyDescent="0.25">
      <c r="A186" s="477">
        <v>2016</v>
      </c>
      <c r="B186" s="197">
        <f>IF(AND('A-13'!B187="-",'A-8'!D69="-"),"-",SUM('A-13'!B187,'A-8'!D69))</f>
        <v>1175</v>
      </c>
      <c r="C186" s="197">
        <f>IF(AND('A-13'!C187="-",'A-8'!E69="-"),"-",SUM('A-13'!C187,'A-8'!E69))</f>
        <v>1089</v>
      </c>
      <c r="D186" s="197">
        <f>IF(AND('A-13'!D187="-",'A-8'!F69="-"),"-",SUM('A-13'!D187,'A-8'!F69))</f>
        <v>428</v>
      </c>
      <c r="E186" s="197">
        <f>IF(AND('A-13'!E187="-",'A-8'!G69="-"),"-",SUM('A-13'!E187,'A-8'!G69))</f>
        <v>1025</v>
      </c>
      <c r="F186" s="197" t="str">
        <f>IF(AND('A-13'!F187="-",'A-8'!H69="-"),"-",SUM('A-13'!F187,'A-8'!H69))</f>
        <v>-</v>
      </c>
      <c r="G186" s="52" t="str">
        <f>'A-8'!I69</f>
        <v>-</v>
      </c>
      <c r="H186" s="197">
        <f t="shared" si="39"/>
        <v>3717</v>
      </c>
      <c r="I186" s="197"/>
      <c r="J186" s="52" t="s">
        <v>29</v>
      </c>
      <c r="K186" s="52" t="str">
        <f>IF(AND('A-13'!J187="-",'A-8'!N69="-"),"-",SUM('A-13'!J187,'A-8'!N69))</f>
        <v>-</v>
      </c>
      <c r="L186" s="52" t="str">
        <f>IF(AND('A-13'!K187="-",'A-8'!O69="-"),"-",SUM('A-13'!K187,'A-8'!O69))</f>
        <v>-</v>
      </c>
      <c r="M186" s="52" t="str">
        <f>IF(AND('A-13'!L187="-",'A-8'!P69="-"),"-",SUM('A-13'!L187,'A-8'!P69))</f>
        <v>-</v>
      </c>
      <c r="N186" s="52" t="str">
        <f>IF(AND('A-13'!M187="-",'A-8'!Q69="-"),"-",SUM('A-13'!M187,'A-8'!Q69))</f>
        <v>-</v>
      </c>
      <c r="O186" s="52" t="str">
        <f>'A-8'!R69</f>
        <v>-</v>
      </c>
      <c r="P186" s="52" t="str">
        <f>'A-8'!S69</f>
        <v>-</v>
      </c>
    </row>
    <row r="187" spans="1:16" ht="11.25" customHeight="1" x14ac:dyDescent="0.25">
      <c r="A187" s="477">
        <v>2017</v>
      </c>
      <c r="B187" s="197">
        <f>IF(AND('A-13'!B188="-",'A-8'!D70="-"),"-",SUM('A-13'!B188,'A-8'!D70))</f>
        <v>1228</v>
      </c>
      <c r="C187" s="197">
        <f>IF(AND('A-13'!C188="-",'A-8'!E70="-"),"-",SUM('A-13'!C188,'A-8'!E70))</f>
        <v>874</v>
      </c>
      <c r="D187" s="197">
        <f>IF(AND('A-13'!D188="-",'A-8'!F70="-"),"-",SUM('A-13'!D188,'A-8'!F70))</f>
        <v>124</v>
      </c>
      <c r="E187" s="197">
        <f>IF(AND('A-13'!E188="-",'A-8'!G70="-"),"-",SUM('A-13'!E188,'A-8'!G70))</f>
        <v>632</v>
      </c>
      <c r="F187" s="197">
        <f>IF(AND('A-13'!F188="-",'A-8'!H70="-"),"-",SUM('A-13'!F188,'A-8'!H70))</f>
        <v>343</v>
      </c>
      <c r="G187" s="52" t="str">
        <f>'A-8'!I70</f>
        <v>-</v>
      </c>
      <c r="H187" s="197">
        <f t="shared" si="39"/>
        <v>3201</v>
      </c>
      <c r="I187" s="197"/>
      <c r="J187" s="52" t="s">
        <v>29</v>
      </c>
      <c r="K187" s="52" t="str">
        <f>IF(AND('A-13'!J188="-",'A-8'!N70="-"),"-",SUM('A-13'!J188,'A-8'!N70))</f>
        <v>-</v>
      </c>
      <c r="L187" s="52">
        <f>IF(AND('A-13'!K188="-",'A-8'!O70="-"),"-",SUM('A-13'!K188,'A-8'!O70))</f>
        <v>30</v>
      </c>
      <c r="M187" s="52">
        <f>IF(AND('A-13'!L188="-",'A-8'!P70="-"),"-",SUM('A-13'!L188,'A-8'!P70))</f>
        <v>355</v>
      </c>
      <c r="N187" s="52">
        <f>IF(AND('A-13'!M188="-",'A-8'!Q70="-"),"-",SUM('A-13'!M188,'A-8'!Q70))</f>
        <v>216</v>
      </c>
      <c r="O187" s="52" t="str">
        <f>'A-8'!R70</f>
        <v>-</v>
      </c>
      <c r="P187" s="193">
        <f t="shared" si="40"/>
        <v>601</v>
      </c>
    </row>
    <row r="188" spans="1:16" s="358" customFormat="1" ht="11.25" customHeight="1" x14ac:dyDescent="0.25">
      <c r="A188" s="157">
        <v>2018</v>
      </c>
      <c r="B188" s="197">
        <f>IF(AND('A-13'!B189="-",'A-8'!D71="-"),"-",SUM('A-13'!B189,'A-8'!D71))</f>
        <v>36</v>
      </c>
      <c r="C188" s="197">
        <f>IF(AND('A-13'!C189="-",'A-8'!E71="-"),"-",SUM('A-13'!C189,'A-8'!E71))</f>
        <v>337</v>
      </c>
      <c r="D188" s="197">
        <f>IF(AND('A-13'!D189="-",'A-8'!F71="-"),"-",SUM('A-13'!D189,'A-8'!F71))</f>
        <v>30</v>
      </c>
      <c r="E188" s="197">
        <f>IF(AND('A-13'!E189="-",'A-8'!G71="-"),"-",SUM('A-13'!E189,'A-8'!G71))</f>
        <v>57</v>
      </c>
      <c r="F188" s="197">
        <f>IF(AND('A-13'!F189="-",'A-8'!H71="-"),"-",SUM('A-13'!F189,'A-8'!H71))</f>
        <v>4</v>
      </c>
      <c r="G188" s="52" t="str">
        <f>'A-8'!I71</f>
        <v>-</v>
      </c>
      <c r="H188" s="197">
        <f t="shared" si="39"/>
        <v>464</v>
      </c>
      <c r="J188" s="52" t="s">
        <v>29</v>
      </c>
      <c r="K188" s="52" t="str">
        <f>IF(AND('A-13'!J189="-",'A-8'!N71="-"),"-",SUM('A-13'!J189,'A-8'!N71))</f>
        <v>-</v>
      </c>
      <c r="L188" s="52">
        <f>IF(AND('A-13'!K189="-",'A-8'!O71="-"),"-",SUM('A-13'!K189,'A-8'!O71))</f>
        <v>40</v>
      </c>
      <c r="M188" s="52">
        <f>IF(AND('A-13'!L189="-",'A-8'!P71="-"),"-",SUM('A-13'!L189,'A-8'!P71))</f>
        <v>85</v>
      </c>
      <c r="N188" s="52" t="str">
        <f>IF(AND('A-13'!M189="-",'A-8'!Q71="-"),"-",SUM('A-13'!M189,'A-8'!Q71))</f>
        <v>-</v>
      </c>
      <c r="O188" s="52" t="str">
        <f>'A-8'!R71</f>
        <v>-</v>
      </c>
      <c r="P188" s="193">
        <f t="shared" si="40"/>
        <v>125</v>
      </c>
    </row>
    <row r="189" spans="1:16" s="358" customFormat="1" ht="11.25" customHeight="1" x14ac:dyDescent="0.25">
      <c r="A189" s="157">
        <v>2019</v>
      </c>
      <c r="B189" s="197">
        <f>IF(AND('A-13'!B190="-",'A-8'!D72="-"),"-",SUM('A-13'!B190,'A-8'!D72))</f>
        <v>156</v>
      </c>
      <c r="C189" s="197">
        <f>IF(AND('A-13'!C190="-",'A-8'!E72="-"),"-",SUM('A-13'!C190,'A-8'!E72))</f>
        <v>62</v>
      </c>
      <c r="D189" s="197">
        <f>IF(AND('A-13'!D190="-",'A-8'!F72="-"),"-",SUM('A-13'!D190,'A-8'!F72))</f>
        <v>370</v>
      </c>
      <c r="E189" s="197">
        <f>IF(AND('A-13'!E190="-",'A-8'!G72="-"),"-",SUM('A-13'!E190,'A-8'!G72))</f>
        <v>121</v>
      </c>
      <c r="F189" s="197">
        <f>IF(AND('A-13'!F190="-",'A-8'!H72="-"),"-",SUM('A-13'!F190,'A-8'!H72))</f>
        <v>28</v>
      </c>
      <c r="G189" s="52" t="str">
        <f>'A-8'!I72</f>
        <v>-</v>
      </c>
      <c r="H189" s="197">
        <f>SUM(B189:G189)</f>
        <v>737</v>
      </c>
      <c r="J189" s="52" t="s">
        <v>29</v>
      </c>
      <c r="K189" s="52" t="str">
        <f>IF(AND('A-13'!J190="-",'A-8'!N72="-"),"-",SUM('A-13'!J190,'A-8'!N72))</f>
        <v>-</v>
      </c>
      <c r="L189" s="52">
        <f>IF(AND('A-13'!K190="-",'A-8'!O72="-"),"-",SUM('A-13'!K190,'A-8'!O72))</f>
        <v>1190</v>
      </c>
      <c r="M189" s="52">
        <f>IF(AND('A-13'!L190="-",'A-8'!P72="-"),"-",SUM('A-13'!L190,'A-8'!P72))</f>
        <v>400</v>
      </c>
      <c r="N189" s="52">
        <f>IF(AND('A-13'!M190="-",'A-8'!Q72="-"),"-",SUM('A-13'!M190,'A-8'!Q72))</f>
        <v>81</v>
      </c>
      <c r="O189" s="52" t="str">
        <f>'A-8'!R72</f>
        <v>-</v>
      </c>
      <c r="P189" s="197">
        <f>SUM(J189:O189)</f>
        <v>1671</v>
      </c>
    </row>
    <row r="190" spans="1:16" ht="11.25" customHeight="1" x14ac:dyDescent="0.25">
      <c r="A190" s="157" t="s">
        <v>393</v>
      </c>
      <c r="B190" s="193">
        <f>IF(AND('A-13'!B191="-",'A-8'!D73="-"),"-",SUM('A-13'!B191,'A-8'!D73))</f>
        <v>231</v>
      </c>
      <c r="C190" s="193">
        <f>IF(AND('A-13'!C191="-",'A-8'!E73="-"),"-",SUM('A-13'!C191,'A-8'!E73))</f>
        <v>168</v>
      </c>
      <c r="D190" s="193">
        <f>IF(AND('A-13'!D191="-",'A-8'!F73="-"),"-",SUM('A-13'!D191,'A-8'!F73))</f>
        <v>57</v>
      </c>
      <c r="E190" s="193">
        <f>IF(AND('A-13'!E191="-",'A-8'!G73="-"),"-",SUM('A-13'!E191,'A-8'!G73))</f>
        <v>101</v>
      </c>
      <c r="F190" s="193">
        <f>IF(AND('A-13'!F191="-",'A-8'!H73="-"),"-",SUM('A-13'!F191,'A-8'!H73))</f>
        <v>11</v>
      </c>
      <c r="G190" s="31" t="str">
        <f>'A-8'!I73</f>
        <v>-</v>
      </c>
      <c r="H190" s="193">
        <f>SUM(B190:G190)</f>
        <v>568</v>
      </c>
      <c r="J190" s="31" t="s">
        <v>29</v>
      </c>
      <c r="K190" s="31" t="str">
        <f>IF(AND('A-13'!J191="-",'A-8'!N73="-"),"-",SUM('A-13'!J191,'A-8'!N73))</f>
        <v>-</v>
      </c>
      <c r="L190" s="31">
        <f>IF(AND('A-13'!K191="-",'A-8'!O73="-"),"-",SUM('A-13'!K191,'A-8'!O73))</f>
        <v>63</v>
      </c>
      <c r="M190" s="31">
        <f>IF(AND('A-13'!L191="-",'A-8'!P73="-"),"-",SUM('A-13'!L191,'A-8'!P73))</f>
        <v>64</v>
      </c>
      <c r="N190" s="31">
        <f>IF(AND('A-13'!M191="-",'A-8'!Q73="-"),"-",SUM('A-13'!M191,'A-8'!Q73))</f>
        <v>17</v>
      </c>
      <c r="O190" s="31" t="str">
        <f>'A-8'!R73</f>
        <v>-</v>
      </c>
      <c r="P190" s="193">
        <f>SUM(J190:O190)</f>
        <v>144</v>
      </c>
    </row>
    <row r="191" spans="1:16" ht="11.25" customHeight="1" x14ac:dyDescent="0.25"/>
    <row r="192" spans="1:16" ht="11.25" customHeight="1" x14ac:dyDescent="0.25">
      <c r="A192" s="116" t="s">
        <v>97</v>
      </c>
      <c r="B192" s="155"/>
      <c r="C192" s="155"/>
      <c r="D192" s="155"/>
      <c r="E192" s="28"/>
    </row>
    <row r="193" spans="1:16" ht="11.25" customHeight="1" x14ac:dyDescent="0.25">
      <c r="A193" s="473">
        <v>1976</v>
      </c>
      <c r="B193" s="193">
        <f t="shared" ref="B193:H202" si="41">IF(AND(B146="-",B5="-"),"-",SUM(B146,B5))</f>
        <v>84158</v>
      </c>
      <c r="C193" s="193">
        <f t="shared" si="41"/>
        <v>104503</v>
      </c>
      <c r="D193" s="193">
        <f t="shared" si="41"/>
        <v>90910</v>
      </c>
      <c r="E193" s="193">
        <f t="shared" si="41"/>
        <v>59542</v>
      </c>
      <c r="F193" s="193">
        <f t="shared" si="41"/>
        <v>23929</v>
      </c>
      <c r="G193" s="193">
        <f t="shared" si="41"/>
        <v>210</v>
      </c>
      <c r="H193" s="193">
        <f t="shared" si="41"/>
        <v>363252</v>
      </c>
      <c r="J193" s="193" t="str">
        <f t="shared" ref="J193:P202" si="42">IF(AND(J146="-",J5="-"),"-",SUM(J146,J5))</f>
        <v>-</v>
      </c>
      <c r="K193" s="193">
        <f t="shared" si="42"/>
        <v>297844</v>
      </c>
      <c r="L193" s="193">
        <f t="shared" si="42"/>
        <v>694137</v>
      </c>
      <c r="M193" s="193">
        <f t="shared" si="42"/>
        <v>344650</v>
      </c>
      <c r="N193" s="193">
        <f t="shared" si="42"/>
        <v>185526</v>
      </c>
      <c r="O193" s="193">
        <f t="shared" si="42"/>
        <v>1747</v>
      </c>
      <c r="P193" s="193">
        <f t="shared" si="42"/>
        <v>1419739</v>
      </c>
    </row>
    <row r="194" spans="1:16" ht="11.25" customHeight="1" x14ac:dyDescent="0.25">
      <c r="A194" s="473">
        <v>1977</v>
      </c>
      <c r="B194" s="193">
        <f t="shared" si="41"/>
        <v>67904</v>
      </c>
      <c r="C194" s="193">
        <f t="shared" si="41"/>
        <v>37672</v>
      </c>
      <c r="D194" s="193">
        <f t="shared" si="41"/>
        <v>67088</v>
      </c>
      <c r="E194" s="193">
        <f t="shared" si="41"/>
        <v>36157</v>
      </c>
      <c r="F194" s="193">
        <f t="shared" si="41"/>
        <v>29979</v>
      </c>
      <c r="G194" s="193">
        <f t="shared" si="41"/>
        <v>697</v>
      </c>
      <c r="H194" s="193">
        <f t="shared" si="41"/>
        <v>239497</v>
      </c>
      <c r="J194" s="193">
        <f t="shared" si="42"/>
        <v>4</v>
      </c>
      <c r="K194" s="193">
        <f t="shared" si="42"/>
        <v>26661</v>
      </c>
      <c r="L194" s="193">
        <f t="shared" si="42"/>
        <v>409371</v>
      </c>
      <c r="M194" s="193">
        <f t="shared" si="42"/>
        <v>191422</v>
      </c>
      <c r="N194" s="193">
        <f t="shared" si="42"/>
        <v>101207</v>
      </c>
      <c r="O194" s="193">
        <f t="shared" si="42"/>
        <v>374</v>
      </c>
      <c r="P194" s="193">
        <f t="shared" si="42"/>
        <v>729039</v>
      </c>
    </row>
    <row r="195" spans="1:16" ht="11.25" customHeight="1" x14ac:dyDescent="0.25">
      <c r="A195" s="473">
        <v>1978</v>
      </c>
      <c r="B195" s="193">
        <f t="shared" si="41"/>
        <v>25770</v>
      </c>
      <c r="C195" s="193">
        <f t="shared" si="41"/>
        <v>27339</v>
      </c>
      <c r="D195" s="193">
        <f t="shared" si="41"/>
        <v>51963</v>
      </c>
      <c r="E195" s="193">
        <f t="shared" si="41"/>
        <v>27473</v>
      </c>
      <c r="F195" s="193">
        <f t="shared" si="41"/>
        <v>10212</v>
      </c>
      <c r="G195" s="193">
        <f t="shared" si="41"/>
        <v>1966</v>
      </c>
      <c r="H195" s="193">
        <f t="shared" si="41"/>
        <v>144723</v>
      </c>
      <c r="J195" s="193" t="str">
        <f t="shared" si="42"/>
        <v>-</v>
      </c>
      <c r="K195" s="193">
        <f t="shared" si="42"/>
        <v>17840</v>
      </c>
      <c r="L195" s="193">
        <f t="shared" si="42"/>
        <v>339797</v>
      </c>
      <c r="M195" s="193">
        <f t="shared" si="42"/>
        <v>120580</v>
      </c>
      <c r="N195" s="193">
        <f t="shared" si="42"/>
        <v>123503</v>
      </c>
      <c r="O195" s="193">
        <f t="shared" si="42"/>
        <v>1092</v>
      </c>
      <c r="P195" s="193">
        <f t="shared" si="42"/>
        <v>602812</v>
      </c>
    </row>
    <row r="196" spans="1:16" ht="11.25" customHeight="1" x14ac:dyDescent="0.25">
      <c r="A196" s="473">
        <v>1979</v>
      </c>
      <c r="B196" s="193">
        <f t="shared" si="41"/>
        <v>47208</v>
      </c>
      <c r="C196" s="193">
        <f t="shared" si="41"/>
        <v>314</v>
      </c>
      <c r="D196" s="193">
        <f t="shared" si="41"/>
        <v>38231</v>
      </c>
      <c r="E196" s="193">
        <f t="shared" si="41"/>
        <v>41725</v>
      </c>
      <c r="F196" s="193">
        <f t="shared" si="41"/>
        <v>987</v>
      </c>
      <c r="G196" s="193">
        <f t="shared" si="41"/>
        <v>9</v>
      </c>
      <c r="H196" s="193">
        <f t="shared" si="41"/>
        <v>128474</v>
      </c>
      <c r="J196" s="193">
        <f t="shared" si="42"/>
        <v>7</v>
      </c>
      <c r="K196" s="193">
        <f t="shared" si="42"/>
        <v>11</v>
      </c>
      <c r="L196" s="193">
        <f t="shared" si="42"/>
        <v>392422</v>
      </c>
      <c r="M196" s="193">
        <f t="shared" si="42"/>
        <v>280940</v>
      </c>
      <c r="N196" s="193">
        <f t="shared" si="42"/>
        <v>5181</v>
      </c>
      <c r="O196" s="193" t="str">
        <f t="shared" si="42"/>
        <v>-</v>
      </c>
      <c r="P196" s="193">
        <f t="shared" si="42"/>
        <v>678561</v>
      </c>
    </row>
    <row r="197" spans="1:16" ht="11.25" customHeight="1" x14ac:dyDescent="0.25">
      <c r="A197" s="473">
        <v>1980</v>
      </c>
      <c r="B197" s="193">
        <f t="shared" si="41"/>
        <v>48912</v>
      </c>
      <c r="C197" s="193">
        <f t="shared" si="41"/>
        <v>2112</v>
      </c>
      <c r="D197" s="193">
        <f t="shared" si="41"/>
        <v>42274</v>
      </c>
      <c r="E197" s="193">
        <f t="shared" si="41"/>
        <v>24477</v>
      </c>
      <c r="F197" s="193">
        <f t="shared" si="41"/>
        <v>574</v>
      </c>
      <c r="G197" s="193">
        <f t="shared" si="41"/>
        <v>5</v>
      </c>
      <c r="H197" s="193">
        <f t="shared" si="41"/>
        <v>118354</v>
      </c>
      <c r="J197" s="193">
        <f t="shared" si="42"/>
        <v>97</v>
      </c>
      <c r="K197" s="193" t="str">
        <f t="shared" si="42"/>
        <v>-</v>
      </c>
      <c r="L197" s="193">
        <f t="shared" si="42"/>
        <v>199040</v>
      </c>
      <c r="M197" s="193">
        <f t="shared" si="42"/>
        <v>143386</v>
      </c>
      <c r="N197" s="193">
        <f t="shared" si="42"/>
        <v>9830</v>
      </c>
      <c r="O197" s="193">
        <f t="shared" si="42"/>
        <v>304</v>
      </c>
      <c r="P197" s="193">
        <f t="shared" si="42"/>
        <v>352657</v>
      </c>
    </row>
    <row r="198" spans="1:16" ht="11.25" customHeight="1" x14ac:dyDescent="0.25">
      <c r="A198" s="473">
        <v>1981</v>
      </c>
      <c r="B198" s="193">
        <f t="shared" si="41"/>
        <v>52766</v>
      </c>
      <c r="C198" s="193">
        <f t="shared" si="41"/>
        <v>2568</v>
      </c>
      <c r="D198" s="193">
        <f t="shared" si="41"/>
        <v>25264</v>
      </c>
      <c r="E198" s="193">
        <f t="shared" si="41"/>
        <v>19119</v>
      </c>
      <c r="F198" s="193">
        <f t="shared" si="41"/>
        <v>0</v>
      </c>
      <c r="G198" s="193">
        <f t="shared" si="41"/>
        <v>9</v>
      </c>
      <c r="H198" s="193">
        <f t="shared" si="41"/>
        <v>99726</v>
      </c>
      <c r="J198" s="193" t="str">
        <f t="shared" si="42"/>
        <v>-</v>
      </c>
      <c r="K198" s="193" t="str">
        <f t="shared" si="42"/>
        <v>-</v>
      </c>
      <c r="L198" s="193">
        <f t="shared" si="42"/>
        <v>251655</v>
      </c>
      <c r="M198" s="193">
        <f t="shared" si="42"/>
        <v>143485</v>
      </c>
      <c r="N198" s="193" t="str">
        <f t="shared" si="42"/>
        <v>-</v>
      </c>
      <c r="O198" s="193" t="str">
        <f t="shared" si="42"/>
        <v>-</v>
      </c>
      <c r="P198" s="193">
        <f t="shared" si="42"/>
        <v>395140</v>
      </c>
    </row>
    <row r="199" spans="1:16" ht="11.25" customHeight="1" x14ac:dyDescent="0.25">
      <c r="A199" s="473">
        <v>1982</v>
      </c>
      <c r="B199" s="193">
        <f t="shared" si="41"/>
        <v>62755</v>
      </c>
      <c r="C199" s="193">
        <f t="shared" si="41"/>
        <v>8682</v>
      </c>
      <c r="D199" s="193">
        <f t="shared" si="41"/>
        <v>58611</v>
      </c>
      <c r="E199" s="193">
        <f t="shared" si="41"/>
        <v>347</v>
      </c>
      <c r="F199" s="193">
        <f t="shared" si="41"/>
        <v>0</v>
      </c>
      <c r="G199" s="193">
        <f t="shared" si="41"/>
        <v>0</v>
      </c>
      <c r="H199" s="193">
        <f t="shared" si="41"/>
        <v>130395</v>
      </c>
      <c r="J199" s="193" t="str">
        <f t="shared" si="42"/>
        <v>-</v>
      </c>
      <c r="K199" s="193" t="str">
        <f t="shared" si="42"/>
        <v>-</v>
      </c>
      <c r="L199" s="193">
        <f t="shared" si="42"/>
        <v>247518</v>
      </c>
      <c r="M199" s="193">
        <f t="shared" si="42"/>
        <v>13918</v>
      </c>
      <c r="N199" s="193">
        <f t="shared" si="42"/>
        <v>159</v>
      </c>
      <c r="O199" s="193" t="str">
        <f t="shared" si="42"/>
        <v>-</v>
      </c>
      <c r="P199" s="193">
        <f t="shared" si="42"/>
        <v>261595</v>
      </c>
    </row>
    <row r="200" spans="1:16" ht="11.25" customHeight="1" x14ac:dyDescent="0.25">
      <c r="A200" s="473">
        <v>1983</v>
      </c>
      <c r="B200" s="193">
        <f t="shared" si="41"/>
        <v>32498</v>
      </c>
      <c r="C200" s="193">
        <f t="shared" si="41"/>
        <v>6077</v>
      </c>
      <c r="D200" s="193">
        <f t="shared" si="41"/>
        <v>13410</v>
      </c>
      <c r="E200" s="193">
        <f t="shared" si="41"/>
        <v>1417</v>
      </c>
      <c r="F200" s="193">
        <f t="shared" si="41"/>
        <v>534</v>
      </c>
      <c r="G200" s="193">
        <f t="shared" si="41"/>
        <v>0</v>
      </c>
      <c r="H200" s="193">
        <f t="shared" si="41"/>
        <v>53936</v>
      </c>
      <c r="J200" s="193" t="str">
        <f t="shared" si="42"/>
        <v>-</v>
      </c>
      <c r="K200" s="193" t="str">
        <f t="shared" si="42"/>
        <v>-</v>
      </c>
      <c r="L200" s="193">
        <f t="shared" si="42"/>
        <v>4110</v>
      </c>
      <c r="M200" s="193">
        <f t="shared" si="42"/>
        <v>8349</v>
      </c>
      <c r="N200" s="193">
        <f t="shared" si="42"/>
        <v>15916</v>
      </c>
      <c r="O200" s="193" t="str">
        <f t="shared" si="42"/>
        <v>-</v>
      </c>
      <c r="P200" s="193">
        <f t="shared" si="42"/>
        <v>28375</v>
      </c>
    </row>
    <row r="201" spans="1:16" ht="11.25" customHeight="1" x14ac:dyDescent="0.25">
      <c r="A201" s="473">
        <v>1984</v>
      </c>
      <c r="B201" s="193">
        <f t="shared" si="41"/>
        <v>9089</v>
      </c>
      <c r="C201" s="193">
        <f t="shared" si="41"/>
        <v>0</v>
      </c>
      <c r="D201" s="193">
        <f t="shared" si="41"/>
        <v>0</v>
      </c>
      <c r="E201" s="193">
        <f t="shared" si="41"/>
        <v>1813</v>
      </c>
      <c r="F201" s="193">
        <f t="shared" si="41"/>
        <v>0</v>
      </c>
      <c r="G201" s="193">
        <f t="shared" si="41"/>
        <v>0</v>
      </c>
      <c r="H201" s="193">
        <f t="shared" si="41"/>
        <v>10902</v>
      </c>
      <c r="J201" s="193" t="str">
        <f t="shared" si="42"/>
        <v>-</v>
      </c>
      <c r="K201" s="193" t="str">
        <f t="shared" si="42"/>
        <v>-</v>
      </c>
      <c r="L201" s="193" t="str">
        <f t="shared" si="42"/>
        <v>-</v>
      </c>
      <c r="M201" s="193">
        <f t="shared" si="42"/>
        <v>36739</v>
      </c>
      <c r="N201" s="193" t="str">
        <f t="shared" si="42"/>
        <v>-</v>
      </c>
      <c r="O201" s="193" t="str">
        <f t="shared" si="42"/>
        <v>-</v>
      </c>
      <c r="P201" s="193">
        <f t="shared" si="42"/>
        <v>36739</v>
      </c>
    </row>
    <row r="202" spans="1:16" ht="11.25" customHeight="1" x14ac:dyDescent="0.25">
      <c r="A202" s="473">
        <v>1985</v>
      </c>
      <c r="B202" s="193">
        <f t="shared" si="41"/>
        <v>24876</v>
      </c>
      <c r="C202" s="193">
        <f t="shared" si="41"/>
        <v>230</v>
      </c>
      <c r="D202" s="193">
        <f t="shared" si="41"/>
        <v>9660</v>
      </c>
      <c r="E202" s="193">
        <f t="shared" si="41"/>
        <v>4535</v>
      </c>
      <c r="F202" s="193">
        <f t="shared" si="41"/>
        <v>31</v>
      </c>
      <c r="G202" s="193">
        <f t="shared" si="41"/>
        <v>3</v>
      </c>
      <c r="H202" s="193">
        <f t="shared" si="41"/>
        <v>39335</v>
      </c>
      <c r="J202" s="193" t="str">
        <f t="shared" si="42"/>
        <v>-</v>
      </c>
      <c r="K202" s="193" t="str">
        <f t="shared" si="42"/>
        <v>-</v>
      </c>
      <c r="L202" s="193">
        <f t="shared" si="42"/>
        <v>114403</v>
      </c>
      <c r="M202" s="193">
        <f t="shared" si="42"/>
        <v>32635</v>
      </c>
      <c r="N202" s="193">
        <f t="shared" si="42"/>
        <v>40</v>
      </c>
      <c r="O202" s="193" t="str">
        <f t="shared" si="42"/>
        <v>-</v>
      </c>
      <c r="P202" s="193">
        <f t="shared" si="42"/>
        <v>147078</v>
      </c>
    </row>
    <row r="203" spans="1:16" ht="11.25" customHeight="1" x14ac:dyDescent="0.25">
      <c r="A203" s="473">
        <v>1986</v>
      </c>
      <c r="B203" s="193">
        <f t="shared" ref="B203:H212" si="43">IF(AND(B156="-",B15="-"),"-",SUM(B156,B15))</f>
        <v>31198</v>
      </c>
      <c r="C203" s="193">
        <f t="shared" si="43"/>
        <v>163</v>
      </c>
      <c r="D203" s="193" t="str">
        <f t="shared" si="43"/>
        <v>-</v>
      </c>
      <c r="E203" s="193">
        <f t="shared" si="43"/>
        <v>7576</v>
      </c>
      <c r="F203" s="193" t="str">
        <f t="shared" si="43"/>
        <v>-</v>
      </c>
      <c r="G203" s="193" t="str">
        <f t="shared" si="43"/>
        <v>-</v>
      </c>
      <c r="H203" s="193">
        <f t="shared" si="43"/>
        <v>38937</v>
      </c>
      <c r="J203" s="193" t="str">
        <f t="shared" ref="J203:P212" si="44">IF(AND(J156="-",J15="-"),"-",SUM(J156,J15))</f>
        <v>-</v>
      </c>
      <c r="K203" s="193" t="str">
        <f t="shared" si="44"/>
        <v>-</v>
      </c>
      <c r="L203" s="193" t="str">
        <f t="shared" si="44"/>
        <v>-</v>
      </c>
      <c r="M203" s="193">
        <f t="shared" si="44"/>
        <v>121099</v>
      </c>
      <c r="N203" s="193" t="str">
        <f t="shared" si="44"/>
        <v>-</v>
      </c>
      <c r="O203" s="193" t="str">
        <f t="shared" si="44"/>
        <v>-</v>
      </c>
      <c r="P203" s="193">
        <f t="shared" si="44"/>
        <v>121099</v>
      </c>
    </row>
    <row r="204" spans="1:16" ht="11.25" customHeight="1" x14ac:dyDescent="0.25">
      <c r="A204" s="473">
        <v>1987</v>
      </c>
      <c r="B204" s="193">
        <f t="shared" si="43"/>
        <v>37959</v>
      </c>
      <c r="C204" s="193" t="str">
        <f t="shared" si="43"/>
        <v>-</v>
      </c>
      <c r="D204" s="193">
        <f t="shared" si="43"/>
        <v>21319</v>
      </c>
      <c r="E204" s="193" t="str">
        <f t="shared" si="43"/>
        <v>-</v>
      </c>
      <c r="F204" s="193" t="str">
        <f t="shared" si="43"/>
        <v>-</v>
      </c>
      <c r="G204" s="193" t="str">
        <f t="shared" si="43"/>
        <v>-</v>
      </c>
      <c r="H204" s="193">
        <f t="shared" si="43"/>
        <v>59278</v>
      </c>
      <c r="J204" s="193" t="str">
        <f t="shared" si="44"/>
        <v>-</v>
      </c>
      <c r="K204" s="193" t="str">
        <f t="shared" si="44"/>
        <v>-</v>
      </c>
      <c r="L204" s="193">
        <f t="shared" si="44"/>
        <v>54747</v>
      </c>
      <c r="M204" s="193" t="str">
        <f t="shared" si="44"/>
        <v>-</v>
      </c>
      <c r="N204" s="193" t="str">
        <f t="shared" si="44"/>
        <v>-</v>
      </c>
      <c r="O204" s="193" t="str">
        <f t="shared" si="44"/>
        <v>-</v>
      </c>
      <c r="P204" s="193">
        <f t="shared" si="44"/>
        <v>54747</v>
      </c>
    </row>
    <row r="205" spans="1:16" ht="11.25" customHeight="1" x14ac:dyDescent="0.25">
      <c r="A205" s="473">
        <v>1988</v>
      </c>
      <c r="B205" s="193">
        <f t="shared" si="43"/>
        <v>42647</v>
      </c>
      <c r="C205" s="193">
        <f t="shared" si="43"/>
        <v>30900</v>
      </c>
      <c r="D205" s="193">
        <f t="shared" si="43"/>
        <v>57</v>
      </c>
      <c r="E205" s="193">
        <f t="shared" si="43"/>
        <v>242</v>
      </c>
      <c r="F205" s="193" t="str">
        <f t="shared" si="43"/>
        <v>-</v>
      </c>
      <c r="G205" s="193" t="str">
        <f t="shared" si="43"/>
        <v>-</v>
      </c>
      <c r="H205" s="193">
        <f t="shared" si="43"/>
        <v>73846</v>
      </c>
      <c r="J205" s="193" t="str">
        <f t="shared" si="44"/>
        <v>-</v>
      </c>
      <c r="K205" s="193" t="str">
        <f t="shared" si="44"/>
        <v>-</v>
      </c>
      <c r="L205" s="193">
        <f t="shared" si="44"/>
        <v>381</v>
      </c>
      <c r="M205" s="193">
        <f t="shared" si="44"/>
        <v>1848</v>
      </c>
      <c r="N205" s="193" t="str">
        <f t="shared" si="44"/>
        <v>-</v>
      </c>
      <c r="O205" s="193" t="str">
        <f t="shared" si="44"/>
        <v>-</v>
      </c>
      <c r="P205" s="193">
        <f t="shared" si="44"/>
        <v>2229</v>
      </c>
    </row>
    <row r="206" spans="1:16" ht="11.25" customHeight="1" x14ac:dyDescent="0.25">
      <c r="A206" s="473">
        <v>1989</v>
      </c>
      <c r="B206" s="193">
        <f t="shared" si="43"/>
        <v>23917</v>
      </c>
      <c r="C206" s="193">
        <f t="shared" si="43"/>
        <v>15845</v>
      </c>
      <c r="D206" s="193" t="str">
        <f t="shared" si="43"/>
        <v>-</v>
      </c>
      <c r="E206" s="193">
        <f t="shared" si="43"/>
        <v>2261</v>
      </c>
      <c r="F206" s="193">
        <f t="shared" si="43"/>
        <v>1055</v>
      </c>
      <c r="G206" s="193" t="str">
        <f t="shared" si="43"/>
        <v>-</v>
      </c>
      <c r="H206" s="193">
        <f t="shared" si="43"/>
        <v>43078</v>
      </c>
      <c r="J206" s="193" t="str">
        <f t="shared" si="44"/>
        <v>-</v>
      </c>
      <c r="K206" s="193" t="str">
        <f t="shared" si="44"/>
        <v>-</v>
      </c>
      <c r="L206" s="193" t="str">
        <f t="shared" si="44"/>
        <v>-</v>
      </c>
      <c r="M206" s="193">
        <f t="shared" si="44"/>
        <v>62098</v>
      </c>
      <c r="N206" s="193">
        <f t="shared" si="44"/>
        <v>16165</v>
      </c>
      <c r="O206" s="193" t="str">
        <f t="shared" si="44"/>
        <v>-</v>
      </c>
      <c r="P206" s="193">
        <f t="shared" si="44"/>
        <v>78263</v>
      </c>
    </row>
    <row r="207" spans="1:16" ht="11.25" customHeight="1" x14ac:dyDescent="0.25">
      <c r="A207" s="473">
        <v>1990</v>
      </c>
      <c r="B207" s="193">
        <f t="shared" si="43"/>
        <v>23629</v>
      </c>
      <c r="C207" s="193">
        <f t="shared" si="43"/>
        <v>2059</v>
      </c>
      <c r="D207" s="193" t="str">
        <f t="shared" si="43"/>
        <v>-</v>
      </c>
      <c r="E207" s="193">
        <f t="shared" si="43"/>
        <v>5238</v>
      </c>
      <c r="F207" s="193">
        <f t="shared" si="43"/>
        <v>2360</v>
      </c>
      <c r="G207" s="193">
        <f t="shared" si="43"/>
        <v>71</v>
      </c>
      <c r="H207" s="193">
        <f t="shared" si="43"/>
        <v>33357</v>
      </c>
      <c r="J207" s="193" t="str">
        <f t="shared" si="44"/>
        <v>-</v>
      </c>
      <c r="K207" s="193" t="str">
        <f t="shared" si="44"/>
        <v>-</v>
      </c>
      <c r="L207" s="193" t="str">
        <f t="shared" si="44"/>
        <v>-</v>
      </c>
      <c r="M207" s="193">
        <f t="shared" si="44"/>
        <v>78243</v>
      </c>
      <c r="N207" s="193">
        <f t="shared" si="44"/>
        <v>22463</v>
      </c>
      <c r="O207" s="193">
        <f t="shared" si="44"/>
        <v>304</v>
      </c>
      <c r="P207" s="193">
        <f t="shared" si="44"/>
        <v>101010</v>
      </c>
    </row>
    <row r="208" spans="1:16" ht="11.25" customHeight="1" x14ac:dyDescent="0.25">
      <c r="A208" s="473">
        <v>1991</v>
      </c>
      <c r="B208" s="193">
        <f t="shared" si="43"/>
        <v>14815</v>
      </c>
      <c r="C208" s="193">
        <f t="shared" si="43"/>
        <v>12454</v>
      </c>
      <c r="D208" s="193" t="str">
        <f t="shared" si="43"/>
        <v>-</v>
      </c>
      <c r="E208" s="193">
        <f t="shared" si="43"/>
        <v>1581</v>
      </c>
      <c r="F208" s="193">
        <f t="shared" si="43"/>
        <v>873</v>
      </c>
      <c r="G208" s="193" t="str">
        <f t="shared" si="43"/>
        <v>-</v>
      </c>
      <c r="H208" s="193">
        <f t="shared" si="43"/>
        <v>29723</v>
      </c>
      <c r="J208" s="193" t="str">
        <f t="shared" si="44"/>
        <v>-</v>
      </c>
      <c r="K208" s="193" t="str">
        <f t="shared" si="44"/>
        <v>-</v>
      </c>
      <c r="L208" s="193" t="str">
        <f t="shared" si="44"/>
        <v>-</v>
      </c>
      <c r="M208" s="193">
        <f t="shared" si="44"/>
        <v>61643</v>
      </c>
      <c r="N208" s="193">
        <f t="shared" si="44"/>
        <v>19305</v>
      </c>
      <c r="O208" s="193" t="str">
        <f t="shared" si="44"/>
        <v>-</v>
      </c>
      <c r="P208" s="193">
        <f t="shared" si="44"/>
        <v>80948</v>
      </c>
    </row>
    <row r="209" spans="1:16" ht="11.25" customHeight="1" x14ac:dyDescent="0.25">
      <c r="A209" s="473">
        <v>1992</v>
      </c>
      <c r="B209" s="193">
        <f t="shared" si="43"/>
        <v>22537</v>
      </c>
      <c r="C209" s="193">
        <f t="shared" si="43"/>
        <v>13556</v>
      </c>
      <c r="D209" s="193">
        <f t="shared" si="43"/>
        <v>5456</v>
      </c>
      <c r="E209" s="193">
        <f t="shared" si="43"/>
        <v>3572</v>
      </c>
      <c r="F209" s="193" t="str">
        <f t="shared" si="43"/>
        <v>-</v>
      </c>
      <c r="G209" s="193" t="str">
        <f t="shared" si="43"/>
        <v>-</v>
      </c>
      <c r="H209" s="193">
        <f t="shared" si="43"/>
        <v>45121</v>
      </c>
      <c r="J209" s="193" t="str">
        <f t="shared" si="44"/>
        <v>-</v>
      </c>
      <c r="K209" s="193" t="str">
        <f t="shared" si="44"/>
        <v>-</v>
      </c>
      <c r="L209" s="193">
        <f t="shared" si="44"/>
        <v>10934</v>
      </c>
      <c r="M209" s="193">
        <f t="shared" si="44"/>
        <v>8174</v>
      </c>
      <c r="N209" s="193" t="str">
        <f t="shared" si="44"/>
        <v>-</v>
      </c>
      <c r="O209" s="193" t="str">
        <f t="shared" si="44"/>
        <v>-</v>
      </c>
      <c r="P209" s="193">
        <f t="shared" si="44"/>
        <v>19108</v>
      </c>
    </row>
    <row r="210" spans="1:16" ht="11.25" customHeight="1" x14ac:dyDescent="0.25">
      <c r="A210" s="473">
        <v>1993</v>
      </c>
      <c r="B210" s="193">
        <f t="shared" si="43"/>
        <v>14612</v>
      </c>
      <c r="C210" s="193">
        <f t="shared" si="43"/>
        <v>10639</v>
      </c>
      <c r="D210" s="193">
        <f t="shared" si="43"/>
        <v>2669</v>
      </c>
      <c r="E210" s="193">
        <f t="shared" si="43"/>
        <v>990</v>
      </c>
      <c r="F210" s="193">
        <f t="shared" si="43"/>
        <v>1567</v>
      </c>
      <c r="G210" s="193" t="str">
        <f t="shared" si="43"/>
        <v>-</v>
      </c>
      <c r="H210" s="193">
        <f t="shared" si="43"/>
        <v>30477</v>
      </c>
      <c r="J210" s="193" t="str">
        <f t="shared" si="44"/>
        <v>-</v>
      </c>
      <c r="K210" s="193" t="str">
        <f t="shared" si="44"/>
        <v>-</v>
      </c>
      <c r="L210" s="193">
        <f t="shared" si="44"/>
        <v>5125</v>
      </c>
      <c r="M210" s="193">
        <f t="shared" si="44"/>
        <v>4205</v>
      </c>
      <c r="N210" s="193">
        <f t="shared" si="44"/>
        <v>6233</v>
      </c>
      <c r="O210" s="193" t="str">
        <f t="shared" si="44"/>
        <v>-</v>
      </c>
      <c r="P210" s="193">
        <f t="shared" si="44"/>
        <v>15563</v>
      </c>
    </row>
    <row r="211" spans="1:16" ht="11.25" customHeight="1" x14ac:dyDescent="0.25">
      <c r="A211" s="473">
        <v>1994</v>
      </c>
      <c r="B211" s="193" t="str">
        <f t="shared" si="43"/>
        <v>-</v>
      </c>
      <c r="C211" s="193" t="str">
        <f t="shared" si="43"/>
        <v>-</v>
      </c>
      <c r="D211" s="193" t="str">
        <f t="shared" si="43"/>
        <v>-</v>
      </c>
      <c r="E211" s="193" t="str">
        <f t="shared" si="43"/>
        <v>-</v>
      </c>
      <c r="F211" s="193" t="str">
        <f t="shared" si="43"/>
        <v>-</v>
      </c>
      <c r="G211" s="193" t="str">
        <f t="shared" si="43"/>
        <v>-</v>
      </c>
      <c r="H211" s="193" t="str">
        <f t="shared" si="43"/>
        <v>-</v>
      </c>
      <c r="J211" s="193" t="str">
        <f t="shared" si="44"/>
        <v>-</v>
      </c>
      <c r="K211" s="193" t="str">
        <f t="shared" si="44"/>
        <v>-</v>
      </c>
      <c r="L211" s="193" t="str">
        <f t="shared" si="44"/>
        <v>-</v>
      </c>
      <c r="M211" s="193" t="str">
        <f t="shared" si="44"/>
        <v>-</v>
      </c>
      <c r="N211" s="193" t="str">
        <f t="shared" si="44"/>
        <v>-</v>
      </c>
      <c r="O211" s="193" t="str">
        <f t="shared" si="44"/>
        <v>-</v>
      </c>
      <c r="P211" s="193" t="str">
        <f t="shared" si="44"/>
        <v>-</v>
      </c>
    </row>
    <row r="212" spans="1:16" ht="11.25" customHeight="1" x14ac:dyDescent="0.25">
      <c r="A212" s="473">
        <v>1995</v>
      </c>
      <c r="B212" s="193" t="str">
        <f t="shared" si="43"/>
        <v>-</v>
      </c>
      <c r="C212" s="193" t="str">
        <f t="shared" si="43"/>
        <v>-</v>
      </c>
      <c r="D212" s="193" t="str">
        <f t="shared" si="43"/>
        <v>-</v>
      </c>
      <c r="E212" s="193">
        <f t="shared" si="43"/>
        <v>3</v>
      </c>
      <c r="F212" s="193" t="str">
        <f t="shared" si="43"/>
        <v>-</v>
      </c>
      <c r="G212" s="193" t="str">
        <f t="shared" si="43"/>
        <v>-</v>
      </c>
      <c r="H212" s="193">
        <f t="shared" si="43"/>
        <v>3</v>
      </c>
      <c r="J212" s="193" t="str">
        <f t="shared" si="44"/>
        <v>-</v>
      </c>
      <c r="K212" s="193" t="str">
        <f t="shared" si="44"/>
        <v>-</v>
      </c>
      <c r="L212" s="193" t="str">
        <f t="shared" si="44"/>
        <v>-</v>
      </c>
      <c r="M212" s="193">
        <f t="shared" si="44"/>
        <v>18366</v>
      </c>
      <c r="N212" s="193">
        <f t="shared" si="44"/>
        <v>7060</v>
      </c>
      <c r="O212" s="193" t="str">
        <f t="shared" si="44"/>
        <v>-</v>
      </c>
      <c r="P212" s="193">
        <f t="shared" si="44"/>
        <v>25426</v>
      </c>
    </row>
    <row r="213" spans="1:16" ht="11.25" customHeight="1" x14ac:dyDescent="0.25">
      <c r="A213" s="473">
        <v>1996</v>
      </c>
      <c r="B213" s="193" t="str">
        <f t="shared" ref="B213:H222" si="45">IF(AND(B166="-",B25="-"),"-",SUM(B166,B25))</f>
        <v>-</v>
      </c>
      <c r="C213" s="193" t="str">
        <f t="shared" si="45"/>
        <v>-</v>
      </c>
      <c r="D213" s="193" t="str">
        <f t="shared" si="45"/>
        <v>-</v>
      </c>
      <c r="E213" s="193" t="str">
        <f t="shared" si="45"/>
        <v>-</v>
      </c>
      <c r="F213" s="193" t="str">
        <f t="shared" si="45"/>
        <v>-</v>
      </c>
      <c r="G213" s="193" t="str">
        <f t="shared" si="45"/>
        <v>-</v>
      </c>
      <c r="H213" s="193" t="str">
        <f t="shared" si="45"/>
        <v>-</v>
      </c>
      <c r="J213" s="193" t="str">
        <f t="shared" ref="J213:P219" si="46">IF(AND(J166="-",J25="-"),"-",SUM(J166,J25))</f>
        <v>-</v>
      </c>
      <c r="K213" s="193" t="str">
        <f t="shared" si="46"/>
        <v>-</v>
      </c>
      <c r="L213" s="193">
        <f t="shared" si="46"/>
        <v>7137</v>
      </c>
      <c r="M213" s="193">
        <f t="shared" si="46"/>
        <v>10389</v>
      </c>
      <c r="N213" s="193" t="str">
        <f t="shared" si="46"/>
        <v>-</v>
      </c>
      <c r="O213" s="193" t="str">
        <f t="shared" si="46"/>
        <v>-</v>
      </c>
      <c r="P213" s="193">
        <f t="shared" si="46"/>
        <v>17526</v>
      </c>
    </row>
    <row r="214" spans="1:16" ht="11.25" customHeight="1" x14ac:dyDescent="0.25">
      <c r="A214" s="473">
        <v>1997</v>
      </c>
      <c r="B214" s="193">
        <f t="shared" si="45"/>
        <v>4539</v>
      </c>
      <c r="C214" s="193">
        <f t="shared" si="45"/>
        <v>1907</v>
      </c>
      <c r="D214" s="193" t="str">
        <f t="shared" si="45"/>
        <v>-</v>
      </c>
      <c r="E214" s="193" t="str">
        <f t="shared" si="45"/>
        <v>-</v>
      </c>
      <c r="F214" s="193" t="str">
        <f t="shared" si="45"/>
        <v>-</v>
      </c>
      <c r="G214" s="193" t="str">
        <f t="shared" si="45"/>
        <v>-</v>
      </c>
      <c r="H214" s="193">
        <f t="shared" si="45"/>
        <v>6446</v>
      </c>
      <c r="J214" s="193" t="str">
        <f t="shared" si="46"/>
        <v>-</v>
      </c>
      <c r="K214" s="193" t="str">
        <f t="shared" si="46"/>
        <v>-</v>
      </c>
      <c r="L214" s="193" t="str">
        <f t="shared" si="46"/>
        <v>-</v>
      </c>
      <c r="M214" s="193" t="str">
        <f t="shared" si="46"/>
        <v>-</v>
      </c>
      <c r="N214" s="193" t="str">
        <f t="shared" si="46"/>
        <v>-</v>
      </c>
      <c r="O214" s="193" t="str">
        <f t="shared" si="46"/>
        <v>-</v>
      </c>
      <c r="P214" s="193" t="str">
        <f t="shared" si="46"/>
        <v>-</v>
      </c>
    </row>
    <row r="215" spans="1:16" ht="11.25" customHeight="1" x14ac:dyDescent="0.25">
      <c r="A215" s="473">
        <v>1998</v>
      </c>
      <c r="B215" s="193">
        <f t="shared" si="45"/>
        <v>5747</v>
      </c>
      <c r="C215" s="193">
        <f t="shared" si="45"/>
        <v>182</v>
      </c>
      <c r="D215" s="193" t="str">
        <f t="shared" si="45"/>
        <v>-</v>
      </c>
      <c r="E215" s="193" t="str">
        <f t="shared" si="45"/>
        <v>-</v>
      </c>
      <c r="F215" s="193" t="str">
        <f t="shared" si="45"/>
        <v>-</v>
      </c>
      <c r="G215" s="193" t="str">
        <f t="shared" si="45"/>
        <v>-</v>
      </c>
      <c r="H215" s="193">
        <f t="shared" si="45"/>
        <v>5929</v>
      </c>
      <c r="J215" s="193" t="str">
        <f t="shared" si="46"/>
        <v>-</v>
      </c>
      <c r="K215" s="193" t="str">
        <f t="shared" si="46"/>
        <v>-</v>
      </c>
      <c r="L215" s="193" t="str">
        <f t="shared" si="46"/>
        <v>-</v>
      </c>
      <c r="M215" s="193" t="str">
        <f t="shared" si="46"/>
        <v>-</v>
      </c>
      <c r="N215" s="193" t="str">
        <f t="shared" si="46"/>
        <v>-</v>
      </c>
      <c r="O215" s="193" t="str">
        <f t="shared" si="46"/>
        <v>-</v>
      </c>
      <c r="P215" s="193" t="str">
        <f t="shared" si="46"/>
        <v>-</v>
      </c>
    </row>
    <row r="216" spans="1:16" ht="11.25" customHeight="1" x14ac:dyDescent="0.25">
      <c r="A216" s="473">
        <v>1999</v>
      </c>
      <c r="B216" s="193">
        <f t="shared" si="45"/>
        <v>4191</v>
      </c>
      <c r="C216" s="193">
        <f t="shared" si="45"/>
        <v>7090</v>
      </c>
      <c r="D216" s="193">
        <f t="shared" si="45"/>
        <v>4030</v>
      </c>
      <c r="E216" s="193">
        <f t="shared" si="45"/>
        <v>2160</v>
      </c>
      <c r="F216" s="193" t="str">
        <f t="shared" si="45"/>
        <v>-</v>
      </c>
      <c r="G216" s="193" t="str">
        <f t="shared" si="45"/>
        <v>-</v>
      </c>
      <c r="H216" s="193">
        <f t="shared" si="45"/>
        <v>17471</v>
      </c>
      <c r="J216" s="193" t="str">
        <f t="shared" si="46"/>
        <v>-</v>
      </c>
      <c r="K216" s="193" t="str">
        <f t="shared" si="46"/>
        <v>-</v>
      </c>
      <c r="L216" s="193">
        <f t="shared" si="46"/>
        <v>673</v>
      </c>
      <c r="M216" s="193">
        <f t="shared" si="46"/>
        <v>2840</v>
      </c>
      <c r="N216" s="193">
        <f t="shared" si="46"/>
        <v>337</v>
      </c>
      <c r="O216" s="193" t="str">
        <f t="shared" si="46"/>
        <v>-</v>
      </c>
      <c r="P216" s="193">
        <f t="shared" si="46"/>
        <v>3850</v>
      </c>
    </row>
    <row r="217" spans="1:16" ht="11.25" customHeight="1" x14ac:dyDescent="0.25">
      <c r="A217" s="473">
        <v>2000</v>
      </c>
      <c r="B217" s="193">
        <f t="shared" si="45"/>
        <v>6543</v>
      </c>
      <c r="C217" s="193">
        <f t="shared" si="45"/>
        <v>2663</v>
      </c>
      <c r="D217" s="193" t="str">
        <f t="shared" si="45"/>
        <v>-</v>
      </c>
      <c r="E217" s="193">
        <f t="shared" si="45"/>
        <v>3216</v>
      </c>
      <c r="F217" s="193">
        <f t="shared" si="45"/>
        <v>92</v>
      </c>
      <c r="G217" s="193" t="str">
        <f t="shared" si="45"/>
        <v>-</v>
      </c>
      <c r="H217" s="193">
        <f t="shared" si="45"/>
        <v>12514</v>
      </c>
      <c r="J217" s="193" t="str">
        <f t="shared" si="46"/>
        <v>-</v>
      </c>
      <c r="K217" s="193" t="str">
        <f t="shared" si="46"/>
        <v>-</v>
      </c>
      <c r="L217" s="193" t="str">
        <f t="shared" si="46"/>
        <v>-</v>
      </c>
      <c r="M217" s="193">
        <f t="shared" si="46"/>
        <v>16433</v>
      </c>
      <c r="N217" s="193">
        <f t="shared" si="46"/>
        <v>1092</v>
      </c>
      <c r="O217" s="193" t="str">
        <f t="shared" si="46"/>
        <v>-</v>
      </c>
      <c r="P217" s="193">
        <f t="shared" si="46"/>
        <v>17525</v>
      </c>
    </row>
    <row r="218" spans="1:16" ht="11.25" customHeight="1" x14ac:dyDescent="0.25">
      <c r="A218" s="473">
        <v>2001</v>
      </c>
      <c r="B218" s="193">
        <f t="shared" si="45"/>
        <v>7990</v>
      </c>
      <c r="C218" s="193">
        <f t="shared" si="45"/>
        <v>8901</v>
      </c>
      <c r="D218" s="193">
        <f t="shared" si="45"/>
        <v>5976</v>
      </c>
      <c r="E218" s="193">
        <f t="shared" si="45"/>
        <v>1747</v>
      </c>
      <c r="F218" s="193">
        <f t="shared" si="45"/>
        <v>706</v>
      </c>
      <c r="G218" s="193" t="str">
        <f t="shared" si="45"/>
        <v>-</v>
      </c>
      <c r="H218" s="193">
        <f t="shared" si="45"/>
        <v>25320</v>
      </c>
      <c r="J218" s="193" t="str">
        <f t="shared" si="46"/>
        <v>-</v>
      </c>
      <c r="K218" s="193" t="str">
        <f t="shared" si="46"/>
        <v>-</v>
      </c>
      <c r="L218" s="193">
        <f t="shared" si="46"/>
        <v>4052</v>
      </c>
      <c r="M218" s="193">
        <f t="shared" si="46"/>
        <v>6040</v>
      </c>
      <c r="N218" s="193">
        <f t="shared" si="46"/>
        <v>5384</v>
      </c>
      <c r="O218" s="193" t="str">
        <f t="shared" si="46"/>
        <v>-</v>
      </c>
      <c r="P218" s="193">
        <f t="shared" si="46"/>
        <v>17445</v>
      </c>
    </row>
    <row r="219" spans="1:16" ht="11.25" customHeight="1" x14ac:dyDescent="0.25">
      <c r="A219" s="473">
        <v>2002</v>
      </c>
      <c r="B219" s="193">
        <f t="shared" si="45"/>
        <v>19236</v>
      </c>
      <c r="C219" s="193">
        <f t="shared" si="45"/>
        <v>14238</v>
      </c>
      <c r="D219" s="193">
        <f t="shared" si="45"/>
        <v>20367</v>
      </c>
      <c r="E219" s="193">
        <f t="shared" si="45"/>
        <v>12775</v>
      </c>
      <c r="F219" s="193" t="str">
        <f t="shared" si="45"/>
        <v>-</v>
      </c>
      <c r="G219" s="193" t="str">
        <f t="shared" si="45"/>
        <v>-</v>
      </c>
      <c r="H219" s="193">
        <f t="shared" si="45"/>
        <v>66616</v>
      </c>
      <c r="J219" s="193" t="str">
        <f t="shared" si="46"/>
        <v>-</v>
      </c>
      <c r="K219" s="193" t="str">
        <f t="shared" si="46"/>
        <v>-</v>
      </c>
      <c r="L219" s="193" t="str">
        <f t="shared" si="46"/>
        <v>-</v>
      </c>
      <c r="M219" s="193">
        <f t="shared" si="46"/>
        <v>1695</v>
      </c>
      <c r="N219" s="193" t="str">
        <f t="shared" si="46"/>
        <v>-</v>
      </c>
      <c r="O219" s="193" t="str">
        <f t="shared" si="46"/>
        <v>-</v>
      </c>
      <c r="P219" s="193">
        <f t="shared" si="46"/>
        <v>1695</v>
      </c>
    </row>
    <row r="220" spans="1:16" ht="11.25" customHeight="1" x14ac:dyDescent="0.25">
      <c r="A220" s="473">
        <v>2003</v>
      </c>
      <c r="B220" s="193">
        <f t="shared" si="45"/>
        <v>23637</v>
      </c>
      <c r="C220" s="193">
        <f t="shared" si="45"/>
        <v>10089</v>
      </c>
      <c r="D220" s="193">
        <f t="shared" si="45"/>
        <v>16168</v>
      </c>
      <c r="E220" s="193">
        <f t="shared" si="45"/>
        <v>14816</v>
      </c>
      <c r="F220" s="193">
        <f t="shared" si="45"/>
        <v>1876</v>
      </c>
      <c r="G220" s="193" t="str">
        <f t="shared" si="45"/>
        <v>-</v>
      </c>
      <c r="H220" s="193">
        <f t="shared" si="45"/>
        <v>66586</v>
      </c>
      <c r="J220" s="193" t="str">
        <f t="shared" ref="J220:P220" si="47">IF(AND(J173="-",J32="-"),"-",SUM(J173,J32))</f>
        <v>-</v>
      </c>
      <c r="K220" s="193" t="str">
        <f t="shared" si="47"/>
        <v>-</v>
      </c>
      <c r="L220" s="193">
        <f t="shared" si="47"/>
        <v>5169</v>
      </c>
      <c r="M220" s="193">
        <f t="shared" si="47"/>
        <v>7924</v>
      </c>
      <c r="N220" s="193">
        <f t="shared" si="47"/>
        <v>2305</v>
      </c>
      <c r="O220" s="193" t="str">
        <f t="shared" si="47"/>
        <v>-</v>
      </c>
      <c r="P220" s="193">
        <f t="shared" si="47"/>
        <v>15398</v>
      </c>
    </row>
    <row r="221" spans="1:16" ht="11.25" customHeight="1" x14ac:dyDescent="0.25">
      <c r="A221" s="473">
        <v>2004</v>
      </c>
      <c r="B221" s="193">
        <f t="shared" si="45"/>
        <v>17194</v>
      </c>
      <c r="C221" s="193">
        <f t="shared" si="45"/>
        <v>1251</v>
      </c>
      <c r="D221" s="193">
        <f t="shared" si="45"/>
        <v>8344</v>
      </c>
      <c r="E221" s="193">
        <f t="shared" si="45"/>
        <v>9315</v>
      </c>
      <c r="F221" s="193">
        <f t="shared" si="45"/>
        <v>2386</v>
      </c>
      <c r="G221" s="193" t="str">
        <f t="shared" si="45"/>
        <v>-</v>
      </c>
      <c r="H221" s="193">
        <f t="shared" si="45"/>
        <v>38490</v>
      </c>
      <c r="J221" s="193" t="str">
        <f t="shared" ref="J221:P221" si="48">IF(AND(J174="-",J33="-"),"-",SUM(J174,J33))</f>
        <v>-</v>
      </c>
      <c r="K221" s="193" t="str">
        <f t="shared" si="48"/>
        <v>-</v>
      </c>
      <c r="L221" s="193">
        <f t="shared" si="48"/>
        <v>2948</v>
      </c>
      <c r="M221" s="193">
        <f t="shared" si="48"/>
        <v>6360</v>
      </c>
      <c r="N221" s="193">
        <f t="shared" si="48"/>
        <v>12824</v>
      </c>
      <c r="O221" s="193" t="str">
        <f t="shared" si="48"/>
        <v>-</v>
      </c>
      <c r="P221" s="193">
        <f t="shared" si="48"/>
        <v>22132</v>
      </c>
    </row>
    <row r="222" spans="1:16" ht="11.25" customHeight="1" x14ac:dyDescent="0.25">
      <c r="A222" s="477">
        <v>2005</v>
      </c>
      <c r="B222" s="197">
        <f t="shared" si="45"/>
        <v>23667</v>
      </c>
      <c r="C222" s="197">
        <f t="shared" si="45"/>
        <v>3439</v>
      </c>
      <c r="D222" s="197">
        <f t="shared" si="45"/>
        <v>6638</v>
      </c>
      <c r="E222" s="197">
        <f t="shared" si="45"/>
        <v>11407</v>
      </c>
      <c r="F222" s="197" t="str">
        <f t="shared" si="45"/>
        <v>-</v>
      </c>
      <c r="G222" s="197" t="str">
        <f t="shared" si="45"/>
        <v>-</v>
      </c>
      <c r="H222" s="197">
        <f t="shared" si="45"/>
        <v>45151</v>
      </c>
      <c r="I222" s="197"/>
      <c r="J222" s="197" t="str">
        <f t="shared" ref="J222:P222" si="49">IF(AND(J175="-",J34="-"),"-",SUM(J175,J34))</f>
        <v>-</v>
      </c>
      <c r="K222" s="197" t="str">
        <f t="shared" si="49"/>
        <v>-</v>
      </c>
      <c r="L222" s="197">
        <f t="shared" si="49"/>
        <v>524</v>
      </c>
      <c r="M222" s="197">
        <f t="shared" si="49"/>
        <v>3536</v>
      </c>
      <c r="N222" s="197" t="str">
        <f t="shared" si="49"/>
        <v>-</v>
      </c>
      <c r="O222" s="197" t="str">
        <f t="shared" si="49"/>
        <v>-</v>
      </c>
      <c r="P222" s="197">
        <f t="shared" si="49"/>
        <v>4060</v>
      </c>
    </row>
    <row r="223" spans="1:16" ht="11.25" customHeight="1" x14ac:dyDescent="0.25">
      <c r="A223" s="473">
        <v>2006</v>
      </c>
      <c r="B223" s="193">
        <f t="shared" ref="B223:H223" si="50">IF(AND(B176="-",B35="-"),"-",SUM(B176,B35))</f>
        <v>13648</v>
      </c>
      <c r="C223" s="193">
        <f t="shared" si="50"/>
        <v>7080</v>
      </c>
      <c r="D223" s="193">
        <f t="shared" si="50"/>
        <v>1074</v>
      </c>
      <c r="E223" s="193">
        <f t="shared" si="50"/>
        <v>3520</v>
      </c>
      <c r="F223" s="193">
        <f t="shared" si="50"/>
        <v>1936</v>
      </c>
      <c r="G223" s="193" t="str">
        <f t="shared" si="50"/>
        <v>-</v>
      </c>
      <c r="H223" s="193">
        <f t="shared" si="50"/>
        <v>27258</v>
      </c>
      <c r="J223" s="193" t="str">
        <f t="shared" ref="J223:P223" si="51">IF(AND(J176="-",J35="-"),"-",SUM(J176,J35))</f>
        <v>-</v>
      </c>
      <c r="K223" s="193" t="str">
        <f t="shared" si="51"/>
        <v>-</v>
      </c>
      <c r="L223" s="193">
        <f t="shared" si="51"/>
        <v>139</v>
      </c>
      <c r="M223" s="193">
        <f t="shared" si="51"/>
        <v>1760</v>
      </c>
      <c r="N223" s="193">
        <f t="shared" si="51"/>
        <v>780</v>
      </c>
      <c r="O223" s="193" t="str">
        <f t="shared" si="51"/>
        <v>-</v>
      </c>
      <c r="P223" s="193">
        <f t="shared" si="51"/>
        <v>2679</v>
      </c>
    </row>
    <row r="224" spans="1:16" ht="11.25" customHeight="1" x14ac:dyDescent="0.25">
      <c r="A224" s="477">
        <v>2007</v>
      </c>
      <c r="B224" s="197">
        <f t="shared" ref="B224:H224" si="52">IF(AND(B177="-",B36="-"),"-",SUM(B177,B36))</f>
        <v>6643</v>
      </c>
      <c r="C224" s="197">
        <f t="shared" si="52"/>
        <v>4468</v>
      </c>
      <c r="D224" s="197">
        <f t="shared" si="52"/>
        <v>3617</v>
      </c>
      <c r="E224" s="197">
        <f t="shared" si="52"/>
        <v>934</v>
      </c>
      <c r="F224" s="197">
        <f t="shared" si="52"/>
        <v>49</v>
      </c>
      <c r="G224" s="197" t="str">
        <f t="shared" si="52"/>
        <v>-</v>
      </c>
      <c r="H224" s="197">
        <f t="shared" si="52"/>
        <v>15711</v>
      </c>
      <c r="I224" s="197"/>
      <c r="J224" s="197" t="str">
        <f t="shared" ref="J224:P224" si="53">IF(AND(J177="-",J36="-"),"-",SUM(J177,J36))</f>
        <v>-</v>
      </c>
      <c r="K224" s="197" t="str">
        <f t="shared" si="53"/>
        <v>-</v>
      </c>
      <c r="L224" s="197">
        <f t="shared" si="53"/>
        <v>3344</v>
      </c>
      <c r="M224" s="197">
        <f t="shared" si="53"/>
        <v>13779</v>
      </c>
      <c r="N224" s="197">
        <f t="shared" si="53"/>
        <v>317</v>
      </c>
      <c r="O224" s="197" t="str">
        <f t="shared" si="53"/>
        <v>-</v>
      </c>
      <c r="P224" s="197">
        <f t="shared" si="53"/>
        <v>17440</v>
      </c>
    </row>
    <row r="225" spans="1:17" ht="11.25" customHeight="1" x14ac:dyDescent="0.25">
      <c r="A225" s="477">
        <v>2008</v>
      </c>
      <c r="B225" s="197">
        <f t="shared" ref="B225:H225" si="54">IF(AND(B178="-",B37="-"),"-",SUM(B178,B37))</f>
        <v>4428</v>
      </c>
      <c r="C225" s="197">
        <f t="shared" si="54"/>
        <v>6705</v>
      </c>
      <c r="D225" s="197">
        <f t="shared" si="54"/>
        <v>1309</v>
      </c>
      <c r="E225" s="197">
        <f t="shared" si="54"/>
        <v>1346</v>
      </c>
      <c r="F225" s="197">
        <f t="shared" si="54"/>
        <v>282</v>
      </c>
      <c r="G225" s="197" t="str">
        <f t="shared" si="54"/>
        <v>-</v>
      </c>
      <c r="H225" s="197">
        <f t="shared" si="54"/>
        <v>14070</v>
      </c>
      <c r="I225" s="197"/>
      <c r="J225" s="197" t="str">
        <f t="shared" ref="J225:P225" si="55">IF(AND(J178="-",J37="-"),"-",SUM(J178,J37))</f>
        <v>-</v>
      </c>
      <c r="K225" s="197" t="str">
        <f t="shared" si="55"/>
        <v>-</v>
      </c>
      <c r="L225" s="197">
        <f t="shared" si="55"/>
        <v>404</v>
      </c>
      <c r="M225" s="197">
        <f t="shared" si="55"/>
        <v>1338</v>
      </c>
      <c r="N225" s="197">
        <f t="shared" si="55"/>
        <v>398</v>
      </c>
      <c r="O225" s="197" t="str">
        <f t="shared" si="55"/>
        <v>-</v>
      </c>
      <c r="P225" s="197">
        <f t="shared" si="55"/>
        <v>2140</v>
      </c>
    </row>
    <row r="226" spans="1:17" ht="11.25" customHeight="1" x14ac:dyDescent="0.25">
      <c r="A226" s="477">
        <v>2009</v>
      </c>
      <c r="B226" s="197">
        <f t="shared" ref="B226:H226" si="56">IF(AND(B179="-",B38="-"),"-",SUM(B179,B38))</f>
        <v>5810</v>
      </c>
      <c r="C226" s="197">
        <f t="shared" si="56"/>
        <v>4376</v>
      </c>
      <c r="D226" s="197">
        <f t="shared" si="56"/>
        <v>1875</v>
      </c>
      <c r="E226" s="197">
        <f t="shared" si="56"/>
        <v>843</v>
      </c>
      <c r="F226" s="197">
        <f t="shared" si="56"/>
        <v>124</v>
      </c>
      <c r="G226" s="197" t="str">
        <f t="shared" si="56"/>
        <v>-</v>
      </c>
      <c r="H226" s="197">
        <f t="shared" si="56"/>
        <v>13028</v>
      </c>
      <c r="I226" s="197"/>
      <c r="J226" s="197" t="str">
        <f t="shared" ref="J226:P226" si="57">IF(AND(J179="-",J38="-"),"-",SUM(J179,J38))</f>
        <v>-</v>
      </c>
      <c r="K226" s="197" t="str">
        <f t="shared" si="57"/>
        <v>-</v>
      </c>
      <c r="L226" s="197">
        <f t="shared" si="57"/>
        <v>14505</v>
      </c>
      <c r="M226" s="197">
        <f t="shared" si="57"/>
        <v>14406</v>
      </c>
      <c r="N226" s="197">
        <f t="shared" si="57"/>
        <v>3828</v>
      </c>
      <c r="O226" s="197" t="str">
        <f t="shared" si="57"/>
        <v>-</v>
      </c>
      <c r="P226" s="197">
        <f t="shared" si="57"/>
        <v>32739</v>
      </c>
    </row>
    <row r="227" spans="1:17" ht="11.25" customHeight="1" x14ac:dyDescent="0.25">
      <c r="A227" s="477">
        <v>2010</v>
      </c>
      <c r="B227" s="197">
        <f t="shared" ref="B227:H227" si="58">IF(AND(B180="-",B39="-"),"-",SUM(B180,B39))</f>
        <v>9009</v>
      </c>
      <c r="C227" s="197">
        <f t="shared" si="58"/>
        <v>29214</v>
      </c>
      <c r="D227" s="197">
        <f t="shared" si="58"/>
        <v>8402</v>
      </c>
      <c r="E227" s="197">
        <f t="shared" si="58"/>
        <v>9161</v>
      </c>
      <c r="F227" s="197">
        <f t="shared" si="58"/>
        <v>433</v>
      </c>
      <c r="G227" s="197" t="str">
        <f t="shared" si="58"/>
        <v>-</v>
      </c>
      <c r="H227" s="263">
        <f t="shared" si="58"/>
        <v>56219</v>
      </c>
      <c r="I227" s="197"/>
      <c r="J227" s="197" t="str">
        <f t="shared" ref="J227:P227" si="59">IF(AND(J180="-",J39="-"),"-",SUM(J180,J39))</f>
        <v>-</v>
      </c>
      <c r="K227" s="197" t="str">
        <f t="shared" si="59"/>
        <v>-</v>
      </c>
      <c r="L227" s="197">
        <f t="shared" si="59"/>
        <v>1821</v>
      </c>
      <c r="M227" s="197">
        <f t="shared" si="59"/>
        <v>1150</v>
      </c>
      <c r="N227" s="197">
        <f t="shared" si="59"/>
        <v>173</v>
      </c>
      <c r="O227" s="197" t="str">
        <f t="shared" si="59"/>
        <v>-</v>
      </c>
      <c r="P227" s="263">
        <f t="shared" si="59"/>
        <v>3144</v>
      </c>
    </row>
    <row r="228" spans="1:17" ht="11.25" customHeight="1" x14ac:dyDescent="0.25">
      <c r="A228" s="477">
        <v>2011</v>
      </c>
      <c r="B228" s="197">
        <f t="shared" ref="B228:H228" si="60">IF(AND(B181="-",B40="-"),"-",SUM(B181,B40))</f>
        <v>9211</v>
      </c>
      <c r="C228" s="197">
        <f t="shared" si="60"/>
        <v>11258</v>
      </c>
      <c r="D228" s="197">
        <f t="shared" si="60"/>
        <v>6130</v>
      </c>
      <c r="E228" s="197">
        <f t="shared" si="60"/>
        <v>2771</v>
      </c>
      <c r="F228" s="197">
        <f t="shared" si="60"/>
        <v>368</v>
      </c>
      <c r="G228" s="197" t="str">
        <f t="shared" si="60"/>
        <v>-</v>
      </c>
      <c r="H228" s="197">
        <f t="shared" si="60"/>
        <v>29738</v>
      </c>
      <c r="I228" s="197"/>
      <c r="J228" s="197" t="str">
        <f t="shared" ref="J228:P228" si="61">IF(AND(J181="-",J40="-"),"-",SUM(J181,J40))</f>
        <v>-</v>
      </c>
      <c r="K228" s="197" t="str">
        <f t="shared" si="61"/>
        <v>-</v>
      </c>
      <c r="L228" s="197">
        <f t="shared" si="61"/>
        <v>1865</v>
      </c>
      <c r="M228" s="197">
        <f t="shared" si="61"/>
        <v>1064</v>
      </c>
      <c r="N228" s="197">
        <f t="shared" si="61"/>
        <v>588</v>
      </c>
      <c r="O228" s="197" t="str">
        <f t="shared" si="61"/>
        <v>-</v>
      </c>
      <c r="P228" s="197">
        <f t="shared" si="61"/>
        <v>3517</v>
      </c>
    </row>
    <row r="229" spans="1:17" ht="11.25" customHeight="1" x14ac:dyDescent="0.25">
      <c r="A229" s="477">
        <v>2012</v>
      </c>
      <c r="B229" s="197">
        <f t="shared" ref="B229:H229" si="62">IF(AND(B182="-",B41="-"),"-",SUM(B182,B41))</f>
        <v>11663</v>
      </c>
      <c r="C229" s="197">
        <f t="shared" si="62"/>
        <v>17424</v>
      </c>
      <c r="D229" s="197">
        <f t="shared" si="62"/>
        <v>5588</v>
      </c>
      <c r="E229" s="197">
        <f t="shared" si="62"/>
        <v>6547</v>
      </c>
      <c r="F229" s="197">
        <f t="shared" si="62"/>
        <v>4077</v>
      </c>
      <c r="G229" s="197" t="str">
        <f t="shared" si="62"/>
        <v>-</v>
      </c>
      <c r="H229" s="197">
        <f t="shared" si="62"/>
        <v>45299</v>
      </c>
      <c r="I229" s="197"/>
      <c r="J229" s="197" t="str">
        <f t="shared" ref="J229:P229" si="63">IF(AND(J182="-",J41="-"),"-",SUM(J182,J41))</f>
        <v>-</v>
      </c>
      <c r="K229" s="197" t="str">
        <f t="shared" si="63"/>
        <v>-</v>
      </c>
      <c r="L229" s="197">
        <f t="shared" si="63"/>
        <v>807</v>
      </c>
      <c r="M229" s="197">
        <f t="shared" si="63"/>
        <v>1153</v>
      </c>
      <c r="N229" s="197">
        <f t="shared" si="63"/>
        <v>1932</v>
      </c>
      <c r="O229" s="197" t="str">
        <f t="shared" si="63"/>
        <v>-</v>
      </c>
      <c r="P229" s="197">
        <f t="shared" si="63"/>
        <v>3892</v>
      </c>
    </row>
    <row r="230" spans="1:17" ht="11.25" customHeight="1" x14ac:dyDescent="0.25">
      <c r="A230" s="477">
        <v>2013</v>
      </c>
      <c r="B230" s="197">
        <f t="shared" ref="B230:H230" si="64">IF(AND(B183="-",B42="-"),"-",SUM(B183,B42))</f>
        <v>11021</v>
      </c>
      <c r="C230" s="197">
        <f t="shared" si="64"/>
        <v>12910</v>
      </c>
      <c r="D230" s="197">
        <f t="shared" si="64"/>
        <v>7994</v>
      </c>
      <c r="E230" s="197">
        <f t="shared" si="64"/>
        <v>8987</v>
      </c>
      <c r="F230" s="197">
        <f t="shared" si="64"/>
        <v>1123</v>
      </c>
      <c r="G230" s="197" t="str">
        <f t="shared" si="64"/>
        <v>-</v>
      </c>
      <c r="H230" s="197">
        <f t="shared" si="64"/>
        <v>42035</v>
      </c>
      <c r="I230" s="197"/>
      <c r="J230" s="197" t="str">
        <f t="shared" ref="J230:P230" si="65">IF(AND(J183="-",J42="-"),"-",SUM(J183,J42))</f>
        <v>-</v>
      </c>
      <c r="K230" s="197" t="str">
        <f t="shared" si="65"/>
        <v>-</v>
      </c>
      <c r="L230" s="197">
        <f t="shared" si="65"/>
        <v>1959</v>
      </c>
      <c r="M230" s="197">
        <f t="shared" si="65"/>
        <v>4139</v>
      </c>
      <c r="N230" s="197">
        <f t="shared" si="65"/>
        <v>395</v>
      </c>
      <c r="O230" s="197" t="str">
        <f t="shared" si="65"/>
        <v>-</v>
      </c>
      <c r="P230" s="197">
        <f t="shared" si="65"/>
        <v>6493</v>
      </c>
      <c r="Q230" s="148"/>
    </row>
    <row r="231" spans="1:17" ht="11.25" customHeight="1" x14ac:dyDescent="0.25">
      <c r="A231" s="477">
        <v>2014</v>
      </c>
      <c r="B231" s="197">
        <f t="shared" ref="B231:H231" si="66">IF(AND(B184="-",B43="-"),"-",SUM(B184,B43))</f>
        <v>33030</v>
      </c>
      <c r="C231" s="197">
        <f t="shared" si="66"/>
        <v>3835</v>
      </c>
      <c r="D231" s="197">
        <f t="shared" si="66"/>
        <v>10978</v>
      </c>
      <c r="E231" s="197">
        <f t="shared" si="66"/>
        <v>6136</v>
      </c>
      <c r="F231" s="197">
        <f t="shared" si="66"/>
        <v>910</v>
      </c>
      <c r="G231" s="197" t="str">
        <f t="shared" si="66"/>
        <v>-</v>
      </c>
      <c r="H231" s="197">
        <f t="shared" si="66"/>
        <v>54889</v>
      </c>
      <c r="I231" s="197"/>
      <c r="J231" s="197" t="str">
        <f t="shared" ref="J231:P231" si="67">IF(AND(J184="-",J43="-"),"-",SUM(J184,J43))</f>
        <v>-</v>
      </c>
      <c r="K231" s="197" t="str">
        <f t="shared" si="67"/>
        <v>-</v>
      </c>
      <c r="L231" s="197">
        <f t="shared" si="67"/>
        <v>5869</v>
      </c>
      <c r="M231" s="197">
        <f t="shared" si="67"/>
        <v>8442</v>
      </c>
      <c r="N231" s="197">
        <f t="shared" si="67"/>
        <v>8798</v>
      </c>
      <c r="O231" s="197" t="str">
        <f t="shared" si="67"/>
        <v>-</v>
      </c>
      <c r="P231" s="197">
        <f t="shared" si="67"/>
        <v>23109</v>
      </c>
      <c r="Q231" s="148"/>
    </row>
    <row r="232" spans="1:17" ht="11.25" customHeight="1" x14ac:dyDescent="0.25">
      <c r="A232" s="477">
        <v>2015</v>
      </c>
      <c r="B232" s="197">
        <f t="shared" ref="B232:H232" si="68">IF(AND(B185="-",B44="-"),"-",SUM(B185,B44))</f>
        <v>22409</v>
      </c>
      <c r="C232" s="197">
        <f t="shared" si="68"/>
        <v>16585</v>
      </c>
      <c r="D232" s="197">
        <f t="shared" si="68"/>
        <v>13999</v>
      </c>
      <c r="E232" s="197">
        <f t="shared" si="68"/>
        <v>10868</v>
      </c>
      <c r="F232" s="197">
        <f t="shared" si="68"/>
        <v>2334</v>
      </c>
      <c r="G232" s="197" t="str">
        <f t="shared" si="68"/>
        <v>-</v>
      </c>
      <c r="H232" s="197">
        <f t="shared" si="68"/>
        <v>66195</v>
      </c>
      <c r="I232" s="197"/>
      <c r="J232" s="197" t="str">
        <f t="shared" ref="J232:P232" si="69">IF(AND(J185="-",J44="-"),"-",SUM(J185,J44))</f>
        <v>-</v>
      </c>
      <c r="K232" s="197" t="str">
        <f t="shared" si="69"/>
        <v>-</v>
      </c>
      <c r="L232" s="197">
        <f t="shared" si="69"/>
        <v>1056</v>
      </c>
      <c r="M232" s="197">
        <f t="shared" si="69"/>
        <v>1580</v>
      </c>
      <c r="N232" s="197">
        <f t="shared" si="69"/>
        <v>2449</v>
      </c>
      <c r="O232" s="197" t="str">
        <f t="shared" si="69"/>
        <v>-</v>
      </c>
      <c r="P232" s="197">
        <f t="shared" si="69"/>
        <v>5085</v>
      </c>
      <c r="Q232" s="148"/>
    </row>
    <row r="233" spans="1:17" ht="11.25" customHeight="1" x14ac:dyDescent="0.25">
      <c r="A233" s="477">
        <v>2016</v>
      </c>
      <c r="B233" s="197">
        <f t="shared" ref="B233:H233" si="70">IF(AND(B186="-",B45="-"),"-",SUM(B186,B45))</f>
        <v>7609</v>
      </c>
      <c r="C233" s="197">
        <f t="shared" si="70"/>
        <v>5053</v>
      </c>
      <c r="D233" s="197">
        <f t="shared" si="70"/>
        <v>3753</v>
      </c>
      <c r="E233" s="197">
        <f t="shared" si="70"/>
        <v>2987</v>
      </c>
      <c r="F233" s="197" t="str">
        <f t="shared" si="70"/>
        <v>-</v>
      </c>
      <c r="G233" s="197" t="str">
        <f t="shared" si="70"/>
        <v>-</v>
      </c>
      <c r="H233" s="197">
        <f t="shared" si="70"/>
        <v>19402</v>
      </c>
      <c r="I233" s="197"/>
      <c r="J233" s="197" t="str">
        <f t="shared" ref="J233:P233" si="71">IF(AND(J186="-",J45="-"),"-",SUM(J186,J45))</f>
        <v>-</v>
      </c>
      <c r="K233" s="197" t="str">
        <f t="shared" si="71"/>
        <v>-</v>
      </c>
      <c r="L233" s="197" t="str">
        <f t="shared" si="71"/>
        <v>-</v>
      </c>
      <c r="M233" s="197" t="str">
        <f t="shared" si="71"/>
        <v>-</v>
      </c>
      <c r="N233" s="197" t="str">
        <f t="shared" si="71"/>
        <v>-</v>
      </c>
      <c r="O233" s="197" t="str">
        <f t="shared" si="71"/>
        <v>-</v>
      </c>
      <c r="P233" s="197" t="str">
        <f t="shared" si="71"/>
        <v>-</v>
      </c>
      <c r="Q233" s="148"/>
    </row>
    <row r="234" spans="1:17" ht="11.25" customHeight="1" x14ac:dyDescent="0.25">
      <c r="A234" s="477">
        <v>2017</v>
      </c>
      <c r="B234" s="197">
        <f t="shared" ref="B234:H234" si="72">IF(AND(B187="-",B46="-"),"-",SUM(B187,B46))</f>
        <v>14584</v>
      </c>
      <c r="C234" s="197">
        <f t="shared" si="72"/>
        <v>8120</v>
      </c>
      <c r="D234" s="197">
        <f t="shared" si="72"/>
        <v>5830</v>
      </c>
      <c r="E234" s="197">
        <f t="shared" si="72"/>
        <v>5917</v>
      </c>
      <c r="F234" s="197">
        <f t="shared" si="72"/>
        <v>1109</v>
      </c>
      <c r="G234" s="197" t="str">
        <f t="shared" si="72"/>
        <v>-</v>
      </c>
      <c r="H234" s="197">
        <f t="shared" si="72"/>
        <v>35560</v>
      </c>
      <c r="I234" s="197"/>
      <c r="J234" s="197" t="str">
        <f t="shared" ref="J234:P234" si="73">IF(AND(J187="-",J46="-"),"-",SUM(J187,J46))</f>
        <v>-</v>
      </c>
      <c r="K234" s="197" t="str">
        <f t="shared" si="73"/>
        <v>-</v>
      </c>
      <c r="L234" s="197">
        <f t="shared" si="73"/>
        <v>247</v>
      </c>
      <c r="M234" s="197">
        <f t="shared" si="73"/>
        <v>1074</v>
      </c>
      <c r="N234" s="197">
        <f t="shared" si="73"/>
        <v>517</v>
      </c>
      <c r="O234" s="197" t="str">
        <f t="shared" si="73"/>
        <v>-</v>
      </c>
      <c r="P234" s="197">
        <f t="shared" si="73"/>
        <v>1838</v>
      </c>
      <c r="Q234" s="148"/>
    </row>
    <row r="235" spans="1:17" s="358" customFormat="1" ht="11.25" customHeight="1" x14ac:dyDescent="0.25">
      <c r="A235" s="157">
        <v>2018</v>
      </c>
      <c r="B235" s="197">
        <f t="shared" ref="B235:H235" si="74">IF(AND(B188="-",B47="-"),"-",SUM(B188,B47))</f>
        <v>6689</v>
      </c>
      <c r="C235" s="197">
        <f t="shared" si="74"/>
        <v>9279</v>
      </c>
      <c r="D235" s="197">
        <f t="shared" si="74"/>
        <v>5468</v>
      </c>
      <c r="E235" s="197">
        <f t="shared" si="74"/>
        <v>1740</v>
      </c>
      <c r="F235" s="197">
        <f t="shared" si="74"/>
        <v>713</v>
      </c>
      <c r="G235" s="197" t="str">
        <f t="shared" si="74"/>
        <v>-</v>
      </c>
      <c r="H235" s="197">
        <f t="shared" si="74"/>
        <v>23889</v>
      </c>
      <c r="J235" s="197" t="str">
        <f t="shared" ref="J235:P235" si="75">IF(AND(J188="-",J47="-"),"-",SUM(J188,J47))</f>
        <v>-</v>
      </c>
      <c r="K235" s="197" t="str">
        <f t="shared" si="75"/>
        <v>-</v>
      </c>
      <c r="L235" s="197">
        <f t="shared" si="75"/>
        <v>455</v>
      </c>
      <c r="M235" s="197">
        <f t="shared" si="75"/>
        <v>541</v>
      </c>
      <c r="N235" s="197">
        <f t="shared" si="75"/>
        <v>388</v>
      </c>
      <c r="O235" s="197" t="str">
        <f t="shared" si="75"/>
        <v>-</v>
      </c>
      <c r="P235" s="197">
        <f t="shared" si="75"/>
        <v>1384</v>
      </c>
      <c r="Q235" s="148"/>
    </row>
    <row r="236" spans="1:17" s="358" customFormat="1" ht="11.25" customHeight="1" x14ac:dyDescent="0.25">
      <c r="A236" s="157">
        <v>2019</v>
      </c>
      <c r="B236" s="197">
        <f t="shared" ref="B236:H237" si="76">IF(AND(B189="-",B48="-"),"-",SUM(B189,B48))</f>
        <v>3918</v>
      </c>
      <c r="C236" s="197">
        <f t="shared" si="76"/>
        <v>3080</v>
      </c>
      <c r="D236" s="197">
        <f t="shared" si="76"/>
        <v>11764</v>
      </c>
      <c r="E236" s="197">
        <f t="shared" si="76"/>
        <v>2762</v>
      </c>
      <c r="F236" s="197">
        <f t="shared" si="76"/>
        <v>1760</v>
      </c>
      <c r="G236" s="197" t="str">
        <f t="shared" si="76"/>
        <v>-</v>
      </c>
      <c r="H236" s="197">
        <f t="shared" si="76"/>
        <v>23284</v>
      </c>
      <c r="J236" s="197" t="str">
        <f t="shared" ref="J236:P237" si="77">IF(AND(J189="-",J48="-"),"-",SUM(J189,J48))</f>
        <v>-</v>
      </c>
      <c r="K236" s="197" t="str">
        <f t="shared" si="77"/>
        <v>-</v>
      </c>
      <c r="L236" s="197">
        <f t="shared" si="77"/>
        <v>2667</v>
      </c>
      <c r="M236" s="197">
        <f t="shared" si="77"/>
        <v>1460</v>
      </c>
      <c r="N236" s="197">
        <f t="shared" si="77"/>
        <v>1282</v>
      </c>
      <c r="O236" s="197" t="str">
        <f t="shared" si="77"/>
        <v>-</v>
      </c>
      <c r="P236" s="197">
        <f t="shared" si="77"/>
        <v>5409</v>
      </c>
      <c r="Q236" s="148"/>
    </row>
    <row r="237" spans="1:17" ht="11.25" customHeight="1" x14ac:dyDescent="0.25">
      <c r="A237" s="157" t="s">
        <v>393</v>
      </c>
      <c r="B237" s="193">
        <f t="shared" si="76"/>
        <v>709</v>
      </c>
      <c r="C237" s="193">
        <f t="shared" si="76"/>
        <v>1343</v>
      </c>
      <c r="D237" s="193">
        <f t="shared" si="76"/>
        <v>7326</v>
      </c>
      <c r="E237" s="193">
        <f t="shared" si="76"/>
        <v>2962</v>
      </c>
      <c r="F237" s="193">
        <f t="shared" si="76"/>
        <v>160</v>
      </c>
      <c r="G237" s="193" t="str">
        <f t="shared" si="76"/>
        <v>-</v>
      </c>
      <c r="H237" s="193">
        <f t="shared" si="76"/>
        <v>12500</v>
      </c>
      <c r="J237" s="193" t="str">
        <f t="shared" si="77"/>
        <v>-</v>
      </c>
      <c r="K237" s="193" t="str">
        <f t="shared" si="77"/>
        <v>-</v>
      </c>
      <c r="L237" s="193">
        <f t="shared" si="77"/>
        <v>285</v>
      </c>
      <c r="M237" s="193">
        <f t="shared" si="77"/>
        <v>378</v>
      </c>
      <c r="N237" s="193">
        <f t="shared" si="77"/>
        <v>103</v>
      </c>
      <c r="O237" s="193" t="str">
        <f t="shared" si="77"/>
        <v>-</v>
      </c>
      <c r="P237" s="193">
        <f t="shared" si="77"/>
        <v>766</v>
      </c>
      <c r="Q237" s="148"/>
    </row>
    <row r="238" spans="1:17" ht="11.25" customHeight="1" x14ac:dyDescent="0.25"/>
    <row r="239" spans="1:17" ht="11.25" customHeight="1" x14ac:dyDescent="0.25">
      <c r="A239" s="116" t="s">
        <v>312</v>
      </c>
      <c r="B239" s="155"/>
      <c r="C239" s="155"/>
      <c r="D239" s="155"/>
      <c r="E239" s="155"/>
      <c r="F239" s="28"/>
    </row>
    <row r="240" spans="1:17" ht="11.25" customHeight="1" x14ac:dyDescent="0.25">
      <c r="A240" s="473">
        <v>1976</v>
      </c>
      <c r="B240" s="193">
        <f>'A-15'!C194</f>
        <v>381</v>
      </c>
      <c r="C240" s="193">
        <f>'A-15'!D194</f>
        <v>2900</v>
      </c>
      <c r="D240" s="193">
        <f>'A-15'!E194</f>
        <v>3581</v>
      </c>
      <c r="E240" s="193">
        <f>'A-15'!F194</f>
        <v>957</v>
      </c>
      <c r="F240" s="193">
        <f>'A-15'!G194</f>
        <v>70</v>
      </c>
      <c r="G240" s="193">
        <f>'A-15'!H194</f>
        <v>1</v>
      </c>
      <c r="H240" s="193">
        <f>'A-15'!J194</f>
        <v>7889</v>
      </c>
      <c r="J240" s="193">
        <f>'A-15'!N194</f>
        <v>0</v>
      </c>
      <c r="K240" s="193">
        <f>'A-15'!O194</f>
        <v>1466</v>
      </c>
      <c r="L240" s="193">
        <f>'A-15'!P194</f>
        <v>4153</v>
      </c>
      <c r="M240" s="193">
        <f>'A-15'!Q194</f>
        <v>1583</v>
      </c>
      <c r="N240" s="193">
        <f>'A-15'!R194</f>
        <v>126</v>
      </c>
      <c r="O240" s="193">
        <f>'A-15'!S194</f>
        <v>16</v>
      </c>
      <c r="P240" s="193">
        <f>'A-15'!U194</f>
        <v>7328</v>
      </c>
    </row>
    <row r="241" spans="1:16" ht="11.25" customHeight="1" x14ac:dyDescent="0.25">
      <c r="A241" s="473">
        <v>1977</v>
      </c>
      <c r="B241" s="193">
        <f>'A-15'!C195</f>
        <v>1676</v>
      </c>
      <c r="C241" s="193">
        <f>'A-15'!D195</f>
        <v>1840</v>
      </c>
      <c r="D241" s="193">
        <f>'A-15'!E195</f>
        <v>871</v>
      </c>
      <c r="E241" s="193">
        <f>'A-15'!F195</f>
        <v>413</v>
      </c>
      <c r="F241" s="193">
        <f>'A-15'!G195</f>
        <v>168</v>
      </c>
      <c r="G241" s="193">
        <f>'A-15'!H195</f>
        <v>8</v>
      </c>
      <c r="H241" s="193">
        <f>'A-15'!J195</f>
        <v>4968</v>
      </c>
      <c r="J241" s="193">
        <f>'A-15'!N195</f>
        <v>258</v>
      </c>
      <c r="K241" s="193">
        <f>'A-15'!O195</f>
        <v>3440</v>
      </c>
      <c r="L241" s="193">
        <f>'A-15'!P195</f>
        <v>1263</v>
      </c>
      <c r="M241" s="193">
        <f>'A-15'!Q195</f>
        <v>1592</v>
      </c>
      <c r="N241" s="193">
        <f>'A-15'!R195</f>
        <v>419</v>
      </c>
      <c r="O241" s="193">
        <f>'A-15'!S195</f>
        <v>4</v>
      </c>
      <c r="P241" s="193">
        <f>'A-15'!U195</f>
        <v>6972</v>
      </c>
    </row>
    <row r="242" spans="1:16" ht="11.25" customHeight="1" x14ac:dyDescent="0.25">
      <c r="A242" s="473">
        <v>1978</v>
      </c>
      <c r="B242" s="193">
        <f>'A-15'!C196</f>
        <v>946</v>
      </c>
      <c r="C242" s="193">
        <f>'A-15'!D196</f>
        <v>3877</v>
      </c>
      <c r="D242" s="193">
        <f>'A-15'!E196</f>
        <v>827</v>
      </c>
      <c r="E242" s="193">
        <f>'A-15'!F196</f>
        <v>232</v>
      </c>
      <c r="F242" s="193">
        <f>'A-15'!G196</f>
        <v>64</v>
      </c>
      <c r="G242" s="193">
        <f>'A-15'!H196</f>
        <v>26</v>
      </c>
      <c r="H242" s="193">
        <f>'A-15'!J196</f>
        <v>5946</v>
      </c>
      <c r="J242" s="193">
        <f>'A-15'!N196</f>
        <v>231</v>
      </c>
      <c r="K242" s="193">
        <f>'A-15'!O196</f>
        <v>3405</v>
      </c>
      <c r="L242" s="193">
        <f>'A-15'!P196</f>
        <v>1307</v>
      </c>
      <c r="M242" s="193">
        <f>'A-15'!Q196</f>
        <v>509</v>
      </c>
      <c r="N242" s="193">
        <f>'A-15'!R196</f>
        <v>550</v>
      </c>
      <c r="O242" s="193">
        <f>'A-15'!S196</f>
        <v>8</v>
      </c>
      <c r="P242" s="193">
        <f>'A-15'!U196</f>
        <v>6002</v>
      </c>
    </row>
    <row r="243" spans="1:16" ht="11.25" customHeight="1" x14ac:dyDescent="0.25">
      <c r="A243" s="473">
        <v>1979</v>
      </c>
      <c r="B243" s="193">
        <f>'A-15'!C197</f>
        <v>798</v>
      </c>
      <c r="C243" s="193">
        <f>'A-15'!D197</f>
        <v>723</v>
      </c>
      <c r="D243" s="193">
        <f>'A-15'!E197</f>
        <v>330</v>
      </c>
      <c r="E243" s="193">
        <f>'A-15'!F197</f>
        <v>299</v>
      </c>
      <c r="F243" s="193">
        <f>'A-15'!G197</f>
        <v>27</v>
      </c>
      <c r="G243" s="193">
        <f>'A-15'!H197</f>
        <v>4</v>
      </c>
      <c r="H243" s="193">
        <f>'A-15'!J197</f>
        <v>2177</v>
      </c>
      <c r="J243" s="193">
        <f>'A-15'!N197</f>
        <v>1051</v>
      </c>
      <c r="K243" s="193">
        <f>'A-15'!O197</f>
        <v>4777</v>
      </c>
      <c r="L243" s="193">
        <f>'A-15'!P197</f>
        <v>2071</v>
      </c>
      <c r="M243" s="193">
        <f>'A-15'!Q197</f>
        <v>2132</v>
      </c>
      <c r="N243" s="193">
        <f>'A-15'!R197</f>
        <v>109</v>
      </c>
      <c r="O243" s="193">
        <f>'A-15'!S197</f>
        <v>4</v>
      </c>
      <c r="P243" s="193">
        <f>'A-15'!U197</f>
        <v>10140</v>
      </c>
    </row>
    <row r="244" spans="1:16" ht="11.25" customHeight="1" x14ac:dyDescent="0.25">
      <c r="A244" s="473">
        <v>1980</v>
      </c>
      <c r="B244" s="193">
        <f>'A-15'!C198</f>
        <v>133</v>
      </c>
      <c r="C244" s="193">
        <f>'A-15'!D198</f>
        <v>847</v>
      </c>
      <c r="D244" s="193">
        <f>'A-15'!E198</f>
        <v>3272</v>
      </c>
      <c r="E244" s="193">
        <f>'A-15'!F198</f>
        <v>176</v>
      </c>
      <c r="F244" s="193">
        <f>'A-15'!G198</f>
        <v>22</v>
      </c>
      <c r="G244" s="193">
        <f>'A-15'!H198</f>
        <v>15</v>
      </c>
      <c r="H244" s="193">
        <f>'A-15'!J198</f>
        <v>4450</v>
      </c>
      <c r="J244" s="193">
        <f>'A-15'!N198</f>
        <v>2062</v>
      </c>
      <c r="K244" s="193">
        <f>'A-15'!O198</f>
        <v>25295</v>
      </c>
      <c r="L244" s="193">
        <f>'A-15'!P198</f>
        <v>5779</v>
      </c>
      <c r="M244" s="193">
        <f>'A-15'!Q198</f>
        <v>558</v>
      </c>
      <c r="N244" s="193">
        <f>'A-15'!R198</f>
        <v>1012</v>
      </c>
      <c r="O244" s="193">
        <f>'A-15'!S198</f>
        <v>25</v>
      </c>
      <c r="P244" s="193">
        <f>'A-15'!U198</f>
        <v>34706</v>
      </c>
    </row>
    <row r="245" spans="1:16" ht="11.25" customHeight="1" x14ac:dyDescent="0.25">
      <c r="A245" s="473">
        <v>1981</v>
      </c>
      <c r="B245" s="193">
        <f>'A-15'!C199</f>
        <v>1579</v>
      </c>
      <c r="C245" s="193">
        <f>'A-15'!D199</f>
        <v>2487</v>
      </c>
      <c r="D245" s="193">
        <f>'A-15'!E199</f>
        <v>3652</v>
      </c>
      <c r="E245" s="193">
        <f>'A-15'!F199</f>
        <v>269</v>
      </c>
      <c r="F245" s="193">
        <f>'A-15'!G199</f>
        <v>270</v>
      </c>
      <c r="G245" s="193">
        <f>'A-15'!H199</f>
        <v>258</v>
      </c>
      <c r="H245" s="193">
        <f>'A-15'!J199</f>
        <v>8257</v>
      </c>
      <c r="J245" s="193">
        <f>'A-15'!N199</f>
        <v>1284</v>
      </c>
      <c r="K245" s="193">
        <f>'A-15'!O199</f>
        <v>7598</v>
      </c>
      <c r="L245" s="193">
        <f>'A-15'!P199</f>
        <v>6925</v>
      </c>
      <c r="M245" s="193">
        <f>'A-15'!Q199</f>
        <v>3086</v>
      </c>
      <c r="N245" s="193">
        <f>'A-15'!R199</f>
        <v>13717</v>
      </c>
      <c r="O245" s="193">
        <f>'A-15'!S199</f>
        <v>13</v>
      </c>
      <c r="P245" s="193">
        <f>'A-15'!U199</f>
        <v>32610</v>
      </c>
    </row>
    <row r="246" spans="1:16" ht="11.25" customHeight="1" x14ac:dyDescent="0.25">
      <c r="A246" s="473">
        <v>1982</v>
      </c>
      <c r="B246" s="193">
        <f>'A-15'!C200</f>
        <v>1270</v>
      </c>
      <c r="C246" s="193">
        <f>'A-15'!D200</f>
        <v>3392</v>
      </c>
      <c r="D246" s="193">
        <f>'A-15'!E200</f>
        <v>8974</v>
      </c>
      <c r="E246" s="193">
        <f>'A-15'!F200</f>
        <v>1984</v>
      </c>
      <c r="F246" s="193">
        <f>'A-15'!G200</f>
        <v>2656</v>
      </c>
      <c r="G246" s="193">
        <f>'A-15'!H200</f>
        <v>223</v>
      </c>
      <c r="H246" s="193">
        <f>'A-15'!J200</f>
        <v>18276</v>
      </c>
      <c r="J246" s="193">
        <f>'A-15'!N200</f>
        <v>34</v>
      </c>
      <c r="K246" s="193">
        <f>'A-15'!O200</f>
        <v>22681</v>
      </c>
      <c r="L246" s="193">
        <f>'A-15'!P200</f>
        <v>16482</v>
      </c>
      <c r="M246" s="193">
        <f>'A-15'!Q200</f>
        <v>46240</v>
      </c>
      <c r="N246" s="193">
        <f>'A-15'!R200</f>
        <v>38292</v>
      </c>
      <c r="O246" s="193">
        <f>'A-15'!S200</f>
        <v>57</v>
      </c>
      <c r="P246" s="193">
        <f>'A-15'!U200</f>
        <v>123729</v>
      </c>
    </row>
    <row r="247" spans="1:16" ht="11.25" customHeight="1" x14ac:dyDescent="0.25">
      <c r="A247" s="473">
        <v>1983</v>
      </c>
      <c r="B247" s="193">
        <f>'A-15'!C201</f>
        <v>2540</v>
      </c>
      <c r="C247" s="193">
        <f>'A-15'!D201</f>
        <v>2864</v>
      </c>
      <c r="D247" s="193">
        <f>'A-15'!E201</f>
        <v>1061</v>
      </c>
      <c r="E247" s="193">
        <f>'A-15'!F201</f>
        <v>806</v>
      </c>
      <c r="F247" s="193">
        <f>'A-15'!G201</f>
        <v>255</v>
      </c>
      <c r="G247" s="193">
        <f>'A-15'!H201</f>
        <v>65</v>
      </c>
      <c r="H247" s="193">
        <f>'A-15'!J201</f>
        <v>7526</v>
      </c>
      <c r="J247" s="193">
        <f>'A-15'!N201</f>
        <v>95</v>
      </c>
      <c r="K247" s="193">
        <f>'A-15'!O201</f>
        <v>4987</v>
      </c>
      <c r="L247" s="193">
        <f>'A-15'!P201</f>
        <v>5305</v>
      </c>
      <c r="M247" s="193">
        <f>'A-15'!Q201</f>
        <v>19961</v>
      </c>
      <c r="N247" s="193">
        <f>'A-15'!R201</f>
        <v>7747</v>
      </c>
      <c r="O247" s="193">
        <f>'A-15'!S201</f>
        <v>17</v>
      </c>
      <c r="P247" s="193">
        <f>'A-15'!U201</f>
        <v>38095</v>
      </c>
    </row>
    <row r="248" spans="1:16" ht="11.25" customHeight="1" x14ac:dyDescent="0.25">
      <c r="A248" s="473">
        <v>1984</v>
      </c>
      <c r="B248" s="193">
        <f>'A-15'!C202</f>
        <v>1348</v>
      </c>
      <c r="C248" s="193">
        <f>'A-15'!D202</f>
        <v>517</v>
      </c>
      <c r="D248" s="193">
        <f>'A-15'!E202</f>
        <v>751</v>
      </c>
      <c r="E248" s="193">
        <f>'A-15'!F202</f>
        <v>1367</v>
      </c>
      <c r="F248" s="193">
        <f>'A-15'!G202</f>
        <v>0</v>
      </c>
      <c r="G248" s="193">
        <f>'A-15'!H202</f>
        <v>147</v>
      </c>
      <c r="H248" s="193">
        <f>'A-15'!J202</f>
        <v>3983</v>
      </c>
      <c r="J248" s="193">
        <f>'A-15'!N202</f>
        <v>0</v>
      </c>
      <c r="K248" s="193">
        <f>'A-15'!O202</f>
        <v>0</v>
      </c>
      <c r="L248" s="193">
        <f>'A-15'!P202</f>
        <v>19715</v>
      </c>
      <c r="M248" s="193">
        <f>'A-15'!Q202</f>
        <v>23772</v>
      </c>
      <c r="N248" s="193">
        <f>'A-15'!R202</f>
        <v>0</v>
      </c>
      <c r="O248" s="193">
        <f>'A-15'!S202</f>
        <v>147</v>
      </c>
      <c r="P248" s="193">
        <f>'A-15'!U202</f>
        <v>43487</v>
      </c>
    </row>
    <row r="249" spans="1:16" ht="11.25" customHeight="1" x14ac:dyDescent="0.25">
      <c r="A249" s="473">
        <v>1985</v>
      </c>
      <c r="B249" s="193">
        <f>'A-15'!C203</f>
        <v>4014</v>
      </c>
      <c r="C249" s="193">
        <f>'A-15'!D203</f>
        <v>156</v>
      </c>
      <c r="D249" s="193">
        <f>'A-15'!E203</f>
        <v>3743</v>
      </c>
      <c r="E249" s="193">
        <f>'A-15'!F203</f>
        <v>2252</v>
      </c>
      <c r="F249" s="193">
        <f>'A-15'!G203</f>
        <v>1910</v>
      </c>
      <c r="G249" s="193">
        <f>'A-15'!H203</f>
        <v>299</v>
      </c>
      <c r="H249" s="193">
        <f>'A-15'!J203</f>
        <v>12075</v>
      </c>
      <c r="J249" s="193">
        <f>'A-15'!N203</f>
        <v>1</v>
      </c>
      <c r="K249" s="193">
        <f>'A-15'!O203</f>
        <v>1911</v>
      </c>
      <c r="L249" s="193">
        <f>'A-15'!P203</f>
        <v>33602</v>
      </c>
      <c r="M249" s="193">
        <f>'A-15'!Q203</f>
        <v>29361</v>
      </c>
      <c r="N249" s="193">
        <f>'A-15'!R203</f>
        <v>23573</v>
      </c>
      <c r="O249" s="193">
        <f>'A-15'!S203</f>
        <v>37</v>
      </c>
      <c r="P249" s="193">
        <f>'A-15'!U203</f>
        <v>88448</v>
      </c>
    </row>
    <row r="250" spans="1:16" ht="11.25" customHeight="1" x14ac:dyDescent="0.25">
      <c r="A250" s="473">
        <v>1986</v>
      </c>
      <c r="B250" s="193">
        <f>'A-15'!C204</f>
        <v>3891</v>
      </c>
      <c r="C250" s="193">
        <f>'A-15'!D204</f>
        <v>4461</v>
      </c>
      <c r="D250" s="193">
        <f>'A-15'!E204</f>
        <v>3688</v>
      </c>
      <c r="E250" s="193">
        <f>'A-15'!F204</f>
        <v>418</v>
      </c>
      <c r="F250" s="193">
        <f>'A-15'!G204</f>
        <v>0</v>
      </c>
      <c r="G250" s="193">
        <f>'A-15'!H204</f>
        <v>0</v>
      </c>
      <c r="H250" s="193">
        <f>'A-15'!J204</f>
        <v>12458</v>
      </c>
      <c r="J250" s="193">
        <f>'A-15'!N204</f>
        <v>0</v>
      </c>
      <c r="K250" s="193">
        <f>'A-15'!O204</f>
        <v>21166</v>
      </c>
      <c r="L250" s="193">
        <f>'A-15'!P204</f>
        <v>51622</v>
      </c>
      <c r="M250" s="193">
        <f>'A-15'!Q204</f>
        <v>11711</v>
      </c>
      <c r="N250" s="193">
        <f>'A-15'!R204</f>
        <v>13</v>
      </c>
      <c r="O250" s="193">
        <f>'A-15'!S204</f>
        <v>0</v>
      </c>
      <c r="P250" s="193">
        <f>'A-15'!U204</f>
        <v>84512</v>
      </c>
    </row>
    <row r="251" spans="1:16" ht="11.25" customHeight="1" x14ac:dyDescent="0.25">
      <c r="A251" s="473">
        <v>1987</v>
      </c>
      <c r="B251" s="193">
        <f>'A-15'!C205</f>
        <v>8563</v>
      </c>
      <c r="C251" s="193">
        <f>'A-15'!D205</f>
        <v>0</v>
      </c>
      <c r="D251" s="193">
        <f>'A-15'!E205</f>
        <v>2181</v>
      </c>
      <c r="E251" s="193">
        <f>'A-15'!F205</f>
        <v>7271</v>
      </c>
      <c r="F251" s="193">
        <f>'A-15'!G205</f>
        <v>0</v>
      </c>
      <c r="G251" s="193">
        <f>'A-15'!H205</f>
        <v>52</v>
      </c>
      <c r="H251" s="193">
        <f>'A-15'!J205</f>
        <v>18015</v>
      </c>
      <c r="J251" s="193">
        <f>'A-15'!N205</f>
        <v>16</v>
      </c>
      <c r="K251" s="193">
        <f>'A-15'!O205</f>
        <v>0</v>
      </c>
      <c r="L251" s="193">
        <f>'A-15'!P205</f>
        <v>45619</v>
      </c>
      <c r="M251" s="193">
        <f>'A-15'!Q205</f>
        <v>44040</v>
      </c>
      <c r="N251" s="193">
        <f>'A-15'!R205</f>
        <v>0</v>
      </c>
      <c r="O251" s="193">
        <f>'A-15'!S205</f>
        <v>33</v>
      </c>
      <c r="P251" s="193">
        <f>'A-15'!U205</f>
        <v>89675</v>
      </c>
    </row>
    <row r="252" spans="1:16" ht="11.25" customHeight="1" x14ac:dyDescent="0.25">
      <c r="A252" s="473">
        <v>1988</v>
      </c>
      <c r="B252" s="193">
        <f>'A-15'!C206</f>
        <v>7714</v>
      </c>
      <c r="C252" s="193">
        <f>'A-15'!D206</f>
        <v>9764</v>
      </c>
      <c r="D252" s="193">
        <f>'A-15'!E206</f>
        <v>6379</v>
      </c>
      <c r="E252" s="193">
        <f>'A-15'!F206</f>
        <v>6825</v>
      </c>
      <c r="F252" s="193">
        <f>'A-15'!G206</f>
        <v>1968</v>
      </c>
      <c r="G252" s="193">
        <f>'A-15'!H206</f>
        <v>0</v>
      </c>
      <c r="H252" s="193">
        <f>'A-15'!J206</f>
        <v>32650</v>
      </c>
      <c r="J252" s="193">
        <f>'A-15'!N206</f>
        <v>0</v>
      </c>
      <c r="K252" s="193">
        <f>'A-15'!O206</f>
        <v>114</v>
      </c>
      <c r="L252" s="193">
        <f>'A-15'!P206</f>
        <v>11813</v>
      </c>
      <c r="M252" s="193">
        <f>'A-15'!Q206</f>
        <v>46236</v>
      </c>
      <c r="N252" s="193">
        <f>'A-15'!R206</f>
        <v>10167</v>
      </c>
      <c r="O252" s="193">
        <f>'A-15'!S206</f>
        <v>0</v>
      </c>
      <c r="P252" s="193">
        <f>'A-15'!U206</f>
        <v>68330</v>
      </c>
    </row>
    <row r="253" spans="1:16" ht="11.25" customHeight="1" x14ac:dyDescent="0.25">
      <c r="A253" s="473">
        <v>1989</v>
      </c>
      <c r="B253" s="193">
        <f>'A-15'!C207</f>
        <v>6711</v>
      </c>
      <c r="C253" s="193">
        <f>'A-15'!D207</f>
        <v>7645</v>
      </c>
      <c r="D253" s="193">
        <f>'A-15'!E207</f>
        <v>10111</v>
      </c>
      <c r="E253" s="193">
        <f>'A-15'!F207</f>
        <v>5247</v>
      </c>
      <c r="F253" s="193">
        <f>'A-15'!G207</f>
        <v>1582</v>
      </c>
      <c r="G253" s="193">
        <f>'A-15'!H207</f>
        <v>0</v>
      </c>
      <c r="H253" s="193">
        <f>'A-15'!J207</f>
        <v>31296</v>
      </c>
      <c r="J253" s="193">
        <f>'A-15'!N207</f>
        <v>1</v>
      </c>
      <c r="K253" s="193">
        <f>'A-15'!O207</f>
        <v>0</v>
      </c>
      <c r="L253" s="193">
        <f>'A-15'!P207</f>
        <v>31817</v>
      </c>
      <c r="M253" s="193">
        <f>'A-15'!Q207</f>
        <v>23499</v>
      </c>
      <c r="N253" s="193">
        <f>'A-15'!R207</f>
        <v>28590</v>
      </c>
      <c r="O253" s="193">
        <f>'A-15'!S207</f>
        <v>0</v>
      </c>
      <c r="P253" s="193">
        <f>'A-15'!U207</f>
        <v>83907</v>
      </c>
    </row>
    <row r="254" spans="1:16" ht="11.25" customHeight="1" x14ac:dyDescent="0.25">
      <c r="A254" s="473">
        <v>1990</v>
      </c>
      <c r="B254" s="193">
        <f>'A-15'!C208</f>
        <v>7504</v>
      </c>
      <c r="C254" s="193">
        <f>'A-15'!D208</f>
        <v>7906</v>
      </c>
      <c r="D254" s="193">
        <f>'A-15'!E208</f>
        <v>11270</v>
      </c>
      <c r="E254" s="193">
        <f>'A-15'!F208</f>
        <v>2771</v>
      </c>
      <c r="F254" s="193">
        <f>'A-15'!G208</f>
        <v>2690</v>
      </c>
      <c r="G254" s="193">
        <f>'A-15'!H208</f>
        <v>8</v>
      </c>
      <c r="H254" s="193">
        <f>'A-15'!J208</f>
        <v>32141</v>
      </c>
      <c r="J254" s="193">
        <f>'A-15'!N208</f>
        <v>0</v>
      </c>
      <c r="K254" s="193">
        <f>'A-15'!O208</f>
        <v>1</v>
      </c>
      <c r="L254" s="193">
        <f>'A-15'!P208</f>
        <v>20680</v>
      </c>
      <c r="M254" s="193">
        <f>'A-15'!Q208</f>
        <v>54225</v>
      </c>
      <c r="N254" s="193">
        <f>'A-15'!R208</f>
        <v>16485</v>
      </c>
      <c r="O254" s="193">
        <f>'A-15'!S208</f>
        <v>1</v>
      </c>
      <c r="P254" s="193">
        <f>'A-15'!U208</f>
        <v>91391</v>
      </c>
    </row>
    <row r="255" spans="1:16" ht="11.25" customHeight="1" x14ac:dyDescent="0.25">
      <c r="A255" s="473">
        <v>1991</v>
      </c>
      <c r="B255" s="193">
        <f>'A-15'!C209</f>
        <v>4456</v>
      </c>
      <c r="C255" s="193">
        <f>'A-15'!D209</f>
        <v>6039</v>
      </c>
      <c r="D255" s="193">
        <f>'A-15'!E209</f>
        <v>6875</v>
      </c>
      <c r="E255" s="193">
        <f>'A-15'!F209</f>
        <v>4497</v>
      </c>
      <c r="F255" s="193">
        <f>'A-15'!G209</f>
        <v>0</v>
      </c>
      <c r="G255" s="193">
        <f>'A-15'!H209</f>
        <v>147</v>
      </c>
      <c r="H255" s="193">
        <f>'A-15'!J209</f>
        <v>21867</v>
      </c>
      <c r="J255" s="193">
        <f>'A-15'!N209</f>
        <v>0</v>
      </c>
      <c r="K255" s="193">
        <f>'A-15'!O209</f>
        <v>0</v>
      </c>
      <c r="L255" s="193">
        <f>'A-15'!P209</f>
        <v>38943</v>
      </c>
      <c r="M255" s="193">
        <f>'A-15'!Q209</f>
        <v>38011</v>
      </c>
      <c r="N255" s="193">
        <f>'A-15'!R209</f>
        <v>0</v>
      </c>
      <c r="O255" s="193">
        <f>'A-15'!S209</f>
        <v>498</v>
      </c>
      <c r="P255" s="193">
        <f>'A-15'!U209</f>
        <v>76954</v>
      </c>
    </row>
    <row r="256" spans="1:16" ht="11.25" customHeight="1" x14ac:dyDescent="0.25">
      <c r="A256" s="473">
        <v>1992</v>
      </c>
      <c r="B256" s="193">
        <f>'A-15'!C210</f>
        <v>8787</v>
      </c>
      <c r="C256" s="193">
        <f>'A-15'!D210</f>
        <v>5538</v>
      </c>
      <c r="D256" s="193">
        <f>'A-15'!E210</f>
        <v>4724</v>
      </c>
      <c r="E256" s="193">
        <f>'A-15'!F210</f>
        <v>4027</v>
      </c>
      <c r="F256" s="193">
        <f>'A-15'!G210</f>
        <v>0</v>
      </c>
      <c r="G256" s="193">
        <f>'A-15'!H210</f>
        <v>0</v>
      </c>
      <c r="H256" s="193">
        <f>'A-15'!J210</f>
        <v>23076</v>
      </c>
      <c r="J256" s="193">
        <f>'A-15'!N210</f>
        <v>2</v>
      </c>
      <c r="K256" s="193">
        <f>'A-15'!O210</f>
        <v>3</v>
      </c>
      <c r="L256" s="193">
        <f>'A-15'!P210</f>
        <v>40215</v>
      </c>
      <c r="M256" s="193">
        <f>'A-15'!Q210</f>
        <v>35369</v>
      </c>
      <c r="N256" s="193">
        <f>'A-15'!R210</f>
        <v>0</v>
      </c>
      <c r="O256" s="193">
        <f>'A-15'!S210</f>
        <v>15</v>
      </c>
      <c r="P256" s="193">
        <f>'A-15'!U210</f>
        <v>75589</v>
      </c>
    </row>
    <row r="257" spans="1:16" ht="11.25" customHeight="1" x14ac:dyDescent="0.25">
      <c r="A257" s="473">
        <v>1993</v>
      </c>
      <c r="B257" s="193">
        <f>'A-15'!C211</f>
        <v>7325</v>
      </c>
      <c r="C257" s="193">
        <f>'A-15'!D211</f>
        <v>5217</v>
      </c>
      <c r="D257" s="193">
        <f>'A-15'!E211</f>
        <v>5923</v>
      </c>
      <c r="E257" s="193">
        <f>'A-15'!F211</f>
        <v>3648</v>
      </c>
      <c r="F257" s="193">
        <f>'A-15'!G211</f>
        <v>2853</v>
      </c>
      <c r="G257" s="193">
        <f>'A-15'!H211</f>
        <v>0</v>
      </c>
      <c r="H257" s="193">
        <f>'A-15'!J211</f>
        <v>24966</v>
      </c>
      <c r="J257" s="193">
        <f>'A-15'!N211</f>
        <v>1</v>
      </c>
      <c r="K257" s="193">
        <f>'A-15'!O211</f>
        <v>0</v>
      </c>
      <c r="L257" s="193">
        <f>'A-15'!P211</f>
        <v>6944</v>
      </c>
      <c r="M257" s="193">
        <f>'A-15'!Q211</f>
        <v>25420</v>
      </c>
      <c r="N257" s="193">
        <f>'A-15'!R211</f>
        <v>26375</v>
      </c>
      <c r="O257" s="193">
        <f>'A-15'!S211</f>
        <v>0</v>
      </c>
      <c r="P257" s="193">
        <f>'A-15'!U211</f>
        <v>58740</v>
      </c>
    </row>
    <row r="258" spans="1:16" ht="11.25" customHeight="1" x14ac:dyDescent="0.25">
      <c r="A258" s="473">
        <v>1994</v>
      </c>
      <c r="B258" s="193">
        <f>'A-15'!C212</f>
        <v>449</v>
      </c>
      <c r="C258" s="193">
        <f>'A-15'!D212</f>
        <v>4113</v>
      </c>
      <c r="D258" s="193">
        <f>'A-15'!E212</f>
        <v>8</v>
      </c>
      <c r="E258" s="193">
        <f>'A-15'!F212</f>
        <v>0</v>
      </c>
      <c r="F258" s="193">
        <f>'A-15'!G212</f>
        <v>0</v>
      </c>
      <c r="G258" s="193">
        <f>'A-15'!H212</f>
        <v>0</v>
      </c>
      <c r="H258" s="193">
        <f>'A-15'!J212</f>
        <v>4570</v>
      </c>
      <c r="J258" s="193">
        <f>'A-15'!N212</f>
        <v>0</v>
      </c>
      <c r="K258" s="193">
        <f>'A-15'!O212</f>
        <v>0</v>
      </c>
      <c r="L258" s="193">
        <f>'A-15'!P212</f>
        <v>0</v>
      </c>
      <c r="M258" s="193">
        <f>'A-15'!Q212</f>
        <v>0</v>
      </c>
      <c r="N258" s="193">
        <f>'A-15'!R212</f>
        <v>0</v>
      </c>
      <c r="O258" s="193">
        <f>'A-15'!S212</f>
        <v>0</v>
      </c>
      <c r="P258" s="193">
        <f>'A-15'!U212</f>
        <v>0</v>
      </c>
    </row>
    <row r="259" spans="1:16" ht="11.25" customHeight="1" x14ac:dyDescent="0.25">
      <c r="A259" s="473">
        <v>1995</v>
      </c>
      <c r="B259" s="193">
        <f>'A-15'!C213</f>
        <v>698</v>
      </c>
      <c r="C259" s="193">
        <f>'A-15'!D213</f>
        <v>0</v>
      </c>
      <c r="D259" s="193">
        <f>'A-15'!E213</f>
        <v>23</v>
      </c>
      <c r="E259" s="193">
        <f>'A-15'!F213</f>
        <v>9044</v>
      </c>
      <c r="F259" s="193">
        <f>'A-15'!G213</f>
        <v>0</v>
      </c>
      <c r="G259" s="193">
        <f>'A-15'!H213</f>
        <v>0</v>
      </c>
      <c r="H259" s="193">
        <f>'A-15'!J213</f>
        <v>9765</v>
      </c>
      <c r="J259" s="193">
        <f>'A-15'!N213</f>
        <v>0</v>
      </c>
      <c r="K259" s="193">
        <f>'A-15'!O213</f>
        <v>0</v>
      </c>
      <c r="L259" s="193">
        <f>'A-15'!P213</f>
        <v>0</v>
      </c>
      <c r="M259" s="193">
        <f>'A-15'!Q213</f>
        <v>31390</v>
      </c>
      <c r="N259" s="193">
        <f>'A-15'!R213</f>
        <v>0</v>
      </c>
      <c r="O259" s="193">
        <f>'A-15'!S213</f>
        <v>0</v>
      </c>
      <c r="P259" s="193">
        <f>'A-15'!U213</f>
        <v>31390</v>
      </c>
    </row>
    <row r="260" spans="1:16" ht="11.25" customHeight="1" x14ac:dyDescent="0.25">
      <c r="A260" s="473">
        <v>1996</v>
      </c>
      <c r="B260" s="193">
        <f>'A-15'!C214</f>
        <v>1473</v>
      </c>
      <c r="C260" s="193">
        <f>'A-15'!D214</f>
        <v>1974</v>
      </c>
      <c r="D260" s="193">
        <f>'A-15'!E214</f>
        <v>457</v>
      </c>
      <c r="E260" s="193">
        <f>'A-15'!F214</f>
        <v>4845</v>
      </c>
      <c r="F260" s="193">
        <f>'A-15'!G214</f>
        <v>3561</v>
      </c>
      <c r="G260" s="193" t="str">
        <f>'A-15'!H214</f>
        <v>-</v>
      </c>
      <c r="H260" s="193">
        <f>'A-15'!J214</f>
        <v>12310</v>
      </c>
      <c r="J260" s="193">
        <f>'A-15'!N214</f>
        <v>0</v>
      </c>
      <c r="K260" s="193">
        <f>'A-15'!O214</f>
        <v>0</v>
      </c>
      <c r="L260" s="193">
        <f>'A-15'!P214</f>
        <v>0</v>
      </c>
      <c r="M260" s="193">
        <f>'A-15'!Q214</f>
        <v>4655</v>
      </c>
      <c r="N260" s="193">
        <f>'A-15'!R214</f>
        <v>13885</v>
      </c>
      <c r="O260" s="193" t="str">
        <f>'A-15'!S214</f>
        <v>-</v>
      </c>
      <c r="P260" s="193">
        <f>'A-15'!U214</f>
        <v>18540</v>
      </c>
    </row>
    <row r="261" spans="1:16" ht="11.25" customHeight="1" x14ac:dyDescent="0.25">
      <c r="A261" s="473">
        <v>1997</v>
      </c>
      <c r="B261" s="193">
        <f>'A-15'!C215</f>
        <v>819</v>
      </c>
      <c r="C261" s="193">
        <f>'A-15'!D215</f>
        <v>7486</v>
      </c>
      <c r="D261" s="193">
        <f>'A-15'!E215</f>
        <v>0</v>
      </c>
      <c r="E261" s="193">
        <f>'A-15'!F215</f>
        <v>4720</v>
      </c>
      <c r="F261" s="193">
        <f>'A-15'!G215</f>
        <v>1136</v>
      </c>
      <c r="G261" s="193" t="str">
        <f>'A-15'!H215</f>
        <v>-</v>
      </c>
      <c r="H261" s="193">
        <f>'A-15'!J215</f>
        <v>14161</v>
      </c>
      <c r="J261" s="193">
        <f>'A-15'!N215</f>
        <v>0</v>
      </c>
      <c r="K261" s="193">
        <f>'A-15'!O215</f>
        <v>0</v>
      </c>
      <c r="L261" s="193">
        <f>'A-15'!P215</f>
        <v>0</v>
      </c>
      <c r="M261" s="193">
        <f>'A-15'!Q215</f>
        <v>11481</v>
      </c>
      <c r="N261" s="193">
        <f>'A-15'!R215</f>
        <v>4343</v>
      </c>
      <c r="O261" s="193" t="str">
        <f>'A-15'!S215</f>
        <v>-</v>
      </c>
      <c r="P261" s="193">
        <f>'A-15'!U215</f>
        <v>15824</v>
      </c>
    </row>
    <row r="262" spans="1:16" ht="11.25" customHeight="1" x14ac:dyDescent="0.25">
      <c r="A262" s="473">
        <v>1998</v>
      </c>
      <c r="B262" s="193">
        <f>'A-15'!C216</f>
        <v>5189</v>
      </c>
      <c r="C262" s="193">
        <f>'A-15'!D216</f>
        <v>4442</v>
      </c>
      <c r="D262" s="193">
        <f>'A-15'!E216</f>
        <v>47</v>
      </c>
      <c r="E262" s="193">
        <f>'A-15'!F216</f>
        <v>3860</v>
      </c>
      <c r="F262" s="193">
        <f>'A-15'!G216</f>
        <v>1148</v>
      </c>
      <c r="G262" s="193" t="str">
        <f>'A-15'!H216</f>
        <v>-</v>
      </c>
      <c r="H262" s="193">
        <f>'A-15'!J216</f>
        <v>14686</v>
      </c>
      <c r="J262" s="193">
        <f>'A-15'!N216</f>
        <v>0</v>
      </c>
      <c r="K262" s="193">
        <f>'A-15'!O216</f>
        <v>0</v>
      </c>
      <c r="L262" s="193">
        <f>'A-15'!P216</f>
        <v>74</v>
      </c>
      <c r="M262" s="193">
        <f>'A-15'!Q216</f>
        <v>3855</v>
      </c>
      <c r="N262" s="193">
        <f>'A-15'!R216</f>
        <v>4225</v>
      </c>
      <c r="O262" s="193" t="str">
        <f>'A-15'!S216</f>
        <v>-</v>
      </c>
      <c r="P262" s="193">
        <f>'A-15'!U216</f>
        <v>8154</v>
      </c>
    </row>
    <row r="263" spans="1:16" ht="11.25" customHeight="1" x14ac:dyDescent="0.25">
      <c r="A263" s="473">
        <v>1999</v>
      </c>
      <c r="B263" s="193">
        <f>'A-15'!C217</f>
        <v>2536</v>
      </c>
      <c r="C263" s="193">
        <f>'A-15'!D217</f>
        <v>15666</v>
      </c>
      <c r="D263" s="193">
        <f>'A-15'!E217</f>
        <v>1530</v>
      </c>
      <c r="E263" s="193">
        <f>'A-15'!F217</f>
        <v>4101</v>
      </c>
      <c r="F263" s="193">
        <f>'A-15'!G217</f>
        <v>3619</v>
      </c>
      <c r="G263" s="193" t="str">
        <f>'A-15'!H217</f>
        <v>-</v>
      </c>
      <c r="H263" s="193">
        <f>'A-15'!J217</f>
        <v>27452</v>
      </c>
      <c r="J263" s="193">
        <f>'A-15'!N217</f>
        <v>0</v>
      </c>
      <c r="K263" s="193">
        <f>'A-15'!O217</f>
        <v>0</v>
      </c>
      <c r="L263" s="193">
        <f>'A-15'!P217</f>
        <v>0</v>
      </c>
      <c r="M263" s="193">
        <f>'A-15'!Q217</f>
        <v>13151</v>
      </c>
      <c r="N263" s="193">
        <f>'A-15'!R217</f>
        <v>20213</v>
      </c>
      <c r="O263" s="193" t="str">
        <f>'A-15'!S217</f>
        <v>-</v>
      </c>
      <c r="P263" s="193">
        <f>'A-15'!U217</f>
        <v>33364</v>
      </c>
    </row>
    <row r="264" spans="1:16" ht="11.25" customHeight="1" x14ac:dyDescent="0.25">
      <c r="A264" s="473">
        <v>2000</v>
      </c>
      <c r="B264" s="193">
        <f>'A-15'!C218</f>
        <v>2885</v>
      </c>
      <c r="C264" s="193">
        <f>'A-15'!D218</f>
        <v>3052</v>
      </c>
      <c r="D264" s="193">
        <f>'A-15'!E218</f>
        <v>196</v>
      </c>
      <c r="E264" s="193">
        <f>'A-15'!F218</f>
        <v>1505</v>
      </c>
      <c r="F264" s="193">
        <f>'A-15'!G218</f>
        <v>0</v>
      </c>
      <c r="G264" s="193" t="str">
        <f>'A-15'!H218</f>
        <v>-</v>
      </c>
      <c r="H264" s="193">
        <f>'A-15'!J218</f>
        <v>7638</v>
      </c>
      <c r="J264" s="193">
        <f>'A-15'!N218</f>
        <v>0</v>
      </c>
      <c r="K264" s="193">
        <f>'A-15'!O218</f>
        <v>1</v>
      </c>
      <c r="L264" s="193">
        <f>'A-15'!P218</f>
        <v>0</v>
      </c>
      <c r="M264" s="193">
        <f>'A-15'!Q218</f>
        <v>22174</v>
      </c>
      <c r="N264" s="193">
        <f>'A-15'!R218</f>
        <v>0</v>
      </c>
      <c r="O264" s="193" t="str">
        <f>'A-15'!S218</f>
        <v>-</v>
      </c>
      <c r="P264" s="193">
        <f>'A-15'!U218</f>
        <v>22175</v>
      </c>
    </row>
    <row r="265" spans="1:16" ht="11.25" customHeight="1" x14ac:dyDescent="0.25">
      <c r="A265" s="473">
        <v>2001</v>
      </c>
      <c r="B265" s="193">
        <f>'A-15'!C219</f>
        <v>2278</v>
      </c>
      <c r="C265" s="193">
        <f>'A-15'!D219</f>
        <v>13705</v>
      </c>
      <c r="D265" s="193">
        <f>'A-15'!E219</f>
        <v>6561</v>
      </c>
      <c r="E265" s="193">
        <f>'A-15'!F219</f>
        <v>2988</v>
      </c>
      <c r="F265" s="193">
        <f>'A-15'!G219</f>
        <v>3311</v>
      </c>
      <c r="G265" s="193" t="str">
        <f>'A-15'!H219</f>
        <v>-</v>
      </c>
      <c r="H265" s="193">
        <f>'A-15'!J219</f>
        <v>28843</v>
      </c>
      <c r="J265" s="193">
        <f>'A-15'!N219</f>
        <v>0</v>
      </c>
      <c r="K265" s="193">
        <f>'A-15'!O219</f>
        <v>12</v>
      </c>
      <c r="L265" s="193">
        <f>'A-15'!P219</f>
        <v>8510</v>
      </c>
      <c r="M265" s="193">
        <f>'A-15'!Q219</f>
        <v>27984</v>
      </c>
      <c r="N265" s="193">
        <f>'A-15'!R219</f>
        <v>22089</v>
      </c>
      <c r="O265" s="193" t="str">
        <f>'A-15'!S219</f>
        <v>-</v>
      </c>
      <c r="P265" s="193">
        <f>'A-15'!U219</f>
        <v>58595</v>
      </c>
    </row>
    <row r="266" spans="1:16" ht="11.25" customHeight="1" x14ac:dyDescent="0.25">
      <c r="A266" s="473">
        <v>2002</v>
      </c>
      <c r="B266" s="193">
        <f>'A-15'!C220</f>
        <v>5364</v>
      </c>
      <c r="C266" s="193">
        <f>'A-15'!D220</f>
        <v>11206</v>
      </c>
      <c r="D266" s="193">
        <f>'A-15'!E220</f>
        <v>12079</v>
      </c>
      <c r="E266" s="193">
        <f>'A-15'!F220</f>
        <v>8074</v>
      </c>
      <c r="F266" s="193">
        <f>'A-15'!G220</f>
        <v>3123</v>
      </c>
      <c r="G266" s="193">
        <f>'A-15'!H220</f>
        <v>30</v>
      </c>
      <c r="H266" s="193">
        <f>'A-15'!J220</f>
        <v>39846</v>
      </c>
      <c r="J266" s="193">
        <f>'A-15'!N220</f>
        <v>1</v>
      </c>
      <c r="K266" s="193">
        <f>'A-15'!O220</f>
        <v>1</v>
      </c>
      <c r="L266" s="193">
        <f>'A-15'!P220</f>
        <v>3449</v>
      </c>
      <c r="M266" s="193">
        <f>'A-15'!Q220</f>
        <v>4929</v>
      </c>
      <c r="N266" s="193">
        <f>'A-15'!R220</f>
        <v>9042</v>
      </c>
      <c r="O266" s="193">
        <f>'A-15'!S220</f>
        <v>80</v>
      </c>
      <c r="P266" s="193">
        <f>'A-15'!U220</f>
        <v>17422</v>
      </c>
    </row>
    <row r="267" spans="1:16" ht="11.25" customHeight="1" x14ac:dyDescent="0.25">
      <c r="A267" s="473">
        <v>2003</v>
      </c>
      <c r="B267" s="193">
        <f>'A-15'!C221</f>
        <v>2856</v>
      </c>
      <c r="C267" s="193">
        <f>'A-15'!D221</f>
        <v>13039</v>
      </c>
      <c r="D267" s="193">
        <f>'A-15'!E221</f>
        <v>12935</v>
      </c>
      <c r="E267" s="193">
        <f>'A-15'!F221</f>
        <v>5232</v>
      </c>
      <c r="F267" s="193">
        <f>'A-15'!G221</f>
        <v>1110</v>
      </c>
      <c r="G267" s="193">
        <f>'A-15'!H221</f>
        <v>35</v>
      </c>
      <c r="H267" s="193">
        <f>'A-15'!J221</f>
        <v>35172</v>
      </c>
      <c r="J267" s="193">
        <f>'A-15'!N221</f>
        <v>3</v>
      </c>
      <c r="K267" s="193">
        <f>'A-15'!O221</f>
        <v>0</v>
      </c>
      <c r="L267" s="193">
        <f>'A-15'!P221</f>
        <v>4449</v>
      </c>
      <c r="M267" s="193">
        <f>'A-15'!Q221</f>
        <v>4276</v>
      </c>
      <c r="N267" s="193">
        <f>'A-15'!R221</f>
        <v>2214</v>
      </c>
      <c r="O267" s="193">
        <f>'A-15'!S221</f>
        <v>85</v>
      </c>
      <c r="P267" s="193">
        <f>'A-15'!U221</f>
        <v>10942</v>
      </c>
    </row>
    <row r="268" spans="1:16" ht="11.25" customHeight="1" x14ac:dyDescent="0.25">
      <c r="A268" s="473">
        <v>2004</v>
      </c>
      <c r="B268" s="193">
        <f>'A-15'!C222</f>
        <v>9947</v>
      </c>
      <c r="C268" s="193">
        <f>'A-15'!D222</f>
        <v>16977</v>
      </c>
      <c r="D268" s="193">
        <f>'A-15'!E222</f>
        <v>10765</v>
      </c>
      <c r="E268" s="193">
        <f>'A-15'!F222</f>
        <v>6960</v>
      </c>
      <c r="F268" s="193">
        <f>'A-15'!G222</f>
        <v>5086</v>
      </c>
      <c r="G268" s="193">
        <f>'A-15'!H222</f>
        <v>25</v>
      </c>
      <c r="H268" s="193">
        <f>'A-15'!J222</f>
        <v>49735</v>
      </c>
      <c r="J268" s="193">
        <f>'A-15'!N222</f>
        <v>3</v>
      </c>
      <c r="K268" s="193">
        <f>'A-15'!O222</f>
        <v>3</v>
      </c>
      <c r="L268" s="193">
        <f>'A-15'!P222</f>
        <v>16133</v>
      </c>
      <c r="M268" s="193">
        <f>'A-15'!Q222</f>
        <v>36684</v>
      </c>
      <c r="N268" s="193">
        <f>'A-15'!R222</f>
        <v>9274</v>
      </c>
      <c r="O268" s="193">
        <f>'A-15'!S222</f>
        <v>100</v>
      </c>
      <c r="P268" s="193">
        <f>'A-15'!U222</f>
        <v>62097</v>
      </c>
    </row>
    <row r="269" spans="1:16" ht="11.25" customHeight="1" x14ac:dyDescent="0.25">
      <c r="A269" s="477">
        <v>2005</v>
      </c>
      <c r="B269" s="197">
        <f>'A-15'!C223</f>
        <v>6858</v>
      </c>
      <c r="C269" s="197">
        <f>'A-15'!D223</f>
        <v>18374</v>
      </c>
      <c r="D269" s="197">
        <f>'A-15'!E223</f>
        <v>4971</v>
      </c>
      <c r="E269" s="197">
        <f>'A-15'!F223</f>
        <v>8100</v>
      </c>
      <c r="F269" s="197">
        <f>'A-15'!G223</f>
        <v>3672</v>
      </c>
      <c r="G269" s="197">
        <f>'A-15'!H223</f>
        <v>0</v>
      </c>
      <c r="H269" s="197">
        <f>'A-15'!J223</f>
        <v>41975</v>
      </c>
      <c r="I269" s="197"/>
      <c r="J269" s="197">
        <f>'A-15'!N223</f>
        <v>3</v>
      </c>
      <c r="K269" s="197">
        <f>'A-15'!O223</f>
        <v>1</v>
      </c>
      <c r="L269" s="197">
        <f>'A-15'!P223</f>
        <v>3756</v>
      </c>
      <c r="M269" s="197">
        <f>'A-15'!Q223</f>
        <v>15949</v>
      </c>
      <c r="N269" s="197">
        <f>'A-15'!R223</f>
        <v>4288</v>
      </c>
      <c r="O269" s="197">
        <f>'A-15'!S223</f>
        <v>0</v>
      </c>
      <c r="P269" s="197">
        <f>'A-15'!U223</f>
        <v>23997</v>
      </c>
    </row>
    <row r="270" spans="1:16" ht="11.25" customHeight="1" x14ac:dyDescent="0.25">
      <c r="A270" s="473">
        <v>2006</v>
      </c>
      <c r="B270" s="193">
        <f>'A-15'!C224</f>
        <v>2821</v>
      </c>
      <c r="C270" s="193">
        <f>'A-15'!D224</f>
        <v>8341</v>
      </c>
      <c r="D270" s="193">
        <f>'A-15'!E224</f>
        <v>7736</v>
      </c>
      <c r="E270" s="193">
        <f>'A-15'!F224</f>
        <v>6690</v>
      </c>
      <c r="F270" s="193">
        <f>'A-15'!G224</f>
        <v>4957</v>
      </c>
      <c r="G270" s="193">
        <f>'A-15'!H224</f>
        <v>15</v>
      </c>
      <c r="H270" s="193">
        <f>'A-15'!J224</f>
        <v>30545</v>
      </c>
      <c r="J270" s="193">
        <f>'A-15'!N224</f>
        <v>16</v>
      </c>
      <c r="K270" s="193">
        <f>'A-15'!O224</f>
        <v>102</v>
      </c>
      <c r="L270" s="193">
        <f>'A-15'!P224</f>
        <v>10475</v>
      </c>
      <c r="M270" s="193">
        <f>'A-15'!Q224</f>
        <v>10634</v>
      </c>
      <c r="N270" s="193">
        <f>'A-15'!R224</f>
        <v>10711</v>
      </c>
      <c r="O270" s="193">
        <f>'A-15'!S224</f>
        <v>5</v>
      </c>
      <c r="P270" s="193">
        <f>'A-15'!U224</f>
        <v>31938</v>
      </c>
    </row>
    <row r="271" spans="1:16" ht="11.25" customHeight="1" x14ac:dyDescent="0.25">
      <c r="A271" s="477">
        <v>2007</v>
      </c>
      <c r="B271" s="197">
        <f>'A-15'!C225</f>
        <v>316</v>
      </c>
      <c r="C271" s="197">
        <f>'A-15'!D225</f>
        <v>14629</v>
      </c>
      <c r="D271" s="197">
        <f>'A-15'!E225</f>
        <v>3349</v>
      </c>
      <c r="E271" s="197">
        <f>'A-15'!F225</f>
        <v>4579</v>
      </c>
      <c r="F271" s="197">
        <f>'A-15'!G225</f>
        <v>70</v>
      </c>
      <c r="G271" s="197">
        <f>'A-15'!H225</f>
        <v>0</v>
      </c>
      <c r="H271" s="197">
        <f>'A-15'!J225</f>
        <v>22943</v>
      </c>
      <c r="I271" s="197"/>
      <c r="J271" s="197">
        <f>'A-15'!N225</f>
        <v>0</v>
      </c>
      <c r="K271" s="197">
        <f>'A-15'!O225</f>
        <v>12</v>
      </c>
      <c r="L271" s="197">
        <f>'A-15'!P225</f>
        <v>22743</v>
      </c>
      <c r="M271" s="197">
        <f>'A-15'!Q225</f>
        <v>16423</v>
      </c>
      <c r="N271" s="197">
        <f>'A-15'!R225</f>
        <v>860</v>
      </c>
      <c r="O271" s="197">
        <f>'A-15'!S225</f>
        <v>0</v>
      </c>
      <c r="P271" s="197">
        <f>'A-15'!U225</f>
        <v>40038</v>
      </c>
    </row>
    <row r="272" spans="1:16" ht="11.25" customHeight="1" x14ac:dyDescent="0.25">
      <c r="A272" s="477">
        <v>2008</v>
      </c>
      <c r="B272" s="197">
        <f>'A-15'!C226</f>
        <v>358</v>
      </c>
      <c r="C272" s="197">
        <f>'A-15'!D226</f>
        <v>8864</v>
      </c>
      <c r="D272" s="197">
        <f>'A-15'!E226</f>
        <v>2099</v>
      </c>
      <c r="E272" s="197">
        <f>'A-15'!F226</f>
        <v>6007</v>
      </c>
      <c r="F272" s="197">
        <f>'A-15'!G226</f>
        <v>3579</v>
      </c>
      <c r="G272" s="197">
        <f>'A-15'!H226</f>
        <v>1</v>
      </c>
      <c r="H272" s="197">
        <f>'A-15'!J226</f>
        <v>20907</v>
      </c>
      <c r="I272" s="197"/>
      <c r="J272" s="197">
        <f>'A-15'!N226</f>
        <v>0</v>
      </c>
      <c r="K272" s="197">
        <f>'A-15'!O226</f>
        <v>18</v>
      </c>
      <c r="L272" s="197">
        <f>'A-15'!P226</f>
        <v>865</v>
      </c>
      <c r="M272" s="197">
        <f>'A-15'!Q226</f>
        <v>3561</v>
      </c>
      <c r="N272" s="197">
        <f>'A-15'!R226</f>
        <v>9820</v>
      </c>
      <c r="O272" s="197">
        <f>'A-15'!S226</f>
        <v>0</v>
      </c>
      <c r="P272" s="197">
        <f>'A-15'!U226</f>
        <v>14264</v>
      </c>
    </row>
    <row r="273" spans="1:16" ht="11.25" customHeight="1" x14ac:dyDescent="0.25">
      <c r="A273" s="477">
        <v>2009</v>
      </c>
      <c r="B273" s="197">
        <f>'A-15'!C227</f>
        <v>1491</v>
      </c>
      <c r="C273" s="197">
        <f>'A-15'!D227</f>
        <v>5828</v>
      </c>
      <c r="D273" s="197">
        <f>'A-15'!E227</f>
        <v>2329</v>
      </c>
      <c r="E273" s="197">
        <f>'A-15'!F227</f>
        <v>2566</v>
      </c>
      <c r="F273" s="197">
        <f>'A-15'!G227</f>
        <v>12</v>
      </c>
      <c r="G273" s="197">
        <f>'A-15'!H227</f>
        <v>25</v>
      </c>
      <c r="H273" s="197">
        <f>'A-15'!J227</f>
        <v>12226</v>
      </c>
      <c r="I273" s="197"/>
      <c r="J273" s="197">
        <f>'A-15'!N227</f>
        <v>0</v>
      </c>
      <c r="K273" s="197">
        <f>'A-15'!O227</f>
        <v>0</v>
      </c>
      <c r="L273" s="197">
        <f>'A-15'!P227</f>
        <v>25422</v>
      </c>
      <c r="M273" s="197">
        <f>'A-15'!Q227</f>
        <v>35141</v>
      </c>
      <c r="N273" s="197">
        <f>'A-15'!R227</f>
        <v>100</v>
      </c>
      <c r="O273" s="197">
        <f>'A-15'!S227</f>
        <v>15</v>
      </c>
      <c r="P273" s="197">
        <f>'A-15'!U227</f>
        <v>60663</v>
      </c>
    </row>
    <row r="274" spans="1:16" ht="11.25" customHeight="1" x14ac:dyDescent="0.25">
      <c r="A274" s="477">
        <v>2010</v>
      </c>
      <c r="B274" s="197">
        <f>'A-15'!C228</f>
        <v>1926</v>
      </c>
      <c r="C274" s="197">
        <f>'A-15'!D228</f>
        <v>12150</v>
      </c>
      <c r="D274" s="197">
        <f>'A-15'!E228</f>
        <v>6943</v>
      </c>
      <c r="E274" s="197">
        <f>'A-15'!F228</f>
        <v>9693</v>
      </c>
      <c r="F274" s="197">
        <f>'A-15'!G228</f>
        <v>1664</v>
      </c>
      <c r="G274" s="197">
        <f>'A-15'!H228</f>
        <v>10</v>
      </c>
      <c r="H274" s="197">
        <f>'A-15'!J228</f>
        <v>32376</v>
      </c>
      <c r="I274" s="197"/>
      <c r="J274" s="197">
        <f>'A-15'!N228</f>
        <v>2</v>
      </c>
      <c r="K274" s="197">
        <f>'A-15'!O228</f>
        <v>63</v>
      </c>
      <c r="L274" s="197">
        <f>'A-15'!P228</f>
        <v>2015</v>
      </c>
      <c r="M274" s="197">
        <f>'A-15'!Q228</f>
        <v>5058</v>
      </c>
      <c r="N274" s="197">
        <f>'A-15'!R228</f>
        <v>4323</v>
      </c>
      <c r="O274" s="197">
        <f>'A-15'!S228</f>
        <v>15</v>
      </c>
      <c r="P274" s="197">
        <f>'A-15'!U228</f>
        <v>11461</v>
      </c>
    </row>
    <row r="275" spans="1:16" ht="11.25" customHeight="1" x14ac:dyDescent="0.25">
      <c r="A275" s="477">
        <v>2011</v>
      </c>
      <c r="B275" s="197">
        <f>'A-15'!C229</f>
        <v>1120</v>
      </c>
      <c r="C275" s="197">
        <f>'A-15'!D229</f>
        <v>8817</v>
      </c>
      <c r="D275" s="197">
        <f>'A-15'!E229</f>
        <v>14761</v>
      </c>
      <c r="E275" s="197">
        <f>'A-15'!F229</f>
        <v>6708</v>
      </c>
      <c r="F275" s="197">
        <f>'A-15'!G229</f>
        <v>418</v>
      </c>
      <c r="G275" s="197">
        <f>'A-15'!H229</f>
        <v>0</v>
      </c>
      <c r="H275" s="197">
        <f>'A-15'!J229</f>
        <v>31824</v>
      </c>
      <c r="I275" s="197"/>
      <c r="J275" s="197">
        <f>'A-15'!N229</f>
        <v>0</v>
      </c>
      <c r="K275" s="197">
        <f>'A-15'!O229</f>
        <v>0</v>
      </c>
      <c r="L275" s="197">
        <f>'A-15'!P229</f>
        <v>2062</v>
      </c>
      <c r="M275" s="197">
        <f>'A-15'!Q229</f>
        <v>4791</v>
      </c>
      <c r="N275" s="197">
        <f>'A-15'!R229</f>
        <v>6711</v>
      </c>
      <c r="O275" s="197">
        <f>'A-15'!S229</f>
        <v>0</v>
      </c>
      <c r="P275" s="197">
        <f>'A-15'!U229</f>
        <v>13564</v>
      </c>
    </row>
    <row r="276" spans="1:16" ht="11.25" customHeight="1" x14ac:dyDescent="0.25">
      <c r="A276" s="477">
        <v>2012</v>
      </c>
      <c r="B276" s="197">
        <f>'A-15'!C230</f>
        <v>4465</v>
      </c>
      <c r="C276" s="197">
        <f>'A-15'!D230</f>
        <v>20696</v>
      </c>
      <c r="D276" s="197">
        <f>'A-15'!E230</f>
        <v>10144</v>
      </c>
      <c r="E276" s="197">
        <f>'A-15'!F230</f>
        <v>14650</v>
      </c>
      <c r="F276" s="197">
        <f>'A-15'!G230</f>
        <v>4834</v>
      </c>
      <c r="G276" s="197">
        <f>'A-15'!H230</f>
        <v>10</v>
      </c>
      <c r="H276" s="197">
        <f>'A-15'!J230</f>
        <v>54789</v>
      </c>
      <c r="I276" s="197"/>
      <c r="J276" s="197">
        <f>'A-15'!N230</f>
        <v>1</v>
      </c>
      <c r="K276" s="197">
        <f>'A-15'!O230</f>
        <v>101</v>
      </c>
      <c r="L276" s="197">
        <f>'A-15'!P230</f>
        <v>2769</v>
      </c>
      <c r="M276" s="197">
        <f>'A-15'!Q230</f>
        <v>18790</v>
      </c>
      <c r="N276" s="197">
        <f>'A-15'!R230</f>
        <v>15869</v>
      </c>
      <c r="O276" s="197">
        <f>'A-15'!S230</f>
        <v>0</v>
      </c>
      <c r="P276" s="197">
        <f>'A-15'!U230</f>
        <v>37530</v>
      </c>
    </row>
    <row r="277" spans="1:16" ht="11.25" customHeight="1" x14ac:dyDescent="0.25">
      <c r="A277" s="477">
        <v>2013</v>
      </c>
      <c r="B277" s="197">
        <f>'A-15'!C231</f>
        <v>11929</v>
      </c>
      <c r="C277" s="197">
        <f>'A-15'!D231</f>
        <v>19103</v>
      </c>
      <c r="D277" s="197">
        <f>'A-15'!E231</f>
        <v>9310</v>
      </c>
      <c r="E277" s="197">
        <f>'A-15'!F231</f>
        <v>7916</v>
      </c>
      <c r="F277" s="197">
        <f>'A-15'!G231</f>
        <v>2902</v>
      </c>
      <c r="G277" s="197">
        <f>'A-15'!H231</f>
        <v>0</v>
      </c>
      <c r="H277" s="197">
        <f>'A-15'!J231</f>
        <v>51160</v>
      </c>
      <c r="I277" s="197"/>
      <c r="J277" s="197">
        <f>'A-15'!N231</f>
        <v>0</v>
      </c>
      <c r="K277" s="197">
        <f>'A-15'!O231</f>
        <v>7</v>
      </c>
      <c r="L277" s="197">
        <f>'A-15'!P231</f>
        <v>7722</v>
      </c>
      <c r="M277" s="197">
        <f>'A-15'!Q231</f>
        <v>36163</v>
      </c>
      <c r="N277" s="197">
        <f>'A-15'!R231</f>
        <v>4376</v>
      </c>
      <c r="O277" s="197">
        <f>'A-15'!S231</f>
        <v>0</v>
      </c>
      <c r="P277" s="197">
        <f>'A-15'!U231</f>
        <v>48268</v>
      </c>
    </row>
    <row r="278" spans="1:16" ht="11.25" customHeight="1" x14ac:dyDescent="0.25">
      <c r="A278" s="477">
        <v>2014</v>
      </c>
      <c r="B278" s="197">
        <f>'A-15'!C232</f>
        <v>12608</v>
      </c>
      <c r="C278" s="197">
        <f>'A-15'!D232</f>
        <v>17002</v>
      </c>
      <c r="D278" s="197">
        <f>'A-15'!E232</f>
        <v>20643</v>
      </c>
      <c r="E278" s="197">
        <f>'A-15'!F232</f>
        <v>8793</v>
      </c>
      <c r="F278" s="197">
        <f>'A-15'!G232</f>
        <v>2715</v>
      </c>
      <c r="G278" s="197">
        <f>'A-15'!H232</f>
        <v>0</v>
      </c>
      <c r="H278" s="197">
        <f>'A-15'!J232</f>
        <v>61761</v>
      </c>
      <c r="I278" s="197"/>
      <c r="J278" s="197">
        <f>'A-15'!N232</f>
        <v>0</v>
      </c>
      <c r="K278" s="197">
        <f>'A-15'!O232</f>
        <v>30</v>
      </c>
      <c r="L278" s="197">
        <f>'A-15'!P232</f>
        <v>10405</v>
      </c>
      <c r="M278" s="197">
        <f>'A-15'!Q232</f>
        <v>39231</v>
      </c>
      <c r="N278" s="197">
        <f>'A-15'!R232</f>
        <v>6369</v>
      </c>
      <c r="O278" s="197">
        <f>'A-15'!S232</f>
        <v>0</v>
      </c>
      <c r="P278" s="197">
        <f>'A-15'!U232</f>
        <v>56035</v>
      </c>
    </row>
    <row r="279" spans="1:16" ht="11.25" customHeight="1" x14ac:dyDescent="0.25">
      <c r="A279" s="477">
        <v>2015</v>
      </c>
      <c r="B279" s="197">
        <f>'A-15'!C233</f>
        <v>7315</v>
      </c>
      <c r="C279" s="197">
        <f>'A-15'!D233</f>
        <v>23697</v>
      </c>
      <c r="D279" s="197">
        <f>'A-15'!E233</f>
        <v>23110</v>
      </c>
      <c r="E279" s="197">
        <f>'A-15'!F233</f>
        <v>4031</v>
      </c>
      <c r="F279" s="197">
        <f>'A-15'!G233</f>
        <v>786</v>
      </c>
      <c r="G279" s="197">
        <f>'A-15'!H233</f>
        <v>0</v>
      </c>
      <c r="H279" s="197">
        <f>'A-15'!J233</f>
        <v>58939</v>
      </c>
      <c r="I279" s="197"/>
      <c r="J279" s="197">
        <f>'A-15'!N233</f>
        <v>0</v>
      </c>
      <c r="K279" s="197">
        <f>'A-15'!O233</f>
        <v>3</v>
      </c>
      <c r="L279" s="197">
        <f>'A-15'!P233</f>
        <v>1994</v>
      </c>
      <c r="M279" s="197">
        <f>'A-15'!Q233</f>
        <v>1307</v>
      </c>
      <c r="N279" s="197">
        <f>'A-15'!R233</f>
        <v>706</v>
      </c>
      <c r="O279" s="197">
        <f>'A-15'!S233</f>
        <v>0</v>
      </c>
      <c r="P279" s="197">
        <f>'A-15'!U233</f>
        <v>4010</v>
      </c>
    </row>
    <row r="280" spans="1:16" ht="11.25" customHeight="1" x14ac:dyDescent="0.25">
      <c r="A280" s="477">
        <v>2016</v>
      </c>
      <c r="B280" s="197">
        <f>'A-15'!C234</f>
        <v>2905</v>
      </c>
      <c r="C280" s="197">
        <f>'A-15'!D234</f>
        <v>13752</v>
      </c>
      <c r="D280" s="197">
        <f>'A-15'!E234</f>
        <v>5129</v>
      </c>
      <c r="E280" s="197">
        <f>'A-15'!F234</f>
        <v>1310</v>
      </c>
      <c r="F280" s="197">
        <f>'A-15'!G234</f>
        <v>5</v>
      </c>
      <c r="G280" s="197">
        <f>'A-15'!H234</f>
        <v>0</v>
      </c>
      <c r="H280" s="197">
        <f>'A-15'!J234</f>
        <v>23101</v>
      </c>
      <c r="I280" s="197"/>
      <c r="J280" s="197">
        <f>'A-15'!N234</f>
        <v>0</v>
      </c>
      <c r="K280" s="197">
        <f>'A-15'!O234</f>
        <v>0</v>
      </c>
      <c r="L280" s="197">
        <f>'A-15'!P234</f>
        <v>29</v>
      </c>
      <c r="M280" s="197">
        <f>'A-15'!Q234</f>
        <v>15</v>
      </c>
      <c r="N280" s="197">
        <f>'A-15'!R234</f>
        <v>0</v>
      </c>
      <c r="O280" s="197">
        <f>'A-15'!S234</f>
        <v>1</v>
      </c>
      <c r="P280" s="197">
        <f>'A-15'!U234</f>
        <v>44</v>
      </c>
    </row>
    <row r="281" spans="1:16" ht="11.25" customHeight="1" x14ac:dyDescent="0.25">
      <c r="A281" s="477">
        <v>2017</v>
      </c>
      <c r="B281" s="197">
        <f>'A-15'!C235</f>
        <v>1253</v>
      </c>
      <c r="C281" s="197">
        <f>'A-15'!D235</f>
        <v>2039</v>
      </c>
      <c r="D281" s="197">
        <f>'A-15'!E235</f>
        <v>15772</v>
      </c>
      <c r="E281" s="197">
        <f>'A-15'!F235</f>
        <v>4605</v>
      </c>
      <c r="F281" s="197">
        <f>'A-15'!G235</f>
        <v>745</v>
      </c>
      <c r="G281" s="197">
        <f>'A-15'!H235</f>
        <v>0</v>
      </c>
      <c r="H281" s="197">
        <f>'A-15'!J235</f>
        <v>24414</v>
      </c>
      <c r="I281" s="197"/>
      <c r="J281" s="197">
        <f>'A-15'!N235</f>
        <v>0</v>
      </c>
      <c r="K281" s="197">
        <f>'A-15'!O235</f>
        <v>0</v>
      </c>
      <c r="L281" s="197">
        <f>'A-15'!P235</f>
        <v>1003</v>
      </c>
      <c r="M281" s="197">
        <f>'A-15'!Q235</f>
        <v>7150</v>
      </c>
      <c r="N281" s="197">
        <f>'A-15'!R235</f>
        <v>5197</v>
      </c>
      <c r="O281" s="197">
        <f>'A-15'!S235</f>
        <v>0</v>
      </c>
      <c r="P281" s="197">
        <f>'A-15'!U235</f>
        <v>13350</v>
      </c>
    </row>
    <row r="282" spans="1:16" s="358" customFormat="1" ht="11.25" customHeight="1" x14ac:dyDescent="0.25">
      <c r="A282" s="157">
        <v>2018</v>
      </c>
      <c r="B282" s="197">
        <f>'A-15'!C236</f>
        <v>1319</v>
      </c>
      <c r="C282" s="197">
        <f>'A-15'!D236</f>
        <v>11756</v>
      </c>
      <c r="D282" s="197">
        <f>'A-15'!E236</f>
        <v>8486</v>
      </c>
      <c r="E282" s="197">
        <f>'A-15'!F236</f>
        <v>1883</v>
      </c>
      <c r="F282" s="197">
        <f>'A-15'!G236</f>
        <v>459</v>
      </c>
      <c r="G282" s="197">
        <f>'A-15'!H236</f>
        <v>0</v>
      </c>
      <c r="H282" s="197">
        <f>'A-15'!J236</f>
        <v>23903</v>
      </c>
      <c r="J282" s="197">
        <f>'A-15'!N236</f>
        <v>0</v>
      </c>
      <c r="K282" s="197">
        <f>'A-15'!O236</f>
        <v>15</v>
      </c>
      <c r="L282" s="197">
        <f>'A-15'!P236</f>
        <v>1751</v>
      </c>
      <c r="M282" s="197">
        <f>'A-15'!Q236</f>
        <v>5512</v>
      </c>
      <c r="N282" s="197">
        <f>'A-15'!R236</f>
        <v>4524</v>
      </c>
      <c r="O282" s="197">
        <f>'A-15'!S236</f>
        <v>0</v>
      </c>
      <c r="P282" s="197">
        <f>'A-15'!U236</f>
        <v>11802</v>
      </c>
    </row>
    <row r="283" spans="1:16" s="358" customFormat="1" ht="11.25" customHeight="1" x14ac:dyDescent="0.25">
      <c r="A283" s="157">
        <v>2019</v>
      </c>
      <c r="B283" s="197">
        <f>'A-15'!C237</f>
        <v>809</v>
      </c>
      <c r="C283" s="197">
        <f>'A-15'!D237</f>
        <v>2110</v>
      </c>
      <c r="D283" s="197">
        <f>'A-15'!E237</f>
        <v>12314</v>
      </c>
      <c r="E283" s="197">
        <f>'A-15'!F237</f>
        <v>2789</v>
      </c>
      <c r="F283" s="197">
        <f>'A-15'!G237</f>
        <v>299</v>
      </c>
      <c r="G283" s="197">
        <f>'A-15'!H237</f>
        <v>0</v>
      </c>
      <c r="H283" s="197">
        <f>'A-15'!J237</f>
        <v>18321</v>
      </c>
      <c r="J283" s="197">
        <f>'A-15'!N237</f>
        <v>0</v>
      </c>
      <c r="K283" s="197">
        <f>'A-15'!O237</f>
        <v>0</v>
      </c>
      <c r="L283" s="197">
        <f>'A-15'!P237</f>
        <v>14414</v>
      </c>
      <c r="M283" s="197">
        <f>'A-15'!Q237</f>
        <v>33818</v>
      </c>
      <c r="N283" s="197">
        <f>'A-15'!R237</f>
        <v>7273</v>
      </c>
      <c r="O283" s="197">
        <f>'A-15'!S237</f>
        <v>0</v>
      </c>
      <c r="P283" s="197">
        <f>'A-15'!U237</f>
        <v>55505</v>
      </c>
    </row>
    <row r="284" spans="1:16" ht="11.25" customHeight="1" x14ac:dyDescent="0.25">
      <c r="A284" s="157" t="s">
        <v>393</v>
      </c>
      <c r="B284" s="193">
        <f>'A-15'!C238</f>
        <v>8</v>
      </c>
      <c r="C284" s="193">
        <f>'A-15'!D238</f>
        <v>23</v>
      </c>
      <c r="D284" s="193">
        <f>'A-15'!E238</f>
        <v>622</v>
      </c>
      <c r="E284" s="193">
        <f>'A-15'!F238</f>
        <v>1718</v>
      </c>
      <c r="F284" s="193">
        <f>'A-15'!G238</f>
        <v>66</v>
      </c>
      <c r="G284" s="193">
        <f>'A-15'!H238</f>
        <v>0</v>
      </c>
      <c r="H284" s="193">
        <f>'A-15'!J238</f>
        <v>2437</v>
      </c>
      <c r="J284" s="193">
        <f>'A-15'!N238</f>
        <v>0</v>
      </c>
      <c r="K284" s="193">
        <f>'A-15'!O238</f>
        <v>0</v>
      </c>
      <c r="L284" s="193">
        <f>'A-15'!P238</f>
        <v>587</v>
      </c>
      <c r="M284" s="193">
        <f>'A-15'!Q238</f>
        <v>10864</v>
      </c>
      <c r="N284" s="193">
        <f>'A-15'!R238</f>
        <v>2940</v>
      </c>
      <c r="O284" s="193">
        <f>'A-15'!S238</f>
        <v>0</v>
      </c>
      <c r="P284" s="193">
        <f>'A-15'!U238</f>
        <v>14391</v>
      </c>
    </row>
    <row r="285" spans="1:16" ht="11.25" customHeight="1" x14ac:dyDescent="0.25"/>
    <row r="286" spans="1:16" ht="11.25" customHeight="1" x14ac:dyDescent="0.25">
      <c r="A286" s="120" t="s">
        <v>310</v>
      </c>
      <c r="B286" s="110"/>
      <c r="C286" s="110"/>
      <c r="D286" s="110"/>
      <c r="E286" s="110"/>
    </row>
    <row r="287" spans="1:16" ht="11.25" customHeight="1" x14ac:dyDescent="0.25">
      <c r="A287" s="473">
        <v>1976</v>
      </c>
      <c r="B287" s="193">
        <f t="shared" ref="B287:H296" si="78">IF(AND(B240="-",B193="-"),"-",SUM(B240,B193))</f>
        <v>84539</v>
      </c>
      <c r="C287" s="193">
        <f t="shared" si="78"/>
        <v>107403</v>
      </c>
      <c r="D287" s="193">
        <f t="shared" si="78"/>
        <v>94491</v>
      </c>
      <c r="E287" s="193">
        <f t="shared" si="78"/>
        <v>60499</v>
      </c>
      <c r="F287" s="193">
        <f t="shared" si="78"/>
        <v>23999</v>
      </c>
      <c r="G287" s="193">
        <f t="shared" si="78"/>
        <v>211</v>
      </c>
      <c r="H287" s="193">
        <f t="shared" si="78"/>
        <v>371141</v>
      </c>
      <c r="J287" s="193">
        <f t="shared" ref="J287:P296" si="79">IF(AND(J240="-",J193="-"),"-",SUM(J240,J193))</f>
        <v>0</v>
      </c>
      <c r="K287" s="193">
        <f t="shared" si="79"/>
        <v>299310</v>
      </c>
      <c r="L287" s="193">
        <f t="shared" si="79"/>
        <v>698290</v>
      </c>
      <c r="M287" s="193">
        <f t="shared" si="79"/>
        <v>346233</v>
      </c>
      <c r="N287" s="193">
        <f t="shared" si="79"/>
        <v>185652</v>
      </c>
      <c r="O287" s="193">
        <f t="shared" si="79"/>
        <v>1763</v>
      </c>
      <c r="P287" s="193">
        <f t="shared" si="79"/>
        <v>1427067</v>
      </c>
    </row>
    <row r="288" spans="1:16" ht="11.25" customHeight="1" x14ac:dyDescent="0.25">
      <c r="A288" s="473">
        <v>1977</v>
      </c>
      <c r="B288" s="193">
        <f t="shared" si="78"/>
        <v>69580</v>
      </c>
      <c r="C288" s="193">
        <f t="shared" si="78"/>
        <v>39512</v>
      </c>
      <c r="D288" s="193">
        <f t="shared" si="78"/>
        <v>67959</v>
      </c>
      <c r="E288" s="193">
        <f t="shared" si="78"/>
        <v>36570</v>
      </c>
      <c r="F288" s="193">
        <f t="shared" si="78"/>
        <v>30147</v>
      </c>
      <c r="G288" s="193">
        <f t="shared" si="78"/>
        <v>705</v>
      </c>
      <c r="H288" s="193">
        <f t="shared" si="78"/>
        <v>244465</v>
      </c>
      <c r="J288" s="193">
        <f t="shared" si="79"/>
        <v>262</v>
      </c>
      <c r="K288" s="193">
        <f t="shared" si="79"/>
        <v>30101</v>
      </c>
      <c r="L288" s="193">
        <f t="shared" si="79"/>
        <v>410634</v>
      </c>
      <c r="M288" s="193">
        <f t="shared" si="79"/>
        <v>193014</v>
      </c>
      <c r="N288" s="193">
        <f t="shared" si="79"/>
        <v>101626</v>
      </c>
      <c r="O288" s="193">
        <f t="shared" si="79"/>
        <v>378</v>
      </c>
      <c r="P288" s="193">
        <f t="shared" si="79"/>
        <v>736011</v>
      </c>
    </row>
    <row r="289" spans="1:16" ht="11.25" customHeight="1" x14ac:dyDescent="0.25">
      <c r="A289" s="473">
        <v>1978</v>
      </c>
      <c r="B289" s="193">
        <f t="shared" si="78"/>
        <v>26716</v>
      </c>
      <c r="C289" s="193">
        <f t="shared" si="78"/>
        <v>31216</v>
      </c>
      <c r="D289" s="193">
        <f t="shared" si="78"/>
        <v>52790</v>
      </c>
      <c r="E289" s="193">
        <f t="shared" si="78"/>
        <v>27705</v>
      </c>
      <c r="F289" s="193">
        <f t="shared" si="78"/>
        <v>10276</v>
      </c>
      <c r="G289" s="193">
        <f t="shared" si="78"/>
        <v>1992</v>
      </c>
      <c r="H289" s="193">
        <f t="shared" si="78"/>
        <v>150669</v>
      </c>
      <c r="J289" s="193">
        <f t="shared" si="79"/>
        <v>231</v>
      </c>
      <c r="K289" s="193">
        <f t="shared" si="79"/>
        <v>21245</v>
      </c>
      <c r="L289" s="193">
        <f t="shared" si="79"/>
        <v>341104</v>
      </c>
      <c r="M289" s="193">
        <f t="shared" si="79"/>
        <v>121089</v>
      </c>
      <c r="N289" s="193">
        <f t="shared" si="79"/>
        <v>124053</v>
      </c>
      <c r="O289" s="193">
        <f t="shared" si="79"/>
        <v>1100</v>
      </c>
      <c r="P289" s="193">
        <f t="shared" si="79"/>
        <v>608814</v>
      </c>
    </row>
    <row r="290" spans="1:16" ht="11.25" customHeight="1" x14ac:dyDescent="0.25">
      <c r="A290" s="473">
        <v>1979</v>
      </c>
      <c r="B290" s="193">
        <f t="shared" si="78"/>
        <v>48006</v>
      </c>
      <c r="C290" s="193">
        <f t="shared" si="78"/>
        <v>1037</v>
      </c>
      <c r="D290" s="193">
        <f t="shared" si="78"/>
        <v>38561</v>
      </c>
      <c r="E290" s="193">
        <f t="shared" si="78"/>
        <v>42024</v>
      </c>
      <c r="F290" s="193">
        <f t="shared" si="78"/>
        <v>1014</v>
      </c>
      <c r="G290" s="193">
        <f t="shared" si="78"/>
        <v>13</v>
      </c>
      <c r="H290" s="193">
        <f t="shared" si="78"/>
        <v>130651</v>
      </c>
      <c r="J290" s="193">
        <f t="shared" si="79"/>
        <v>1058</v>
      </c>
      <c r="K290" s="193">
        <f t="shared" si="79"/>
        <v>4788</v>
      </c>
      <c r="L290" s="193">
        <f t="shared" si="79"/>
        <v>394493</v>
      </c>
      <c r="M290" s="193">
        <f t="shared" si="79"/>
        <v>283072</v>
      </c>
      <c r="N290" s="193">
        <f t="shared" si="79"/>
        <v>5290</v>
      </c>
      <c r="O290" s="193">
        <f t="shared" si="79"/>
        <v>4</v>
      </c>
      <c r="P290" s="193">
        <f t="shared" si="79"/>
        <v>688701</v>
      </c>
    </row>
    <row r="291" spans="1:16" ht="11.25" customHeight="1" x14ac:dyDescent="0.25">
      <c r="A291" s="473">
        <v>1980</v>
      </c>
      <c r="B291" s="193">
        <f t="shared" si="78"/>
        <v>49045</v>
      </c>
      <c r="C291" s="193">
        <f t="shared" si="78"/>
        <v>2959</v>
      </c>
      <c r="D291" s="193">
        <f t="shared" si="78"/>
        <v>45546</v>
      </c>
      <c r="E291" s="193">
        <f t="shared" si="78"/>
        <v>24653</v>
      </c>
      <c r="F291" s="193">
        <f t="shared" si="78"/>
        <v>596</v>
      </c>
      <c r="G291" s="193">
        <f t="shared" si="78"/>
        <v>20</v>
      </c>
      <c r="H291" s="193">
        <f t="shared" si="78"/>
        <v>122804</v>
      </c>
      <c r="J291" s="193">
        <f t="shared" si="79"/>
        <v>2159</v>
      </c>
      <c r="K291" s="193">
        <f t="shared" si="79"/>
        <v>25295</v>
      </c>
      <c r="L291" s="193">
        <f t="shared" si="79"/>
        <v>204819</v>
      </c>
      <c r="M291" s="193">
        <f t="shared" si="79"/>
        <v>143944</v>
      </c>
      <c r="N291" s="193">
        <f t="shared" si="79"/>
        <v>10842</v>
      </c>
      <c r="O291" s="193">
        <f t="shared" si="79"/>
        <v>329</v>
      </c>
      <c r="P291" s="193">
        <f t="shared" si="79"/>
        <v>387363</v>
      </c>
    </row>
    <row r="292" spans="1:16" ht="11.25" customHeight="1" x14ac:dyDescent="0.25">
      <c r="A292" s="473">
        <v>1981</v>
      </c>
      <c r="B292" s="193">
        <f t="shared" si="78"/>
        <v>54345</v>
      </c>
      <c r="C292" s="193">
        <f t="shared" si="78"/>
        <v>5055</v>
      </c>
      <c r="D292" s="193">
        <f t="shared" si="78"/>
        <v>28916</v>
      </c>
      <c r="E292" s="193">
        <f t="shared" si="78"/>
        <v>19388</v>
      </c>
      <c r="F292" s="193">
        <f t="shared" si="78"/>
        <v>270</v>
      </c>
      <c r="G292" s="193">
        <f t="shared" si="78"/>
        <v>267</v>
      </c>
      <c r="H292" s="193">
        <f t="shared" si="78"/>
        <v>107983</v>
      </c>
      <c r="J292" s="193">
        <f t="shared" si="79"/>
        <v>1284</v>
      </c>
      <c r="K292" s="193">
        <f t="shared" si="79"/>
        <v>7598</v>
      </c>
      <c r="L292" s="193">
        <f t="shared" si="79"/>
        <v>258580</v>
      </c>
      <c r="M292" s="193">
        <f t="shared" si="79"/>
        <v>146571</v>
      </c>
      <c r="N292" s="193">
        <f t="shared" si="79"/>
        <v>13717</v>
      </c>
      <c r="O292" s="193">
        <f t="shared" si="79"/>
        <v>13</v>
      </c>
      <c r="P292" s="193">
        <f t="shared" si="79"/>
        <v>427750</v>
      </c>
    </row>
    <row r="293" spans="1:16" ht="11.25" customHeight="1" x14ac:dyDescent="0.25">
      <c r="A293" s="473">
        <v>1982</v>
      </c>
      <c r="B293" s="193">
        <f t="shared" si="78"/>
        <v>64025</v>
      </c>
      <c r="C293" s="193">
        <f t="shared" si="78"/>
        <v>12074</v>
      </c>
      <c r="D293" s="193">
        <f t="shared" si="78"/>
        <v>67585</v>
      </c>
      <c r="E293" s="193">
        <f t="shared" si="78"/>
        <v>2331</v>
      </c>
      <c r="F293" s="193">
        <f t="shared" si="78"/>
        <v>2656</v>
      </c>
      <c r="G293" s="193">
        <f t="shared" si="78"/>
        <v>223</v>
      </c>
      <c r="H293" s="193">
        <f t="shared" si="78"/>
        <v>148671</v>
      </c>
      <c r="J293" s="193">
        <f t="shared" si="79"/>
        <v>34</v>
      </c>
      <c r="K293" s="193">
        <f t="shared" si="79"/>
        <v>22681</v>
      </c>
      <c r="L293" s="193">
        <f t="shared" si="79"/>
        <v>264000</v>
      </c>
      <c r="M293" s="193">
        <f t="shared" si="79"/>
        <v>60158</v>
      </c>
      <c r="N293" s="193">
        <f t="shared" si="79"/>
        <v>38451</v>
      </c>
      <c r="O293" s="193">
        <f t="shared" si="79"/>
        <v>57</v>
      </c>
      <c r="P293" s="193">
        <f t="shared" si="79"/>
        <v>385324</v>
      </c>
    </row>
    <row r="294" spans="1:16" ht="11.25" customHeight="1" x14ac:dyDescent="0.25">
      <c r="A294" s="473">
        <v>1983</v>
      </c>
      <c r="B294" s="193">
        <f t="shared" si="78"/>
        <v>35038</v>
      </c>
      <c r="C294" s="193">
        <f t="shared" si="78"/>
        <v>8941</v>
      </c>
      <c r="D294" s="193">
        <f t="shared" si="78"/>
        <v>14471</v>
      </c>
      <c r="E294" s="193">
        <f t="shared" si="78"/>
        <v>2223</v>
      </c>
      <c r="F294" s="193">
        <f t="shared" si="78"/>
        <v>789</v>
      </c>
      <c r="G294" s="193">
        <f t="shared" si="78"/>
        <v>65</v>
      </c>
      <c r="H294" s="193">
        <f t="shared" si="78"/>
        <v>61462</v>
      </c>
      <c r="J294" s="193">
        <f t="shared" si="79"/>
        <v>95</v>
      </c>
      <c r="K294" s="193">
        <f t="shared" si="79"/>
        <v>4987</v>
      </c>
      <c r="L294" s="193">
        <f t="shared" si="79"/>
        <v>9415</v>
      </c>
      <c r="M294" s="193">
        <f t="shared" si="79"/>
        <v>28310</v>
      </c>
      <c r="N294" s="193">
        <f t="shared" si="79"/>
        <v>23663</v>
      </c>
      <c r="O294" s="193">
        <f t="shared" si="79"/>
        <v>17</v>
      </c>
      <c r="P294" s="193">
        <f t="shared" si="79"/>
        <v>66470</v>
      </c>
    </row>
    <row r="295" spans="1:16" ht="11.25" customHeight="1" x14ac:dyDescent="0.25">
      <c r="A295" s="473">
        <v>1984</v>
      </c>
      <c r="B295" s="193">
        <f t="shared" si="78"/>
        <v>10437</v>
      </c>
      <c r="C295" s="193">
        <f t="shared" si="78"/>
        <v>517</v>
      </c>
      <c r="D295" s="193">
        <f t="shared" si="78"/>
        <v>751</v>
      </c>
      <c r="E295" s="193">
        <f t="shared" si="78"/>
        <v>3180</v>
      </c>
      <c r="F295" s="193">
        <f t="shared" si="78"/>
        <v>0</v>
      </c>
      <c r="G295" s="193">
        <f t="shared" si="78"/>
        <v>147</v>
      </c>
      <c r="H295" s="193">
        <f t="shared" si="78"/>
        <v>14885</v>
      </c>
      <c r="J295" s="193">
        <f t="shared" si="79"/>
        <v>0</v>
      </c>
      <c r="K295" s="193">
        <f t="shared" si="79"/>
        <v>0</v>
      </c>
      <c r="L295" s="193">
        <f t="shared" si="79"/>
        <v>19715</v>
      </c>
      <c r="M295" s="193">
        <f t="shared" si="79"/>
        <v>60511</v>
      </c>
      <c r="N295" s="193">
        <f t="shared" si="79"/>
        <v>0</v>
      </c>
      <c r="O295" s="193">
        <f t="shared" si="79"/>
        <v>147</v>
      </c>
      <c r="P295" s="193">
        <f t="shared" si="79"/>
        <v>80226</v>
      </c>
    </row>
    <row r="296" spans="1:16" ht="11.25" customHeight="1" x14ac:dyDescent="0.25">
      <c r="A296" s="473">
        <v>1985</v>
      </c>
      <c r="B296" s="193">
        <f t="shared" si="78"/>
        <v>28890</v>
      </c>
      <c r="C296" s="193">
        <f t="shared" si="78"/>
        <v>386</v>
      </c>
      <c r="D296" s="193">
        <f t="shared" si="78"/>
        <v>13403</v>
      </c>
      <c r="E296" s="193">
        <f t="shared" si="78"/>
        <v>6787</v>
      </c>
      <c r="F296" s="193">
        <f t="shared" si="78"/>
        <v>1941</v>
      </c>
      <c r="G296" s="193">
        <f t="shared" si="78"/>
        <v>302</v>
      </c>
      <c r="H296" s="193">
        <f t="shared" si="78"/>
        <v>51410</v>
      </c>
      <c r="J296" s="193">
        <f t="shared" si="79"/>
        <v>1</v>
      </c>
      <c r="K296" s="193">
        <f t="shared" si="79"/>
        <v>1911</v>
      </c>
      <c r="L296" s="193">
        <f t="shared" si="79"/>
        <v>148005</v>
      </c>
      <c r="M296" s="193">
        <f t="shared" si="79"/>
        <v>61996</v>
      </c>
      <c r="N296" s="193">
        <f t="shared" si="79"/>
        <v>23613</v>
      </c>
      <c r="O296" s="193">
        <f t="shared" si="79"/>
        <v>37</v>
      </c>
      <c r="P296" s="193">
        <f t="shared" si="79"/>
        <v>235526</v>
      </c>
    </row>
    <row r="297" spans="1:16" ht="11.25" customHeight="1" x14ac:dyDescent="0.25">
      <c r="A297" s="473">
        <v>1986</v>
      </c>
      <c r="B297" s="193">
        <f t="shared" ref="B297:H306" si="80">IF(AND(B250="-",B203="-"),"-",SUM(B250,B203))</f>
        <v>35089</v>
      </c>
      <c r="C297" s="193">
        <f t="shared" si="80"/>
        <v>4624</v>
      </c>
      <c r="D297" s="193">
        <f t="shared" si="80"/>
        <v>3688</v>
      </c>
      <c r="E297" s="193">
        <f t="shared" si="80"/>
        <v>7994</v>
      </c>
      <c r="F297" s="193">
        <f t="shared" si="80"/>
        <v>0</v>
      </c>
      <c r="G297" s="193">
        <f t="shared" si="80"/>
        <v>0</v>
      </c>
      <c r="H297" s="193">
        <f t="shared" si="80"/>
        <v>51395</v>
      </c>
      <c r="J297" s="193">
        <f t="shared" ref="J297:P306" si="81">IF(AND(J250="-",J203="-"),"-",SUM(J250,J203))</f>
        <v>0</v>
      </c>
      <c r="K297" s="193">
        <f t="shared" si="81"/>
        <v>21166</v>
      </c>
      <c r="L297" s="193">
        <f t="shared" si="81"/>
        <v>51622</v>
      </c>
      <c r="M297" s="193">
        <f t="shared" si="81"/>
        <v>132810</v>
      </c>
      <c r="N297" s="193">
        <f t="shared" si="81"/>
        <v>13</v>
      </c>
      <c r="O297" s="193">
        <f t="shared" si="81"/>
        <v>0</v>
      </c>
      <c r="P297" s="193">
        <f t="shared" si="81"/>
        <v>205611</v>
      </c>
    </row>
    <row r="298" spans="1:16" ht="11.25" customHeight="1" x14ac:dyDescent="0.25">
      <c r="A298" s="473">
        <v>1987</v>
      </c>
      <c r="B298" s="193">
        <f t="shared" si="80"/>
        <v>46522</v>
      </c>
      <c r="C298" s="193">
        <f t="shared" si="80"/>
        <v>0</v>
      </c>
      <c r="D298" s="193">
        <f t="shared" si="80"/>
        <v>23500</v>
      </c>
      <c r="E298" s="193">
        <f t="shared" si="80"/>
        <v>7271</v>
      </c>
      <c r="F298" s="193">
        <f t="shared" si="80"/>
        <v>0</v>
      </c>
      <c r="G298" s="193">
        <f t="shared" si="80"/>
        <v>52</v>
      </c>
      <c r="H298" s="193">
        <f t="shared" si="80"/>
        <v>77293</v>
      </c>
      <c r="J298" s="193">
        <f t="shared" si="81"/>
        <v>16</v>
      </c>
      <c r="K298" s="193">
        <f t="shared" si="81"/>
        <v>0</v>
      </c>
      <c r="L298" s="193">
        <f t="shared" si="81"/>
        <v>100366</v>
      </c>
      <c r="M298" s="193">
        <f t="shared" si="81"/>
        <v>44040</v>
      </c>
      <c r="N298" s="193">
        <f t="shared" si="81"/>
        <v>0</v>
      </c>
      <c r="O298" s="193">
        <f t="shared" si="81"/>
        <v>33</v>
      </c>
      <c r="P298" s="193">
        <f t="shared" si="81"/>
        <v>144422</v>
      </c>
    </row>
    <row r="299" spans="1:16" ht="11.25" customHeight="1" x14ac:dyDescent="0.25">
      <c r="A299" s="473">
        <v>1988</v>
      </c>
      <c r="B299" s="193">
        <f t="shared" si="80"/>
        <v>50361</v>
      </c>
      <c r="C299" s="193">
        <f t="shared" si="80"/>
        <v>40664</v>
      </c>
      <c r="D299" s="193">
        <f t="shared" si="80"/>
        <v>6436</v>
      </c>
      <c r="E299" s="193">
        <f t="shared" si="80"/>
        <v>7067</v>
      </c>
      <c r="F299" s="193">
        <f t="shared" si="80"/>
        <v>1968</v>
      </c>
      <c r="G299" s="193">
        <f t="shared" si="80"/>
        <v>0</v>
      </c>
      <c r="H299" s="193">
        <f t="shared" si="80"/>
        <v>106496</v>
      </c>
      <c r="J299" s="193">
        <f t="shared" si="81"/>
        <v>0</v>
      </c>
      <c r="K299" s="193">
        <f t="shared" si="81"/>
        <v>114</v>
      </c>
      <c r="L299" s="193">
        <f t="shared" si="81"/>
        <v>12194</v>
      </c>
      <c r="M299" s="193">
        <f t="shared" si="81"/>
        <v>48084</v>
      </c>
      <c r="N299" s="193">
        <f t="shared" si="81"/>
        <v>10167</v>
      </c>
      <c r="O299" s="193">
        <f t="shared" si="81"/>
        <v>0</v>
      </c>
      <c r="P299" s="193">
        <f t="shared" si="81"/>
        <v>70559</v>
      </c>
    </row>
    <row r="300" spans="1:16" ht="11.25" customHeight="1" x14ac:dyDescent="0.25">
      <c r="A300" s="473">
        <v>1989</v>
      </c>
      <c r="B300" s="193">
        <f t="shared" si="80"/>
        <v>30628</v>
      </c>
      <c r="C300" s="193">
        <f t="shared" si="80"/>
        <v>23490</v>
      </c>
      <c r="D300" s="193">
        <f t="shared" si="80"/>
        <v>10111</v>
      </c>
      <c r="E300" s="193">
        <f t="shared" si="80"/>
        <v>7508</v>
      </c>
      <c r="F300" s="193">
        <f t="shared" si="80"/>
        <v>2637</v>
      </c>
      <c r="G300" s="193">
        <f t="shared" si="80"/>
        <v>0</v>
      </c>
      <c r="H300" s="193">
        <f t="shared" si="80"/>
        <v>74374</v>
      </c>
      <c r="J300" s="193">
        <f t="shared" si="81"/>
        <v>1</v>
      </c>
      <c r="K300" s="193">
        <f t="shared" si="81"/>
        <v>0</v>
      </c>
      <c r="L300" s="193">
        <f t="shared" si="81"/>
        <v>31817</v>
      </c>
      <c r="M300" s="193">
        <f t="shared" si="81"/>
        <v>85597</v>
      </c>
      <c r="N300" s="193">
        <f t="shared" si="81"/>
        <v>44755</v>
      </c>
      <c r="O300" s="193">
        <f t="shared" si="81"/>
        <v>0</v>
      </c>
      <c r="P300" s="193">
        <f t="shared" si="81"/>
        <v>162170</v>
      </c>
    </row>
    <row r="301" spans="1:16" ht="11.25" customHeight="1" x14ac:dyDescent="0.25">
      <c r="A301" s="473">
        <v>1990</v>
      </c>
      <c r="B301" s="193">
        <f t="shared" si="80"/>
        <v>31133</v>
      </c>
      <c r="C301" s="193">
        <f t="shared" si="80"/>
        <v>9965</v>
      </c>
      <c r="D301" s="193">
        <f t="shared" si="80"/>
        <v>11270</v>
      </c>
      <c r="E301" s="193">
        <f t="shared" si="80"/>
        <v>8009</v>
      </c>
      <c r="F301" s="193">
        <f t="shared" si="80"/>
        <v>5050</v>
      </c>
      <c r="G301" s="193">
        <f t="shared" si="80"/>
        <v>79</v>
      </c>
      <c r="H301" s="193">
        <f t="shared" si="80"/>
        <v>65498</v>
      </c>
      <c r="J301" s="193">
        <f t="shared" si="81"/>
        <v>0</v>
      </c>
      <c r="K301" s="193">
        <f t="shared" si="81"/>
        <v>1</v>
      </c>
      <c r="L301" s="193">
        <f t="shared" si="81"/>
        <v>20680</v>
      </c>
      <c r="M301" s="193">
        <f t="shared" si="81"/>
        <v>132468</v>
      </c>
      <c r="N301" s="193">
        <f t="shared" si="81"/>
        <v>38948</v>
      </c>
      <c r="O301" s="193">
        <f t="shared" si="81"/>
        <v>305</v>
      </c>
      <c r="P301" s="193">
        <f t="shared" si="81"/>
        <v>192401</v>
      </c>
    </row>
    <row r="302" spans="1:16" ht="11.25" customHeight="1" x14ac:dyDescent="0.25">
      <c r="A302" s="473">
        <v>1991</v>
      </c>
      <c r="B302" s="193">
        <f t="shared" si="80"/>
        <v>19271</v>
      </c>
      <c r="C302" s="193">
        <f t="shared" si="80"/>
        <v>18493</v>
      </c>
      <c r="D302" s="193">
        <f t="shared" si="80"/>
        <v>6875</v>
      </c>
      <c r="E302" s="193">
        <f t="shared" si="80"/>
        <v>6078</v>
      </c>
      <c r="F302" s="193">
        <f t="shared" si="80"/>
        <v>873</v>
      </c>
      <c r="G302" s="193">
        <f t="shared" si="80"/>
        <v>147</v>
      </c>
      <c r="H302" s="193">
        <f t="shared" si="80"/>
        <v>51590</v>
      </c>
      <c r="J302" s="193">
        <f t="shared" si="81"/>
        <v>0</v>
      </c>
      <c r="K302" s="193">
        <f t="shared" si="81"/>
        <v>0</v>
      </c>
      <c r="L302" s="193">
        <f t="shared" si="81"/>
        <v>38943</v>
      </c>
      <c r="M302" s="193">
        <f t="shared" si="81"/>
        <v>99654</v>
      </c>
      <c r="N302" s="193">
        <f t="shared" si="81"/>
        <v>19305</v>
      </c>
      <c r="O302" s="193">
        <f t="shared" si="81"/>
        <v>498</v>
      </c>
      <c r="P302" s="193">
        <f t="shared" si="81"/>
        <v>157902</v>
      </c>
    </row>
    <row r="303" spans="1:16" ht="11.25" customHeight="1" x14ac:dyDescent="0.25">
      <c r="A303" s="473">
        <v>1992</v>
      </c>
      <c r="B303" s="193">
        <f t="shared" si="80"/>
        <v>31324</v>
      </c>
      <c r="C303" s="193">
        <f t="shared" si="80"/>
        <v>19094</v>
      </c>
      <c r="D303" s="193">
        <f t="shared" si="80"/>
        <v>10180</v>
      </c>
      <c r="E303" s="193">
        <f t="shared" si="80"/>
        <v>7599</v>
      </c>
      <c r="F303" s="193">
        <f t="shared" si="80"/>
        <v>0</v>
      </c>
      <c r="G303" s="193">
        <f t="shared" si="80"/>
        <v>0</v>
      </c>
      <c r="H303" s="193">
        <f t="shared" si="80"/>
        <v>68197</v>
      </c>
      <c r="J303" s="193">
        <f t="shared" si="81"/>
        <v>2</v>
      </c>
      <c r="K303" s="193">
        <f t="shared" si="81"/>
        <v>3</v>
      </c>
      <c r="L303" s="193">
        <f t="shared" si="81"/>
        <v>51149</v>
      </c>
      <c r="M303" s="193">
        <f t="shared" si="81"/>
        <v>43543</v>
      </c>
      <c r="N303" s="193">
        <f t="shared" si="81"/>
        <v>0</v>
      </c>
      <c r="O303" s="193">
        <f t="shared" si="81"/>
        <v>15</v>
      </c>
      <c r="P303" s="193">
        <f t="shared" si="81"/>
        <v>94697</v>
      </c>
    </row>
    <row r="304" spans="1:16" ht="11.25" customHeight="1" x14ac:dyDescent="0.25">
      <c r="A304" s="473">
        <v>1993</v>
      </c>
      <c r="B304" s="193">
        <f t="shared" si="80"/>
        <v>21937</v>
      </c>
      <c r="C304" s="193">
        <f t="shared" si="80"/>
        <v>15856</v>
      </c>
      <c r="D304" s="193">
        <f t="shared" si="80"/>
        <v>8592</v>
      </c>
      <c r="E304" s="193">
        <f t="shared" si="80"/>
        <v>4638</v>
      </c>
      <c r="F304" s="193">
        <f t="shared" si="80"/>
        <v>4420</v>
      </c>
      <c r="G304" s="193">
        <f t="shared" si="80"/>
        <v>0</v>
      </c>
      <c r="H304" s="193">
        <f t="shared" si="80"/>
        <v>55443</v>
      </c>
      <c r="J304" s="193">
        <f t="shared" si="81"/>
        <v>1</v>
      </c>
      <c r="K304" s="193">
        <f t="shared" si="81"/>
        <v>0</v>
      </c>
      <c r="L304" s="193">
        <f t="shared" si="81"/>
        <v>12069</v>
      </c>
      <c r="M304" s="193">
        <f t="shared" si="81"/>
        <v>29625</v>
      </c>
      <c r="N304" s="193">
        <f t="shared" si="81"/>
        <v>32608</v>
      </c>
      <c r="O304" s="193">
        <f t="shared" si="81"/>
        <v>0</v>
      </c>
      <c r="P304" s="193">
        <f t="shared" si="81"/>
        <v>74303</v>
      </c>
    </row>
    <row r="305" spans="1:16" ht="11.25" customHeight="1" x14ac:dyDescent="0.25">
      <c r="A305" s="473">
        <v>1994</v>
      </c>
      <c r="B305" s="193">
        <f t="shared" si="80"/>
        <v>449</v>
      </c>
      <c r="C305" s="193">
        <f t="shared" si="80"/>
        <v>4113</v>
      </c>
      <c r="D305" s="193">
        <f t="shared" si="80"/>
        <v>8</v>
      </c>
      <c r="E305" s="193">
        <f t="shared" si="80"/>
        <v>0</v>
      </c>
      <c r="F305" s="193">
        <f t="shared" si="80"/>
        <v>0</v>
      </c>
      <c r="G305" s="193">
        <f t="shared" si="80"/>
        <v>0</v>
      </c>
      <c r="H305" s="193">
        <f t="shared" si="80"/>
        <v>4570</v>
      </c>
      <c r="J305" s="193">
        <f t="shared" si="81"/>
        <v>0</v>
      </c>
      <c r="K305" s="193">
        <f t="shared" si="81"/>
        <v>0</v>
      </c>
      <c r="L305" s="193">
        <f t="shared" si="81"/>
        <v>0</v>
      </c>
      <c r="M305" s="193">
        <f t="shared" si="81"/>
        <v>0</v>
      </c>
      <c r="N305" s="193">
        <f t="shared" si="81"/>
        <v>0</v>
      </c>
      <c r="O305" s="193">
        <f t="shared" si="81"/>
        <v>0</v>
      </c>
      <c r="P305" s="193">
        <f t="shared" si="81"/>
        <v>0</v>
      </c>
    </row>
    <row r="306" spans="1:16" ht="11.25" customHeight="1" x14ac:dyDescent="0.25">
      <c r="A306" s="473">
        <v>1995</v>
      </c>
      <c r="B306" s="193">
        <f t="shared" si="80"/>
        <v>698</v>
      </c>
      <c r="C306" s="193">
        <f t="shared" si="80"/>
        <v>0</v>
      </c>
      <c r="D306" s="193">
        <f t="shared" si="80"/>
        <v>23</v>
      </c>
      <c r="E306" s="193">
        <f t="shared" si="80"/>
        <v>9047</v>
      </c>
      <c r="F306" s="193">
        <f t="shared" si="80"/>
        <v>0</v>
      </c>
      <c r="G306" s="193">
        <f t="shared" si="80"/>
        <v>0</v>
      </c>
      <c r="H306" s="193">
        <f t="shared" si="80"/>
        <v>9768</v>
      </c>
      <c r="J306" s="193">
        <f t="shared" si="81"/>
        <v>0</v>
      </c>
      <c r="K306" s="193">
        <f t="shared" si="81"/>
        <v>0</v>
      </c>
      <c r="L306" s="193">
        <f t="shared" si="81"/>
        <v>0</v>
      </c>
      <c r="M306" s="193">
        <f t="shared" si="81"/>
        <v>49756</v>
      </c>
      <c r="N306" s="193">
        <f t="shared" si="81"/>
        <v>7060</v>
      </c>
      <c r="O306" s="193">
        <f t="shared" si="81"/>
        <v>0</v>
      </c>
      <c r="P306" s="193">
        <f t="shared" si="81"/>
        <v>56816</v>
      </c>
    </row>
    <row r="307" spans="1:16" ht="11.25" customHeight="1" x14ac:dyDescent="0.25">
      <c r="A307" s="473">
        <v>1996</v>
      </c>
      <c r="B307" s="193">
        <f t="shared" ref="B307:H316" si="82">IF(AND(B260="-",B213="-"),"-",SUM(B260,B213))</f>
        <v>1473</v>
      </c>
      <c r="C307" s="193">
        <f t="shared" si="82"/>
        <v>1974</v>
      </c>
      <c r="D307" s="193">
        <f t="shared" si="82"/>
        <v>457</v>
      </c>
      <c r="E307" s="193">
        <f t="shared" si="82"/>
        <v>4845</v>
      </c>
      <c r="F307" s="193">
        <f t="shared" si="82"/>
        <v>3561</v>
      </c>
      <c r="G307" s="193" t="str">
        <f t="shared" si="82"/>
        <v>-</v>
      </c>
      <c r="H307" s="193">
        <f t="shared" si="82"/>
        <v>12310</v>
      </c>
      <c r="J307" s="193">
        <f t="shared" ref="J307:P313" si="83">IF(AND(J260="-",J213="-"),"-",SUM(J260,J213))</f>
        <v>0</v>
      </c>
      <c r="K307" s="193">
        <f t="shared" si="83"/>
        <v>0</v>
      </c>
      <c r="L307" s="193">
        <f t="shared" si="83"/>
        <v>7137</v>
      </c>
      <c r="M307" s="193">
        <f t="shared" si="83"/>
        <v>15044</v>
      </c>
      <c r="N307" s="193">
        <f t="shared" si="83"/>
        <v>13885</v>
      </c>
      <c r="O307" s="193" t="str">
        <f t="shared" si="83"/>
        <v>-</v>
      </c>
      <c r="P307" s="193">
        <f t="shared" si="83"/>
        <v>36066</v>
      </c>
    </row>
    <row r="308" spans="1:16" ht="11.25" customHeight="1" x14ac:dyDescent="0.25">
      <c r="A308" s="473">
        <v>1997</v>
      </c>
      <c r="B308" s="193">
        <f t="shared" si="82"/>
        <v>5358</v>
      </c>
      <c r="C308" s="193">
        <f t="shared" si="82"/>
        <v>9393</v>
      </c>
      <c r="D308" s="193">
        <f t="shared" si="82"/>
        <v>0</v>
      </c>
      <c r="E308" s="193">
        <f t="shared" si="82"/>
        <v>4720</v>
      </c>
      <c r="F308" s="193">
        <f t="shared" si="82"/>
        <v>1136</v>
      </c>
      <c r="G308" s="193" t="str">
        <f t="shared" si="82"/>
        <v>-</v>
      </c>
      <c r="H308" s="193">
        <f t="shared" si="82"/>
        <v>20607</v>
      </c>
      <c r="J308" s="193">
        <f t="shared" si="83"/>
        <v>0</v>
      </c>
      <c r="K308" s="193">
        <f t="shared" si="83"/>
        <v>0</v>
      </c>
      <c r="L308" s="193">
        <f t="shared" si="83"/>
        <v>0</v>
      </c>
      <c r="M308" s="193">
        <f t="shared" si="83"/>
        <v>11481</v>
      </c>
      <c r="N308" s="193">
        <f t="shared" si="83"/>
        <v>4343</v>
      </c>
      <c r="O308" s="193" t="str">
        <f t="shared" si="83"/>
        <v>-</v>
      </c>
      <c r="P308" s="193">
        <f t="shared" si="83"/>
        <v>15824</v>
      </c>
    </row>
    <row r="309" spans="1:16" ht="11.25" customHeight="1" x14ac:dyDescent="0.25">
      <c r="A309" s="473">
        <v>1998</v>
      </c>
      <c r="B309" s="193">
        <f t="shared" si="82"/>
        <v>10936</v>
      </c>
      <c r="C309" s="193">
        <f t="shared" si="82"/>
        <v>4624</v>
      </c>
      <c r="D309" s="193">
        <f t="shared" si="82"/>
        <v>47</v>
      </c>
      <c r="E309" s="193">
        <f t="shared" si="82"/>
        <v>3860</v>
      </c>
      <c r="F309" s="193">
        <f t="shared" si="82"/>
        <v>1148</v>
      </c>
      <c r="G309" s="193" t="str">
        <f t="shared" si="82"/>
        <v>-</v>
      </c>
      <c r="H309" s="193">
        <f t="shared" si="82"/>
        <v>20615</v>
      </c>
      <c r="J309" s="193">
        <f t="shared" si="83"/>
        <v>0</v>
      </c>
      <c r="K309" s="193">
        <f t="shared" si="83"/>
        <v>0</v>
      </c>
      <c r="L309" s="193">
        <f t="shared" si="83"/>
        <v>74</v>
      </c>
      <c r="M309" s="193">
        <f t="shared" si="83"/>
        <v>3855</v>
      </c>
      <c r="N309" s="193">
        <f t="shared" si="83"/>
        <v>4225</v>
      </c>
      <c r="O309" s="193" t="str">
        <f t="shared" si="83"/>
        <v>-</v>
      </c>
      <c r="P309" s="193">
        <f t="shared" si="83"/>
        <v>8154</v>
      </c>
    </row>
    <row r="310" spans="1:16" ht="11.25" customHeight="1" x14ac:dyDescent="0.25">
      <c r="A310" s="473">
        <v>1999</v>
      </c>
      <c r="B310" s="193">
        <f t="shared" si="82"/>
        <v>6727</v>
      </c>
      <c r="C310" s="193">
        <f t="shared" si="82"/>
        <v>22756</v>
      </c>
      <c r="D310" s="193">
        <f t="shared" si="82"/>
        <v>5560</v>
      </c>
      <c r="E310" s="193">
        <f t="shared" si="82"/>
        <v>6261</v>
      </c>
      <c r="F310" s="193">
        <f t="shared" si="82"/>
        <v>3619</v>
      </c>
      <c r="G310" s="193" t="str">
        <f t="shared" si="82"/>
        <v>-</v>
      </c>
      <c r="H310" s="193">
        <f t="shared" si="82"/>
        <v>44923</v>
      </c>
      <c r="J310" s="193">
        <f t="shared" si="83"/>
        <v>0</v>
      </c>
      <c r="K310" s="193">
        <f t="shared" si="83"/>
        <v>0</v>
      </c>
      <c r="L310" s="193">
        <f t="shared" si="83"/>
        <v>673</v>
      </c>
      <c r="M310" s="193">
        <f t="shared" si="83"/>
        <v>15991</v>
      </c>
      <c r="N310" s="193">
        <f t="shared" si="83"/>
        <v>20550</v>
      </c>
      <c r="O310" s="193" t="str">
        <f t="shared" si="83"/>
        <v>-</v>
      </c>
      <c r="P310" s="193">
        <f t="shared" si="83"/>
        <v>37214</v>
      </c>
    </row>
    <row r="311" spans="1:16" ht="11.25" customHeight="1" x14ac:dyDescent="0.25">
      <c r="A311" s="473">
        <v>2000</v>
      </c>
      <c r="B311" s="193">
        <f t="shared" si="82"/>
        <v>9428</v>
      </c>
      <c r="C311" s="193">
        <f t="shared" si="82"/>
        <v>5715</v>
      </c>
      <c r="D311" s="193">
        <f t="shared" si="82"/>
        <v>196</v>
      </c>
      <c r="E311" s="193">
        <f t="shared" si="82"/>
        <v>4721</v>
      </c>
      <c r="F311" s="193">
        <f t="shared" si="82"/>
        <v>92</v>
      </c>
      <c r="G311" s="193" t="str">
        <f t="shared" si="82"/>
        <v>-</v>
      </c>
      <c r="H311" s="193">
        <f t="shared" si="82"/>
        <v>20152</v>
      </c>
      <c r="J311" s="193">
        <f t="shared" si="83"/>
        <v>0</v>
      </c>
      <c r="K311" s="193">
        <f t="shared" si="83"/>
        <v>1</v>
      </c>
      <c r="L311" s="193">
        <f t="shared" si="83"/>
        <v>0</v>
      </c>
      <c r="M311" s="193">
        <f t="shared" si="83"/>
        <v>38607</v>
      </c>
      <c r="N311" s="193">
        <f t="shared" si="83"/>
        <v>1092</v>
      </c>
      <c r="O311" s="193" t="str">
        <f t="shared" si="83"/>
        <v>-</v>
      </c>
      <c r="P311" s="193">
        <f t="shared" si="83"/>
        <v>39700</v>
      </c>
    </row>
    <row r="312" spans="1:16" ht="11.25" customHeight="1" x14ac:dyDescent="0.25">
      <c r="A312" s="473">
        <v>2001</v>
      </c>
      <c r="B312" s="193">
        <f t="shared" si="82"/>
        <v>10268</v>
      </c>
      <c r="C312" s="193">
        <f t="shared" si="82"/>
        <v>22606</v>
      </c>
      <c r="D312" s="193">
        <f t="shared" si="82"/>
        <v>12537</v>
      </c>
      <c r="E312" s="193">
        <f t="shared" si="82"/>
        <v>4735</v>
      </c>
      <c r="F312" s="193">
        <f t="shared" si="82"/>
        <v>4017</v>
      </c>
      <c r="G312" s="193" t="str">
        <f t="shared" si="82"/>
        <v>-</v>
      </c>
      <c r="H312" s="193">
        <f t="shared" si="82"/>
        <v>54163</v>
      </c>
      <c r="J312" s="193">
        <f t="shared" si="83"/>
        <v>0</v>
      </c>
      <c r="K312" s="193">
        <f t="shared" si="83"/>
        <v>12</v>
      </c>
      <c r="L312" s="193">
        <f t="shared" si="83"/>
        <v>12562</v>
      </c>
      <c r="M312" s="193">
        <f t="shared" si="83"/>
        <v>34024</v>
      </c>
      <c r="N312" s="193">
        <f t="shared" si="83"/>
        <v>27473</v>
      </c>
      <c r="O312" s="193" t="str">
        <f t="shared" si="83"/>
        <v>-</v>
      </c>
      <c r="P312" s="193">
        <f t="shared" si="83"/>
        <v>76040</v>
      </c>
    </row>
    <row r="313" spans="1:16" ht="11.25" customHeight="1" x14ac:dyDescent="0.25">
      <c r="A313" s="473">
        <v>2002</v>
      </c>
      <c r="B313" s="193">
        <f t="shared" si="82"/>
        <v>24600</v>
      </c>
      <c r="C313" s="193">
        <f t="shared" si="82"/>
        <v>25444</v>
      </c>
      <c r="D313" s="193">
        <f t="shared" si="82"/>
        <v>32446</v>
      </c>
      <c r="E313" s="193">
        <f t="shared" si="82"/>
        <v>20849</v>
      </c>
      <c r="F313" s="193">
        <f t="shared" si="82"/>
        <v>3123</v>
      </c>
      <c r="G313" s="193">
        <f t="shared" si="82"/>
        <v>30</v>
      </c>
      <c r="H313" s="193">
        <f t="shared" si="82"/>
        <v>106462</v>
      </c>
      <c r="J313" s="193">
        <f t="shared" si="83"/>
        <v>1</v>
      </c>
      <c r="K313" s="193">
        <f t="shared" si="83"/>
        <v>1</v>
      </c>
      <c r="L313" s="193">
        <f t="shared" si="83"/>
        <v>3449</v>
      </c>
      <c r="M313" s="193">
        <f t="shared" si="83"/>
        <v>6624</v>
      </c>
      <c r="N313" s="193">
        <f t="shared" si="83"/>
        <v>9042</v>
      </c>
      <c r="O313" s="193">
        <f t="shared" si="83"/>
        <v>80</v>
      </c>
      <c r="P313" s="193">
        <f t="shared" si="83"/>
        <v>19117</v>
      </c>
    </row>
    <row r="314" spans="1:16" ht="11.25" customHeight="1" x14ac:dyDescent="0.25">
      <c r="A314" s="477">
        <v>2003</v>
      </c>
      <c r="B314" s="193">
        <f t="shared" si="82"/>
        <v>26493</v>
      </c>
      <c r="C314" s="193">
        <f t="shared" si="82"/>
        <v>23128</v>
      </c>
      <c r="D314" s="193">
        <f t="shared" si="82"/>
        <v>29103</v>
      </c>
      <c r="E314" s="193">
        <f t="shared" si="82"/>
        <v>20048</v>
      </c>
      <c r="F314" s="193">
        <f t="shared" si="82"/>
        <v>2986</v>
      </c>
      <c r="G314" s="193">
        <f t="shared" si="82"/>
        <v>35</v>
      </c>
      <c r="H314" s="193">
        <f t="shared" si="82"/>
        <v>101758</v>
      </c>
      <c r="J314" s="193">
        <f t="shared" ref="J314:P314" si="84">IF(AND(J267="-",J220="-"),"-",SUM(J267,J220))</f>
        <v>3</v>
      </c>
      <c r="K314" s="193">
        <f t="shared" si="84"/>
        <v>0</v>
      </c>
      <c r="L314" s="193">
        <f t="shared" si="84"/>
        <v>9618</v>
      </c>
      <c r="M314" s="193">
        <f t="shared" si="84"/>
        <v>12200</v>
      </c>
      <c r="N314" s="193">
        <f t="shared" si="84"/>
        <v>4519</v>
      </c>
      <c r="O314" s="193">
        <f t="shared" si="84"/>
        <v>85</v>
      </c>
      <c r="P314" s="193">
        <f t="shared" si="84"/>
        <v>26340</v>
      </c>
    </row>
    <row r="315" spans="1:16" ht="11.25" customHeight="1" x14ac:dyDescent="0.25">
      <c r="A315" s="477">
        <v>2004</v>
      </c>
      <c r="B315" s="197">
        <f t="shared" si="82"/>
        <v>27141</v>
      </c>
      <c r="C315" s="197">
        <f t="shared" si="82"/>
        <v>18228</v>
      </c>
      <c r="D315" s="197">
        <f t="shared" si="82"/>
        <v>19109</v>
      </c>
      <c r="E315" s="197">
        <f t="shared" si="82"/>
        <v>16275</v>
      </c>
      <c r="F315" s="197">
        <f t="shared" si="82"/>
        <v>7472</v>
      </c>
      <c r="G315" s="197">
        <f t="shared" si="82"/>
        <v>25</v>
      </c>
      <c r="H315" s="197">
        <f t="shared" si="82"/>
        <v>88225</v>
      </c>
      <c r="I315" s="197"/>
      <c r="J315" s="197">
        <f t="shared" ref="J315:P315" si="85">IF(AND(J268="-",J221="-"),"-",SUM(J268,J221))</f>
        <v>3</v>
      </c>
      <c r="K315" s="197">
        <f t="shared" si="85"/>
        <v>3</v>
      </c>
      <c r="L315" s="197">
        <f t="shared" si="85"/>
        <v>19081</v>
      </c>
      <c r="M315" s="197">
        <f t="shared" si="85"/>
        <v>43044</v>
      </c>
      <c r="N315" s="197">
        <f t="shared" si="85"/>
        <v>22098</v>
      </c>
      <c r="O315" s="197">
        <f t="shared" si="85"/>
        <v>100</v>
      </c>
      <c r="P315" s="197">
        <f t="shared" si="85"/>
        <v>84229</v>
      </c>
    </row>
    <row r="316" spans="1:16" ht="11.25" customHeight="1" x14ac:dyDescent="0.25">
      <c r="A316" s="477">
        <v>2005</v>
      </c>
      <c r="B316" s="197">
        <f t="shared" si="82"/>
        <v>30525</v>
      </c>
      <c r="C316" s="197">
        <f t="shared" si="82"/>
        <v>21813</v>
      </c>
      <c r="D316" s="197">
        <f t="shared" si="82"/>
        <v>11609</v>
      </c>
      <c r="E316" s="197">
        <f t="shared" si="82"/>
        <v>19507</v>
      </c>
      <c r="F316" s="197">
        <f t="shared" si="82"/>
        <v>3672</v>
      </c>
      <c r="G316" s="197">
        <f t="shared" si="82"/>
        <v>0</v>
      </c>
      <c r="H316" s="197">
        <f t="shared" si="82"/>
        <v>87126</v>
      </c>
      <c r="I316" s="197"/>
      <c r="J316" s="197">
        <f t="shared" ref="J316:P316" si="86">IF(AND(J269="-",J222="-"),"-",SUM(J269,J222))</f>
        <v>3</v>
      </c>
      <c r="K316" s="197">
        <f t="shared" si="86"/>
        <v>1</v>
      </c>
      <c r="L316" s="197">
        <f t="shared" si="86"/>
        <v>4280</v>
      </c>
      <c r="M316" s="197">
        <f t="shared" si="86"/>
        <v>19485</v>
      </c>
      <c r="N316" s="197">
        <f t="shared" si="86"/>
        <v>4288</v>
      </c>
      <c r="O316" s="197">
        <f t="shared" si="86"/>
        <v>0</v>
      </c>
      <c r="P316" s="197">
        <f t="shared" si="86"/>
        <v>28057</v>
      </c>
    </row>
    <row r="317" spans="1:16" ht="11.25" customHeight="1" x14ac:dyDescent="0.25">
      <c r="A317" s="477">
        <v>2006</v>
      </c>
      <c r="B317" s="197">
        <f t="shared" ref="B317:H317" si="87">IF(AND(B270="-",B223="-"),"-",SUM(B270,B223))</f>
        <v>16469</v>
      </c>
      <c r="C317" s="197">
        <f t="shared" si="87"/>
        <v>15421</v>
      </c>
      <c r="D317" s="197">
        <f t="shared" si="87"/>
        <v>8810</v>
      </c>
      <c r="E317" s="197">
        <f t="shared" si="87"/>
        <v>10210</v>
      </c>
      <c r="F317" s="197">
        <f t="shared" si="87"/>
        <v>6893</v>
      </c>
      <c r="G317" s="197">
        <f t="shared" si="87"/>
        <v>15</v>
      </c>
      <c r="H317" s="197">
        <f t="shared" si="87"/>
        <v>57803</v>
      </c>
      <c r="I317" s="197"/>
      <c r="J317" s="197">
        <f t="shared" ref="J317:P317" si="88">IF(AND(J270="-",J223="-"),"-",SUM(J270,J223))</f>
        <v>16</v>
      </c>
      <c r="K317" s="197">
        <f t="shared" si="88"/>
        <v>102</v>
      </c>
      <c r="L317" s="197">
        <f t="shared" si="88"/>
        <v>10614</v>
      </c>
      <c r="M317" s="197">
        <f t="shared" si="88"/>
        <v>12394</v>
      </c>
      <c r="N317" s="197">
        <f t="shared" si="88"/>
        <v>11491</v>
      </c>
      <c r="O317" s="197">
        <f t="shared" si="88"/>
        <v>5</v>
      </c>
      <c r="P317" s="197">
        <f t="shared" si="88"/>
        <v>34617</v>
      </c>
    </row>
    <row r="318" spans="1:16" ht="11.25" customHeight="1" x14ac:dyDescent="0.25">
      <c r="A318" s="477">
        <v>2007</v>
      </c>
      <c r="B318" s="197">
        <f t="shared" ref="B318:H318" si="89">IF(AND(B271="-",B224="-"),"-",SUM(B271,B224))</f>
        <v>6959</v>
      </c>
      <c r="C318" s="197">
        <f t="shared" si="89"/>
        <v>19097</v>
      </c>
      <c r="D318" s="197">
        <f t="shared" si="89"/>
        <v>6966</v>
      </c>
      <c r="E318" s="197">
        <f t="shared" si="89"/>
        <v>5513</v>
      </c>
      <c r="F318" s="197">
        <f t="shared" si="89"/>
        <v>119</v>
      </c>
      <c r="G318" s="197">
        <f t="shared" si="89"/>
        <v>0</v>
      </c>
      <c r="H318" s="197">
        <f t="shared" si="89"/>
        <v>38654</v>
      </c>
      <c r="I318" s="197"/>
      <c r="J318" s="197">
        <f t="shared" ref="J318:P318" si="90">IF(AND(J271="-",J224="-"),"-",SUM(J271,J224))</f>
        <v>0</v>
      </c>
      <c r="K318" s="197">
        <f t="shared" si="90"/>
        <v>12</v>
      </c>
      <c r="L318" s="197">
        <f t="shared" si="90"/>
        <v>26087</v>
      </c>
      <c r="M318" s="197">
        <f t="shared" si="90"/>
        <v>30202</v>
      </c>
      <c r="N318" s="197">
        <f t="shared" si="90"/>
        <v>1177</v>
      </c>
      <c r="O318" s="197">
        <f t="shared" si="90"/>
        <v>0</v>
      </c>
      <c r="P318" s="197">
        <f t="shared" si="90"/>
        <v>57478</v>
      </c>
    </row>
    <row r="319" spans="1:16" ht="11.25" customHeight="1" x14ac:dyDescent="0.25">
      <c r="A319" s="477">
        <v>2008</v>
      </c>
      <c r="B319" s="197">
        <f t="shared" ref="B319:H319" si="91">IF(AND(B272="-",B225="-"),"-",SUM(B272,B225))</f>
        <v>4786</v>
      </c>
      <c r="C319" s="197">
        <f t="shared" si="91"/>
        <v>15569</v>
      </c>
      <c r="D319" s="197">
        <f t="shared" si="91"/>
        <v>3408</v>
      </c>
      <c r="E319" s="197">
        <f t="shared" si="91"/>
        <v>7353</v>
      </c>
      <c r="F319" s="197">
        <f t="shared" si="91"/>
        <v>3861</v>
      </c>
      <c r="G319" s="197">
        <f t="shared" si="91"/>
        <v>1</v>
      </c>
      <c r="H319" s="197">
        <f t="shared" si="91"/>
        <v>34977</v>
      </c>
      <c r="I319" s="197"/>
      <c r="J319" s="197">
        <f t="shared" ref="J319:P319" si="92">IF(AND(J272="-",J225="-"),"-",SUM(J272,J225))</f>
        <v>0</v>
      </c>
      <c r="K319" s="197">
        <f t="shared" si="92"/>
        <v>18</v>
      </c>
      <c r="L319" s="197">
        <f t="shared" si="92"/>
        <v>1269</v>
      </c>
      <c r="M319" s="197">
        <f t="shared" si="92"/>
        <v>4899</v>
      </c>
      <c r="N319" s="197">
        <f t="shared" si="92"/>
        <v>10218</v>
      </c>
      <c r="O319" s="197">
        <f t="shared" si="92"/>
        <v>0</v>
      </c>
      <c r="P319" s="197">
        <f t="shared" si="92"/>
        <v>16404</v>
      </c>
    </row>
    <row r="320" spans="1:16" ht="11.25" customHeight="1" x14ac:dyDescent="0.25">
      <c r="A320" s="477">
        <v>2009</v>
      </c>
      <c r="B320" s="197">
        <f t="shared" ref="B320:H320" si="93">IF(AND(B273="-",B226="-"),"-",SUM(B273,B226))</f>
        <v>7301</v>
      </c>
      <c r="C320" s="197">
        <f t="shared" si="93"/>
        <v>10204</v>
      </c>
      <c r="D320" s="197">
        <f t="shared" si="93"/>
        <v>4204</v>
      </c>
      <c r="E320" s="197">
        <f t="shared" si="93"/>
        <v>3409</v>
      </c>
      <c r="F320" s="197">
        <f t="shared" si="93"/>
        <v>136</v>
      </c>
      <c r="G320" s="197">
        <f t="shared" si="93"/>
        <v>25</v>
      </c>
      <c r="H320" s="197">
        <f t="shared" si="93"/>
        <v>25254</v>
      </c>
      <c r="I320" s="197"/>
      <c r="J320" s="197">
        <f t="shared" ref="J320:P320" si="94">IF(AND(J273="-",J226="-"),"-",SUM(J273,J226))</f>
        <v>0</v>
      </c>
      <c r="K320" s="197">
        <f t="shared" si="94"/>
        <v>0</v>
      </c>
      <c r="L320" s="197">
        <f t="shared" si="94"/>
        <v>39927</v>
      </c>
      <c r="M320" s="197">
        <f t="shared" si="94"/>
        <v>49547</v>
      </c>
      <c r="N320" s="197">
        <f t="shared" si="94"/>
        <v>3928</v>
      </c>
      <c r="O320" s="197">
        <f t="shared" si="94"/>
        <v>15</v>
      </c>
      <c r="P320" s="197">
        <f t="shared" si="94"/>
        <v>93402</v>
      </c>
    </row>
    <row r="321" spans="1:16" ht="11.25" customHeight="1" x14ac:dyDescent="0.25">
      <c r="A321" s="477">
        <v>2010</v>
      </c>
      <c r="B321" s="197">
        <f t="shared" ref="B321:H321" si="95">IF(AND(B274="-",B227="-"),"-",SUM(B274,B227))</f>
        <v>10935</v>
      </c>
      <c r="C321" s="197">
        <f t="shared" si="95"/>
        <v>41364</v>
      </c>
      <c r="D321" s="197">
        <f t="shared" si="95"/>
        <v>15345</v>
      </c>
      <c r="E321" s="197">
        <f t="shared" si="95"/>
        <v>18854</v>
      </c>
      <c r="F321" s="197">
        <f t="shared" si="95"/>
        <v>2097</v>
      </c>
      <c r="G321" s="197">
        <f t="shared" si="95"/>
        <v>10</v>
      </c>
      <c r="H321" s="197">
        <f t="shared" si="95"/>
        <v>88595</v>
      </c>
      <c r="I321" s="197"/>
      <c r="J321" s="197">
        <f t="shared" ref="J321:P321" si="96">IF(AND(J274="-",J227="-"),"-",SUM(J274,J227))</f>
        <v>2</v>
      </c>
      <c r="K321" s="197">
        <f t="shared" si="96"/>
        <v>63</v>
      </c>
      <c r="L321" s="197">
        <f t="shared" si="96"/>
        <v>3836</v>
      </c>
      <c r="M321" s="197">
        <f t="shared" si="96"/>
        <v>6208</v>
      </c>
      <c r="N321" s="197">
        <f t="shared" si="96"/>
        <v>4496</v>
      </c>
      <c r="O321" s="197">
        <f t="shared" si="96"/>
        <v>15</v>
      </c>
      <c r="P321" s="197">
        <f t="shared" si="96"/>
        <v>14605</v>
      </c>
    </row>
    <row r="322" spans="1:16" ht="11.25" customHeight="1" x14ac:dyDescent="0.25">
      <c r="A322" s="477">
        <v>2011</v>
      </c>
      <c r="B322" s="197">
        <f t="shared" ref="B322:H322" si="97">IF(AND(B275="-",B228="-"),"-",SUM(B275,B228))</f>
        <v>10331</v>
      </c>
      <c r="C322" s="197">
        <f t="shared" si="97"/>
        <v>20075</v>
      </c>
      <c r="D322" s="197">
        <f t="shared" si="97"/>
        <v>20891</v>
      </c>
      <c r="E322" s="197">
        <f t="shared" si="97"/>
        <v>9479</v>
      </c>
      <c r="F322" s="197">
        <f t="shared" si="97"/>
        <v>786</v>
      </c>
      <c r="G322" s="197">
        <f t="shared" si="97"/>
        <v>0</v>
      </c>
      <c r="H322" s="197">
        <f t="shared" si="97"/>
        <v>61562</v>
      </c>
      <c r="I322" s="197"/>
      <c r="J322" s="197">
        <f t="shared" ref="J322:P322" si="98">IF(AND(J275="-",J228="-"),"-",SUM(J275,J228))</f>
        <v>0</v>
      </c>
      <c r="K322" s="197">
        <f t="shared" si="98"/>
        <v>0</v>
      </c>
      <c r="L322" s="197">
        <f t="shared" si="98"/>
        <v>3927</v>
      </c>
      <c r="M322" s="197">
        <f t="shared" si="98"/>
        <v>5855</v>
      </c>
      <c r="N322" s="197">
        <f t="shared" si="98"/>
        <v>7299</v>
      </c>
      <c r="O322" s="197">
        <f t="shared" si="98"/>
        <v>0</v>
      </c>
      <c r="P322" s="197">
        <f t="shared" si="98"/>
        <v>17081</v>
      </c>
    </row>
    <row r="323" spans="1:16" ht="11.25" customHeight="1" x14ac:dyDescent="0.25">
      <c r="A323" s="477">
        <v>2012</v>
      </c>
      <c r="B323" s="197">
        <f t="shared" ref="B323:H323" si="99">IF(AND(B276="-",B229="-"),"-",SUM(B276,B229))</f>
        <v>16128</v>
      </c>
      <c r="C323" s="197">
        <f t="shared" si="99"/>
        <v>38120</v>
      </c>
      <c r="D323" s="197">
        <f t="shared" si="99"/>
        <v>15732</v>
      </c>
      <c r="E323" s="197">
        <f t="shared" si="99"/>
        <v>21197</v>
      </c>
      <c r="F323" s="197">
        <f t="shared" si="99"/>
        <v>8911</v>
      </c>
      <c r="G323" s="197">
        <f t="shared" si="99"/>
        <v>10</v>
      </c>
      <c r="H323" s="197">
        <f t="shared" si="99"/>
        <v>100088</v>
      </c>
      <c r="I323" s="197"/>
      <c r="J323" s="197">
        <f t="shared" ref="J323:P323" si="100">IF(AND(J276="-",J229="-"),"-",SUM(J276,J229))</f>
        <v>1</v>
      </c>
      <c r="K323" s="197">
        <f t="shared" si="100"/>
        <v>101</v>
      </c>
      <c r="L323" s="197">
        <f t="shared" si="100"/>
        <v>3576</v>
      </c>
      <c r="M323" s="197">
        <f t="shared" si="100"/>
        <v>19943</v>
      </c>
      <c r="N323" s="197">
        <f t="shared" si="100"/>
        <v>17801</v>
      </c>
      <c r="O323" s="197">
        <f t="shared" si="100"/>
        <v>0</v>
      </c>
      <c r="P323" s="197">
        <f t="shared" si="100"/>
        <v>41422</v>
      </c>
    </row>
    <row r="324" spans="1:16" ht="11.25" customHeight="1" x14ac:dyDescent="0.25">
      <c r="A324" s="477">
        <v>2013</v>
      </c>
      <c r="B324" s="197">
        <f t="shared" ref="B324:H324" si="101">IF(AND(B277="-",B230="-"),"-",SUM(B277,B230))</f>
        <v>22950</v>
      </c>
      <c r="C324" s="197">
        <f t="shared" si="101"/>
        <v>32013</v>
      </c>
      <c r="D324" s="197">
        <f t="shared" si="101"/>
        <v>17304</v>
      </c>
      <c r="E324" s="197">
        <f t="shared" si="101"/>
        <v>16903</v>
      </c>
      <c r="F324" s="197">
        <f t="shared" si="101"/>
        <v>4025</v>
      </c>
      <c r="G324" s="197">
        <f t="shared" si="101"/>
        <v>0</v>
      </c>
      <c r="H324" s="197">
        <f t="shared" si="101"/>
        <v>93195</v>
      </c>
      <c r="I324" s="197"/>
      <c r="J324" s="197">
        <f t="shared" ref="J324:P324" si="102">IF(AND(J277="-",J230="-"),"-",SUM(J277,J230))</f>
        <v>0</v>
      </c>
      <c r="K324" s="197">
        <f t="shared" si="102"/>
        <v>7</v>
      </c>
      <c r="L324" s="197">
        <f t="shared" si="102"/>
        <v>9681</v>
      </c>
      <c r="M324" s="197">
        <f t="shared" si="102"/>
        <v>40302</v>
      </c>
      <c r="N324" s="197">
        <f t="shared" si="102"/>
        <v>4771</v>
      </c>
      <c r="O324" s="197">
        <f t="shared" si="102"/>
        <v>0</v>
      </c>
      <c r="P324" s="197">
        <f t="shared" si="102"/>
        <v>54761</v>
      </c>
    </row>
    <row r="325" spans="1:16" ht="11.25" customHeight="1" x14ac:dyDescent="0.25">
      <c r="A325" s="477">
        <v>2014</v>
      </c>
      <c r="B325" s="197">
        <f t="shared" ref="B325:H325" si="103">IF(AND(B278="-",B231="-"),"-",SUM(B278,B231))</f>
        <v>45638</v>
      </c>
      <c r="C325" s="197">
        <f t="shared" si="103"/>
        <v>20837</v>
      </c>
      <c r="D325" s="197">
        <f t="shared" si="103"/>
        <v>31621</v>
      </c>
      <c r="E325" s="197">
        <f t="shared" si="103"/>
        <v>14929</v>
      </c>
      <c r="F325" s="197">
        <f t="shared" si="103"/>
        <v>3625</v>
      </c>
      <c r="G325" s="197">
        <f t="shared" si="103"/>
        <v>0</v>
      </c>
      <c r="H325" s="197">
        <f t="shared" si="103"/>
        <v>116650</v>
      </c>
      <c r="I325" s="197"/>
      <c r="J325" s="197">
        <f t="shared" ref="J325:P325" si="104">IF(AND(J278="-",J231="-"),"-",SUM(J278,J231))</f>
        <v>0</v>
      </c>
      <c r="K325" s="197">
        <f t="shared" si="104"/>
        <v>30</v>
      </c>
      <c r="L325" s="197">
        <f t="shared" si="104"/>
        <v>16274</v>
      </c>
      <c r="M325" s="197">
        <f t="shared" si="104"/>
        <v>47673</v>
      </c>
      <c r="N325" s="197">
        <f t="shared" si="104"/>
        <v>15167</v>
      </c>
      <c r="O325" s="197">
        <f t="shared" si="104"/>
        <v>0</v>
      </c>
      <c r="P325" s="197">
        <f t="shared" si="104"/>
        <v>79144</v>
      </c>
    </row>
    <row r="326" spans="1:16" ht="11.25" customHeight="1" x14ac:dyDescent="0.25">
      <c r="A326" s="477">
        <v>2015</v>
      </c>
      <c r="B326" s="197">
        <f t="shared" ref="B326:H326" si="105">IF(AND(B279="-",B232="-"),"-",SUM(B279,B232))</f>
        <v>29724</v>
      </c>
      <c r="C326" s="197">
        <f t="shared" si="105"/>
        <v>40282</v>
      </c>
      <c r="D326" s="197">
        <f t="shared" si="105"/>
        <v>37109</v>
      </c>
      <c r="E326" s="197">
        <f t="shared" si="105"/>
        <v>14899</v>
      </c>
      <c r="F326" s="197">
        <f t="shared" si="105"/>
        <v>3120</v>
      </c>
      <c r="G326" s="197">
        <f t="shared" si="105"/>
        <v>0</v>
      </c>
      <c r="H326" s="197">
        <f t="shared" si="105"/>
        <v>125134</v>
      </c>
      <c r="I326" s="197"/>
      <c r="J326" s="197">
        <f t="shared" ref="J326:P326" si="106">IF(AND(J279="-",J232="-"),"-",SUM(J279,J232))</f>
        <v>0</v>
      </c>
      <c r="K326" s="197">
        <f t="shared" si="106"/>
        <v>3</v>
      </c>
      <c r="L326" s="197">
        <f t="shared" si="106"/>
        <v>3050</v>
      </c>
      <c r="M326" s="197">
        <f t="shared" si="106"/>
        <v>2887</v>
      </c>
      <c r="N326" s="197">
        <f t="shared" si="106"/>
        <v>3155</v>
      </c>
      <c r="O326" s="197">
        <f t="shared" si="106"/>
        <v>0</v>
      </c>
      <c r="P326" s="197">
        <f t="shared" si="106"/>
        <v>9095</v>
      </c>
    </row>
    <row r="327" spans="1:16" ht="11.25" customHeight="1" x14ac:dyDescent="0.25">
      <c r="A327" s="477">
        <v>2016</v>
      </c>
      <c r="B327" s="197">
        <f t="shared" ref="B327:H327" si="107">IF(AND(B280="-",B233="-"),"-",SUM(B280,B233))</f>
        <v>10514</v>
      </c>
      <c r="C327" s="197">
        <f t="shared" si="107"/>
        <v>18805</v>
      </c>
      <c r="D327" s="197">
        <f t="shared" si="107"/>
        <v>8882</v>
      </c>
      <c r="E327" s="197">
        <f t="shared" si="107"/>
        <v>4297</v>
      </c>
      <c r="F327" s="197">
        <f t="shared" si="107"/>
        <v>5</v>
      </c>
      <c r="G327" s="197">
        <f t="shared" si="107"/>
        <v>0</v>
      </c>
      <c r="H327" s="197">
        <f t="shared" si="107"/>
        <v>42503</v>
      </c>
      <c r="I327" s="197"/>
      <c r="J327" s="197">
        <f t="shared" ref="J327:P327" si="108">IF(AND(J280="-",J233="-"),"-",SUM(J280,J233))</f>
        <v>0</v>
      </c>
      <c r="K327" s="197">
        <f t="shared" si="108"/>
        <v>0</v>
      </c>
      <c r="L327" s="197">
        <f t="shared" si="108"/>
        <v>29</v>
      </c>
      <c r="M327" s="197">
        <f t="shared" si="108"/>
        <v>15</v>
      </c>
      <c r="N327" s="197">
        <f t="shared" si="108"/>
        <v>0</v>
      </c>
      <c r="O327" s="197">
        <f t="shared" si="108"/>
        <v>1</v>
      </c>
      <c r="P327" s="197">
        <f t="shared" si="108"/>
        <v>44</v>
      </c>
    </row>
    <row r="328" spans="1:16" ht="11.25" customHeight="1" x14ac:dyDescent="0.25">
      <c r="A328" s="477">
        <v>2017</v>
      </c>
      <c r="B328" s="197">
        <f t="shared" ref="B328:H328" si="109">IF(AND(B281="-",B234="-"),"-",SUM(B281,B234))</f>
        <v>15837</v>
      </c>
      <c r="C328" s="197">
        <f t="shared" si="109"/>
        <v>10159</v>
      </c>
      <c r="D328" s="197">
        <f t="shared" si="109"/>
        <v>21602</v>
      </c>
      <c r="E328" s="197">
        <f t="shared" si="109"/>
        <v>10522</v>
      </c>
      <c r="F328" s="197">
        <f t="shared" si="109"/>
        <v>1854</v>
      </c>
      <c r="G328" s="197">
        <f t="shared" si="109"/>
        <v>0</v>
      </c>
      <c r="H328" s="197">
        <f t="shared" si="109"/>
        <v>59974</v>
      </c>
      <c r="I328" s="197"/>
      <c r="J328" s="197">
        <f t="shared" ref="J328:P328" si="110">IF(AND(J281="-",J234="-"),"-",SUM(J281,J234))</f>
        <v>0</v>
      </c>
      <c r="K328" s="197">
        <f t="shared" si="110"/>
        <v>0</v>
      </c>
      <c r="L328" s="197">
        <f t="shared" si="110"/>
        <v>1250</v>
      </c>
      <c r="M328" s="197">
        <f t="shared" si="110"/>
        <v>8224</v>
      </c>
      <c r="N328" s="197">
        <f t="shared" si="110"/>
        <v>5714</v>
      </c>
      <c r="O328" s="197">
        <f t="shared" si="110"/>
        <v>0</v>
      </c>
      <c r="P328" s="197">
        <f t="shared" si="110"/>
        <v>15188</v>
      </c>
    </row>
    <row r="329" spans="1:16" s="358" customFormat="1" ht="11.25" customHeight="1" x14ac:dyDescent="0.25">
      <c r="A329" s="157">
        <v>2018</v>
      </c>
      <c r="B329" s="197">
        <f t="shared" ref="B329:H329" si="111">IF(AND(B282="-",B235="-"),"-",SUM(B282,B235))</f>
        <v>8008</v>
      </c>
      <c r="C329" s="197">
        <f t="shared" si="111"/>
        <v>21035</v>
      </c>
      <c r="D329" s="197">
        <f t="shared" si="111"/>
        <v>13954</v>
      </c>
      <c r="E329" s="197">
        <f t="shared" si="111"/>
        <v>3623</v>
      </c>
      <c r="F329" s="197">
        <f t="shared" si="111"/>
        <v>1172</v>
      </c>
      <c r="G329" s="197">
        <f t="shared" si="111"/>
        <v>0</v>
      </c>
      <c r="H329" s="197">
        <f t="shared" si="111"/>
        <v>47792</v>
      </c>
      <c r="I329" s="197"/>
      <c r="J329" s="197">
        <f t="shared" ref="J329:P329" si="112">IF(AND(J282="-",J235="-"),"-",SUM(J282,J235))</f>
        <v>0</v>
      </c>
      <c r="K329" s="197">
        <f t="shared" si="112"/>
        <v>15</v>
      </c>
      <c r="L329" s="197">
        <f t="shared" si="112"/>
        <v>2206</v>
      </c>
      <c r="M329" s="197">
        <f t="shared" si="112"/>
        <v>6053</v>
      </c>
      <c r="N329" s="197">
        <f t="shared" si="112"/>
        <v>4912</v>
      </c>
      <c r="O329" s="197">
        <f t="shared" si="112"/>
        <v>0</v>
      </c>
      <c r="P329" s="197">
        <f t="shared" si="112"/>
        <v>13186</v>
      </c>
    </row>
    <row r="330" spans="1:16" s="358" customFormat="1" ht="11.25" customHeight="1" x14ac:dyDescent="0.25">
      <c r="A330" s="157">
        <v>2019</v>
      </c>
      <c r="B330" s="197">
        <f>IF(AND(B283="-",B236="-"),"-",SUM(B283,B236))</f>
        <v>4727</v>
      </c>
      <c r="C330" s="197">
        <f t="shared" ref="C330:H331" si="113">IF(AND(C283="-",C236="-"),"-",SUM(C283,C236))</f>
        <v>5190</v>
      </c>
      <c r="D330" s="197">
        <f t="shared" si="113"/>
        <v>24078</v>
      </c>
      <c r="E330" s="197">
        <f t="shared" si="113"/>
        <v>5551</v>
      </c>
      <c r="F330" s="197">
        <f t="shared" si="113"/>
        <v>2059</v>
      </c>
      <c r="G330" s="197">
        <f t="shared" si="113"/>
        <v>0</v>
      </c>
      <c r="H330" s="197">
        <f t="shared" si="113"/>
        <v>41605</v>
      </c>
      <c r="I330" s="197"/>
      <c r="J330" s="197">
        <f t="shared" ref="J330:P331" si="114">IF(AND(J283="-",J236="-"),"-",SUM(J283,J236))</f>
        <v>0</v>
      </c>
      <c r="K330" s="197">
        <f t="shared" si="114"/>
        <v>0</v>
      </c>
      <c r="L330" s="197">
        <f t="shared" si="114"/>
        <v>17081</v>
      </c>
      <c r="M330" s="197">
        <f t="shared" si="114"/>
        <v>35278</v>
      </c>
      <c r="N330" s="197">
        <f t="shared" si="114"/>
        <v>8555</v>
      </c>
      <c r="O330" s="197">
        <f t="shared" si="114"/>
        <v>0</v>
      </c>
      <c r="P330" s="197">
        <f t="shared" si="114"/>
        <v>60914</v>
      </c>
    </row>
    <row r="331" spans="1:16" ht="11.25" customHeight="1" x14ac:dyDescent="0.25">
      <c r="A331" s="157" t="s">
        <v>393</v>
      </c>
      <c r="B331" s="32">
        <f>IF(AND(B284="-",B237="-"),"-",SUM(B284,B237))</f>
        <v>717</v>
      </c>
      <c r="C331" s="32">
        <f t="shared" si="113"/>
        <v>1366</v>
      </c>
      <c r="D331" s="32">
        <f t="shared" si="113"/>
        <v>7948</v>
      </c>
      <c r="E331" s="32">
        <f t="shared" si="113"/>
        <v>4680</v>
      </c>
      <c r="F331" s="32">
        <f t="shared" si="113"/>
        <v>226</v>
      </c>
      <c r="G331" s="32">
        <f t="shared" si="113"/>
        <v>0</v>
      </c>
      <c r="H331" s="32">
        <f t="shared" si="113"/>
        <v>14937</v>
      </c>
      <c r="I331" s="32"/>
      <c r="J331" s="32">
        <f t="shared" si="114"/>
        <v>0</v>
      </c>
      <c r="K331" s="32">
        <f t="shared" si="114"/>
        <v>0</v>
      </c>
      <c r="L331" s="32">
        <f t="shared" si="114"/>
        <v>872</v>
      </c>
      <c r="M331" s="32">
        <f t="shared" si="114"/>
        <v>11242</v>
      </c>
      <c r="N331" s="32">
        <f t="shared" si="114"/>
        <v>3043</v>
      </c>
      <c r="O331" s="32">
        <f t="shared" si="114"/>
        <v>0</v>
      </c>
      <c r="P331" s="32">
        <f t="shared" si="114"/>
        <v>15157</v>
      </c>
    </row>
    <row r="332" spans="1:16" ht="11.25" customHeight="1" x14ac:dyDescent="0.25">
      <c r="A332" s="476" t="s">
        <v>98</v>
      </c>
      <c r="B332" s="476"/>
      <c r="C332" s="476"/>
      <c r="D332" s="476"/>
      <c r="E332" s="476"/>
      <c r="F332" s="476"/>
      <c r="G332" s="476"/>
      <c r="H332" s="476"/>
      <c r="I332" s="476"/>
      <c r="J332" s="476"/>
      <c r="K332" s="476"/>
      <c r="L332" s="476"/>
      <c r="M332" s="476"/>
      <c r="N332" s="476"/>
      <c r="O332" s="476"/>
      <c r="P332" s="476"/>
    </row>
    <row r="333" spans="1:16" ht="11.25" customHeight="1" x14ac:dyDescent="0.25">
      <c r="A333" s="468" t="s">
        <v>48</v>
      </c>
      <c r="B333" s="468"/>
      <c r="C333" s="468"/>
      <c r="D333" s="468"/>
      <c r="E333" s="468"/>
      <c r="F333" s="468"/>
      <c r="G333" s="468"/>
      <c r="H333" s="468"/>
      <c r="I333" s="468"/>
      <c r="J333" s="468"/>
      <c r="K333" s="468"/>
      <c r="L333" s="468"/>
      <c r="M333" s="468"/>
      <c r="N333" s="468"/>
      <c r="O333" s="468"/>
      <c r="P333" s="468"/>
    </row>
    <row r="334" spans="1:16" ht="11.25" customHeight="1" x14ac:dyDescent="0.25">
      <c r="A334" s="468" t="s">
        <v>17</v>
      </c>
      <c r="B334" s="468"/>
      <c r="C334" s="468"/>
      <c r="D334" s="468"/>
      <c r="E334" s="468"/>
      <c r="F334" s="468"/>
      <c r="G334" s="468"/>
      <c r="H334" s="468"/>
      <c r="I334" s="468"/>
      <c r="J334" s="468"/>
      <c r="K334" s="468"/>
      <c r="L334" s="468"/>
      <c r="M334" s="468"/>
      <c r="N334" s="468"/>
      <c r="O334" s="468"/>
      <c r="P334" s="468"/>
    </row>
    <row r="335" spans="1:16" ht="11.25" customHeight="1" x14ac:dyDescent="0.25"/>
    <row r="336" spans="1:16" ht="11.25" customHeight="1" x14ac:dyDescent="0.25"/>
    <row r="337" spans="1:16" ht="11.25" customHeight="1" x14ac:dyDescent="0.25"/>
    <row r="338" spans="1:16" ht="11.25" customHeight="1" x14ac:dyDescent="0.25"/>
    <row r="339" spans="1:16" ht="11.25" customHeight="1" x14ac:dyDescent="0.25"/>
    <row r="340" spans="1:16" ht="11.25" customHeight="1" x14ac:dyDescent="0.25"/>
    <row r="341" spans="1:16" ht="11.25" customHeight="1" x14ac:dyDescent="0.25">
      <c r="A341" s="240"/>
      <c r="B341" s="242"/>
      <c r="C341" s="242"/>
      <c r="D341" s="242"/>
      <c r="E341" s="242"/>
      <c r="F341" s="242"/>
      <c r="G341" s="242"/>
      <c r="H341" s="242"/>
      <c r="I341" s="242"/>
      <c r="J341" s="242"/>
      <c r="K341" s="242"/>
      <c r="L341" s="242"/>
      <c r="M341" s="242"/>
      <c r="N341" s="242"/>
      <c r="O341" s="242"/>
      <c r="P341" s="242"/>
    </row>
    <row r="342" spans="1:16" ht="14.65" customHeight="1" x14ac:dyDescent="0.25">
      <c r="A342" s="523" t="s">
        <v>380</v>
      </c>
      <c r="B342" s="523"/>
      <c r="C342" s="523"/>
      <c r="D342" s="523"/>
      <c r="E342" s="523"/>
      <c r="F342" s="523"/>
      <c r="G342" s="523"/>
      <c r="H342" s="523"/>
      <c r="I342" s="523"/>
      <c r="J342" s="523"/>
      <c r="K342" s="523"/>
      <c r="L342" s="523"/>
      <c r="M342" s="523"/>
      <c r="N342" s="523"/>
      <c r="O342" s="523"/>
      <c r="P342" s="523"/>
    </row>
    <row r="343" spans="1:16" ht="11.25" customHeight="1" x14ac:dyDescent="0.25">
      <c r="A343" s="469" t="s">
        <v>33</v>
      </c>
      <c r="B343" s="58" t="s">
        <v>35</v>
      </c>
      <c r="C343" s="58" t="s">
        <v>36</v>
      </c>
      <c r="D343" s="58" t="s">
        <v>99</v>
      </c>
      <c r="E343" s="58" t="s">
        <v>100</v>
      </c>
      <c r="F343" s="58" t="s">
        <v>39</v>
      </c>
      <c r="G343" s="58" t="s">
        <v>40</v>
      </c>
      <c r="H343" s="58" t="s">
        <v>28</v>
      </c>
      <c r="I343" s="58"/>
      <c r="J343" s="58" t="s">
        <v>35</v>
      </c>
      <c r="K343" s="58" t="s">
        <v>36</v>
      </c>
      <c r="L343" s="58" t="s">
        <v>101</v>
      </c>
      <c r="M343" s="58" t="s">
        <v>102</v>
      </c>
      <c r="N343" s="58" t="s">
        <v>39</v>
      </c>
      <c r="O343" s="58" t="s">
        <v>40</v>
      </c>
      <c r="P343" s="58" t="s">
        <v>28</v>
      </c>
    </row>
    <row r="344" spans="1:16" ht="11.25" customHeight="1" x14ac:dyDescent="0.25">
      <c r="B344" s="583" t="s">
        <v>67</v>
      </c>
      <c r="C344" s="583"/>
      <c r="D344" s="583"/>
      <c r="E344" s="583"/>
      <c r="F344" s="583"/>
      <c r="G344" s="583"/>
      <c r="H344" s="583"/>
      <c r="I344" s="19"/>
      <c r="J344" s="583" t="s">
        <v>68</v>
      </c>
      <c r="K344" s="583"/>
      <c r="L344" s="583"/>
      <c r="M344" s="583"/>
      <c r="N344" s="583"/>
      <c r="O344" s="583"/>
      <c r="P344" s="583"/>
    </row>
    <row r="345" spans="1:16" ht="11.25" customHeight="1" x14ac:dyDescent="0.25">
      <c r="A345" s="116" t="s">
        <v>95</v>
      </c>
    </row>
    <row r="346" spans="1:16" ht="11.25" customHeight="1" x14ac:dyDescent="0.25">
      <c r="A346" s="473" t="s">
        <v>30</v>
      </c>
      <c r="B346" s="200">
        <f>AVERAGE(B10:B14)</f>
        <v>25195</v>
      </c>
      <c r="C346" s="200">
        <f t="shared" ref="C346:H346" si="115">AVERAGE(C10:C14)</f>
        <v>3441.75</v>
      </c>
      <c r="D346" s="200">
        <f t="shared" si="115"/>
        <v>24381.25</v>
      </c>
      <c r="E346" s="200">
        <f t="shared" si="115"/>
        <v>4671</v>
      </c>
      <c r="F346" s="200">
        <f t="shared" si="115"/>
        <v>31</v>
      </c>
      <c r="G346" s="200" t="s">
        <v>29</v>
      </c>
      <c r="H346" s="200">
        <f t="shared" si="115"/>
        <v>52130.6</v>
      </c>
      <c r="I346" s="200"/>
      <c r="J346" s="200" t="s">
        <v>29</v>
      </c>
      <c r="K346" s="200" t="s">
        <v>29</v>
      </c>
      <c r="L346" s="200">
        <f>AVERAGE(L10:L14)</f>
        <v>117949.75</v>
      </c>
      <c r="M346" s="200">
        <f>AVERAGE(M10:M14)</f>
        <v>25994</v>
      </c>
      <c r="N346" s="200">
        <f>AVERAGE(N10:N14)</f>
        <v>99.5</v>
      </c>
      <c r="O346" s="200" t="s">
        <v>29</v>
      </c>
      <c r="P346" s="200">
        <f>AVERAGE(P10:P14)</f>
        <v>120393.60000000001</v>
      </c>
    </row>
    <row r="347" spans="1:16" ht="11.25" customHeight="1" x14ac:dyDescent="0.25">
      <c r="A347" s="473" t="s">
        <v>87</v>
      </c>
      <c r="B347" s="200">
        <f>AVERAGE(B15:B19)</f>
        <v>27081.200000000001</v>
      </c>
      <c r="C347" s="200">
        <f t="shared" ref="C347:H347" si="116">AVERAGE(C15:C19)</f>
        <v>11293.75</v>
      </c>
      <c r="D347" s="200">
        <f t="shared" si="116"/>
        <v>8913.5</v>
      </c>
      <c r="E347" s="200">
        <f t="shared" si="116"/>
        <v>1811.25</v>
      </c>
      <c r="F347" s="200">
        <f t="shared" si="116"/>
        <v>11</v>
      </c>
      <c r="G347" s="200" t="s">
        <v>29</v>
      </c>
      <c r="H347" s="200">
        <f t="shared" si="116"/>
        <v>41132.800000000003</v>
      </c>
      <c r="I347" s="200"/>
      <c r="J347" s="200" t="s">
        <v>29</v>
      </c>
      <c r="K347" s="200" t="s">
        <v>29</v>
      </c>
      <c r="L347" s="200">
        <f>AVERAGE(L15:L19)</f>
        <v>18447</v>
      </c>
      <c r="M347" s="200">
        <f>AVERAGE(M15:M19)</f>
        <v>34981.25</v>
      </c>
      <c r="N347" s="200">
        <f>AVERAGE(N15:N19)</f>
        <v>16</v>
      </c>
      <c r="O347" s="200" t="s">
        <v>29</v>
      </c>
      <c r="P347" s="200">
        <f>AVERAGE(P15:P19)</f>
        <v>35367</v>
      </c>
    </row>
    <row r="348" spans="1:16" ht="11.25" customHeight="1" x14ac:dyDescent="0.25">
      <c r="A348" s="473" t="s">
        <v>14</v>
      </c>
      <c r="B348" s="200">
        <f>AVERAGE(B20:B24)</f>
        <v>15856.666666666666</v>
      </c>
      <c r="C348" s="200">
        <f t="shared" ref="C348:P348" si="117">AVERAGE(C20:C24)</f>
        <v>11859</v>
      </c>
      <c r="D348" s="200">
        <f t="shared" si="117"/>
        <v>3928.5</v>
      </c>
      <c r="E348" s="200">
        <f t="shared" si="117"/>
        <v>1278.75</v>
      </c>
      <c r="F348" s="200">
        <f t="shared" si="117"/>
        <v>1117.5</v>
      </c>
      <c r="G348" s="200" t="s">
        <v>29</v>
      </c>
      <c r="H348" s="200">
        <f t="shared" si="117"/>
        <v>24588.5</v>
      </c>
      <c r="I348" s="200"/>
      <c r="J348" s="200" t="s">
        <v>29</v>
      </c>
      <c r="K348" s="200" t="s">
        <v>29</v>
      </c>
      <c r="L348" s="200">
        <f t="shared" si="117"/>
        <v>7118.5</v>
      </c>
      <c r="M348" s="200">
        <f t="shared" si="117"/>
        <v>13591.5</v>
      </c>
      <c r="N348" s="200">
        <f t="shared" si="117"/>
        <v>8241.6666666666661</v>
      </c>
      <c r="O348" s="200" t="s">
        <v>29</v>
      </c>
      <c r="P348" s="200">
        <f t="shared" si="117"/>
        <v>23332</v>
      </c>
    </row>
    <row r="349" spans="1:16" ht="11.25" customHeight="1" x14ac:dyDescent="0.25">
      <c r="A349" s="473" t="s">
        <v>207</v>
      </c>
      <c r="B349" s="200">
        <f>AVERAGE(B25:B29)</f>
        <v>5246.5</v>
      </c>
      <c r="C349" s="200">
        <f t="shared" ref="C349:P349" si="118">AVERAGE(C25:C29)</f>
        <v>2897</v>
      </c>
      <c r="D349" s="200">
        <f t="shared" si="118"/>
        <v>4030</v>
      </c>
      <c r="E349" s="200">
        <f t="shared" si="118"/>
        <v>1456</v>
      </c>
      <c r="F349" s="200">
        <f t="shared" si="118"/>
        <v>3</v>
      </c>
      <c r="G349" s="200" t="s">
        <v>29</v>
      </c>
      <c r="H349" s="200">
        <f t="shared" si="118"/>
        <v>9879.75</v>
      </c>
      <c r="I349" s="200"/>
      <c r="J349" s="200" t="s">
        <v>29</v>
      </c>
      <c r="K349" s="200" t="s">
        <v>29</v>
      </c>
      <c r="L349" s="200">
        <f t="shared" si="118"/>
        <v>3905</v>
      </c>
      <c r="M349" s="200">
        <f t="shared" si="118"/>
        <v>5207</v>
      </c>
      <c r="N349" s="200">
        <f t="shared" si="118"/>
        <v>193</v>
      </c>
      <c r="O349" s="200" t="s">
        <v>29</v>
      </c>
      <c r="P349" s="200">
        <f t="shared" si="118"/>
        <v>7939</v>
      </c>
    </row>
    <row r="350" spans="1:16" ht="11.25" customHeight="1" x14ac:dyDescent="0.25">
      <c r="A350" s="473" t="s">
        <v>238</v>
      </c>
      <c r="B350" s="200">
        <f>AVERAGE(B30:B34)</f>
        <v>15314</v>
      </c>
      <c r="C350" s="200">
        <f>AVERAGE(C30:C34)</f>
        <v>6071.6</v>
      </c>
      <c r="D350" s="200">
        <f>AVERAGE(D30:D34)</f>
        <v>9696.6</v>
      </c>
      <c r="E350" s="200">
        <f>AVERAGE(E30:E34)</f>
        <v>7328.2</v>
      </c>
      <c r="F350" s="200">
        <f>AVERAGE(F30:F34)</f>
        <v>1057.3333333333333</v>
      </c>
      <c r="G350" s="200" t="str">
        <f>G30</f>
        <v>-</v>
      </c>
      <c r="H350" s="200">
        <f>AVERAGE(H30:H34)</f>
        <v>39044.800000000003</v>
      </c>
      <c r="I350" s="200"/>
      <c r="J350" s="200" t="str">
        <f t="shared" ref="J350:O350" si="119">J30</f>
        <v>-</v>
      </c>
      <c r="K350" s="200" t="str">
        <f t="shared" si="119"/>
        <v>-</v>
      </c>
      <c r="L350" s="200">
        <f>AVERAGE(L30:L34)</f>
        <v>1829</v>
      </c>
      <c r="M350" s="200">
        <f>AVERAGE(M30:M34)</f>
        <v>2233.6</v>
      </c>
      <c r="N350" s="200">
        <f>AVERAGE(N30:N34)</f>
        <v>2905.6666666666665</v>
      </c>
      <c r="O350" s="200" t="str">
        <f t="shared" si="119"/>
        <v>-</v>
      </c>
      <c r="P350" s="200">
        <f>AVERAGE(P30:P34)</f>
        <v>5468.2</v>
      </c>
    </row>
    <row r="351" spans="1:16" ht="11.25" customHeight="1" x14ac:dyDescent="0.25">
      <c r="A351" s="473">
        <v>2006</v>
      </c>
      <c r="B351" s="200">
        <f t="shared" ref="B351:H351" si="120">B35</f>
        <v>4735</v>
      </c>
      <c r="C351" s="200">
        <f t="shared" si="120"/>
        <v>3548</v>
      </c>
      <c r="D351" s="200">
        <f t="shared" si="120"/>
        <v>1073</v>
      </c>
      <c r="E351" s="200">
        <f t="shared" si="120"/>
        <v>3458</v>
      </c>
      <c r="F351" s="200">
        <f t="shared" si="120"/>
        <v>1831</v>
      </c>
      <c r="G351" s="200" t="str">
        <f t="shared" si="120"/>
        <v>-</v>
      </c>
      <c r="H351" s="200">
        <f t="shared" si="120"/>
        <v>14645</v>
      </c>
      <c r="I351" s="200"/>
      <c r="J351" s="200" t="str">
        <f t="shared" ref="J351:P351" si="121">J35</f>
        <v>-</v>
      </c>
      <c r="K351" s="200" t="str">
        <f t="shared" si="121"/>
        <v>-</v>
      </c>
      <c r="L351" s="200">
        <f t="shared" si="121"/>
        <v>122</v>
      </c>
      <c r="M351" s="200">
        <f t="shared" si="121"/>
        <v>816</v>
      </c>
      <c r="N351" s="200">
        <f t="shared" si="121"/>
        <v>253</v>
      </c>
      <c r="O351" s="200" t="str">
        <f t="shared" si="121"/>
        <v>-</v>
      </c>
      <c r="P351" s="200">
        <f t="shared" si="121"/>
        <v>1191</v>
      </c>
    </row>
    <row r="352" spans="1:16" ht="11.25" customHeight="1" x14ac:dyDescent="0.25">
      <c r="A352" s="477">
        <v>2007</v>
      </c>
      <c r="B352" s="203">
        <f t="shared" ref="B352:H352" si="122">B36</f>
        <v>5693</v>
      </c>
      <c r="C352" s="203">
        <f t="shared" si="122"/>
        <v>3868</v>
      </c>
      <c r="D352" s="203">
        <f t="shared" si="122"/>
        <v>3459</v>
      </c>
      <c r="E352" s="203">
        <f t="shared" si="122"/>
        <v>721</v>
      </c>
      <c r="F352" s="203">
        <f t="shared" si="122"/>
        <v>27</v>
      </c>
      <c r="G352" s="203" t="str">
        <f t="shared" si="122"/>
        <v>-</v>
      </c>
      <c r="H352" s="203">
        <f t="shared" si="122"/>
        <v>13768</v>
      </c>
      <c r="I352" s="203"/>
      <c r="J352" s="203" t="str">
        <f t="shared" ref="J352:P352" si="123">J36</f>
        <v>-</v>
      </c>
      <c r="K352" s="203" t="str">
        <f t="shared" si="123"/>
        <v>-</v>
      </c>
      <c r="L352" s="203">
        <f t="shared" si="123"/>
        <v>1944</v>
      </c>
      <c r="M352" s="203">
        <f t="shared" si="123"/>
        <v>1043</v>
      </c>
      <c r="N352" s="203">
        <f t="shared" si="123"/>
        <v>34</v>
      </c>
      <c r="O352" s="203" t="str">
        <f t="shared" si="123"/>
        <v>-</v>
      </c>
      <c r="P352" s="203">
        <f t="shared" si="123"/>
        <v>3021</v>
      </c>
    </row>
    <row r="353" spans="1:16" ht="11.25" customHeight="1" x14ac:dyDescent="0.25">
      <c r="A353" s="477">
        <v>2008</v>
      </c>
      <c r="B353" s="203">
        <f t="shared" ref="B353:H353" si="124">B37</f>
        <v>1451</v>
      </c>
      <c r="C353" s="203">
        <f t="shared" si="124"/>
        <v>3350</v>
      </c>
      <c r="D353" s="203">
        <f t="shared" si="124"/>
        <v>1173</v>
      </c>
      <c r="E353" s="203">
        <f t="shared" si="124"/>
        <v>1161</v>
      </c>
      <c r="F353" s="203">
        <f t="shared" si="124"/>
        <v>259</v>
      </c>
      <c r="G353" s="203" t="str">
        <f t="shared" si="124"/>
        <v>-</v>
      </c>
      <c r="H353" s="203">
        <f t="shared" si="124"/>
        <v>7394</v>
      </c>
      <c r="I353" s="203"/>
      <c r="J353" s="203" t="str">
        <f t="shared" ref="J353:P353" si="125">J37</f>
        <v>-</v>
      </c>
      <c r="K353" s="203" t="str">
        <f t="shared" si="125"/>
        <v>-</v>
      </c>
      <c r="L353" s="203">
        <f t="shared" si="125"/>
        <v>351</v>
      </c>
      <c r="M353" s="203">
        <f t="shared" si="125"/>
        <v>917</v>
      </c>
      <c r="N353" s="203">
        <f t="shared" si="125"/>
        <v>361</v>
      </c>
      <c r="O353" s="203" t="str">
        <f t="shared" si="125"/>
        <v>-</v>
      </c>
      <c r="P353" s="203">
        <f t="shared" si="125"/>
        <v>1629</v>
      </c>
    </row>
    <row r="354" spans="1:16" ht="11.25" customHeight="1" x14ac:dyDescent="0.25">
      <c r="A354" s="477">
        <v>2009</v>
      </c>
      <c r="B354" s="203">
        <f t="shared" ref="B354:H354" si="126">B38</f>
        <v>5545</v>
      </c>
      <c r="C354" s="203">
        <f t="shared" si="126"/>
        <v>4095</v>
      </c>
      <c r="D354" s="203">
        <f t="shared" si="126"/>
        <v>1615</v>
      </c>
      <c r="E354" s="203">
        <f t="shared" si="126"/>
        <v>680</v>
      </c>
      <c r="F354" s="203">
        <f t="shared" si="126"/>
        <v>120</v>
      </c>
      <c r="G354" s="203" t="str">
        <f t="shared" si="126"/>
        <v>-</v>
      </c>
      <c r="H354" s="203">
        <f t="shared" si="126"/>
        <v>12055</v>
      </c>
      <c r="I354" s="203"/>
      <c r="J354" s="203" t="str">
        <f t="shared" ref="J354:P354" si="127">J38</f>
        <v>-</v>
      </c>
      <c r="K354" s="203" t="str">
        <f t="shared" si="127"/>
        <v>-</v>
      </c>
      <c r="L354" s="203">
        <f t="shared" si="127"/>
        <v>4857</v>
      </c>
      <c r="M354" s="203">
        <f t="shared" si="127"/>
        <v>9281</v>
      </c>
      <c r="N354" s="203">
        <f t="shared" si="127"/>
        <v>3663</v>
      </c>
      <c r="O354" s="203" t="str">
        <f t="shared" si="127"/>
        <v>-</v>
      </c>
      <c r="P354" s="203">
        <f t="shared" si="127"/>
        <v>17801</v>
      </c>
    </row>
    <row r="355" spans="1:16" ht="11.25" customHeight="1" x14ac:dyDescent="0.25">
      <c r="A355" s="477">
        <v>2010</v>
      </c>
      <c r="B355" s="203">
        <f t="shared" ref="B355:H355" si="128">B39</f>
        <v>8219</v>
      </c>
      <c r="C355" s="203">
        <f t="shared" si="128"/>
        <v>22332</v>
      </c>
      <c r="D355" s="203">
        <f t="shared" si="128"/>
        <v>6113</v>
      </c>
      <c r="E355" s="203">
        <f t="shared" si="128"/>
        <v>7267</v>
      </c>
      <c r="F355" s="203">
        <f t="shared" si="128"/>
        <v>282</v>
      </c>
      <c r="G355" s="203" t="str">
        <f t="shared" si="128"/>
        <v>-</v>
      </c>
      <c r="H355" s="203">
        <f t="shared" si="128"/>
        <v>44213</v>
      </c>
      <c r="I355" s="203"/>
      <c r="J355" s="203" t="str">
        <f t="shared" ref="J355:P355" si="129">J39</f>
        <v>-</v>
      </c>
      <c r="K355" s="203" t="str">
        <f t="shared" si="129"/>
        <v>-</v>
      </c>
      <c r="L355" s="203">
        <f t="shared" si="129"/>
        <v>1085</v>
      </c>
      <c r="M355" s="203">
        <f t="shared" si="129"/>
        <v>744</v>
      </c>
      <c r="N355" s="203">
        <f t="shared" si="129"/>
        <v>124</v>
      </c>
      <c r="O355" s="203" t="str">
        <f t="shared" si="129"/>
        <v>-</v>
      </c>
      <c r="P355" s="203">
        <f t="shared" si="129"/>
        <v>1953</v>
      </c>
    </row>
    <row r="356" spans="1:16" ht="11.25" customHeight="1" x14ac:dyDescent="0.25">
      <c r="A356" s="477">
        <v>2011</v>
      </c>
      <c r="B356" s="203">
        <f t="shared" ref="B356:H356" si="130">B40</f>
        <v>7682</v>
      </c>
      <c r="C356" s="203">
        <f t="shared" si="130"/>
        <v>9315</v>
      </c>
      <c r="D356" s="203">
        <f t="shared" si="130"/>
        <v>6015</v>
      </c>
      <c r="E356" s="203">
        <f t="shared" si="130"/>
        <v>2520</v>
      </c>
      <c r="F356" s="203">
        <f t="shared" si="130"/>
        <v>338</v>
      </c>
      <c r="G356" s="203" t="str">
        <f t="shared" si="130"/>
        <v>-</v>
      </c>
      <c r="H356" s="203">
        <f t="shared" si="130"/>
        <v>25870</v>
      </c>
      <c r="I356" s="203"/>
      <c r="J356" s="203" t="str">
        <f t="shared" ref="J356:P356" si="131">J40</f>
        <v>-</v>
      </c>
      <c r="K356" s="203" t="str">
        <f t="shared" si="131"/>
        <v>-</v>
      </c>
      <c r="L356" s="203">
        <f t="shared" si="131"/>
        <v>1630</v>
      </c>
      <c r="M356" s="203">
        <f t="shared" si="131"/>
        <v>892</v>
      </c>
      <c r="N356" s="203">
        <f t="shared" si="131"/>
        <v>493</v>
      </c>
      <c r="O356" s="203" t="str">
        <f t="shared" si="131"/>
        <v>-</v>
      </c>
      <c r="P356" s="203">
        <f t="shared" si="131"/>
        <v>3015</v>
      </c>
    </row>
    <row r="357" spans="1:16" ht="11.25" customHeight="1" x14ac:dyDescent="0.25">
      <c r="A357" s="477">
        <v>2012</v>
      </c>
      <c r="B357" s="203">
        <f t="shared" ref="B357:H363" si="132">B41</f>
        <v>10366</v>
      </c>
      <c r="C357" s="203">
        <f t="shared" si="132"/>
        <v>10371</v>
      </c>
      <c r="D357" s="203">
        <f t="shared" si="132"/>
        <v>5312</v>
      </c>
      <c r="E357" s="203">
        <f t="shared" si="132"/>
        <v>6398</v>
      </c>
      <c r="F357" s="203">
        <f t="shared" si="132"/>
        <v>2158</v>
      </c>
      <c r="G357" s="203" t="str">
        <f t="shared" si="132"/>
        <v>-</v>
      </c>
      <c r="H357" s="203">
        <f t="shared" si="132"/>
        <v>34605</v>
      </c>
      <c r="I357" s="203"/>
      <c r="J357" s="203" t="str">
        <f t="shared" ref="J357:P363" si="133">J41</f>
        <v>-</v>
      </c>
      <c r="K357" s="203" t="str">
        <f t="shared" si="133"/>
        <v>-</v>
      </c>
      <c r="L357" s="203">
        <f t="shared" si="133"/>
        <v>746</v>
      </c>
      <c r="M357" s="203">
        <f t="shared" si="133"/>
        <v>1116</v>
      </c>
      <c r="N357" s="203">
        <f t="shared" si="133"/>
        <v>1317</v>
      </c>
      <c r="O357" s="203" t="str">
        <f t="shared" si="133"/>
        <v>-</v>
      </c>
      <c r="P357" s="203">
        <f t="shared" si="133"/>
        <v>3179</v>
      </c>
    </row>
    <row r="358" spans="1:16" ht="11.25" customHeight="1" x14ac:dyDescent="0.25">
      <c r="A358" s="473">
        <v>2013</v>
      </c>
      <c r="B358" s="203">
        <f t="shared" si="132"/>
        <v>10487</v>
      </c>
      <c r="C358" s="203">
        <f t="shared" si="132"/>
        <v>11848</v>
      </c>
      <c r="D358" s="203">
        <f t="shared" si="132"/>
        <v>7816</v>
      </c>
      <c r="E358" s="203">
        <f t="shared" si="132"/>
        <v>8689</v>
      </c>
      <c r="F358" s="203">
        <f t="shared" si="132"/>
        <v>690</v>
      </c>
      <c r="G358" s="203" t="str">
        <f t="shared" si="132"/>
        <v>-</v>
      </c>
      <c r="H358" s="203">
        <f t="shared" si="132"/>
        <v>39530</v>
      </c>
      <c r="I358" s="203"/>
      <c r="J358" s="203" t="str">
        <f t="shared" si="133"/>
        <v>-</v>
      </c>
      <c r="K358" s="203" t="str">
        <f t="shared" si="133"/>
        <v>-</v>
      </c>
      <c r="L358" s="203">
        <f t="shared" si="133"/>
        <v>1892</v>
      </c>
      <c r="M358" s="203">
        <f t="shared" si="133"/>
        <v>3764</v>
      </c>
      <c r="N358" s="203">
        <f t="shared" si="133"/>
        <v>258</v>
      </c>
      <c r="O358" s="203" t="str">
        <f t="shared" si="133"/>
        <v>-</v>
      </c>
      <c r="P358" s="203">
        <f t="shared" si="133"/>
        <v>5914</v>
      </c>
    </row>
    <row r="359" spans="1:16" ht="11.25" customHeight="1" x14ac:dyDescent="0.25">
      <c r="A359" s="477">
        <v>2014</v>
      </c>
      <c r="B359" s="203">
        <f t="shared" si="132"/>
        <v>12788</v>
      </c>
      <c r="C359" s="203">
        <f t="shared" si="132"/>
        <v>2557</v>
      </c>
      <c r="D359" s="203">
        <f t="shared" si="132"/>
        <v>8098</v>
      </c>
      <c r="E359" s="203">
        <f t="shared" si="132"/>
        <v>5664</v>
      </c>
      <c r="F359" s="203">
        <f t="shared" si="132"/>
        <v>620</v>
      </c>
      <c r="G359" s="203" t="str">
        <f t="shared" si="132"/>
        <v>-</v>
      </c>
      <c r="H359" s="203">
        <f t="shared" si="132"/>
        <v>29727</v>
      </c>
      <c r="I359" s="203"/>
      <c r="J359" s="203" t="str">
        <f t="shared" si="133"/>
        <v>-</v>
      </c>
      <c r="K359" s="203" t="str">
        <f t="shared" si="133"/>
        <v>-</v>
      </c>
      <c r="L359" s="203">
        <f t="shared" si="133"/>
        <v>2907</v>
      </c>
      <c r="M359" s="203">
        <f t="shared" si="133"/>
        <v>6050</v>
      </c>
      <c r="N359" s="203">
        <f t="shared" si="133"/>
        <v>4211</v>
      </c>
      <c r="O359" s="203" t="str">
        <f t="shared" si="133"/>
        <v>-</v>
      </c>
      <c r="P359" s="203">
        <f t="shared" si="133"/>
        <v>13168</v>
      </c>
    </row>
    <row r="360" spans="1:16" ht="11.25" customHeight="1" x14ac:dyDescent="0.25">
      <c r="A360" s="477">
        <v>2015</v>
      </c>
      <c r="B360" s="203">
        <f t="shared" si="132"/>
        <v>12922</v>
      </c>
      <c r="C360" s="203">
        <f t="shared" si="132"/>
        <v>14408</v>
      </c>
      <c r="D360" s="203">
        <f t="shared" si="132"/>
        <v>12610</v>
      </c>
      <c r="E360" s="203">
        <f t="shared" si="132"/>
        <v>9831</v>
      </c>
      <c r="F360" s="203">
        <f t="shared" si="132"/>
        <v>1517</v>
      </c>
      <c r="G360" s="203" t="str">
        <f t="shared" si="132"/>
        <v>-</v>
      </c>
      <c r="H360" s="203">
        <f t="shared" si="132"/>
        <v>51288</v>
      </c>
      <c r="I360" s="203"/>
      <c r="J360" s="203" t="str">
        <f t="shared" si="133"/>
        <v>-</v>
      </c>
      <c r="K360" s="203" t="str">
        <f t="shared" si="133"/>
        <v>-</v>
      </c>
      <c r="L360" s="203">
        <f t="shared" si="133"/>
        <v>687</v>
      </c>
      <c r="M360" s="203">
        <f t="shared" si="133"/>
        <v>998</v>
      </c>
      <c r="N360" s="203">
        <f t="shared" si="133"/>
        <v>497</v>
      </c>
      <c r="O360" s="203" t="str">
        <f t="shared" si="133"/>
        <v>-</v>
      </c>
      <c r="P360" s="203">
        <f t="shared" si="133"/>
        <v>2182</v>
      </c>
    </row>
    <row r="361" spans="1:16" ht="11.25" customHeight="1" x14ac:dyDescent="0.25">
      <c r="A361" s="477">
        <v>2016</v>
      </c>
      <c r="B361" s="203">
        <f t="shared" si="132"/>
        <v>6434</v>
      </c>
      <c r="C361" s="203">
        <f t="shared" si="132"/>
        <v>3964</v>
      </c>
      <c r="D361" s="203">
        <f t="shared" si="132"/>
        <v>3325</v>
      </c>
      <c r="E361" s="203">
        <f t="shared" si="132"/>
        <v>1962</v>
      </c>
      <c r="F361" s="203" t="str">
        <f t="shared" si="132"/>
        <v>-</v>
      </c>
      <c r="G361" s="203" t="str">
        <f t="shared" si="132"/>
        <v>-</v>
      </c>
      <c r="H361" s="203">
        <f t="shared" si="132"/>
        <v>15685</v>
      </c>
      <c r="I361" s="203"/>
      <c r="J361" s="203" t="str">
        <f t="shared" si="133"/>
        <v>-</v>
      </c>
      <c r="K361" s="203" t="str">
        <f t="shared" si="133"/>
        <v>-</v>
      </c>
      <c r="L361" s="203" t="str">
        <f t="shared" si="133"/>
        <v>-</v>
      </c>
      <c r="M361" s="203" t="str">
        <f t="shared" si="133"/>
        <v>-</v>
      </c>
      <c r="N361" s="203" t="str">
        <f t="shared" si="133"/>
        <v>-</v>
      </c>
      <c r="O361" s="203" t="str">
        <f t="shared" si="133"/>
        <v>-</v>
      </c>
      <c r="P361" s="203" t="str">
        <f t="shared" si="133"/>
        <v>-</v>
      </c>
    </row>
    <row r="362" spans="1:16" ht="11.25" customHeight="1" x14ac:dyDescent="0.25">
      <c r="A362" s="477">
        <v>2017</v>
      </c>
      <c r="B362" s="203">
        <f t="shared" si="132"/>
        <v>13356</v>
      </c>
      <c r="C362" s="203">
        <f t="shared" si="132"/>
        <v>7246</v>
      </c>
      <c r="D362" s="203">
        <f t="shared" si="132"/>
        <v>5706</v>
      </c>
      <c r="E362" s="203">
        <f t="shared" si="132"/>
        <v>5285</v>
      </c>
      <c r="F362" s="203">
        <f t="shared" si="132"/>
        <v>766</v>
      </c>
      <c r="G362" s="203" t="str">
        <f t="shared" si="132"/>
        <v>-</v>
      </c>
      <c r="H362" s="203">
        <f t="shared" si="132"/>
        <v>32359</v>
      </c>
      <c r="I362" s="203"/>
      <c r="J362" s="203" t="str">
        <f t="shared" si="133"/>
        <v>-</v>
      </c>
      <c r="K362" s="203" t="str">
        <f t="shared" si="133"/>
        <v>-</v>
      </c>
      <c r="L362" s="203">
        <f t="shared" si="133"/>
        <v>217</v>
      </c>
      <c r="M362" s="203">
        <f t="shared" si="133"/>
        <v>719</v>
      </c>
      <c r="N362" s="203">
        <f t="shared" si="133"/>
        <v>301</v>
      </c>
      <c r="O362" s="203" t="str">
        <f t="shared" si="133"/>
        <v>-</v>
      </c>
      <c r="P362" s="203">
        <f t="shared" si="133"/>
        <v>1237</v>
      </c>
    </row>
    <row r="363" spans="1:16" s="358" customFormat="1" ht="11.25" customHeight="1" x14ac:dyDescent="0.25">
      <c r="A363" s="157">
        <v>2018</v>
      </c>
      <c r="B363" s="203">
        <f t="shared" si="132"/>
        <v>6653</v>
      </c>
      <c r="C363" s="203">
        <f t="shared" si="132"/>
        <v>8942</v>
      </c>
      <c r="D363" s="203">
        <f t="shared" si="132"/>
        <v>5438</v>
      </c>
      <c r="E363" s="203">
        <f t="shared" si="132"/>
        <v>1683</v>
      </c>
      <c r="F363" s="203">
        <f t="shared" si="132"/>
        <v>709</v>
      </c>
      <c r="G363" s="203" t="str">
        <f t="shared" si="132"/>
        <v>-</v>
      </c>
      <c r="H363" s="203">
        <f t="shared" si="132"/>
        <v>23425</v>
      </c>
      <c r="I363" s="203"/>
      <c r="J363" s="203" t="str">
        <f t="shared" si="133"/>
        <v>-</v>
      </c>
      <c r="K363" s="203" t="str">
        <f t="shared" si="133"/>
        <v>-</v>
      </c>
      <c r="L363" s="203">
        <f t="shared" si="133"/>
        <v>415</v>
      </c>
      <c r="M363" s="203">
        <f t="shared" si="133"/>
        <v>456</v>
      </c>
      <c r="N363" s="203">
        <f t="shared" si="133"/>
        <v>388</v>
      </c>
      <c r="O363" s="203" t="str">
        <f t="shared" si="133"/>
        <v>-</v>
      </c>
      <c r="P363" s="203">
        <f t="shared" si="133"/>
        <v>1259</v>
      </c>
    </row>
    <row r="364" spans="1:16" s="358" customFormat="1" ht="11.25" customHeight="1" x14ac:dyDescent="0.25">
      <c r="A364" s="157">
        <v>2019</v>
      </c>
      <c r="B364" s="203">
        <f>B48</f>
        <v>3762</v>
      </c>
      <c r="C364" s="203">
        <f t="shared" ref="C364:H365" si="134">C48</f>
        <v>3018</v>
      </c>
      <c r="D364" s="203">
        <f t="shared" si="134"/>
        <v>11394</v>
      </c>
      <c r="E364" s="203">
        <f t="shared" si="134"/>
        <v>2641</v>
      </c>
      <c r="F364" s="203">
        <f t="shared" si="134"/>
        <v>1732</v>
      </c>
      <c r="G364" s="203" t="str">
        <f t="shared" si="134"/>
        <v>-</v>
      </c>
      <c r="H364" s="203">
        <f t="shared" si="134"/>
        <v>22547</v>
      </c>
      <c r="I364" s="203"/>
      <c r="J364" s="203" t="str">
        <f t="shared" ref="J364:P365" si="135">J48</f>
        <v>-</v>
      </c>
      <c r="K364" s="203" t="str">
        <f t="shared" si="135"/>
        <v>-</v>
      </c>
      <c r="L364" s="203">
        <f t="shared" si="135"/>
        <v>1477</v>
      </c>
      <c r="M364" s="203">
        <f t="shared" si="135"/>
        <v>1060</v>
      </c>
      <c r="N364" s="203">
        <f t="shared" si="135"/>
        <v>1201</v>
      </c>
      <c r="O364" s="203" t="str">
        <f t="shared" si="135"/>
        <v>-</v>
      </c>
      <c r="P364" s="203">
        <f t="shared" si="135"/>
        <v>3738</v>
      </c>
    </row>
    <row r="365" spans="1:16" ht="11.25" customHeight="1" x14ac:dyDescent="0.25">
      <c r="A365" s="157" t="s">
        <v>393</v>
      </c>
      <c r="B365" s="203">
        <f>B49</f>
        <v>478</v>
      </c>
      <c r="C365" s="203">
        <f t="shared" si="134"/>
        <v>1175</v>
      </c>
      <c r="D365" s="203">
        <f t="shared" si="134"/>
        <v>7269</v>
      </c>
      <c r="E365" s="203">
        <f t="shared" si="134"/>
        <v>2861</v>
      </c>
      <c r="F365" s="203">
        <f t="shared" si="134"/>
        <v>149</v>
      </c>
      <c r="G365" s="203" t="str">
        <f t="shared" si="134"/>
        <v>-</v>
      </c>
      <c r="H365" s="203">
        <f t="shared" si="134"/>
        <v>11932</v>
      </c>
      <c r="I365" s="203"/>
      <c r="J365" s="203" t="str">
        <f t="shared" si="135"/>
        <v>-</v>
      </c>
      <c r="K365" s="203" t="str">
        <f t="shared" si="135"/>
        <v>-</v>
      </c>
      <c r="L365" s="203">
        <f t="shared" si="135"/>
        <v>222</v>
      </c>
      <c r="M365" s="203">
        <f t="shared" si="135"/>
        <v>314</v>
      </c>
      <c r="N365" s="203">
        <f t="shared" si="135"/>
        <v>86</v>
      </c>
      <c r="O365" s="203" t="str">
        <f t="shared" si="135"/>
        <v>-</v>
      </c>
      <c r="P365" s="203">
        <f t="shared" si="135"/>
        <v>622</v>
      </c>
    </row>
    <row r="366" spans="1:16" ht="11.25" customHeight="1" x14ac:dyDescent="0.25">
      <c r="B366" s="203"/>
      <c r="C366" s="203"/>
      <c r="D366" s="203"/>
      <c r="E366" s="203"/>
      <c r="F366" s="203"/>
      <c r="G366" s="203"/>
      <c r="H366" s="203"/>
      <c r="I366" s="203"/>
      <c r="J366" s="203"/>
      <c r="K366" s="203"/>
      <c r="L366" s="203"/>
      <c r="M366" s="203"/>
      <c r="N366" s="203"/>
      <c r="O366" s="203"/>
      <c r="P366" s="203"/>
    </row>
    <row r="367" spans="1:16" x14ac:dyDescent="0.25">
      <c r="A367" s="116" t="s">
        <v>307</v>
      </c>
      <c r="B367" s="155"/>
      <c r="C367" s="155"/>
      <c r="D367" s="155"/>
      <c r="E367" s="155"/>
      <c r="F367" s="155"/>
      <c r="G367" s="155"/>
      <c r="H367" s="155"/>
      <c r="I367" s="155"/>
      <c r="J367" s="155"/>
      <c r="K367" s="155"/>
      <c r="L367" s="155"/>
      <c r="M367" s="155"/>
      <c r="N367" s="155"/>
      <c r="O367" s="155"/>
      <c r="P367" s="155"/>
    </row>
    <row r="368" spans="1:16" ht="11.25" customHeight="1" x14ac:dyDescent="0.25">
      <c r="A368" s="473" t="s">
        <v>30</v>
      </c>
      <c r="B368" s="200">
        <f>AVERAGE(B57:B61)</f>
        <v>2150.1999999999998</v>
      </c>
      <c r="C368" s="200">
        <f t="shared" ref="C368:H368" si="136">AVERAGE(C57:C61)</f>
        <v>1883.2</v>
      </c>
      <c r="D368" s="200">
        <f t="shared" si="136"/>
        <v>3636.2</v>
      </c>
      <c r="E368" s="200">
        <f t="shared" si="136"/>
        <v>1335.6</v>
      </c>
      <c r="F368" s="200">
        <f t="shared" si="136"/>
        <v>1018.2</v>
      </c>
      <c r="G368" s="200">
        <f t="shared" si="136"/>
        <v>198.4</v>
      </c>
      <c r="H368" s="200">
        <f t="shared" si="136"/>
        <v>10023.4</v>
      </c>
      <c r="I368" s="200"/>
      <c r="J368" s="200">
        <f t="shared" ref="J368:P368" si="137">AVERAGE(J57:J61)</f>
        <v>282.8</v>
      </c>
      <c r="K368" s="200">
        <f t="shared" si="137"/>
        <v>7435.4</v>
      </c>
      <c r="L368" s="200">
        <f t="shared" si="137"/>
        <v>16405.8</v>
      </c>
      <c r="M368" s="200">
        <f t="shared" si="137"/>
        <v>24484</v>
      </c>
      <c r="N368" s="200">
        <f t="shared" si="137"/>
        <v>16665.8</v>
      </c>
      <c r="O368" s="200">
        <f t="shared" si="137"/>
        <v>54.2</v>
      </c>
      <c r="P368" s="200">
        <f t="shared" si="137"/>
        <v>65273.8</v>
      </c>
    </row>
    <row r="369" spans="1:16" ht="11.25" customHeight="1" x14ac:dyDescent="0.25">
      <c r="A369" s="473" t="s">
        <v>87</v>
      </c>
      <c r="B369" s="200">
        <f>AVERAGE(B62:B66)</f>
        <v>6876.6</v>
      </c>
      <c r="C369" s="200">
        <f t="shared" ref="C369:H369" si="138">AVERAGE(C62:C66)</f>
        <v>5955.2</v>
      </c>
      <c r="D369" s="200">
        <f t="shared" si="138"/>
        <v>6725.8</v>
      </c>
      <c r="E369" s="200">
        <f t="shared" si="138"/>
        <v>4506.3999999999996</v>
      </c>
      <c r="F369" s="200">
        <f t="shared" si="138"/>
        <v>1248</v>
      </c>
      <c r="G369" s="200">
        <f t="shared" si="138"/>
        <v>12</v>
      </c>
      <c r="H369" s="200">
        <f t="shared" si="138"/>
        <v>25312</v>
      </c>
      <c r="I369" s="200"/>
      <c r="J369" s="200">
        <f t="shared" ref="J369:P369" si="139">AVERAGE(J62:J66)</f>
        <v>3.4</v>
      </c>
      <c r="K369" s="200">
        <f t="shared" si="139"/>
        <v>4256.2</v>
      </c>
      <c r="L369" s="200">
        <f t="shared" si="139"/>
        <v>32310.2</v>
      </c>
      <c r="M369" s="200">
        <f t="shared" si="139"/>
        <v>35942.199999999997</v>
      </c>
      <c r="N369" s="200">
        <f t="shared" si="139"/>
        <v>11051</v>
      </c>
      <c r="O369" s="200">
        <f t="shared" si="139"/>
        <v>6.8</v>
      </c>
      <c r="P369" s="200">
        <f t="shared" si="139"/>
        <v>83563</v>
      </c>
    </row>
    <row r="370" spans="1:16" ht="11.25" customHeight="1" x14ac:dyDescent="0.25">
      <c r="A370" s="473" t="s">
        <v>14</v>
      </c>
      <c r="B370" s="200">
        <f>AVERAGE(B67:B71)</f>
        <v>4343</v>
      </c>
      <c r="C370" s="200">
        <f t="shared" ref="C370:P370" si="140">AVERAGE(C67:C71)</f>
        <v>4181.3999999999996</v>
      </c>
      <c r="D370" s="200">
        <f t="shared" si="140"/>
        <v>3510.6</v>
      </c>
      <c r="E370" s="200">
        <f t="shared" si="140"/>
        <v>4243.2</v>
      </c>
      <c r="F370" s="200">
        <f t="shared" si="140"/>
        <v>570.6</v>
      </c>
      <c r="G370" s="200">
        <f t="shared" si="140"/>
        <v>29.4</v>
      </c>
      <c r="H370" s="200">
        <f t="shared" si="140"/>
        <v>16848.8</v>
      </c>
      <c r="I370" s="200"/>
      <c r="J370" s="200">
        <f t="shared" si="140"/>
        <v>0.6</v>
      </c>
      <c r="K370" s="200">
        <f t="shared" si="140"/>
        <v>0.6</v>
      </c>
      <c r="L370" s="200">
        <f t="shared" si="140"/>
        <v>17220.400000000001</v>
      </c>
      <c r="M370" s="200">
        <f t="shared" si="140"/>
        <v>26038</v>
      </c>
      <c r="N370" s="200">
        <f t="shared" si="140"/>
        <v>5275</v>
      </c>
      <c r="O370" s="200">
        <f t="shared" si="140"/>
        <v>102.6</v>
      </c>
      <c r="P370" s="200">
        <f t="shared" si="140"/>
        <v>48534.6</v>
      </c>
    </row>
    <row r="371" spans="1:16" ht="11.25" customHeight="1" x14ac:dyDescent="0.25">
      <c r="A371" s="473" t="s">
        <v>207</v>
      </c>
      <c r="B371" s="200">
        <f>AVERAGE(B72:B76)</f>
        <v>2580.4</v>
      </c>
      <c r="C371" s="200">
        <f t="shared" ref="C371:P371" si="141">AVERAGE(C72:C76)</f>
        <v>6524</v>
      </c>
      <c r="D371" s="200">
        <f t="shared" si="141"/>
        <v>446</v>
      </c>
      <c r="E371" s="200">
        <f t="shared" si="141"/>
        <v>3806.2</v>
      </c>
      <c r="F371" s="200">
        <f t="shared" si="141"/>
        <v>1892.8</v>
      </c>
      <c r="G371" s="200" t="s">
        <v>29</v>
      </c>
      <c r="H371" s="200">
        <f t="shared" si="141"/>
        <v>15249.4</v>
      </c>
      <c r="I371" s="200"/>
      <c r="J371" s="200">
        <f t="shared" si="141"/>
        <v>0</v>
      </c>
      <c r="K371" s="200">
        <f t="shared" si="141"/>
        <v>0.2</v>
      </c>
      <c r="L371" s="200">
        <f t="shared" si="141"/>
        <v>14.8</v>
      </c>
      <c r="M371" s="200">
        <f t="shared" si="141"/>
        <v>11063.2</v>
      </c>
      <c r="N371" s="200">
        <f t="shared" si="141"/>
        <v>8533.2000000000007</v>
      </c>
      <c r="O371" s="200" t="s">
        <v>29</v>
      </c>
      <c r="P371" s="200">
        <f t="shared" si="141"/>
        <v>19611.400000000001</v>
      </c>
    </row>
    <row r="372" spans="1:16" ht="11.25" customHeight="1" x14ac:dyDescent="0.25">
      <c r="A372" s="473" t="s">
        <v>238</v>
      </c>
      <c r="B372" s="200">
        <f t="shared" ref="B372:H372" si="142">AVERAGE(B77:B81)</f>
        <v>5460.6</v>
      </c>
      <c r="C372" s="200">
        <f t="shared" si="142"/>
        <v>14660.2</v>
      </c>
      <c r="D372" s="200">
        <f t="shared" si="142"/>
        <v>9462.2000000000007</v>
      </c>
      <c r="E372" s="200">
        <f t="shared" si="142"/>
        <v>6270.8</v>
      </c>
      <c r="F372" s="200">
        <f t="shared" si="142"/>
        <v>3260.4</v>
      </c>
      <c r="G372" s="200">
        <f t="shared" si="142"/>
        <v>22.5</v>
      </c>
      <c r="H372" s="200">
        <f t="shared" si="142"/>
        <v>39114.199999999997</v>
      </c>
      <c r="I372" s="200"/>
      <c r="J372" s="200">
        <f t="shared" ref="J372:P372" si="143">AVERAGE(J77:J81)</f>
        <v>2</v>
      </c>
      <c r="K372" s="200">
        <f t="shared" si="143"/>
        <v>3.4</v>
      </c>
      <c r="L372" s="200">
        <f t="shared" si="143"/>
        <v>7259.4</v>
      </c>
      <c r="M372" s="200">
        <f t="shared" si="143"/>
        <v>17964.400000000001</v>
      </c>
      <c r="N372" s="200">
        <f t="shared" si="143"/>
        <v>9381.4</v>
      </c>
      <c r="O372" s="200">
        <f t="shared" si="143"/>
        <v>66.25</v>
      </c>
      <c r="P372" s="200">
        <f t="shared" si="143"/>
        <v>34610.6</v>
      </c>
    </row>
    <row r="373" spans="1:16" ht="11.25" customHeight="1" x14ac:dyDescent="0.25">
      <c r="A373" s="473">
        <v>2006</v>
      </c>
      <c r="B373" s="200">
        <f t="shared" ref="B373:H373" si="144">B82</f>
        <v>2821</v>
      </c>
      <c r="C373" s="200">
        <f t="shared" si="144"/>
        <v>8341</v>
      </c>
      <c r="D373" s="200">
        <f t="shared" si="144"/>
        <v>7736</v>
      </c>
      <c r="E373" s="200">
        <f t="shared" si="144"/>
        <v>6690</v>
      </c>
      <c r="F373" s="200">
        <f t="shared" si="144"/>
        <v>4957</v>
      </c>
      <c r="G373" s="200">
        <f t="shared" si="144"/>
        <v>15</v>
      </c>
      <c r="H373" s="200">
        <f t="shared" si="144"/>
        <v>30545</v>
      </c>
      <c r="I373" s="200"/>
      <c r="J373" s="200">
        <f t="shared" ref="J373:P373" si="145">J82</f>
        <v>16</v>
      </c>
      <c r="K373" s="200">
        <f t="shared" si="145"/>
        <v>102</v>
      </c>
      <c r="L373" s="200">
        <f t="shared" si="145"/>
        <v>10475</v>
      </c>
      <c r="M373" s="200">
        <f t="shared" si="145"/>
        <v>10634</v>
      </c>
      <c r="N373" s="200">
        <f t="shared" si="145"/>
        <v>10711</v>
      </c>
      <c r="O373" s="200">
        <f t="shared" si="145"/>
        <v>5</v>
      </c>
      <c r="P373" s="200">
        <f t="shared" si="145"/>
        <v>31938</v>
      </c>
    </row>
    <row r="374" spans="1:16" ht="11.25" customHeight="1" x14ac:dyDescent="0.25">
      <c r="A374" s="477">
        <v>2007</v>
      </c>
      <c r="B374" s="203">
        <f t="shared" ref="B374:H374" si="146">B83</f>
        <v>316</v>
      </c>
      <c r="C374" s="203">
        <f t="shared" si="146"/>
        <v>14629</v>
      </c>
      <c r="D374" s="203">
        <f t="shared" si="146"/>
        <v>3349</v>
      </c>
      <c r="E374" s="203">
        <f t="shared" si="146"/>
        <v>4579</v>
      </c>
      <c r="F374" s="203">
        <f t="shared" si="146"/>
        <v>70</v>
      </c>
      <c r="G374" s="203">
        <f t="shared" si="146"/>
        <v>0</v>
      </c>
      <c r="H374" s="203">
        <f t="shared" si="146"/>
        <v>22943</v>
      </c>
      <c r="I374" s="203"/>
      <c r="J374" s="203">
        <f t="shared" ref="J374:P374" si="147">J83</f>
        <v>0</v>
      </c>
      <c r="K374" s="203">
        <f t="shared" si="147"/>
        <v>12</v>
      </c>
      <c r="L374" s="203">
        <f t="shared" si="147"/>
        <v>22743</v>
      </c>
      <c r="M374" s="203">
        <f t="shared" si="147"/>
        <v>16423</v>
      </c>
      <c r="N374" s="203">
        <f t="shared" si="147"/>
        <v>860</v>
      </c>
      <c r="O374" s="203">
        <f t="shared" si="147"/>
        <v>0</v>
      </c>
      <c r="P374" s="203">
        <f t="shared" si="147"/>
        <v>40038</v>
      </c>
    </row>
    <row r="375" spans="1:16" ht="11.25" customHeight="1" x14ac:dyDescent="0.25">
      <c r="A375" s="477">
        <v>2008</v>
      </c>
      <c r="B375" s="203">
        <f t="shared" ref="B375:H375" si="148">B84</f>
        <v>358</v>
      </c>
      <c r="C375" s="203">
        <f t="shared" si="148"/>
        <v>8864</v>
      </c>
      <c r="D375" s="203">
        <f t="shared" si="148"/>
        <v>2099</v>
      </c>
      <c r="E375" s="203">
        <f t="shared" si="148"/>
        <v>6007</v>
      </c>
      <c r="F375" s="203">
        <f t="shared" si="148"/>
        <v>3579</v>
      </c>
      <c r="G375" s="203">
        <f t="shared" si="148"/>
        <v>1</v>
      </c>
      <c r="H375" s="203">
        <f t="shared" si="148"/>
        <v>20907</v>
      </c>
      <c r="I375" s="203"/>
      <c r="J375" s="203">
        <f t="shared" ref="J375:P375" si="149">J84</f>
        <v>0</v>
      </c>
      <c r="K375" s="203">
        <f t="shared" si="149"/>
        <v>18</v>
      </c>
      <c r="L375" s="203">
        <f t="shared" si="149"/>
        <v>865</v>
      </c>
      <c r="M375" s="203">
        <f t="shared" si="149"/>
        <v>3561</v>
      </c>
      <c r="N375" s="203">
        <f t="shared" si="149"/>
        <v>9820</v>
      </c>
      <c r="O375" s="203">
        <f t="shared" si="149"/>
        <v>0</v>
      </c>
      <c r="P375" s="203">
        <f t="shared" si="149"/>
        <v>14264</v>
      </c>
    </row>
    <row r="376" spans="1:16" ht="11.25" customHeight="1" x14ac:dyDescent="0.25">
      <c r="A376" s="477">
        <v>2009</v>
      </c>
      <c r="B376" s="203">
        <f t="shared" ref="B376:H376" si="150">B85</f>
        <v>1491</v>
      </c>
      <c r="C376" s="203">
        <f t="shared" si="150"/>
        <v>5828</v>
      </c>
      <c r="D376" s="203">
        <f t="shared" si="150"/>
        <v>2329</v>
      </c>
      <c r="E376" s="203">
        <f t="shared" si="150"/>
        <v>2566</v>
      </c>
      <c r="F376" s="203">
        <f t="shared" si="150"/>
        <v>12</v>
      </c>
      <c r="G376" s="203">
        <f t="shared" si="150"/>
        <v>25</v>
      </c>
      <c r="H376" s="203">
        <f t="shared" si="150"/>
        <v>12226</v>
      </c>
      <c r="I376" s="203"/>
      <c r="J376" s="203">
        <f t="shared" ref="J376:P376" si="151">J85</f>
        <v>0</v>
      </c>
      <c r="K376" s="203">
        <f t="shared" si="151"/>
        <v>0</v>
      </c>
      <c r="L376" s="203">
        <f t="shared" si="151"/>
        <v>25422</v>
      </c>
      <c r="M376" s="203">
        <f t="shared" si="151"/>
        <v>35141</v>
      </c>
      <c r="N376" s="203">
        <f t="shared" si="151"/>
        <v>100</v>
      </c>
      <c r="O376" s="203">
        <f t="shared" si="151"/>
        <v>15</v>
      </c>
      <c r="P376" s="203">
        <f t="shared" si="151"/>
        <v>60663</v>
      </c>
    </row>
    <row r="377" spans="1:16" ht="11.25" customHeight="1" x14ac:dyDescent="0.25">
      <c r="A377" s="477">
        <v>2010</v>
      </c>
      <c r="B377" s="203">
        <f t="shared" ref="B377:H377" si="152">B86</f>
        <v>1926</v>
      </c>
      <c r="C377" s="203">
        <f t="shared" si="152"/>
        <v>12150</v>
      </c>
      <c r="D377" s="203">
        <f t="shared" si="152"/>
        <v>6943</v>
      </c>
      <c r="E377" s="203">
        <f t="shared" si="152"/>
        <v>9693</v>
      </c>
      <c r="F377" s="203">
        <f t="shared" si="152"/>
        <v>1664</v>
      </c>
      <c r="G377" s="203">
        <f t="shared" si="152"/>
        <v>10</v>
      </c>
      <c r="H377" s="203">
        <f t="shared" si="152"/>
        <v>32376</v>
      </c>
      <c r="I377" s="203"/>
      <c r="J377" s="203">
        <f t="shared" ref="J377:P377" si="153">J86</f>
        <v>2</v>
      </c>
      <c r="K377" s="203">
        <f t="shared" si="153"/>
        <v>63</v>
      </c>
      <c r="L377" s="203">
        <f t="shared" si="153"/>
        <v>2015</v>
      </c>
      <c r="M377" s="203">
        <f t="shared" si="153"/>
        <v>5058</v>
      </c>
      <c r="N377" s="203">
        <f t="shared" si="153"/>
        <v>4323</v>
      </c>
      <c r="O377" s="203">
        <f t="shared" si="153"/>
        <v>15</v>
      </c>
      <c r="P377" s="203">
        <f t="shared" si="153"/>
        <v>11461</v>
      </c>
    </row>
    <row r="378" spans="1:16" ht="11.25" customHeight="1" x14ac:dyDescent="0.25">
      <c r="A378" s="477">
        <v>2011</v>
      </c>
      <c r="B378" s="203">
        <f t="shared" ref="B378:H378" si="154">B87</f>
        <v>1120</v>
      </c>
      <c r="C378" s="203">
        <f t="shared" si="154"/>
        <v>8817</v>
      </c>
      <c r="D378" s="203">
        <f t="shared" si="154"/>
        <v>14761</v>
      </c>
      <c r="E378" s="203">
        <f t="shared" si="154"/>
        <v>6708</v>
      </c>
      <c r="F378" s="203">
        <f t="shared" si="154"/>
        <v>418</v>
      </c>
      <c r="G378" s="203">
        <f t="shared" si="154"/>
        <v>0</v>
      </c>
      <c r="H378" s="203">
        <f t="shared" si="154"/>
        <v>31824</v>
      </c>
      <c r="I378" s="203"/>
      <c r="J378" s="203">
        <f t="shared" ref="J378:P378" si="155">J87</f>
        <v>0</v>
      </c>
      <c r="K378" s="203">
        <f t="shared" si="155"/>
        <v>0</v>
      </c>
      <c r="L378" s="203">
        <f t="shared" si="155"/>
        <v>2062</v>
      </c>
      <c r="M378" s="203">
        <f t="shared" si="155"/>
        <v>4791</v>
      </c>
      <c r="N378" s="203">
        <f t="shared" si="155"/>
        <v>6711</v>
      </c>
      <c r="O378" s="203">
        <f t="shared" si="155"/>
        <v>0</v>
      </c>
      <c r="P378" s="203">
        <f t="shared" si="155"/>
        <v>13564</v>
      </c>
    </row>
    <row r="379" spans="1:16" ht="11.25" customHeight="1" x14ac:dyDescent="0.25">
      <c r="A379" s="473">
        <v>2012</v>
      </c>
      <c r="B379" s="203">
        <f t="shared" ref="B379:H385" si="156">B88</f>
        <v>4465</v>
      </c>
      <c r="C379" s="203">
        <f t="shared" si="156"/>
        <v>20696</v>
      </c>
      <c r="D379" s="203">
        <f t="shared" si="156"/>
        <v>10144</v>
      </c>
      <c r="E379" s="203">
        <f t="shared" si="156"/>
        <v>14650</v>
      </c>
      <c r="F379" s="203">
        <f t="shared" si="156"/>
        <v>4834</v>
      </c>
      <c r="G379" s="203">
        <f t="shared" si="156"/>
        <v>10</v>
      </c>
      <c r="H379" s="203">
        <f t="shared" si="156"/>
        <v>54789</v>
      </c>
      <c r="I379" s="203"/>
      <c r="J379" s="203">
        <f t="shared" ref="J379:P385" si="157">J88</f>
        <v>1</v>
      </c>
      <c r="K379" s="203">
        <f t="shared" si="157"/>
        <v>101</v>
      </c>
      <c r="L379" s="203">
        <f t="shared" si="157"/>
        <v>2769</v>
      </c>
      <c r="M379" s="203">
        <f t="shared" si="157"/>
        <v>18790</v>
      </c>
      <c r="N379" s="203">
        <f t="shared" si="157"/>
        <v>15869</v>
      </c>
      <c r="O379" s="203">
        <f t="shared" si="157"/>
        <v>0</v>
      </c>
      <c r="P379" s="203">
        <f t="shared" si="157"/>
        <v>37530</v>
      </c>
    </row>
    <row r="380" spans="1:16" ht="11.25" customHeight="1" x14ac:dyDescent="0.25">
      <c r="A380" s="473">
        <v>2013</v>
      </c>
      <c r="B380" s="203">
        <f t="shared" si="156"/>
        <v>11929</v>
      </c>
      <c r="C380" s="203">
        <f t="shared" si="156"/>
        <v>19103</v>
      </c>
      <c r="D380" s="203">
        <f t="shared" si="156"/>
        <v>9310</v>
      </c>
      <c r="E380" s="203">
        <f t="shared" si="156"/>
        <v>7916</v>
      </c>
      <c r="F380" s="203">
        <f t="shared" si="156"/>
        <v>2902</v>
      </c>
      <c r="G380" s="203">
        <f t="shared" si="156"/>
        <v>0</v>
      </c>
      <c r="H380" s="203">
        <f t="shared" si="156"/>
        <v>51160</v>
      </c>
      <c r="I380" s="203"/>
      <c r="J380" s="203">
        <f t="shared" si="157"/>
        <v>0</v>
      </c>
      <c r="K380" s="203">
        <f t="shared" si="157"/>
        <v>7</v>
      </c>
      <c r="L380" s="203">
        <f t="shared" si="157"/>
        <v>7722</v>
      </c>
      <c r="M380" s="203">
        <f t="shared" si="157"/>
        <v>36163</v>
      </c>
      <c r="N380" s="203">
        <f t="shared" si="157"/>
        <v>4376</v>
      </c>
      <c r="O380" s="203">
        <f t="shared" si="157"/>
        <v>0</v>
      </c>
      <c r="P380" s="203">
        <f t="shared" si="157"/>
        <v>48268</v>
      </c>
    </row>
    <row r="381" spans="1:16" ht="11.25" customHeight="1" x14ac:dyDescent="0.25">
      <c r="A381" s="477">
        <v>2014</v>
      </c>
      <c r="B381" s="203">
        <f t="shared" si="156"/>
        <v>12608</v>
      </c>
      <c r="C381" s="203">
        <f t="shared" si="156"/>
        <v>17002</v>
      </c>
      <c r="D381" s="203">
        <f t="shared" si="156"/>
        <v>20643</v>
      </c>
      <c r="E381" s="203">
        <f t="shared" si="156"/>
        <v>8793</v>
      </c>
      <c r="F381" s="203">
        <f t="shared" si="156"/>
        <v>2715</v>
      </c>
      <c r="G381" s="203">
        <f t="shared" si="156"/>
        <v>0</v>
      </c>
      <c r="H381" s="203">
        <f t="shared" si="156"/>
        <v>61761</v>
      </c>
      <c r="I381" s="203"/>
      <c r="J381" s="203">
        <f t="shared" si="157"/>
        <v>0</v>
      </c>
      <c r="K381" s="203">
        <f t="shared" si="157"/>
        <v>30</v>
      </c>
      <c r="L381" s="203">
        <f t="shared" si="157"/>
        <v>10405</v>
      </c>
      <c r="M381" s="203">
        <f t="shared" si="157"/>
        <v>39231</v>
      </c>
      <c r="N381" s="203">
        <f t="shared" si="157"/>
        <v>6369</v>
      </c>
      <c r="O381" s="203">
        <f t="shared" si="157"/>
        <v>0</v>
      </c>
      <c r="P381" s="203">
        <f t="shared" si="157"/>
        <v>56035</v>
      </c>
    </row>
    <row r="382" spans="1:16" ht="11.25" customHeight="1" x14ac:dyDescent="0.25">
      <c r="A382" s="477">
        <v>2015</v>
      </c>
      <c r="B382" s="203">
        <f t="shared" si="156"/>
        <v>7315</v>
      </c>
      <c r="C382" s="203">
        <f t="shared" si="156"/>
        <v>23697</v>
      </c>
      <c r="D382" s="203">
        <f t="shared" si="156"/>
        <v>23110</v>
      </c>
      <c r="E382" s="203">
        <f t="shared" si="156"/>
        <v>4031</v>
      </c>
      <c r="F382" s="203">
        <f t="shared" si="156"/>
        <v>786</v>
      </c>
      <c r="G382" s="203">
        <f t="shared" si="156"/>
        <v>0</v>
      </c>
      <c r="H382" s="203">
        <f t="shared" si="156"/>
        <v>58939</v>
      </c>
      <c r="I382" s="203"/>
      <c r="J382" s="203">
        <f t="shared" si="157"/>
        <v>0</v>
      </c>
      <c r="K382" s="203">
        <f t="shared" si="157"/>
        <v>3</v>
      </c>
      <c r="L382" s="203">
        <f t="shared" si="157"/>
        <v>1994</v>
      </c>
      <c r="M382" s="203">
        <f t="shared" si="157"/>
        <v>1307</v>
      </c>
      <c r="N382" s="203">
        <f t="shared" si="157"/>
        <v>706</v>
      </c>
      <c r="O382" s="203">
        <f t="shared" si="157"/>
        <v>0</v>
      </c>
      <c r="P382" s="203">
        <f t="shared" si="157"/>
        <v>4010</v>
      </c>
    </row>
    <row r="383" spans="1:16" ht="11.25" customHeight="1" x14ac:dyDescent="0.25">
      <c r="A383" s="477">
        <v>2016</v>
      </c>
      <c r="B383" s="203">
        <f t="shared" si="156"/>
        <v>2905</v>
      </c>
      <c r="C383" s="203">
        <f t="shared" si="156"/>
        <v>13752</v>
      </c>
      <c r="D383" s="203">
        <f t="shared" si="156"/>
        <v>5129</v>
      </c>
      <c r="E383" s="203">
        <f t="shared" si="156"/>
        <v>1310</v>
      </c>
      <c r="F383" s="203">
        <f t="shared" si="156"/>
        <v>5</v>
      </c>
      <c r="G383" s="203">
        <f t="shared" si="156"/>
        <v>0</v>
      </c>
      <c r="H383" s="203">
        <f t="shared" si="156"/>
        <v>23101</v>
      </c>
      <c r="I383" s="203"/>
      <c r="J383" s="203">
        <f t="shared" si="157"/>
        <v>0</v>
      </c>
      <c r="K383" s="203">
        <f t="shared" si="157"/>
        <v>0</v>
      </c>
      <c r="L383" s="203">
        <f t="shared" si="157"/>
        <v>29</v>
      </c>
      <c r="M383" s="203">
        <f t="shared" si="157"/>
        <v>15</v>
      </c>
      <c r="N383" s="203">
        <f t="shared" si="157"/>
        <v>0</v>
      </c>
      <c r="O383" s="203">
        <f t="shared" si="157"/>
        <v>1</v>
      </c>
      <c r="P383" s="203">
        <f t="shared" si="157"/>
        <v>44</v>
      </c>
    </row>
    <row r="384" spans="1:16" ht="11.25" customHeight="1" x14ac:dyDescent="0.25">
      <c r="A384" s="477">
        <v>2017</v>
      </c>
      <c r="B384" s="203">
        <f t="shared" si="156"/>
        <v>1253</v>
      </c>
      <c r="C384" s="203">
        <f t="shared" si="156"/>
        <v>2039</v>
      </c>
      <c r="D384" s="203">
        <f t="shared" si="156"/>
        <v>15772</v>
      </c>
      <c r="E384" s="203">
        <f t="shared" si="156"/>
        <v>4605</v>
      </c>
      <c r="F384" s="203">
        <f t="shared" si="156"/>
        <v>745</v>
      </c>
      <c r="G384" s="203">
        <f t="shared" si="156"/>
        <v>0</v>
      </c>
      <c r="H384" s="203">
        <f t="shared" si="156"/>
        <v>24414</v>
      </c>
      <c r="I384" s="203"/>
      <c r="J384" s="203">
        <f t="shared" si="157"/>
        <v>0</v>
      </c>
      <c r="K384" s="203">
        <f t="shared" si="157"/>
        <v>0</v>
      </c>
      <c r="L384" s="203">
        <f t="shared" si="157"/>
        <v>1003</v>
      </c>
      <c r="M384" s="203">
        <f t="shared" si="157"/>
        <v>7150</v>
      </c>
      <c r="N384" s="203">
        <f t="shared" si="157"/>
        <v>5197</v>
      </c>
      <c r="O384" s="203">
        <f t="shared" si="157"/>
        <v>0</v>
      </c>
      <c r="P384" s="203">
        <f t="shared" si="157"/>
        <v>13350</v>
      </c>
    </row>
    <row r="385" spans="1:16" s="358" customFormat="1" ht="11.25" customHeight="1" x14ac:dyDescent="0.25">
      <c r="A385" s="157">
        <v>2018</v>
      </c>
      <c r="B385" s="203">
        <f t="shared" si="156"/>
        <v>1319</v>
      </c>
      <c r="C385" s="203">
        <f t="shared" si="156"/>
        <v>11756</v>
      </c>
      <c r="D385" s="203">
        <f t="shared" si="156"/>
        <v>8486</v>
      </c>
      <c r="E385" s="203">
        <f t="shared" si="156"/>
        <v>1883</v>
      </c>
      <c r="F385" s="203">
        <f t="shared" si="156"/>
        <v>459</v>
      </c>
      <c r="G385" s="203">
        <f t="shared" si="156"/>
        <v>0</v>
      </c>
      <c r="H385" s="203">
        <f t="shared" si="156"/>
        <v>23903</v>
      </c>
      <c r="I385" s="203"/>
      <c r="J385" s="203">
        <f t="shared" si="157"/>
        <v>0</v>
      </c>
      <c r="K385" s="203">
        <f t="shared" si="157"/>
        <v>15</v>
      </c>
      <c r="L385" s="203">
        <f t="shared" si="157"/>
        <v>1751</v>
      </c>
      <c r="M385" s="203">
        <f t="shared" si="157"/>
        <v>5512</v>
      </c>
      <c r="N385" s="203">
        <f t="shared" si="157"/>
        <v>4524</v>
      </c>
      <c r="O385" s="203">
        <f t="shared" si="157"/>
        <v>0</v>
      </c>
      <c r="P385" s="203">
        <f t="shared" si="157"/>
        <v>11802</v>
      </c>
    </row>
    <row r="386" spans="1:16" s="358" customFormat="1" ht="11.25" customHeight="1" x14ac:dyDescent="0.25">
      <c r="A386" s="157">
        <v>2019</v>
      </c>
      <c r="B386" s="203">
        <f t="shared" ref="B386:H387" si="158">B95</f>
        <v>809</v>
      </c>
      <c r="C386" s="203">
        <f t="shared" si="158"/>
        <v>2110</v>
      </c>
      <c r="D386" s="203">
        <f t="shared" si="158"/>
        <v>12314</v>
      </c>
      <c r="E386" s="203">
        <f t="shared" si="158"/>
        <v>2789</v>
      </c>
      <c r="F386" s="203">
        <f t="shared" si="158"/>
        <v>299</v>
      </c>
      <c r="G386" s="203">
        <f t="shared" si="158"/>
        <v>0</v>
      </c>
      <c r="H386" s="203">
        <f t="shared" si="158"/>
        <v>18321</v>
      </c>
      <c r="I386" s="203"/>
      <c r="J386" s="203">
        <f t="shared" ref="J386:P387" si="159">J95</f>
        <v>0</v>
      </c>
      <c r="K386" s="203">
        <f t="shared" si="159"/>
        <v>0</v>
      </c>
      <c r="L386" s="203">
        <f t="shared" si="159"/>
        <v>14414</v>
      </c>
      <c r="M386" s="203">
        <f t="shared" si="159"/>
        <v>33818</v>
      </c>
      <c r="N386" s="203">
        <f t="shared" si="159"/>
        <v>7273</v>
      </c>
      <c r="O386" s="203">
        <f t="shared" si="159"/>
        <v>0</v>
      </c>
      <c r="P386" s="203">
        <f t="shared" si="159"/>
        <v>55505</v>
      </c>
    </row>
    <row r="387" spans="1:16" ht="11.25" customHeight="1" x14ac:dyDescent="0.25">
      <c r="A387" s="157" t="s">
        <v>393</v>
      </c>
      <c r="B387" s="203">
        <f t="shared" si="158"/>
        <v>8</v>
      </c>
      <c r="C387" s="203">
        <f t="shared" si="158"/>
        <v>23</v>
      </c>
      <c r="D387" s="203">
        <f t="shared" si="158"/>
        <v>622</v>
      </c>
      <c r="E387" s="203">
        <f t="shared" si="158"/>
        <v>1718</v>
      </c>
      <c r="F387" s="203">
        <f t="shared" si="158"/>
        <v>66</v>
      </c>
      <c r="G387" s="203">
        <f t="shared" si="158"/>
        <v>0</v>
      </c>
      <c r="H387" s="203">
        <f t="shared" si="158"/>
        <v>2437</v>
      </c>
      <c r="I387" s="203"/>
      <c r="J387" s="203">
        <f t="shared" si="159"/>
        <v>0</v>
      </c>
      <c r="K387" s="203">
        <f t="shared" si="159"/>
        <v>0</v>
      </c>
      <c r="L387" s="203">
        <f t="shared" si="159"/>
        <v>587</v>
      </c>
      <c r="M387" s="203">
        <f t="shared" si="159"/>
        <v>10864</v>
      </c>
      <c r="N387" s="203">
        <f t="shared" si="159"/>
        <v>2940</v>
      </c>
      <c r="O387" s="203">
        <f t="shared" si="159"/>
        <v>0</v>
      </c>
      <c r="P387" s="203">
        <f t="shared" si="159"/>
        <v>14391</v>
      </c>
    </row>
    <row r="388" spans="1:16" ht="11.25" customHeight="1" x14ac:dyDescent="0.25">
      <c r="B388" s="200"/>
      <c r="C388" s="200"/>
      <c r="D388" s="200"/>
      <c r="E388" s="200"/>
      <c r="F388" s="200"/>
      <c r="G388" s="200"/>
      <c r="H388" s="200"/>
      <c r="I388" s="200"/>
      <c r="J388" s="200"/>
      <c r="K388" s="200"/>
      <c r="L388" s="200"/>
      <c r="M388" s="200"/>
      <c r="N388" s="200"/>
      <c r="O388" s="200"/>
      <c r="P388" s="200"/>
    </row>
    <row r="389" spans="1:16" ht="11.25" customHeight="1" x14ac:dyDescent="0.25">
      <c r="A389" s="522" t="s">
        <v>381</v>
      </c>
      <c r="B389" s="522"/>
      <c r="C389" s="522"/>
      <c r="D389" s="522"/>
      <c r="E389" s="522"/>
      <c r="F389" s="522"/>
      <c r="G389" s="522"/>
      <c r="H389" s="522"/>
      <c r="I389" s="522"/>
      <c r="J389" s="522"/>
      <c r="K389" s="522"/>
      <c r="L389" s="522"/>
      <c r="M389" s="522"/>
      <c r="N389" s="522"/>
      <c r="O389" s="522"/>
      <c r="P389" s="522"/>
    </row>
    <row r="390" spans="1:16" ht="11.25" customHeight="1" x14ac:dyDescent="0.25">
      <c r="A390" s="469" t="s">
        <v>33</v>
      </c>
      <c r="B390" s="58" t="s">
        <v>35</v>
      </c>
      <c r="C390" s="58" t="s">
        <v>36</v>
      </c>
      <c r="D390" s="58" t="s">
        <v>99</v>
      </c>
      <c r="E390" s="58" t="s">
        <v>100</v>
      </c>
      <c r="F390" s="58" t="s">
        <v>39</v>
      </c>
      <c r="G390" s="58" t="s">
        <v>40</v>
      </c>
      <c r="H390" s="58" t="s">
        <v>28</v>
      </c>
      <c r="I390" s="58"/>
      <c r="J390" s="58" t="s">
        <v>35</v>
      </c>
      <c r="K390" s="58" t="s">
        <v>36</v>
      </c>
      <c r="L390" s="58" t="s">
        <v>101</v>
      </c>
      <c r="M390" s="58" t="s">
        <v>102</v>
      </c>
      <c r="N390" s="58" t="s">
        <v>39</v>
      </c>
      <c r="O390" s="58" t="s">
        <v>40</v>
      </c>
      <c r="P390" s="58" t="s">
        <v>28</v>
      </c>
    </row>
    <row r="391" spans="1:16" ht="11.25" customHeight="1" x14ac:dyDescent="0.25">
      <c r="B391" s="583" t="s">
        <v>67</v>
      </c>
      <c r="C391" s="583"/>
      <c r="D391" s="583"/>
      <c r="E391" s="583"/>
      <c r="F391" s="583"/>
      <c r="G391" s="583"/>
      <c r="H391" s="583"/>
      <c r="I391" s="19"/>
      <c r="J391" s="583" t="s">
        <v>68</v>
      </c>
      <c r="K391" s="583"/>
      <c r="L391" s="583"/>
      <c r="M391" s="583"/>
      <c r="N391" s="583"/>
      <c r="O391" s="583"/>
      <c r="P391" s="583"/>
    </row>
    <row r="392" spans="1:16" x14ac:dyDescent="0.25">
      <c r="A392" s="120" t="s">
        <v>308</v>
      </c>
      <c r="B392" s="155"/>
      <c r="C392" s="155"/>
      <c r="D392" s="155"/>
      <c r="E392" s="155"/>
      <c r="F392" s="193"/>
      <c r="G392" s="193"/>
      <c r="H392" s="193"/>
      <c r="I392" s="193"/>
      <c r="J392" s="193"/>
      <c r="K392" s="193"/>
      <c r="L392" s="193"/>
      <c r="M392" s="193"/>
      <c r="N392" s="193"/>
      <c r="O392" s="193"/>
      <c r="P392" s="193"/>
    </row>
    <row r="393" spans="1:16" ht="11.25" customHeight="1" x14ac:dyDescent="0.25">
      <c r="A393" s="473" t="s">
        <v>30</v>
      </c>
      <c r="B393" s="200">
        <f>AVERAGE(B104:B108)</f>
        <v>27345.200000000001</v>
      </c>
      <c r="C393" s="200">
        <f t="shared" ref="C393:H393" si="160">AVERAGE(C104:C108)</f>
        <v>4636.6000000000004</v>
      </c>
      <c r="D393" s="200">
        <f t="shared" si="160"/>
        <v>23141.200000000001</v>
      </c>
      <c r="E393" s="200">
        <f t="shared" si="160"/>
        <v>6006.6</v>
      </c>
      <c r="F393" s="200">
        <f t="shared" si="160"/>
        <v>1024.4000000000001</v>
      </c>
      <c r="G393" s="200">
        <f t="shared" si="160"/>
        <v>198.4</v>
      </c>
      <c r="H393" s="200">
        <f t="shared" si="160"/>
        <v>62154</v>
      </c>
      <c r="I393" s="200"/>
      <c r="J393" s="200">
        <f t="shared" ref="J393:P393" si="161">AVERAGE(J104:J108)</f>
        <v>282.8</v>
      </c>
      <c r="K393" s="200">
        <f t="shared" si="161"/>
        <v>7435.4</v>
      </c>
      <c r="L393" s="200">
        <f t="shared" si="161"/>
        <v>110765.6</v>
      </c>
      <c r="M393" s="200">
        <f t="shared" si="161"/>
        <v>50478</v>
      </c>
      <c r="N393" s="200">
        <f t="shared" si="161"/>
        <v>16705.599999999999</v>
      </c>
      <c r="O393" s="200">
        <f t="shared" si="161"/>
        <v>54.2</v>
      </c>
      <c r="P393" s="200">
        <f t="shared" si="161"/>
        <v>185667.4</v>
      </c>
    </row>
    <row r="394" spans="1:16" ht="11.25" customHeight="1" x14ac:dyDescent="0.25">
      <c r="A394" s="473" t="s">
        <v>87</v>
      </c>
      <c r="B394" s="200">
        <f>AVERAGE(B109:B113)</f>
        <v>33957.800000000003</v>
      </c>
      <c r="C394" s="200">
        <f t="shared" ref="C394:H394" si="162">AVERAGE(C109:C113)</f>
        <v>14990.2</v>
      </c>
      <c r="D394" s="200">
        <f t="shared" si="162"/>
        <v>10291.200000000001</v>
      </c>
      <c r="E394" s="200">
        <f t="shared" si="162"/>
        <v>5955.4</v>
      </c>
      <c r="F394" s="200">
        <f t="shared" si="162"/>
        <v>1250.2</v>
      </c>
      <c r="G394" s="200">
        <f t="shared" si="162"/>
        <v>12</v>
      </c>
      <c r="H394" s="200">
        <f t="shared" si="162"/>
        <v>66444.800000000003</v>
      </c>
      <c r="I394" s="200"/>
      <c r="J394" s="200">
        <f t="shared" ref="J394:P394" si="163">AVERAGE(J109:J113)</f>
        <v>3.4</v>
      </c>
      <c r="K394" s="200">
        <f t="shared" si="163"/>
        <v>4256.2</v>
      </c>
      <c r="L394" s="200">
        <f t="shared" si="163"/>
        <v>39689</v>
      </c>
      <c r="M394" s="200">
        <f t="shared" si="163"/>
        <v>63927.199999999997</v>
      </c>
      <c r="N394" s="200">
        <f t="shared" si="163"/>
        <v>11054.2</v>
      </c>
      <c r="O394" s="200">
        <f t="shared" si="163"/>
        <v>6.8</v>
      </c>
      <c r="P394" s="200">
        <f t="shared" si="163"/>
        <v>118930</v>
      </c>
    </row>
    <row r="395" spans="1:16" ht="11.25" customHeight="1" x14ac:dyDescent="0.25">
      <c r="A395" s="473" t="s">
        <v>14</v>
      </c>
      <c r="B395" s="200">
        <f>AVERAGE(B114:B118)</f>
        <v>13857</v>
      </c>
      <c r="C395" s="200">
        <f t="shared" ref="C395:P395" si="164">AVERAGE(C114:C118)</f>
        <v>11296.8</v>
      </c>
      <c r="D395" s="200">
        <f t="shared" si="164"/>
        <v>5082</v>
      </c>
      <c r="E395" s="200">
        <f t="shared" si="164"/>
        <v>5266.2</v>
      </c>
      <c r="F395" s="200">
        <f t="shared" si="164"/>
        <v>1017.6</v>
      </c>
      <c r="G395" s="200">
        <f t="shared" si="164"/>
        <v>29.4</v>
      </c>
      <c r="H395" s="200">
        <f t="shared" si="164"/>
        <v>36519.599999999999</v>
      </c>
      <c r="I395" s="200"/>
      <c r="J395" s="200">
        <f t="shared" si="164"/>
        <v>0.6</v>
      </c>
      <c r="K395" s="200">
        <f t="shared" si="164"/>
        <v>0.6</v>
      </c>
      <c r="L395" s="200">
        <f t="shared" si="164"/>
        <v>20067.8</v>
      </c>
      <c r="M395" s="200">
        <f t="shared" si="164"/>
        <v>36911.199999999997</v>
      </c>
      <c r="N395" s="200">
        <f t="shared" si="164"/>
        <v>10220</v>
      </c>
      <c r="O395" s="200">
        <f t="shared" si="164"/>
        <v>102.6</v>
      </c>
      <c r="P395" s="200">
        <f t="shared" si="164"/>
        <v>67200.2</v>
      </c>
    </row>
    <row r="396" spans="1:16" ht="11.25" customHeight="1" x14ac:dyDescent="0.25">
      <c r="A396" s="473" t="s">
        <v>207</v>
      </c>
      <c r="B396" s="200">
        <f>AVERAGE(B119:B123)</f>
        <v>6777.6</v>
      </c>
      <c r="C396" s="200">
        <f t="shared" ref="C396:P396" si="165">AVERAGE(C119:C123)</f>
        <v>8841.6</v>
      </c>
      <c r="D396" s="200">
        <f t="shared" si="165"/>
        <v>1252</v>
      </c>
      <c r="E396" s="200">
        <f t="shared" si="165"/>
        <v>4388.6000000000004</v>
      </c>
      <c r="F396" s="200">
        <f t="shared" si="165"/>
        <v>1893.4</v>
      </c>
      <c r="G396" s="200" t="s">
        <v>29</v>
      </c>
      <c r="H396" s="200">
        <f t="shared" si="165"/>
        <v>23153.200000000001</v>
      </c>
      <c r="I396" s="200"/>
      <c r="J396" s="200">
        <f t="shared" si="165"/>
        <v>0</v>
      </c>
      <c r="K396" s="200">
        <f t="shared" si="165"/>
        <v>0.2</v>
      </c>
      <c r="L396" s="200">
        <f t="shared" si="165"/>
        <v>1576.8</v>
      </c>
      <c r="M396" s="200">
        <f t="shared" si="165"/>
        <v>14187.4</v>
      </c>
      <c r="N396" s="200">
        <f t="shared" si="165"/>
        <v>8610.4</v>
      </c>
      <c r="O396" s="200" t="s">
        <v>29</v>
      </c>
      <c r="P396" s="200">
        <f t="shared" si="165"/>
        <v>24374.799999999999</v>
      </c>
    </row>
    <row r="397" spans="1:16" ht="11.25" customHeight="1" x14ac:dyDescent="0.25">
      <c r="A397" s="473" t="s">
        <v>238</v>
      </c>
      <c r="B397" s="200">
        <f>AVERAGE(B124:B128)</f>
        <v>20774.599999999999</v>
      </c>
      <c r="C397" s="200">
        <f t="shared" ref="C397:H397" si="166">AVERAGE(C124:C128)</f>
        <v>20731.8</v>
      </c>
      <c r="D397" s="200">
        <f t="shared" si="166"/>
        <v>19158.8</v>
      </c>
      <c r="E397" s="200">
        <f t="shared" si="166"/>
        <v>13599</v>
      </c>
      <c r="F397" s="200">
        <f t="shared" si="166"/>
        <v>3894.8</v>
      </c>
      <c r="G397" s="200">
        <f t="shared" si="166"/>
        <v>22.5</v>
      </c>
      <c r="H397" s="200">
        <f t="shared" si="166"/>
        <v>78159</v>
      </c>
      <c r="I397" s="200"/>
      <c r="J397" s="200">
        <f t="shared" ref="J397:P397" si="167">AVERAGE(J124:J128)</f>
        <v>2</v>
      </c>
      <c r="K397" s="200">
        <f t="shared" si="167"/>
        <v>3.4</v>
      </c>
      <c r="L397" s="200">
        <f t="shared" si="167"/>
        <v>8356.7999999999993</v>
      </c>
      <c r="M397" s="200">
        <f t="shared" si="167"/>
        <v>20198</v>
      </c>
      <c r="N397" s="200">
        <f t="shared" si="167"/>
        <v>11124.8</v>
      </c>
      <c r="O397" s="200">
        <f t="shared" si="167"/>
        <v>66.25</v>
      </c>
      <c r="P397" s="200">
        <f t="shared" si="167"/>
        <v>40078.800000000003</v>
      </c>
    </row>
    <row r="398" spans="1:16" ht="11.25" customHeight="1" x14ac:dyDescent="0.25">
      <c r="A398" s="473">
        <v>2006</v>
      </c>
      <c r="B398" s="200">
        <f t="shared" ref="B398:H398" si="168">B129</f>
        <v>7556</v>
      </c>
      <c r="C398" s="200">
        <f t="shared" si="168"/>
        <v>11889</v>
      </c>
      <c r="D398" s="200">
        <f t="shared" si="168"/>
        <v>8809</v>
      </c>
      <c r="E398" s="200">
        <f t="shared" si="168"/>
        <v>10148</v>
      </c>
      <c r="F398" s="200">
        <f t="shared" si="168"/>
        <v>6788</v>
      </c>
      <c r="G398" s="200">
        <f t="shared" si="168"/>
        <v>15</v>
      </c>
      <c r="H398" s="200">
        <f t="shared" si="168"/>
        <v>45190</v>
      </c>
      <c r="I398" s="200"/>
      <c r="J398" s="200">
        <f t="shared" ref="J398:P398" si="169">J129</f>
        <v>16</v>
      </c>
      <c r="K398" s="200">
        <f t="shared" si="169"/>
        <v>102</v>
      </c>
      <c r="L398" s="200">
        <f t="shared" si="169"/>
        <v>10597</v>
      </c>
      <c r="M398" s="200">
        <f t="shared" si="169"/>
        <v>11450</v>
      </c>
      <c r="N398" s="200">
        <f t="shared" si="169"/>
        <v>10964</v>
      </c>
      <c r="O398" s="200">
        <f t="shared" si="169"/>
        <v>5</v>
      </c>
      <c r="P398" s="200">
        <f t="shared" si="169"/>
        <v>33129</v>
      </c>
    </row>
    <row r="399" spans="1:16" ht="11.25" customHeight="1" x14ac:dyDescent="0.25">
      <c r="A399" s="477">
        <v>2007</v>
      </c>
      <c r="B399" s="203">
        <f t="shared" ref="B399:H399" si="170">B130</f>
        <v>6009</v>
      </c>
      <c r="C399" s="203">
        <f t="shared" si="170"/>
        <v>18497</v>
      </c>
      <c r="D399" s="203">
        <f t="shared" si="170"/>
        <v>6808</v>
      </c>
      <c r="E399" s="203">
        <f t="shared" si="170"/>
        <v>5300</v>
      </c>
      <c r="F399" s="203">
        <f t="shared" si="170"/>
        <v>97</v>
      </c>
      <c r="G399" s="203">
        <f t="shared" si="170"/>
        <v>0</v>
      </c>
      <c r="H399" s="203">
        <f t="shared" si="170"/>
        <v>36711</v>
      </c>
      <c r="I399" s="203"/>
      <c r="J399" s="203">
        <f t="shared" ref="J399:P399" si="171">J130</f>
        <v>0</v>
      </c>
      <c r="K399" s="203">
        <f t="shared" si="171"/>
        <v>12</v>
      </c>
      <c r="L399" s="203">
        <f t="shared" si="171"/>
        <v>24687</v>
      </c>
      <c r="M399" s="203">
        <f t="shared" si="171"/>
        <v>17466</v>
      </c>
      <c r="N399" s="203">
        <f t="shared" si="171"/>
        <v>894</v>
      </c>
      <c r="O399" s="203">
        <f t="shared" si="171"/>
        <v>0</v>
      </c>
      <c r="P399" s="203">
        <f t="shared" si="171"/>
        <v>43059</v>
      </c>
    </row>
    <row r="400" spans="1:16" ht="11.25" customHeight="1" x14ac:dyDescent="0.25">
      <c r="A400" s="477">
        <v>2008</v>
      </c>
      <c r="B400" s="203">
        <f t="shared" ref="B400:H400" si="172">B131</f>
        <v>1809</v>
      </c>
      <c r="C400" s="203">
        <f t="shared" si="172"/>
        <v>12214</v>
      </c>
      <c r="D400" s="203">
        <f t="shared" si="172"/>
        <v>3272</v>
      </c>
      <c r="E400" s="203">
        <f t="shared" si="172"/>
        <v>7168</v>
      </c>
      <c r="F400" s="203">
        <f t="shared" si="172"/>
        <v>3838</v>
      </c>
      <c r="G400" s="203">
        <f t="shared" si="172"/>
        <v>1</v>
      </c>
      <c r="H400" s="203">
        <f t="shared" si="172"/>
        <v>28301</v>
      </c>
      <c r="I400" s="203"/>
      <c r="J400" s="203">
        <f t="shared" ref="J400:P400" si="173">J131</f>
        <v>0</v>
      </c>
      <c r="K400" s="203">
        <f t="shared" si="173"/>
        <v>18</v>
      </c>
      <c r="L400" s="203">
        <f t="shared" si="173"/>
        <v>1216</v>
      </c>
      <c r="M400" s="203">
        <f t="shared" si="173"/>
        <v>4478</v>
      </c>
      <c r="N400" s="203">
        <f t="shared" si="173"/>
        <v>10181</v>
      </c>
      <c r="O400" s="203">
        <f t="shared" si="173"/>
        <v>0</v>
      </c>
      <c r="P400" s="203">
        <f t="shared" si="173"/>
        <v>15893</v>
      </c>
    </row>
    <row r="401" spans="1:16" ht="11.25" customHeight="1" x14ac:dyDescent="0.25">
      <c r="A401" s="477">
        <v>2009</v>
      </c>
      <c r="B401" s="203">
        <f t="shared" ref="B401:H401" si="174">B132</f>
        <v>7036</v>
      </c>
      <c r="C401" s="203">
        <f t="shared" si="174"/>
        <v>9923</v>
      </c>
      <c r="D401" s="203">
        <f t="shared" si="174"/>
        <v>3944</v>
      </c>
      <c r="E401" s="203">
        <f t="shared" si="174"/>
        <v>3246</v>
      </c>
      <c r="F401" s="203">
        <f t="shared" si="174"/>
        <v>132</v>
      </c>
      <c r="G401" s="203">
        <f t="shared" si="174"/>
        <v>25</v>
      </c>
      <c r="H401" s="203">
        <f t="shared" si="174"/>
        <v>24281</v>
      </c>
      <c r="I401" s="203"/>
      <c r="J401" s="203">
        <f t="shared" ref="J401:P401" si="175">J132</f>
        <v>0</v>
      </c>
      <c r="K401" s="203">
        <f t="shared" si="175"/>
        <v>0</v>
      </c>
      <c r="L401" s="203">
        <f t="shared" si="175"/>
        <v>30279</v>
      </c>
      <c r="M401" s="203">
        <f t="shared" si="175"/>
        <v>44422</v>
      </c>
      <c r="N401" s="203">
        <f t="shared" si="175"/>
        <v>3763</v>
      </c>
      <c r="O401" s="203">
        <f t="shared" si="175"/>
        <v>15</v>
      </c>
      <c r="P401" s="203">
        <f t="shared" si="175"/>
        <v>78464</v>
      </c>
    </row>
    <row r="402" spans="1:16" ht="11.25" customHeight="1" x14ac:dyDescent="0.25">
      <c r="A402" s="477">
        <v>2010</v>
      </c>
      <c r="B402" s="203">
        <f t="shared" ref="B402:H402" si="176">B133</f>
        <v>10145</v>
      </c>
      <c r="C402" s="203">
        <f t="shared" si="176"/>
        <v>34482</v>
      </c>
      <c r="D402" s="203">
        <f t="shared" si="176"/>
        <v>13056</v>
      </c>
      <c r="E402" s="203">
        <f t="shared" si="176"/>
        <v>16960</v>
      </c>
      <c r="F402" s="203">
        <f t="shared" si="176"/>
        <v>1946</v>
      </c>
      <c r="G402" s="203">
        <f t="shared" si="176"/>
        <v>10</v>
      </c>
      <c r="H402" s="203">
        <f t="shared" si="176"/>
        <v>76589</v>
      </c>
      <c r="I402" s="203"/>
      <c r="J402" s="203">
        <f t="shared" ref="J402:P402" si="177">J133</f>
        <v>2</v>
      </c>
      <c r="K402" s="203">
        <f t="shared" si="177"/>
        <v>63</v>
      </c>
      <c r="L402" s="203">
        <f t="shared" si="177"/>
        <v>3100</v>
      </c>
      <c r="M402" s="203">
        <f t="shared" si="177"/>
        <v>5802</v>
      </c>
      <c r="N402" s="203">
        <f t="shared" si="177"/>
        <v>4447</v>
      </c>
      <c r="O402" s="203">
        <f t="shared" si="177"/>
        <v>15</v>
      </c>
      <c r="P402" s="203">
        <f t="shared" si="177"/>
        <v>13414</v>
      </c>
    </row>
    <row r="403" spans="1:16" ht="11.25" customHeight="1" x14ac:dyDescent="0.25">
      <c r="A403" s="477">
        <v>2011</v>
      </c>
      <c r="B403" s="203">
        <f t="shared" ref="B403:H403" si="178">B134</f>
        <v>8802</v>
      </c>
      <c r="C403" s="203">
        <f t="shared" si="178"/>
        <v>18132</v>
      </c>
      <c r="D403" s="203">
        <f t="shared" si="178"/>
        <v>20776</v>
      </c>
      <c r="E403" s="203">
        <f t="shared" si="178"/>
        <v>9228</v>
      </c>
      <c r="F403" s="203">
        <f t="shared" si="178"/>
        <v>756</v>
      </c>
      <c r="G403" s="203">
        <f t="shared" si="178"/>
        <v>0</v>
      </c>
      <c r="H403" s="203">
        <f t="shared" si="178"/>
        <v>57694</v>
      </c>
      <c r="I403" s="203"/>
      <c r="J403" s="203">
        <f t="shared" ref="J403:P403" si="179">J134</f>
        <v>0</v>
      </c>
      <c r="K403" s="203">
        <f t="shared" si="179"/>
        <v>0</v>
      </c>
      <c r="L403" s="203">
        <f t="shared" si="179"/>
        <v>3692</v>
      </c>
      <c r="M403" s="203">
        <f t="shared" si="179"/>
        <v>5683</v>
      </c>
      <c r="N403" s="203">
        <f t="shared" si="179"/>
        <v>7204</v>
      </c>
      <c r="O403" s="203">
        <f t="shared" si="179"/>
        <v>0</v>
      </c>
      <c r="P403" s="203">
        <f t="shared" si="179"/>
        <v>16579</v>
      </c>
    </row>
    <row r="404" spans="1:16" ht="11.25" customHeight="1" x14ac:dyDescent="0.25">
      <c r="A404" s="473">
        <v>2012</v>
      </c>
      <c r="B404" s="203">
        <f t="shared" ref="B404:H410" si="180">B135</f>
        <v>14831</v>
      </c>
      <c r="C404" s="203">
        <f t="shared" si="180"/>
        <v>31067</v>
      </c>
      <c r="D404" s="203">
        <f t="shared" si="180"/>
        <v>15456</v>
      </c>
      <c r="E404" s="203">
        <f t="shared" si="180"/>
        <v>21048</v>
      </c>
      <c r="F404" s="203">
        <f t="shared" si="180"/>
        <v>6992</v>
      </c>
      <c r="G404" s="203">
        <f t="shared" si="180"/>
        <v>10</v>
      </c>
      <c r="H404" s="203">
        <f t="shared" si="180"/>
        <v>89394</v>
      </c>
      <c r="I404" s="203"/>
      <c r="J404" s="203">
        <f t="shared" ref="J404:P410" si="181">J135</f>
        <v>1</v>
      </c>
      <c r="K404" s="203">
        <f t="shared" si="181"/>
        <v>101</v>
      </c>
      <c r="L404" s="203">
        <f t="shared" si="181"/>
        <v>3515</v>
      </c>
      <c r="M404" s="203">
        <f t="shared" si="181"/>
        <v>19906</v>
      </c>
      <c r="N404" s="203">
        <f t="shared" si="181"/>
        <v>17186</v>
      </c>
      <c r="O404" s="203">
        <f t="shared" si="181"/>
        <v>0</v>
      </c>
      <c r="P404" s="203">
        <f t="shared" si="181"/>
        <v>40709</v>
      </c>
    </row>
    <row r="405" spans="1:16" ht="11.25" customHeight="1" x14ac:dyDescent="0.25">
      <c r="A405" s="473">
        <v>2013</v>
      </c>
      <c r="B405" s="203">
        <f t="shared" si="180"/>
        <v>22416</v>
      </c>
      <c r="C405" s="203">
        <f t="shared" si="180"/>
        <v>30951</v>
      </c>
      <c r="D405" s="203">
        <f t="shared" si="180"/>
        <v>17126</v>
      </c>
      <c r="E405" s="203">
        <f t="shared" si="180"/>
        <v>16605</v>
      </c>
      <c r="F405" s="203">
        <f t="shared" si="180"/>
        <v>3592</v>
      </c>
      <c r="G405" s="203">
        <f t="shared" si="180"/>
        <v>0</v>
      </c>
      <c r="H405" s="203">
        <f t="shared" si="180"/>
        <v>90690</v>
      </c>
      <c r="I405" s="203"/>
      <c r="J405" s="203">
        <f t="shared" si="181"/>
        <v>0</v>
      </c>
      <c r="K405" s="203">
        <f t="shared" si="181"/>
        <v>7</v>
      </c>
      <c r="L405" s="203">
        <f t="shared" si="181"/>
        <v>9614</v>
      </c>
      <c r="M405" s="203">
        <f t="shared" si="181"/>
        <v>39927</v>
      </c>
      <c r="N405" s="203">
        <f t="shared" si="181"/>
        <v>4634</v>
      </c>
      <c r="O405" s="203">
        <f t="shared" si="181"/>
        <v>0</v>
      </c>
      <c r="P405" s="203">
        <f t="shared" si="181"/>
        <v>54182</v>
      </c>
    </row>
    <row r="406" spans="1:16" ht="11.25" customHeight="1" x14ac:dyDescent="0.25">
      <c r="A406" s="477">
        <v>2014</v>
      </c>
      <c r="B406" s="203">
        <f t="shared" si="180"/>
        <v>25396</v>
      </c>
      <c r="C406" s="203">
        <f t="shared" si="180"/>
        <v>19559</v>
      </c>
      <c r="D406" s="203">
        <f t="shared" si="180"/>
        <v>28741</v>
      </c>
      <c r="E406" s="203">
        <f t="shared" si="180"/>
        <v>14457</v>
      </c>
      <c r="F406" s="203">
        <f t="shared" si="180"/>
        <v>3335</v>
      </c>
      <c r="G406" s="203">
        <f t="shared" si="180"/>
        <v>0</v>
      </c>
      <c r="H406" s="203">
        <f t="shared" si="180"/>
        <v>91488</v>
      </c>
      <c r="I406" s="203"/>
      <c r="J406" s="203">
        <f t="shared" si="181"/>
        <v>0</v>
      </c>
      <c r="K406" s="203">
        <f t="shared" si="181"/>
        <v>30</v>
      </c>
      <c r="L406" s="203">
        <f t="shared" si="181"/>
        <v>13312</v>
      </c>
      <c r="M406" s="203">
        <f t="shared" si="181"/>
        <v>45281</v>
      </c>
      <c r="N406" s="203">
        <f t="shared" si="181"/>
        <v>10580</v>
      </c>
      <c r="O406" s="203">
        <f t="shared" si="181"/>
        <v>0</v>
      </c>
      <c r="P406" s="203">
        <f t="shared" si="181"/>
        <v>69203</v>
      </c>
    </row>
    <row r="407" spans="1:16" ht="11.25" customHeight="1" x14ac:dyDescent="0.25">
      <c r="A407" s="477">
        <v>2015</v>
      </c>
      <c r="B407" s="203">
        <f t="shared" si="180"/>
        <v>20237</v>
      </c>
      <c r="C407" s="203">
        <f t="shared" si="180"/>
        <v>38105</v>
      </c>
      <c r="D407" s="203">
        <f t="shared" si="180"/>
        <v>35720</v>
      </c>
      <c r="E407" s="203">
        <f t="shared" si="180"/>
        <v>13862</v>
      </c>
      <c r="F407" s="203">
        <f t="shared" si="180"/>
        <v>2303</v>
      </c>
      <c r="G407" s="203">
        <f t="shared" si="180"/>
        <v>0</v>
      </c>
      <c r="H407" s="203">
        <f t="shared" si="180"/>
        <v>110227</v>
      </c>
      <c r="I407" s="203"/>
      <c r="J407" s="203">
        <f t="shared" si="181"/>
        <v>0</v>
      </c>
      <c r="K407" s="203">
        <f t="shared" si="181"/>
        <v>3</v>
      </c>
      <c r="L407" s="203">
        <f t="shared" si="181"/>
        <v>2681</v>
      </c>
      <c r="M407" s="203">
        <f t="shared" si="181"/>
        <v>2305</v>
      </c>
      <c r="N407" s="203">
        <f t="shared" si="181"/>
        <v>1203</v>
      </c>
      <c r="O407" s="203">
        <f t="shared" si="181"/>
        <v>0</v>
      </c>
      <c r="P407" s="203">
        <f t="shared" si="181"/>
        <v>6192</v>
      </c>
    </row>
    <row r="408" spans="1:16" ht="11.25" customHeight="1" x14ac:dyDescent="0.25">
      <c r="A408" s="477">
        <v>2016</v>
      </c>
      <c r="B408" s="203">
        <f t="shared" si="180"/>
        <v>9339</v>
      </c>
      <c r="C408" s="203">
        <f t="shared" si="180"/>
        <v>17716</v>
      </c>
      <c r="D408" s="203">
        <f t="shared" si="180"/>
        <v>8454</v>
      </c>
      <c r="E408" s="203">
        <f t="shared" si="180"/>
        <v>3272</v>
      </c>
      <c r="F408" s="203">
        <f t="shared" si="180"/>
        <v>5</v>
      </c>
      <c r="G408" s="203">
        <f t="shared" si="180"/>
        <v>0</v>
      </c>
      <c r="H408" s="203">
        <f t="shared" si="180"/>
        <v>38786</v>
      </c>
      <c r="I408" s="203"/>
      <c r="J408" s="203">
        <f t="shared" si="181"/>
        <v>0</v>
      </c>
      <c r="K408" s="203">
        <f t="shared" si="181"/>
        <v>0</v>
      </c>
      <c r="L408" s="203">
        <f t="shared" si="181"/>
        <v>29</v>
      </c>
      <c r="M408" s="203">
        <f t="shared" si="181"/>
        <v>15</v>
      </c>
      <c r="N408" s="203">
        <f t="shared" si="181"/>
        <v>0</v>
      </c>
      <c r="O408" s="203">
        <f t="shared" si="181"/>
        <v>1</v>
      </c>
      <c r="P408" s="203">
        <f t="shared" si="181"/>
        <v>44</v>
      </c>
    </row>
    <row r="409" spans="1:16" ht="11.25" customHeight="1" x14ac:dyDescent="0.25">
      <c r="A409" s="477">
        <v>2017</v>
      </c>
      <c r="B409" s="203">
        <f t="shared" si="180"/>
        <v>14609</v>
      </c>
      <c r="C409" s="203">
        <f t="shared" si="180"/>
        <v>9285</v>
      </c>
      <c r="D409" s="203">
        <f t="shared" si="180"/>
        <v>21478</v>
      </c>
      <c r="E409" s="203">
        <f t="shared" si="180"/>
        <v>9890</v>
      </c>
      <c r="F409" s="203">
        <f t="shared" si="180"/>
        <v>1511</v>
      </c>
      <c r="G409" s="203">
        <f t="shared" si="180"/>
        <v>0</v>
      </c>
      <c r="H409" s="203">
        <f t="shared" si="180"/>
        <v>56773</v>
      </c>
      <c r="I409" s="203"/>
      <c r="J409" s="203">
        <f t="shared" si="181"/>
        <v>0</v>
      </c>
      <c r="K409" s="203">
        <f t="shared" si="181"/>
        <v>0</v>
      </c>
      <c r="L409" s="203">
        <f t="shared" si="181"/>
        <v>1220</v>
      </c>
      <c r="M409" s="203">
        <f t="shared" si="181"/>
        <v>7869</v>
      </c>
      <c r="N409" s="203">
        <f t="shared" si="181"/>
        <v>5498</v>
      </c>
      <c r="O409" s="203">
        <f t="shared" si="181"/>
        <v>0</v>
      </c>
      <c r="P409" s="203">
        <f t="shared" si="181"/>
        <v>14587</v>
      </c>
    </row>
    <row r="410" spans="1:16" s="358" customFormat="1" ht="11.25" customHeight="1" x14ac:dyDescent="0.25">
      <c r="A410" s="157">
        <v>2018</v>
      </c>
      <c r="B410" s="203">
        <f t="shared" si="180"/>
        <v>7972</v>
      </c>
      <c r="C410" s="203">
        <f t="shared" si="180"/>
        <v>20698</v>
      </c>
      <c r="D410" s="203">
        <f t="shared" si="180"/>
        <v>13924</v>
      </c>
      <c r="E410" s="203">
        <f t="shared" si="180"/>
        <v>3566</v>
      </c>
      <c r="F410" s="203">
        <f t="shared" si="180"/>
        <v>1168</v>
      </c>
      <c r="G410" s="203">
        <f t="shared" si="180"/>
        <v>0</v>
      </c>
      <c r="H410" s="203">
        <f t="shared" si="180"/>
        <v>47328</v>
      </c>
      <c r="I410" s="203"/>
      <c r="J410" s="203">
        <f t="shared" si="181"/>
        <v>0</v>
      </c>
      <c r="K410" s="203">
        <f t="shared" si="181"/>
        <v>15</v>
      </c>
      <c r="L410" s="203">
        <f t="shared" si="181"/>
        <v>2166</v>
      </c>
      <c r="M410" s="203">
        <f t="shared" si="181"/>
        <v>5968</v>
      </c>
      <c r="N410" s="203">
        <f t="shared" si="181"/>
        <v>4912</v>
      </c>
      <c r="O410" s="203">
        <f t="shared" si="181"/>
        <v>0</v>
      </c>
      <c r="P410" s="203">
        <f t="shared" si="181"/>
        <v>13061</v>
      </c>
    </row>
    <row r="411" spans="1:16" s="358" customFormat="1" ht="11.25" customHeight="1" x14ac:dyDescent="0.25">
      <c r="A411" s="157">
        <v>2019</v>
      </c>
      <c r="B411" s="203">
        <f t="shared" ref="B411:H412" si="182">B142</f>
        <v>4571</v>
      </c>
      <c r="C411" s="203">
        <f t="shared" si="182"/>
        <v>5128</v>
      </c>
      <c r="D411" s="203">
        <f t="shared" si="182"/>
        <v>23708</v>
      </c>
      <c r="E411" s="203">
        <f t="shared" si="182"/>
        <v>5430</v>
      </c>
      <c r="F411" s="203">
        <f t="shared" si="182"/>
        <v>2031</v>
      </c>
      <c r="G411" s="203">
        <f t="shared" si="182"/>
        <v>0</v>
      </c>
      <c r="H411" s="203">
        <f t="shared" si="182"/>
        <v>40868</v>
      </c>
      <c r="I411" s="203"/>
      <c r="J411" s="203">
        <f t="shared" ref="J411:P412" si="183">J142</f>
        <v>0</v>
      </c>
      <c r="K411" s="203">
        <f t="shared" si="183"/>
        <v>0</v>
      </c>
      <c r="L411" s="203">
        <f t="shared" si="183"/>
        <v>15891</v>
      </c>
      <c r="M411" s="203">
        <f t="shared" si="183"/>
        <v>34878</v>
      </c>
      <c r="N411" s="203">
        <f t="shared" si="183"/>
        <v>8474</v>
      </c>
      <c r="O411" s="203">
        <f t="shared" si="183"/>
        <v>0</v>
      </c>
      <c r="P411" s="203">
        <f t="shared" si="183"/>
        <v>59243</v>
      </c>
    </row>
    <row r="412" spans="1:16" ht="11.25" customHeight="1" x14ac:dyDescent="0.25">
      <c r="A412" s="157" t="s">
        <v>393</v>
      </c>
      <c r="B412" s="203">
        <f t="shared" si="182"/>
        <v>486</v>
      </c>
      <c r="C412" s="203">
        <f t="shared" si="182"/>
        <v>1198</v>
      </c>
      <c r="D412" s="203">
        <f t="shared" si="182"/>
        <v>7891</v>
      </c>
      <c r="E412" s="203">
        <f t="shared" si="182"/>
        <v>4579</v>
      </c>
      <c r="F412" s="203">
        <f t="shared" si="182"/>
        <v>215</v>
      </c>
      <c r="G412" s="203">
        <f t="shared" si="182"/>
        <v>0</v>
      </c>
      <c r="H412" s="203">
        <f t="shared" si="182"/>
        <v>14369</v>
      </c>
      <c r="I412" s="203"/>
      <c r="J412" s="203">
        <f t="shared" si="183"/>
        <v>0</v>
      </c>
      <c r="K412" s="203">
        <f t="shared" si="183"/>
        <v>0</v>
      </c>
      <c r="L412" s="203">
        <f t="shared" si="183"/>
        <v>809</v>
      </c>
      <c r="M412" s="203">
        <f t="shared" si="183"/>
        <v>11178</v>
      </c>
      <c r="N412" s="203">
        <f t="shared" si="183"/>
        <v>3026</v>
      </c>
      <c r="O412" s="203">
        <f t="shared" si="183"/>
        <v>0</v>
      </c>
      <c r="P412" s="203">
        <f t="shared" si="183"/>
        <v>15013</v>
      </c>
    </row>
    <row r="413" spans="1:16" ht="11.25" customHeight="1" x14ac:dyDescent="0.25">
      <c r="B413" s="200"/>
      <c r="C413" s="200"/>
      <c r="D413" s="200"/>
      <c r="E413" s="200"/>
      <c r="F413" s="200"/>
      <c r="G413" s="200"/>
      <c r="H413" s="200"/>
      <c r="I413" s="200"/>
      <c r="J413" s="200"/>
      <c r="K413" s="200"/>
      <c r="L413" s="200"/>
      <c r="M413" s="200"/>
      <c r="N413" s="200"/>
      <c r="O413" s="200"/>
      <c r="P413" s="200"/>
    </row>
    <row r="414" spans="1:16" x14ac:dyDescent="0.25">
      <c r="A414" s="116" t="s">
        <v>96</v>
      </c>
      <c r="B414" s="155"/>
      <c r="C414" s="155"/>
      <c r="D414" s="155"/>
      <c r="E414" s="128"/>
      <c r="F414" s="128"/>
      <c r="G414" s="128"/>
      <c r="H414" s="128"/>
      <c r="I414" s="128"/>
      <c r="J414" s="128"/>
      <c r="K414" s="128"/>
      <c r="L414" s="128"/>
      <c r="M414" s="128"/>
      <c r="N414" s="128"/>
      <c r="O414" s="128"/>
      <c r="P414" s="128"/>
    </row>
    <row r="415" spans="1:16" ht="11.25" customHeight="1" x14ac:dyDescent="0.25">
      <c r="A415" s="473" t="s">
        <v>30</v>
      </c>
      <c r="B415" s="200">
        <f>AVERAGE(B151:B155)</f>
        <v>11201.8</v>
      </c>
      <c r="C415" s="200">
        <f t="shared" ref="C415:H415" si="184">AVERAGE(C151:C155)</f>
        <v>758</v>
      </c>
      <c r="D415" s="200">
        <f t="shared" si="184"/>
        <v>1884</v>
      </c>
      <c r="E415" s="200">
        <f t="shared" si="184"/>
        <v>775.2</v>
      </c>
      <c r="F415" s="200">
        <f t="shared" si="184"/>
        <v>106.8</v>
      </c>
      <c r="G415" s="200">
        <f t="shared" si="184"/>
        <v>2.4</v>
      </c>
      <c r="H415" s="200">
        <f t="shared" si="184"/>
        <v>14728.2</v>
      </c>
      <c r="I415" s="200"/>
      <c r="J415" s="200" t="s">
        <v>29</v>
      </c>
      <c r="K415" s="200" t="s">
        <v>29</v>
      </c>
      <c r="L415" s="200">
        <f>AVERAGE(L151:L155)</f>
        <v>48629</v>
      </c>
      <c r="M415" s="200">
        <f>AVERAGE(M151:M155)</f>
        <v>26289</v>
      </c>
      <c r="N415" s="200">
        <f>AVERAGE(N151:N155)</f>
        <v>15916</v>
      </c>
      <c r="O415" s="200" t="s">
        <v>29</v>
      </c>
      <c r="P415" s="200">
        <f>AVERAGE(P151:P155)</f>
        <v>53391.8</v>
      </c>
    </row>
    <row r="416" spans="1:16" ht="11.25" customHeight="1" x14ac:dyDescent="0.25">
      <c r="A416" s="473" t="s">
        <v>87</v>
      </c>
      <c r="B416" s="200">
        <f>AVERAGE(B156:B160)</f>
        <v>4788.8</v>
      </c>
      <c r="C416" s="200">
        <f t="shared" ref="C416:H416" si="185">AVERAGE(C156:C160)</f>
        <v>1264</v>
      </c>
      <c r="D416" s="200">
        <f t="shared" si="185"/>
        <v>3549</v>
      </c>
      <c r="E416" s="200">
        <f t="shared" si="185"/>
        <v>2690.6666666666665</v>
      </c>
      <c r="F416" s="200">
        <f t="shared" si="185"/>
        <v>1702</v>
      </c>
      <c r="G416" s="200">
        <f t="shared" si="185"/>
        <v>71</v>
      </c>
      <c r="H416" s="200">
        <f t="shared" si="185"/>
        <v>8566.4</v>
      </c>
      <c r="I416" s="200"/>
      <c r="J416" s="200" t="s">
        <v>29</v>
      </c>
      <c r="K416" s="200" t="s">
        <v>29</v>
      </c>
      <c r="L416" s="200">
        <f>AVERAGE(L156:L160)</f>
        <v>18234</v>
      </c>
      <c r="M416" s="200">
        <f>AVERAGE(M156:M160)</f>
        <v>41121</v>
      </c>
      <c r="N416" s="200">
        <f>AVERAGE(N156:N160)</f>
        <v>19306</v>
      </c>
      <c r="O416" s="200">
        <f>AVERAGE(O156:O160)</f>
        <v>304</v>
      </c>
      <c r="P416" s="200">
        <f>AVERAGE(P156:P160)</f>
        <v>45128.25</v>
      </c>
    </row>
    <row r="417" spans="1:16" ht="11.25" customHeight="1" x14ac:dyDescent="0.25">
      <c r="A417" s="473" t="s">
        <v>14</v>
      </c>
      <c r="B417" s="200">
        <f>AVERAGE(B161:B165)</f>
        <v>1464.6666666666667</v>
      </c>
      <c r="C417" s="200">
        <f t="shared" ref="C417:P417" si="186">AVERAGE(C161:C165)</f>
        <v>357.33333333333331</v>
      </c>
      <c r="D417" s="200">
        <f t="shared" si="186"/>
        <v>134</v>
      </c>
      <c r="E417" s="200">
        <f t="shared" si="186"/>
        <v>343.66666666666669</v>
      </c>
      <c r="F417" s="200">
        <f t="shared" si="186"/>
        <v>102.5</v>
      </c>
      <c r="G417" s="200" t="s">
        <v>29</v>
      </c>
      <c r="H417" s="200">
        <f t="shared" si="186"/>
        <v>2323.3333333333335</v>
      </c>
      <c r="I417" s="200"/>
      <c r="J417" s="200" t="s">
        <v>29</v>
      </c>
      <c r="K417" s="200" t="s">
        <v>29</v>
      </c>
      <c r="L417" s="200">
        <f t="shared" si="186"/>
        <v>911</v>
      </c>
      <c r="M417" s="200">
        <f t="shared" si="186"/>
        <v>12674</v>
      </c>
      <c r="N417" s="200">
        <f t="shared" si="186"/>
        <v>3936.5</v>
      </c>
      <c r="O417" s="200" t="s">
        <v>29</v>
      </c>
      <c r="P417" s="200">
        <f t="shared" si="186"/>
        <v>15905.666666666666</v>
      </c>
    </row>
    <row r="418" spans="1:16" ht="11.25" customHeight="1" x14ac:dyDescent="0.25">
      <c r="A418" s="473" t="s">
        <v>207</v>
      </c>
      <c r="B418" s="200">
        <f>AVERAGE(B166:B170)</f>
        <v>8.5</v>
      </c>
      <c r="C418" s="200">
        <f t="shared" ref="C418:P418" si="187">AVERAGE(C166:C170)</f>
        <v>63.5</v>
      </c>
      <c r="D418" s="200" t="s">
        <v>29</v>
      </c>
      <c r="E418" s="200">
        <f t="shared" si="187"/>
        <v>2464</v>
      </c>
      <c r="F418" s="200">
        <f t="shared" si="187"/>
        <v>89</v>
      </c>
      <c r="G418" s="200" t="s">
        <v>29</v>
      </c>
      <c r="H418" s="200">
        <f t="shared" si="187"/>
        <v>710.25</v>
      </c>
      <c r="I418" s="200"/>
      <c r="J418" s="200" t="s">
        <v>29</v>
      </c>
      <c r="K418" s="200" t="s">
        <v>29</v>
      </c>
      <c r="L418" s="200" t="s">
        <v>29</v>
      </c>
      <c r="M418" s="200">
        <f t="shared" si="187"/>
        <v>7020.5</v>
      </c>
      <c r="N418" s="200">
        <f t="shared" si="187"/>
        <v>1043</v>
      </c>
      <c r="O418" s="200" t="s">
        <v>29</v>
      </c>
      <c r="P418" s="200">
        <f t="shared" si="187"/>
        <v>7542</v>
      </c>
    </row>
    <row r="419" spans="1:16" ht="11.25" customHeight="1" x14ac:dyDescent="0.25">
      <c r="A419" s="473" t="s">
        <v>238</v>
      </c>
      <c r="B419" s="200">
        <f>AVERAGE(B171:B175)</f>
        <v>3030.8</v>
      </c>
      <c r="C419" s="200">
        <f t="shared" ref="C419:H419" si="188">AVERAGE(C171:C175)</f>
        <v>1512</v>
      </c>
      <c r="D419" s="200">
        <f t="shared" si="188"/>
        <v>1802</v>
      </c>
      <c r="E419" s="200">
        <f t="shared" si="188"/>
        <v>2683.8</v>
      </c>
      <c r="F419" s="200">
        <f t="shared" si="188"/>
        <v>598.66666666666663</v>
      </c>
      <c r="G419" s="200" t="s">
        <v>29</v>
      </c>
      <c r="H419" s="200">
        <f t="shared" si="188"/>
        <v>9387.7999999999993</v>
      </c>
      <c r="I419" s="200"/>
      <c r="J419" s="200" t="str">
        <f t="shared" ref="J419:O419" si="189">J171</f>
        <v>-</v>
      </c>
      <c r="K419" s="200" t="str">
        <f t="shared" si="189"/>
        <v>-</v>
      </c>
      <c r="L419" s="200">
        <f>AVERAGE(L171:L175)</f>
        <v>1801.5</v>
      </c>
      <c r="M419" s="200">
        <f>AVERAGE(M171:M175)</f>
        <v>2877.4</v>
      </c>
      <c r="N419" s="200">
        <f>AVERAGE(N171:N175)</f>
        <v>3932</v>
      </c>
      <c r="O419" s="200" t="str">
        <f t="shared" si="189"/>
        <v>-</v>
      </c>
      <c r="P419" s="200">
        <f>AVERAGE(P171:P175)</f>
        <v>6677.8</v>
      </c>
    </row>
    <row r="420" spans="1:16" ht="11.25" customHeight="1" x14ac:dyDescent="0.25">
      <c r="A420" s="473">
        <v>2006</v>
      </c>
      <c r="B420" s="200">
        <f t="shared" ref="B420:H420" si="190">B176</f>
        <v>8913</v>
      </c>
      <c r="C420" s="200">
        <f t="shared" si="190"/>
        <v>3532</v>
      </c>
      <c r="D420" s="200">
        <f t="shared" si="190"/>
        <v>1</v>
      </c>
      <c r="E420" s="200">
        <f t="shared" si="190"/>
        <v>62</v>
      </c>
      <c r="F420" s="200">
        <f t="shared" si="190"/>
        <v>105</v>
      </c>
      <c r="G420" s="200" t="str">
        <f t="shared" si="190"/>
        <v>-</v>
      </c>
      <c r="H420" s="200">
        <f t="shared" si="190"/>
        <v>12613</v>
      </c>
      <c r="I420" s="200"/>
      <c r="J420" s="200" t="str">
        <f t="shared" ref="J420:P420" si="191">J176</f>
        <v>-</v>
      </c>
      <c r="K420" s="200" t="str">
        <f t="shared" si="191"/>
        <v>-</v>
      </c>
      <c r="L420" s="200">
        <f t="shared" si="191"/>
        <v>17</v>
      </c>
      <c r="M420" s="200">
        <f t="shared" si="191"/>
        <v>944</v>
      </c>
      <c r="N420" s="200">
        <f t="shared" si="191"/>
        <v>527</v>
      </c>
      <c r="O420" s="200" t="str">
        <f t="shared" si="191"/>
        <v>-</v>
      </c>
      <c r="P420" s="200">
        <f t="shared" si="191"/>
        <v>1488</v>
      </c>
    </row>
    <row r="421" spans="1:16" ht="11.25" customHeight="1" x14ac:dyDescent="0.25">
      <c r="A421" s="477">
        <v>2007</v>
      </c>
      <c r="B421" s="203">
        <f t="shared" ref="B421:H421" si="192">B177</f>
        <v>950</v>
      </c>
      <c r="C421" s="203">
        <f t="shared" si="192"/>
        <v>600</v>
      </c>
      <c r="D421" s="203">
        <f t="shared" si="192"/>
        <v>158</v>
      </c>
      <c r="E421" s="203">
        <f t="shared" si="192"/>
        <v>213</v>
      </c>
      <c r="F421" s="203">
        <f t="shared" si="192"/>
        <v>22</v>
      </c>
      <c r="G421" s="203" t="str">
        <f t="shared" si="192"/>
        <v>-</v>
      </c>
      <c r="H421" s="203">
        <f t="shared" si="192"/>
        <v>1943</v>
      </c>
      <c r="I421" s="203"/>
      <c r="J421" s="203" t="str">
        <f t="shared" ref="J421:P421" si="193">J177</f>
        <v>-</v>
      </c>
      <c r="K421" s="203" t="str">
        <f t="shared" si="193"/>
        <v>-</v>
      </c>
      <c r="L421" s="203">
        <f t="shared" si="193"/>
        <v>1400</v>
      </c>
      <c r="M421" s="203">
        <f t="shared" si="193"/>
        <v>12736</v>
      </c>
      <c r="N421" s="203">
        <f t="shared" si="193"/>
        <v>283</v>
      </c>
      <c r="O421" s="203" t="str">
        <f t="shared" si="193"/>
        <v>-</v>
      </c>
      <c r="P421" s="203">
        <f t="shared" si="193"/>
        <v>14419</v>
      </c>
    </row>
    <row r="422" spans="1:16" ht="11.25" customHeight="1" x14ac:dyDescent="0.25">
      <c r="A422" s="477">
        <v>2008</v>
      </c>
      <c r="B422" s="203">
        <f t="shared" ref="B422:H422" si="194">B178</f>
        <v>2977</v>
      </c>
      <c r="C422" s="203">
        <f t="shared" si="194"/>
        <v>3355</v>
      </c>
      <c r="D422" s="203">
        <f t="shared" si="194"/>
        <v>136</v>
      </c>
      <c r="E422" s="203">
        <f t="shared" si="194"/>
        <v>185</v>
      </c>
      <c r="F422" s="203">
        <f t="shared" si="194"/>
        <v>23</v>
      </c>
      <c r="G422" s="203" t="str">
        <f t="shared" si="194"/>
        <v>-</v>
      </c>
      <c r="H422" s="203">
        <f t="shared" si="194"/>
        <v>6676</v>
      </c>
      <c r="I422" s="203"/>
      <c r="J422" s="203" t="str">
        <f t="shared" ref="J422:P422" si="195">J178</f>
        <v>-</v>
      </c>
      <c r="K422" s="203" t="str">
        <f t="shared" si="195"/>
        <v>-</v>
      </c>
      <c r="L422" s="203">
        <f t="shared" si="195"/>
        <v>53</v>
      </c>
      <c r="M422" s="203">
        <f t="shared" si="195"/>
        <v>421</v>
      </c>
      <c r="N422" s="203">
        <f t="shared" si="195"/>
        <v>37</v>
      </c>
      <c r="O422" s="203" t="str">
        <f t="shared" si="195"/>
        <v>-</v>
      </c>
      <c r="P422" s="203">
        <f t="shared" si="195"/>
        <v>511</v>
      </c>
    </row>
    <row r="423" spans="1:16" ht="11.25" customHeight="1" x14ac:dyDescent="0.25">
      <c r="A423" s="477">
        <v>2009</v>
      </c>
      <c r="B423" s="203">
        <f t="shared" ref="B423:H423" si="196">B179</f>
        <v>265</v>
      </c>
      <c r="C423" s="203">
        <f t="shared" si="196"/>
        <v>281</v>
      </c>
      <c r="D423" s="203">
        <f t="shared" si="196"/>
        <v>260</v>
      </c>
      <c r="E423" s="203">
        <f t="shared" si="196"/>
        <v>163</v>
      </c>
      <c r="F423" s="203">
        <f t="shared" si="196"/>
        <v>4</v>
      </c>
      <c r="G423" s="203" t="str">
        <f t="shared" si="196"/>
        <v>-</v>
      </c>
      <c r="H423" s="203">
        <f t="shared" si="196"/>
        <v>973</v>
      </c>
      <c r="I423" s="203"/>
      <c r="J423" s="203" t="str">
        <f t="shared" ref="J423:P423" si="197">J179</f>
        <v>-</v>
      </c>
      <c r="K423" s="203" t="str">
        <f t="shared" si="197"/>
        <v>-</v>
      </c>
      <c r="L423" s="203">
        <f t="shared" si="197"/>
        <v>9648</v>
      </c>
      <c r="M423" s="203">
        <f t="shared" si="197"/>
        <v>5125</v>
      </c>
      <c r="N423" s="203">
        <f t="shared" si="197"/>
        <v>165</v>
      </c>
      <c r="O423" s="203" t="str">
        <f t="shared" si="197"/>
        <v>-</v>
      </c>
      <c r="P423" s="203">
        <f t="shared" si="197"/>
        <v>14938</v>
      </c>
    </row>
    <row r="424" spans="1:16" ht="11.25" customHeight="1" x14ac:dyDescent="0.25">
      <c r="A424" s="477">
        <v>2010</v>
      </c>
      <c r="B424" s="203">
        <f t="shared" ref="B424:H424" si="198">B180</f>
        <v>790</v>
      </c>
      <c r="C424" s="203">
        <f t="shared" si="198"/>
        <v>6882</v>
      </c>
      <c r="D424" s="203">
        <f t="shared" si="198"/>
        <v>2289</v>
      </c>
      <c r="E424" s="203">
        <f t="shared" si="198"/>
        <v>1894</v>
      </c>
      <c r="F424" s="203">
        <f t="shared" si="198"/>
        <v>151</v>
      </c>
      <c r="G424" s="203" t="str">
        <f t="shared" si="198"/>
        <v>-</v>
      </c>
      <c r="H424" s="203">
        <f t="shared" si="198"/>
        <v>12006</v>
      </c>
      <c r="I424" s="203"/>
      <c r="J424" s="203" t="str">
        <f t="shared" ref="J424:P424" si="199">J180</f>
        <v>-</v>
      </c>
      <c r="K424" s="203" t="str">
        <f t="shared" si="199"/>
        <v>-</v>
      </c>
      <c r="L424" s="203">
        <f t="shared" si="199"/>
        <v>736</v>
      </c>
      <c r="M424" s="203">
        <f t="shared" si="199"/>
        <v>406</v>
      </c>
      <c r="N424" s="203">
        <f t="shared" si="199"/>
        <v>49</v>
      </c>
      <c r="O424" s="203" t="str">
        <f t="shared" si="199"/>
        <v>-</v>
      </c>
      <c r="P424" s="203">
        <f t="shared" si="199"/>
        <v>1191</v>
      </c>
    </row>
    <row r="425" spans="1:16" ht="11.25" customHeight="1" x14ac:dyDescent="0.25">
      <c r="A425" s="477">
        <v>2011</v>
      </c>
      <c r="B425" s="203">
        <f t="shared" ref="B425:H425" si="200">B181</f>
        <v>1529</v>
      </c>
      <c r="C425" s="203">
        <f t="shared" si="200"/>
        <v>1943</v>
      </c>
      <c r="D425" s="203">
        <f t="shared" si="200"/>
        <v>115</v>
      </c>
      <c r="E425" s="203">
        <f t="shared" si="200"/>
        <v>251</v>
      </c>
      <c r="F425" s="203">
        <f t="shared" si="200"/>
        <v>30</v>
      </c>
      <c r="G425" s="203" t="str">
        <f t="shared" si="200"/>
        <v>-</v>
      </c>
      <c r="H425" s="203">
        <f t="shared" si="200"/>
        <v>3868</v>
      </c>
      <c r="I425" s="203"/>
      <c r="J425" s="203" t="str">
        <f t="shared" ref="J425:P425" si="201">J181</f>
        <v>-</v>
      </c>
      <c r="K425" s="203" t="str">
        <f t="shared" si="201"/>
        <v>-</v>
      </c>
      <c r="L425" s="203">
        <f t="shared" si="201"/>
        <v>235</v>
      </c>
      <c r="M425" s="203">
        <f t="shared" si="201"/>
        <v>172</v>
      </c>
      <c r="N425" s="203">
        <f t="shared" si="201"/>
        <v>95</v>
      </c>
      <c r="O425" s="203" t="str">
        <f t="shared" si="201"/>
        <v>-</v>
      </c>
      <c r="P425" s="203">
        <f t="shared" si="201"/>
        <v>502</v>
      </c>
    </row>
    <row r="426" spans="1:16" ht="11.25" customHeight="1" x14ac:dyDescent="0.25">
      <c r="A426" s="477">
        <v>2012</v>
      </c>
      <c r="B426" s="203">
        <f t="shared" ref="B426:H432" si="202">B182</f>
        <v>1297</v>
      </c>
      <c r="C426" s="203">
        <f t="shared" si="202"/>
        <v>7053</v>
      </c>
      <c r="D426" s="203">
        <f t="shared" si="202"/>
        <v>276</v>
      </c>
      <c r="E426" s="203">
        <f t="shared" si="202"/>
        <v>149</v>
      </c>
      <c r="F426" s="203">
        <f t="shared" si="202"/>
        <v>1919</v>
      </c>
      <c r="G426" s="203" t="str">
        <f t="shared" si="202"/>
        <v>-</v>
      </c>
      <c r="H426" s="203">
        <f t="shared" si="202"/>
        <v>10694</v>
      </c>
      <c r="I426" s="203"/>
      <c r="J426" s="203" t="str">
        <f t="shared" ref="J426:P432" si="203">J182</f>
        <v>-</v>
      </c>
      <c r="K426" s="203" t="str">
        <f t="shared" si="203"/>
        <v>-</v>
      </c>
      <c r="L426" s="203">
        <f t="shared" si="203"/>
        <v>61</v>
      </c>
      <c r="M426" s="203">
        <f t="shared" si="203"/>
        <v>37</v>
      </c>
      <c r="N426" s="203">
        <f t="shared" si="203"/>
        <v>615</v>
      </c>
      <c r="O426" s="203" t="str">
        <f t="shared" si="203"/>
        <v>-</v>
      </c>
      <c r="P426" s="203">
        <f t="shared" si="203"/>
        <v>713</v>
      </c>
    </row>
    <row r="427" spans="1:16" ht="11.25" customHeight="1" x14ac:dyDescent="0.25">
      <c r="A427" s="473">
        <v>2013</v>
      </c>
      <c r="B427" s="203">
        <f t="shared" si="202"/>
        <v>534</v>
      </c>
      <c r="C427" s="203">
        <f t="shared" si="202"/>
        <v>1062</v>
      </c>
      <c r="D427" s="203">
        <f t="shared" si="202"/>
        <v>178</v>
      </c>
      <c r="E427" s="203">
        <f t="shared" si="202"/>
        <v>298</v>
      </c>
      <c r="F427" s="203">
        <f t="shared" si="202"/>
        <v>433</v>
      </c>
      <c r="G427" s="203" t="str">
        <f t="shared" si="202"/>
        <v>-</v>
      </c>
      <c r="H427" s="203">
        <f t="shared" si="202"/>
        <v>2505</v>
      </c>
      <c r="I427" s="203"/>
      <c r="J427" s="203" t="str">
        <f t="shared" si="203"/>
        <v>-</v>
      </c>
      <c r="K427" s="203" t="str">
        <f t="shared" si="203"/>
        <v>-</v>
      </c>
      <c r="L427" s="203">
        <f t="shared" si="203"/>
        <v>67</v>
      </c>
      <c r="M427" s="203">
        <f t="shared" si="203"/>
        <v>375</v>
      </c>
      <c r="N427" s="203">
        <f t="shared" si="203"/>
        <v>137</v>
      </c>
      <c r="O427" s="203" t="str">
        <f t="shared" si="203"/>
        <v>-</v>
      </c>
      <c r="P427" s="203">
        <f t="shared" si="203"/>
        <v>579</v>
      </c>
    </row>
    <row r="428" spans="1:16" ht="11.25" customHeight="1" x14ac:dyDescent="0.25">
      <c r="A428" s="477">
        <v>2014</v>
      </c>
      <c r="B428" s="203">
        <f t="shared" si="202"/>
        <v>20242</v>
      </c>
      <c r="C428" s="203">
        <f t="shared" si="202"/>
        <v>1278</v>
      </c>
      <c r="D428" s="203">
        <f t="shared" si="202"/>
        <v>2880</v>
      </c>
      <c r="E428" s="203">
        <f t="shared" si="202"/>
        <v>472</v>
      </c>
      <c r="F428" s="203">
        <f t="shared" si="202"/>
        <v>290</v>
      </c>
      <c r="G428" s="203" t="str">
        <f t="shared" si="202"/>
        <v>-</v>
      </c>
      <c r="H428" s="203">
        <f t="shared" si="202"/>
        <v>25162</v>
      </c>
      <c r="I428" s="203"/>
      <c r="J428" s="203" t="str">
        <f t="shared" si="203"/>
        <v>-</v>
      </c>
      <c r="K428" s="203" t="str">
        <f t="shared" si="203"/>
        <v>-</v>
      </c>
      <c r="L428" s="203">
        <f t="shared" si="203"/>
        <v>2962</v>
      </c>
      <c r="M428" s="203">
        <f t="shared" si="203"/>
        <v>2392</v>
      </c>
      <c r="N428" s="203">
        <f t="shared" si="203"/>
        <v>4587</v>
      </c>
      <c r="O428" s="203" t="str">
        <f t="shared" si="203"/>
        <v>-</v>
      </c>
      <c r="P428" s="203">
        <f t="shared" si="203"/>
        <v>9941</v>
      </c>
    </row>
    <row r="429" spans="1:16" ht="11.25" customHeight="1" x14ac:dyDescent="0.25">
      <c r="A429" s="477">
        <v>2015</v>
      </c>
      <c r="B429" s="203">
        <f t="shared" si="202"/>
        <v>9487</v>
      </c>
      <c r="C429" s="203">
        <f t="shared" si="202"/>
        <v>2177</v>
      </c>
      <c r="D429" s="203">
        <f t="shared" si="202"/>
        <v>1389</v>
      </c>
      <c r="E429" s="203">
        <f t="shared" si="202"/>
        <v>1037</v>
      </c>
      <c r="F429" s="203">
        <f t="shared" si="202"/>
        <v>817</v>
      </c>
      <c r="G429" s="203" t="str">
        <f t="shared" si="202"/>
        <v>-</v>
      </c>
      <c r="H429" s="203">
        <f t="shared" si="202"/>
        <v>14907</v>
      </c>
      <c r="I429" s="203"/>
      <c r="J429" s="203" t="str">
        <f t="shared" si="203"/>
        <v>-</v>
      </c>
      <c r="K429" s="203" t="str">
        <f t="shared" si="203"/>
        <v>-</v>
      </c>
      <c r="L429" s="203">
        <f t="shared" si="203"/>
        <v>369</v>
      </c>
      <c r="M429" s="203">
        <f t="shared" si="203"/>
        <v>582</v>
      </c>
      <c r="N429" s="203">
        <f t="shared" si="203"/>
        <v>1952</v>
      </c>
      <c r="O429" s="203" t="str">
        <f t="shared" si="203"/>
        <v>-</v>
      </c>
      <c r="P429" s="203">
        <f t="shared" si="203"/>
        <v>2903</v>
      </c>
    </row>
    <row r="430" spans="1:16" ht="11.25" customHeight="1" x14ac:dyDescent="0.25">
      <c r="A430" s="477">
        <v>2016</v>
      </c>
      <c r="B430" s="203">
        <f t="shared" si="202"/>
        <v>1175</v>
      </c>
      <c r="C430" s="203">
        <f t="shared" si="202"/>
        <v>1089</v>
      </c>
      <c r="D430" s="203">
        <f t="shared" si="202"/>
        <v>428</v>
      </c>
      <c r="E430" s="203">
        <f t="shared" si="202"/>
        <v>1025</v>
      </c>
      <c r="F430" s="203" t="str">
        <f t="shared" si="202"/>
        <v>-</v>
      </c>
      <c r="G430" s="203" t="str">
        <f t="shared" si="202"/>
        <v>-</v>
      </c>
      <c r="H430" s="203">
        <f t="shared" si="202"/>
        <v>3717</v>
      </c>
      <c r="I430" s="203"/>
      <c r="J430" s="203" t="str">
        <f t="shared" si="203"/>
        <v>-</v>
      </c>
      <c r="K430" s="203" t="str">
        <f t="shared" si="203"/>
        <v>-</v>
      </c>
      <c r="L430" s="203" t="str">
        <f t="shared" si="203"/>
        <v>-</v>
      </c>
      <c r="M430" s="203" t="str">
        <f t="shared" si="203"/>
        <v>-</v>
      </c>
      <c r="N430" s="203" t="str">
        <f t="shared" si="203"/>
        <v>-</v>
      </c>
      <c r="O430" s="203" t="str">
        <f t="shared" si="203"/>
        <v>-</v>
      </c>
      <c r="P430" s="203" t="str">
        <f t="shared" si="203"/>
        <v>-</v>
      </c>
    </row>
    <row r="431" spans="1:16" ht="11.25" customHeight="1" x14ac:dyDescent="0.25">
      <c r="A431" s="477">
        <v>2017</v>
      </c>
      <c r="B431" s="203">
        <f t="shared" si="202"/>
        <v>1228</v>
      </c>
      <c r="C431" s="203">
        <f t="shared" si="202"/>
        <v>874</v>
      </c>
      <c r="D431" s="203">
        <f t="shared" si="202"/>
        <v>124</v>
      </c>
      <c r="E431" s="203">
        <f t="shared" si="202"/>
        <v>632</v>
      </c>
      <c r="F431" s="203">
        <f t="shared" si="202"/>
        <v>343</v>
      </c>
      <c r="G431" s="203" t="str">
        <f t="shared" si="202"/>
        <v>-</v>
      </c>
      <c r="H431" s="203">
        <f t="shared" si="202"/>
        <v>3201</v>
      </c>
      <c r="I431" s="203"/>
      <c r="J431" s="203" t="str">
        <f t="shared" si="203"/>
        <v>-</v>
      </c>
      <c r="K431" s="203" t="str">
        <f t="shared" si="203"/>
        <v>-</v>
      </c>
      <c r="L431" s="203">
        <f t="shared" si="203"/>
        <v>30</v>
      </c>
      <c r="M431" s="203">
        <f t="shared" si="203"/>
        <v>355</v>
      </c>
      <c r="N431" s="203">
        <f t="shared" si="203"/>
        <v>216</v>
      </c>
      <c r="O431" s="203" t="str">
        <f t="shared" si="203"/>
        <v>-</v>
      </c>
      <c r="P431" s="203">
        <f t="shared" si="203"/>
        <v>601</v>
      </c>
    </row>
    <row r="432" spans="1:16" s="358" customFormat="1" ht="11.25" customHeight="1" x14ac:dyDescent="0.25">
      <c r="A432" s="157">
        <v>2018</v>
      </c>
      <c r="B432" s="203">
        <f t="shared" si="202"/>
        <v>36</v>
      </c>
      <c r="C432" s="203">
        <f t="shared" si="202"/>
        <v>337</v>
      </c>
      <c r="D432" s="203">
        <f t="shared" si="202"/>
        <v>30</v>
      </c>
      <c r="E432" s="203">
        <f t="shared" si="202"/>
        <v>57</v>
      </c>
      <c r="F432" s="203">
        <f t="shared" si="202"/>
        <v>4</v>
      </c>
      <c r="G432" s="203" t="str">
        <f t="shared" si="202"/>
        <v>-</v>
      </c>
      <c r="H432" s="203">
        <f t="shared" si="202"/>
        <v>464</v>
      </c>
      <c r="I432" s="203"/>
      <c r="J432" s="203" t="str">
        <f t="shared" si="203"/>
        <v>-</v>
      </c>
      <c r="K432" s="203" t="str">
        <f t="shared" si="203"/>
        <v>-</v>
      </c>
      <c r="L432" s="203">
        <f t="shared" si="203"/>
        <v>40</v>
      </c>
      <c r="M432" s="203">
        <f t="shared" si="203"/>
        <v>85</v>
      </c>
      <c r="N432" s="203" t="str">
        <f t="shared" si="203"/>
        <v>-</v>
      </c>
      <c r="O432" s="203" t="str">
        <f t="shared" si="203"/>
        <v>-</v>
      </c>
      <c r="P432" s="203">
        <f t="shared" si="203"/>
        <v>125</v>
      </c>
    </row>
    <row r="433" spans="1:16" s="358" customFormat="1" ht="11.25" customHeight="1" x14ac:dyDescent="0.25">
      <c r="A433" s="157">
        <v>2019</v>
      </c>
      <c r="B433" s="203">
        <f t="shared" ref="B433:H434" si="204">B189</f>
        <v>156</v>
      </c>
      <c r="C433" s="203">
        <f t="shared" si="204"/>
        <v>62</v>
      </c>
      <c r="D433" s="203">
        <f t="shared" si="204"/>
        <v>370</v>
      </c>
      <c r="E433" s="203">
        <f t="shared" si="204"/>
        <v>121</v>
      </c>
      <c r="F433" s="203">
        <f t="shared" si="204"/>
        <v>28</v>
      </c>
      <c r="G433" s="203" t="str">
        <f t="shared" si="204"/>
        <v>-</v>
      </c>
      <c r="H433" s="203">
        <f t="shared" si="204"/>
        <v>737</v>
      </c>
      <c r="I433" s="203"/>
      <c r="J433" s="203" t="str">
        <f t="shared" ref="J433:P434" si="205">J189</f>
        <v>-</v>
      </c>
      <c r="K433" s="203" t="str">
        <f t="shared" si="205"/>
        <v>-</v>
      </c>
      <c r="L433" s="203">
        <f t="shared" si="205"/>
        <v>1190</v>
      </c>
      <c r="M433" s="203">
        <f t="shared" si="205"/>
        <v>400</v>
      </c>
      <c r="N433" s="203">
        <f t="shared" si="205"/>
        <v>81</v>
      </c>
      <c r="O433" s="203" t="str">
        <f t="shared" si="205"/>
        <v>-</v>
      </c>
      <c r="P433" s="203">
        <f t="shared" si="205"/>
        <v>1671</v>
      </c>
    </row>
    <row r="434" spans="1:16" ht="11.25" customHeight="1" x14ac:dyDescent="0.25">
      <c r="A434" s="157" t="s">
        <v>393</v>
      </c>
      <c r="B434" s="203">
        <f t="shared" si="204"/>
        <v>231</v>
      </c>
      <c r="C434" s="203">
        <f t="shared" si="204"/>
        <v>168</v>
      </c>
      <c r="D434" s="203">
        <f t="shared" si="204"/>
        <v>57</v>
      </c>
      <c r="E434" s="203">
        <f t="shared" si="204"/>
        <v>101</v>
      </c>
      <c r="F434" s="203">
        <f t="shared" si="204"/>
        <v>11</v>
      </c>
      <c r="G434" s="203" t="str">
        <f t="shared" si="204"/>
        <v>-</v>
      </c>
      <c r="H434" s="203">
        <f t="shared" si="204"/>
        <v>568</v>
      </c>
      <c r="I434" s="203"/>
      <c r="J434" s="203" t="str">
        <f t="shared" si="205"/>
        <v>-</v>
      </c>
      <c r="K434" s="203" t="str">
        <f t="shared" si="205"/>
        <v>-</v>
      </c>
      <c r="L434" s="203">
        <f t="shared" si="205"/>
        <v>63</v>
      </c>
      <c r="M434" s="203">
        <f t="shared" si="205"/>
        <v>64</v>
      </c>
      <c r="N434" s="203">
        <f t="shared" si="205"/>
        <v>17</v>
      </c>
      <c r="O434" s="203" t="str">
        <f t="shared" si="205"/>
        <v>-</v>
      </c>
      <c r="P434" s="203">
        <f t="shared" si="205"/>
        <v>144</v>
      </c>
    </row>
    <row r="435" spans="1:16" ht="11.25" customHeight="1" x14ac:dyDescent="0.25">
      <c r="B435" s="200"/>
      <c r="C435" s="200"/>
      <c r="D435" s="200"/>
      <c r="E435" s="200"/>
      <c r="F435" s="200"/>
      <c r="G435" s="200"/>
      <c r="H435" s="200"/>
      <c r="I435" s="200"/>
      <c r="J435" s="200"/>
      <c r="K435" s="200"/>
      <c r="L435" s="200"/>
      <c r="M435" s="200"/>
      <c r="N435" s="200"/>
      <c r="O435" s="200"/>
      <c r="P435" s="200"/>
    </row>
    <row r="436" spans="1:16" ht="11.25" customHeight="1" x14ac:dyDescent="0.25">
      <c r="A436" s="522" t="s">
        <v>382</v>
      </c>
      <c r="B436" s="522"/>
      <c r="C436" s="522"/>
      <c r="D436" s="522"/>
      <c r="E436" s="522"/>
      <c r="F436" s="522"/>
      <c r="G436" s="522"/>
      <c r="H436" s="522"/>
      <c r="I436" s="522"/>
      <c r="J436" s="522"/>
      <c r="K436" s="522"/>
      <c r="L436" s="522"/>
      <c r="M436" s="522"/>
      <c r="N436" s="522"/>
      <c r="O436" s="522"/>
      <c r="P436" s="522"/>
    </row>
    <row r="437" spans="1:16" ht="11.25" customHeight="1" x14ac:dyDescent="0.25">
      <c r="A437" s="469" t="s">
        <v>33</v>
      </c>
      <c r="B437" s="58" t="s">
        <v>35</v>
      </c>
      <c r="C437" s="58" t="s">
        <v>36</v>
      </c>
      <c r="D437" s="58" t="s">
        <v>99</v>
      </c>
      <c r="E437" s="58" t="s">
        <v>100</v>
      </c>
      <c r="F437" s="58" t="s">
        <v>39</v>
      </c>
      <c r="G437" s="58" t="s">
        <v>40</v>
      </c>
      <c r="H437" s="58" t="s">
        <v>28</v>
      </c>
      <c r="I437" s="58"/>
      <c r="J437" s="58" t="s">
        <v>35</v>
      </c>
      <c r="K437" s="58" t="s">
        <v>36</v>
      </c>
      <c r="L437" s="58" t="s">
        <v>101</v>
      </c>
      <c r="M437" s="58" t="s">
        <v>102</v>
      </c>
      <c r="N437" s="58" t="s">
        <v>39</v>
      </c>
      <c r="O437" s="58" t="s">
        <v>40</v>
      </c>
      <c r="P437" s="58" t="s">
        <v>28</v>
      </c>
    </row>
    <row r="438" spans="1:16" ht="11.25" customHeight="1" x14ac:dyDescent="0.25">
      <c r="B438" s="583" t="s">
        <v>67</v>
      </c>
      <c r="C438" s="583"/>
      <c r="D438" s="583"/>
      <c r="E438" s="583"/>
      <c r="F438" s="583"/>
      <c r="G438" s="583"/>
      <c r="H438" s="583"/>
      <c r="I438" s="19"/>
      <c r="J438" s="583" t="s">
        <v>68</v>
      </c>
      <c r="K438" s="583"/>
      <c r="L438" s="583"/>
      <c r="M438" s="583"/>
      <c r="N438" s="583"/>
      <c r="O438" s="583"/>
      <c r="P438" s="583"/>
    </row>
    <row r="439" spans="1:16" x14ac:dyDescent="0.25">
      <c r="A439" s="116" t="s">
        <v>103</v>
      </c>
      <c r="B439" s="110"/>
      <c r="C439" s="110"/>
      <c r="D439" s="110"/>
      <c r="E439" s="193"/>
      <c r="F439" s="193"/>
      <c r="G439" s="193"/>
      <c r="H439" s="193"/>
      <c r="I439" s="193"/>
      <c r="J439" s="193"/>
      <c r="K439" s="193"/>
      <c r="L439" s="193"/>
      <c r="M439" s="193"/>
      <c r="N439" s="193"/>
      <c r="O439" s="193"/>
      <c r="P439" s="193"/>
    </row>
    <row r="440" spans="1:16" ht="11.25" customHeight="1" x14ac:dyDescent="0.25">
      <c r="A440" s="473" t="s">
        <v>30</v>
      </c>
      <c r="B440" s="200">
        <f>AVERAGE(B198:B202)</f>
        <v>36396.800000000003</v>
      </c>
      <c r="C440" s="200">
        <f t="shared" ref="C440:H440" si="206">AVERAGE(C198:C202)</f>
        <v>3511.4</v>
      </c>
      <c r="D440" s="200">
        <f t="shared" si="206"/>
        <v>21389</v>
      </c>
      <c r="E440" s="200">
        <f t="shared" si="206"/>
        <v>5446.2</v>
      </c>
      <c r="F440" s="200">
        <f t="shared" si="206"/>
        <v>113</v>
      </c>
      <c r="G440" s="200">
        <f>AVERAGE(G198:G202)</f>
        <v>2.4</v>
      </c>
      <c r="H440" s="200">
        <f t="shared" si="206"/>
        <v>66858.8</v>
      </c>
      <c r="I440" s="200"/>
      <c r="J440" s="200" t="s">
        <v>29</v>
      </c>
      <c r="K440" s="200" t="s">
        <v>29</v>
      </c>
      <c r="L440" s="200">
        <f>AVERAGE(L198:L202)</f>
        <v>154421.5</v>
      </c>
      <c r="M440" s="200">
        <f>AVERAGE(M198:M202)</f>
        <v>47025.2</v>
      </c>
      <c r="N440" s="200">
        <f>AVERAGE(N198:N202)</f>
        <v>5371.666666666667</v>
      </c>
      <c r="O440" s="200" t="s">
        <v>29</v>
      </c>
      <c r="P440" s="200">
        <f>AVERAGE(P198:P202)</f>
        <v>173785.4</v>
      </c>
    </row>
    <row r="441" spans="1:16" ht="11.25" customHeight="1" x14ac:dyDescent="0.25">
      <c r="A441" s="473" t="s">
        <v>87</v>
      </c>
      <c r="B441" s="200">
        <f>AVERAGE(B203:B207)</f>
        <v>31870</v>
      </c>
      <c r="C441" s="200">
        <f t="shared" ref="C441:H441" si="207">AVERAGE(C203:C207)</f>
        <v>12241.75</v>
      </c>
      <c r="D441" s="200">
        <f t="shared" si="207"/>
        <v>10688</v>
      </c>
      <c r="E441" s="200">
        <f t="shared" si="207"/>
        <v>3829.25</v>
      </c>
      <c r="F441" s="200">
        <f t="shared" si="207"/>
        <v>1707.5</v>
      </c>
      <c r="G441" s="200">
        <f t="shared" si="207"/>
        <v>71</v>
      </c>
      <c r="H441" s="200">
        <f t="shared" si="207"/>
        <v>49699.199999999997</v>
      </c>
      <c r="I441" s="200"/>
      <c r="J441" s="200" t="s">
        <v>29</v>
      </c>
      <c r="K441" s="200" t="s">
        <v>29</v>
      </c>
      <c r="L441" s="200">
        <f>AVERAGE(L203:L207)</f>
        <v>27564</v>
      </c>
      <c r="M441" s="200">
        <f>AVERAGE(M203:M207)</f>
        <v>65822</v>
      </c>
      <c r="N441" s="200">
        <f>AVERAGE(N203:N207)</f>
        <v>19314</v>
      </c>
      <c r="O441" s="200">
        <f>AVERAGE(O203:O207)</f>
        <v>304</v>
      </c>
      <c r="P441" s="200">
        <f>AVERAGE(P203:P207)</f>
        <v>71469.600000000006</v>
      </c>
    </row>
    <row r="442" spans="1:16" ht="11.25" customHeight="1" x14ac:dyDescent="0.25">
      <c r="A442" s="473" t="s">
        <v>14</v>
      </c>
      <c r="B442" s="200">
        <f>AVERAGE(B208:B212)</f>
        <v>17321.333333333332</v>
      </c>
      <c r="C442" s="200">
        <f t="shared" ref="C442:P442" si="208">AVERAGE(C208:C212)</f>
        <v>12216.333333333334</v>
      </c>
      <c r="D442" s="200">
        <f t="shared" si="208"/>
        <v>4062.5</v>
      </c>
      <c r="E442" s="200">
        <f t="shared" si="208"/>
        <v>1536.5</v>
      </c>
      <c r="F442" s="200">
        <f t="shared" si="208"/>
        <v>1220</v>
      </c>
      <c r="G442" s="200" t="s">
        <v>29</v>
      </c>
      <c r="H442" s="200">
        <f t="shared" si="208"/>
        <v>26331</v>
      </c>
      <c r="I442" s="200"/>
      <c r="J442" s="200" t="s">
        <v>29</v>
      </c>
      <c r="K442" s="200" t="s">
        <v>29</v>
      </c>
      <c r="L442" s="200">
        <f t="shared" si="208"/>
        <v>8029.5</v>
      </c>
      <c r="M442" s="200">
        <f t="shared" si="208"/>
        <v>23097</v>
      </c>
      <c r="N442" s="200">
        <f t="shared" si="208"/>
        <v>10866</v>
      </c>
      <c r="O442" s="200" t="s">
        <v>29</v>
      </c>
      <c r="P442" s="200">
        <f t="shared" si="208"/>
        <v>35261.25</v>
      </c>
    </row>
    <row r="443" spans="1:16" ht="11.25" customHeight="1" x14ac:dyDescent="0.25">
      <c r="A443" s="473" t="s">
        <v>207</v>
      </c>
      <c r="B443" s="200">
        <f>AVERAGE(B213:B217)</f>
        <v>5255</v>
      </c>
      <c r="C443" s="200">
        <f t="shared" ref="C443:P443" si="209">AVERAGE(C213:C217)</f>
        <v>2960.5</v>
      </c>
      <c r="D443" s="200">
        <f t="shared" si="209"/>
        <v>4030</v>
      </c>
      <c r="E443" s="200">
        <f t="shared" si="209"/>
        <v>2688</v>
      </c>
      <c r="F443" s="200">
        <f t="shared" si="209"/>
        <v>92</v>
      </c>
      <c r="G443" s="200" t="s">
        <v>29</v>
      </c>
      <c r="H443" s="200">
        <f t="shared" si="209"/>
        <v>10590</v>
      </c>
      <c r="I443" s="200"/>
      <c r="J443" s="200" t="s">
        <v>29</v>
      </c>
      <c r="K443" s="200" t="s">
        <v>29</v>
      </c>
      <c r="L443" s="200">
        <f t="shared" si="209"/>
        <v>3905</v>
      </c>
      <c r="M443" s="200">
        <f t="shared" si="209"/>
        <v>9887.3333333333339</v>
      </c>
      <c r="N443" s="200">
        <f t="shared" si="209"/>
        <v>714.5</v>
      </c>
      <c r="O443" s="200" t="s">
        <v>29</v>
      </c>
      <c r="P443" s="200">
        <f t="shared" si="209"/>
        <v>12967</v>
      </c>
    </row>
    <row r="444" spans="1:16" ht="11.25" customHeight="1" x14ac:dyDescent="0.25">
      <c r="A444" s="473" t="s">
        <v>238</v>
      </c>
      <c r="B444" s="200">
        <f>AVERAGE(B218:B222)</f>
        <v>18344.8</v>
      </c>
      <c r="C444" s="200">
        <f>AVERAGE(C218:C222)</f>
        <v>7583.6</v>
      </c>
      <c r="D444" s="200">
        <f>AVERAGE(D218:D222)</f>
        <v>11498.6</v>
      </c>
      <c r="E444" s="200">
        <f>AVERAGE(E218:E222)</f>
        <v>10012</v>
      </c>
      <c r="F444" s="200">
        <f>AVERAGE(F218:F222)</f>
        <v>1656</v>
      </c>
      <c r="G444" s="200" t="str">
        <f>G218</f>
        <v>-</v>
      </c>
      <c r="H444" s="200">
        <f>AVERAGE(H218:H222)</f>
        <v>48432.6</v>
      </c>
      <c r="I444" s="200"/>
      <c r="J444" s="200" t="str">
        <f t="shared" ref="J444:O444" si="210">J218</f>
        <v>-</v>
      </c>
      <c r="K444" s="200" t="str">
        <f t="shared" si="210"/>
        <v>-</v>
      </c>
      <c r="L444" s="200">
        <f>AVERAGE(L218:L222)</f>
        <v>3173.25</v>
      </c>
      <c r="M444" s="200">
        <f>AVERAGE(M218:M222)</f>
        <v>5111</v>
      </c>
      <c r="N444" s="200">
        <f>AVERAGE(N218:N222)</f>
        <v>6837.666666666667</v>
      </c>
      <c r="O444" s="200" t="str">
        <f t="shared" si="210"/>
        <v>-</v>
      </c>
      <c r="P444" s="200">
        <f>AVERAGE(P218:P222)</f>
        <v>12146</v>
      </c>
    </row>
    <row r="445" spans="1:16" ht="11.25" customHeight="1" x14ac:dyDescent="0.25">
      <c r="A445" s="473">
        <v>2006</v>
      </c>
      <c r="B445" s="200">
        <f t="shared" ref="B445:H445" si="211">B223</f>
        <v>13648</v>
      </c>
      <c r="C445" s="200">
        <f t="shared" si="211"/>
        <v>7080</v>
      </c>
      <c r="D445" s="200">
        <f t="shared" si="211"/>
        <v>1074</v>
      </c>
      <c r="E445" s="200">
        <f t="shared" si="211"/>
        <v>3520</v>
      </c>
      <c r="F445" s="200">
        <f t="shared" si="211"/>
        <v>1936</v>
      </c>
      <c r="G445" s="200" t="str">
        <f t="shared" si="211"/>
        <v>-</v>
      </c>
      <c r="H445" s="200">
        <f t="shared" si="211"/>
        <v>27258</v>
      </c>
      <c r="I445" s="200"/>
      <c r="J445" s="200" t="str">
        <f t="shared" ref="J445:P445" si="212">J223</f>
        <v>-</v>
      </c>
      <c r="K445" s="200" t="str">
        <f t="shared" si="212"/>
        <v>-</v>
      </c>
      <c r="L445" s="200">
        <f t="shared" si="212"/>
        <v>139</v>
      </c>
      <c r="M445" s="200">
        <f t="shared" si="212"/>
        <v>1760</v>
      </c>
      <c r="N445" s="200">
        <f t="shared" si="212"/>
        <v>780</v>
      </c>
      <c r="O445" s="200" t="str">
        <f t="shared" si="212"/>
        <v>-</v>
      </c>
      <c r="P445" s="200">
        <f t="shared" si="212"/>
        <v>2679</v>
      </c>
    </row>
    <row r="446" spans="1:16" ht="11.25" customHeight="1" x14ac:dyDescent="0.25">
      <c r="A446" s="477">
        <v>2007</v>
      </c>
      <c r="B446" s="203">
        <f t="shared" ref="B446:H446" si="213">B224</f>
        <v>6643</v>
      </c>
      <c r="C446" s="203">
        <f t="shared" si="213"/>
        <v>4468</v>
      </c>
      <c r="D446" s="203">
        <f t="shared" si="213"/>
        <v>3617</v>
      </c>
      <c r="E446" s="203">
        <f t="shared" si="213"/>
        <v>934</v>
      </c>
      <c r="F446" s="203">
        <f t="shared" si="213"/>
        <v>49</v>
      </c>
      <c r="G446" s="203" t="str">
        <f t="shared" si="213"/>
        <v>-</v>
      </c>
      <c r="H446" s="203">
        <f t="shared" si="213"/>
        <v>15711</v>
      </c>
      <c r="I446" s="203"/>
      <c r="J446" s="203" t="str">
        <f t="shared" ref="J446:P446" si="214">J224</f>
        <v>-</v>
      </c>
      <c r="K446" s="203" t="str">
        <f t="shared" si="214"/>
        <v>-</v>
      </c>
      <c r="L446" s="203">
        <f t="shared" si="214"/>
        <v>3344</v>
      </c>
      <c r="M446" s="203">
        <f t="shared" si="214"/>
        <v>13779</v>
      </c>
      <c r="N446" s="203">
        <f t="shared" si="214"/>
        <v>317</v>
      </c>
      <c r="O446" s="203" t="str">
        <f t="shared" si="214"/>
        <v>-</v>
      </c>
      <c r="P446" s="203">
        <f t="shared" si="214"/>
        <v>17440</v>
      </c>
    </row>
    <row r="447" spans="1:16" ht="11.25" customHeight="1" x14ac:dyDescent="0.25">
      <c r="A447" s="477">
        <v>2008</v>
      </c>
      <c r="B447" s="203">
        <f t="shared" ref="B447:H447" si="215">B225</f>
        <v>4428</v>
      </c>
      <c r="C447" s="203">
        <f t="shared" si="215"/>
        <v>6705</v>
      </c>
      <c r="D447" s="203">
        <f t="shared" si="215"/>
        <v>1309</v>
      </c>
      <c r="E447" s="203">
        <f t="shared" si="215"/>
        <v>1346</v>
      </c>
      <c r="F447" s="203">
        <f t="shared" si="215"/>
        <v>282</v>
      </c>
      <c r="G447" s="203" t="str">
        <f t="shared" si="215"/>
        <v>-</v>
      </c>
      <c r="H447" s="203">
        <f t="shared" si="215"/>
        <v>14070</v>
      </c>
      <c r="I447" s="203"/>
      <c r="J447" s="203" t="str">
        <f t="shared" ref="J447:P447" si="216">J225</f>
        <v>-</v>
      </c>
      <c r="K447" s="203" t="str">
        <f t="shared" si="216"/>
        <v>-</v>
      </c>
      <c r="L447" s="203">
        <f t="shared" si="216"/>
        <v>404</v>
      </c>
      <c r="M447" s="203">
        <f t="shared" si="216"/>
        <v>1338</v>
      </c>
      <c r="N447" s="203">
        <f t="shared" si="216"/>
        <v>398</v>
      </c>
      <c r="O447" s="203" t="str">
        <f t="shared" si="216"/>
        <v>-</v>
      </c>
      <c r="P447" s="203">
        <f t="shared" si="216"/>
        <v>2140</v>
      </c>
    </row>
    <row r="448" spans="1:16" ht="11.25" customHeight="1" x14ac:dyDescent="0.25">
      <c r="A448" s="477">
        <v>2009</v>
      </c>
      <c r="B448" s="203">
        <f t="shared" ref="B448:H448" si="217">B226</f>
        <v>5810</v>
      </c>
      <c r="C448" s="203">
        <f t="shared" si="217"/>
        <v>4376</v>
      </c>
      <c r="D448" s="203">
        <f t="shared" si="217"/>
        <v>1875</v>
      </c>
      <c r="E448" s="203">
        <f t="shared" si="217"/>
        <v>843</v>
      </c>
      <c r="F448" s="203">
        <f t="shared" si="217"/>
        <v>124</v>
      </c>
      <c r="G448" s="203" t="str">
        <f t="shared" si="217"/>
        <v>-</v>
      </c>
      <c r="H448" s="203">
        <f t="shared" si="217"/>
        <v>13028</v>
      </c>
      <c r="I448" s="203"/>
      <c r="J448" s="203" t="str">
        <f t="shared" ref="J448:P448" si="218">J226</f>
        <v>-</v>
      </c>
      <c r="K448" s="203" t="str">
        <f t="shared" si="218"/>
        <v>-</v>
      </c>
      <c r="L448" s="203">
        <f t="shared" si="218"/>
        <v>14505</v>
      </c>
      <c r="M448" s="203">
        <f t="shared" si="218"/>
        <v>14406</v>
      </c>
      <c r="N448" s="203">
        <f t="shared" si="218"/>
        <v>3828</v>
      </c>
      <c r="O448" s="203" t="str">
        <f t="shared" si="218"/>
        <v>-</v>
      </c>
      <c r="P448" s="203">
        <f t="shared" si="218"/>
        <v>32739</v>
      </c>
    </row>
    <row r="449" spans="1:16" ht="11.25" customHeight="1" x14ac:dyDescent="0.25">
      <c r="A449" s="477">
        <v>2010</v>
      </c>
      <c r="B449" s="203">
        <f t="shared" ref="B449:H449" si="219">B227</f>
        <v>9009</v>
      </c>
      <c r="C449" s="203">
        <f t="shared" si="219"/>
        <v>29214</v>
      </c>
      <c r="D449" s="203">
        <f t="shared" si="219"/>
        <v>8402</v>
      </c>
      <c r="E449" s="203">
        <f t="shared" si="219"/>
        <v>9161</v>
      </c>
      <c r="F449" s="203">
        <f t="shared" si="219"/>
        <v>433</v>
      </c>
      <c r="G449" s="203" t="str">
        <f t="shared" si="219"/>
        <v>-</v>
      </c>
      <c r="H449" s="203">
        <f t="shared" si="219"/>
        <v>56219</v>
      </c>
      <c r="I449" s="203"/>
      <c r="J449" s="203" t="str">
        <f t="shared" ref="J449:P449" si="220">J227</f>
        <v>-</v>
      </c>
      <c r="K449" s="203" t="str">
        <f t="shared" si="220"/>
        <v>-</v>
      </c>
      <c r="L449" s="203">
        <f t="shared" si="220"/>
        <v>1821</v>
      </c>
      <c r="M449" s="203">
        <f t="shared" si="220"/>
        <v>1150</v>
      </c>
      <c r="N449" s="203">
        <f t="shared" si="220"/>
        <v>173</v>
      </c>
      <c r="O449" s="203" t="str">
        <f t="shared" si="220"/>
        <v>-</v>
      </c>
      <c r="P449" s="203">
        <f t="shared" si="220"/>
        <v>3144</v>
      </c>
    </row>
    <row r="450" spans="1:16" ht="11.25" customHeight="1" x14ac:dyDescent="0.25">
      <c r="A450" s="477">
        <v>2011</v>
      </c>
      <c r="B450" s="203">
        <f t="shared" ref="B450:H450" si="221">B228</f>
        <v>9211</v>
      </c>
      <c r="C450" s="203">
        <f t="shared" si="221"/>
        <v>11258</v>
      </c>
      <c r="D450" s="203">
        <f t="shared" si="221"/>
        <v>6130</v>
      </c>
      <c r="E450" s="203">
        <f t="shared" si="221"/>
        <v>2771</v>
      </c>
      <c r="F450" s="203">
        <f t="shared" si="221"/>
        <v>368</v>
      </c>
      <c r="G450" s="203" t="str">
        <f t="shared" si="221"/>
        <v>-</v>
      </c>
      <c r="H450" s="203">
        <f t="shared" si="221"/>
        <v>29738</v>
      </c>
      <c r="I450" s="203"/>
      <c r="J450" s="203" t="str">
        <f t="shared" ref="J450:P450" si="222">J228</f>
        <v>-</v>
      </c>
      <c r="K450" s="203" t="str">
        <f t="shared" si="222"/>
        <v>-</v>
      </c>
      <c r="L450" s="203">
        <f t="shared" si="222"/>
        <v>1865</v>
      </c>
      <c r="M450" s="203">
        <f t="shared" si="222"/>
        <v>1064</v>
      </c>
      <c r="N450" s="203">
        <f t="shared" si="222"/>
        <v>588</v>
      </c>
      <c r="O450" s="203" t="str">
        <f t="shared" si="222"/>
        <v>-</v>
      </c>
      <c r="P450" s="203">
        <f t="shared" si="222"/>
        <v>3517</v>
      </c>
    </row>
    <row r="451" spans="1:16" ht="11.25" customHeight="1" x14ac:dyDescent="0.25">
      <c r="A451" s="477">
        <v>2012</v>
      </c>
      <c r="B451" s="203">
        <f t="shared" ref="B451:H457" si="223">B229</f>
        <v>11663</v>
      </c>
      <c r="C451" s="203">
        <f t="shared" si="223"/>
        <v>17424</v>
      </c>
      <c r="D451" s="203">
        <f t="shared" si="223"/>
        <v>5588</v>
      </c>
      <c r="E451" s="203">
        <f t="shared" si="223"/>
        <v>6547</v>
      </c>
      <c r="F451" s="203">
        <f t="shared" si="223"/>
        <v>4077</v>
      </c>
      <c r="G451" s="203" t="str">
        <f t="shared" si="223"/>
        <v>-</v>
      </c>
      <c r="H451" s="203">
        <f t="shared" si="223"/>
        <v>45299</v>
      </c>
      <c r="I451" s="203"/>
      <c r="J451" s="203" t="str">
        <f t="shared" ref="J451:P457" si="224">J229</f>
        <v>-</v>
      </c>
      <c r="K451" s="203" t="str">
        <f t="shared" si="224"/>
        <v>-</v>
      </c>
      <c r="L451" s="203">
        <f t="shared" si="224"/>
        <v>807</v>
      </c>
      <c r="M451" s="203">
        <f t="shared" si="224"/>
        <v>1153</v>
      </c>
      <c r="N451" s="203">
        <f t="shared" si="224"/>
        <v>1932</v>
      </c>
      <c r="O451" s="203" t="str">
        <f t="shared" si="224"/>
        <v>-</v>
      </c>
      <c r="P451" s="203">
        <f t="shared" si="224"/>
        <v>3892</v>
      </c>
    </row>
    <row r="452" spans="1:16" ht="11.25" customHeight="1" x14ac:dyDescent="0.25">
      <c r="A452" s="473">
        <v>2013</v>
      </c>
      <c r="B452" s="203">
        <f t="shared" si="223"/>
        <v>11021</v>
      </c>
      <c r="C452" s="203">
        <f t="shared" si="223"/>
        <v>12910</v>
      </c>
      <c r="D452" s="203">
        <f t="shared" si="223"/>
        <v>7994</v>
      </c>
      <c r="E452" s="203">
        <f t="shared" si="223"/>
        <v>8987</v>
      </c>
      <c r="F452" s="203">
        <f t="shared" si="223"/>
        <v>1123</v>
      </c>
      <c r="G452" s="203" t="str">
        <f t="shared" si="223"/>
        <v>-</v>
      </c>
      <c r="H452" s="203">
        <f t="shared" si="223"/>
        <v>42035</v>
      </c>
      <c r="I452" s="203"/>
      <c r="J452" s="203" t="str">
        <f t="shared" si="224"/>
        <v>-</v>
      </c>
      <c r="K452" s="203" t="str">
        <f t="shared" si="224"/>
        <v>-</v>
      </c>
      <c r="L452" s="203">
        <f t="shared" si="224"/>
        <v>1959</v>
      </c>
      <c r="M452" s="203">
        <f t="shared" si="224"/>
        <v>4139</v>
      </c>
      <c r="N452" s="203">
        <f t="shared" si="224"/>
        <v>395</v>
      </c>
      <c r="O452" s="203" t="str">
        <f t="shared" si="224"/>
        <v>-</v>
      </c>
      <c r="P452" s="203">
        <f t="shared" si="224"/>
        <v>6493</v>
      </c>
    </row>
    <row r="453" spans="1:16" ht="11.25" customHeight="1" x14ac:dyDescent="0.25">
      <c r="A453" s="477">
        <v>2014</v>
      </c>
      <c r="B453" s="203">
        <f t="shared" si="223"/>
        <v>33030</v>
      </c>
      <c r="C453" s="203">
        <f t="shared" si="223"/>
        <v>3835</v>
      </c>
      <c r="D453" s="203">
        <f t="shared" si="223"/>
        <v>10978</v>
      </c>
      <c r="E453" s="203">
        <f t="shared" si="223"/>
        <v>6136</v>
      </c>
      <c r="F453" s="203">
        <f t="shared" si="223"/>
        <v>910</v>
      </c>
      <c r="G453" s="203" t="str">
        <f t="shared" si="223"/>
        <v>-</v>
      </c>
      <c r="H453" s="203">
        <f t="shared" si="223"/>
        <v>54889</v>
      </c>
      <c r="I453" s="203"/>
      <c r="J453" s="203" t="str">
        <f t="shared" si="224"/>
        <v>-</v>
      </c>
      <c r="K453" s="203" t="str">
        <f t="shared" si="224"/>
        <v>-</v>
      </c>
      <c r="L453" s="203">
        <f t="shared" si="224"/>
        <v>5869</v>
      </c>
      <c r="M453" s="203">
        <f t="shared" si="224"/>
        <v>8442</v>
      </c>
      <c r="N453" s="203">
        <f t="shared" si="224"/>
        <v>8798</v>
      </c>
      <c r="O453" s="203" t="str">
        <f t="shared" si="224"/>
        <v>-</v>
      </c>
      <c r="P453" s="203">
        <f t="shared" si="224"/>
        <v>23109</v>
      </c>
    </row>
    <row r="454" spans="1:16" ht="11.25" customHeight="1" x14ac:dyDescent="0.25">
      <c r="A454" s="477">
        <v>2015</v>
      </c>
      <c r="B454" s="203">
        <f t="shared" si="223"/>
        <v>22409</v>
      </c>
      <c r="C454" s="203">
        <f t="shared" si="223"/>
        <v>16585</v>
      </c>
      <c r="D454" s="203">
        <f t="shared" si="223"/>
        <v>13999</v>
      </c>
      <c r="E454" s="203">
        <f t="shared" si="223"/>
        <v>10868</v>
      </c>
      <c r="F454" s="203">
        <f t="shared" si="223"/>
        <v>2334</v>
      </c>
      <c r="G454" s="203" t="str">
        <f t="shared" si="223"/>
        <v>-</v>
      </c>
      <c r="H454" s="203">
        <f t="shared" si="223"/>
        <v>66195</v>
      </c>
      <c r="I454" s="203"/>
      <c r="J454" s="203" t="str">
        <f t="shared" si="224"/>
        <v>-</v>
      </c>
      <c r="K454" s="203" t="str">
        <f t="shared" si="224"/>
        <v>-</v>
      </c>
      <c r="L454" s="203">
        <f t="shared" si="224"/>
        <v>1056</v>
      </c>
      <c r="M454" s="203">
        <f t="shared" si="224"/>
        <v>1580</v>
      </c>
      <c r="N454" s="203">
        <f t="shared" si="224"/>
        <v>2449</v>
      </c>
      <c r="O454" s="203" t="str">
        <f t="shared" si="224"/>
        <v>-</v>
      </c>
      <c r="P454" s="203">
        <f t="shared" si="224"/>
        <v>5085</v>
      </c>
    </row>
    <row r="455" spans="1:16" ht="11.25" customHeight="1" x14ac:dyDescent="0.25">
      <c r="A455" s="477">
        <v>2016</v>
      </c>
      <c r="B455" s="203">
        <f t="shared" si="223"/>
        <v>7609</v>
      </c>
      <c r="C455" s="203">
        <f t="shared" si="223"/>
        <v>5053</v>
      </c>
      <c r="D455" s="203">
        <f t="shared" si="223"/>
        <v>3753</v>
      </c>
      <c r="E455" s="203">
        <f t="shared" si="223"/>
        <v>2987</v>
      </c>
      <c r="F455" s="203" t="str">
        <f t="shared" si="223"/>
        <v>-</v>
      </c>
      <c r="G455" s="203" t="str">
        <f t="shared" si="223"/>
        <v>-</v>
      </c>
      <c r="H455" s="203">
        <f t="shared" si="223"/>
        <v>19402</v>
      </c>
      <c r="I455" s="203"/>
      <c r="J455" s="203" t="str">
        <f t="shared" si="224"/>
        <v>-</v>
      </c>
      <c r="K455" s="203" t="str">
        <f t="shared" si="224"/>
        <v>-</v>
      </c>
      <c r="L455" s="203" t="str">
        <f t="shared" si="224"/>
        <v>-</v>
      </c>
      <c r="M455" s="203" t="str">
        <f t="shared" si="224"/>
        <v>-</v>
      </c>
      <c r="N455" s="203" t="str">
        <f t="shared" si="224"/>
        <v>-</v>
      </c>
      <c r="O455" s="203" t="str">
        <f t="shared" si="224"/>
        <v>-</v>
      </c>
      <c r="P455" s="203" t="str">
        <f t="shared" si="224"/>
        <v>-</v>
      </c>
    </row>
    <row r="456" spans="1:16" ht="11.25" customHeight="1" x14ac:dyDescent="0.25">
      <c r="A456" s="477">
        <v>2017</v>
      </c>
      <c r="B456" s="203">
        <f t="shared" si="223"/>
        <v>14584</v>
      </c>
      <c r="C456" s="203">
        <f t="shared" si="223"/>
        <v>8120</v>
      </c>
      <c r="D456" s="203">
        <f t="shared" si="223"/>
        <v>5830</v>
      </c>
      <c r="E456" s="203">
        <f t="shared" si="223"/>
        <v>5917</v>
      </c>
      <c r="F456" s="203">
        <f t="shared" si="223"/>
        <v>1109</v>
      </c>
      <c r="G456" s="203" t="str">
        <f t="shared" si="223"/>
        <v>-</v>
      </c>
      <c r="H456" s="203">
        <f t="shared" si="223"/>
        <v>35560</v>
      </c>
      <c r="I456" s="203"/>
      <c r="J456" s="203" t="str">
        <f t="shared" si="224"/>
        <v>-</v>
      </c>
      <c r="K456" s="203" t="str">
        <f t="shared" si="224"/>
        <v>-</v>
      </c>
      <c r="L456" s="203">
        <f t="shared" si="224"/>
        <v>247</v>
      </c>
      <c r="M456" s="203">
        <f t="shared" si="224"/>
        <v>1074</v>
      </c>
      <c r="N456" s="203">
        <f t="shared" si="224"/>
        <v>517</v>
      </c>
      <c r="O456" s="203" t="str">
        <f t="shared" si="224"/>
        <v>-</v>
      </c>
      <c r="P456" s="203">
        <f t="shared" si="224"/>
        <v>1838</v>
      </c>
    </row>
    <row r="457" spans="1:16" s="358" customFormat="1" ht="11.25" customHeight="1" x14ac:dyDescent="0.25">
      <c r="A457" s="157">
        <v>2018</v>
      </c>
      <c r="B457" s="203">
        <f t="shared" si="223"/>
        <v>6689</v>
      </c>
      <c r="C457" s="203">
        <f t="shared" si="223"/>
        <v>9279</v>
      </c>
      <c r="D457" s="203">
        <f t="shared" si="223"/>
        <v>5468</v>
      </c>
      <c r="E457" s="203">
        <f t="shared" si="223"/>
        <v>1740</v>
      </c>
      <c r="F457" s="203">
        <f t="shared" si="223"/>
        <v>713</v>
      </c>
      <c r="G457" s="203" t="str">
        <f t="shared" si="223"/>
        <v>-</v>
      </c>
      <c r="H457" s="203">
        <f t="shared" si="223"/>
        <v>23889</v>
      </c>
      <c r="I457" s="203"/>
      <c r="J457" s="203" t="str">
        <f t="shared" si="224"/>
        <v>-</v>
      </c>
      <c r="K457" s="203" t="str">
        <f t="shared" si="224"/>
        <v>-</v>
      </c>
      <c r="L457" s="203">
        <f t="shared" si="224"/>
        <v>455</v>
      </c>
      <c r="M457" s="203">
        <f t="shared" si="224"/>
        <v>541</v>
      </c>
      <c r="N457" s="203">
        <f t="shared" si="224"/>
        <v>388</v>
      </c>
      <c r="O457" s="203" t="str">
        <f t="shared" si="224"/>
        <v>-</v>
      </c>
      <c r="P457" s="203">
        <f t="shared" si="224"/>
        <v>1384</v>
      </c>
    </row>
    <row r="458" spans="1:16" s="358" customFormat="1" ht="11.25" customHeight="1" x14ac:dyDescent="0.25">
      <c r="A458" s="157">
        <v>2019</v>
      </c>
      <c r="B458" s="203">
        <f t="shared" ref="B458:H459" si="225">B236</f>
        <v>3918</v>
      </c>
      <c r="C458" s="203">
        <f t="shared" si="225"/>
        <v>3080</v>
      </c>
      <c r="D458" s="203">
        <f t="shared" si="225"/>
        <v>11764</v>
      </c>
      <c r="E458" s="203">
        <f t="shared" si="225"/>
        <v>2762</v>
      </c>
      <c r="F458" s="203">
        <f t="shared" si="225"/>
        <v>1760</v>
      </c>
      <c r="G458" s="203" t="str">
        <f t="shared" si="225"/>
        <v>-</v>
      </c>
      <c r="H458" s="203">
        <f t="shared" si="225"/>
        <v>23284</v>
      </c>
      <c r="I458" s="203"/>
      <c r="J458" s="203" t="str">
        <f t="shared" ref="J458:P459" si="226">J236</f>
        <v>-</v>
      </c>
      <c r="K458" s="203" t="str">
        <f t="shared" si="226"/>
        <v>-</v>
      </c>
      <c r="L458" s="203">
        <f t="shared" si="226"/>
        <v>2667</v>
      </c>
      <c r="M458" s="203">
        <f t="shared" si="226"/>
        <v>1460</v>
      </c>
      <c r="N458" s="203">
        <f t="shared" si="226"/>
        <v>1282</v>
      </c>
      <c r="O458" s="203" t="str">
        <f t="shared" si="226"/>
        <v>-</v>
      </c>
      <c r="P458" s="203">
        <f t="shared" si="226"/>
        <v>5409</v>
      </c>
    </row>
    <row r="459" spans="1:16" ht="11.25" customHeight="1" x14ac:dyDescent="0.25">
      <c r="A459" s="157" t="s">
        <v>393</v>
      </c>
      <c r="B459" s="203">
        <f t="shared" si="225"/>
        <v>709</v>
      </c>
      <c r="C459" s="203">
        <f t="shared" si="225"/>
        <v>1343</v>
      </c>
      <c r="D459" s="203">
        <f t="shared" si="225"/>
        <v>7326</v>
      </c>
      <c r="E459" s="203">
        <f t="shared" si="225"/>
        <v>2962</v>
      </c>
      <c r="F459" s="203">
        <f t="shared" si="225"/>
        <v>160</v>
      </c>
      <c r="G459" s="203" t="str">
        <f t="shared" si="225"/>
        <v>-</v>
      </c>
      <c r="H459" s="203">
        <f t="shared" si="225"/>
        <v>12500</v>
      </c>
      <c r="I459" s="203"/>
      <c r="J459" s="203" t="str">
        <f t="shared" si="226"/>
        <v>-</v>
      </c>
      <c r="K459" s="203" t="str">
        <f t="shared" si="226"/>
        <v>-</v>
      </c>
      <c r="L459" s="203">
        <f t="shared" si="226"/>
        <v>285</v>
      </c>
      <c r="M459" s="203">
        <f t="shared" si="226"/>
        <v>378</v>
      </c>
      <c r="N459" s="203">
        <f t="shared" si="226"/>
        <v>103</v>
      </c>
      <c r="O459" s="203" t="str">
        <f t="shared" si="226"/>
        <v>-</v>
      </c>
      <c r="P459" s="203">
        <f t="shared" si="226"/>
        <v>766</v>
      </c>
    </row>
    <row r="460" spans="1:16" ht="11.25" customHeight="1" x14ac:dyDescent="0.25">
      <c r="B460" s="200"/>
      <c r="C460" s="200"/>
      <c r="D460" s="200"/>
      <c r="E460" s="200"/>
      <c r="F460" s="200"/>
      <c r="G460" s="200"/>
      <c r="H460" s="200"/>
      <c r="I460" s="200"/>
      <c r="J460" s="200"/>
      <c r="K460" s="200"/>
      <c r="L460" s="200"/>
      <c r="M460" s="200"/>
      <c r="N460" s="200"/>
      <c r="O460" s="200"/>
      <c r="P460" s="200"/>
    </row>
    <row r="461" spans="1:16" x14ac:dyDescent="0.25">
      <c r="A461" s="116" t="s">
        <v>383</v>
      </c>
      <c r="B461" s="155"/>
      <c r="C461" s="155"/>
      <c r="D461" s="155"/>
      <c r="E461" s="155"/>
      <c r="F461" s="128"/>
      <c r="G461" s="128"/>
      <c r="H461" s="128"/>
      <c r="I461" s="128"/>
      <c r="J461" s="128"/>
      <c r="K461" s="128"/>
      <c r="L461" s="128"/>
      <c r="M461" s="128"/>
      <c r="N461" s="128"/>
      <c r="O461" s="128"/>
      <c r="P461" s="128"/>
    </row>
    <row r="462" spans="1:16" ht="11.25" customHeight="1" x14ac:dyDescent="0.25">
      <c r="A462" s="473" t="s">
        <v>30</v>
      </c>
      <c r="B462" s="200">
        <f>AVERAGE(B245:B249)</f>
        <v>2150.1999999999998</v>
      </c>
      <c r="C462" s="200">
        <f t="shared" ref="C462:H462" si="227">AVERAGE(C245:C249)</f>
        <v>1883.2</v>
      </c>
      <c r="D462" s="200">
        <f t="shared" si="227"/>
        <v>3636.2</v>
      </c>
      <c r="E462" s="200">
        <f t="shared" si="227"/>
        <v>1335.6</v>
      </c>
      <c r="F462" s="200">
        <f t="shared" si="227"/>
        <v>1018.2</v>
      </c>
      <c r="G462" s="200">
        <f t="shared" si="227"/>
        <v>198.4</v>
      </c>
      <c r="H462" s="200">
        <f t="shared" si="227"/>
        <v>10023.4</v>
      </c>
      <c r="I462" s="200"/>
      <c r="J462" s="200">
        <f t="shared" ref="J462:P462" si="228">AVERAGE(J245:J249)</f>
        <v>282.8</v>
      </c>
      <c r="K462" s="200">
        <f t="shared" si="228"/>
        <v>7435.4</v>
      </c>
      <c r="L462" s="200">
        <f t="shared" si="228"/>
        <v>16405.8</v>
      </c>
      <c r="M462" s="200">
        <f t="shared" si="228"/>
        <v>24484</v>
      </c>
      <c r="N462" s="200">
        <f t="shared" si="228"/>
        <v>16665.8</v>
      </c>
      <c r="O462" s="200">
        <f t="shared" si="228"/>
        <v>54.2</v>
      </c>
      <c r="P462" s="200">
        <f t="shared" si="228"/>
        <v>65273.8</v>
      </c>
    </row>
    <row r="463" spans="1:16" ht="11.25" customHeight="1" x14ac:dyDescent="0.25">
      <c r="A463" s="473" t="s">
        <v>87</v>
      </c>
      <c r="B463" s="200">
        <f>AVERAGE(B250:B254)</f>
        <v>6876.6</v>
      </c>
      <c r="C463" s="200">
        <f t="shared" ref="C463:H463" si="229">AVERAGE(C250:C254)</f>
        <v>5955.2</v>
      </c>
      <c r="D463" s="200">
        <f t="shared" si="229"/>
        <v>6725.8</v>
      </c>
      <c r="E463" s="200">
        <f t="shared" si="229"/>
        <v>4506.3999999999996</v>
      </c>
      <c r="F463" s="200">
        <f t="shared" si="229"/>
        <v>1248</v>
      </c>
      <c r="G463" s="200">
        <f t="shared" si="229"/>
        <v>12</v>
      </c>
      <c r="H463" s="200">
        <f t="shared" si="229"/>
        <v>25312</v>
      </c>
      <c r="I463" s="200"/>
      <c r="J463" s="200">
        <f t="shared" ref="J463:P463" si="230">AVERAGE(J250:J254)</f>
        <v>3.4</v>
      </c>
      <c r="K463" s="200">
        <f t="shared" si="230"/>
        <v>4256.2</v>
      </c>
      <c r="L463" s="200">
        <f t="shared" si="230"/>
        <v>32310.2</v>
      </c>
      <c r="M463" s="200">
        <f t="shared" si="230"/>
        <v>35942.199999999997</v>
      </c>
      <c r="N463" s="200">
        <f t="shared" si="230"/>
        <v>11051</v>
      </c>
      <c r="O463" s="200">
        <f t="shared" si="230"/>
        <v>6.8</v>
      </c>
      <c r="P463" s="200">
        <f t="shared" si="230"/>
        <v>83563</v>
      </c>
    </row>
    <row r="464" spans="1:16" ht="11.25" customHeight="1" x14ac:dyDescent="0.25">
      <c r="A464" s="473" t="s">
        <v>14</v>
      </c>
      <c r="B464" s="200">
        <f>AVERAGE(B255:B259)</f>
        <v>4343</v>
      </c>
      <c r="C464" s="200">
        <f t="shared" ref="C464:P464" si="231">AVERAGE(C255:C259)</f>
        <v>4181.3999999999996</v>
      </c>
      <c r="D464" s="200">
        <f t="shared" si="231"/>
        <v>3510.6</v>
      </c>
      <c r="E464" s="200">
        <f t="shared" si="231"/>
        <v>4243.2</v>
      </c>
      <c r="F464" s="200">
        <f t="shared" si="231"/>
        <v>570.6</v>
      </c>
      <c r="G464" s="200">
        <f t="shared" si="231"/>
        <v>29.4</v>
      </c>
      <c r="H464" s="200">
        <f t="shared" si="231"/>
        <v>16848.8</v>
      </c>
      <c r="I464" s="200"/>
      <c r="J464" s="200">
        <f t="shared" si="231"/>
        <v>0.6</v>
      </c>
      <c r="K464" s="200">
        <f t="shared" si="231"/>
        <v>0.6</v>
      </c>
      <c r="L464" s="200">
        <f t="shared" si="231"/>
        <v>17220.400000000001</v>
      </c>
      <c r="M464" s="200">
        <f t="shared" si="231"/>
        <v>26038</v>
      </c>
      <c r="N464" s="200">
        <f t="shared" si="231"/>
        <v>5275</v>
      </c>
      <c r="O464" s="200">
        <f t="shared" si="231"/>
        <v>102.6</v>
      </c>
      <c r="P464" s="200">
        <f t="shared" si="231"/>
        <v>48534.6</v>
      </c>
    </row>
    <row r="465" spans="1:16" ht="11.25" customHeight="1" x14ac:dyDescent="0.25">
      <c r="A465" s="473" t="s">
        <v>207</v>
      </c>
      <c r="B465" s="200">
        <f>AVERAGE(B260:B264)</f>
        <v>2580.4</v>
      </c>
      <c r="C465" s="200">
        <f t="shared" ref="C465:P465" si="232">AVERAGE(C260:C264)</f>
        <v>6524</v>
      </c>
      <c r="D465" s="200">
        <f t="shared" si="232"/>
        <v>446</v>
      </c>
      <c r="E465" s="200">
        <f t="shared" si="232"/>
        <v>3806.2</v>
      </c>
      <c r="F465" s="200">
        <f t="shared" si="232"/>
        <v>1892.8</v>
      </c>
      <c r="G465" s="200" t="s">
        <v>29</v>
      </c>
      <c r="H465" s="200">
        <f t="shared" si="232"/>
        <v>15249.4</v>
      </c>
      <c r="I465" s="200"/>
      <c r="J465" s="200">
        <f t="shared" si="232"/>
        <v>0</v>
      </c>
      <c r="K465" s="200">
        <f t="shared" si="232"/>
        <v>0.2</v>
      </c>
      <c r="L465" s="200">
        <f t="shared" si="232"/>
        <v>14.8</v>
      </c>
      <c r="M465" s="200">
        <f t="shared" si="232"/>
        <v>11063.2</v>
      </c>
      <c r="N465" s="200">
        <f t="shared" si="232"/>
        <v>8533.2000000000007</v>
      </c>
      <c r="O465" s="200" t="s">
        <v>29</v>
      </c>
      <c r="P465" s="200">
        <f t="shared" si="232"/>
        <v>19611.400000000001</v>
      </c>
    </row>
    <row r="466" spans="1:16" ht="11.25" customHeight="1" x14ac:dyDescent="0.25">
      <c r="A466" s="473" t="s">
        <v>238</v>
      </c>
      <c r="B466" s="200">
        <f>AVERAGE(B265:B269)</f>
        <v>5460.6</v>
      </c>
      <c r="C466" s="200">
        <f>AVERAGE(C265:C269)</f>
        <v>14660.2</v>
      </c>
      <c r="D466" s="200">
        <f>AVERAGE(D265:D269)</f>
        <v>9462.2000000000007</v>
      </c>
      <c r="E466" s="200">
        <f>AVERAGE(E265:E269)</f>
        <v>6270.8</v>
      </c>
      <c r="F466" s="200">
        <f>AVERAGE(F265:F269)</f>
        <v>3260.4</v>
      </c>
      <c r="G466" s="200" t="str">
        <f>G265</f>
        <v>-</v>
      </c>
      <c r="H466" s="200">
        <f>AVERAGE(H265:H269)</f>
        <v>39114.199999999997</v>
      </c>
      <c r="I466" s="200"/>
      <c r="J466" s="200">
        <f>AVERAGE(J265:J269)</f>
        <v>2</v>
      </c>
      <c r="K466" s="200">
        <f>AVERAGE(K265:K269)</f>
        <v>3.4</v>
      </c>
      <c r="L466" s="200">
        <f>AVERAGE(L265:L269)</f>
        <v>7259.4</v>
      </c>
      <c r="M466" s="200">
        <f>AVERAGE(M265:M269)</f>
        <v>17964.400000000001</v>
      </c>
      <c r="N466" s="200">
        <f>AVERAGE(N265:N269)</f>
        <v>9381.4</v>
      </c>
      <c r="O466" s="200" t="str">
        <f>O265</f>
        <v>-</v>
      </c>
      <c r="P466" s="200">
        <f>AVERAGE(P265:P269)</f>
        <v>34610.6</v>
      </c>
    </row>
    <row r="467" spans="1:16" ht="11.25" customHeight="1" x14ac:dyDescent="0.25">
      <c r="A467" s="473">
        <v>2006</v>
      </c>
      <c r="B467" s="200">
        <f t="shared" ref="B467:H467" si="233">B270</f>
        <v>2821</v>
      </c>
      <c r="C467" s="200">
        <f t="shared" si="233"/>
        <v>8341</v>
      </c>
      <c r="D467" s="200">
        <f t="shared" si="233"/>
        <v>7736</v>
      </c>
      <c r="E467" s="200">
        <f t="shared" si="233"/>
        <v>6690</v>
      </c>
      <c r="F467" s="200">
        <f t="shared" si="233"/>
        <v>4957</v>
      </c>
      <c r="G467" s="200">
        <f t="shared" si="233"/>
        <v>15</v>
      </c>
      <c r="H467" s="200">
        <f t="shared" si="233"/>
        <v>30545</v>
      </c>
      <c r="I467" s="200"/>
      <c r="J467" s="200">
        <f t="shared" ref="J467:P467" si="234">J270</f>
        <v>16</v>
      </c>
      <c r="K467" s="200">
        <f t="shared" si="234"/>
        <v>102</v>
      </c>
      <c r="L467" s="200">
        <f t="shared" si="234"/>
        <v>10475</v>
      </c>
      <c r="M467" s="200">
        <f t="shared" si="234"/>
        <v>10634</v>
      </c>
      <c r="N467" s="200">
        <f t="shared" si="234"/>
        <v>10711</v>
      </c>
      <c r="O467" s="200">
        <f t="shared" si="234"/>
        <v>5</v>
      </c>
      <c r="P467" s="200">
        <f t="shared" si="234"/>
        <v>31938</v>
      </c>
    </row>
    <row r="468" spans="1:16" ht="11.25" customHeight="1" x14ac:dyDescent="0.25">
      <c r="A468" s="477">
        <v>2007</v>
      </c>
      <c r="B468" s="203">
        <f t="shared" ref="B468:H468" si="235">B271</f>
        <v>316</v>
      </c>
      <c r="C468" s="203">
        <f t="shared" si="235"/>
        <v>14629</v>
      </c>
      <c r="D468" s="203">
        <f t="shared" si="235"/>
        <v>3349</v>
      </c>
      <c r="E468" s="203">
        <f t="shared" si="235"/>
        <v>4579</v>
      </c>
      <c r="F468" s="203">
        <f t="shared" si="235"/>
        <v>70</v>
      </c>
      <c r="G468" s="203">
        <f t="shared" si="235"/>
        <v>0</v>
      </c>
      <c r="H468" s="203">
        <f t="shared" si="235"/>
        <v>22943</v>
      </c>
      <c r="I468" s="203"/>
      <c r="J468" s="203">
        <f t="shared" ref="J468:P468" si="236">J271</f>
        <v>0</v>
      </c>
      <c r="K468" s="203">
        <f t="shared" si="236"/>
        <v>12</v>
      </c>
      <c r="L468" s="203">
        <f t="shared" si="236"/>
        <v>22743</v>
      </c>
      <c r="M468" s="203">
        <f t="shared" si="236"/>
        <v>16423</v>
      </c>
      <c r="N468" s="203">
        <f t="shared" si="236"/>
        <v>860</v>
      </c>
      <c r="O468" s="203">
        <f t="shared" si="236"/>
        <v>0</v>
      </c>
      <c r="P468" s="203">
        <f t="shared" si="236"/>
        <v>40038</v>
      </c>
    </row>
    <row r="469" spans="1:16" ht="11.25" customHeight="1" x14ac:dyDescent="0.25">
      <c r="A469" s="477">
        <v>2008</v>
      </c>
      <c r="B469" s="203">
        <f t="shared" ref="B469:H469" si="237">B272</f>
        <v>358</v>
      </c>
      <c r="C469" s="203">
        <f t="shared" si="237"/>
        <v>8864</v>
      </c>
      <c r="D469" s="203">
        <f t="shared" si="237"/>
        <v>2099</v>
      </c>
      <c r="E469" s="203">
        <f t="shared" si="237"/>
        <v>6007</v>
      </c>
      <c r="F469" s="203">
        <f t="shared" si="237"/>
        <v>3579</v>
      </c>
      <c r="G469" s="203">
        <f t="shared" si="237"/>
        <v>1</v>
      </c>
      <c r="H469" s="203">
        <f t="shared" si="237"/>
        <v>20907</v>
      </c>
      <c r="I469" s="203"/>
      <c r="J469" s="203">
        <f t="shared" ref="J469:P469" si="238">J272</f>
        <v>0</v>
      </c>
      <c r="K469" s="203">
        <f t="shared" si="238"/>
        <v>18</v>
      </c>
      <c r="L469" s="203">
        <f t="shared" si="238"/>
        <v>865</v>
      </c>
      <c r="M469" s="203">
        <f t="shared" si="238"/>
        <v>3561</v>
      </c>
      <c r="N469" s="203">
        <f t="shared" si="238"/>
        <v>9820</v>
      </c>
      <c r="O469" s="203">
        <f t="shared" si="238"/>
        <v>0</v>
      </c>
      <c r="P469" s="203">
        <f t="shared" si="238"/>
        <v>14264</v>
      </c>
    </row>
    <row r="470" spans="1:16" ht="11.25" customHeight="1" x14ac:dyDescent="0.25">
      <c r="A470" s="477">
        <v>2009</v>
      </c>
      <c r="B470" s="203">
        <f t="shared" ref="B470:H470" si="239">B273</f>
        <v>1491</v>
      </c>
      <c r="C470" s="203">
        <f t="shared" si="239"/>
        <v>5828</v>
      </c>
      <c r="D470" s="203">
        <f t="shared" si="239"/>
        <v>2329</v>
      </c>
      <c r="E470" s="203">
        <f t="shared" si="239"/>
        <v>2566</v>
      </c>
      <c r="F470" s="203">
        <f t="shared" si="239"/>
        <v>12</v>
      </c>
      <c r="G470" s="203">
        <f t="shared" si="239"/>
        <v>25</v>
      </c>
      <c r="H470" s="203">
        <f t="shared" si="239"/>
        <v>12226</v>
      </c>
      <c r="I470" s="203"/>
      <c r="J470" s="203">
        <f t="shared" ref="J470:P470" si="240">J273</f>
        <v>0</v>
      </c>
      <c r="K470" s="203">
        <f t="shared" si="240"/>
        <v>0</v>
      </c>
      <c r="L470" s="203">
        <f t="shared" si="240"/>
        <v>25422</v>
      </c>
      <c r="M470" s="203">
        <f t="shared" si="240"/>
        <v>35141</v>
      </c>
      <c r="N470" s="203">
        <f t="shared" si="240"/>
        <v>100</v>
      </c>
      <c r="O470" s="203">
        <f t="shared" si="240"/>
        <v>15</v>
      </c>
      <c r="P470" s="203">
        <f t="shared" si="240"/>
        <v>60663</v>
      </c>
    </row>
    <row r="471" spans="1:16" ht="11.25" customHeight="1" x14ac:dyDescent="0.25">
      <c r="A471" s="477">
        <v>2010</v>
      </c>
      <c r="B471" s="203">
        <f t="shared" ref="B471:H471" si="241">B274</f>
        <v>1926</v>
      </c>
      <c r="C471" s="203">
        <f t="shared" si="241"/>
        <v>12150</v>
      </c>
      <c r="D471" s="203">
        <f t="shared" si="241"/>
        <v>6943</v>
      </c>
      <c r="E471" s="203">
        <f t="shared" si="241"/>
        <v>9693</v>
      </c>
      <c r="F471" s="203">
        <f t="shared" si="241"/>
        <v>1664</v>
      </c>
      <c r="G471" s="203">
        <f t="shared" si="241"/>
        <v>10</v>
      </c>
      <c r="H471" s="203">
        <f t="shared" si="241"/>
        <v>32376</v>
      </c>
      <c r="I471" s="203"/>
      <c r="J471" s="203">
        <f t="shared" ref="J471:P471" si="242">J274</f>
        <v>2</v>
      </c>
      <c r="K471" s="203">
        <f t="shared" si="242"/>
        <v>63</v>
      </c>
      <c r="L471" s="203">
        <f t="shared" si="242"/>
        <v>2015</v>
      </c>
      <c r="M471" s="203">
        <f t="shared" si="242"/>
        <v>5058</v>
      </c>
      <c r="N471" s="203">
        <f t="shared" si="242"/>
        <v>4323</v>
      </c>
      <c r="O471" s="203">
        <f t="shared" si="242"/>
        <v>15</v>
      </c>
      <c r="P471" s="203">
        <f t="shared" si="242"/>
        <v>11461</v>
      </c>
    </row>
    <row r="472" spans="1:16" ht="11.25" customHeight="1" x14ac:dyDescent="0.25">
      <c r="A472" s="477">
        <v>2011</v>
      </c>
      <c r="B472" s="203">
        <f t="shared" ref="B472:H472" si="243">B275</f>
        <v>1120</v>
      </c>
      <c r="C472" s="203">
        <f t="shared" si="243"/>
        <v>8817</v>
      </c>
      <c r="D472" s="203">
        <f t="shared" si="243"/>
        <v>14761</v>
      </c>
      <c r="E472" s="203">
        <f t="shared" si="243"/>
        <v>6708</v>
      </c>
      <c r="F472" s="203">
        <f t="shared" si="243"/>
        <v>418</v>
      </c>
      <c r="G472" s="203">
        <f t="shared" si="243"/>
        <v>0</v>
      </c>
      <c r="H472" s="203">
        <f t="shared" si="243"/>
        <v>31824</v>
      </c>
      <c r="I472" s="203"/>
      <c r="J472" s="203">
        <f t="shared" ref="J472:P472" si="244">J275</f>
        <v>0</v>
      </c>
      <c r="K472" s="203">
        <f t="shared" si="244"/>
        <v>0</v>
      </c>
      <c r="L472" s="203">
        <f t="shared" si="244"/>
        <v>2062</v>
      </c>
      <c r="M472" s="203">
        <f t="shared" si="244"/>
        <v>4791</v>
      </c>
      <c r="N472" s="203">
        <f t="shared" si="244"/>
        <v>6711</v>
      </c>
      <c r="O472" s="203">
        <f t="shared" si="244"/>
        <v>0</v>
      </c>
      <c r="P472" s="203">
        <f t="shared" si="244"/>
        <v>13564</v>
      </c>
    </row>
    <row r="473" spans="1:16" ht="11.25" customHeight="1" x14ac:dyDescent="0.25">
      <c r="A473" s="477">
        <v>2012</v>
      </c>
      <c r="B473" s="203">
        <f t="shared" ref="B473:H479" si="245">B276</f>
        <v>4465</v>
      </c>
      <c r="C473" s="203">
        <f t="shared" si="245"/>
        <v>20696</v>
      </c>
      <c r="D473" s="203">
        <f t="shared" si="245"/>
        <v>10144</v>
      </c>
      <c r="E473" s="203">
        <f t="shared" si="245"/>
        <v>14650</v>
      </c>
      <c r="F473" s="203">
        <f t="shared" si="245"/>
        <v>4834</v>
      </c>
      <c r="G473" s="203">
        <f t="shared" si="245"/>
        <v>10</v>
      </c>
      <c r="H473" s="203">
        <f t="shared" si="245"/>
        <v>54789</v>
      </c>
      <c r="I473" s="203"/>
      <c r="J473" s="203">
        <f t="shared" ref="J473:P479" si="246">J276</f>
        <v>1</v>
      </c>
      <c r="K473" s="203">
        <f t="shared" si="246"/>
        <v>101</v>
      </c>
      <c r="L473" s="203">
        <f t="shared" si="246"/>
        <v>2769</v>
      </c>
      <c r="M473" s="203">
        <f t="shared" si="246"/>
        <v>18790</v>
      </c>
      <c r="N473" s="203">
        <f t="shared" si="246"/>
        <v>15869</v>
      </c>
      <c r="O473" s="203">
        <f t="shared" si="246"/>
        <v>0</v>
      </c>
      <c r="P473" s="203">
        <f t="shared" si="246"/>
        <v>37530</v>
      </c>
    </row>
    <row r="474" spans="1:16" ht="11.25" customHeight="1" x14ac:dyDescent="0.25">
      <c r="A474" s="477">
        <v>2013</v>
      </c>
      <c r="B474" s="203">
        <f t="shared" si="245"/>
        <v>11929</v>
      </c>
      <c r="C474" s="203">
        <f t="shared" si="245"/>
        <v>19103</v>
      </c>
      <c r="D474" s="203">
        <f t="shared" si="245"/>
        <v>9310</v>
      </c>
      <c r="E474" s="203">
        <f t="shared" si="245"/>
        <v>7916</v>
      </c>
      <c r="F474" s="203">
        <f t="shared" si="245"/>
        <v>2902</v>
      </c>
      <c r="G474" s="203">
        <f t="shared" si="245"/>
        <v>0</v>
      </c>
      <c r="H474" s="203">
        <f t="shared" si="245"/>
        <v>51160</v>
      </c>
      <c r="I474" s="203"/>
      <c r="J474" s="203">
        <f t="shared" si="246"/>
        <v>0</v>
      </c>
      <c r="K474" s="203">
        <f t="shared" si="246"/>
        <v>7</v>
      </c>
      <c r="L474" s="203">
        <f t="shared" si="246"/>
        <v>7722</v>
      </c>
      <c r="M474" s="203">
        <f t="shared" si="246"/>
        <v>36163</v>
      </c>
      <c r="N474" s="203">
        <f t="shared" si="246"/>
        <v>4376</v>
      </c>
      <c r="O474" s="203">
        <f t="shared" si="246"/>
        <v>0</v>
      </c>
      <c r="P474" s="203">
        <f t="shared" si="246"/>
        <v>48268</v>
      </c>
    </row>
    <row r="475" spans="1:16" ht="11.25" customHeight="1" x14ac:dyDescent="0.25">
      <c r="A475" s="477">
        <v>2014</v>
      </c>
      <c r="B475" s="203">
        <f t="shared" si="245"/>
        <v>12608</v>
      </c>
      <c r="C475" s="203">
        <f t="shared" si="245"/>
        <v>17002</v>
      </c>
      <c r="D475" s="203">
        <f t="shared" si="245"/>
        <v>20643</v>
      </c>
      <c r="E475" s="203">
        <f t="shared" si="245"/>
        <v>8793</v>
      </c>
      <c r="F475" s="203">
        <f t="shared" si="245"/>
        <v>2715</v>
      </c>
      <c r="G475" s="203">
        <f t="shared" si="245"/>
        <v>0</v>
      </c>
      <c r="H475" s="203">
        <f t="shared" si="245"/>
        <v>61761</v>
      </c>
      <c r="I475" s="203"/>
      <c r="J475" s="203">
        <f t="shared" si="246"/>
        <v>0</v>
      </c>
      <c r="K475" s="203">
        <f t="shared" si="246"/>
        <v>30</v>
      </c>
      <c r="L475" s="203">
        <f t="shared" si="246"/>
        <v>10405</v>
      </c>
      <c r="M475" s="203">
        <f t="shared" si="246"/>
        <v>39231</v>
      </c>
      <c r="N475" s="203">
        <f t="shared" si="246"/>
        <v>6369</v>
      </c>
      <c r="O475" s="203">
        <f t="shared" si="246"/>
        <v>0</v>
      </c>
      <c r="P475" s="203">
        <f t="shared" si="246"/>
        <v>56035</v>
      </c>
    </row>
    <row r="476" spans="1:16" ht="11.25" customHeight="1" x14ac:dyDescent="0.25">
      <c r="A476" s="477">
        <v>2015</v>
      </c>
      <c r="B476" s="203">
        <f t="shared" si="245"/>
        <v>7315</v>
      </c>
      <c r="C476" s="203">
        <f t="shared" si="245"/>
        <v>23697</v>
      </c>
      <c r="D476" s="203">
        <f t="shared" si="245"/>
        <v>23110</v>
      </c>
      <c r="E476" s="203">
        <f t="shared" si="245"/>
        <v>4031</v>
      </c>
      <c r="F476" s="203">
        <f t="shared" si="245"/>
        <v>786</v>
      </c>
      <c r="G476" s="203">
        <f t="shared" si="245"/>
        <v>0</v>
      </c>
      <c r="H476" s="203">
        <f t="shared" si="245"/>
        <v>58939</v>
      </c>
      <c r="I476" s="203"/>
      <c r="J476" s="203">
        <f t="shared" si="246"/>
        <v>0</v>
      </c>
      <c r="K476" s="203">
        <f t="shared" si="246"/>
        <v>3</v>
      </c>
      <c r="L476" s="203">
        <f t="shared" si="246"/>
        <v>1994</v>
      </c>
      <c r="M476" s="203">
        <f t="shared" si="246"/>
        <v>1307</v>
      </c>
      <c r="N476" s="203">
        <f t="shared" si="246"/>
        <v>706</v>
      </c>
      <c r="O476" s="203">
        <f t="shared" si="246"/>
        <v>0</v>
      </c>
      <c r="P476" s="203">
        <f t="shared" si="246"/>
        <v>4010</v>
      </c>
    </row>
    <row r="477" spans="1:16" ht="11.25" customHeight="1" x14ac:dyDescent="0.25">
      <c r="A477" s="477">
        <v>2016</v>
      </c>
      <c r="B477" s="203">
        <f t="shared" si="245"/>
        <v>2905</v>
      </c>
      <c r="C477" s="203">
        <f t="shared" si="245"/>
        <v>13752</v>
      </c>
      <c r="D477" s="203">
        <f t="shared" si="245"/>
        <v>5129</v>
      </c>
      <c r="E477" s="203">
        <f t="shared" si="245"/>
        <v>1310</v>
      </c>
      <c r="F477" s="203">
        <f t="shared" si="245"/>
        <v>5</v>
      </c>
      <c r="G477" s="203">
        <f t="shared" si="245"/>
        <v>0</v>
      </c>
      <c r="H477" s="203">
        <f t="shared" si="245"/>
        <v>23101</v>
      </c>
      <c r="I477" s="203"/>
      <c r="J477" s="203">
        <f t="shared" si="246"/>
        <v>0</v>
      </c>
      <c r="K477" s="203">
        <f t="shared" si="246"/>
        <v>0</v>
      </c>
      <c r="L477" s="203">
        <f t="shared" si="246"/>
        <v>29</v>
      </c>
      <c r="M477" s="203">
        <f t="shared" si="246"/>
        <v>15</v>
      </c>
      <c r="N477" s="203">
        <f t="shared" si="246"/>
        <v>0</v>
      </c>
      <c r="O477" s="203">
        <f t="shared" si="246"/>
        <v>1</v>
      </c>
      <c r="P477" s="203">
        <f t="shared" si="246"/>
        <v>44</v>
      </c>
    </row>
    <row r="478" spans="1:16" ht="11.25" customHeight="1" x14ac:dyDescent="0.25">
      <c r="A478" s="477">
        <v>2017</v>
      </c>
      <c r="B478" s="203">
        <f t="shared" si="245"/>
        <v>1253</v>
      </c>
      <c r="C478" s="203">
        <f t="shared" si="245"/>
        <v>2039</v>
      </c>
      <c r="D478" s="203">
        <f t="shared" si="245"/>
        <v>15772</v>
      </c>
      <c r="E478" s="203">
        <f t="shared" si="245"/>
        <v>4605</v>
      </c>
      <c r="F478" s="203">
        <f t="shared" si="245"/>
        <v>745</v>
      </c>
      <c r="G478" s="203">
        <f t="shared" si="245"/>
        <v>0</v>
      </c>
      <c r="H478" s="203">
        <f t="shared" si="245"/>
        <v>24414</v>
      </c>
      <c r="I478" s="203"/>
      <c r="J478" s="203">
        <f t="shared" si="246"/>
        <v>0</v>
      </c>
      <c r="K478" s="203">
        <f t="shared" si="246"/>
        <v>0</v>
      </c>
      <c r="L478" s="203">
        <f t="shared" si="246"/>
        <v>1003</v>
      </c>
      <c r="M478" s="203">
        <f t="shared" si="246"/>
        <v>7150</v>
      </c>
      <c r="N478" s="203">
        <f t="shared" si="246"/>
        <v>5197</v>
      </c>
      <c r="O478" s="203">
        <f t="shared" si="246"/>
        <v>0</v>
      </c>
      <c r="P478" s="203">
        <f t="shared" si="246"/>
        <v>13350</v>
      </c>
    </row>
    <row r="479" spans="1:16" s="358" customFormat="1" ht="11.25" customHeight="1" x14ac:dyDescent="0.25">
      <c r="A479" s="157">
        <v>2018</v>
      </c>
      <c r="B479" s="203">
        <f t="shared" si="245"/>
        <v>1319</v>
      </c>
      <c r="C479" s="203">
        <f t="shared" si="245"/>
        <v>11756</v>
      </c>
      <c r="D479" s="203">
        <f t="shared" si="245"/>
        <v>8486</v>
      </c>
      <c r="E479" s="203">
        <f t="shared" si="245"/>
        <v>1883</v>
      </c>
      <c r="F479" s="203">
        <f t="shared" si="245"/>
        <v>459</v>
      </c>
      <c r="G479" s="203">
        <f t="shared" si="245"/>
        <v>0</v>
      </c>
      <c r="H479" s="203">
        <f t="shared" si="245"/>
        <v>23903</v>
      </c>
      <c r="I479" s="203"/>
      <c r="J479" s="203">
        <f t="shared" si="246"/>
        <v>0</v>
      </c>
      <c r="K479" s="203">
        <f t="shared" si="246"/>
        <v>15</v>
      </c>
      <c r="L479" s="203">
        <f t="shared" si="246"/>
        <v>1751</v>
      </c>
      <c r="M479" s="203">
        <f t="shared" si="246"/>
        <v>5512</v>
      </c>
      <c r="N479" s="203">
        <f t="shared" si="246"/>
        <v>4524</v>
      </c>
      <c r="O479" s="203">
        <f t="shared" si="246"/>
        <v>0</v>
      </c>
      <c r="P479" s="203">
        <f t="shared" si="246"/>
        <v>11802</v>
      </c>
    </row>
    <row r="480" spans="1:16" s="358" customFormat="1" ht="11.25" customHeight="1" x14ac:dyDescent="0.25">
      <c r="A480" s="157">
        <v>2019</v>
      </c>
      <c r="B480" s="203">
        <f t="shared" ref="B480:H481" si="247">B283</f>
        <v>809</v>
      </c>
      <c r="C480" s="203">
        <f t="shared" si="247"/>
        <v>2110</v>
      </c>
      <c r="D480" s="203">
        <f t="shared" si="247"/>
        <v>12314</v>
      </c>
      <c r="E480" s="203">
        <f t="shared" si="247"/>
        <v>2789</v>
      </c>
      <c r="F480" s="203">
        <f t="shared" si="247"/>
        <v>299</v>
      </c>
      <c r="G480" s="203">
        <f t="shared" si="247"/>
        <v>0</v>
      </c>
      <c r="H480" s="203">
        <f t="shared" si="247"/>
        <v>18321</v>
      </c>
      <c r="I480" s="203"/>
      <c r="J480" s="203">
        <f t="shared" ref="J480:P481" si="248">J283</f>
        <v>0</v>
      </c>
      <c r="K480" s="203">
        <f t="shared" si="248"/>
        <v>0</v>
      </c>
      <c r="L480" s="203">
        <f t="shared" si="248"/>
        <v>14414</v>
      </c>
      <c r="M480" s="203">
        <f t="shared" si="248"/>
        <v>33818</v>
      </c>
      <c r="N480" s="203">
        <f t="shared" si="248"/>
        <v>7273</v>
      </c>
      <c r="O480" s="203">
        <f t="shared" si="248"/>
        <v>0</v>
      </c>
      <c r="P480" s="203">
        <f t="shared" si="248"/>
        <v>55505</v>
      </c>
    </row>
    <row r="481" spans="1:16" ht="11.25" customHeight="1" x14ac:dyDescent="0.25">
      <c r="A481" s="157" t="s">
        <v>393</v>
      </c>
      <c r="B481" s="203">
        <f t="shared" si="247"/>
        <v>8</v>
      </c>
      <c r="C481" s="203">
        <f t="shared" si="247"/>
        <v>23</v>
      </c>
      <c r="D481" s="203">
        <f t="shared" si="247"/>
        <v>622</v>
      </c>
      <c r="E481" s="203">
        <f t="shared" si="247"/>
        <v>1718</v>
      </c>
      <c r="F481" s="203">
        <f t="shared" si="247"/>
        <v>66</v>
      </c>
      <c r="G481" s="203">
        <f t="shared" si="247"/>
        <v>0</v>
      </c>
      <c r="H481" s="203">
        <f t="shared" si="247"/>
        <v>2437</v>
      </c>
      <c r="I481" s="203"/>
      <c r="J481" s="203">
        <f t="shared" si="248"/>
        <v>0</v>
      </c>
      <c r="K481" s="203">
        <f t="shared" si="248"/>
        <v>0</v>
      </c>
      <c r="L481" s="203">
        <f t="shared" si="248"/>
        <v>587</v>
      </c>
      <c r="M481" s="203">
        <f t="shared" si="248"/>
        <v>10864</v>
      </c>
      <c r="N481" s="203">
        <f t="shared" si="248"/>
        <v>2940</v>
      </c>
      <c r="O481" s="203">
        <f t="shared" si="248"/>
        <v>0</v>
      </c>
      <c r="P481" s="203">
        <f t="shared" si="248"/>
        <v>14391</v>
      </c>
    </row>
    <row r="482" spans="1:16" ht="11.25" customHeight="1" x14ac:dyDescent="0.25">
      <c r="B482" s="200"/>
      <c r="C482" s="200"/>
      <c r="D482" s="200"/>
      <c r="E482" s="200"/>
      <c r="F482" s="200"/>
      <c r="G482" s="200"/>
      <c r="H482" s="200"/>
      <c r="I482" s="200"/>
      <c r="J482" s="200"/>
      <c r="K482" s="200"/>
      <c r="L482" s="200"/>
      <c r="M482" s="200"/>
      <c r="N482" s="200"/>
      <c r="O482" s="200"/>
      <c r="P482" s="200"/>
    </row>
    <row r="483" spans="1:16" ht="11.25" customHeight="1" x14ac:dyDescent="0.25">
      <c r="A483" s="522" t="s">
        <v>384</v>
      </c>
      <c r="B483" s="522"/>
      <c r="C483" s="522"/>
      <c r="D483" s="522"/>
      <c r="E483" s="522"/>
      <c r="F483" s="522"/>
      <c r="G483" s="522"/>
      <c r="H483" s="522"/>
      <c r="I483" s="522"/>
      <c r="J483" s="522"/>
      <c r="K483" s="522"/>
      <c r="L483" s="522"/>
      <c r="M483" s="522"/>
      <c r="N483" s="522"/>
      <c r="O483" s="522"/>
      <c r="P483" s="522"/>
    </row>
    <row r="484" spans="1:16" ht="11.25" customHeight="1" x14ac:dyDescent="0.25">
      <c r="A484" s="469" t="s">
        <v>33</v>
      </c>
      <c r="B484" s="58" t="s">
        <v>35</v>
      </c>
      <c r="C484" s="58" t="s">
        <v>36</v>
      </c>
      <c r="D484" s="58" t="s">
        <v>99</v>
      </c>
      <c r="E484" s="58" t="s">
        <v>100</v>
      </c>
      <c r="F484" s="58" t="s">
        <v>39</v>
      </c>
      <c r="G484" s="58" t="s">
        <v>40</v>
      </c>
      <c r="H484" s="58" t="s">
        <v>28</v>
      </c>
      <c r="I484" s="58"/>
      <c r="J484" s="58" t="s">
        <v>35</v>
      </c>
      <c r="K484" s="58" t="s">
        <v>36</v>
      </c>
      <c r="L484" s="58" t="s">
        <v>101</v>
      </c>
      <c r="M484" s="58" t="s">
        <v>102</v>
      </c>
      <c r="N484" s="58" t="s">
        <v>39</v>
      </c>
      <c r="O484" s="58" t="s">
        <v>40</v>
      </c>
      <c r="P484" s="58" t="s">
        <v>28</v>
      </c>
    </row>
    <row r="485" spans="1:16" ht="11.25" customHeight="1" x14ac:dyDescent="0.25">
      <c r="B485" s="583" t="s">
        <v>67</v>
      </c>
      <c r="C485" s="583"/>
      <c r="D485" s="583"/>
      <c r="E485" s="583"/>
      <c r="F485" s="583"/>
      <c r="G485" s="583"/>
      <c r="H485" s="583"/>
      <c r="I485" s="19"/>
      <c r="J485" s="583" t="s">
        <v>68</v>
      </c>
      <c r="K485" s="583"/>
      <c r="L485" s="583"/>
      <c r="M485" s="583"/>
      <c r="N485" s="583"/>
      <c r="O485" s="583"/>
      <c r="P485" s="583"/>
    </row>
    <row r="486" spans="1:16" x14ac:dyDescent="0.25">
      <c r="A486" s="120" t="s">
        <v>379</v>
      </c>
      <c r="B486" s="110"/>
      <c r="C486" s="110"/>
      <c r="D486" s="110"/>
      <c r="E486" s="110"/>
      <c r="F486" s="110"/>
      <c r="G486" s="110"/>
      <c r="H486" s="110"/>
    </row>
    <row r="487" spans="1:16" ht="11.25" customHeight="1" x14ac:dyDescent="0.25">
      <c r="A487" s="473" t="s">
        <v>30</v>
      </c>
      <c r="B487" s="200">
        <f>AVERAGE(B292:B296)</f>
        <v>38547</v>
      </c>
      <c r="C487" s="200">
        <f t="shared" ref="C487:H487" si="249">AVERAGE(C292:C296)</f>
        <v>5394.6</v>
      </c>
      <c r="D487" s="200">
        <f t="shared" si="249"/>
        <v>25025.200000000001</v>
      </c>
      <c r="E487" s="200">
        <f t="shared" si="249"/>
        <v>6781.8</v>
      </c>
      <c r="F487" s="200">
        <f t="shared" si="249"/>
        <v>1131.2</v>
      </c>
      <c r="G487" s="200">
        <f t="shared" si="249"/>
        <v>200.8</v>
      </c>
      <c r="H487" s="200">
        <f t="shared" si="249"/>
        <v>76882.2</v>
      </c>
      <c r="I487" s="200"/>
      <c r="J487" s="200">
        <f>AVERAGE(J292:J296)</f>
        <v>282.8</v>
      </c>
      <c r="K487" s="200">
        <f t="shared" ref="K487:P487" si="250">AVERAGE(K292:K296)</f>
        <v>7435.4</v>
      </c>
      <c r="L487" s="200">
        <f t="shared" si="250"/>
        <v>139943</v>
      </c>
      <c r="M487" s="200">
        <f t="shared" si="250"/>
        <v>71509.2</v>
      </c>
      <c r="N487" s="200">
        <f t="shared" si="250"/>
        <v>19888.8</v>
      </c>
      <c r="O487" s="200">
        <f t="shared" si="250"/>
        <v>54.2</v>
      </c>
      <c r="P487" s="200">
        <f t="shared" si="250"/>
        <v>239059.20000000001</v>
      </c>
    </row>
    <row r="488" spans="1:16" ht="11.25" customHeight="1" x14ac:dyDescent="0.25">
      <c r="A488" s="473" t="s">
        <v>87</v>
      </c>
      <c r="B488" s="200">
        <f>AVERAGE(B297:B301)</f>
        <v>38746.6</v>
      </c>
      <c r="C488" s="200">
        <f t="shared" ref="C488:H488" si="251">AVERAGE(C297:C301)</f>
        <v>15748.6</v>
      </c>
      <c r="D488" s="200">
        <f t="shared" si="251"/>
        <v>11001</v>
      </c>
      <c r="E488" s="200">
        <f t="shared" si="251"/>
        <v>7569.8</v>
      </c>
      <c r="F488" s="200">
        <f t="shared" si="251"/>
        <v>1931</v>
      </c>
      <c r="G488" s="200">
        <f t="shared" si="251"/>
        <v>26.2</v>
      </c>
      <c r="H488" s="200">
        <f t="shared" si="251"/>
        <v>75011.199999999997</v>
      </c>
      <c r="I488" s="200"/>
      <c r="J488" s="200">
        <f>AVERAGE(J297:J301)</f>
        <v>3.4</v>
      </c>
      <c r="K488" s="200">
        <f t="shared" ref="K488:P488" si="252">AVERAGE(K297:K301)</f>
        <v>4256.2</v>
      </c>
      <c r="L488" s="200">
        <f t="shared" si="252"/>
        <v>43335.8</v>
      </c>
      <c r="M488" s="200">
        <f t="shared" si="252"/>
        <v>88599.8</v>
      </c>
      <c r="N488" s="200">
        <f t="shared" si="252"/>
        <v>18776.599999999999</v>
      </c>
      <c r="O488" s="200">
        <f t="shared" si="252"/>
        <v>67.599999999999994</v>
      </c>
      <c r="P488" s="200">
        <f t="shared" si="252"/>
        <v>155032.6</v>
      </c>
    </row>
    <row r="489" spans="1:16" ht="11.25" customHeight="1" x14ac:dyDescent="0.25">
      <c r="A489" s="473" t="s">
        <v>14</v>
      </c>
      <c r="B489" s="200">
        <f>AVERAGE(B302:B306)</f>
        <v>14735.8</v>
      </c>
      <c r="C489" s="200">
        <f t="shared" ref="C489:H489" si="253">AVERAGE(C302:C306)</f>
        <v>11511.2</v>
      </c>
      <c r="D489" s="200">
        <f t="shared" si="253"/>
        <v>5135.6000000000004</v>
      </c>
      <c r="E489" s="200">
        <f t="shared" si="253"/>
        <v>5472.4</v>
      </c>
      <c r="F489" s="200">
        <f t="shared" si="253"/>
        <v>1058.5999999999999</v>
      </c>
      <c r="G489" s="200">
        <f t="shared" si="253"/>
        <v>29.4</v>
      </c>
      <c r="H489" s="200">
        <f t="shared" si="253"/>
        <v>37913.599999999999</v>
      </c>
      <c r="I489" s="200"/>
      <c r="J489" s="200">
        <f>AVERAGE(J302:J306)</f>
        <v>0.6</v>
      </c>
      <c r="K489" s="200">
        <f t="shared" ref="K489:P489" si="254">AVERAGE(K302:K306)</f>
        <v>0.6</v>
      </c>
      <c r="L489" s="200">
        <f t="shared" si="254"/>
        <v>20432.2</v>
      </c>
      <c r="M489" s="200">
        <f t="shared" si="254"/>
        <v>44515.6</v>
      </c>
      <c r="N489" s="200">
        <f t="shared" si="254"/>
        <v>11794.6</v>
      </c>
      <c r="O489" s="200">
        <f t="shared" si="254"/>
        <v>102.6</v>
      </c>
      <c r="P489" s="200">
        <f t="shared" si="254"/>
        <v>76743.600000000006</v>
      </c>
    </row>
    <row r="490" spans="1:16" ht="11.25" customHeight="1" x14ac:dyDescent="0.25">
      <c r="A490" s="473" t="s">
        <v>207</v>
      </c>
      <c r="B490" s="200">
        <f>AVERAGE(B307:B311)</f>
        <v>6784.4</v>
      </c>
      <c r="C490" s="200">
        <f t="shared" ref="C490:H490" si="255">AVERAGE(C307:C311)</f>
        <v>8892.4</v>
      </c>
      <c r="D490" s="200">
        <f t="shared" si="255"/>
        <v>1252</v>
      </c>
      <c r="E490" s="200">
        <f t="shared" si="255"/>
        <v>4881.3999999999996</v>
      </c>
      <c r="F490" s="200">
        <f t="shared" si="255"/>
        <v>1911.2</v>
      </c>
      <c r="G490" s="200" t="s">
        <v>29</v>
      </c>
      <c r="H490" s="200">
        <f t="shared" si="255"/>
        <v>23721.4</v>
      </c>
      <c r="I490" s="200"/>
      <c r="J490" s="200">
        <f>AVERAGE(J307:J311)</f>
        <v>0</v>
      </c>
      <c r="K490" s="200">
        <f t="shared" ref="K490:P490" si="256">AVERAGE(K307:K311)</f>
        <v>0.2</v>
      </c>
      <c r="L490" s="200">
        <f t="shared" si="256"/>
        <v>1576.8</v>
      </c>
      <c r="M490" s="200">
        <f t="shared" si="256"/>
        <v>16995.599999999999</v>
      </c>
      <c r="N490" s="200">
        <f t="shared" si="256"/>
        <v>8819</v>
      </c>
      <c r="O490" s="200" t="s">
        <v>29</v>
      </c>
      <c r="P490" s="200">
        <f t="shared" si="256"/>
        <v>27391.599999999999</v>
      </c>
    </row>
    <row r="491" spans="1:16" ht="11.25" customHeight="1" x14ac:dyDescent="0.25">
      <c r="A491" s="473" t="s">
        <v>238</v>
      </c>
      <c r="B491" s="200">
        <f>AVERAGE(B312:B316)</f>
        <v>23805.4</v>
      </c>
      <c r="C491" s="200">
        <f>AVERAGE(C312:C316)</f>
        <v>22243.8</v>
      </c>
      <c r="D491" s="200">
        <f>AVERAGE(D312:D316)</f>
        <v>20960.8</v>
      </c>
      <c r="E491" s="200">
        <f>AVERAGE(E312:E316)</f>
        <v>16282.8</v>
      </c>
      <c r="F491" s="200">
        <f>AVERAGE(F312:F316)</f>
        <v>4254</v>
      </c>
      <c r="G491" s="203" t="str">
        <f>G312</f>
        <v>-</v>
      </c>
      <c r="H491" s="200">
        <f>AVERAGE(H312:H316)</f>
        <v>87546.8</v>
      </c>
      <c r="I491" s="200"/>
      <c r="J491" s="200">
        <f>AVERAGE(J312:J316)</f>
        <v>2</v>
      </c>
      <c r="K491" s="200">
        <f>AVERAGE(K312:K316)</f>
        <v>3.4</v>
      </c>
      <c r="L491" s="200">
        <f>AVERAGE(L312:L316)</f>
        <v>9798</v>
      </c>
      <c r="M491" s="200">
        <f>AVERAGE(M312:M316)</f>
        <v>23075.4</v>
      </c>
      <c r="N491" s="200">
        <f>AVERAGE(N312:N316)</f>
        <v>13484</v>
      </c>
      <c r="O491" s="203" t="str">
        <f>O312</f>
        <v>-</v>
      </c>
      <c r="P491" s="200">
        <f>AVERAGE(P312:P316)</f>
        <v>46756.6</v>
      </c>
    </row>
    <row r="492" spans="1:16" ht="11.25" customHeight="1" x14ac:dyDescent="0.25">
      <c r="A492" s="477">
        <v>2006</v>
      </c>
      <c r="B492" s="203">
        <f t="shared" ref="B492:H492" si="257">B317</f>
        <v>16469</v>
      </c>
      <c r="C492" s="203">
        <f t="shared" si="257"/>
        <v>15421</v>
      </c>
      <c r="D492" s="203">
        <f t="shared" si="257"/>
        <v>8810</v>
      </c>
      <c r="E492" s="203">
        <f t="shared" si="257"/>
        <v>10210</v>
      </c>
      <c r="F492" s="203">
        <f t="shared" si="257"/>
        <v>6893</v>
      </c>
      <c r="G492" s="203">
        <f t="shared" si="257"/>
        <v>15</v>
      </c>
      <c r="H492" s="203">
        <f t="shared" si="257"/>
        <v>57803</v>
      </c>
      <c r="I492" s="203"/>
      <c r="J492" s="203">
        <f t="shared" ref="J492:P492" si="258">J317</f>
        <v>16</v>
      </c>
      <c r="K492" s="203">
        <f t="shared" si="258"/>
        <v>102</v>
      </c>
      <c r="L492" s="203">
        <f t="shared" si="258"/>
        <v>10614</v>
      </c>
      <c r="M492" s="203">
        <f t="shared" si="258"/>
        <v>12394</v>
      </c>
      <c r="N492" s="203">
        <f t="shared" si="258"/>
        <v>11491</v>
      </c>
      <c r="O492" s="203">
        <f t="shared" si="258"/>
        <v>5</v>
      </c>
      <c r="P492" s="203">
        <f t="shared" si="258"/>
        <v>34617</v>
      </c>
    </row>
    <row r="493" spans="1:16" ht="11.25" customHeight="1" x14ac:dyDescent="0.25">
      <c r="A493" s="477">
        <v>2007</v>
      </c>
      <c r="B493" s="203">
        <f t="shared" ref="B493:H493" si="259">B318</f>
        <v>6959</v>
      </c>
      <c r="C493" s="203">
        <f t="shared" si="259"/>
        <v>19097</v>
      </c>
      <c r="D493" s="203">
        <f t="shared" si="259"/>
        <v>6966</v>
      </c>
      <c r="E493" s="203">
        <f t="shared" si="259"/>
        <v>5513</v>
      </c>
      <c r="F493" s="203">
        <f t="shared" si="259"/>
        <v>119</v>
      </c>
      <c r="G493" s="203">
        <f t="shared" si="259"/>
        <v>0</v>
      </c>
      <c r="H493" s="203">
        <f t="shared" si="259"/>
        <v>38654</v>
      </c>
      <c r="I493" s="203"/>
      <c r="J493" s="203">
        <f t="shared" ref="J493:P493" si="260">J318</f>
        <v>0</v>
      </c>
      <c r="K493" s="203">
        <f t="shared" si="260"/>
        <v>12</v>
      </c>
      <c r="L493" s="203">
        <f t="shared" si="260"/>
        <v>26087</v>
      </c>
      <c r="M493" s="203">
        <f t="shared" si="260"/>
        <v>30202</v>
      </c>
      <c r="N493" s="203">
        <f t="shared" si="260"/>
        <v>1177</v>
      </c>
      <c r="O493" s="203">
        <f t="shared" si="260"/>
        <v>0</v>
      </c>
      <c r="P493" s="203">
        <f t="shared" si="260"/>
        <v>57478</v>
      </c>
    </row>
    <row r="494" spans="1:16" ht="11.25" customHeight="1" x14ac:dyDescent="0.25">
      <c r="A494" s="477">
        <v>2008</v>
      </c>
      <c r="B494" s="203">
        <f t="shared" ref="B494:H494" si="261">B319</f>
        <v>4786</v>
      </c>
      <c r="C494" s="203">
        <f t="shared" si="261"/>
        <v>15569</v>
      </c>
      <c r="D494" s="203">
        <f t="shared" si="261"/>
        <v>3408</v>
      </c>
      <c r="E494" s="203">
        <f t="shared" si="261"/>
        <v>7353</v>
      </c>
      <c r="F494" s="203">
        <f t="shared" si="261"/>
        <v>3861</v>
      </c>
      <c r="G494" s="203">
        <f t="shared" si="261"/>
        <v>1</v>
      </c>
      <c r="H494" s="203">
        <f t="shared" si="261"/>
        <v>34977</v>
      </c>
      <c r="I494" s="203"/>
      <c r="J494" s="203">
        <f t="shared" ref="J494:P494" si="262">J319</f>
        <v>0</v>
      </c>
      <c r="K494" s="203">
        <f t="shared" si="262"/>
        <v>18</v>
      </c>
      <c r="L494" s="203">
        <f t="shared" si="262"/>
        <v>1269</v>
      </c>
      <c r="M494" s="203">
        <f t="shared" si="262"/>
        <v>4899</v>
      </c>
      <c r="N494" s="203">
        <f t="shared" si="262"/>
        <v>10218</v>
      </c>
      <c r="O494" s="203">
        <f t="shared" si="262"/>
        <v>0</v>
      </c>
      <c r="P494" s="203">
        <f t="shared" si="262"/>
        <v>16404</v>
      </c>
    </row>
    <row r="495" spans="1:16" ht="11.25" customHeight="1" x14ac:dyDescent="0.25">
      <c r="A495" s="477">
        <v>2009</v>
      </c>
      <c r="B495" s="203">
        <f t="shared" ref="B495:H495" si="263">B320</f>
        <v>7301</v>
      </c>
      <c r="C495" s="203">
        <f t="shared" si="263"/>
        <v>10204</v>
      </c>
      <c r="D495" s="203">
        <f t="shared" si="263"/>
        <v>4204</v>
      </c>
      <c r="E495" s="203">
        <f t="shared" si="263"/>
        <v>3409</v>
      </c>
      <c r="F495" s="203">
        <f t="shared" si="263"/>
        <v>136</v>
      </c>
      <c r="G495" s="203">
        <f t="shared" si="263"/>
        <v>25</v>
      </c>
      <c r="H495" s="203">
        <f t="shared" si="263"/>
        <v>25254</v>
      </c>
      <c r="I495" s="203"/>
      <c r="J495" s="203">
        <f t="shared" ref="J495:P495" si="264">J320</f>
        <v>0</v>
      </c>
      <c r="K495" s="203">
        <f t="shared" si="264"/>
        <v>0</v>
      </c>
      <c r="L495" s="203">
        <f t="shared" si="264"/>
        <v>39927</v>
      </c>
      <c r="M495" s="203">
        <f t="shared" si="264"/>
        <v>49547</v>
      </c>
      <c r="N495" s="203">
        <f t="shared" si="264"/>
        <v>3928</v>
      </c>
      <c r="O495" s="203">
        <f t="shared" si="264"/>
        <v>15</v>
      </c>
      <c r="P495" s="203">
        <f t="shared" si="264"/>
        <v>93402</v>
      </c>
    </row>
    <row r="496" spans="1:16" ht="11.25" customHeight="1" x14ac:dyDescent="0.25">
      <c r="A496" s="477">
        <v>2010</v>
      </c>
      <c r="B496" s="203">
        <f t="shared" ref="B496:H496" si="265">B321</f>
        <v>10935</v>
      </c>
      <c r="C496" s="203">
        <f t="shared" si="265"/>
        <v>41364</v>
      </c>
      <c r="D496" s="203">
        <f t="shared" si="265"/>
        <v>15345</v>
      </c>
      <c r="E496" s="203">
        <f t="shared" si="265"/>
        <v>18854</v>
      </c>
      <c r="F496" s="203">
        <f t="shared" si="265"/>
        <v>2097</v>
      </c>
      <c r="G496" s="203">
        <f t="shared" si="265"/>
        <v>10</v>
      </c>
      <c r="H496" s="203">
        <f t="shared" si="265"/>
        <v>88595</v>
      </c>
      <c r="I496" s="203"/>
      <c r="J496" s="203">
        <f t="shared" ref="J496:P496" si="266">J321</f>
        <v>2</v>
      </c>
      <c r="K496" s="203">
        <f t="shared" si="266"/>
        <v>63</v>
      </c>
      <c r="L496" s="203">
        <f t="shared" si="266"/>
        <v>3836</v>
      </c>
      <c r="M496" s="203">
        <f t="shared" si="266"/>
        <v>6208</v>
      </c>
      <c r="N496" s="203">
        <f t="shared" si="266"/>
        <v>4496</v>
      </c>
      <c r="O496" s="203">
        <f t="shared" si="266"/>
        <v>15</v>
      </c>
      <c r="P496" s="203">
        <f t="shared" si="266"/>
        <v>14605</v>
      </c>
    </row>
    <row r="497" spans="1:16" ht="11.25" customHeight="1" x14ac:dyDescent="0.25">
      <c r="A497" s="477">
        <v>2011</v>
      </c>
      <c r="B497" s="203">
        <f t="shared" ref="B497:H497" si="267">B322</f>
        <v>10331</v>
      </c>
      <c r="C497" s="203">
        <f t="shared" si="267"/>
        <v>20075</v>
      </c>
      <c r="D497" s="203">
        <f t="shared" si="267"/>
        <v>20891</v>
      </c>
      <c r="E497" s="203">
        <f t="shared" si="267"/>
        <v>9479</v>
      </c>
      <c r="F497" s="203">
        <f t="shared" si="267"/>
        <v>786</v>
      </c>
      <c r="G497" s="203">
        <f t="shared" si="267"/>
        <v>0</v>
      </c>
      <c r="H497" s="203">
        <f t="shared" si="267"/>
        <v>61562</v>
      </c>
      <c r="I497" s="203"/>
      <c r="J497" s="203">
        <f t="shared" ref="J497:P497" si="268">J322</f>
        <v>0</v>
      </c>
      <c r="K497" s="203">
        <f t="shared" si="268"/>
        <v>0</v>
      </c>
      <c r="L497" s="203">
        <f t="shared" si="268"/>
        <v>3927</v>
      </c>
      <c r="M497" s="203">
        <f t="shared" si="268"/>
        <v>5855</v>
      </c>
      <c r="N497" s="203">
        <f t="shared" si="268"/>
        <v>7299</v>
      </c>
      <c r="O497" s="203">
        <f t="shared" si="268"/>
        <v>0</v>
      </c>
      <c r="P497" s="203">
        <f t="shared" si="268"/>
        <v>17081</v>
      </c>
    </row>
    <row r="498" spans="1:16" ht="11.25" customHeight="1" x14ac:dyDescent="0.25">
      <c r="A498" s="477">
        <v>2012</v>
      </c>
      <c r="B498" s="203">
        <f t="shared" ref="B498:H504" si="269">B323</f>
        <v>16128</v>
      </c>
      <c r="C498" s="203">
        <f t="shared" si="269"/>
        <v>38120</v>
      </c>
      <c r="D498" s="203">
        <f t="shared" si="269"/>
        <v>15732</v>
      </c>
      <c r="E498" s="203">
        <f t="shared" si="269"/>
        <v>21197</v>
      </c>
      <c r="F498" s="203">
        <f t="shared" si="269"/>
        <v>8911</v>
      </c>
      <c r="G498" s="203">
        <f t="shared" si="269"/>
        <v>10</v>
      </c>
      <c r="H498" s="203">
        <f t="shared" si="269"/>
        <v>100088</v>
      </c>
      <c r="I498" s="203"/>
      <c r="J498" s="203">
        <f t="shared" ref="J498:P504" si="270">J323</f>
        <v>1</v>
      </c>
      <c r="K498" s="203">
        <f t="shared" si="270"/>
        <v>101</v>
      </c>
      <c r="L498" s="203">
        <f t="shared" si="270"/>
        <v>3576</v>
      </c>
      <c r="M498" s="203">
        <f t="shared" si="270"/>
        <v>19943</v>
      </c>
      <c r="N498" s="203">
        <f t="shared" si="270"/>
        <v>17801</v>
      </c>
      <c r="O498" s="203">
        <f t="shared" si="270"/>
        <v>0</v>
      </c>
      <c r="P498" s="203">
        <f t="shared" si="270"/>
        <v>41422</v>
      </c>
    </row>
    <row r="499" spans="1:16" ht="11.25" customHeight="1" x14ac:dyDescent="0.25">
      <c r="A499" s="477">
        <v>2013</v>
      </c>
      <c r="B499" s="203">
        <f t="shared" si="269"/>
        <v>22950</v>
      </c>
      <c r="C499" s="203">
        <f t="shared" si="269"/>
        <v>32013</v>
      </c>
      <c r="D499" s="203">
        <f t="shared" si="269"/>
        <v>17304</v>
      </c>
      <c r="E499" s="203">
        <f t="shared" si="269"/>
        <v>16903</v>
      </c>
      <c r="F499" s="203">
        <f t="shared" si="269"/>
        <v>4025</v>
      </c>
      <c r="G499" s="203">
        <f t="shared" si="269"/>
        <v>0</v>
      </c>
      <c r="H499" s="203">
        <f t="shared" si="269"/>
        <v>93195</v>
      </c>
      <c r="I499" s="203"/>
      <c r="J499" s="203">
        <f t="shared" si="270"/>
        <v>0</v>
      </c>
      <c r="K499" s="203">
        <f t="shared" si="270"/>
        <v>7</v>
      </c>
      <c r="L499" s="203">
        <f t="shared" si="270"/>
        <v>9681</v>
      </c>
      <c r="M499" s="203">
        <f t="shared" si="270"/>
        <v>40302</v>
      </c>
      <c r="N499" s="203">
        <f t="shared" si="270"/>
        <v>4771</v>
      </c>
      <c r="O499" s="203">
        <f t="shared" si="270"/>
        <v>0</v>
      </c>
      <c r="P499" s="203">
        <f t="shared" si="270"/>
        <v>54761</v>
      </c>
    </row>
    <row r="500" spans="1:16" ht="11.25" customHeight="1" x14ac:dyDescent="0.25">
      <c r="A500" s="477">
        <v>2014</v>
      </c>
      <c r="B500" s="203">
        <f t="shared" si="269"/>
        <v>45638</v>
      </c>
      <c r="C500" s="203">
        <f t="shared" si="269"/>
        <v>20837</v>
      </c>
      <c r="D500" s="203">
        <f t="shared" si="269"/>
        <v>31621</v>
      </c>
      <c r="E500" s="203">
        <f t="shared" si="269"/>
        <v>14929</v>
      </c>
      <c r="F500" s="203">
        <f t="shared" si="269"/>
        <v>3625</v>
      </c>
      <c r="G500" s="203">
        <f t="shared" si="269"/>
        <v>0</v>
      </c>
      <c r="H500" s="203">
        <f t="shared" si="269"/>
        <v>116650</v>
      </c>
      <c r="I500" s="203"/>
      <c r="J500" s="203">
        <f t="shared" si="270"/>
        <v>0</v>
      </c>
      <c r="K500" s="203">
        <f t="shared" si="270"/>
        <v>30</v>
      </c>
      <c r="L500" s="203">
        <f t="shared" si="270"/>
        <v>16274</v>
      </c>
      <c r="M500" s="203">
        <f t="shared" si="270"/>
        <v>47673</v>
      </c>
      <c r="N500" s="203">
        <f t="shared" si="270"/>
        <v>15167</v>
      </c>
      <c r="O500" s="203">
        <f t="shared" si="270"/>
        <v>0</v>
      </c>
      <c r="P500" s="203">
        <f t="shared" si="270"/>
        <v>79144</v>
      </c>
    </row>
    <row r="501" spans="1:16" ht="11.25" customHeight="1" x14ac:dyDescent="0.25">
      <c r="A501" s="477">
        <v>2015</v>
      </c>
      <c r="B501" s="203">
        <f t="shared" si="269"/>
        <v>29724</v>
      </c>
      <c r="C501" s="203">
        <f t="shared" si="269"/>
        <v>40282</v>
      </c>
      <c r="D501" s="203">
        <f t="shared" si="269"/>
        <v>37109</v>
      </c>
      <c r="E501" s="203">
        <f t="shared" si="269"/>
        <v>14899</v>
      </c>
      <c r="F501" s="203">
        <f t="shared" si="269"/>
        <v>3120</v>
      </c>
      <c r="G501" s="203">
        <f t="shared" si="269"/>
        <v>0</v>
      </c>
      <c r="H501" s="203">
        <f t="shared" si="269"/>
        <v>125134</v>
      </c>
      <c r="I501" s="203"/>
      <c r="J501" s="203">
        <f t="shared" si="270"/>
        <v>0</v>
      </c>
      <c r="K501" s="203">
        <f t="shared" si="270"/>
        <v>3</v>
      </c>
      <c r="L501" s="203">
        <f t="shared" si="270"/>
        <v>3050</v>
      </c>
      <c r="M501" s="203">
        <f t="shared" si="270"/>
        <v>2887</v>
      </c>
      <c r="N501" s="203">
        <f t="shared" si="270"/>
        <v>3155</v>
      </c>
      <c r="O501" s="203">
        <f t="shared" si="270"/>
        <v>0</v>
      </c>
      <c r="P501" s="203">
        <f t="shared" si="270"/>
        <v>9095</v>
      </c>
    </row>
    <row r="502" spans="1:16" ht="11.25" customHeight="1" x14ac:dyDescent="0.25">
      <c r="A502" s="477">
        <v>2016</v>
      </c>
      <c r="B502" s="203">
        <f t="shared" si="269"/>
        <v>10514</v>
      </c>
      <c r="C502" s="203">
        <f t="shared" si="269"/>
        <v>18805</v>
      </c>
      <c r="D502" s="203">
        <f t="shared" si="269"/>
        <v>8882</v>
      </c>
      <c r="E502" s="203">
        <f t="shared" si="269"/>
        <v>4297</v>
      </c>
      <c r="F502" s="203">
        <f t="shared" si="269"/>
        <v>5</v>
      </c>
      <c r="G502" s="203">
        <f t="shared" si="269"/>
        <v>0</v>
      </c>
      <c r="H502" s="203">
        <f t="shared" si="269"/>
        <v>42503</v>
      </c>
      <c r="I502" s="203"/>
      <c r="J502" s="203">
        <f t="shared" si="270"/>
        <v>0</v>
      </c>
      <c r="K502" s="203">
        <f t="shared" si="270"/>
        <v>0</v>
      </c>
      <c r="L502" s="203">
        <f t="shared" si="270"/>
        <v>29</v>
      </c>
      <c r="M502" s="203">
        <f t="shared" si="270"/>
        <v>15</v>
      </c>
      <c r="N502" s="203">
        <f t="shared" si="270"/>
        <v>0</v>
      </c>
      <c r="O502" s="203">
        <f t="shared" si="270"/>
        <v>1</v>
      </c>
      <c r="P502" s="203">
        <f t="shared" si="270"/>
        <v>44</v>
      </c>
    </row>
    <row r="503" spans="1:16" ht="11.25" customHeight="1" x14ac:dyDescent="0.25">
      <c r="A503" s="477">
        <v>2017</v>
      </c>
      <c r="B503" s="203">
        <f t="shared" si="269"/>
        <v>15837</v>
      </c>
      <c r="C503" s="203">
        <f t="shared" si="269"/>
        <v>10159</v>
      </c>
      <c r="D503" s="203">
        <f t="shared" si="269"/>
        <v>21602</v>
      </c>
      <c r="E503" s="203">
        <f t="shared" si="269"/>
        <v>10522</v>
      </c>
      <c r="F503" s="203">
        <f t="shared" si="269"/>
        <v>1854</v>
      </c>
      <c r="G503" s="203">
        <f t="shared" si="269"/>
        <v>0</v>
      </c>
      <c r="H503" s="203">
        <f t="shared" si="269"/>
        <v>59974</v>
      </c>
      <c r="I503" s="203"/>
      <c r="J503" s="203">
        <f t="shared" si="270"/>
        <v>0</v>
      </c>
      <c r="K503" s="203">
        <f t="shared" si="270"/>
        <v>0</v>
      </c>
      <c r="L503" s="203">
        <f t="shared" si="270"/>
        <v>1250</v>
      </c>
      <c r="M503" s="203">
        <f t="shared" si="270"/>
        <v>8224</v>
      </c>
      <c r="N503" s="203">
        <f t="shared" si="270"/>
        <v>5714</v>
      </c>
      <c r="O503" s="203">
        <f t="shared" si="270"/>
        <v>0</v>
      </c>
      <c r="P503" s="203">
        <f t="shared" si="270"/>
        <v>15188</v>
      </c>
    </row>
    <row r="504" spans="1:16" s="358" customFormat="1" ht="11.25" customHeight="1" x14ac:dyDescent="0.25">
      <c r="A504" s="157">
        <v>2018</v>
      </c>
      <c r="B504" s="203">
        <f t="shared" si="269"/>
        <v>8008</v>
      </c>
      <c r="C504" s="203">
        <f t="shared" si="269"/>
        <v>21035</v>
      </c>
      <c r="D504" s="203">
        <f t="shared" si="269"/>
        <v>13954</v>
      </c>
      <c r="E504" s="203">
        <f t="shared" si="269"/>
        <v>3623</v>
      </c>
      <c r="F504" s="203">
        <f t="shared" si="269"/>
        <v>1172</v>
      </c>
      <c r="G504" s="203">
        <f t="shared" si="269"/>
        <v>0</v>
      </c>
      <c r="H504" s="203">
        <f t="shared" si="269"/>
        <v>47792</v>
      </c>
      <c r="I504" s="203"/>
      <c r="J504" s="203">
        <f t="shared" si="270"/>
        <v>0</v>
      </c>
      <c r="K504" s="203">
        <f t="shared" si="270"/>
        <v>15</v>
      </c>
      <c r="L504" s="203">
        <f t="shared" si="270"/>
        <v>2206</v>
      </c>
      <c r="M504" s="203">
        <f t="shared" si="270"/>
        <v>6053</v>
      </c>
      <c r="N504" s="203">
        <f t="shared" si="270"/>
        <v>4912</v>
      </c>
      <c r="O504" s="203">
        <f t="shared" si="270"/>
        <v>0</v>
      </c>
      <c r="P504" s="203">
        <f t="shared" si="270"/>
        <v>13186</v>
      </c>
    </row>
    <row r="505" spans="1:16" s="358" customFormat="1" ht="11.25" customHeight="1" x14ac:dyDescent="0.25">
      <c r="A505" s="157">
        <v>2019</v>
      </c>
      <c r="B505" s="203">
        <f t="shared" ref="B505:H506" si="271">B330</f>
        <v>4727</v>
      </c>
      <c r="C505" s="203">
        <f t="shared" si="271"/>
        <v>5190</v>
      </c>
      <c r="D505" s="203">
        <f t="shared" si="271"/>
        <v>24078</v>
      </c>
      <c r="E505" s="203">
        <f t="shared" si="271"/>
        <v>5551</v>
      </c>
      <c r="F505" s="203">
        <f t="shared" si="271"/>
        <v>2059</v>
      </c>
      <c r="G505" s="203">
        <f t="shared" si="271"/>
        <v>0</v>
      </c>
      <c r="H505" s="203">
        <f t="shared" si="271"/>
        <v>41605</v>
      </c>
      <c r="I505" s="203"/>
      <c r="J505" s="203">
        <f t="shared" ref="J505:P506" si="272">J330</f>
        <v>0</v>
      </c>
      <c r="K505" s="203">
        <f t="shared" si="272"/>
        <v>0</v>
      </c>
      <c r="L505" s="203">
        <f t="shared" si="272"/>
        <v>17081</v>
      </c>
      <c r="M505" s="203">
        <f t="shared" si="272"/>
        <v>35278</v>
      </c>
      <c r="N505" s="203">
        <f t="shared" si="272"/>
        <v>8555</v>
      </c>
      <c r="O505" s="203">
        <f t="shared" si="272"/>
        <v>0</v>
      </c>
      <c r="P505" s="203">
        <f t="shared" si="272"/>
        <v>60914</v>
      </c>
    </row>
    <row r="506" spans="1:16" ht="11.25" customHeight="1" x14ac:dyDescent="0.25">
      <c r="A506" s="157" t="s">
        <v>393</v>
      </c>
      <c r="B506" s="20">
        <f t="shared" si="271"/>
        <v>717</v>
      </c>
      <c r="C506" s="20">
        <f t="shared" si="271"/>
        <v>1366</v>
      </c>
      <c r="D506" s="20">
        <f t="shared" si="271"/>
        <v>7948</v>
      </c>
      <c r="E506" s="20">
        <f t="shared" si="271"/>
        <v>4680</v>
      </c>
      <c r="F506" s="20">
        <f t="shared" si="271"/>
        <v>226</v>
      </c>
      <c r="G506" s="20">
        <f t="shared" si="271"/>
        <v>0</v>
      </c>
      <c r="H506" s="20">
        <f t="shared" si="271"/>
        <v>14937</v>
      </c>
      <c r="I506" s="20"/>
      <c r="J506" s="20">
        <f t="shared" si="272"/>
        <v>0</v>
      </c>
      <c r="K506" s="20">
        <f t="shared" si="272"/>
        <v>0</v>
      </c>
      <c r="L506" s="20">
        <f t="shared" si="272"/>
        <v>872</v>
      </c>
      <c r="M506" s="20">
        <f t="shared" si="272"/>
        <v>11242</v>
      </c>
      <c r="N506" s="20">
        <f t="shared" si="272"/>
        <v>3043</v>
      </c>
      <c r="O506" s="20">
        <f t="shared" si="272"/>
        <v>0</v>
      </c>
      <c r="P506" s="20">
        <f t="shared" si="272"/>
        <v>15157</v>
      </c>
    </row>
    <row r="507" spans="1:16" ht="11.25" customHeight="1" x14ac:dyDescent="0.25">
      <c r="A507" s="585" t="str">
        <f>A332</f>
        <v>a/  Monthly totals for Oregon data are the sum of statistical weeks with closest fit to the calendar month.  Washington data are summarized by statistical month.</v>
      </c>
      <c r="B507" s="585"/>
      <c r="C507" s="585"/>
      <c r="D507" s="585"/>
      <c r="E507" s="585"/>
      <c r="F507" s="585"/>
      <c r="G507" s="585"/>
      <c r="H507" s="585"/>
      <c r="I507" s="585"/>
      <c r="J507" s="585"/>
      <c r="K507" s="585"/>
      <c r="L507" s="585"/>
      <c r="M507" s="585"/>
      <c r="N507" s="585"/>
      <c r="O507" s="585"/>
      <c r="P507" s="585"/>
    </row>
    <row r="508" spans="1:16" ht="11.25" customHeight="1" x14ac:dyDescent="0.25">
      <c r="A508" s="605" t="str">
        <f>A333</f>
        <v>b/  Preliminary.</v>
      </c>
      <c r="B508" s="605"/>
      <c r="C508" s="605"/>
      <c r="D508" s="605"/>
      <c r="E508" s="605"/>
      <c r="F508" s="605"/>
      <c r="G508" s="605"/>
      <c r="H508" s="605"/>
      <c r="I508" s="605"/>
      <c r="J508" s="605"/>
      <c r="K508" s="605"/>
      <c r="L508" s="605"/>
      <c r="M508" s="605"/>
      <c r="N508" s="605"/>
      <c r="O508" s="605"/>
      <c r="P508" s="605"/>
    </row>
    <row r="509" spans="1:16" ht="11.25" customHeight="1" x14ac:dyDescent="0.25">
      <c r="A509" s="605" t="str">
        <f>A334</f>
        <v>c/  Season totals do not include January-April, October, or November-December treaty troll catches.</v>
      </c>
      <c r="B509" s="605"/>
      <c r="C509" s="605"/>
      <c r="D509" s="605"/>
      <c r="E509" s="605"/>
      <c r="F509" s="605"/>
      <c r="G509" s="605"/>
      <c r="H509" s="605"/>
      <c r="I509" s="605"/>
      <c r="J509" s="605"/>
      <c r="K509" s="605"/>
      <c r="L509" s="605"/>
      <c r="M509" s="605"/>
      <c r="N509" s="605"/>
      <c r="O509" s="605"/>
      <c r="P509" s="605"/>
    </row>
    <row r="510" spans="1:16" ht="11.25" customHeight="1" x14ac:dyDescent="0.25"/>
    <row r="511" spans="1:16" ht="11.25" customHeight="1" x14ac:dyDescent="0.25"/>
    <row r="512" spans="1:16" ht="11.25" customHeight="1" x14ac:dyDescent="0.25">
      <c r="A512" s="1"/>
      <c r="B512" s="1"/>
      <c r="C512" s="1"/>
      <c r="D512" s="1"/>
      <c r="E512" s="1"/>
      <c r="F512" s="1"/>
      <c r="G512" s="1"/>
      <c r="H512" s="1"/>
      <c r="I512" s="1"/>
      <c r="J512" s="1"/>
      <c r="K512" s="1"/>
      <c r="L512" s="1"/>
      <c r="M512" s="1"/>
      <c r="N512" s="1"/>
      <c r="O512" s="1"/>
      <c r="P512" s="1"/>
    </row>
    <row r="513" ht="11.25" customHeight="1" x14ac:dyDescent="0.25"/>
  </sheetData>
  <mergeCells count="18">
    <mergeCell ref="A509:P509"/>
    <mergeCell ref="B391:H391"/>
    <mergeCell ref="J391:P391"/>
    <mergeCell ref="A389:P389"/>
    <mergeCell ref="A342:P342"/>
    <mergeCell ref="A1:P1"/>
    <mergeCell ref="B3:H3"/>
    <mergeCell ref="J3:P3"/>
    <mergeCell ref="A507:P507"/>
    <mergeCell ref="A508:P508"/>
    <mergeCell ref="A436:P436"/>
    <mergeCell ref="B438:H438"/>
    <mergeCell ref="J438:P438"/>
    <mergeCell ref="A483:P483"/>
    <mergeCell ref="B485:H485"/>
    <mergeCell ref="J485:P485"/>
    <mergeCell ref="B344:H344"/>
    <mergeCell ref="J344:P344"/>
  </mergeCells>
  <pageMargins left="0.7" right="0.7" top="0.75" bottom="0.75" header="0.3" footer="0.3"/>
  <pageSetup orientation="landscape" r:id="rId1"/>
  <rowBreaks count="3" manualBreakCount="3">
    <brk id="388" max="15" man="1"/>
    <brk id="435" max="15" man="1"/>
    <brk id="482" max="15"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59"/>
  <dimension ref="A1:P300"/>
  <sheetViews>
    <sheetView showGridLines="0" topLeftCell="A183" zoomScaleNormal="100" workbookViewId="0">
      <selection sqref="A1:J2"/>
    </sheetView>
  </sheetViews>
  <sheetFormatPr defaultRowHeight="15.75" x14ac:dyDescent="0.25"/>
  <cols>
    <col min="1" max="16384" width="9" style="340"/>
  </cols>
  <sheetData>
    <row r="1" spans="1:9" ht="11.25" customHeight="1" x14ac:dyDescent="0.25">
      <c r="A1" s="590" t="s">
        <v>313</v>
      </c>
      <c r="B1" s="590"/>
      <c r="C1" s="590"/>
      <c r="D1" s="590"/>
      <c r="E1" s="590"/>
      <c r="F1" s="590"/>
      <c r="G1" s="590"/>
      <c r="H1" s="590"/>
    </row>
    <row r="2" spans="1:9" ht="11.25" customHeight="1" x14ac:dyDescent="0.25">
      <c r="A2" s="590"/>
      <c r="B2" s="590"/>
      <c r="C2" s="590"/>
      <c r="D2" s="590"/>
      <c r="E2" s="590"/>
      <c r="F2" s="590"/>
      <c r="G2" s="590"/>
      <c r="H2" s="590"/>
    </row>
    <row r="3" spans="1:9" ht="11.25" customHeight="1" x14ac:dyDescent="0.25">
      <c r="A3" s="119" t="s">
        <v>33</v>
      </c>
      <c r="B3" s="472" t="s">
        <v>104</v>
      </c>
      <c r="C3" s="472" t="s">
        <v>36</v>
      </c>
      <c r="D3" s="472" t="s">
        <v>105</v>
      </c>
      <c r="E3" s="472" t="s">
        <v>106</v>
      </c>
      <c r="F3" s="472" t="s">
        <v>107</v>
      </c>
      <c r="G3" s="472" t="s">
        <v>108</v>
      </c>
      <c r="H3" s="472" t="s">
        <v>28</v>
      </c>
    </row>
    <row r="4" spans="1:9" ht="11.25" customHeight="1" x14ac:dyDescent="0.25">
      <c r="A4" s="116" t="s">
        <v>95</v>
      </c>
    </row>
    <row r="5" spans="1:9" ht="11.25" customHeight="1" x14ac:dyDescent="0.25">
      <c r="A5" s="473">
        <v>1977</v>
      </c>
      <c r="B5" s="24">
        <v>1046</v>
      </c>
      <c r="C5" s="24">
        <v>866</v>
      </c>
      <c r="D5" s="24">
        <v>98504</v>
      </c>
      <c r="E5" s="24">
        <v>162983</v>
      </c>
      <c r="F5" s="24">
        <v>8343</v>
      </c>
      <c r="G5" s="24" t="s">
        <v>29</v>
      </c>
      <c r="H5" s="24">
        <v>271742</v>
      </c>
      <c r="I5" s="22">
        <f>SUM(B5:G5)</f>
        <v>271742</v>
      </c>
    </row>
    <row r="6" spans="1:9" ht="11.25" customHeight="1" x14ac:dyDescent="0.25">
      <c r="A6" s="473">
        <v>1979</v>
      </c>
      <c r="B6" s="24">
        <v>83</v>
      </c>
      <c r="C6" s="24">
        <v>21</v>
      </c>
      <c r="D6" s="24">
        <v>91240</v>
      </c>
      <c r="E6" s="24">
        <v>454327</v>
      </c>
      <c r="F6" s="24">
        <v>1151</v>
      </c>
      <c r="G6" s="24" t="s">
        <v>29</v>
      </c>
      <c r="H6" s="24">
        <v>546822</v>
      </c>
      <c r="I6" s="22">
        <f t="shared" ref="I6:I22" si="0">SUM(B6:G6)</f>
        <v>546822</v>
      </c>
    </row>
    <row r="7" spans="1:9" ht="11.25" customHeight="1" x14ac:dyDescent="0.25">
      <c r="A7" s="473">
        <v>1981</v>
      </c>
      <c r="B7" s="24">
        <v>587</v>
      </c>
      <c r="C7" s="24">
        <v>99</v>
      </c>
      <c r="D7" s="24">
        <v>65826</v>
      </c>
      <c r="E7" s="24">
        <v>161541</v>
      </c>
      <c r="F7" s="24" t="s">
        <v>29</v>
      </c>
      <c r="G7" s="24" t="s">
        <v>29</v>
      </c>
      <c r="H7" s="24">
        <v>228053</v>
      </c>
      <c r="I7" s="22">
        <f t="shared" si="0"/>
        <v>228053</v>
      </c>
    </row>
    <row r="8" spans="1:9" ht="11.25" customHeight="1" x14ac:dyDescent="0.25">
      <c r="A8" s="473">
        <v>1983</v>
      </c>
      <c r="B8" s="24">
        <v>1</v>
      </c>
      <c r="C8" s="24">
        <v>0</v>
      </c>
      <c r="D8" s="24">
        <v>79117</v>
      </c>
      <c r="E8" s="24">
        <v>6033</v>
      </c>
      <c r="F8" s="24">
        <v>300</v>
      </c>
      <c r="G8" s="24" t="s">
        <v>29</v>
      </c>
      <c r="H8" s="24">
        <v>85451</v>
      </c>
      <c r="I8" s="22">
        <f t="shared" si="0"/>
        <v>85451</v>
      </c>
    </row>
    <row r="9" spans="1:9" ht="11.25" customHeight="1" x14ac:dyDescent="0.25">
      <c r="A9" s="473">
        <v>1985</v>
      </c>
      <c r="B9" s="24">
        <v>103</v>
      </c>
      <c r="C9" s="24">
        <v>0</v>
      </c>
      <c r="D9" s="24">
        <v>6831</v>
      </c>
      <c r="E9" s="24">
        <v>93400</v>
      </c>
      <c r="F9" s="24">
        <v>530</v>
      </c>
      <c r="G9" s="24" t="s">
        <v>29</v>
      </c>
      <c r="H9" s="24">
        <v>100864</v>
      </c>
      <c r="I9" s="22">
        <f t="shared" si="0"/>
        <v>100864</v>
      </c>
    </row>
    <row r="10" spans="1:9" ht="11.25" customHeight="1" x14ac:dyDescent="0.25">
      <c r="A10" s="473">
        <v>1987</v>
      </c>
      <c r="B10" s="24">
        <v>0</v>
      </c>
      <c r="C10" s="24" t="s">
        <v>29</v>
      </c>
      <c r="D10" s="24">
        <v>2642</v>
      </c>
      <c r="E10" s="24" t="s">
        <v>29</v>
      </c>
      <c r="F10" s="24" t="s">
        <v>29</v>
      </c>
      <c r="G10" s="24" t="s">
        <v>29</v>
      </c>
      <c r="H10" s="24">
        <v>2642</v>
      </c>
      <c r="I10" s="22">
        <f t="shared" si="0"/>
        <v>2642</v>
      </c>
    </row>
    <row r="11" spans="1:9" ht="11.25" customHeight="1" x14ac:dyDescent="0.25">
      <c r="A11" s="473">
        <v>1989</v>
      </c>
      <c r="B11" s="24">
        <v>229</v>
      </c>
      <c r="C11" s="24">
        <v>182</v>
      </c>
      <c r="D11" s="24" t="s">
        <v>29</v>
      </c>
      <c r="E11" s="24">
        <v>36286</v>
      </c>
      <c r="F11" s="24" t="s">
        <v>29</v>
      </c>
      <c r="G11" s="24" t="s">
        <v>29</v>
      </c>
      <c r="H11" s="24">
        <v>36697</v>
      </c>
      <c r="I11" s="22">
        <f t="shared" si="0"/>
        <v>36697</v>
      </c>
    </row>
    <row r="12" spans="1:9" ht="11.25" customHeight="1" x14ac:dyDescent="0.25">
      <c r="A12" s="473">
        <v>1991</v>
      </c>
      <c r="B12" s="24">
        <v>4</v>
      </c>
      <c r="C12" s="24">
        <v>17</v>
      </c>
      <c r="D12" s="24" t="s">
        <v>29</v>
      </c>
      <c r="E12" s="24">
        <v>43208</v>
      </c>
      <c r="F12" s="24">
        <v>295</v>
      </c>
      <c r="G12" s="24" t="s">
        <v>29</v>
      </c>
      <c r="H12" s="24">
        <v>43524</v>
      </c>
      <c r="I12" s="22">
        <f t="shared" si="0"/>
        <v>43524</v>
      </c>
    </row>
    <row r="13" spans="1:9" ht="11.25" customHeight="1" x14ac:dyDescent="0.25">
      <c r="A13" s="473">
        <v>1993</v>
      </c>
      <c r="B13" s="24">
        <v>16</v>
      </c>
      <c r="C13" s="24">
        <v>1</v>
      </c>
      <c r="D13" s="24">
        <v>88</v>
      </c>
      <c r="E13" s="24">
        <v>2753</v>
      </c>
      <c r="F13" s="24">
        <v>3</v>
      </c>
      <c r="G13" s="24" t="s">
        <v>29</v>
      </c>
      <c r="H13" s="24">
        <v>2861</v>
      </c>
      <c r="I13" s="22">
        <f t="shared" si="0"/>
        <v>2861</v>
      </c>
    </row>
    <row r="14" spans="1:9" ht="11.25" customHeight="1" x14ac:dyDescent="0.25">
      <c r="A14" s="473">
        <v>1995</v>
      </c>
      <c r="B14" s="24" t="s">
        <v>29</v>
      </c>
      <c r="C14" s="24" t="s">
        <v>29</v>
      </c>
      <c r="D14" s="24" t="s">
        <v>29</v>
      </c>
      <c r="E14" s="24">
        <v>30060</v>
      </c>
      <c r="F14" s="24">
        <v>872</v>
      </c>
      <c r="G14" s="24" t="s">
        <v>29</v>
      </c>
      <c r="H14" s="24">
        <v>30932</v>
      </c>
      <c r="I14" s="22">
        <f t="shared" si="0"/>
        <v>30932</v>
      </c>
    </row>
    <row r="15" spans="1:9" ht="11.25" customHeight="1" x14ac:dyDescent="0.25">
      <c r="A15" s="473">
        <v>1997</v>
      </c>
      <c r="B15" s="24">
        <v>2</v>
      </c>
      <c r="C15" s="24">
        <v>3</v>
      </c>
      <c r="D15" s="24" t="s">
        <v>29</v>
      </c>
      <c r="E15" s="24" t="s">
        <v>29</v>
      </c>
      <c r="F15" s="24" t="s">
        <v>29</v>
      </c>
      <c r="G15" s="24" t="s">
        <v>29</v>
      </c>
      <c r="H15" s="24">
        <v>5</v>
      </c>
      <c r="I15" s="22">
        <f t="shared" si="0"/>
        <v>5</v>
      </c>
    </row>
    <row r="16" spans="1:9" ht="11.25" customHeight="1" x14ac:dyDescent="0.25">
      <c r="A16" s="473">
        <v>1999</v>
      </c>
      <c r="B16" s="24">
        <v>0</v>
      </c>
      <c r="C16" s="24">
        <v>1</v>
      </c>
      <c r="D16" s="24">
        <v>31</v>
      </c>
      <c r="E16" s="24">
        <v>21</v>
      </c>
      <c r="F16" s="24">
        <v>0</v>
      </c>
      <c r="G16" s="24" t="s">
        <v>29</v>
      </c>
      <c r="H16" s="24">
        <v>53</v>
      </c>
      <c r="I16" s="22">
        <f t="shared" si="0"/>
        <v>53</v>
      </c>
    </row>
    <row r="17" spans="1:9" ht="11.25" customHeight="1" x14ac:dyDescent="0.25">
      <c r="A17" s="473">
        <v>2001</v>
      </c>
      <c r="B17" s="24">
        <v>1</v>
      </c>
      <c r="C17" s="24">
        <v>9</v>
      </c>
      <c r="D17" s="24">
        <v>20</v>
      </c>
      <c r="E17" s="24">
        <v>0</v>
      </c>
      <c r="F17" s="24">
        <v>0</v>
      </c>
      <c r="G17" s="24" t="s">
        <v>29</v>
      </c>
      <c r="H17" s="24">
        <v>30</v>
      </c>
      <c r="I17" s="22">
        <f t="shared" si="0"/>
        <v>30</v>
      </c>
    </row>
    <row r="18" spans="1:9" ht="11.25" customHeight="1" x14ac:dyDescent="0.25">
      <c r="A18" s="473">
        <v>2003</v>
      </c>
      <c r="B18" s="24">
        <v>0</v>
      </c>
      <c r="C18" s="24">
        <v>0</v>
      </c>
      <c r="D18" s="24">
        <v>142</v>
      </c>
      <c r="E18" s="24">
        <v>63</v>
      </c>
      <c r="F18" s="24">
        <v>10</v>
      </c>
      <c r="G18" s="24" t="s">
        <v>29</v>
      </c>
      <c r="H18" s="24">
        <v>215</v>
      </c>
      <c r="I18" s="22">
        <f t="shared" si="0"/>
        <v>215</v>
      </c>
    </row>
    <row r="19" spans="1:9" ht="11.25" customHeight="1" x14ac:dyDescent="0.25">
      <c r="A19" s="473">
        <v>2005</v>
      </c>
      <c r="B19" s="24">
        <v>4</v>
      </c>
      <c r="C19" s="24">
        <v>0</v>
      </c>
      <c r="D19" s="24">
        <v>2</v>
      </c>
      <c r="E19" s="24">
        <v>2</v>
      </c>
      <c r="F19" s="24" t="s">
        <v>29</v>
      </c>
      <c r="G19" s="24" t="s">
        <v>29</v>
      </c>
      <c r="H19" s="24">
        <v>8</v>
      </c>
      <c r="I19" s="22">
        <f t="shared" si="0"/>
        <v>8</v>
      </c>
    </row>
    <row r="20" spans="1:9" ht="11.25" customHeight="1" x14ac:dyDescent="0.25">
      <c r="A20" s="477">
        <v>2007</v>
      </c>
      <c r="B20" s="37">
        <v>8</v>
      </c>
      <c r="C20" s="37">
        <v>19</v>
      </c>
      <c r="D20" s="37">
        <v>119</v>
      </c>
      <c r="E20" s="37">
        <v>1</v>
      </c>
      <c r="F20" s="37">
        <v>0</v>
      </c>
      <c r="G20" s="37" t="s">
        <v>29</v>
      </c>
      <c r="H20" s="37">
        <v>147</v>
      </c>
      <c r="I20" s="22">
        <f t="shared" si="0"/>
        <v>147</v>
      </c>
    </row>
    <row r="21" spans="1:9" ht="11.25" customHeight="1" x14ac:dyDescent="0.25">
      <c r="A21" s="477">
        <v>2009</v>
      </c>
      <c r="B21" s="37">
        <v>1</v>
      </c>
      <c r="C21" s="37">
        <v>14</v>
      </c>
      <c r="D21" s="37">
        <v>82</v>
      </c>
      <c r="E21" s="37">
        <v>37</v>
      </c>
      <c r="F21" s="37">
        <v>1</v>
      </c>
      <c r="G21" s="37" t="s">
        <v>29</v>
      </c>
      <c r="H21" s="37">
        <v>135</v>
      </c>
      <c r="I21" s="22">
        <f t="shared" si="0"/>
        <v>135</v>
      </c>
    </row>
    <row r="22" spans="1:9" ht="11.25" customHeight="1" x14ac:dyDescent="0.25">
      <c r="A22" s="477">
        <v>2011</v>
      </c>
      <c r="B22" s="37">
        <v>0</v>
      </c>
      <c r="C22" s="37">
        <v>0</v>
      </c>
      <c r="D22" s="37">
        <v>3</v>
      </c>
      <c r="E22" s="37">
        <v>118</v>
      </c>
      <c r="F22" s="37">
        <v>93</v>
      </c>
      <c r="G22" s="37">
        <v>1</v>
      </c>
      <c r="H22" s="37">
        <v>215</v>
      </c>
      <c r="I22" s="22">
        <f t="shared" si="0"/>
        <v>215</v>
      </c>
    </row>
    <row r="23" spans="1:9" ht="11.25" customHeight="1" x14ac:dyDescent="0.25">
      <c r="A23" s="477">
        <v>2013</v>
      </c>
      <c r="B23" s="37">
        <v>0</v>
      </c>
      <c r="C23" s="37">
        <v>2</v>
      </c>
      <c r="D23" s="37">
        <v>0</v>
      </c>
      <c r="E23" s="37">
        <v>101</v>
      </c>
      <c r="F23" s="37">
        <v>37</v>
      </c>
      <c r="G23" s="37">
        <v>1</v>
      </c>
      <c r="H23" s="37">
        <v>141</v>
      </c>
      <c r="I23" s="22">
        <f>SUM(B23:G23)</f>
        <v>141</v>
      </c>
    </row>
    <row r="24" spans="1:9" ht="11.25" customHeight="1" x14ac:dyDescent="0.25">
      <c r="A24" s="477">
        <v>2015</v>
      </c>
      <c r="B24" s="37">
        <v>0</v>
      </c>
      <c r="C24" s="37">
        <v>1</v>
      </c>
      <c r="D24" s="37">
        <v>20</v>
      </c>
      <c r="E24" s="37">
        <v>47</v>
      </c>
      <c r="F24" s="37">
        <v>0</v>
      </c>
      <c r="G24" s="37">
        <v>0</v>
      </c>
      <c r="H24" s="37">
        <v>68</v>
      </c>
      <c r="I24" s="148">
        <f>SUM(B24:G24)</f>
        <v>68</v>
      </c>
    </row>
    <row r="25" spans="1:9" s="358" customFormat="1" ht="11.25" customHeight="1" x14ac:dyDescent="0.25">
      <c r="A25" s="477">
        <v>2017</v>
      </c>
      <c r="B25" s="37">
        <f>IF(AND('A-13'!P48="-",'A-13'!P95="-",'A-13'!P142="-"),"-",SUM('A-13'!P48,'A-13'!P95,'A-13'!P142))</f>
        <v>0</v>
      </c>
      <c r="C25" s="37">
        <f>IF(AND('A-13'!Q48="-",'A-13'!Q95="-",'A-13'!Q142="-"),"-",SUM('A-13'!Q48,'A-13'!Q95,'A-13'!Q142))</f>
        <v>0</v>
      </c>
      <c r="D25" s="37">
        <f>IF(AND('A-13'!R48="-",'A-13'!R95="-",'A-13'!R142="-"),"-",SUM('A-13'!R48,'A-13'!R95,'A-13'!R142))</f>
        <v>0</v>
      </c>
      <c r="E25" s="37">
        <f>IF(AND('A-13'!S48="-",'A-13'!S95="-",'A-13'!S142="-"),"-",SUM('A-13'!S48,'A-13'!S95,'A-13'!S142))</f>
        <v>0</v>
      </c>
      <c r="F25" s="37">
        <f>IF(AND('A-13'!T48="-",'A-13'!T95="-",'A-13'!T142="-"),"-",SUM('A-13'!T48,'A-13'!T95,'A-13'!T142))</f>
        <v>0</v>
      </c>
      <c r="G25" s="37">
        <v>0</v>
      </c>
      <c r="H25" s="37">
        <f>IF(AND('A-13'!U48="-",'A-13'!U95="-",'A-13'!U142="-"),"-",SUM('A-13'!U48,'A-13'!U95,'A-13'!U142))</f>
        <v>0</v>
      </c>
      <c r="I25" s="148">
        <f>SUM(B25:G25)</f>
        <v>0</v>
      </c>
    </row>
    <row r="26" spans="1:9" ht="11.25" customHeight="1" x14ac:dyDescent="0.25">
      <c r="A26" s="119" t="s">
        <v>336</v>
      </c>
      <c r="B26" s="38">
        <f>IF(AND('A-13'!P50="-",'A-13'!P97="-",'A-13'!P144="-"),"-",SUM('A-13'!P50,'A-13'!P97,'A-13'!P144))</f>
        <v>0</v>
      </c>
      <c r="C26" s="38">
        <f>IF(AND('A-13'!Q50="-",'A-13'!Q97="-",'A-13'!Q144="-"),"-",SUM('A-13'!Q50,'A-13'!Q97,'A-13'!Q144))</f>
        <v>0</v>
      </c>
      <c r="D26" s="38">
        <f>IF(AND('A-13'!R50="-",'A-13'!R97="-",'A-13'!R144="-"),"-",SUM('A-13'!R50,'A-13'!R97,'A-13'!R144))</f>
        <v>0</v>
      </c>
      <c r="E26" s="38">
        <f>IF(AND('A-13'!S50="-",'A-13'!S97="-",'A-13'!S144="-"),"-",SUM('A-13'!S50,'A-13'!S97,'A-13'!S144))</f>
        <v>0</v>
      </c>
      <c r="F26" s="38">
        <f>IF(AND('A-13'!T50="-",'A-13'!T97="-",'A-13'!T144="-"),"-",SUM('A-13'!T50,'A-13'!T97,'A-13'!T144))</f>
        <v>0</v>
      </c>
      <c r="G26" s="38">
        <v>0</v>
      </c>
      <c r="H26" s="38">
        <f>IF(AND('A-13'!U50="-",'A-13'!U97="-",'A-13'!U144="-"),"-",SUM('A-13'!U50,'A-13'!U97,'A-13'!U144))</f>
        <v>0</v>
      </c>
      <c r="I26" s="22">
        <f>SUM(B26:G26)</f>
        <v>0</v>
      </c>
    </row>
    <row r="27" spans="1:9" ht="11.25" customHeight="1" x14ac:dyDescent="0.25"/>
    <row r="28" spans="1:9" x14ac:dyDescent="0.25">
      <c r="A28" s="126" t="s">
        <v>325</v>
      </c>
      <c r="B28" s="200"/>
      <c r="C28" s="200"/>
      <c r="D28" s="200"/>
    </row>
    <row r="29" spans="1:9" ht="11.25" customHeight="1" x14ac:dyDescent="0.25">
      <c r="A29" s="473">
        <v>1977</v>
      </c>
      <c r="B29" s="24">
        <f>IF(AND('A-16'!C5="-",'A-16'!C31="-",'A-16'!C57="-",'A-16'!C82="-"),"-",SUM('A-16'!C5,'A-16'!C31,'A-16'!C57,'A-16'!C82))</f>
        <v>98</v>
      </c>
      <c r="C29" s="24">
        <f>IF(AND('A-16'!D5="-",'A-16'!D31="-",'A-16'!D57="-",'A-16'!D82="-"),"-",SUM('A-16'!D5,'A-16'!D31,'A-16'!D57,'A-16'!D82))</f>
        <v>1433</v>
      </c>
      <c r="D29" s="24">
        <f>IF(AND('A-16'!E5="-",'A-16'!E31="-",'A-16'!E57="-",'A-16'!E82="-"),"-",SUM('A-16'!E5,'A-16'!E31,'A-16'!E57,'A-16'!E82))</f>
        <v>1269</v>
      </c>
      <c r="E29" s="24">
        <f>IF(AND('A-16'!F5="-",'A-16'!F31="-",'A-16'!F57="-",'A-16'!F82="-"),"-",SUM('A-16'!F5,'A-16'!F31,'A-16'!F57,'A-16'!F82))</f>
        <v>2114</v>
      </c>
      <c r="F29" s="24">
        <f>IF(AND('A-16'!G5="-",'A-16'!G31="-",'A-16'!G57="-",'A-16'!G82="-"),"-",SUM('A-16'!G5,'A-16'!G31,'A-16'!G57,'A-16'!G82))</f>
        <v>7</v>
      </c>
      <c r="G29" s="24">
        <f>IF(AND('A-16'!H5="-",'A-16'!H31="-",'A-16'!H57="-",'A-16'!H82="-"),"-",SUM('A-16'!H5,'A-16'!H31,'A-16'!H57,'A-16'!H82))</f>
        <v>0</v>
      </c>
      <c r="H29" s="24">
        <f>IF(AND('A-16'!J5="-",'A-16'!J31="-",'A-16'!J57="-",'A-16'!J82="-"),"-",SUM('A-16'!J5,'A-16'!J31,'A-16'!J57,'A-16'!J82))</f>
        <v>4921</v>
      </c>
    </row>
    <row r="30" spans="1:9" ht="11.25" customHeight="1" x14ac:dyDescent="0.25">
      <c r="A30" s="473">
        <v>1979</v>
      </c>
      <c r="B30" s="24">
        <f>IF(AND('A-16'!C6="-",'A-16'!C32="-",'A-16'!C58="-",'A-16'!C83="-"),"-",SUM('A-16'!C6,'A-16'!C32,'A-16'!C58,'A-16'!C83))</f>
        <v>0</v>
      </c>
      <c r="C30" s="24">
        <f>IF(AND('A-16'!D6="-",'A-16'!D32="-",'A-16'!D58="-",'A-16'!D83="-"),"-",SUM('A-16'!D6,'A-16'!D32,'A-16'!D58,'A-16'!D83))</f>
        <v>1666</v>
      </c>
      <c r="D30" s="24">
        <f>IF(AND('A-16'!E6="-",'A-16'!E32="-",'A-16'!E58="-",'A-16'!E83="-"),"-",SUM('A-16'!E6,'A-16'!E32,'A-16'!E58,'A-16'!E83))</f>
        <v>836</v>
      </c>
      <c r="E30" s="24">
        <f>IF(AND('A-16'!F6="-",'A-16'!F32="-",'A-16'!F58="-",'A-16'!F83="-"),"-",SUM('A-16'!F6,'A-16'!F32,'A-16'!F58,'A-16'!F83))</f>
        <v>3924</v>
      </c>
      <c r="F30" s="24">
        <f>IF(AND('A-16'!G6="-",'A-16'!G32="-",'A-16'!G58="-",'A-16'!G83="-"),"-",SUM('A-16'!G6,'A-16'!G32,'A-16'!G58,'A-16'!G83))</f>
        <v>35</v>
      </c>
      <c r="G30" s="24">
        <f>IF(AND('A-16'!H6="-",'A-16'!H32="-",'A-16'!H58="-",'A-16'!H83="-"),"-",SUM('A-16'!H6,'A-16'!H32,'A-16'!H58,'A-16'!H83))</f>
        <v>0</v>
      </c>
      <c r="H30" s="24">
        <f>IF(AND('A-16'!J6="-",'A-16'!J32="-",'A-16'!J58="-",'A-16'!J83="-"),"-",SUM('A-16'!J6,'A-16'!J32,'A-16'!J58,'A-16'!J83))</f>
        <v>6461</v>
      </c>
    </row>
    <row r="31" spans="1:9" ht="11.25" customHeight="1" x14ac:dyDescent="0.25">
      <c r="A31" s="473">
        <v>1981</v>
      </c>
      <c r="B31" s="24">
        <f>IF(AND('A-16'!C7="-",'A-16'!C33="-",'A-16'!C59="-",'A-16'!C84="-"),"-",SUM('A-16'!C7,'A-16'!C33,'A-16'!C59,'A-16'!C84))</f>
        <v>90</v>
      </c>
      <c r="C31" s="24">
        <f>IF(AND('A-16'!D7="-",'A-16'!D33="-",'A-16'!D59="-",'A-16'!D84="-"),"-",SUM('A-16'!D7,'A-16'!D33,'A-16'!D59,'A-16'!D84))</f>
        <v>210</v>
      </c>
      <c r="D31" s="24">
        <f>IF(AND('A-16'!E7="-",'A-16'!E33="-",'A-16'!E59="-",'A-16'!E84="-"),"-",SUM('A-16'!E7,'A-16'!E33,'A-16'!E59,'A-16'!E84))</f>
        <v>1155</v>
      </c>
      <c r="E31" s="24">
        <f>IF(AND('A-16'!F7="-",'A-16'!F33="-",'A-16'!F59="-",'A-16'!F84="-"),"-",SUM('A-16'!F7,'A-16'!F33,'A-16'!F59,'A-16'!F84))</f>
        <v>3167</v>
      </c>
      <c r="F31" s="24">
        <f>IF(AND('A-16'!G7="-",'A-16'!G33="-",'A-16'!G59="-",'A-16'!G84="-"),"-",SUM('A-16'!G7,'A-16'!G33,'A-16'!G59,'A-16'!G84))</f>
        <v>441</v>
      </c>
      <c r="G31" s="24">
        <f>IF(AND('A-16'!H7="-",'A-16'!H33="-",'A-16'!H59="-",'A-16'!H84="-"),"-",SUM('A-16'!H7,'A-16'!H33,'A-16'!H59,'A-16'!H84))</f>
        <v>0</v>
      </c>
      <c r="H31" s="24">
        <f>IF(AND('A-16'!J7="-",'A-16'!J33="-",'A-16'!J59="-",'A-16'!J84="-"),"-",SUM('A-16'!J7,'A-16'!J33,'A-16'!J59,'A-16'!J84))</f>
        <v>5063</v>
      </c>
    </row>
    <row r="32" spans="1:9" ht="11.25" customHeight="1" x14ac:dyDescent="0.25">
      <c r="A32" s="473">
        <v>1983</v>
      </c>
      <c r="B32" s="24">
        <f>IF(AND('A-16'!C8="-",'A-16'!C34="-",'A-16'!C60="-",'A-16'!C85="-"),"-",SUM('A-16'!C8,'A-16'!C34,'A-16'!C60,'A-16'!C85))</f>
        <v>1</v>
      </c>
      <c r="C32" s="24">
        <f>IF(AND('A-16'!D8="-",'A-16'!D34="-",'A-16'!D60="-",'A-16'!D85="-"),"-",SUM('A-16'!D8,'A-16'!D34,'A-16'!D60,'A-16'!D85))</f>
        <v>37</v>
      </c>
      <c r="D32" s="24">
        <f>IF(AND('A-16'!E8="-",'A-16'!E34="-",'A-16'!E60="-",'A-16'!E85="-"),"-",SUM('A-16'!E8,'A-16'!E34,'A-16'!E60,'A-16'!E85))</f>
        <v>1537</v>
      </c>
      <c r="E32" s="24">
        <f>IF(AND('A-16'!F8="-",'A-16'!F34="-",'A-16'!F60="-",'A-16'!F85="-"),"-",SUM('A-16'!F8,'A-16'!F34,'A-16'!F60,'A-16'!F85))</f>
        <v>17942</v>
      </c>
      <c r="F32" s="24">
        <f>IF(AND('A-16'!G8="-",'A-16'!G34="-",'A-16'!G60="-",'A-16'!G85="-"),"-",SUM('A-16'!G8,'A-16'!G34,'A-16'!G60,'A-16'!G85))</f>
        <v>347</v>
      </c>
      <c r="G32" s="24">
        <f>IF(AND('A-16'!H8="-",'A-16'!H34="-",'A-16'!H60="-",'A-16'!H85="-"),"-",SUM('A-16'!H8,'A-16'!H34,'A-16'!H60,'A-16'!H85))</f>
        <v>0</v>
      </c>
      <c r="H32" s="24">
        <f>IF(AND('A-16'!J8="-",'A-16'!J34="-",'A-16'!J60="-",'A-16'!J85="-"),"-",SUM('A-16'!J8,'A-16'!J34,'A-16'!J60,'A-16'!J85))</f>
        <v>19864</v>
      </c>
    </row>
    <row r="33" spans="1:8" ht="11.25" customHeight="1" x14ac:dyDescent="0.25">
      <c r="A33" s="473">
        <v>1985</v>
      </c>
      <c r="B33" s="24">
        <f>IF(AND('A-16'!C9="-",'A-16'!C35="-",'A-16'!C61="-",'A-16'!C86="-"),"-",SUM('A-16'!C9,'A-16'!C35,'A-16'!C61,'A-16'!C86))</f>
        <v>4</v>
      </c>
      <c r="C33" s="24">
        <f>IF(AND('A-16'!D9="-",'A-16'!D35="-",'A-16'!D61="-",'A-16'!D86="-"),"-",SUM('A-16'!D9,'A-16'!D35,'A-16'!D61,'A-16'!D86))</f>
        <v>395</v>
      </c>
      <c r="D33" s="24">
        <f>IF(AND('A-16'!E9="-",'A-16'!E35="-",'A-16'!E61="-",'A-16'!E86="-"),"-",SUM('A-16'!E9,'A-16'!E35,'A-16'!E61,'A-16'!E86))</f>
        <v>3931</v>
      </c>
      <c r="E33" s="24">
        <f>IF(AND('A-16'!F9="-",'A-16'!F35="-",'A-16'!F61="-",'A-16'!F86="-"),"-",SUM('A-16'!F9,'A-16'!F35,'A-16'!F61,'A-16'!F86))</f>
        <v>2310</v>
      </c>
      <c r="F33" s="24">
        <f>IF(AND('A-16'!G9="-",'A-16'!G35="-",'A-16'!G61="-",'A-16'!G86="-"),"-",SUM('A-16'!G9,'A-16'!G35,'A-16'!G61,'A-16'!G86))</f>
        <v>173</v>
      </c>
      <c r="G33" s="24">
        <f>IF(AND('A-16'!H9="-",'A-16'!H35="-",'A-16'!H61="-",'A-16'!H86="-"),"-",SUM('A-16'!H9,'A-16'!H35,'A-16'!H61,'A-16'!H86))</f>
        <v>0</v>
      </c>
      <c r="H33" s="24">
        <f>IF(AND('A-16'!J9="-",'A-16'!J35="-",'A-16'!J61="-",'A-16'!J86="-"),"-",SUM('A-16'!J9,'A-16'!J35,'A-16'!J61,'A-16'!J86))</f>
        <v>6813</v>
      </c>
    </row>
    <row r="34" spans="1:8" ht="11.25" customHeight="1" x14ac:dyDescent="0.25">
      <c r="A34" s="473">
        <v>1987</v>
      </c>
      <c r="B34" s="24">
        <f>IF(AND('A-16'!C10="-",'A-16'!C36="-",'A-16'!C62="-",'A-16'!C87="-"),"-",SUM('A-16'!C10,'A-16'!C36,'A-16'!C62,'A-16'!C87))</f>
        <v>4</v>
      </c>
      <c r="C34" s="24">
        <f>IF(AND('A-16'!D10="-",'A-16'!D36="-",'A-16'!D62="-",'A-16'!D87="-"),"-",SUM('A-16'!D10,'A-16'!D36,'A-16'!D62,'A-16'!D87))</f>
        <v>0</v>
      </c>
      <c r="D34" s="24">
        <f>IF(AND('A-16'!E10="-",'A-16'!E36="-",'A-16'!E62="-",'A-16'!E87="-"),"-",SUM('A-16'!E10,'A-16'!E36,'A-16'!E62,'A-16'!E87))</f>
        <v>10776</v>
      </c>
      <c r="E34" s="24">
        <f>IF(AND('A-16'!F10="-",'A-16'!F36="-",'A-16'!F62="-",'A-16'!F87="-"),"-",SUM('A-16'!F10,'A-16'!F36,'A-16'!F62,'A-16'!F87))</f>
        <v>5840</v>
      </c>
      <c r="F34" s="24">
        <f>IF(AND('A-16'!G10="-",'A-16'!G36="-",'A-16'!G62="-",'A-16'!G87="-"),"-",SUM('A-16'!G10,'A-16'!G36,'A-16'!G62,'A-16'!G87))</f>
        <v>0</v>
      </c>
      <c r="G34" s="24">
        <f>IF(AND('A-16'!H10="-",'A-16'!H36="-",'A-16'!H62="-",'A-16'!H87="-"),"-",SUM('A-16'!H10,'A-16'!H36,'A-16'!H62,'A-16'!H87))</f>
        <v>0</v>
      </c>
      <c r="H34" s="24">
        <f>IF(AND('A-16'!J10="-",'A-16'!J36="-",'A-16'!J62="-",'A-16'!J87="-"),"-",SUM('A-16'!J10,'A-16'!J36,'A-16'!J62,'A-16'!J87))</f>
        <v>16620</v>
      </c>
    </row>
    <row r="35" spans="1:8" ht="11.25" customHeight="1" x14ac:dyDescent="0.25">
      <c r="A35" s="473">
        <v>1989</v>
      </c>
      <c r="B35" s="24">
        <f>IF(AND('A-16'!C11="-",'A-16'!C37="-",'A-16'!C63="-",'A-16'!C88="-"),"-",SUM('A-16'!C11,'A-16'!C37,'A-16'!C63,'A-16'!C88))</f>
        <v>6</v>
      </c>
      <c r="C35" s="24">
        <f>IF(AND('A-16'!D11="-",'A-16'!D37="-",'A-16'!D63="-",'A-16'!D88="-"),"-",SUM('A-16'!D11,'A-16'!D37,'A-16'!D63,'A-16'!D88))</f>
        <v>20</v>
      </c>
      <c r="D35" s="24">
        <f>IF(AND('A-16'!E11="-",'A-16'!E37="-",'A-16'!E63="-",'A-16'!E88="-"),"-",SUM('A-16'!E11,'A-16'!E37,'A-16'!E63,'A-16'!E88))</f>
        <v>7206</v>
      </c>
      <c r="E35" s="24">
        <f>IF(AND('A-16'!F11="-",'A-16'!F37="-",'A-16'!F63="-",'A-16'!F88="-"),"-",SUM('A-16'!F11,'A-16'!F37,'A-16'!F63,'A-16'!F88))</f>
        <v>2667</v>
      </c>
      <c r="F35" s="24">
        <f>IF(AND('A-16'!G11="-",'A-16'!G37="-",'A-16'!G63="-",'A-16'!G88="-"),"-",SUM('A-16'!G11,'A-16'!G37,'A-16'!G63,'A-16'!G88))</f>
        <v>1182</v>
      </c>
      <c r="G35" s="24">
        <f>IF(AND('A-16'!H11="-",'A-16'!H37="-",'A-16'!H63="-",'A-16'!H88="-"),"-",SUM('A-16'!H11,'A-16'!H37,'A-16'!H63,'A-16'!H88))</f>
        <v>0</v>
      </c>
      <c r="H35" s="24">
        <f>IF(AND('A-16'!J11="-",'A-16'!J37="-",'A-16'!J63="-",'A-16'!J88="-"),"-",SUM('A-16'!J11,'A-16'!J37,'A-16'!J63,'A-16'!J88))</f>
        <v>11081</v>
      </c>
    </row>
    <row r="36" spans="1:8" ht="11.25" customHeight="1" x14ac:dyDescent="0.25">
      <c r="A36" s="473">
        <v>1991</v>
      </c>
      <c r="B36" s="24">
        <f>IF(AND('A-16'!C12="-",'A-16'!C38="-",'A-16'!C64="-",'A-16'!C89="-"),"-",SUM('A-16'!C12,'A-16'!C38,'A-16'!C64,'A-16'!C89))</f>
        <v>0</v>
      </c>
      <c r="C36" s="24">
        <f>IF(AND('A-16'!D12="-",'A-16'!D38="-",'A-16'!D64="-",'A-16'!D89="-"),"-",SUM('A-16'!D12,'A-16'!D38,'A-16'!D64,'A-16'!D89))</f>
        <v>2</v>
      </c>
      <c r="D36" s="24">
        <f>IF(AND('A-16'!E12="-",'A-16'!E38="-",'A-16'!E64="-",'A-16'!E89="-"),"-",SUM('A-16'!E12,'A-16'!E38,'A-16'!E64,'A-16'!E89))</f>
        <v>1148</v>
      </c>
      <c r="E36" s="24">
        <f>IF(AND('A-16'!F12="-",'A-16'!F38="-",'A-16'!F64="-",'A-16'!F89="-"),"-",SUM('A-16'!F12,'A-16'!F38,'A-16'!F64,'A-16'!F89))</f>
        <v>3356</v>
      </c>
      <c r="F36" s="24">
        <f>IF(AND('A-16'!G12="-",'A-16'!G38="-",'A-16'!G64="-",'A-16'!G89="-"),"-",SUM('A-16'!G12,'A-16'!G38,'A-16'!G64,'A-16'!G89))</f>
        <v>0</v>
      </c>
      <c r="G36" s="24">
        <f>IF(AND('A-16'!H12="-",'A-16'!H38="-",'A-16'!H64="-",'A-16'!H89="-"),"-",SUM('A-16'!H12,'A-16'!H38,'A-16'!H64,'A-16'!H89))</f>
        <v>0</v>
      </c>
      <c r="H36" s="24">
        <f>IF(AND('A-16'!J12="-",'A-16'!J38="-",'A-16'!J64="-",'A-16'!J89="-"),"-",SUM('A-16'!J12,'A-16'!J38,'A-16'!J64,'A-16'!J89))</f>
        <v>4506</v>
      </c>
    </row>
    <row r="37" spans="1:8" ht="11.25" customHeight="1" x14ac:dyDescent="0.25">
      <c r="A37" s="473">
        <v>1993</v>
      </c>
      <c r="B37" s="24">
        <f>IF(AND('A-16'!C13="-",'A-16'!C39="-",'A-16'!C65="-",'A-16'!C90="-"),"-",SUM('A-16'!C13,'A-16'!C39,'A-16'!C65,'A-16'!C90))</f>
        <v>0</v>
      </c>
      <c r="C37" s="24">
        <f>IF(AND('A-16'!D13="-",'A-16'!D39="-",'A-16'!D65="-",'A-16'!D90="-"),"-",SUM('A-16'!D13,'A-16'!D39,'A-16'!D65,'A-16'!D90))</f>
        <v>0</v>
      </c>
      <c r="D37" s="24">
        <f>IF(AND('A-16'!E13="-",'A-16'!E39="-",'A-16'!E65="-",'A-16'!E90="-"),"-",SUM('A-16'!E13,'A-16'!E39,'A-16'!E65,'A-16'!E90))</f>
        <v>349</v>
      </c>
      <c r="E37" s="24">
        <f>IF(AND('A-16'!F13="-",'A-16'!F39="-",'A-16'!F65="-",'A-16'!F90="-"),"-",SUM('A-16'!F13,'A-16'!F39,'A-16'!F65,'A-16'!F90))</f>
        <v>2261</v>
      </c>
      <c r="F37" s="24">
        <f>IF(AND('A-16'!G13="-",'A-16'!G39="-",'A-16'!G65="-",'A-16'!G90="-"),"-",SUM('A-16'!G13,'A-16'!G39,'A-16'!G65,'A-16'!G90))</f>
        <v>783</v>
      </c>
      <c r="G37" s="24">
        <f>IF(AND('A-16'!H13="-",'A-16'!H39="-",'A-16'!H65="-",'A-16'!H90="-"),"-",SUM('A-16'!H13,'A-16'!H39,'A-16'!H65,'A-16'!H90))</f>
        <v>0</v>
      </c>
      <c r="H37" s="24">
        <f>IF(AND('A-16'!J13="-",'A-16'!J39="-",'A-16'!J65="-",'A-16'!J90="-"),"-",SUM('A-16'!J13,'A-16'!J39,'A-16'!J65,'A-16'!J90))</f>
        <v>3393</v>
      </c>
    </row>
    <row r="38" spans="1:8" ht="11.25" customHeight="1" x14ac:dyDescent="0.25">
      <c r="A38" s="473">
        <v>1995</v>
      </c>
      <c r="B38" s="24">
        <f>IF(AND('A-16'!C14="-",'A-16'!C40="-",'A-16'!C66="-",'A-16'!C91="-"),"-",SUM('A-16'!C14,'A-16'!C40,'A-16'!C66,'A-16'!C91))</f>
        <v>0</v>
      </c>
      <c r="C38" s="24">
        <f>IF(AND('A-16'!D14="-",'A-16'!D40="-",'A-16'!D66="-",'A-16'!D91="-"),"-",SUM('A-16'!D14,'A-16'!D40,'A-16'!D66,'A-16'!D91))</f>
        <v>0</v>
      </c>
      <c r="D38" s="24">
        <f>IF(AND('A-16'!E14="-",'A-16'!E40="-",'A-16'!E66="-",'A-16'!E91="-"),"-",SUM('A-16'!E14,'A-16'!E40,'A-16'!E66,'A-16'!E91))</f>
        <v>0</v>
      </c>
      <c r="E38" s="24">
        <f>IF(AND('A-16'!F14="-",'A-16'!F40="-",'A-16'!F66="-",'A-16'!F91="-"),"-",SUM('A-16'!F14,'A-16'!F40,'A-16'!F66,'A-16'!F91))</f>
        <v>10940</v>
      </c>
      <c r="F38" s="24">
        <f>IF(AND('A-16'!G14="-",'A-16'!G40="-",'A-16'!G66="-",'A-16'!G91="-"),"-",SUM('A-16'!G14,'A-16'!G40,'A-16'!G66,'A-16'!G91))</f>
        <v>0</v>
      </c>
      <c r="G38" s="24">
        <f>IF(AND('A-16'!H14="-",'A-16'!H40="-",'A-16'!H66="-",'A-16'!H91="-"),"-",SUM('A-16'!H14,'A-16'!H40,'A-16'!H66,'A-16'!H91))</f>
        <v>0</v>
      </c>
      <c r="H38" s="24">
        <f>IF(AND('A-16'!J14="-",'A-16'!J40="-",'A-16'!J66="-",'A-16'!J91="-"),"-",SUM('A-16'!J14,'A-16'!J40,'A-16'!J66,'A-16'!J91))</f>
        <v>10940</v>
      </c>
    </row>
    <row r="39" spans="1:8" ht="11.25" customHeight="1" x14ac:dyDescent="0.25">
      <c r="A39" s="473">
        <v>1997</v>
      </c>
      <c r="B39" s="24">
        <f>IF(AND('A-16'!C15="-",'A-16'!C41="-",'A-16'!C67="-",'A-16'!C92="-"),"-",SUM('A-16'!C15,'A-16'!C41,'A-16'!C67,'A-16'!C92))</f>
        <v>0</v>
      </c>
      <c r="C39" s="24">
        <f>IF(AND('A-16'!D15="-",'A-16'!D41="-",'A-16'!D67="-",'A-16'!D92="-"),"-",SUM('A-16'!D15,'A-16'!D41,'A-16'!D67,'A-16'!D92))</f>
        <v>0</v>
      </c>
      <c r="D39" s="24">
        <f>IF(AND('A-16'!E15="-",'A-16'!E41="-",'A-16'!E67="-",'A-16'!E92="-"),"-",SUM('A-16'!E15,'A-16'!E41,'A-16'!E67,'A-16'!E92))</f>
        <v>0</v>
      </c>
      <c r="E39" s="24">
        <f>IF(AND('A-16'!F15="-",'A-16'!F41="-",'A-16'!F67="-",'A-16'!F92="-"),"-",SUM('A-16'!F15,'A-16'!F41,'A-16'!F67,'A-16'!F92))</f>
        <v>1757</v>
      </c>
      <c r="F39" s="24">
        <f>IF(AND('A-16'!G15="-",'A-16'!G41="-",'A-16'!G67="-",'A-16'!G92="-"),"-",SUM('A-16'!G15,'A-16'!G41,'A-16'!G67,'A-16'!G92))</f>
        <v>53</v>
      </c>
      <c r="G39" s="24" t="str">
        <f>IF(AND('A-16'!H15="-",'A-16'!H41="-",'A-16'!H67="-",'A-16'!H92="-"),"-",SUM('A-16'!H15,'A-16'!H41,'A-16'!H67,'A-16'!H92))</f>
        <v>-</v>
      </c>
      <c r="H39" s="24">
        <f>IF(AND('A-16'!J15="-",'A-16'!J41="-",'A-16'!J67="-",'A-16'!J92="-"),"-",SUM('A-16'!J15,'A-16'!J41,'A-16'!J67,'A-16'!J92))</f>
        <v>1810</v>
      </c>
    </row>
    <row r="40" spans="1:8" ht="11.25" customHeight="1" x14ac:dyDescent="0.25">
      <c r="A40" s="473">
        <v>1999</v>
      </c>
      <c r="B40" s="24">
        <f>IF(AND('A-16'!C16="-",'A-16'!C42="-",'A-16'!C68="-",'A-16'!C93="-"),"-",SUM('A-16'!C16,'A-16'!C42,'A-16'!C68,'A-16'!C93))</f>
        <v>0</v>
      </c>
      <c r="C40" s="24">
        <f>IF(AND('A-16'!D16="-",'A-16'!D42="-",'A-16'!D68="-",'A-16'!D93="-"),"-",SUM('A-16'!D16,'A-16'!D42,'A-16'!D68,'A-16'!D93))</f>
        <v>0</v>
      </c>
      <c r="D40" s="24">
        <f>IF(AND('A-16'!E16="-",'A-16'!E42="-",'A-16'!E68="-",'A-16'!E93="-"),"-",SUM('A-16'!E16,'A-16'!E42,'A-16'!E68,'A-16'!E93))</f>
        <v>0</v>
      </c>
      <c r="E40" s="24">
        <f>IF(AND('A-16'!F16="-",'A-16'!F42="-",'A-16'!F68="-",'A-16'!F93="-"),"-",SUM('A-16'!F16,'A-16'!F42,'A-16'!F68,'A-16'!F93))</f>
        <v>1388</v>
      </c>
      <c r="F40" s="24">
        <f>IF(AND('A-16'!G16="-",'A-16'!G42="-",'A-16'!G68="-",'A-16'!G93="-"),"-",SUM('A-16'!G16,'A-16'!G42,'A-16'!G68,'A-16'!G93))</f>
        <v>108</v>
      </c>
      <c r="G40" s="24" t="str">
        <f>IF(AND('A-16'!H16="-",'A-16'!H42="-",'A-16'!H68="-",'A-16'!H93="-"),"-",SUM('A-16'!H16,'A-16'!H42,'A-16'!H68,'A-16'!H93))</f>
        <v>-</v>
      </c>
      <c r="H40" s="24">
        <f>IF(AND('A-16'!J16="-",'A-16'!J42="-",'A-16'!J68="-",'A-16'!J93="-"),"-",SUM('A-16'!J16,'A-16'!J42,'A-16'!J68,'A-16'!J93))</f>
        <v>1496</v>
      </c>
    </row>
    <row r="41" spans="1:8" ht="11.25" customHeight="1" x14ac:dyDescent="0.25">
      <c r="A41" s="473">
        <v>2001</v>
      </c>
      <c r="B41" s="24">
        <f>IF(AND('A-16'!C17="-",'A-16'!C43="-",'A-16'!C69="-",'A-16'!C94="-"),"-",SUM('A-16'!C17,'A-16'!C43,'A-16'!C69,'A-16'!C94))</f>
        <v>11</v>
      </c>
      <c r="C41" s="24">
        <f>IF(AND('A-16'!D17="-",'A-16'!D43="-",'A-16'!D69="-",'A-16'!D94="-"),"-",SUM('A-16'!D17,'A-16'!D43,'A-16'!D69,'A-16'!D94))</f>
        <v>0</v>
      </c>
      <c r="D41" s="24">
        <f>IF(AND('A-16'!E17="-",'A-16'!E43="-",'A-16'!E69="-",'A-16'!E94="-"),"-",SUM('A-16'!E17,'A-16'!E43,'A-16'!E69,'A-16'!E94))</f>
        <v>696</v>
      </c>
      <c r="E41" s="24">
        <f>IF(AND('A-16'!F17="-",'A-16'!F43="-",'A-16'!F69="-",'A-16'!F94="-"),"-",SUM('A-16'!F17,'A-16'!F43,'A-16'!F69,'A-16'!F94))</f>
        <v>1537</v>
      </c>
      <c r="F41" s="24">
        <f>IF(AND('A-16'!G17="-",'A-16'!G43="-",'A-16'!G69="-",'A-16'!G94="-"),"-",SUM('A-16'!G17,'A-16'!G43,'A-16'!G69,'A-16'!G94))</f>
        <v>207</v>
      </c>
      <c r="G41" s="24" t="str">
        <f>IF(AND('A-16'!H17="-",'A-16'!H43="-",'A-16'!H69="-",'A-16'!H94="-"),"-",SUM('A-16'!H17,'A-16'!H43,'A-16'!H69,'A-16'!H94))</f>
        <v>-</v>
      </c>
      <c r="H41" s="24">
        <f>IF(AND('A-16'!J17="-",'A-16'!J43="-",'A-16'!J69="-",'A-16'!J94="-"),"-",SUM('A-16'!J17,'A-16'!J43,'A-16'!J69,'A-16'!J94))</f>
        <v>2451</v>
      </c>
    </row>
    <row r="42" spans="1:8" ht="11.25" customHeight="1" x14ac:dyDescent="0.25">
      <c r="A42" s="473">
        <v>2003</v>
      </c>
      <c r="B42" s="24">
        <f>IF(AND('A-16'!C18="-",'A-16'!C44="-",'A-16'!C70="-",'A-16'!C95="-"),"-",SUM('A-16'!C18,'A-16'!C44,'A-16'!C70,'A-16'!C95))</f>
        <v>0</v>
      </c>
      <c r="C42" s="24">
        <f>IF(AND('A-16'!D18="-",'A-16'!D44="-",'A-16'!D70="-",'A-16'!D95="-"),"-",SUM('A-16'!D18,'A-16'!D44,'A-16'!D70,'A-16'!D95))</f>
        <v>0</v>
      </c>
      <c r="D42" s="24">
        <f>IF(AND('A-16'!E18="-",'A-16'!E44="-",'A-16'!E70="-",'A-16'!E95="-"),"-",SUM('A-16'!E18,'A-16'!E44,'A-16'!E70,'A-16'!E95))</f>
        <v>172</v>
      </c>
      <c r="E42" s="24">
        <f>IF(AND('A-16'!F18="-",'A-16'!F44="-",'A-16'!F70="-",'A-16'!F95="-"),"-",SUM('A-16'!F18,'A-16'!F44,'A-16'!F70,'A-16'!F95))</f>
        <v>41</v>
      </c>
      <c r="F42" s="24">
        <f>IF(AND('A-16'!G18="-",'A-16'!G44="-",'A-16'!G70="-",'A-16'!G95="-"),"-",SUM('A-16'!G18,'A-16'!G44,'A-16'!G70,'A-16'!G95))</f>
        <v>23</v>
      </c>
      <c r="G42" s="24">
        <f>IF(AND('A-16'!H18="-",'A-16'!H44="-",'A-16'!H70="-",'A-16'!H95="-"),"-",SUM('A-16'!H18,'A-16'!H44,'A-16'!H70,'A-16'!H95))</f>
        <v>0</v>
      </c>
      <c r="H42" s="24">
        <f>IF(AND('A-16'!J18="-",'A-16'!J44="-",'A-16'!J70="-",'A-16'!J95="-"),"-",SUM('A-16'!J18,'A-16'!J44,'A-16'!J70,'A-16'!J95))</f>
        <v>236</v>
      </c>
    </row>
    <row r="43" spans="1:8" ht="11.25" customHeight="1" x14ac:dyDescent="0.25">
      <c r="A43" s="473">
        <v>2005</v>
      </c>
      <c r="B43" s="24">
        <f>IF(AND('A-16'!C19="-",'A-16'!C45="-",'A-16'!C71="-",'A-16'!C96="-"),"-",SUM('A-16'!C19,'A-16'!C45,'A-16'!C71,'A-16'!C96))</f>
        <v>0</v>
      </c>
      <c r="C43" s="24">
        <f>IF(AND('A-16'!D19="-",'A-16'!D45="-",'A-16'!D71="-",'A-16'!D96="-"),"-",SUM('A-16'!D19,'A-16'!D45,'A-16'!D71,'A-16'!D96))</f>
        <v>0</v>
      </c>
      <c r="D43" s="24">
        <f>IF(AND('A-16'!E19="-",'A-16'!E45="-",'A-16'!E71="-",'A-16'!E96="-"),"-",SUM('A-16'!E19,'A-16'!E45,'A-16'!E71,'A-16'!E96))</f>
        <v>186</v>
      </c>
      <c r="E43" s="24">
        <f>IF(AND('A-16'!F19="-",'A-16'!F45="-",'A-16'!F71="-",'A-16'!F96="-"),"-",SUM('A-16'!F19,'A-16'!F45,'A-16'!F71,'A-16'!F96))</f>
        <v>198</v>
      </c>
      <c r="F43" s="24">
        <f>IF(AND('A-16'!G19="-",'A-16'!G45="-",'A-16'!G71="-",'A-16'!G96="-"),"-",SUM('A-16'!G19,'A-16'!G45,'A-16'!G71,'A-16'!G96))</f>
        <v>3</v>
      </c>
      <c r="G43" s="24">
        <f>IF(AND('A-16'!H19="-",'A-16'!H45="-",'A-16'!H71="-",'A-16'!H96="-"),"-",SUM('A-16'!H19,'A-16'!H45,'A-16'!H71,'A-16'!H96))</f>
        <v>0</v>
      </c>
      <c r="H43" s="24">
        <f>IF(AND('A-16'!J19="-",'A-16'!J45="-",'A-16'!J71="-",'A-16'!J96="-"),"-",SUM('A-16'!J19,'A-16'!J45,'A-16'!J71,'A-16'!J96))</f>
        <v>387</v>
      </c>
    </row>
    <row r="44" spans="1:8" ht="11.25" customHeight="1" x14ac:dyDescent="0.25">
      <c r="A44" s="477">
        <v>2007</v>
      </c>
      <c r="B44" s="24">
        <f>IF(AND('A-16'!C20="-",'A-16'!C46="-",'A-16'!C72="-",'A-16'!C97="-"),"-",SUM('A-16'!C20,'A-16'!C46,'A-16'!C72,'A-16'!C97))</f>
        <v>0</v>
      </c>
      <c r="C44" s="24">
        <f>IF(AND('A-16'!D20="-",'A-16'!D46="-",'A-16'!D72="-",'A-16'!D97="-"),"-",SUM('A-16'!D20,'A-16'!D46,'A-16'!D72,'A-16'!D97))</f>
        <v>7</v>
      </c>
      <c r="D44" s="24">
        <f>IF(AND('A-16'!E20="-",'A-16'!E46="-",'A-16'!E72="-",'A-16'!E97="-"),"-",SUM('A-16'!E20,'A-16'!E46,'A-16'!E72,'A-16'!E97))</f>
        <v>326</v>
      </c>
      <c r="E44" s="24">
        <f>IF(AND('A-16'!F20="-",'A-16'!F46="-",'A-16'!F72="-",'A-16'!F97="-"),"-",SUM('A-16'!F20,'A-16'!F46,'A-16'!F72,'A-16'!F97))</f>
        <v>251</v>
      </c>
      <c r="F44" s="24">
        <f>IF(AND('A-16'!G20="-",'A-16'!G46="-",'A-16'!G72="-",'A-16'!G97="-"),"-",SUM('A-16'!G20,'A-16'!G46,'A-16'!G72,'A-16'!G97))</f>
        <v>0</v>
      </c>
      <c r="G44" s="24">
        <f>IF(AND('A-16'!H20="-",'A-16'!H46="-",'A-16'!H72="-",'A-16'!H97="-"),"-",SUM('A-16'!H20,'A-16'!H46,'A-16'!H72,'A-16'!H97))</f>
        <v>0</v>
      </c>
      <c r="H44" s="24">
        <f>IF(AND('A-16'!J20="-",'A-16'!J46="-",'A-16'!J72="-",'A-16'!J97="-"),"-",SUM('A-16'!J20,'A-16'!J46,'A-16'!J72,'A-16'!J97))</f>
        <v>584</v>
      </c>
    </row>
    <row r="45" spans="1:8" ht="11.25" customHeight="1" x14ac:dyDescent="0.25">
      <c r="A45" s="477">
        <v>2009</v>
      </c>
      <c r="B45" s="24">
        <f>IF(AND('A-16'!C21="-",'A-16'!C47="-",'A-16'!C73="-",'A-16'!C98="-"),"-",SUM('A-16'!C21,'A-16'!C47,'A-16'!C73,'A-16'!C98))</f>
        <v>0</v>
      </c>
      <c r="C45" s="24">
        <f>IF(AND('A-16'!D21="-",'A-16'!D47="-",'A-16'!D73="-",'A-16'!D98="-"),"-",SUM('A-16'!D21,'A-16'!D47,'A-16'!D73,'A-16'!D98))</f>
        <v>0</v>
      </c>
      <c r="D45" s="24">
        <f>IF(AND('A-16'!E21="-",'A-16'!E47="-",'A-16'!E73="-",'A-16'!E98="-"),"-",SUM('A-16'!E21,'A-16'!E47,'A-16'!E73,'A-16'!E98))</f>
        <v>431</v>
      </c>
      <c r="E45" s="24">
        <f>IF(AND('A-16'!F21="-",'A-16'!F47="-",'A-16'!F73="-",'A-16'!F98="-"),"-",SUM('A-16'!F21,'A-16'!F47,'A-16'!F73,'A-16'!F98))</f>
        <v>369</v>
      </c>
      <c r="F45" s="24">
        <f>IF(AND('A-16'!G21="-",'A-16'!G47="-",'A-16'!G73="-",'A-16'!G98="-"),"-",SUM('A-16'!G21,'A-16'!G47,'A-16'!G73,'A-16'!G98))</f>
        <v>0</v>
      </c>
      <c r="G45" s="24">
        <f>IF(AND('A-16'!H21="-",'A-16'!H47="-",'A-16'!H73="-",'A-16'!H98="-"),"-",SUM('A-16'!H21,'A-16'!H47,'A-16'!H73,'A-16'!H98))</f>
        <v>0</v>
      </c>
      <c r="H45" s="24">
        <f>IF(AND('A-16'!J21="-",'A-16'!J47="-",'A-16'!J73="-",'A-16'!J98="-"),"-",SUM('A-16'!J21,'A-16'!J47,'A-16'!J73,'A-16'!J98))</f>
        <v>800</v>
      </c>
    </row>
    <row r="46" spans="1:8" ht="11.25" customHeight="1" x14ac:dyDescent="0.25">
      <c r="A46" s="477">
        <v>2011</v>
      </c>
      <c r="B46" s="24">
        <f>IF(AND('A-16'!C22="-",'A-16'!C48="-",'A-16'!C74="-",'A-16'!C99="-"),"-",SUM('A-16'!C22,'A-16'!C48,'A-16'!C74,'A-16'!C99))</f>
        <v>0</v>
      </c>
      <c r="C46" s="24">
        <f>IF(AND('A-16'!D22="-",'A-16'!D48="-",'A-16'!D74="-",'A-16'!D99="-"),"-",SUM('A-16'!D22,'A-16'!D48,'A-16'!D74,'A-16'!D99))</f>
        <v>6</v>
      </c>
      <c r="D46" s="24">
        <f>IF(AND('A-16'!E22="-",'A-16'!E48="-",'A-16'!E74="-",'A-16'!E99="-"),"-",SUM('A-16'!E22,'A-16'!E48,'A-16'!E74,'A-16'!E99))</f>
        <v>718</v>
      </c>
      <c r="E46" s="24">
        <f>IF(AND('A-16'!F22="-",'A-16'!F48="-",'A-16'!F74="-",'A-16'!F99="-"),"-",SUM('A-16'!F22,'A-16'!F48,'A-16'!F74,'A-16'!F99))</f>
        <v>334</v>
      </c>
      <c r="F46" s="24">
        <f>IF(AND('A-16'!G22="-",'A-16'!G48="-",'A-16'!G74="-",'A-16'!G99="-"),"-",SUM('A-16'!G22,'A-16'!G48,'A-16'!G74,'A-16'!G99))</f>
        <v>16</v>
      </c>
      <c r="G46" s="24">
        <f>IF(AND('A-16'!H22="-",'A-16'!H48="-",'A-16'!H74="-",'A-16'!H99="-"),"-",SUM('A-16'!H22,'A-16'!H48,'A-16'!H74,'A-16'!H99))</f>
        <v>0</v>
      </c>
      <c r="H46" s="24">
        <f>IF(AND('A-16'!J22="-",'A-16'!J48="-",'A-16'!J74="-",'A-16'!J99="-"),"-",SUM('A-16'!J22,'A-16'!J48,'A-16'!J74,'A-16'!J99))</f>
        <v>1074</v>
      </c>
    </row>
    <row r="47" spans="1:8" ht="11.25" customHeight="1" x14ac:dyDescent="0.25">
      <c r="A47" s="477">
        <v>2013</v>
      </c>
      <c r="B47" s="24">
        <f>IF(AND('A-16'!C23="-",'A-16'!C49="-",'A-16'!C75="-",'A-16'!C100="-"),"-",SUM('A-16'!C23,'A-16'!C49,'A-16'!C75,'A-16'!C100))</f>
        <v>0</v>
      </c>
      <c r="C47" s="24">
        <f>IF(AND('A-16'!D23="-",'A-16'!D49="-",'A-16'!D75="-",'A-16'!D100="-"),"-",SUM('A-16'!D23,'A-16'!D49,'A-16'!D75,'A-16'!D100))</f>
        <v>0</v>
      </c>
      <c r="D47" s="24">
        <f>IF(AND('A-16'!E23="-",'A-16'!E49="-",'A-16'!E75="-",'A-16'!E100="-"),"-",SUM('A-16'!E23,'A-16'!E49,'A-16'!E75,'A-16'!E100))</f>
        <v>89</v>
      </c>
      <c r="E47" s="24">
        <f>IF(AND('A-16'!F23="-",'A-16'!F49="-",'A-16'!F75="-",'A-16'!F100="-"),"-",SUM('A-16'!F23,'A-16'!F49,'A-16'!F75,'A-16'!F100))</f>
        <v>120</v>
      </c>
      <c r="F47" s="24">
        <f>IF(AND('A-16'!G23="-",'A-16'!G49="-",'A-16'!G75="-",'A-16'!G100="-"),"-",SUM('A-16'!G23,'A-16'!G49,'A-16'!G75,'A-16'!G100))</f>
        <v>0</v>
      </c>
      <c r="G47" s="24">
        <f>IF(AND('A-16'!H23="-",'A-16'!H49="-",'A-16'!H75="-",'A-16'!H100="-"),"-",SUM('A-16'!H23,'A-16'!H49,'A-16'!H75,'A-16'!H100))</f>
        <v>0</v>
      </c>
      <c r="H47" s="24">
        <f>IF(AND('A-16'!J23="-",'A-16'!J49="-",'A-16'!J75="-",'A-16'!J100="-"),"-",SUM('A-16'!J23,'A-16'!J49,'A-16'!J75,'A-16'!J100))</f>
        <v>209</v>
      </c>
    </row>
    <row r="48" spans="1:8" ht="11.25" customHeight="1" x14ac:dyDescent="0.25">
      <c r="A48" s="477">
        <v>2015</v>
      </c>
      <c r="B48" s="37">
        <f>IF(AND('A-16'!C24="-",'A-16'!C50="-",'A-16'!C76="-",'A-16'!C101="-"),"-",SUM('A-16'!C24,'A-16'!C50,'A-16'!C76,'A-16'!C101))</f>
        <v>0</v>
      </c>
      <c r="C48" s="37">
        <f>IF(AND('A-16'!D24="-",'A-16'!D50="-",'A-16'!D76="-",'A-16'!D101="-"),"-",SUM('A-16'!D24,'A-16'!D50,'A-16'!D76,'A-16'!D101))</f>
        <v>6</v>
      </c>
      <c r="D48" s="37">
        <f>IF(AND('A-16'!E24="-",'A-16'!E50="-",'A-16'!E76="-",'A-16'!E101="-"),"-",SUM('A-16'!E24,'A-16'!E50,'A-16'!E76,'A-16'!E101))</f>
        <v>98</v>
      </c>
      <c r="E48" s="37">
        <f>IF(AND('A-16'!F24="-",'A-16'!F50="-",'A-16'!F76="-",'A-16'!F101="-"),"-",SUM('A-16'!F24,'A-16'!F50,'A-16'!F76,'A-16'!F101))</f>
        <v>18</v>
      </c>
      <c r="F48" s="37">
        <f>IF(AND('A-16'!G24="-",'A-16'!G50="-",'A-16'!G76="-",'A-16'!G101="-"),"-",SUM('A-16'!G24,'A-16'!G50,'A-16'!G76,'A-16'!G101))</f>
        <v>0</v>
      </c>
      <c r="G48" s="37">
        <f>IF(AND('A-16'!H24="-",'A-16'!H50="-",'A-16'!H76="-",'A-16'!H101="-"),"-",SUM('A-16'!H24,'A-16'!H50,'A-16'!H76,'A-16'!H101))</f>
        <v>0</v>
      </c>
      <c r="H48" s="37">
        <f>IF(AND('A-16'!J24="-",'A-16'!J50="-",'A-16'!J76="-",'A-16'!J101="-"),"-",SUM('A-16'!J24,'A-16'!J50,'A-16'!J76,'A-16'!J101))</f>
        <v>122</v>
      </c>
    </row>
    <row r="49" spans="1:8" s="358" customFormat="1" ht="11.25" customHeight="1" x14ac:dyDescent="0.25">
      <c r="A49" s="477">
        <v>2017</v>
      </c>
      <c r="B49" s="37">
        <f>IF(AND('A-16'!C25="-",'A-16'!C51="-",'A-16'!C77="-",'A-16'!C102="-"),"-",SUM('A-16'!C25,'A-16'!C51,'A-16'!C77,'A-16'!C102))</f>
        <v>0</v>
      </c>
      <c r="C49" s="37">
        <f>IF(AND('A-16'!D25="-",'A-16'!D51="-",'A-16'!D77="-",'A-16'!D102="-"),"-",SUM('A-16'!D25,'A-16'!D51,'A-16'!D77,'A-16'!D102))</f>
        <v>0</v>
      </c>
      <c r="D49" s="37">
        <f>IF(AND('A-16'!E25="-",'A-16'!E51="-",'A-16'!E77="-",'A-16'!E102="-"),"-",SUM('A-16'!E25,'A-16'!E51,'A-16'!E77,'A-16'!E102))</f>
        <v>61</v>
      </c>
      <c r="E49" s="37">
        <f>IF(AND('A-16'!F25="-",'A-16'!F51="-",'A-16'!F77="-",'A-16'!F102="-"),"-",SUM('A-16'!F25,'A-16'!F51,'A-16'!F77,'A-16'!F102))</f>
        <v>134</v>
      </c>
      <c r="F49" s="37">
        <f>IF(AND('A-16'!G25="-",'A-16'!G51="-",'A-16'!G77="-",'A-16'!G102="-"),"-",SUM('A-16'!G25,'A-16'!G51,'A-16'!G77,'A-16'!G102))</f>
        <v>0</v>
      </c>
      <c r="G49" s="37">
        <f>IF(AND('A-16'!H25="-",'A-16'!H51="-",'A-16'!H77="-",'A-16'!H102="-"),"-",SUM('A-16'!H25,'A-16'!H51,'A-16'!H77,'A-16'!H102))</f>
        <v>0</v>
      </c>
      <c r="H49" s="37">
        <f>IF(AND('A-16'!J25="-",'A-16'!J51="-",'A-16'!J77="-",'A-16'!J102="-"),"-",SUM('A-16'!J25,'A-16'!J51,'A-16'!J77,'A-16'!J102))</f>
        <v>195</v>
      </c>
    </row>
    <row r="50" spans="1:8" ht="11.25" customHeight="1" x14ac:dyDescent="0.25">
      <c r="A50" s="493" t="s">
        <v>336</v>
      </c>
      <c r="B50" s="38">
        <f>IF(AND('A-16'!C26="-",'A-16'!C52="-",'A-16'!C78="-",'A-16'!C103="-"),"-",SUM('A-16'!C26,'A-16'!C52,'A-16'!C78,'A-16'!C103))</f>
        <v>0</v>
      </c>
      <c r="C50" s="38">
        <f>IF(AND('A-16'!D26="-",'A-16'!D52="-",'A-16'!D78="-",'A-16'!D103="-"),"-",SUM('A-16'!D26,'A-16'!D52,'A-16'!D78,'A-16'!D103))</f>
        <v>0</v>
      </c>
      <c r="D50" s="38">
        <f>IF(AND('A-16'!E26="-",'A-16'!E52="-",'A-16'!E78="-",'A-16'!E103="-"),"-",SUM('A-16'!E26,'A-16'!E52,'A-16'!E78,'A-16'!E103))</f>
        <v>243</v>
      </c>
      <c r="E50" s="38">
        <f>IF(AND('A-16'!F26="-",'A-16'!F52="-",'A-16'!F78="-",'A-16'!F103="-"),"-",SUM('A-16'!F26,'A-16'!F52,'A-16'!F78,'A-16'!F103))</f>
        <v>270</v>
      </c>
      <c r="F50" s="38">
        <f>IF(AND('A-16'!G26="-",'A-16'!G52="-",'A-16'!G78="-",'A-16'!G103="-"),"-",SUM('A-16'!G26,'A-16'!G52,'A-16'!G78,'A-16'!G103))</f>
        <v>0</v>
      </c>
      <c r="G50" s="38">
        <f>IF(AND('A-16'!H26="-",'A-16'!H52="-",'A-16'!H78="-",'A-16'!H103="-"),"-",SUM('A-16'!H26,'A-16'!H52,'A-16'!H78,'A-16'!H103))</f>
        <v>0</v>
      </c>
      <c r="H50" s="38">
        <f>IF(AND('A-16'!J26="-",'A-16'!J52="-",'A-16'!J78="-",'A-16'!J103="-"),"-",SUM('A-16'!J26,'A-16'!J52,'A-16'!J78,'A-16'!J103))</f>
        <v>513</v>
      </c>
    </row>
    <row r="51" spans="1:8" ht="11.25" customHeight="1" x14ac:dyDescent="0.25"/>
    <row r="52" spans="1:8" ht="11.25" customHeight="1" x14ac:dyDescent="0.25">
      <c r="A52" s="127" t="s">
        <v>326</v>
      </c>
      <c r="B52" s="128"/>
      <c r="C52" s="128"/>
      <c r="D52" s="128"/>
    </row>
    <row r="53" spans="1:8" ht="11.25" customHeight="1" x14ac:dyDescent="0.25">
      <c r="A53" s="473">
        <v>1977</v>
      </c>
      <c r="B53" s="24">
        <f t="shared" ref="B53:H62" si="1">IF(AND(B5="-",B29="-"),"-",SUM(B5,B29))</f>
        <v>1144</v>
      </c>
      <c r="C53" s="24">
        <f t="shared" si="1"/>
        <v>2299</v>
      </c>
      <c r="D53" s="24">
        <f t="shared" si="1"/>
        <v>99773</v>
      </c>
      <c r="E53" s="24">
        <f t="shared" si="1"/>
        <v>165097</v>
      </c>
      <c r="F53" s="24">
        <f t="shared" si="1"/>
        <v>8350</v>
      </c>
      <c r="G53" s="37">
        <f t="shared" si="1"/>
        <v>0</v>
      </c>
      <c r="H53" s="24">
        <f t="shared" si="1"/>
        <v>276663</v>
      </c>
    </row>
    <row r="54" spans="1:8" ht="11.25" customHeight="1" x14ac:dyDescent="0.25">
      <c r="A54" s="473">
        <v>1979</v>
      </c>
      <c r="B54" s="24">
        <f t="shared" si="1"/>
        <v>83</v>
      </c>
      <c r="C54" s="24">
        <f t="shared" si="1"/>
        <v>1687</v>
      </c>
      <c r="D54" s="24">
        <f t="shared" si="1"/>
        <v>92076</v>
      </c>
      <c r="E54" s="24">
        <f t="shared" si="1"/>
        <v>458251</v>
      </c>
      <c r="F54" s="24">
        <f t="shared" si="1"/>
        <v>1186</v>
      </c>
      <c r="G54" s="37">
        <f t="shared" si="1"/>
        <v>0</v>
      </c>
      <c r="H54" s="24">
        <f t="shared" si="1"/>
        <v>553283</v>
      </c>
    </row>
    <row r="55" spans="1:8" ht="11.25" customHeight="1" x14ac:dyDescent="0.25">
      <c r="A55" s="473">
        <v>1981</v>
      </c>
      <c r="B55" s="24">
        <f t="shared" si="1"/>
        <v>677</v>
      </c>
      <c r="C55" s="24">
        <f t="shared" si="1"/>
        <v>309</v>
      </c>
      <c r="D55" s="24">
        <f t="shared" si="1"/>
        <v>66981</v>
      </c>
      <c r="E55" s="24">
        <f t="shared" si="1"/>
        <v>164708</v>
      </c>
      <c r="F55" s="24">
        <f t="shared" si="1"/>
        <v>441</v>
      </c>
      <c r="G55" s="37">
        <f t="shared" si="1"/>
        <v>0</v>
      </c>
      <c r="H55" s="24">
        <f t="shared" si="1"/>
        <v>233116</v>
      </c>
    </row>
    <row r="56" spans="1:8" ht="11.25" customHeight="1" x14ac:dyDescent="0.25">
      <c r="A56" s="473">
        <v>1983</v>
      </c>
      <c r="B56" s="24">
        <f t="shared" si="1"/>
        <v>2</v>
      </c>
      <c r="C56" s="24">
        <f t="shared" si="1"/>
        <v>37</v>
      </c>
      <c r="D56" s="24">
        <f t="shared" si="1"/>
        <v>80654</v>
      </c>
      <c r="E56" s="24">
        <f t="shared" si="1"/>
        <v>23975</v>
      </c>
      <c r="F56" s="24">
        <f t="shared" si="1"/>
        <v>647</v>
      </c>
      <c r="G56" s="37">
        <f t="shared" si="1"/>
        <v>0</v>
      </c>
      <c r="H56" s="24">
        <f t="shared" si="1"/>
        <v>105315</v>
      </c>
    </row>
    <row r="57" spans="1:8" ht="11.25" customHeight="1" x14ac:dyDescent="0.25">
      <c r="A57" s="473">
        <v>1985</v>
      </c>
      <c r="B57" s="24">
        <f t="shared" si="1"/>
        <v>107</v>
      </c>
      <c r="C57" s="24">
        <f t="shared" si="1"/>
        <v>395</v>
      </c>
      <c r="D57" s="24">
        <f t="shared" si="1"/>
        <v>10762</v>
      </c>
      <c r="E57" s="24">
        <f t="shared" si="1"/>
        <v>95710</v>
      </c>
      <c r="F57" s="24">
        <f t="shared" si="1"/>
        <v>703</v>
      </c>
      <c r="G57" s="37">
        <f t="shared" si="1"/>
        <v>0</v>
      </c>
      <c r="H57" s="24">
        <f t="shared" si="1"/>
        <v>107677</v>
      </c>
    </row>
    <row r="58" spans="1:8" ht="11.25" customHeight="1" x14ac:dyDescent="0.25">
      <c r="A58" s="473">
        <v>1987</v>
      </c>
      <c r="B58" s="24">
        <f t="shared" si="1"/>
        <v>4</v>
      </c>
      <c r="C58" s="24">
        <f t="shared" si="1"/>
        <v>0</v>
      </c>
      <c r="D58" s="24">
        <f t="shared" si="1"/>
        <v>13418</v>
      </c>
      <c r="E58" s="24">
        <f t="shared" si="1"/>
        <v>5840</v>
      </c>
      <c r="F58" s="24">
        <f t="shared" si="1"/>
        <v>0</v>
      </c>
      <c r="G58" s="37">
        <f t="shared" si="1"/>
        <v>0</v>
      </c>
      <c r="H58" s="24">
        <f t="shared" si="1"/>
        <v>19262</v>
      </c>
    </row>
    <row r="59" spans="1:8" ht="11.25" customHeight="1" x14ac:dyDescent="0.25">
      <c r="A59" s="473">
        <v>1989</v>
      </c>
      <c r="B59" s="24">
        <f t="shared" si="1"/>
        <v>235</v>
      </c>
      <c r="C59" s="24">
        <f t="shared" si="1"/>
        <v>202</v>
      </c>
      <c r="D59" s="24">
        <f t="shared" si="1"/>
        <v>7206</v>
      </c>
      <c r="E59" s="24">
        <f t="shared" si="1"/>
        <v>38953</v>
      </c>
      <c r="F59" s="24">
        <f t="shared" si="1"/>
        <v>1182</v>
      </c>
      <c r="G59" s="37">
        <f t="shared" si="1"/>
        <v>0</v>
      </c>
      <c r="H59" s="24">
        <f t="shared" si="1"/>
        <v>47778</v>
      </c>
    </row>
    <row r="60" spans="1:8" ht="11.25" customHeight="1" x14ac:dyDescent="0.25">
      <c r="A60" s="473">
        <v>1991</v>
      </c>
      <c r="B60" s="24">
        <f t="shared" si="1"/>
        <v>4</v>
      </c>
      <c r="C60" s="24">
        <f t="shared" si="1"/>
        <v>19</v>
      </c>
      <c r="D60" s="24">
        <f t="shared" si="1"/>
        <v>1148</v>
      </c>
      <c r="E60" s="24">
        <f t="shared" si="1"/>
        <v>46564</v>
      </c>
      <c r="F60" s="24">
        <f t="shared" si="1"/>
        <v>295</v>
      </c>
      <c r="G60" s="37">
        <f t="shared" si="1"/>
        <v>0</v>
      </c>
      <c r="H60" s="24">
        <f t="shared" si="1"/>
        <v>48030</v>
      </c>
    </row>
    <row r="61" spans="1:8" ht="11.25" customHeight="1" x14ac:dyDescent="0.25">
      <c r="A61" s="473">
        <v>1993</v>
      </c>
      <c r="B61" s="24">
        <f t="shared" si="1"/>
        <v>16</v>
      </c>
      <c r="C61" s="24">
        <f t="shared" si="1"/>
        <v>1</v>
      </c>
      <c r="D61" s="24">
        <f t="shared" si="1"/>
        <v>437</v>
      </c>
      <c r="E61" s="24">
        <f t="shared" si="1"/>
        <v>5014</v>
      </c>
      <c r="F61" s="24">
        <f t="shared" si="1"/>
        <v>786</v>
      </c>
      <c r="G61" s="37">
        <f t="shared" si="1"/>
        <v>0</v>
      </c>
      <c r="H61" s="24">
        <f t="shared" si="1"/>
        <v>6254</v>
      </c>
    </row>
    <row r="62" spans="1:8" ht="11.25" customHeight="1" x14ac:dyDescent="0.25">
      <c r="A62" s="473">
        <v>1995</v>
      </c>
      <c r="B62" s="24">
        <f t="shared" si="1"/>
        <v>0</v>
      </c>
      <c r="C62" s="24">
        <f t="shared" si="1"/>
        <v>0</v>
      </c>
      <c r="D62" s="24">
        <f t="shared" si="1"/>
        <v>0</v>
      </c>
      <c r="E62" s="24">
        <f t="shared" si="1"/>
        <v>41000</v>
      </c>
      <c r="F62" s="24">
        <f t="shared" si="1"/>
        <v>872</v>
      </c>
      <c r="G62" s="37">
        <f t="shared" si="1"/>
        <v>0</v>
      </c>
      <c r="H62" s="24">
        <f t="shared" si="1"/>
        <v>41872</v>
      </c>
    </row>
    <row r="63" spans="1:8" ht="11.25" customHeight="1" x14ac:dyDescent="0.25">
      <c r="A63" s="473">
        <v>1997</v>
      </c>
      <c r="B63" s="24">
        <f t="shared" ref="B63:H72" si="2">IF(AND(B15="-",B39="-"),"-",SUM(B15,B39))</f>
        <v>2</v>
      </c>
      <c r="C63" s="24">
        <f t="shared" si="2"/>
        <v>3</v>
      </c>
      <c r="D63" s="24">
        <f t="shared" si="2"/>
        <v>0</v>
      </c>
      <c r="E63" s="24">
        <f t="shared" si="2"/>
        <v>1757</v>
      </c>
      <c r="F63" s="24">
        <f t="shared" si="2"/>
        <v>53</v>
      </c>
      <c r="G63" s="37" t="str">
        <f t="shared" si="2"/>
        <v>-</v>
      </c>
      <c r="H63" s="24">
        <f t="shared" si="2"/>
        <v>1815</v>
      </c>
    </row>
    <row r="64" spans="1:8" ht="11.25" customHeight="1" x14ac:dyDescent="0.25">
      <c r="A64" s="473">
        <v>1999</v>
      </c>
      <c r="B64" s="24">
        <f t="shared" si="2"/>
        <v>0</v>
      </c>
      <c r="C64" s="24">
        <f t="shared" si="2"/>
        <v>1</v>
      </c>
      <c r="D64" s="24">
        <f t="shared" si="2"/>
        <v>31</v>
      </c>
      <c r="E64" s="24">
        <f t="shared" si="2"/>
        <v>1409</v>
      </c>
      <c r="F64" s="24">
        <f t="shared" si="2"/>
        <v>108</v>
      </c>
      <c r="G64" s="37" t="str">
        <f t="shared" si="2"/>
        <v>-</v>
      </c>
      <c r="H64" s="24">
        <f t="shared" si="2"/>
        <v>1549</v>
      </c>
    </row>
    <row r="65" spans="1:16" ht="11.25" customHeight="1" x14ac:dyDescent="0.25">
      <c r="A65" s="473">
        <v>2001</v>
      </c>
      <c r="B65" s="24">
        <f t="shared" si="2"/>
        <v>12</v>
      </c>
      <c r="C65" s="24">
        <f t="shared" si="2"/>
        <v>9</v>
      </c>
      <c r="D65" s="24">
        <f t="shared" si="2"/>
        <v>716</v>
      </c>
      <c r="E65" s="24">
        <f t="shared" si="2"/>
        <v>1537</v>
      </c>
      <c r="F65" s="24">
        <f t="shared" si="2"/>
        <v>207</v>
      </c>
      <c r="G65" s="37" t="str">
        <f t="shared" si="2"/>
        <v>-</v>
      </c>
      <c r="H65" s="24">
        <f t="shared" si="2"/>
        <v>2481</v>
      </c>
    </row>
    <row r="66" spans="1:16" ht="11.25" customHeight="1" x14ac:dyDescent="0.25">
      <c r="A66" s="473">
        <v>2003</v>
      </c>
      <c r="B66" s="24">
        <f t="shared" si="2"/>
        <v>0</v>
      </c>
      <c r="C66" s="24">
        <f t="shared" si="2"/>
        <v>0</v>
      </c>
      <c r="D66" s="24">
        <f t="shared" si="2"/>
        <v>314</v>
      </c>
      <c r="E66" s="24">
        <f t="shared" si="2"/>
        <v>104</v>
      </c>
      <c r="F66" s="24">
        <f t="shared" si="2"/>
        <v>33</v>
      </c>
      <c r="G66" s="37">
        <f t="shared" si="2"/>
        <v>0</v>
      </c>
      <c r="H66" s="24">
        <f t="shared" si="2"/>
        <v>451</v>
      </c>
    </row>
    <row r="67" spans="1:16" ht="11.25" customHeight="1" x14ac:dyDescent="0.25">
      <c r="A67" s="473">
        <v>2005</v>
      </c>
      <c r="B67" s="24">
        <f t="shared" si="2"/>
        <v>4</v>
      </c>
      <c r="C67" s="24">
        <f t="shared" si="2"/>
        <v>0</v>
      </c>
      <c r="D67" s="24">
        <f t="shared" si="2"/>
        <v>188</v>
      </c>
      <c r="E67" s="24">
        <f t="shared" si="2"/>
        <v>200</v>
      </c>
      <c r="F67" s="24">
        <f t="shared" si="2"/>
        <v>3</v>
      </c>
      <c r="G67" s="37">
        <f t="shared" si="2"/>
        <v>0</v>
      </c>
      <c r="H67" s="24">
        <f t="shared" si="2"/>
        <v>395</v>
      </c>
    </row>
    <row r="68" spans="1:16" ht="11.25" customHeight="1" x14ac:dyDescent="0.25">
      <c r="A68" s="477">
        <v>2007</v>
      </c>
      <c r="B68" s="37">
        <f t="shared" si="2"/>
        <v>8</v>
      </c>
      <c r="C68" s="37">
        <f t="shared" si="2"/>
        <v>26</v>
      </c>
      <c r="D68" s="37">
        <f t="shared" si="2"/>
        <v>445</v>
      </c>
      <c r="E68" s="37">
        <f t="shared" si="2"/>
        <v>252</v>
      </c>
      <c r="F68" s="37">
        <f t="shared" si="2"/>
        <v>0</v>
      </c>
      <c r="G68" s="37">
        <f t="shared" si="2"/>
        <v>0</v>
      </c>
      <c r="H68" s="37">
        <f t="shared" si="2"/>
        <v>731</v>
      </c>
    </row>
    <row r="69" spans="1:16" ht="11.25" customHeight="1" x14ac:dyDescent="0.25">
      <c r="A69" s="477">
        <v>2009</v>
      </c>
      <c r="B69" s="37">
        <f t="shared" si="2"/>
        <v>1</v>
      </c>
      <c r="C69" s="37">
        <f t="shared" si="2"/>
        <v>14</v>
      </c>
      <c r="D69" s="37">
        <f t="shared" si="2"/>
        <v>513</v>
      </c>
      <c r="E69" s="37">
        <f t="shared" si="2"/>
        <v>406</v>
      </c>
      <c r="F69" s="37">
        <f t="shared" si="2"/>
        <v>1</v>
      </c>
      <c r="G69" s="37">
        <f t="shared" si="2"/>
        <v>0</v>
      </c>
      <c r="H69" s="37">
        <f t="shared" si="2"/>
        <v>935</v>
      </c>
    </row>
    <row r="70" spans="1:16" ht="11.25" customHeight="1" x14ac:dyDescent="0.25">
      <c r="A70" s="477">
        <v>2011</v>
      </c>
      <c r="B70" s="37">
        <f t="shared" si="2"/>
        <v>0</v>
      </c>
      <c r="C70" s="37">
        <f t="shared" si="2"/>
        <v>6</v>
      </c>
      <c r="D70" s="37">
        <f t="shared" si="2"/>
        <v>721</v>
      </c>
      <c r="E70" s="37">
        <f t="shared" si="2"/>
        <v>452</v>
      </c>
      <c r="F70" s="37">
        <f t="shared" si="2"/>
        <v>109</v>
      </c>
      <c r="G70" s="37">
        <f t="shared" si="2"/>
        <v>1</v>
      </c>
      <c r="H70" s="37">
        <f t="shared" si="2"/>
        <v>1289</v>
      </c>
    </row>
    <row r="71" spans="1:16" ht="11.25" customHeight="1" x14ac:dyDescent="0.25">
      <c r="A71" s="477">
        <v>2013</v>
      </c>
      <c r="B71" s="37">
        <f t="shared" si="2"/>
        <v>0</v>
      </c>
      <c r="C71" s="37">
        <f t="shared" si="2"/>
        <v>2</v>
      </c>
      <c r="D71" s="37">
        <f t="shared" si="2"/>
        <v>89</v>
      </c>
      <c r="E71" s="37">
        <f t="shared" si="2"/>
        <v>221</v>
      </c>
      <c r="F71" s="37">
        <f t="shared" si="2"/>
        <v>37</v>
      </c>
      <c r="G71" s="37">
        <f t="shared" si="2"/>
        <v>1</v>
      </c>
      <c r="H71" s="37">
        <f t="shared" si="2"/>
        <v>350</v>
      </c>
    </row>
    <row r="72" spans="1:16" ht="11.25" customHeight="1" x14ac:dyDescent="0.25">
      <c r="A72" s="477">
        <v>2015</v>
      </c>
      <c r="B72" s="37">
        <f t="shared" si="2"/>
        <v>0</v>
      </c>
      <c r="C72" s="37">
        <f t="shared" si="2"/>
        <v>7</v>
      </c>
      <c r="D72" s="37">
        <f t="shared" si="2"/>
        <v>118</v>
      </c>
      <c r="E72" s="37">
        <f t="shared" si="2"/>
        <v>65</v>
      </c>
      <c r="F72" s="37">
        <f t="shared" si="2"/>
        <v>0</v>
      </c>
      <c r="G72" s="37">
        <f t="shared" si="2"/>
        <v>0</v>
      </c>
      <c r="H72" s="37">
        <f t="shared" si="2"/>
        <v>190</v>
      </c>
    </row>
    <row r="73" spans="1:16" s="358" customFormat="1" ht="11.25" customHeight="1" x14ac:dyDescent="0.25">
      <c r="A73" s="477">
        <v>2017</v>
      </c>
      <c r="B73" s="37">
        <f t="shared" ref="B73:G74" si="3">IF(AND(B25="-",B49="-"),"-",SUM(B25,B49))</f>
        <v>0</v>
      </c>
      <c r="C73" s="37">
        <f t="shared" si="3"/>
        <v>0</v>
      </c>
      <c r="D73" s="37">
        <f t="shared" si="3"/>
        <v>61</v>
      </c>
      <c r="E73" s="37">
        <f t="shared" si="3"/>
        <v>134</v>
      </c>
      <c r="F73" s="37">
        <f t="shared" si="3"/>
        <v>0</v>
      </c>
      <c r="G73" s="37">
        <f t="shared" si="3"/>
        <v>0</v>
      </c>
      <c r="H73" s="37">
        <f>IF(AND(H25="-",H49="-"),"-",SUM(H25,H49))</f>
        <v>195</v>
      </c>
    </row>
    <row r="74" spans="1:16" ht="11.25" customHeight="1" x14ac:dyDescent="0.25">
      <c r="A74" s="119" t="s">
        <v>336</v>
      </c>
      <c r="B74" s="37">
        <f t="shared" si="3"/>
        <v>0</v>
      </c>
      <c r="C74" s="38">
        <f t="shared" si="3"/>
        <v>0</v>
      </c>
      <c r="D74" s="38">
        <f t="shared" si="3"/>
        <v>243</v>
      </c>
      <c r="E74" s="38">
        <f t="shared" si="3"/>
        <v>270</v>
      </c>
      <c r="F74" s="38">
        <f t="shared" si="3"/>
        <v>0</v>
      </c>
      <c r="G74" s="38">
        <f t="shared" si="3"/>
        <v>0</v>
      </c>
      <c r="H74" s="38">
        <f>IF(AND(H26="-",H50="-"),"-",SUM(H26,H50))</f>
        <v>513</v>
      </c>
    </row>
    <row r="75" spans="1:16" ht="11.25" customHeight="1" x14ac:dyDescent="0.25">
      <c r="I75" s="270"/>
      <c r="J75" s="270" t="s">
        <v>259</v>
      </c>
      <c r="K75" s="270"/>
      <c r="L75" s="270"/>
      <c r="M75" s="270"/>
      <c r="N75" s="270"/>
      <c r="O75" s="270"/>
      <c r="P75" s="270"/>
    </row>
    <row r="76" spans="1:16" ht="11.25" customHeight="1" x14ac:dyDescent="0.25">
      <c r="A76" s="116" t="s">
        <v>96</v>
      </c>
      <c r="J76" s="255" t="s">
        <v>104</v>
      </c>
      <c r="K76" s="255" t="s">
        <v>36</v>
      </c>
      <c r="L76" s="255" t="s">
        <v>105</v>
      </c>
      <c r="M76" s="255" t="s">
        <v>106</v>
      </c>
      <c r="N76" s="255" t="s">
        <v>107</v>
      </c>
      <c r="O76" s="255" t="s">
        <v>108</v>
      </c>
      <c r="P76" s="255" t="s">
        <v>28</v>
      </c>
    </row>
    <row r="77" spans="1:16" ht="11.25" customHeight="1" x14ac:dyDescent="0.25">
      <c r="A77" s="473">
        <v>1977</v>
      </c>
      <c r="B77" s="195">
        <v>10</v>
      </c>
      <c r="C77" s="195">
        <v>71</v>
      </c>
      <c r="D77" s="195">
        <v>4031</v>
      </c>
      <c r="E77" s="195">
        <v>2929</v>
      </c>
      <c r="F77" s="195">
        <v>846</v>
      </c>
      <c r="G77" s="195" t="s">
        <v>29</v>
      </c>
      <c r="H77" s="195">
        <f>SUM(B77:F77)</f>
        <v>7887</v>
      </c>
      <c r="I77" s="473">
        <f>A77</f>
        <v>1977</v>
      </c>
      <c r="J77" s="292">
        <v>0</v>
      </c>
      <c r="K77" s="292">
        <v>61</v>
      </c>
      <c r="L77" s="292">
        <v>1937</v>
      </c>
      <c r="M77" s="292">
        <v>1869</v>
      </c>
      <c r="N77" s="292">
        <v>60</v>
      </c>
      <c r="O77" s="255" t="s">
        <v>29</v>
      </c>
      <c r="P77" s="292">
        <f>SUM(J77:O77)</f>
        <v>3927</v>
      </c>
    </row>
    <row r="78" spans="1:16" ht="11.25" customHeight="1" x14ac:dyDescent="0.25">
      <c r="A78" s="473">
        <v>1979</v>
      </c>
      <c r="B78" s="195">
        <v>0</v>
      </c>
      <c r="C78" s="195">
        <v>0</v>
      </c>
      <c r="D78" s="195">
        <v>2189</v>
      </c>
      <c r="E78" s="195">
        <v>4667</v>
      </c>
      <c r="F78" s="195">
        <v>1257</v>
      </c>
      <c r="G78" s="195" t="s">
        <v>29</v>
      </c>
      <c r="H78" s="195">
        <f t="shared" ref="H78:H91" si="4">SUM(B78:F78)</f>
        <v>8113</v>
      </c>
      <c r="I78" s="473">
        <f t="shared" ref="I78:I98" si="5">A78</f>
        <v>1979</v>
      </c>
      <c r="J78" s="292">
        <v>0</v>
      </c>
      <c r="K78" s="292">
        <v>0</v>
      </c>
      <c r="L78" s="292">
        <v>649</v>
      </c>
      <c r="M78" s="292">
        <v>3031</v>
      </c>
      <c r="N78" s="292">
        <v>1197</v>
      </c>
      <c r="O78" s="255" t="s">
        <v>29</v>
      </c>
      <c r="P78" s="292">
        <f t="shared" ref="P78:P91" si="6">SUM(J78:O78)</f>
        <v>4877</v>
      </c>
    </row>
    <row r="79" spans="1:16" ht="11.25" customHeight="1" x14ac:dyDescent="0.25">
      <c r="A79" s="473">
        <v>1981</v>
      </c>
      <c r="B79" s="195">
        <v>12</v>
      </c>
      <c r="C79" s="195">
        <v>11</v>
      </c>
      <c r="D79" s="195">
        <v>2525</v>
      </c>
      <c r="E79" s="195">
        <v>2474</v>
      </c>
      <c r="F79" s="195">
        <v>0</v>
      </c>
      <c r="G79" s="195" t="s">
        <v>29</v>
      </c>
      <c r="H79" s="195">
        <f t="shared" si="4"/>
        <v>5022</v>
      </c>
      <c r="I79" s="473">
        <f t="shared" si="5"/>
        <v>1981</v>
      </c>
      <c r="J79" s="292">
        <v>4</v>
      </c>
      <c r="K79" s="292">
        <v>11</v>
      </c>
      <c r="L79" s="292">
        <v>663</v>
      </c>
      <c r="M79" s="292">
        <v>1541</v>
      </c>
      <c r="N79" s="292">
        <v>0</v>
      </c>
      <c r="O79" s="255" t="s">
        <v>29</v>
      </c>
      <c r="P79" s="292">
        <f t="shared" si="6"/>
        <v>2219</v>
      </c>
    </row>
    <row r="80" spans="1:16" ht="11.25" customHeight="1" x14ac:dyDescent="0.25">
      <c r="A80" s="473">
        <v>1983</v>
      </c>
      <c r="B80" s="195">
        <v>0</v>
      </c>
      <c r="C80" s="195">
        <v>0</v>
      </c>
      <c r="D80" s="195">
        <v>2</v>
      </c>
      <c r="E80" s="195">
        <v>8</v>
      </c>
      <c r="F80" s="195">
        <v>1</v>
      </c>
      <c r="G80" s="195" t="s">
        <v>29</v>
      </c>
      <c r="H80" s="195">
        <f t="shared" si="4"/>
        <v>11</v>
      </c>
      <c r="I80" s="473">
        <f t="shared" si="5"/>
        <v>1983</v>
      </c>
      <c r="J80" s="292">
        <v>0</v>
      </c>
      <c r="K80" s="292">
        <v>0</v>
      </c>
      <c r="L80" s="292">
        <v>2</v>
      </c>
      <c r="M80" s="292">
        <v>0</v>
      </c>
      <c r="N80" s="292">
        <v>1</v>
      </c>
      <c r="O80" s="255" t="s">
        <v>29</v>
      </c>
      <c r="P80" s="292">
        <f t="shared" si="6"/>
        <v>3</v>
      </c>
    </row>
    <row r="81" spans="1:16" ht="11.25" customHeight="1" x14ac:dyDescent="0.25">
      <c r="A81" s="473">
        <v>1985</v>
      </c>
      <c r="B81" s="195">
        <v>3</v>
      </c>
      <c r="C81" s="195">
        <v>0</v>
      </c>
      <c r="D81" s="195">
        <v>0</v>
      </c>
      <c r="E81" s="195">
        <v>4498</v>
      </c>
      <c r="F81" s="195">
        <v>0</v>
      </c>
      <c r="G81" s="195" t="s">
        <v>29</v>
      </c>
      <c r="H81" s="195">
        <f t="shared" si="4"/>
        <v>4501</v>
      </c>
      <c r="I81" s="473">
        <f t="shared" si="5"/>
        <v>1985</v>
      </c>
      <c r="J81" s="292">
        <v>0</v>
      </c>
      <c r="K81" s="292">
        <v>0</v>
      </c>
      <c r="L81" s="292">
        <v>0</v>
      </c>
      <c r="M81" s="292">
        <v>3497</v>
      </c>
      <c r="N81" s="292">
        <v>0</v>
      </c>
      <c r="O81" s="255" t="s">
        <v>29</v>
      </c>
      <c r="P81" s="292">
        <f t="shared" si="6"/>
        <v>3497</v>
      </c>
    </row>
    <row r="82" spans="1:16" ht="11.25" customHeight="1" x14ac:dyDescent="0.25">
      <c r="A82" s="473">
        <v>1987</v>
      </c>
      <c r="B82" s="195">
        <v>0</v>
      </c>
      <c r="C82" s="195">
        <v>0</v>
      </c>
      <c r="D82" s="195">
        <v>218</v>
      </c>
      <c r="E82" s="195">
        <v>0</v>
      </c>
      <c r="F82" s="195">
        <v>0</v>
      </c>
      <c r="G82" s="195" t="s">
        <v>29</v>
      </c>
      <c r="H82" s="195">
        <f t="shared" si="4"/>
        <v>218</v>
      </c>
      <c r="I82" s="473">
        <f t="shared" si="5"/>
        <v>1987</v>
      </c>
      <c r="J82" s="292">
        <v>0</v>
      </c>
      <c r="K82" s="292">
        <v>0</v>
      </c>
      <c r="L82" s="292">
        <v>131</v>
      </c>
      <c r="M82" s="292">
        <v>0</v>
      </c>
      <c r="N82" s="292">
        <v>0</v>
      </c>
      <c r="O82" s="255" t="s">
        <v>29</v>
      </c>
      <c r="P82" s="292">
        <f t="shared" si="6"/>
        <v>131</v>
      </c>
    </row>
    <row r="83" spans="1:16" ht="11.25" customHeight="1" x14ac:dyDescent="0.25">
      <c r="A83" s="473">
        <v>1989</v>
      </c>
      <c r="B83" s="195">
        <v>0</v>
      </c>
      <c r="C83" s="195">
        <v>0</v>
      </c>
      <c r="D83" s="195">
        <v>0</v>
      </c>
      <c r="E83" s="195">
        <v>2</v>
      </c>
      <c r="F83" s="195">
        <v>2</v>
      </c>
      <c r="G83" s="195" t="s">
        <v>29</v>
      </c>
      <c r="H83" s="195">
        <f t="shared" si="4"/>
        <v>4</v>
      </c>
      <c r="I83" s="473">
        <f t="shared" si="5"/>
        <v>1989</v>
      </c>
      <c r="J83" s="292">
        <v>0</v>
      </c>
      <c r="K83" s="292">
        <v>0</v>
      </c>
      <c r="L83" s="292">
        <v>0</v>
      </c>
      <c r="M83" s="292">
        <v>1</v>
      </c>
      <c r="N83" s="292">
        <v>1</v>
      </c>
      <c r="O83" s="255" t="s">
        <v>29</v>
      </c>
      <c r="P83" s="292">
        <f t="shared" si="6"/>
        <v>2</v>
      </c>
    </row>
    <row r="84" spans="1:16" ht="11.25" customHeight="1" x14ac:dyDescent="0.25">
      <c r="A84" s="473">
        <v>1991</v>
      </c>
      <c r="B84" s="195">
        <v>0</v>
      </c>
      <c r="C84" s="195">
        <v>0</v>
      </c>
      <c r="D84" s="195">
        <v>0</v>
      </c>
      <c r="E84" s="195">
        <v>165</v>
      </c>
      <c r="F84" s="195">
        <v>0</v>
      </c>
      <c r="G84" s="195" t="s">
        <v>29</v>
      </c>
      <c r="H84" s="195">
        <f t="shared" si="4"/>
        <v>165</v>
      </c>
      <c r="I84" s="473">
        <f t="shared" si="5"/>
        <v>1991</v>
      </c>
      <c r="J84" s="292">
        <v>0</v>
      </c>
      <c r="K84" s="292">
        <v>0</v>
      </c>
      <c r="L84" s="292">
        <v>0</v>
      </c>
      <c r="M84" s="292">
        <v>106</v>
      </c>
      <c r="N84" s="292">
        <v>0</v>
      </c>
      <c r="O84" s="255" t="s">
        <v>29</v>
      </c>
      <c r="P84" s="292">
        <f t="shared" si="6"/>
        <v>106</v>
      </c>
    </row>
    <row r="85" spans="1:16" ht="11.25" customHeight="1" x14ac:dyDescent="0.25">
      <c r="A85" s="473">
        <v>1993</v>
      </c>
      <c r="B85" s="195">
        <v>0</v>
      </c>
      <c r="C85" s="195">
        <v>0</v>
      </c>
      <c r="D85" s="195">
        <v>0</v>
      </c>
      <c r="E85" s="195">
        <v>0</v>
      </c>
      <c r="F85" s="195">
        <v>0</v>
      </c>
      <c r="G85" s="195" t="s">
        <v>29</v>
      </c>
      <c r="H85" s="195">
        <f t="shared" si="4"/>
        <v>0</v>
      </c>
      <c r="I85" s="473">
        <f t="shared" si="5"/>
        <v>1993</v>
      </c>
      <c r="J85" s="292">
        <v>0</v>
      </c>
      <c r="K85" s="292">
        <v>0</v>
      </c>
      <c r="L85" s="292">
        <v>0</v>
      </c>
      <c r="M85" s="292">
        <v>0</v>
      </c>
      <c r="N85" s="292">
        <v>0</v>
      </c>
      <c r="O85" s="255" t="s">
        <v>29</v>
      </c>
      <c r="P85" s="292">
        <f t="shared" si="6"/>
        <v>0</v>
      </c>
    </row>
    <row r="86" spans="1:16" ht="11.25" customHeight="1" x14ac:dyDescent="0.25">
      <c r="A86" s="473">
        <v>1995</v>
      </c>
      <c r="B86" s="195">
        <v>0</v>
      </c>
      <c r="C86" s="195">
        <v>0</v>
      </c>
      <c r="D86" s="195">
        <v>0</v>
      </c>
      <c r="E86" s="195">
        <v>0</v>
      </c>
      <c r="F86" s="195">
        <v>0</v>
      </c>
      <c r="G86" s="195" t="s">
        <v>29</v>
      </c>
      <c r="H86" s="195">
        <f t="shared" si="4"/>
        <v>0</v>
      </c>
      <c r="I86" s="473">
        <f t="shared" si="5"/>
        <v>1995</v>
      </c>
      <c r="J86" s="292">
        <v>0</v>
      </c>
      <c r="K86" s="292">
        <v>0</v>
      </c>
      <c r="L86" s="292">
        <v>0</v>
      </c>
      <c r="M86" s="292">
        <v>0</v>
      </c>
      <c r="N86" s="292">
        <v>0</v>
      </c>
      <c r="O86" s="255" t="s">
        <v>29</v>
      </c>
      <c r="P86" s="292">
        <f t="shared" si="6"/>
        <v>0</v>
      </c>
    </row>
    <row r="87" spans="1:16" ht="11.25" customHeight="1" x14ac:dyDescent="0.25">
      <c r="A87" s="473">
        <v>1997</v>
      </c>
      <c r="B87" s="195">
        <v>0</v>
      </c>
      <c r="C87" s="195">
        <v>0</v>
      </c>
      <c r="D87" s="195">
        <v>0</v>
      </c>
      <c r="E87" s="195">
        <v>0</v>
      </c>
      <c r="F87" s="195">
        <v>0</v>
      </c>
      <c r="G87" s="195" t="s">
        <v>29</v>
      </c>
      <c r="H87" s="195">
        <f t="shared" si="4"/>
        <v>0</v>
      </c>
      <c r="I87" s="473">
        <f t="shared" si="5"/>
        <v>1997</v>
      </c>
      <c r="J87" s="292">
        <v>0</v>
      </c>
      <c r="K87" s="292">
        <v>0</v>
      </c>
      <c r="L87" s="292">
        <v>0</v>
      </c>
      <c r="M87" s="292">
        <v>0</v>
      </c>
      <c r="N87" s="292">
        <v>0</v>
      </c>
      <c r="O87" s="255" t="s">
        <v>29</v>
      </c>
      <c r="P87" s="292">
        <f t="shared" si="6"/>
        <v>0</v>
      </c>
    </row>
    <row r="88" spans="1:16" ht="11.25" customHeight="1" x14ac:dyDescent="0.25">
      <c r="A88" s="473">
        <v>1999</v>
      </c>
      <c r="B88" s="195">
        <v>0</v>
      </c>
      <c r="C88" s="195">
        <v>0</v>
      </c>
      <c r="D88" s="195">
        <v>0</v>
      </c>
      <c r="E88" s="195">
        <v>0</v>
      </c>
      <c r="F88" s="195">
        <v>0</v>
      </c>
      <c r="G88" s="195" t="s">
        <v>29</v>
      </c>
      <c r="H88" s="195">
        <f t="shared" si="4"/>
        <v>0</v>
      </c>
      <c r="I88" s="473">
        <f t="shared" si="5"/>
        <v>1999</v>
      </c>
      <c r="J88" s="292">
        <v>0</v>
      </c>
      <c r="K88" s="292">
        <v>0</v>
      </c>
      <c r="L88" s="292">
        <v>0</v>
      </c>
      <c r="M88" s="292">
        <v>0</v>
      </c>
      <c r="N88" s="292">
        <v>0</v>
      </c>
      <c r="O88" s="255" t="s">
        <v>29</v>
      </c>
      <c r="P88" s="292">
        <f t="shared" si="6"/>
        <v>0</v>
      </c>
    </row>
    <row r="89" spans="1:16" ht="11.25" customHeight="1" x14ac:dyDescent="0.25">
      <c r="A89" s="473">
        <v>2001</v>
      </c>
      <c r="B89" s="195">
        <v>195</v>
      </c>
      <c r="C89" s="195">
        <v>50</v>
      </c>
      <c r="D89" s="195">
        <v>50</v>
      </c>
      <c r="E89" s="195">
        <v>51</v>
      </c>
      <c r="F89" s="195">
        <v>0</v>
      </c>
      <c r="G89" s="195" t="s">
        <v>29</v>
      </c>
      <c r="H89" s="195">
        <f t="shared" si="4"/>
        <v>346</v>
      </c>
      <c r="I89" s="473">
        <f t="shared" si="5"/>
        <v>2001</v>
      </c>
      <c r="J89" s="292">
        <v>195</v>
      </c>
      <c r="K89" s="292">
        <v>50</v>
      </c>
      <c r="L89" s="292">
        <v>50</v>
      </c>
      <c r="M89" s="292">
        <v>49</v>
      </c>
      <c r="N89" s="292">
        <v>0</v>
      </c>
      <c r="O89" s="255" t="s">
        <v>29</v>
      </c>
      <c r="P89" s="292">
        <f t="shared" si="6"/>
        <v>344</v>
      </c>
    </row>
    <row r="90" spans="1:16" ht="11.25" customHeight="1" x14ac:dyDescent="0.25">
      <c r="A90" s="473">
        <v>2003</v>
      </c>
      <c r="B90" s="195">
        <v>0</v>
      </c>
      <c r="C90" s="195">
        <v>2</v>
      </c>
      <c r="D90" s="195">
        <v>43</v>
      </c>
      <c r="E90" s="195">
        <v>16</v>
      </c>
      <c r="F90" s="195">
        <v>0</v>
      </c>
      <c r="G90" s="195" t="s">
        <v>29</v>
      </c>
      <c r="H90" s="195">
        <f t="shared" si="4"/>
        <v>61</v>
      </c>
      <c r="I90" s="473">
        <f t="shared" si="5"/>
        <v>2003</v>
      </c>
      <c r="J90" s="292">
        <v>0</v>
      </c>
      <c r="K90" s="292">
        <v>2</v>
      </c>
      <c r="L90" s="292">
        <v>9</v>
      </c>
      <c r="M90" s="292">
        <v>14</v>
      </c>
      <c r="N90" s="292">
        <v>0</v>
      </c>
      <c r="O90" s="255" t="s">
        <v>29</v>
      </c>
      <c r="P90" s="292">
        <f t="shared" si="6"/>
        <v>25</v>
      </c>
    </row>
    <row r="91" spans="1:16" ht="11.25" customHeight="1" x14ac:dyDescent="0.25">
      <c r="A91" s="473">
        <v>2005</v>
      </c>
      <c r="B91" s="195">
        <v>0</v>
      </c>
      <c r="C91" s="195">
        <v>0</v>
      </c>
      <c r="D91" s="195">
        <v>1</v>
      </c>
      <c r="E91" s="195">
        <v>1</v>
      </c>
      <c r="F91" s="195">
        <v>1</v>
      </c>
      <c r="G91" s="195" t="s">
        <v>29</v>
      </c>
      <c r="H91" s="195">
        <f t="shared" si="4"/>
        <v>3</v>
      </c>
      <c r="I91" s="473">
        <f t="shared" si="5"/>
        <v>2005</v>
      </c>
      <c r="J91" s="292">
        <v>0</v>
      </c>
      <c r="K91" s="292">
        <v>0</v>
      </c>
      <c r="L91" s="292">
        <v>1</v>
      </c>
      <c r="M91" s="292">
        <v>1</v>
      </c>
      <c r="N91" s="292">
        <v>1</v>
      </c>
      <c r="O91" s="255" t="s">
        <v>29</v>
      </c>
      <c r="P91" s="292">
        <f t="shared" si="6"/>
        <v>3</v>
      </c>
    </row>
    <row r="92" spans="1:16" ht="11.25" customHeight="1" x14ac:dyDescent="0.25">
      <c r="A92" s="477">
        <v>2007</v>
      </c>
      <c r="B92" s="196">
        <v>65</v>
      </c>
      <c r="C92" s="196">
        <v>0</v>
      </c>
      <c r="D92" s="196">
        <v>4</v>
      </c>
      <c r="E92" s="196">
        <v>11</v>
      </c>
      <c r="F92" s="196">
        <v>0</v>
      </c>
      <c r="G92" s="196" t="s">
        <v>29</v>
      </c>
      <c r="H92" s="196">
        <f t="shared" ref="H92:H98" si="7">SUM(B92:F92)</f>
        <v>80</v>
      </c>
      <c r="I92" s="473">
        <f t="shared" si="5"/>
        <v>2007</v>
      </c>
      <c r="J92" s="238">
        <v>65</v>
      </c>
      <c r="K92" s="238">
        <v>0</v>
      </c>
      <c r="L92" s="238">
        <v>4</v>
      </c>
      <c r="M92" s="238">
        <v>11</v>
      </c>
      <c r="N92" s="238">
        <v>0</v>
      </c>
      <c r="O92" s="256" t="s">
        <v>29</v>
      </c>
      <c r="P92" s="238">
        <f t="shared" ref="P92:P98" si="8">SUM(J92:O92)</f>
        <v>80</v>
      </c>
    </row>
    <row r="93" spans="1:16" ht="11.25" customHeight="1" x14ac:dyDescent="0.25">
      <c r="A93" s="477">
        <v>2009</v>
      </c>
      <c r="B93" s="196">
        <v>0</v>
      </c>
      <c r="C93" s="196">
        <v>0</v>
      </c>
      <c r="D93" s="196">
        <v>2</v>
      </c>
      <c r="E93" s="196">
        <v>8</v>
      </c>
      <c r="F93" s="196">
        <v>8</v>
      </c>
      <c r="G93" s="196" t="s">
        <v>29</v>
      </c>
      <c r="H93" s="196">
        <f t="shared" si="7"/>
        <v>18</v>
      </c>
      <c r="I93" s="473">
        <f t="shared" si="5"/>
        <v>2009</v>
      </c>
      <c r="J93" s="238">
        <v>0</v>
      </c>
      <c r="K93" s="238">
        <v>0</v>
      </c>
      <c r="L93" s="238">
        <v>2</v>
      </c>
      <c r="M93" s="238">
        <v>8</v>
      </c>
      <c r="N93" s="238">
        <v>8</v>
      </c>
      <c r="O93" s="256" t="s">
        <v>29</v>
      </c>
      <c r="P93" s="238">
        <f t="shared" si="8"/>
        <v>18</v>
      </c>
    </row>
    <row r="94" spans="1:16" ht="11.25" customHeight="1" x14ac:dyDescent="0.25">
      <c r="A94" s="477">
        <v>2011</v>
      </c>
      <c r="B94" s="196">
        <v>0</v>
      </c>
      <c r="C94" s="196">
        <v>36</v>
      </c>
      <c r="D94" s="196">
        <v>5</v>
      </c>
      <c r="E94" s="196">
        <v>8</v>
      </c>
      <c r="F94" s="196">
        <v>0</v>
      </c>
      <c r="G94" s="196" t="s">
        <v>29</v>
      </c>
      <c r="H94" s="196">
        <f t="shared" si="7"/>
        <v>49</v>
      </c>
      <c r="I94" s="473">
        <f t="shared" si="5"/>
        <v>2011</v>
      </c>
      <c r="J94" s="238">
        <v>0</v>
      </c>
      <c r="K94" s="238">
        <v>36</v>
      </c>
      <c r="L94" s="238">
        <v>5</v>
      </c>
      <c r="M94" s="238">
        <v>8</v>
      </c>
      <c r="N94" s="238">
        <v>0</v>
      </c>
      <c r="O94" s="256" t="s">
        <v>29</v>
      </c>
      <c r="P94" s="238">
        <f t="shared" si="8"/>
        <v>49</v>
      </c>
    </row>
    <row r="95" spans="1:16" ht="11.25" customHeight="1" x14ac:dyDescent="0.25">
      <c r="A95" s="477">
        <v>2013</v>
      </c>
      <c r="B95" s="196">
        <v>0</v>
      </c>
      <c r="C95" s="196">
        <v>0</v>
      </c>
      <c r="D95" s="196">
        <v>0</v>
      </c>
      <c r="E95" s="196">
        <v>0</v>
      </c>
      <c r="F95" s="196">
        <v>0</v>
      </c>
      <c r="G95" s="196" t="s">
        <v>29</v>
      </c>
      <c r="H95" s="196">
        <f t="shared" si="7"/>
        <v>0</v>
      </c>
      <c r="I95" s="473">
        <f t="shared" si="5"/>
        <v>2013</v>
      </c>
      <c r="J95" s="238">
        <v>0</v>
      </c>
      <c r="K95" s="238">
        <v>0</v>
      </c>
      <c r="L95" s="238">
        <v>0</v>
      </c>
      <c r="M95" s="238">
        <v>0</v>
      </c>
      <c r="N95" s="238">
        <v>0</v>
      </c>
      <c r="O95" s="256" t="s">
        <v>29</v>
      </c>
      <c r="P95" s="238">
        <f>SUM(J95:O95)</f>
        <v>0</v>
      </c>
    </row>
    <row r="96" spans="1:16" ht="11.25" customHeight="1" x14ac:dyDescent="0.25">
      <c r="A96" s="477">
        <v>2015</v>
      </c>
      <c r="B96" s="196">
        <v>0</v>
      </c>
      <c r="C96" s="196">
        <v>0</v>
      </c>
      <c r="D96" s="196">
        <v>0</v>
      </c>
      <c r="E96" s="196">
        <v>0</v>
      </c>
      <c r="F96" s="196">
        <v>0</v>
      </c>
      <c r="G96" s="196" t="s">
        <v>29</v>
      </c>
      <c r="H96" s="196">
        <f t="shared" si="7"/>
        <v>0</v>
      </c>
      <c r="I96" s="477">
        <f>A96</f>
        <v>2015</v>
      </c>
      <c r="J96" s="238">
        <v>0</v>
      </c>
      <c r="K96" s="238">
        <v>0</v>
      </c>
      <c r="L96" s="238">
        <v>0</v>
      </c>
      <c r="M96" s="238">
        <v>0</v>
      </c>
      <c r="N96" s="238">
        <v>0</v>
      </c>
      <c r="O96" s="256" t="s">
        <v>29</v>
      </c>
      <c r="P96" s="238">
        <f>SUM(J96:O96)</f>
        <v>0</v>
      </c>
    </row>
    <row r="97" spans="1:16" s="358" customFormat="1" ht="11.25" customHeight="1" x14ac:dyDescent="0.25">
      <c r="A97" s="477">
        <v>2017</v>
      </c>
      <c r="B97" s="196">
        <f>'A-13'!P189</f>
        <v>0</v>
      </c>
      <c r="C97" s="196">
        <f>'A-13'!Q189</f>
        <v>0</v>
      </c>
      <c r="D97" s="196">
        <f>'A-13'!R189</f>
        <v>0</v>
      </c>
      <c r="E97" s="196">
        <f>'A-13'!S189</f>
        <v>0</v>
      </c>
      <c r="F97" s="196">
        <f>'A-13'!T189</f>
        <v>0</v>
      </c>
      <c r="G97" s="196" t="s">
        <v>29</v>
      </c>
      <c r="H97" s="196">
        <f t="shared" si="7"/>
        <v>0</v>
      </c>
      <c r="I97" s="477">
        <f>A97</f>
        <v>2017</v>
      </c>
      <c r="J97" s="238">
        <v>0</v>
      </c>
      <c r="K97" s="238">
        <v>0</v>
      </c>
      <c r="L97" s="238">
        <v>0</v>
      </c>
      <c r="M97" s="238">
        <v>0</v>
      </c>
      <c r="N97" s="238">
        <v>0</v>
      </c>
      <c r="O97" s="256" t="s">
        <v>29</v>
      </c>
      <c r="P97" s="238">
        <f>SUM(J97:O97)</f>
        <v>0</v>
      </c>
    </row>
    <row r="98" spans="1:16" ht="11.25" customHeight="1" x14ac:dyDescent="0.25">
      <c r="A98" s="119" t="s">
        <v>336</v>
      </c>
      <c r="B98" s="395">
        <f>'A-13'!P191</f>
        <v>0</v>
      </c>
      <c r="C98" s="395">
        <f>'A-13'!Q191</f>
        <v>0</v>
      </c>
      <c r="D98" s="395">
        <f>'A-13'!R191</f>
        <v>0</v>
      </c>
      <c r="E98" s="395">
        <f>'A-13'!S191</f>
        <v>0</v>
      </c>
      <c r="F98" s="395">
        <f>'A-13'!T191</f>
        <v>0</v>
      </c>
      <c r="G98" s="395" t="s">
        <v>29</v>
      </c>
      <c r="H98" s="395">
        <f t="shared" si="7"/>
        <v>0</v>
      </c>
      <c r="I98" s="473" t="str">
        <f t="shared" si="5"/>
        <v>2019c/</v>
      </c>
      <c r="J98" s="238">
        <v>0</v>
      </c>
      <c r="K98" s="238">
        <v>0</v>
      </c>
      <c r="L98" s="238">
        <v>0</v>
      </c>
      <c r="M98" s="238">
        <v>0</v>
      </c>
      <c r="N98" s="238">
        <v>0</v>
      </c>
      <c r="O98" s="256" t="s">
        <v>29</v>
      </c>
      <c r="P98" s="238">
        <f t="shared" si="8"/>
        <v>0</v>
      </c>
    </row>
    <row r="99" spans="1:16" ht="11.25" customHeight="1" x14ac:dyDescent="0.25"/>
    <row r="100" spans="1:16" ht="11.25" customHeight="1" x14ac:dyDescent="0.25">
      <c r="A100" s="116" t="s">
        <v>97</v>
      </c>
      <c r="B100" s="26"/>
      <c r="C100" s="26"/>
      <c r="D100" s="26"/>
    </row>
    <row r="101" spans="1:16" ht="11.25" customHeight="1" x14ac:dyDescent="0.25">
      <c r="A101" s="473">
        <v>1977</v>
      </c>
      <c r="B101" s="24">
        <f t="shared" ref="B101:H110" si="9">IF(AND(B5="-",B77="-"),"-",SUM(B5,B77))</f>
        <v>1056</v>
      </c>
      <c r="C101" s="24">
        <f t="shared" si="9"/>
        <v>937</v>
      </c>
      <c r="D101" s="24">
        <f t="shared" si="9"/>
        <v>102535</v>
      </c>
      <c r="E101" s="24">
        <f t="shared" si="9"/>
        <v>165912</v>
      </c>
      <c r="F101" s="24">
        <f t="shared" si="9"/>
        <v>9189</v>
      </c>
      <c r="G101" s="37" t="str">
        <f t="shared" si="9"/>
        <v>-</v>
      </c>
      <c r="H101" s="24">
        <f t="shared" si="9"/>
        <v>279629</v>
      </c>
    </row>
    <row r="102" spans="1:16" ht="11.25" customHeight="1" x14ac:dyDescent="0.25">
      <c r="A102" s="473">
        <v>1979</v>
      </c>
      <c r="B102" s="24">
        <f t="shared" si="9"/>
        <v>83</v>
      </c>
      <c r="C102" s="24">
        <f t="shared" si="9"/>
        <v>21</v>
      </c>
      <c r="D102" s="24">
        <f t="shared" si="9"/>
        <v>93429</v>
      </c>
      <c r="E102" s="24">
        <f t="shared" si="9"/>
        <v>458994</v>
      </c>
      <c r="F102" s="24">
        <f t="shared" si="9"/>
        <v>2408</v>
      </c>
      <c r="G102" s="37" t="str">
        <f t="shared" si="9"/>
        <v>-</v>
      </c>
      <c r="H102" s="24">
        <f t="shared" si="9"/>
        <v>554935</v>
      </c>
    </row>
    <row r="103" spans="1:16" ht="11.25" customHeight="1" x14ac:dyDescent="0.25">
      <c r="A103" s="473">
        <v>1981</v>
      </c>
      <c r="B103" s="24">
        <f t="shared" si="9"/>
        <v>599</v>
      </c>
      <c r="C103" s="24">
        <f t="shared" si="9"/>
        <v>110</v>
      </c>
      <c r="D103" s="24">
        <f t="shared" si="9"/>
        <v>68351</v>
      </c>
      <c r="E103" s="24">
        <f t="shared" si="9"/>
        <v>164015</v>
      </c>
      <c r="F103" s="24">
        <f t="shared" si="9"/>
        <v>0</v>
      </c>
      <c r="G103" s="37" t="str">
        <f t="shared" si="9"/>
        <v>-</v>
      </c>
      <c r="H103" s="24">
        <f t="shared" si="9"/>
        <v>233075</v>
      </c>
    </row>
    <row r="104" spans="1:16" ht="11.25" customHeight="1" x14ac:dyDescent="0.25">
      <c r="A104" s="473">
        <v>1983</v>
      </c>
      <c r="B104" s="24">
        <f t="shared" si="9"/>
        <v>1</v>
      </c>
      <c r="C104" s="24">
        <f t="shared" si="9"/>
        <v>0</v>
      </c>
      <c r="D104" s="24">
        <f t="shared" si="9"/>
        <v>79119</v>
      </c>
      <c r="E104" s="24">
        <f t="shared" si="9"/>
        <v>6041</v>
      </c>
      <c r="F104" s="24">
        <f t="shared" si="9"/>
        <v>301</v>
      </c>
      <c r="G104" s="37" t="str">
        <f t="shared" si="9"/>
        <v>-</v>
      </c>
      <c r="H104" s="24">
        <f t="shared" si="9"/>
        <v>85462</v>
      </c>
    </row>
    <row r="105" spans="1:16" ht="11.25" customHeight="1" x14ac:dyDescent="0.25">
      <c r="A105" s="473">
        <v>1985</v>
      </c>
      <c r="B105" s="24">
        <f t="shared" si="9"/>
        <v>106</v>
      </c>
      <c r="C105" s="24">
        <f t="shared" si="9"/>
        <v>0</v>
      </c>
      <c r="D105" s="24">
        <f t="shared" si="9"/>
        <v>6831</v>
      </c>
      <c r="E105" s="24">
        <f t="shared" si="9"/>
        <v>97898</v>
      </c>
      <c r="F105" s="24">
        <f t="shared" si="9"/>
        <v>530</v>
      </c>
      <c r="G105" s="37" t="str">
        <f t="shared" si="9"/>
        <v>-</v>
      </c>
      <c r="H105" s="24">
        <f t="shared" si="9"/>
        <v>105365</v>
      </c>
    </row>
    <row r="106" spans="1:16" ht="11.25" customHeight="1" x14ac:dyDescent="0.25">
      <c r="A106" s="473">
        <v>1987</v>
      </c>
      <c r="B106" s="24">
        <f t="shared" si="9"/>
        <v>0</v>
      </c>
      <c r="C106" s="24">
        <f t="shared" si="9"/>
        <v>0</v>
      </c>
      <c r="D106" s="24">
        <f t="shared" si="9"/>
        <v>2860</v>
      </c>
      <c r="E106" s="24">
        <f t="shared" si="9"/>
        <v>0</v>
      </c>
      <c r="F106" s="24">
        <f t="shared" si="9"/>
        <v>0</v>
      </c>
      <c r="G106" s="37" t="str">
        <f t="shared" si="9"/>
        <v>-</v>
      </c>
      <c r="H106" s="24">
        <f t="shared" si="9"/>
        <v>2860</v>
      </c>
    </row>
    <row r="107" spans="1:16" ht="11.25" customHeight="1" x14ac:dyDescent="0.25">
      <c r="A107" s="473">
        <v>1989</v>
      </c>
      <c r="B107" s="24">
        <f t="shared" si="9"/>
        <v>229</v>
      </c>
      <c r="C107" s="24">
        <f t="shared" si="9"/>
        <v>182</v>
      </c>
      <c r="D107" s="24">
        <f t="shared" si="9"/>
        <v>0</v>
      </c>
      <c r="E107" s="24">
        <f t="shared" si="9"/>
        <v>36288</v>
      </c>
      <c r="F107" s="24">
        <f t="shared" si="9"/>
        <v>2</v>
      </c>
      <c r="G107" s="37" t="str">
        <f t="shared" si="9"/>
        <v>-</v>
      </c>
      <c r="H107" s="24">
        <f t="shared" si="9"/>
        <v>36701</v>
      </c>
    </row>
    <row r="108" spans="1:16" ht="11.25" customHeight="1" x14ac:dyDescent="0.25">
      <c r="A108" s="473">
        <v>1991</v>
      </c>
      <c r="B108" s="24">
        <f t="shared" si="9"/>
        <v>4</v>
      </c>
      <c r="C108" s="24">
        <f t="shared" si="9"/>
        <v>17</v>
      </c>
      <c r="D108" s="24">
        <f t="shared" si="9"/>
        <v>0</v>
      </c>
      <c r="E108" s="24">
        <f t="shared" si="9"/>
        <v>43373</v>
      </c>
      <c r="F108" s="24">
        <f t="shared" si="9"/>
        <v>295</v>
      </c>
      <c r="G108" s="37" t="str">
        <f t="shared" si="9"/>
        <v>-</v>
      </c>
      <c r="H108" s="24">
        <f t="shared" si="9"/>
        <v>43689</v>
      </c>
    </row>
    <row r="109" spans="1:16" ht="11.25" customHeight="1" x14ac:dyDescent="0.25">
      <c r="A109" s="473">
        <v>1993</v>
      </c>
      <c r="B109" s="24">
        <f t="shared" si="9"/>
        <v>16</v>
      </c>
      <c r="C109" s="24">
        <f t="shared" si="9"/>
        <v>1</v>
      </c>
      <c r="D109" s="24">
        <f t="shared" si="9"/>
        <v>88</v>
      </c>
      <c r="E109" s="24">
        <f t="shared" si="9"/>
        <v>2753</v>
      </c>
      <c r="F109" s="24">
        <f t="shared" si="9"/>
        <v>3</v>
      </c>
      <c r="G109" s="37" t="str">
        <f t="shared" si="9"/>
        <v>-</v>
      </c>
      <c r="H109" s="24">
        <f t="shared" si="9"/>
        <v>2861</v>
      </c>
    </row>
    <row r="110" spans="1:16" ht="11.25" customHeight="1" x14ac:dyDescent="0.25">
      <c r="A110" s="473">
        <v>1995</v>
      </c>
      <c r="B110" s="24">
        <f t="shared" si="9"/>
        <v>0</v>
      </c>
      <c r="C110" s="24">
        <f t="shared" si="9"/>
        <v>0</v>
      </c>
      <c r="D110" s="24">
        <f t="shared" si="9"/>
        <v>0</v>
      </c>
      <c r="E110" s="24">
        <f t="shared" si="9"/>
        <v>30060</v>
      </c>
      <c r="F110" s="24">
        <f t="shared" si="9"/>
        <v>872</v>
      </c>
      <c r="G110" s="37" t="str">
        <f t="shared" si="9"/>
        <v>-</v>
      </c>
      <c r="H110" s="24">
        <f t="shared" si="9"/>
        <v>30932</v>
      </c>
    </row>
    <row r="111" spans="1:16" ht="11.25" customHeight="1" x14ac:dyDescent="0.25">
      <c r="A111" s="473">
        <v>1997</v>
      </c>
      <c r="B111" s="24">
        <f t="shared" ref="B111:H120" si="10">IF(AND(B15="-",B87="-"),"-",SUM(B15,B87))</f>
        <v>2</v>
      </c>
      <c r="C111" s="24">
        <f t="shared" si="10"/>
        <v>3</v>
      </c>
      <c r="D111" s="24">
        <f t="shared" si="10"/>
        <v>0</v>
      </c>
      <c r="E111" s="24">
        <f t="shared" si="10"/>
        <v>0</v>
      </c>
      <c r="F111" s="24">
        <f t="shared" si="10"/>
        <v>0</v>
      </c>
      <c r="G111" s="37" t="str">
        <f t="shared" si="10"/>
        <v>-</v>
      </c>
      <c r="H111" s="24">
        <f t="shared" si="10"/>
        <v>5</v>
      </c>
    </row>
    <row r="112" spans="1:16" ht="11.25" customHeight="1" x14ac:dyDescent="0.25">
      <c r="A112" s="473">
        <v>1999</v>
      </c>
      <c r="B112" s="24">
        <f t="shared" si="10"/>
        <v>0</v>
      </c>
      <c r="C112" s="24">
        <f t="shared" si="10"/>
        <v>1</v>
      </c>
      <c r="D112" s="24">
        <f t="shared" si="10"/>
        <v>31</v>
      </c>
      <c r="E112" s="24">
        <f t="shared" si="10"/>
        <v>21</v>
      </c>
      <c r="F112" s="24">
        <f t="shared" si="10"/>
        <v>0</v>
      </c>
      <c r="G112" s="37" t="str">
        <f t="shared" si="10"/>
        <v>-</v>
      </c>
      <c r="H112" s="24">
        <f t="shared" si="10"/>
        <v>53</v>
      </c>
    </row>
    <row r="113" spans="1:8" ht="11.25" customHeight="1" x14ac:dyDescent="0.25">
      <c r="A113" s="473">
        <v>2001</v>
      </c>
      <c r="B113" s="24">
        <f t="shared" si="10"/>
        <v>196</v>
      </c>
      <c r="C113" s="24">
        <f t="shared" si="10"/>
        <v>59</v>
      </c>
      <c r="D113" s="24">
        <f t="shared" si="10"/>
        <v>70</v>
      </c>
      <c r="E113" s="24">
        <f t="shared" si="10"/>
        <v>51</v>
      </c>
      <c r="F113" s="24">
        <f t="shared" si="10"/>
        <v>0</v>
      </c>
      <c r="G113" s="37" t="str">
        <f t="shared" si="10"/>
        <v>-</v>
      </c>
      <c r="H113" s="24">
        <f t="shared" si="10"/>
        <v>376</v>
      </c>
    </row>
    <row r="114" spans="1:8" ht="11.25" customHeight="1" x14ac:dyDescent="0.25">
      <c r="A114" s="473">
        <v>2003</v>
      </c>
      <c r="B114" s="24">
        <f t="shared" si="10"/>
        <v>0</v>
      </c>
      <c r="C114" s="24">
        <f t="shared" si="10"/>
        <v>2</v>
      </c>
      <c r="D114" s="24">
        <f t="shared" si="10"/>
        <v>185</v>
      </c>
      <c r="E114" s="24">
        <f t="shared" si="10"/>
        <v>79</v>
      </c>
      <c r="F114" s="24">
        <f t="shared" si="10"/>
        <v>10</v>
      </c>
      <c r="G114" s="37" t="str">
        <f t="shared" si="10"/>
        <v>-</v>
      </c>
      <c r="H114" s="24">
        <f t="shared" si="10"/>
        <v>276</v>
      </c>
    </row>
    <row r="115" spans="1:8" ht="11.25" customHeight="1" x14ac:dyDescent="0.25">
      <c r="A115" s="473">
        <v>2005</v>
      </c>
      <c r="B115" s="24">
        <f t="shared" si="10"/>
        <v>4</v>
      </c>
      <c r="C115" s="24">
        <f t="shared" si="10"/>
        <v>0</v>
      </c>
      <c r="D115" s="24">
        <f t="shared" si="10"/>
        <v>3</v>
      </c>
      <c r="E115" s="24">
        <f t="shared" si="10"/>
        <v>3</v>
      </c>
      <c r="F115" s="24">
        <f t="shared" si="10"/>
        <v>1</v>
      </c>
      <c r="G115" s="37" t="str">
        <f t="shared" si="10"/>
        <v>-</v>
      </c>
      <c r="H115" s="24">
        <f t="shared" si="10"/>
        <v>11</v>
      </c>
    </row>
    <row r="116" spans="1:8" ht="11.25" customHeight="1" x14ac:dyDescent="0.25">
      <c r="A116" s="477">
        <v>2007</v>
      </c>
      <c r="B116" s="37">
        <f t="shared" si="10"/>
        <v>73</v>
      </c>
      <c r="C116" s="37">
        <f t="shared" si="10"/>
        <v>19</v>
      </c>
      <c r="D116" s="37">
        <f t="shared" si="10"/>
        <v>123</v>
      </c>
      <c r="E116" s="37">
        <f t="shared" si="10"/>
        <v>12</v>
      </c>
      <c r="F116" s="37">
        <f t="shared" si="10"/>
        <v>0</v>
      </c>
      <c r="G116" s="37" t="str">
        <f t="shared" si="10"/>
        <v>-</v>
      </c>
      <c r="H116" s="37">
        <f t="shared" si="10"/>
        <v>227</v>
      </c>
    </row>
    <row r="117" spans="1:8" ht="11.25" customHeight="1" x14ac:dyDescent="0.25">
      <c r="A117" s="477">
        <v>2009</v>
      </c>
      <c r="B117" s="37">
        <f t="shared" si="10"/>
        <v>1</v>
      </c>
      <c r="C117" s="37">
        <f t="shared" si="10"/>
        <v>14</v>
      </c>
      <c r="D117" s="37">
        <f t="shared" si="10"/>
        <v>84</v>
      </c>
      <c r="E117" s="37">
        <f t="shared" si="10"/>
        <v>45</v>
      </c>
      <c r="F117" s="37">
        <f t="shared" si="10"/>
        <v>9</v>
      </c>
      <c r="G117" s="37" t="str">
        <f t="shared" si="10"/>
        <v>-</v>
      </c>
      <c r="H117" s="37">
        <f t="shared" si="10"/>
        <v>153</v>
      </c>
    </row>
    <row r="118" spans="1:8" ht="11.25" customHeight="1" x14ac:dyDescent="0.25">
      <c r="A118" s="477">
        <v>2011</v>
      </c>
      <c r="B118" s="37">
        <f t="shared" si="10"/>
        <v>0</v>
      </c>
      <c r="C118" s="37">
        <f t="shared" si="10"/>
        <v>36</v>
      </c>
      <c r="D118" s="37">
        <f t="shared" si="10"/>
        <v>8</v>
      </c>
      <c r="E118" s="37">
        <f t="shared" si="10"/>
        <v>126</v>
      </c>
      <c r="F118" s="37">
        <f t="shared" si="10"/>
        <v>93</v>
      </c>
      <c r="G118" s="37">
        <f t="shared" si="10"/>
        <v>1</v>
      </c>
      <c r="H118" s="37">
        <f t="shared" si="10"/>
        <v>264</v>
      </c>
    </row>
    <row r="119" spans="1:8" ht="11.25" customHeight="1" x14ac:dyDescent="0.25">
      <c r="A119" s="477">
        <v>2013</v>
      </c>
      <c r="B119" s="37">
        <f t="shared" si="10"/>
        <v>0</v>
      </c>
      <c r="C119" s="37">
        <f t="shared" si="10"/>
        <v>2</v>
      </c>
      <c r="D119" s="37">
        <f t="shared" si="10"/>
        <v>0</v>
      </c>
      <c r="E119" s="37">
        <f t="shared" si="10"/>
        <v>101</v>
      </c>
      <c r="F119" s="37">
        <f t="shared" si="10"/>
        <v>37</v>
      </c>
      <c r="G119" s="37">
        <f t="shared" si="10"/>
        <v>1</v>
      </c>
      <c r="H119" s="37">
        <f t="shared" si="10"/>
        <v>141</v>
      </c>
    </row>
    <row r="120" spans="1:8" ht="11.25" customHeight="1" x14ac:dyDescent="0.25">
      <c r="A120" s="477">
        <v>2015</v>
      </c>
      <c r="B120" s="37">
        <f t="shared" si="10"/>
        <v>0</v>
      </c>
      <c r="C120" s="37">
        <f t="shared" si="10"/>
        <v>1</v>
      </c>
      <c r="D120" s="37">
        <f t="shared" si="10"/>
        <v>20</v>
      </c>
      <c r="E120" s="37">
        <f t="shared" si="10"/>
        <v>47</v>
      </c>
      <c r="F120" s="37">
        <f t="shared" si="10"/>
        <v>0</v>
      </c>
      <c r="G120" s="37">
        <f t="shared" si="10"/>
        <v>0</v>
      </c>
      <c r="H120" s="37">
        <f t="shared" si="10"/>
        <v>68</v>
      </c>
    </row>
    <row r="121" spans="1:8" s="358" customFormat="1" ht="11.25" customHeight="1" x14ac:dyDescent="0.25">
      <c r="A121" s="477">
        <v>2017</v>
      </c>
      <c r="B121" s="37">
        <f t="shared" ref="B121:E122" si="11">IF(AND(B25="-",B97="-"),"-",SUM(B25,B97))</f>
        <v>0</v>
      </c>
      <c r="C121" s="37">
        <f t="shared" si="11"/>
        <v>0</v>
      </c>
      <c r="D121" s="37">
        <f>IF(AND(D25="-",D97="-"),"-",SUM(D25,D97))</f>
        <v>0</v>
      </c>
      <c r="E121" s="37">
        <f t="shared" si="11"/>
        <v>0</v>
      </c>
      <c r="F121" s="37">
        <f t="shared" ref="F121:H122" si="12">IF(AND(F25="-",F97="-"),"-",SUM(F25,F97))</f>
        <v>0</v>
      </c>
      <c r="G121" s="37">
        <f t="shared" si="12"/>
        <v>0</v>
      </c>
      <c r="H121" s="37">
        <f t="shared" si="12"/>
        <v>0</v>
      </c>
    </row>
    <row r="122" spans="1:8" ht="11.25" customHeight="1" x14ac:dyDescent="0.25">
      <c r="A122" s="119" t="s">
        <v>336</v>
      </c>
      <c r="B122" s="38">
        <f t="shared" si="11"/>
        <v>0</v>
      </c>
      <c r="C122" s="38">
        <f t="shared" si="11"/>
        <v>0</v>
      </c>
      <c r="D122" s="38">
        <f>IF(AND(D26="-",D98="-"),"-",SUM(D26,D98))</f>
        <v>0</v>
      </c>
      <c r="E122" s="38">
        <f t="shared" si="11"/>
        <v>0</v>
      </c>
      <c r="F122" s="38">
        <f t="shared" si="12"/>
        <v>0</v>
      </c>
      <c r="G122" s="38">
        <f t="shared" si="12"/>
        <v>0</v>
      </c>
      <c r="H122" s="38">
        <f t="shared" si="12"/>
        <v>0</v>
      </c>
    </row>
    <row r="123" spans="1:8" ht="11.25" customHeight="1" x14ac:dyDescent="0.25"/>
    <row r="124" spans="1:8" ht="11.25" customHeight="1" x14ac:dyDescent="0.25">
      <c r="A124" s="126" t="s">
        <v>324</v>
      </c>
      <c r="B124" s="128"/>
      <c r="C124" s="128"/>
      <c r="D124" s="128"/>
    </row>
    <row r="125" spans="1:8" ht="11.25" customHeight="1" x14ac:dyDescent="0.25">
      <c r="A125" s="473">
        <v>1977</v>
      </c>
      <c r="B125" s="195">
        <f>'A-16'!C107</f>
        <v>98</v>
      </c>
      <c r="C125" s="195">
        <f>'A-16'!D107</f>
        <v>1433</v>
      </c>
      <c r="D125" s="195">
        <f>'A-16'!E107</f>
        <v>1269</v>
      </c>
      <c r="E125" s="195">
        <f>'A-16'!F107</f>
        <v>2114</v>
      </c>
      <c r="F125" s="195">
        <f>'A-16'!G107</f>
        <v>7</v>
      </c>
      <c r="G125" s="195">
        <f>'A-16'!H107</f>
        <v>0</v>
      </c>
      <c r="H125" s="195">
        <f>'A-16'!J107</f>
        <v>4921</v>
      </c>
    </row>
    <row r="126" spans="1:8" ht="11.25" customHeight="1" x14ac:dyDescent="0.25">
      <c r="A126" s="473">
        <v>1979</v>
      </c>
      <c r="B126" s="195">
        <f>'A-16'!C108</f>
        <v>0</v>
      </c>
      <c r="C126" s="195">
        <f>'A-16'!D108</f>
        <v>1666</v>
      </c>
      <c r="D126" s="195">
        <f>'A-16'!E108</f>
        <v>836</v>
      </c>
      <c r="E126" s="195">
        <f>'A-16'!F108</f>
        <v>3924</v>
      </c>
      <c r="F126" s="195">
        <f>'A-16'!G108</f>
        <v>35</v>
      </c>
      <c r="G126" s="195">
        <f>'A-16'!H108</f>
        <v>0</v>
      </c>
      <c r="H126" s="195">
        <f>'A-16'!J108</f>
        <v>6461</v>
      </c>
    </row>
    <row r="127" spans="1:8" ht="11.25" customHeight="1" x14ac:dyDescent="0.25">
      <c r="A127" s="473">
        <v>1981</v>
      </c>
      <c r="B127" s="195">
        <f>'A-16'!C109</f>
        <v>90</v>
      </c>
      <c r="C127" s="195">
        <f>'A-16'!D109</f>
        <v>210</v>
      </c>
      <c r="D127" s="195">
        <f>'A-16'!E109</f>
        <v>1155</v>
      </c>
      <c r="E127" s="195">
        <f>'A-16'!F109</f>
        <v>3167</v>
      </c>
      <c r="F127" s="195">
        <f>'A-16'!G109</f>
        <v>441</v>
      </c>
      <c r="G127" s="195">
        <f>'A-16'!H109</f>
        <v>0</v>
      </c>
      <c r="H127" s="195">
        <f>'A-16'!J109</f>
        <v>5063</v>
      </c>
    </row>
    <row r="128" spans="1:8" ht="11.25" customHeight="1" x14ac:dyDescent="0.25">
      <c r="A128" s="473">
        <v>1983</v>
      </c>
      <c r="B128" s="195">
        <f>'A-16'!C110</f>
        <v>1</v>
      </c>
      <c r="C128" s="195">
        <f>'A-16'!D110</f>
        <v>37</v>
      </c>
      <c r="D128" s="195">
        <f>'A-16'!E110</f>
        <v>1537</v>
      </c>
      <c r="E128" s="195">
        <f>'A-16'!F110</f>
        <v>17942</v>
      </c>
      <c r="F128" s="195">
        <f>'A-16'!G110</f>
        <v>347</v>
      </c>
      <c r="G128" s="195">
        <f>'A-16'!H110</f>
        <v>0</v>
      </c>
      <c r="H128" s="195">
        <f>'A-16'!J110</f>
        <v>19864</v>
      </c>
    </row>
    <row r="129" spans="1:8" ht="11.25" customHeight="1" x14ac:dyDescent="0.25">
      <c r="A129" s="473">
        <v>1985</v>
      </c>
      <c r="B129" s="195">
        <f>'A-16'!C111</f>
        <v>4</v>
      </c>
      <c r="C129" s="195">
        <f>'A-16'!D111</f>
        <v>395</v>
      </c>
      <c r="D129" s="195">
        <f>'A-16'!E111</f>
        <v>3931</v>
      </c>
      <c r="E129" s="195">
        <f>'A-16'!F111</f>
        <v>2310</v>
      </c>
      <c r="F129" s="195">
        <f>'A-16'!G111</f>
        <v>173</v>
      </c>
      <c r="G129" s="195">
        <f>'A-16'!H111</f>
        <v>0</v>
      </c>
      <c r="H129" s="195">
        <f>'A-16'!J111</f>
        <v>6813</v>
      </c>
    </row>
    <row r="130" spans="1:8" ht="11.25" customHeight="1" x14ac:dyDescent="0.25">
      <c r="A130" s="473">
        <v>1987</v>
      </c>
      <c r="B130" s="195">
        <f>'A-16'!C112</f>
        <v>4</v>
      </c>
      <c r="C130" s="195">
        <f>'A-16'!D112</f>
        <v>0</v>
      </c>
      <c r="D130" s="195">
        <f>'A-16'!E112</f>
        <v>10776</v>
      </c>
      <c r="E130" s="195">
        <f>'A-16'!F112</f>
        <v>5840</v>
      </c>
      <c r="F130" s="195">
        <f>'A-16'!G112</f>
        <v>0</v>
      </c>
      <c r="G130" s="195">
        <f>'A-16'!H112</f>
        <v>0</v>
      </c>
      <c r="H130" s="195">
        <f>'A-16'!J112</f>
        <v>16620</v>
      </c>
    </row>
    <row r="131" spans="1:8" ht="11.25" customHeight="1" x14ac:dyDescent="0.25">
      <c r="A131" s="473">
        <v>1989</v>
      </c>
      <c r="B131" s="195">
        <f>'A-16'!C113</f>
        <v>6</v>
      </c>
      <c r="C131" s="195">
        <f>'A-16'!D113</f>
        <v>20</v>
      </c>
      <c r="D131" s="195">
        <f>'A-16'!E113</f>
        <v>7206</v>
      </c>
      <c r="E131" s="195">
        <f>'A-16'!F113</f>
        <v>2667</v>
      </c>
      <c r="F131" s="195">
        <f>'A-16'!G113</f>
        <v>1182</v>
      </c>
      <c r="G131" s="195">
        <f>'A-16'!H113</f>
        <v>0</v>
      </c>
      <c r="H131" s="195">
        <f>'A-16'!J113</f>
        <v>11081</v>
      </c>
    </row>
    <row r="132" spans="1:8" ht="11.25" customHeight="1" x14ac:dyDescent="0.25">
      <c r="A132" s="473">
        <v>1991</v>
      </c>
      <c r="B132" s="195">
        <f>'A-16'!C114</f>
        <v>0</v>
      </c>
      <c r="C132" s="195">
        <f>'A-16'!D114</f>
        <v>2</v>
      </c>
      <c r="D132" s="195">
        <f>'A-16'!E114</f>
        <v>1148</v>
      </c>
      <c r="E132" s="195">
        <f>'A-16'!F114</f>
        <v>3356</v>
      </c>
      <c r="F132" s="195">
        <f>'A-16'!G114</f>
        <v>0</v>
      </c>
      <c r="G132" s="195">
        <f>'A-16'!H114</f>
        <v>0</v>
      </c>
      <c r="H132" s="195">
        <f>'A-16'!J114</f>
        <v>4506</v>
      </c>
    </row>
    <row r="133" spans="1:8" ht="11.25" customHeight="1" x14ac:dyDescent="0.25">
      <c r="A133" s="473">
        <v>1993</v>
      </c>
      <c r="B133" s="195">
        <f>'A-16'!C115</f>
        <v>0</v>
      </c>
      <c r="C133" s="195">
        <f>'A-16'!D115</f>
        <v>0</v>
      </c>
      <c r="D133" s="195">
        <f>'A-16'!E115</f>
        <v>349</v>
      </c>
      <c r="E133" s="195">
        <f>'A-16'!F115</f>
        <v>2261</v>
      </c>
      <c r="F133" s="195">
        <f>'A-16'!G115</f>
        <v>783</v>
      </c>
      <c r="G133" s="195">
        <f>'A-16'!H115</f>
        <v>0</v>
      </c>
      <c r="H133" s="195">
        <f>'A-16'!J115</f>
        <v>3393</v>
      </c>
    </row>
    <row r="134" spans="1:8" ht="11.25" customHeight="1" x14ac:dyDescent="0.25">
      <c r="A134" s="473">
        <v>1995</v>
      </c>
      <c r="B134" s="195">
        <f>'A-16'!C116</f>
        <v>0</v>
      </c>
      <c r="C134" s="195">
        <f>'A-16'!D116</f>
        <v>0</v>
      </c>
      <c r="D134" s="195">
        <f>'A-16'!E116</f>
        <v>0</v>
      </c>
      <c r="E134" s="195">
        <f>'A-16'!F116</f>
        <v>10940</v>
      </c>
      <c r="F134" s="195">
        <f>'A-16'!G116</f>
        <v>0</v>
      </c>
      <c r="G134" s="195">
        <f>'A-16'!H116</f>
        <v>0</v>
      </c>
      <c r="H134" s="195">
        <f>'A-16'!J116</f>
        <v>10940</v>
      </c>
    </row>
    <row r="135" spans="1:8" ht="11.25" customHeight="1" x14ac:dyDescent="0.25">
      <c r="A135" s="473">
        <v>1997</v>
      </c>
      <c r="B135" s="195">
        <f>'A-16'!C117</f>
        <v>0</v>
      </c>
      <c r="C135" s="195">
        <f>'A-16'!D117</f>
        <v>0</v>
      </c>
      <c r="D135" s="195">
        <f>'A-16'!E117</f>
        <v>0</v>
      </c>
      <c r="E135" s="195">
        <f>'A-16'!F117</f>
        <v>1757</v>
      </c>
      <c r="F135" s="195">
        <f>'A-16'!G117</f>
        <v>53</v>
      </c>
      <c r="G135" s="195" t="str">
        <f>'A-16'!H117</f>
        <v>-</v>
      </c>
      <c r="H135" s="195">
        <f>'A-16'!J117</f>
        <v>1810</v>
      </c>
    </row>
    <row r="136" spans="1:8" ht="11.25" customHeight="1" x14ac:dyDescent="0.25">
      <c r="A136" s="473">
        <v>1999</v>
      </c>
      <c r="B136" s="195">
        <f>'A-16'!C118</f>
        <v>0</v>
      </c>
      <c r="C136" s="195">
        <f>'A-16'!D118</f>
        <v>0</v>
      </c>
      <c r="D136" s="195">
        <f>'A-16'!E118</f>
        <v>0</v>
      </c>
      <c r="E136" s="195">
        <f>'A-16'!F118</f>
        <v>1388</v>
      </c>
      <c r="F136" s="195">
        <f>'A-16'!G118</f>
        <v>108</v>
      </c>
      <c r="G136" s="195" t="str">
        <f>'A-16'!H118</f>
        <v>-</v>
      </c>
      <c r="H136" s="195">
        <f>'A-16'!J118</f>
        <v>1496</v>
      </c>
    </row>
    <row r="137" spans="1:8" ht="11.25" customHeight="1" x14ac:dyDescent="0.25">
      <c r="A137" s="473">
        <v>2001</v>
      </c>
      <c r="B137" s="195">
        <f>'A-16'!C119</f>
        <v>11</v>
      </c>
      <c r="C137" s="195">
        <f>'A-16'!D119</f>
        <v>0</v>
      </c>
      <c r="D137" s="195">
        <f>'A-16'!E119</f>
        <v>696</v>
      </c>
      <c r="E137" s="195">
        <f>'A-16'!F119</f>
        <v>1537</v>
      </c>
      <c r="F137" s="195">
        <f>'A-16'!G119</f>
        <v>207</v>
      </c>
      <c r="G137" s="195" t="str">
        <f>'A-16'!H119</f>
        <v>-</v>
      </c>
      <c r="H137" s="195">
        <f>'A-16'!J119</f>
        <v>2451</v>
      </c>
    </row>
    <row r="138" spans="1:8" ht="11.25" customHeight="1" x14ac:dyDescent="0.25">
      <c r="A138" s="473">
        <v>2003</v>
      </c>
      <c r="B138" s="195">
        <f>'A-16'!C120</f>
        <v>0</v>
      </c>
      <c r="C138" s="195">
        <f>'A-16'!D120</f>
        <v>0</v>
      </c>
      <c r="D138" s="195">
        <f>'A-16'!E120</f>
        <v>172</v>
      </c>
      <c r="E138" s="195">
        <f>'A-16'!F120</f>
        <v>41</v>
      </c>
      <c r="F138" s="195">
        <f>'A-16'!G120</f>
        <v>23</v>
      </c>
      <c r="G138" s="195">
        <f>'A-16'!H120</f>
        <v>0</v>
      </c>
      <c r="H138" s="195">
        <f>'A-16'!J120</f>
        <v>236</v>
      </c>
    </row>
    <row r="139" spans="1:8" ht="11.25" customHeight="1" x14ac:dyDescent="0.25">
      <c r="A139" s="473">
        <v>2005</v>
      </c>
      <c r="B139" s="195">
        <f>'A-16'!C121</f>
        <v>0</v>
      </c>
      <c r="C139" s="195">
        <f>'A-16'!D121</f>
        <v>0</v>
      </c>
      <c r="D139" s="195">
        <f>'A-16'!E121</f>
        <v>186</v>
      </c>
      <c r="E139" s="195">
        <f>'A-16'!F121</f>
        <v>198</v>
      </c>
      <c r="F139" s="195">
        <f>'A-16'!G121</f>
        <v>3</v>
      </c>
      <c r="G139" s="195">
        <f>'A-16'!H121</f>
        <v>0</v>
      </c>
      <c r="H139" s="195">
        <f>'A-16'!J121</f>
        <v>387</v>
      </c>
    </row>
    <row r="140" spans="1:8" ht="11.25" customHeight="1" x14ac:dyDescent="0.25">
      <c r="A140" s="477">
        <v>2007</v>
      </c>
      <c r="B140" s="195">
        <f>'A-16'!C122</f>
        <v>0</v>
      </c>
      <c r="C140" s="195">
        <f>'A-16'!D122</f>
        <v>7</v>
      </c>
      <c r="D140" s="195">
        <f>'A-16'!E122</f>
        <v>326</v>
      </c>
      <c r="E140" s="195">
        <f>'A-16'!F122</f>
        <v>251</v>
      </c>
      <c r="F140" s="195">
        <f>'A-16'!G122</f>
        <v>0</v>
      </c>
      <c r="G140" s="195">
        <f>'A-16'!H122</f>
        <v>0</v>
      </c>
      <c r="H140" s="195">
        <f>'A-16'!J122</f>
        <v>584</v>
      </c>
    </row>
    <row r="141" spans="1:8" ht="11.25" customHeight="1" x14ac:dyDescent="0.25">
      <c r="A141" s="477">
        <v>2009</v>
      </c>
      <c r="B141" s="195">
        <f>'A-16'!C123</f>
        <v>0</v>
      </c>
      <c r="C141" s="195">
        <f>'A-16'!D123</f>
        <v>0</v>
      </c>
      <c r="D141" s="195">
        <f>'A-16'!E123</f>
        <v>431</v>
      </c>
      <c r="E141" s="195">
        <f>'A-16'!F123</f>
        <v>369</v>
      </c>
      <c r="F141" s="195">
        <f>'A-16'!G123</f>
        <v>0</v>
      </c>
      <c r="G141" s="195">
        <f>'A-16'!H123</f>
        <v>0</v>
      </c>
      <c r="H141" s="195">
        <f>'A-16'!J123</f>
        <v>800</v>
      </c>
    </row>
    <row r="142" spans="1:8" ht="11.25" customHeight="1" x14ac:dyDescent="0.25">
      <c r="A142" s="477">
        <v>2011</v>
      </c>
      <c r="B142" s="195">
        <f>'A-16'!C124</f>
        <v>0</v>
      </c>
      <c r="C142" s="195">
        <f>'A-16'!D124</f>
        <v>6</v>
      </c>
      <c r="D142" s="195">
        <f>'A-16'!E124</f>
        <v>718</v>
      </c>
      <c r="E142" s="195">
        <f>'A-16'!F124</f>
        <v>334</v>
      </c>
      <c r="F142" s="195">
        <f>'A-16'!G124</f>
        <v>16</v>
      </c>
      <c r="G142" s="195">
        <f>'A-16'!H124</f>
        <v>0</v>
      </c>
      <c r="H142" s="195">
        <f>'A-16'!J124</f>
        <v>1074</v>
      </c>
    </row>
    <row r="143" spans="1:8" ht="11.25" customHeight="1" x14ac:dyDescent="0.25">
      <c r="A143" s="477">
        <v>2013</v>
      </c>
      <c r="B143" s="195">
        <f>'A-16'!C125</f>
        <v>0</v>
      </c>
      <c r="C143" s="195">
        <f>'A-16'!D125</f>
        <v>0</v>
      </c>
      <c r="D143" s="195">
        <f>'A-16'!E125</f>
        <v>89</v>
      </c>
      <c r="E143" s="195">
        <f>'A-16'!F125</f>
        <v>120</v>
      </c>
      <c r="F143" s="195">
        <f>'A-16'!G125</f>
        <v>0</v>
      </c>
      <c r="G143" s="195">
        <f>'A-16'!H125</f>
        <v>0</v>
      </c>
      <c r="H143" s="195">
        <f>'A-16'!J125</f>
        <v>209</v>
      </c>
    </row>
    <row r="144" spans="1:8" ht="11.25" customHeight="1" x14ac:dyDescent="0.25">
      <c r="A144" s="477">
        <v>2015</v>
      </c>
      <c r="B144" s="196">
        <f>'A-16'!C126</f>
        <v>0</v>
      </c>
      <c r="C144" s="196">
        <f>'A-16'!D126</f>
        <v>6</v>
      </c>
      <c r="D144" s="196">
        <f>'A-16'!E126</f>
        <v>98</v>
      </c>
      <c r="E144" s="196">
        <f>'A-16'!F126</f>
        <v>18</v>
      </c>
      <c r="F144" s="196">
        <f>'A-16'!G126</f>
        <v>0</v>
      </c>
      <c r="G144" s="196">
        <f>'A-16'!H126</f>
        <v>0</v>
      </c>
      <c r="H144" s="196">
        <f>'A-16'!J126</f>
        <v>122</v>
      </c>
    </row>
    <row r="145" spans="1:8" s="358" customFormat="1" ht="11.25" customHeight="1" x14ac:dyDescent="0.25">
      <c r="A145" s="477">
        <v>2017</v>
      </c>
      <c r="B145" s="196">
        <f>'A-16'!C127</f>
        <v>0</v>
      </c>
      <c r="C145" s="196">
        <f>'A-16'!D127</f>
        <v>0</v>
      </c>
      <c r="D145" s="196">
        <f>'A-16'!E127</f>
        <v>61</v>
      </c>
      <c r="E145" s="196">
        <f>'A-16'!F127</f>
        <v>134</v>
      </c>
      <c r="F145" s="196">
        <f>'A-16'!G127</f>
        <v>0</v>
      </c>
      <c r="G145" s="196">
        <f>'A-16'!H127</f>
        <v>0</v>
      </c>
      <c r="H145" s="196">
        <f>'A-16'!J127</f>
        <v>195</v>
      </c>
    </row>
    <row r="146" spans="1:8" ht="11.25" customHeight="1" x14ac:dyDescent="0.25">
      <c r="A146" s="119" t="s">
        <v>336</v>
      </c>
      <c r="B146" s="395">
        <f>'A-16'!C128</f>
        <v>0</v>
      </c>
      <c r="C146" s="395">
        <f>'A-16'!D128</f>
        <v>0</v>
      </c>
      <c r="D146" s="395">
        <f>'A-16'!E128</f>
        <v>243</v>
      </c>
      <c r="E146" s="395">
        <f>'A-16'!F128</f>
        <v>270</v>
      </c>
      <c r="F146" s="395">
        <f>'A-16'!G128</f>
        <v>0</v>
      </c>
      <c r="G146" s="395">
        <f>'A-16'!H128</f>
        <v>0</v>
      </c>
      <c r="H146" s="395">
        <f>'A-16'!J128</f>
        <v>513</v>
      </c>
    </row>
    <row r="147" spans="1:8" ht="11.25" customHeight="1" x14ac:dyDescent="0.25"/>
    <row r="148" spans="1:8" ht="11.25" customHeight="1" x14ac:dyDescent="0.25">
      <c r="A148" s="127" t="s">
        <v>327</v>
      </c>
      <c r="B148" s="200"/>
      <c r="C148" s="200"/>
      <c r="D148" s="200"/>
    </row>
    <row r="149" spans="1:8" ht="11.25" customHeight="1" x14ac:dyDescent="0.25">
      <c r="A149" s="473">
        <v>1977</v>
      </c>
      <c r="B149" s="24">
        <f t="shared" ref="B149:H158" si="13">IF(AND(B101="-",B125="-"),"-",SUM(B101,B125))</f>
        <v>1154</v>
      </c>
      <c r="C149" s="24">
        <f t="shared" si="13"/>
        <v>2370</v>
      </c>
      <c r="D149" s="24">
        <f t="shared" si="13"/>
        <v>103804</v>
      </c>
      <c r="E149" s="24">
        <f t="shared" si="13"/>
        <v>168026</v>
      </c>
      <c r="F149" s="24">
        <f t="shared" si="13"/>
        <v>9196</v>
      </c>
      <c r="G149" s="24">
        <f t="shared" si="13"/>
        <v>0</v>
      </c>
      <c r="H149" s="24">
        <f t="shared" si="13"/>
        <v>284550</v>
      </c>
    </row>
    <row r="150" spans="1:8" ht="11.25" customHeight="1" x14ac:dyDescent="0.25">
      <c r="A150" s="473">
        <v>1979</v>
      </c>
      <c r="B150" s="24">
        <f t="shared" si="13"/>
        <v>83</v>
      </c>
      <c r="C150" s="24">
        <f t="shared" si="13"/>
        <v>1687</v>
      </c>
      <c r="D150" s="24">
        <f t="shared" si="13"/>
        <v>94265</v>
      </c>
      <c r="E150" s="24">
        <f t="shared" si="13"/>
        <v>462918</v>
      </c>
      <c r="F150" s="24">
        <f t="shared" si="13"/>
        <v>2443</v>
      </c>
      <c r="G150" s="24">
        <f t="shared" si="13"/>
        <v>0</v>
      </c>
      <c r="H150" s="24">
        <f t="shared" si="13"/>
        <v>561396</v>
      </c>
    </row>
    <row r="151" spans="1:8" ht="11.25" customHeight="1" x14ac:dyDescent="0.25">
      <c r="A151" s="473">
        <v>1981</v>
      </c>
      <c r="B151" s="24">
        <f t="shared" si="13"/>
        <v>689</v>
      </c>
      <c r="C151" s="24">
        <f t="shared" si="13"/>
        <v>320</v>
      </c>
      <c r="D151" s="24">
        <f t="shared" si="13"/>
        <v>69506</v>
      </c>
      <c r="E151" s="24">
        <f t="shared" si="13"/>
        <v>167182</v>
      </c>
      <c r="F151" s="24">
        <f t="shared" si="13"/>
        <v>441</v>
      </c>
      <c r="G151" s="24">
        <f t="shared" si="13"/>
        <v>0</v>
      </c>
      <c r="H151" s="24">
        <f t="shared" si="13"/>
        <v>238138</v>
      </c>
    </row>
    <row r="152" spans="1:8" ht="11.25" customHeight="1" x14ac:dyDescent="0.25">
      <c r="A152" s="473">
        <v>1983</v>
      </c>
      <c r="B152" s="24">
        <f t="shared" si="13"/>
        <v>2</v>
      </c>
      <c r="C152" s="24">
        <f t="shared" si="13"/>
        <v>37</v>
      </c>
      <c r="D152" s="24">
        <f t="shared" si="13"/>
        <v>80656</v>
      </c>
      <c r="E152" s="24">
        <f t="shared" si="13"/>
        <v>23983</v>
      </c>
      <c r="F152" s="24">
        <f t="shared" si="13"/>
        <v>648</v>
      </c>
      <c r="G152" s="24">
        <f t="shared" si="13"/>
        <v>0</v>
      </c>
      <c r="H152" s="24">
        <f t="shared" si="13"/>
        <v>105326</v>
      </c>
    </row>
    <row r="153" spans="1:8" ht="11.25" customHeight="1" x14ac:dyDescent="0.25">
      <c r="A153" s="473">
        <v>1985</v>
      </c>
      <c r="B153" s="24">
        <f t="shared" si="13"/>
        <v>110</v>
      </c>
      <c r="C153" s="24">
        <f t="shared" si="13"/>
        <v>395</v>
      </c>
      <c r="D153" s="24">
        <f t="shared" si="13"/>
        <v>10762</v>
      </c>
      <c r="E153" s="24">
        <f t="shared" si="13"/>
        <v>100208</v>
      </c>
      <c r="F153" s="24">
        <f t="shared" si="13"/>
        <v>703</v>
      </c>
      <c r="G153" s="24">
        <f t="shared" si="13"/>
        <v>0</v>
      </c>
      <c r="H153" s="24">
        <f t="shared" si="13"/>
        <v>112178</v>
      </c>
    </row>
    <row r="154" spans="1:8" ht="11.25" customHeight="1" x14ac:dyDescent="0.25">
      <c r="A154" s="473">
        <v>1987</v>
      </c>
      <c r="B154" s="24">
        <f t="shared" si="13"/>
        <v>4</v>
      </c>
      <c r="C154" s="24">
        <f t="shared" si="13"/>
        <v>0</v>
      </c>
      <c r="D154" s="24">
        <f t="shared" si="13"/>
        <v>13636</v>
      </c>
      <c r="E154" s="24">
        <f t="shared" si="13"/>
        <v>5840</v>
      </c>
      <c r="F154" s="24">
        <f t="shared" si="13"/>
        <v>0</v>
      </c>
      <c r="G154" s="24">
        <f t="shared" si="13"/>
        <v>0</v>
      </c>
      <c r="H154" s="24">
        <f t="shared" si="13"/>
        <v>19480</v>
      </c>
    </row>
    <row r="155" spans="1:8" ht="11.25" customHeight="1" x14ac:dyDescent="0.25">
      <c r="A155" s="473">
        <v>1989</v>
      </c>
      <c r="B155" s="24">
        <f t="shared" si="13"/>
        <v>235</v>
      </c>
      <c r="C155" s="24">
        <f t="shared" si="13"/>
        <v>202</v>
      </c>
      <c r="D155" s="24">
        <f t="shared" si="13"/>
        <v>7206</v>
      </c>
      <c r="E155" s="24">
        <f t="shared" si="13"/>
        <v>38955</v>
      </c>
      <c r="F155" s="24">
        <f t="shared" si="13"/>
        <v>1184</v>
      </c>
      <c r="G155" s="24">
        <f t="shared" si="13"/>
        <v>0</v>
      </c>
      <c r="H155" s="24">
        <f t="shared" si="13"/>
        <v>47782</v>
      </c>
    </row>
    <row r="156" spans="1:8" ht="11.25" customHeight="1" x14ac:dyDescent="0.25">
      <c r="A156" s="473">
        <v>1991</v>
      </c>
      <c r="B156" s="24">
        <f t="shared" si="13"/>
        <v>4</v>
      </c>
      <c r="C156" s="24">
        <f t="shared" si="13"/>
        <v>19</v>
      </c>
      <c r="D156" s="24">
        <f t="shared" si="13"/>
        <v>1148</v>
      </c>
      <c r="E156" s="24">
        <f t="shared" si="13"/>
        <v>46729</v>
      </c>
      <c r="F156" s="24">
        <f t="shared" si="13"/>
        <v>295</v>
      </c>
      <c r="G156" s="24">
        <f t="shared" si="13"/>
        <v>0</v>
      </c>
      <c r="H156" s="24">
        <f t="shared" si="13"/>
        <v>48195</v>
      </c>
    </row>
    <row r="157" spans="1:8" ht="11.25" customHeight="1" x14ac:dyDescent="0.25">
      <c r="A157" s="473">
        <v>1993</v>
      </c>
      <c r="B157" s="24">
        <f t="shared" si="13"/>
        <v>16</v>
      </c>
      <c r="C157" s="24">
        <f t="shared" si="13"/>
        <v>1</v>
      </c>
      <c r="D157" s="24">
        <f t="shared" si="13"/>
        <v>437</v>
      </c>
      <c r="E157" s="24">
        <f t="shared" si="13"/>
        <v>5014</v>
      </c>
      <c r="F157" s="24">
        <f t="shared" si="13"/>
        <v>786</v>
      </c>
      <c r="G157" s="24">
        <f t="shared" si="13"/>
        <v>0</v>
      </c>
      <c r="H157" s="24">
        <f t="shared" si="13"/>
        <v>6254</v>
      </c>
    </row>
    <row r="158" spans="1:8" ht="11.25" customHeight="1" x14ac:dyDescent="0.25">
      <c r="A158" s="473">
        <v>1995</v>
      </c>
      <c r="B158" s="24">
        <f t="shared" si="13"/>
        <v>0</v>
      </c>
      <c r="C158" s="24">
        <f t="shared" si="13"/>
        <v>0</v>
      </c>
      <c r="D158" s="24">
        <f t="shared" si="13"/>
        <v>0</v>
      </c>
      <c r="E158" s="24">
        <f t="shared" si="13"/>
        <v>41000</v>
      </c>
      <c r="F158" s="24">
        <f t="shared" si="13"/>
        <v>872</v>
      </c>
      <c r="G158" s="24">
        <f t="shared" si="13"/>
        <v>0</v>
      </c>
      <c r="H158" s="24">
        <f t="shared" si="13"/>
        <v>41872</v>
      </c>
    </row>
    <row r="159" spans="1:8" ht="11.25" customHeight="1" x14ac:dyDescent="0.25">
      <c r="A159" s="473">
        <v>1997</v>
      </c>
      <c r="B159" s="24">
        <f t="shared" ref="B159:H168" si="14">IF(AND(B111="-",B135="-"),"-",SUM(B111,B135))</f>
        <v>2</v>
      </c>
      <c r="C159" s="24">
        <f t="shared" si="14"/>
        <v>3</v>
      </c>
      <c r="D159" s="24">
        <f t="shared" si="14"/>
        <v>0</v>
      </c>
      <c r="E159" s="24">
        <f t="shared" si="14"/>
        <v>1757</v>
      </c>
      <c r="F159" s="24">
        <f t="shared" si="14"/>
        <v>53</v>
      </c>
      <c r="G159" s="24" t="str">
        <f t="shared" si="14"/>
        <v>-</v>
      </c>
      <c r="H159" s="24">
        <f t="shared" si="14"/>
        <v>1815</v>
      </c>
    </row>
    <row r="160" spans="1:8" ht="11.25" customHeight="1" x14ac:dyDescent="0.25">
      <c r="A160" s="473">
        <v>1999</v>
      </c>
      <c r="B160" s="24">
        <f t="shared" si="14"/>
        <v>0</v>
      </c>
      <c r="C160" s="24">
        <f t="shared" si="14"/>
        <v>1</v>
      </c>
      <c r="D160" s="24">
        <f t="shared" si="14"/>
        <v>31</v>
      </c>
      <c r="E160" s="24">
        <f t="shared" si="14"/>
        <v>1409</v>
      </c>
      <c r="F160" s="24">
        <f t="shared" si="14"/>
        <v>108</v>
      </c>
      <c r="G160" s="24" t="str">
        <f t="shared" si="14"/>
        <v>-</v>
      </c>
      <c r="H160" s="24">
        <f t="shared" si="14"/>
        <v>1549</v>
      </c>
    </row>
    <row r="161" spans="1:8" ht="11.25" customHeight="1" x14ac:dyDescent="0.25">
      <c r="A161" s="473">
        <v>2001</v>
      </c>
      <c r="B161" s="24">
        <f t="shared" si="14"/>
        <v>207</v>
      </c>
      <c r="C161" s="24">
        <f t="shared" si="14"/>
        <v>59</v>
      </c>
      <c r="D161" s="24">
        <f t="shared" si="14"/>
        <v>766</v>
      </c>
      <c r="E161" s="24">
        <f t="shared" si="14"/>
        <v>1588</v>
      </c>
      <c r="F161" s="24">
        <f t="shared" si="14"/>
        <v>207</v>
      </c>
      <c r="G161" s="24" t="str">
        <f t="shared" si="14"/>
        <v>-</v>
      </c>
      <c r="H161" s="24">
        <f t="shared" si="14"/>
        <v>2827</v>
      </c>
    </row>
    <row r="162" spans="1:8" ht="11.25" customHeight="1" x14ac:dyDescent="0.25">
      <c r="A162" s="477">
        <v>2003</v>
      </c>
      <c r="B162" s="37">
        <f t="shared" si="14"/>
        <v>0</v>
      </c>
      <c r="C162" s="37">
        <f t="shared" si="14"/>
        <v>2</v>
      </c>
      <c r="D162" s="37">
        <f t="shared" si="14"/>
        <v>357</v>
      </c>
      <c r="E162" s="37">
        <f t="shared" si="14"/>
        <v>120</v>
      </c>
      <c r="F162" s="37">
        <f t="shared" si="14"/>
        <v>33</v>
      </c>
      <c r="G162" s="37">
        <f t="shared" si="14"/>
        <v>0</v>
      </c>
      <c r="H162" s="37">
        <f t="shared" si="14"/>
        <v>512</v>
      </c>
    </row>
    <row r="163" spans="1:8" ht="11.25" customHeight="1" x14ac:dyDescent="0.25">
      <c r="A163" s="477">
        <v>2005</v>
      </c>
      <c r="B163" s="37">
        <f t="shared" si="14"/>
        <v>4</v>
      </c>
      <c r="C163" s="37">
        <f t="shared" si="14"/>
        <v>0</v>
      </c>
      <c r="D163" s="37">
        <f t="shared" si="14"/>
        <v>189</v>
      </c>
      <c r="E163" s="37">
        <f t="shared" si="14"/>
        <v>201</v>
      </c>
      <c r="F163" s="37">
        <f t="shared" si="14"/>
        <v>4</v>
      </c>
      <c r="G163" s="37">
        <f t="shared" si="14"/>
        <v>0</v>
      </c>
      <c r="H163" s="37">
        <f t="shared" si="14"/>
        <v>398</v>
      </c>
    </row>
    <row r="164" spans="1:8" ht="11.25" customHeight="1" x14ac:dyDescent="0.25">
      <c r="A164" s="477">
        <v>2007</v>
      </c>
      <c r="B164" s="37">
        <f t="shared" si="14"/>
        <v>73</v>
      </c>
      <c r="C164" s="37">
        <f t="shared" si="14"/>
        <v>26</v>
      </c>
      <c r="D164" s="37">
        <f t="shared" si="14"/>
        <v>449</v>
      </c>
      <c r="E164" s="37">
        <f t="shared" si="14"/>
        <v>263</v>
      </c>
      <c r="F164" s="37">
        <f t="shared" si="14"/>
        <v>0</v>
      </c>
      <c r="G164" s="37">
        <f t="shared" si="14"/>
        <v>0</v>
      </c>
      <c r="H164" s="37">
        <f t="shared" si="14"/>
        <v>811</v>
      </c>
    </row>
    <row r="165" spans="1:8" ht="11.25" customHeight="1" x14ac:dyDescent="0.25">
      <c r="A165" s="477">
        <v>2009</v>
      </c>
      <c r="B165" s="37">
        <f t="shared" si="14"/>
        <v>1</v>
      </c>
      <c r="C165" s="37">
        <f t="shared" si="14"/>
        <v>14</v>
      </c>
      <c r="D165" s="37">
        <f t="shared" si="14"/>
        <v>515</v>
      </c>
      <c r="E165" s="37">
        <f t="shared" si="14"/>
        <v>414</v>
      </c>
      <c r="F165" s="37">
        <f t="shared" si="14"/>
        <v>9</v>
      </c>
      <c r="G165" s="37">
        <f t="shared" si="14"/>
        <v>0</v>
      </c>
      <c r="H165" s="37">
        <f t="shared" si="14"/>
        <v>953</v>
      </c>
    </row>
    <row r="166" spans="1:8" ht="11.25" customHeight="1" x14ac:dyDescent="0.25">
      <c r="A166" s="477">
        <v>2011</v>
      </c>
      <c r="B166" s="37">
        <f t="shared" si="14"/>
        <v>0</v>
      </c>
      <c r="C166" s="37">
        <f t="shared" si="14"/>
        <v>42</v>
      </c>
      <c r="D166" s="37">
        <f t="shared" si="14"/>
        <v>726</v>
      </c>
      <c r="E166" s="37">
        <f t="shared" si="14"/>
        <v>460</v>
      </c>
      <c r="F166" s="37">
        <f t="shared" si="14"/>
        <v>109</v>
      </c>
      <c r="G166" s="37">
        <f t="shared" si="14"/>
        <v>1</v>
      </c>
      <c r="H166" s="37">
        <f t="shared" si="14"/>
        <v>1338</v>
      </c>
    </row>
    <row r="167" spans="1:8" ht="11.25" customHeight="1" x14ac:dyDescent="0.25">
      <c r="A167" s="477">
        <v>2013</v>
      </c>
      <c r="B167" s="37">
        <f t="shared" si="14"/>
        <v>0</v>
      </c>
      <c r="C167" s="37">
        <f t="shared" si="14"/>
        <v>2</v>
      </c>
      <c r="D167" s="37">
        <f t="shared" si="14"/>
        <v>89</v>
      </c>
      <c r="E167" s="37">
        <f t="shared" si="14"/>
        <v>221</v>
      </c>
      <c r="F167" s="37">
        <f t="shared" si="14"/>
        <v>37</v>
      </c>
      <c r="G167" s="37">
        <f t="shared" si="14"/>
        <v>1</v>
      </c>
      <c r="H167" s="37">
        <f t="shared" si="14"/>
        <v>350</v>
      </c>
    </row>
    <row r="168" spans="1:8" ht="11.25" customHeight="1" x14ac:dyDescent="0.25">
      <c r="A168" s="477">
        <v>2015</v>
      </c>
      <c r="B168" s="37">
        <f t="shared" si="14"/>
        <v>0</v>
      </c>
      <c r="C168" s="37">
        <f t="shared" si="14"/>
        <v>7</v>
      </c>
      <c r="D168" s="37">
        <f t="shared" si="14"/>
        <v>118</v>
      </c>
      <c r="E168" s="37">
        <f t="shared" si="14"/>
        <v>65</v>
      </c>
      <c r="F168" s="37">
        <f t="shared" si="14"/>
        <v>0</v>
      </c>
      <c r="G168" s="37">
        <f t="shared" si="14"/>
        <v>0</v>
      </c>
      <c r="H168" s="37">
        <f t="shared" si="14"/>
        <v>190</v>
      </c>
    </row>
    <row r="169" spans="1:8" s="358" customFormat="1" ht="11.25" customHeight="1" x14ac:dyDescent="0.25">
      <c r="A169" s="477">
        <v>2017</v>
      </c>
      <c r="B169" s="37">
        <f>IF(AND(B121="-",B145="-"),"-",SUM(B121,B145))</f>
        <v>0</v>
      </c>
      <c r="C169" s="37">
        <f t="shared" ref="C169:G170" si="15">IF(AND(C121="-",C145="-"),"-",SUM(C121,C145))</f>
        <v>0</v>
      </c>
      <c r="D169" s="37">
        <f t="shared" si="15"/>
        <v>61</v>
      </c>
      <c r="E169" s="37">
        <f t="shared" si="15"/>
        <v>134</v>
      </c>
      <c r="F169" s="37">
        <f t="shared" si="15"/>
        <v>0</v>
      </c>
      <c r="G169" s="37">
        <f t="shared" si="15"/>
        <v>0</v>
      </c>
      <c r="H169" s="37">
        <f>IF(AND(H121="-",H145="-"),"-",SUM(H121,H145))</f>
        <v>195</v>
      </c>
    </row>
    <row r="170" spans="1:8" ht="11.25" customHeight="1" x14ac:dyDescent="0.25">
      <c r="A170" s="119" t="s">
        <v>336</v>
      </c>
      <c r="B170" s="38">
        <f>IF(AND(B122="-",B146="-"),"-",SUM(B122,B146))</f>
        <v>0</v>
      </c>
      <c r="C170" s="38">
        <f t="shared" si="15"/>
        <v>0</v>
      </c>
      <c r="D170" s="38">
        <f t="shared" si="15"/>
        <v>243</v>
      </c>
      <c r="E170" s="38">
        <f t="shared" si="15"/>
        <v>270</v>
      </c>
      <c r="F170" s="38">
        <f t="shared" si="15"/>
        <v>0</v>
      </c>
      <c r="G170" s="38">
        <f t="shared" si="15"/>
        <v>0</v>
      </c>
      <c r="H170" s="38">
        <f>IF(AND(H122="-",H146="-"),"-",SUM(H122,H146))</f>
        <v>513</v>
      </c>
    </row>
    <row r="171" spans="1:8" s="341" customFormat="1" ht="21" customHeight="1" x14ac:dyDescent="0.25">
      <c r="A171" s="619" t="s">
        <v>98</v>
      </c>
      <c r="B171" s="619"/>
      <c r="C171" s="619"/>
      <c r="D171" s="619"/>
      <c r="E171" s="619"/>
      <c r="F171" s="619"/>
      <c r="G171" s="619"/>
      <c r="H171" s="619"/>
    </row>
    <row r="172" spans="1:8" s="341" customFormat="1" ht="11.25" customHeight="1" x14ac:dyDescent="0.25">
      <c r="A172" s="473" t="s">
        <v>48</v>
      </c>
    </row>
    <row r="173" spans="1:8" s="341" customFormat="1" ht="11.25" customHeight="1" x14ac:dyDescent="0.25">
      <c r="A173" s="604" t="s">
        <v>117</v>
      </c>
      <c r="B173" s="604"/>
      <c r="C173" s="604"/>
      <c r="D173" s="604"/>
      <c r="E173" s="604"/>
      <c r="F173" s="604"/>
      <c r="G173" s="604"/>
      <c r="H173" s="604"/>
    </row>
    <row r="174" spans="1:8" ht="11.25" customHeight="1" x14ac:dyDescent="0.25">
      <c r="A174" s="475"/>
      <c r="B174" s="61"/>
      <c r="C174" s="61"/>
      <c r="D174" s="61"/>
      <c r="E174" s="61"/>
      <c r="F174" s="61"/>
      <c r="G174" s="61"/>
      <c r="H174" s="61"/>
    </row>
    <row r="175" spans="1:8" ht="11.25" customHeight="1" x14ac:dyDescent="0.25"/>
    <row r="176" spans="1:8" ht="11.25" customHeight="1" x14ac:dyDescent="0.25"/>
    <row r="177" spans="1:8" ht="11.25" customHeight="1" x14ac:dyDescent="0.25"/>
    <row r="178" spans="1:8" ht="11.25" customHeight="1" x14ac:dyDescent="0.25"/>
    <row r="179" spans="1:8" ht="11.25" customHeight="1" x14ac:dyDescent="0.25"/>
    <row r="180" spans="1:8" ht="11.25" customHeight="1" x14ac:dyDescent="0.25"/>
    <row r="181" spans="1:8" ht="11.25" customHeight="1" x14ac:dyDescent="0.25">
      <c r="A181" s="240"/>
      <c r="B181" s="249"/>
      <c r="C181" s="249"/>
      <c r="D181" s="249"/>
      <c r="E181" s="249"/>
      <c r="F181" s="249"/>
      <c r="G181" s="249"/>
      <c r="H181" s="249"/>
    </row>
    <row r="182" spans="1:8" ht="11.25" customHeight="1" x14ac:dyDescent="0.25"/>
    <row r="183" spans="1:8" ht="11.25" customHeight="1" x14ac:dyDescent="0.25"/>
    <row r="184" spans="1:8" ht="11.25" customHeight="1" x14ac:dyDescent="0.25"/>
    <row r="185" spans="1:8" ht="11.25" customHeight="1" x14ac:dyDescent="0.25"/>
    <row r="186" spans="1:8" ht="11.25" customHeight="1" x14ac:dyDescent="0.25">
      <c r="A186" s="608" t="s">
        <v>385</v>
      </c>
      <c r="B186" s="608"/>
      <c r="C186" s="608"/>
      <c r="D186" s="608"/>
      <c r="E186" s="608"/>
      <c r="F186" s="608"/>
      <c r="G186" s="608"/>
      <c r="H186" s="608"/>
    </row>
    <row r="187" spans="1:8" ht="11.25" customHeight="1" x14ac:dyDescent="0.25">
      <c r="A187" s="609"/>
      <c r="B187" s="609"/>
      <c r="C187" s="609"/>
      <c r="D187" s="609"/>
      <c r="E187" s="609"/>
      <c r="F187" s="609"/>
      <c r="G187" s="609"/>
      <c r="H187" s="609"/>
    </row>
    <row r="188" spans="1:8" ht="11.25" customHeight="1" x14ac:dyDescent="0.25">
      <c r="A188" s="469" t="s">
        <v>33</v>
      </c>
      <c r="B188" s="471" t="s">
        <v>104</v>
      </c>
      <c r="C188" s="471" t="s">
        <v>36</v>
      </c>
      <c r="D188" s="471" t="s">
        <v>105</v>
      </c>
      <c r="E188" s="471" t="s">
        <v>106</v>
      </c>
      <c r="F188" s="471" t="s">
        <v>107</v>
      </c>
      <c r="G188" s="471" t="s">
        <v>108</v>
      </c>
      <c r="H188" s="471" t="s">
        <v>28</v>
      </c>
    </row>
    <row r="189" spans="1:8" x14ac:dyDescent="0.25">
      <c r="A189" s="126" t="s">
        <v>95</v>
      </c>
      <c r="B189" s="24"/>
      <c r="C189" s="24"/>
      <c r="D189" s="24"/>
      <c r="E189" s="24"/>
      <c r="F189" s="24"/>
      <c r="G189" s="24"/>
      <c r="H189" s="24"/>
    </row>
    <row r="190" spans="1:8" ht="11.25" customHeight="1" x14ac:dyDescent="0.25">
      <c r="A190" s="473" t="s">
        <v>30</v>
      </c>
      <c r="B190" s="24">
        <f>AVERAGE(B7:B9)</f>
        <v>230.33333333333334</v>
      </c>
      <c r="C190" s="24">
        <f>AVERAGE(C7:C9)</f>
        <v>33</v>
      </c>
      <c r="D190" s="24">
        <f>AVERAGE(D7:D9)</f>
        <v>50591.333333333336</v>
      </c>
      <c r="E190" s="24">
        <f>AVERAGE(E7:E9)</f>
        <v>86991.333333333328</v>
      </c>
      <c r="F190" s="24">
        <f>AVERAGE(F7:F9)</f>
        <v>415</v>
      </c>
      <c r="G190" s="24" t="str">
        <f t="shared" ref="G190:G200" si="16">G10</f>
        <v>-</v>
      </c>
      <c r="H190" s="24">
        <f>AVERAGE(H7:H9)</f>
        <v>138122.66666666666</v>
      </c>
    </row>
    <row r="191" spans="1:8" ht="11.25" customHeight="1" x14ac:dyDescent="0.25">
      <c r="A191" s="473" t="s">
        <v>87</v>
      </c>
      <c r="B191" s="24">
        <f>AVERAGE(B10:B11)</f>
        <v>114.5</v>
      </c>
      <c r="C191" s="24">
        <f>AVERAGE(C10:C11)</f>
        <v>182</v>
      </c>
      <c r="D191" s="24">
        <f>AVERAGE(D10:D11)</f>
        <v>2642</v>
      </c>
      <c r="E191" s="24">
        <f>AVERAGE(E10:E11)</f>
        <v>36286</v>
      </c>
      <c r="F191" s="24" t="str">
        <f>F11</f>
        <v>-</v>
      </c>
      <c r="G191" s="24" t="str">
        <f t="shared" si="16"/>
        <v>-</v>
      </c>
      <c r="H191" s="24">
        <f>AVERAGE(H10:H11)</f>
        <v>19669.5</v>
      </c>
    </row>
    <row r="192" spans="1:8" ht="11.25" customHeight="1" x14ac:dyDescent="0.25">
      <c r="A192" s="473" t="s">
        <v>14</v>
      </c>
      <c r="B192" s="24">
        <f>AVERAGE(B12:B14)</f>
        <v>10</v>
      </c>
      <c r="C192" s="24">
        <f>AVERAGE(C12:C14)</f>
        <v>9</v>
      </c>
      <c r="D192" s="24">
        <f>AVERAGE(D12:D14)</f>
        <v>88</v>
      </c>
      <c r="E192" s="24">
        <f>AVERAGE(E12:E14)</f>
        <v>25340.333333333332</v>
      </c>
      <c r="F192" s="24">
        <f>AVERAGE(F12:F14)</f>
        <v>390</v>
      </c>
      <c r="G192" s="24" t="str">
        <f t="shared" si="16"/>
        <v>-</v>
      </c>
      <c r="H192" s="24">
        <f>AVERAGE(H12:H14)</f>
        <v>25772.333333333332</v>
      </c>
    </row>
    <row r="193" spans="1:8" ht="11.25" customHeight="1" x14ac:dyDescent="0.25">
      <c r="A193" s="473" t="s">
        <v>243</v>
      </c>
      <c r="B193" s="24">
        <f>AVERAGE(B15:B17)</f>
        <v>1</v>
      </c>
      <c r="C193" s="24">
        <f t="shared" ref="C193:H193" si="17">AVERAGE(C15:C17)</f>
        <v>4.333333333333333</v>
      </c>
      <c r="D193" s="24">
        <f t="shared" si="17"/>
        <v>25.5</v>
      </c>
      <c r="E193" s="24">
        <f t="shared" si="17"/>
        <v>10.5</v>
      </c>
      <c r="F193" s="24">
        <f t="shared" si="17"/>
        <v>0</v>
      </c>
      <c r="G193" s="24" t="str">
        <f t="shared" si="16"/>
        <v>-</v>
      </c>
      <c r="H193" s="24">
        <f t="shared" si="17"/>
        <v>29.333333333333332</v>
      </c>
    </row>
    <row r="194" spans="1:8" ht="11.25" customHeight="1" x14ac:dyDescent="0.25">
      <c r="A194" s="473">
        <v>2003</v>
      </c>
      <c r="B194" s="24">
        <f t="shared" ref="B194:F200" si="18">B18</f>
        <v>0</v>
      </c>
      <c r="C194" s="24">
        <f t="shared" si="18"/>
        <v>0</v>
      </c>
      <c r="D194" s="24">
        <f t="shared" si="18"/>
        <v>142</v>
      </c>
      <c r="E194" s="24">
        <f t="shared" si="18"/>
        <v>63</v>
      </c>
      <c r="F194" s="24">
        <f t="shared" si="18"/>
        <v>10</v>
      </c>
      <c r="G194" s="24" t="str">
        <f t="shared" si="16"/>
        <v>-</v>
      </c>
      <c r="H194" s="24">
        <f t="shared" ref="H194:H200" si="19">H18</f>
        <v>215</v>
      </c>
    </row>
    <row r="195" spans="1:8" ht="11.25" customHeight="1" x14ac:dyDescent="0.25">
      <c r="A195" s="473">
        <v>2005</v>
      </c>
      <c r="B195" s="24">
        <f t="shared" si="18"/>
        <v>4</v>
      </c>
      <c r="C195" s="24">
        <f t="shared" si="18"/>
        <v>0</v>
      </c>
      <c r="D195" s="24">
        <f t="shared" si="18"/>
        <v>2</v>
      </c>
      <c r="E195" s="24">
        <f t="shared" si="18"/>
        <v>2</v>
      </c>
      <c r="F195" s="24" t="str">
        <f t="shared" si="18"/>
        <v>-</v>
      </c>
      <c r="G195" s="24" t="str">
        <f t="shared" si="16"/>
        <v>-</v>
      </c>
      <c r="H195" s="24">
        <f t="shared" si="19"/>
        <v>8</v>
      </c>
    </row>
    <row r="196" spans="1:8" ht="11.25" customHeight="1" x14ac:dyDescent="0.25">
      <c r="A196" s="477">
        <v>2007</v>
      </c>
      <c r="B196" s="37">
        <f t="shared" si="18"/>
        <v>8</v>
      </c>
      <c r="C196" s="37">
        <f t="shared" si="18"/>
        <v>19</v>
      </c>
      <c r="D196" s="37">
        <f t="shared" si="18"/>
        <v>119</v>
      </c>
      <c r="E196" s="37">
        <f t="shared" si="18"/>
        <v>1</v>
      </c>
      <c r="F196" s="37">
        <f t="shared" si="18"/>
        <v>0</v>
      </c>
      <c r="G196" s="24" t="str">
        <f t="shared" si="16"/>
        <v>-</v>
      </c>
      <c r="H196" s="37">
        <f t="shared" si="19"/>
        <v>147</v>
      </c>
    </row>
    <row r="197" spans="1:8" ht="11.25" customHeight="1" x14ac:dyDescent="0.25">
      <c r="A197" s="477">
        <v>2009</v>
      </c>
      <c r="B197" s="37">
        <f t="shared" si="18"/>
        <v>1</v>
      </c>
      <c r="C197" s="37">
        <f t="shared" si="18"/>
        <v>14</v>
      </c>
      <c r="D197" s="37">
        <f t="shared" si="18"/>
        <v>82</v>
      </c>
      <c r="E197" s="37">
        <f t="shared" si="18"/>
        <v>37</v>
      </c>
      <c r="F197" s="37">
        <f t="shared" si="18"/>
        <v>1</v>
      </c>
      <c r="G197" s="24" t="str">
        <f t="shared" si="16"/>
        <v>-</v>
      </c>
      <c r="H197" s="37">
        <f t="shared" si="19"/>
        <v>135</v>
      </c>
    </row>
    <row r="198" spans="1:8" ht="11.25" customHeight="1" x14ac:dyDescent="0.25">
      <c r="A198" s="477">
        <v>2011</v>
      </c>
      <c r="B198" s="37">
        <f t="shared" si="18"/>
        <v>0</v>
      </c>
      <c r="C198" s="37">
        <f t="shared" si="18"/>
        <v>0</v>
      </c>
      <c r="D198" s="37">
        <f t="shared" si="18"/>
        <v>3</v>
      </c>
      <c r="E198" s="37">
        <f t="shared" si="18"/>
        <v>118</v>
      </c>
      <c r="F198" s="37">
        <f t="shared" si="18"/>
        <v>93</v>
      </c>
      <c r="G198" s="24" t="str">
        <f t="shared" si="16"/>
        <v>-</v>
      </c>
      <c r="H198" s="37">
        <f t="shared" si="19"/>
        <v>215</v>
      </c>
    </row>
    <row r="199" spans="1:8" ht="11.25" customHeight="1" x14ac:dyDescent="0.25">
      <c r="A199" s="477">
        <v>2013</v>
      </c>
      <c r="B199" s="37">
        <f t="shared" si="18"/>
        <v>0</v>
      </c>
      <c r="C199" s="37">
        <f t="shared" si="18"/>
        <v>2</v>
      </c>
      <c r="D199" s="37">
        <f t="shared" si="18"/>
        <v>0</v>
      </c>
      <c r="E199" s="37">
        <f t="shared" si="18"/>
        <v>101</v>
      </c>
      <c r="F199" s="37">
        <f t="shared" si="18"/>
        <v>37</v>
      </c>
      <c r="G199" s="24" t="str">
        <f t="shared" si="16"/>
        <v>-</v>
      </c>
      <c r="H199" s="37">
        <f t="shared" si="19"/>
        <v>141</v>
      </c>
    </row>
    <row r="200" spans="1:8" ht="11.25" customHeight="1" x14ac:dyDescent="0.25">
      <c r="A200" s="477">
        <v>2015</v>
      </c>
      <c r="B200" s="37">
        <f t="shared" si="18"/>
        <v>0</v>
      </c>
      <c r="C200" s="37">
        <f t="shared" si="18"/>
        <v>1</v>
      </c>
      <c r="D200" s="37">
        <f t="shared" si="18"/>
        <v>20</v>
      </c>
      <c r="E200" s="37">
        <f t="shared" si="18"/>
        <v>47</v>
      </c>
      <c r="F200" s="37">
        <f t="shared" si="18"/>
        <v>0</v>
      </c>
      <c r="G200" s="24" t="str">
        <f t="shared" si="16"/>
        <v>-</v>
      </c>
      <c r="H200" s="37">
        <f t="shared" si="19"/>
        <v>68</v>
      </c>
    </row>
    <row r="201" spans="1:8" s="358" customFormat="1" ht="11.25" customHeight="1" x14ac:dyDescent="0.25">
      <c r="A201" s="477">
        <v>2017</v>
      </c>
      <c r="B201" s="37">
        <f t="shared" ref="B201:H202" si="20">B25</f>
        <v>0</v>
      </c>
      <c r="C201" s="37">
        <f t="shared" si="20"/>
        <v>0</v>
      </c>
      <c r="D201" s="37">
        <f t="shared" si="20"/>
        <v>0</v>
      </c>
      <c r="E201" s="37">
        <f t="shared" si="20"/>
        <v>0</v>
      </c>
      <c r="F201" s="37">
        <f t="shared" si="20"/>
        <v>0</v>
      </c>
      <c r="G201" s="37" t="str">
        <f>G20</f>
        <v>-</v>
      </c>
      <c r="H201" s="37">
        <f t="shared" si="20"/>
        <v>0</v>
      </c>
    </row>
    <row r="202" spans="1:8" ht="11.25" customHeight="1" x14ac:dyDescent="0.25">
      <c r="A202" s="477" t="s">
        <v>336</v>
      </c>
      <c r="B202" s="37">
        <f t="shared" si="20"/>
        <v>0</v>
      </c>
      <c r="C202" s="37">
        <f t="shared" si="20"/>
        <v>0</v>
      </c>
      <c r="D202" s="37">
        <f t="shared" si="20"/>
        <v>0</v>
      </c>
      <c r="E202" s="37">
        <f t="shared" si="20"/>
        <v>0</v>
      </c>
      <c r="F202" s="37">
        <f t="shared" si="20"/>
        <v>0</v>
      </c>
      <c r="G202" s="24" t="str">
        <f>G21</f>
        <v>-</v>
      </c>
      <c r="H202" s="37">
        <f t="shared" si="20"/>
        <v>0</v>
      </c>
    </row>
    <row r="203" spans="1:8" ht="11.25" customHeight="1" x14ac:dyDescent="0.25">
      <c r="A203" s="473"/>
      <c r="B203" s="24"/>
      <c r="C203" s="24"/>
      <c r="D203" s="24"/>
      <c r="E203" s="24"/>
      <c r="F203" s="24"/>
      <c r="G203" s="24"/>
      <c r="H203" s="24"/>
    </row>
    <row r="204" spans="1:8" x14ac:dyDescent="0.25">
      <c r="A204" s="126" t="s">
        <v>406</v>
      </c>
      <c r="B204" s="200"/>
      <c r="C204" s="200"/>
      <c r="D204" s="200"/>
      <c r="E204" s="24"/>
      <c r="F204" s="24"/>
      <c r="G204" s="24"/>
      <c r="H204" s="24"/>
    </row>
    <row r="205" spans="1:8" ht="11.25" customHeight="1" x14ac:dyDescent="0.25">
      <c r="A205" s="473" t="s">
        <v>30</v>
      </c>
      <c r="B205" s="24">
        <f t="shared" ref="B205:H205" si="21">AVERAGE(B31:B33)</f>
        <v>31.666666666666668</v>
      </c>
      <c r="C205" s="24">
        <f t="shared" si="21"/>
        <v>214</v>
      </c>
      <c r="D205" s="24">
        <f t="shared" si="21"/>
        <v>2207.6666666666665</v>
      </c>
      <c r="E205" s="24">
        <f t="shared" si="21"/>
        <v>7806.333333333333</v>
      </c>
      <c r="F205" s="24">
        <f t="shared" si="21"/>
        <v>320.33333333333331</v>
      </c>
      <c r="G205" s="24">
        <f t="shared" si="21"/>
        <v>0</v>
      </c>
      <c r="H205" s="24">
        <f t="shared" si="21"/>
        <v>10580</v>
      </c>
    </row>
    <row r="206" spans="1:8" ht="11.25" customHeight="1" x14ac:dyDescent="0.25">
      <c r="A206" s="473" t="s">
        <v>87</v>
      </c>
      <c r="B206" s="24">
        <f t="shared" ref="B206:H206" si="22">AVERAGE(B34:B35)</f>
        <v>5</v>
      </c>
      <c r="C206" s="24">
        <f t="shared" si="22"/>
        <v>10</v>
      </c>
      <c r="D206" s="24">
        <f t="shared" si="22"/>
        <v>8991</v>
      </c>
      <c r="E206" s="24">
        <f t="shared" si="22"/>
        <v>4253.5</v>
      </c>
      <c r="F206" s="24">
        <f t="shared" si="22"/>
        <v>591</v>
      </c>
      <c r="G206" s="24">
        <f t="shared" si="22"/>
        <v>0</v>
      </c>
      <c r="H206" s="24">
        <f t="shared" si="22"/>
        <v>13850.5</v>
      </c>
    </row>
    <row r="207" spans="1:8" ht="11.25" customHeight="1" x14ac:dyDescent="0.25">
      <c r="A207" s="473" t="s">
        <v>14</v>
      </c>
      <c r="B207" s="24">
        <f t="shared" ref="B207:H207" si="23">AVERAGE(B36:B38)</f>
        <v>0</v>
      </c>
      <c r="C207" s="24">
        <f t="shared" si="23"/>
        <v>0.66666666666666663</v>
      </c>
      <c r="D207" s="24">
        <f t="shared" si="23"/>
        <v>499</v>
      </c>
      <c r="E207" s="24">
        <f t="shared" si="23"/>
        <v>5519</v>
      </c>
      <c r="F207" s="24">
        <f t="shared" si="23"/>
        <v>261</v>
      </c>
      <c r="G207" s="24">
        <f t="shared" si="23"/>
        <v>0</v>
      </c>
      <c r="H207" s="24">
        <f t="shared" si="23"/>
        <v>6279.666666666667</v>
      </c>
    </row>
    <row r="208" spans="1:8" ht="11.25" customHeight="1" x14ac:dyDescent="0.25">
      <c r="A208" s="473" t="s">
        <v>243</v>
      </c>
      <c r="B208" s="24">
        <f>AVERAGE(B39:B41)</f>
        <v>3.6666666666666665</v>
      </c>
      <c r="C208" s="24">
        <f>AVERAGE(C39:C41)</f>
        <v>0</v>
      </c>
      <c r="D208" s="24">
        <f>AVERAGE(D39:D41)</f>
        <v>232</v>
      </c>
      <c r="E208" s="24">
        <f>AVERAGE(E39:E41)</f>
        <v>1560.6666666666667</v>
      </c>
      <c r="F208" s="24">
        <f>AVERAGE(F39:F41)</f>
        <v>122.66666666666667</v>
      </c>
      <c r="G208" s="24">
        <f>AVERAGE(G37:G39)</f>
        <v>0</v>
      </c>
      <c r="H208" s="24">
        <f>AVERAGE(H39:H41)</f>
        <v>1919</v>
      </c>
    </row>
    <row r="209" spans="1:8" ht="11.25" customHeight="1" x14ac:dyDescent="0.25">
      <c r="A209" s="473">
        <v>2003</v>
      </c>
      <c r="B209" s="24">
        <f t="shared" ref="B209:H215" si="24">B42</f>
        <v>0</v>
      </c>
      <c r="C209" s="24">
        <f t="shared" si="24"/>
        <v>0</v>
      </c>
      <c r="D209" s="24">
        <f t="shared" si="24"/>
        <v>172</v>
      </c>
      <c r="E209" s="24">
        <f t="shared" si="24"/>
        <v>41</v>
      </c>
      <c r="F209" s="24">
        <f t="shared" si="24"/>
        <v>23</v>
      </c>
      <c r="G209" s="24">
        <f t="shared" si="24"/>
        <v>0</v>
      </c>
      <c r="H209" s="24">
        <f t="shared" si="24"/>
        <v>236</v>
      </c>
    </row>
    <row r="210" spans="1:8" ht="11.25" customHeight="1" x14ac:dyDescent="0.25">
      <c r="A210" s="473">
        <v>2005</v>
      </c>
      <c r="B210" s="24">
        <f t="shared" si="24"/>
        <v>0</v>
      </c>
      <c r="C210" s="24">
        <f t="shared" si="24"/>
        <v>0</v>
      </c>
      <c r="D210" s="24">
        <f t="shared" si="24"/>
        <v>186</v>
      </c>
      <c r="E210" s="24">
        <f t="shared" si="24"/>
        <v>198</v>
      </c>
      <c r="F210" s="24">
        <f t="shared" si="24"/>
        <v>3</v>
      </c>
      <c r="G210" s="24">
        <f t="shared" si="24"/>
        <v>0</v>
      </c>
      <c r="H210" s="24">
        <f t="shared" si="24"/>
        <v>387</v>
      </c>
    </row>
    <row r="211" spans="1:8" ht="11.25" customHeight="1" x14ac:dyDescent="0.25">
      <c r="A211" s="477">
        <v>2007</v>
      </c>
      <c r="B211" s="37">
        <f t="shared" si="24"/>
        <v>0</v>
      </c>
      <c r="C211" s="37">
        <f t="shared" si="24"/>
        <v>7</v>
      </c>
      <c r="D211" s="37">
        <f t="shared" si="24"/>
        <v>326</v>
      </c>
      <c r="E211" s="37">
        <f t="shared" si="24"/>
        <v>251</v>
      </c>
      <c r="F211" s="37">
        <f t="shared" si="24"/>
        <v>0</v>
      </c>
      <c r="G211" s="37">
        <f t="shared" si="24"/>
        <v>0</v>
      </c>
      <c r="H211" s="37">
        <f t="shared" si="24"/>
        <v>584</v>
      </c>
    </row>
    <row r="212" spans="1:8" ht="11.25" customHeight="1" x14ac:dyDescent="0.25">
      <c r="A212" s="477">
        <v>2009</v>
      </c>
      <c r="B212" s="37">
        <f t="shared" si="24"/>
        <v>0</v>
      </c>
      <c r="C212" s="37">
        <f t="shared" si="24"/>
        <v>0</v>
      </c>
      <c r="D212" s="37">
        <f t="shared" si="24"/>
        <v>431</v>
      </c>
      <c r="E212" s="37">
        <f t="shared" si="24"/>
        <v>369</v>
      </c>
      <c r="F212" s="37">
        <f t="shared" si="24"/>
        <v>0</v>
      </c>
      <c r="G212" s="37">
        <f t="shared" si="24"/>
        <v>0</v>
      </c>
      <c r="H212" s="37">
        <f t="shared" si="24"/>
        <v>800</v>
      </c>
    </row>
    <row r="213" spans="1:8" ht="11.25" customHeight="1" x14ac:dyDescent="0.25">
      <c r="A213" s="477">
        <v>2011</v>
      </c>
      <c r="B213" s="37">
        <f t="shared" si="24"/>
        <v>0</v>
      </c>
      <c r="C213" s="37">
        <f t="shared" si="24"/>
        <v>6</v>
      </c>
      <c r="D213" s="37">
        <f t="shared" si="24"/>
        <v>718</v>
      </c>
      <c r="E213" s="37">
        <f t="shared" si="24"/>
        <v>334</v>
      </c>
      <c r="F213" s="37">
        <f t="shared" si="24"/>
        <v>16</v>
      </c>
      <c r="G213" s="37">
        <f t="shared" si="24"/>
        <v>0</v>
      </c>
      <c r="H213" s="37">
        <f t="shared" si="24"/>
        <v>1074</v>
      </c>
    </row>
    <row r="214" spans="1:8" ht="11.25" customHeight="1" x14ac:dyDescent="0.25">
      <c r="A214" s="477">
        <v>2013</v>
      </c>
      <c r="B214" s="37">
        <f t="shared" si="24"/>
        <v>0</v>
      </c>
      <c r="C214" s="37">
        <f t="shared" si="24"/>
        <v>0</v>
      </c>
      <c r="D214" s="37">
        <f t="shared" si="24"/>
        <v>89</v>
      </c>
      <c r="E214" s="37">
        <f t="shared" si="24"/>
        <v>120</v>
      </c>
      <c r="F214" s="37">
        <f t="shared" si="24"/>
        <v>0</v>
      </c>
      <c r="G214" s="37">
        <f t="shared" si="24"/>
        <v>0</v>
      </c>
      <c r="H214" s="37">
        <f t="shared" si="24"/>
        <v>209</v>
      </c>
    </row>
    <row r="215" spans="1:8" ht="11.25" customHeight="1" x14ac:dyDescent="0.25">
      <c r="A215" s="477">
        <v>2015</v>
      </c>
      <c r="B215" s="37">
        <f t="shared" si="24"/>
        <v>0</v>
      </c>
      <c r="C215" s="37">
        <f t="shared" si="24"/>
        <v>6</v>
      </c>
      <c r="D215" s="37">
        <f t="shared" si="24"/>
        <v>98</v>
      </c>
      <c r="E215" s="37">
        <f t="shared" si="24"/>
        <v>18</v>
      </c>
      <c r="F215" s="37">
        <f t="shared" si="24"/>
        <v>0</v>
      </c>
      <c r="G215" s="37">
        <f t="shared" si="24"/>
        <v>0</v>
      </c>
      <c r="H215" s="37">
        <f t="shared" si="24"/>
        <v>122</v>
      </c>
    </row>
    <row r="216" spans="1:8" s="358" customFormat="1" ht="11.25" customHeight="1" x14ac:dyDescent="0.25">
      <c r="A216" s="477">
        <v>2017</v>
      </c>
      <c r="B216" s="37">
        <f t="shared" ref="B216:H217" si="25">B49</f>
        <v>0</v>
      </c>
      <c r="C216" s="37">
        <f t="shared" si="25"/>
        <v>0</v>
      </c>
      <c r="D216" s="37">
        <f t="shared" si="25"/>
        <v>61</v>
      </c>
      <c r="E216" s="37">
        <f t="shared" si="25"/>
        <v>134</v>
      </c>
      <c r="F216" s="37">
        <f t="shared" si="25"/>
        <v>0</v>
      </c>
      <c r="G216" s="37">
        <f t="shared" si="25"/>
        <v>0</v>
      </c>
      <c r="H216" s="37">
        <f t="shared" si="25"/>
        <v>195</v>
      </c>
    </row>
    <row r="217" spans="1:8" ht="11.25" customHeight="1" x14ac:dyDescent="0.25">
      <c r="A217" s="477" t="s">
        <v>336</v>
      </c>
      <c r="B217" s="37">
        <f t="shared" si="25"/>
        <v>0</v>
      </c>
      <c r="C217" s="37">
        <f t="shared" si="25"/>
        <v>0</v>
      </c>
      <c r="D217" s="37">
        <f t="shared" si="25"/>
        <v>243</v>
      </c>
      <c r="E217" s="37">
        <f t="shared" si="25"/>
        <v>270</v>
      </c>
      <c r="F217" s="37">
        <f t="shared" si="25"/>
        <v>0</v>
      </c>
      <c r="G217" s="37">
        <f t="shared" si="25"/>
        <v>0</v>
      </c>
      <c r="H217" s="37">
        <f t="shared" si="25"/>
        <v>513</v>
      </c>
    </row>
    <row r="218" spans="1:8" ht="11.25" customHeight="1" x14ac:dyDescent="0.25">
      <c r="A218" s="473"/>
      <c r="B218" s="24"/>
      <c r="C218" s="24"/>
      <c r="D218" s="24"/>
      <c r="E218" s="24"/>
      <c r="F218" s="24"/>
      <c r="G218" s="24"/>
      <c r="H218" s="24"/>
    </row>
    <row r="219" spans="1:8" x14ac:dyDescent="0.25">
      <c r="A219" s="127" t="s">
        <v>407</v>
      </c>
      <c r="B219" s="128"/>
      <c r="C219" s="128"/>
      <c r="D219" s="128"/>
      <c r="E219" s="26"/>
      <c r="F219" s="26"/>
      <c r="G219" s="26"/>
      <c r="H219" s="26"/>
    </row>
    <row r="220" spans="1:8" ht="11.25" customHeight="1" x14ac:dyDescent="0.25">
      <c r="A220" s="473" t="s">
        <v>30</v>
      </c>
      <c r="B220" s="24">
        <f t="shared" ref="B220:H220" si="26">AVERAGE(B55:B57)</f>
        <v>262</v>
      </c>
      <c r="C220" s="24">
        <f t="shared" si="26"/>
        <v>247</v>
      </c>
      <c r="D220" s="24">
        <f t="shared" si="26"/>
        <v>52799</v>
      </c>
      <c r="E220" s="24">
        <f t="shared" si="26"/>
        <v>94797.666666666672</v>
      </c>
      <c r="F220" s="24">
        <f t="shared" si="26"/>
        <v>597</v>
      </c>
      <c r="G220" s="24">
        <f t="shared" si="26"/>
        <v>0</v>
      </c>
      <c r="H220" s="24">
        <f t="shared" si="26"/>
        <v>148702.66666666666</v>
      </c>
    </row>
    <row r="221" spans="1:8" ht="11.25" customHeight="1" x14ac:dyDescent="0.25">
      <c r="A221" s="473" t="s">
        <v>87</v>
      </c>
      <c r="B221" s="24">
        <f t="shared" ref="B221:H221" si="27">AVERAGE(B58:B59)</f>
        <v>119.5</v>
      </c>
      <c r="C221" s="24">
        <f t="shared" si="27"/>
        <v>101</v>
      </c>
      <c r="D221" s="24">
        <f t="shared" si="27"/>
        <v>10312</v>
      </c>
      <c r="E221" s="24">
        <f t="shared" si="27"/>
        <v>22396.5</v>
      </c>
      <c r="F221" s="24">
        <f t="shared" si="27"/>
        <v>591</v>
      </c>
      <c r="G221" s="24">
        <f t="shared" si="27"/>
        <v>0</v>
      </c>
      <c r="H221" s="24">
        <f t="shared" si="27"/>
        <v>33520</v>
      </c>
    </row>
    <row r="222" spans="1:8" ht="11.25" customHeight="1" x14ac:dyDescent="0.25">
      <c r="A222" s="473" t="s">
        <v>14</v>
      </c>
      <c r="B222" s="24">
        <f t="shared" ref="B222:H222" si="28">AVERAGE(B60:B62)</f>
        <v>6.666666666666667</v>
      </c>
      <c r="C222" s="24">
        <f t="shared" si="28"/>
        <v>6.666666666666667</v>
      </c>
      <c r="D222" s="24">
        <f t="shared" si="28"/>
        <v>528.33333333333337</v>
      </c>
      <c r="E222" s="24">
        <f t="shared" si="28"/>
        <v>30859.333333333332</v>
      </c>
      <c r="F222" s="24">
        <f t="shared" si="28"/>
        <v>651</v>
      </c>
      <c r="G222" s="24">
        <f t="shared" si="28"/>
        <v>0</v>
      </c>
      <c r="H222" s="24">
        <f t="shared" si="28"/>
        <v>32052</v>
      </c>
    </row>
    <row r="223" spans="1:8" ht="11.25" customHeight="1" x14ac:dyDescent="0.25">
      <c r="A223" s="473" t="s">
        <v>243</v>
      </c>
      <c r="B223" s="24">
        <f>AVERAGE(B63:B65)</f>
        <v>4.666666666666667</v>
      </c>
      <c r="C223" s="24">
        <f>AVERAGE(C63:C65)</f>
        <v>4.333333333333333</v>
      </c>
      <c r="D223" s="24">
        <f>AVERAGE(D63:D65)</f>
        <v>249</v>
      </c>
      <c r="E223" s="24">
        <f>AVERAGE(E63:E65)</f>
        <v>1567.6666666666667</v>
      </c>
      <c r="F223" s="24">
        <f>AVERAGE(F63:F65)</f>
        <v>122.66666666666667</v>
      </c>
      <c r="G223" s="24">
        <f>AVERAGE(G61:G63)</f>
        <v>0</v>
      </c>
      <c r="H223" s="24">
        <f>AVERAGE(H63:H65)</f>
        <v>1948.3333333333333</v>
      </c>
    </row>
    <row r="224" spans="1:8" ht="11.25" customHeight="1" x14ac:dyDescent="0.25">
      <c r="A224" s="473">
        <v>2003</v>
      </c>
      <c r="B224" s="24">
        <f t="shared" ref="B224:H230" si="29">B66</f>
        <v>0</v>
      </c>
      <c r="C224" s="24">
        <f t="shared" si="29"/>
        <v>0</v>
      </c>
      <c r="D224" s="24">
        <f t="shared" si="29"/>
        <v>314</v>
      </c>
      <c r="E224" s="24">
        <f t="shared" si="29"/>
        <v>104</v>
      </c>
      <c r="F224" s="24">
        <f t="shared" si="29"/>
        <v>33</v>
      </c>
      <c r="G224" s="24">
        <f t="shared" si="29"/>
        <v>0</v>
      </c>
      <c r="H224" s="24">
        <f t="shared" si="29"/>
        <v>451</v>
      </c>
    </row>
    <row r="225" spans="1:8" ht="11.25" customHeight="1" x14ac:dyDescent="0.25">
      <c r="A225" s="473">
        <v>2005</v>
      </c>
      <c r="B225" s="24">
        <f t="shared" si="29"/>
        <v>4</v>
      </c>
      <c r="C225" s="24">
        <f t="shared" si="29"/>
        <v>0</v>
      </c>
      <c r="D225" s="24">
        <f t="shared" si="29"/>
        <v>188</v>
      </c>
      <c r="E225" s="24">
        <f t="shared" si="29"/>
        <v>200</v>
      </c>
      <c r="F225" s="24">
        <f t="shared" si="29"/>
        <v>3</v>
      </c>
      <c r="G225" s="24">
        <f t="shared" si="29"/>
        <v>0</v>
      </c>
      <c r="H225" s="24">
        <f t="shared" si="29"/>
        <v>395</v>
      </c>
    </row>
    <row r="226" spans="1:8" ht="11.25" customHeight="1" x14ac:dyDescent="0.25">
      <c r="A226" s="477">
        <v>2007</v>
      </c>
      <c r="B226" s="37">
        <f t="shared" si="29"/>
        <v>8</v>
      </c>
      <c r="C226" s="37">
        <f t="shared" si="29"/>
        <v>26</v>
      </c>
      <c r="D226" s="37">
        <f t="shared" si="29"/>
        <v>445</v>
      </c>
      <c r="E226" s="37">
        <f t="shared" si="29"/>
        <v>252</v>
      </c>
      <c r="F226" s="37">
        <f t="shared" si="29"/>
        <v>0</v>
      </c>
      <c r="G226" s="37">
        <f t="shared" si="29"/>
        <v>0</v>
      </c>
      <c r="H226" s="37">
        <f t="shared" si="29"/>
        <v>731</v>
      </c>
    </row>
    <row r="227" spans="1:8" ht="11.25" customHeight="1" x14ac:dyDescent="0.25">
      <c r="A227" s="477">
        <v>2009</v>
      </c>
      <c r="B227" s="37">
        <f t="shared" si="29"/>
        <v>1</v>
      </c>
      <c r="C227" s="37">
        <f t="shared" si="29"/>
        <v>14</v>
      </c>
      <c r="D227" s="37">
        <f t="shared" si="29"/>
        <v>513</v>
      </c>
      <c r="E227" s="37">
        <f t="shared" si="29"/>
        <v>406</v>
      </c>
      <c r="F227" s="37">
        <f t="shared" si="29"/>
        <v>1</v>
      </c>
      <c r="G227" s="37">
        <f t="shared" si="29"/>
        <v>0</v>
      </c>
      <c r="H227" s="37">
        <f t="shared" si="29"/>
        <v>935</v>
      </c>
    </row>
    <row r="228" spans="1:8" ht="11.25" customHeight="1" x14ac:dyDescent="0.25">
      <c r="A228" s="477">
        <v>2011</v>
      </c>
      <c r="B228" s="37">
        <f t="shared" si="29"/>
        <v>0</v>
      </c>
      <c r="C228" s="37">
        <f t="shared" si="29"/>
        <v>6</v>
      </c>
      <c r="D228" s="37">
        <f t="shared" si="29"/>
        <v>721</v>
      </c>
      <c r="E228" s="37">
        <f t="shared" si="29"/>
        <v>452</v>
      </c>
      <c r="F228" s="37">
        <f t="shared" si="29"/>
        <v>109</v>
      </c>
      <c r="G228" s="37">
        <f t="shared" si="29"/>
        <v>1</v>
      </c>
      <c r="H228" s="37">
        <f t="shared" si="29"/>
        <v>1289</v>
      </c>
    </row>
    <row r="229" spans="1:8" ht="11.25" customHeight="1" x14ac:dyDescent="0.25">
      <c r="A229" s="477">
        <v>2013</v>
      </c>
      <c r="B229" s="37">
        <f t="shared" si="29"/>
        <v>0</v>
      </c>
      <c r="C229" s="37">
        <f t="shared" si="29"/>
        <v>2</v>
      </c>
      <c r="D229" s="37">
        <f t="shared" si="29"/>
        <v>89</v>
      </c>
      <c r="E229" s="37">
        <f t="shared" si="29"/>
        <v>221</v>
      </c>
      <c r="F229" s="37">
        <f t="shared" si="29"/>
        <v>37</v>
      </c>
      <c r="G229" s="37">
        <f t="shared" si="29"/>
        <v>1</v>
      </c>
      <c r="H229" s="37">
        <f t="shared" si="29"/>
        <v>350</v>
      </c>
    </row>
    <row r="230" spans="1:8" ht="11.25" customHeight="1" x14ac:dyDescent="0.25">
      <c r="A230" s="477">
        <v>2015</v>
      </c>
      <c r="B230" s="37">
        <f t="shared" si="29"/>
        <v>0</v>
      </c>
      <c r="C230" s="37">
        <f t="shared" si="29"/>
        <v>7</v>
      </c>
      <c r="D230" s="37">
        <f t="shared" si="29"/>
        <v>118</v>
      </c>
      <c r="E230" s="37">
        <f t="shared" si="29"/>
        <v>65</v>
      </c>
      <c r="F230" s="37">
        <f t="shared" si="29"/>
        <v>0</v>
      </c>
      <c r="G230" s="37">
        <f t="shared" si="29"/>
        <v>0</v>
      </c>
      <c r="H230" s="37">
        <f t="shared" si="29"/>
        <v>190</v>
      </c>
    </row>
    <row r="231" spans="1:8" s="358" customFormat="1" ht="11.25" customHeight="1" x14ac:dyDescent="0.25">
      <c r="A231" s="477">
        <v>2017</v>
      </c>
      <c r="B231" s="37">
        <f t="shared" ref="B231:H232" si="30">B73</f>
        <v>0</v>
      </c>
      <c r="C231" s="37">
        <f t="shared" si="30"/>
        <v>0</v>
      </c>
      <c r="D231" s="37">
        <f t="shared" si="30"/>
        <v>61</v>
      </c>
      <c r="E231" s="37">
        <f t="shared" si="30"/>
        <v>134</v>
      </c>
      <c r="F231" s="37">
        <f t="shared" si="30"/>
        <v>0</v>
      </c>
      <c r="G231" s="37">
        <f t="shared" si="30"/>
        <v>0</v>
      </c>
      <c r="H231" s="37">
        <f t="shared" si="30"/>
        <v>195</v>
      </c>
    </row>
    <row r="232" spans="1:8" ht="11.25" customHeight="1" x14ac:dyDescent="0.25">
      <c r="A232" s="477" t="s">
        <v>336</v>
      </c>
      <c r="B232" s="37">
        <f t="shared" si="30"/>
        <v>0</v>
      </c>
      <c r="C232" s="37">
        <f t="shared" si="30"/>
        <v>0</v>
      </c>
      <c r="D232" s="37">
        <f t="shared" si="30"/>
        <v>243</v>
      </c>
      <c r="E232" s="37">
        <f t="shared" si="30"/>
        <v>270</v>
      </c>
      <c r="F232" s="37">
        <f t="shared" si="30"/>
        <v>0</v>
      </c>
      <c r="G232" s="37">
        <f t="shared" si="30"/>
        <v>0</v>
      </c>
      <c r="H232" s="37">
        <f t="shared" si="30"/>
        <v>513</v>
      </c>
    </row>
    <row r="233" spans="1:8" ht="11.25" customHeight="1" x14ac:dyDescent="0.25">
      <c r="A233" s="473"/>
      <c r="B233" s="24"/>
      <c r="C233" s="24"/>
      <c r="D233" s="24"/>
      <c r="E233" s="24"/>
      <c r="F233" s="24"/>
      <c r="G233" s="24"/>
      <c r="H233" s="24"/>
    </row>
    <row r="234" spans="1:8" ht="11.25" customHeight="1" x14ac:dyDescent="0.25">
      <c r="A234" s="116" t="s">
        <v>96</v>
      </c>
      <c r="B234" s="24"/>
      <c r="C234" s="24"/>
      <c r="D234" s="24"/>
      <c r="E234" s="24"/>
      <c r="F234" s="24"/>
      <c r="G234" s="24"/>
      <c r="H234" s="24"/>
    </row>
    <row r="235" spans="1:8" ht="11.25" customHeight="1" x14ac:dyDescent="0.25">
      <c r="A235" s="473" t="s">
        <v>30</v>
      </c>
      <c r="B235" s="24">
        <f>AVERAGE(B79:B81)</f>
        <v>5</v>
      </c>
      <c r="C235" s="24">
        <f>AVERAGE(C79:C81)</f>
        <v>3.6666666666666665</v>
      </c>
      <c r="D235" s="24">
        <f>AVERAGE(D79:D81)</f>
        <v>842.33333333333337</v>
      </c>
      <c r="E235" s="24">
        <f>AVERAGE(E79:E81)</f>
        <v>2326.6666666666665</v>
      </c>
      <c r="F235" s="24">
        <f>AVERAGE(F79:F81)</f>
        <v>0.33333333333333331</v>
      </c>
      <c r="G235" s="24">
        <f>G66</f>
        <v>0</v>
      </c>
      <c r="H235" s="24">
        <f>AVERAGE(H79:H81)</f>
        <v>3178</v>
      </c>
    </row>
    <row r="236" spans="1:8" ht="11.25" customHeight="1" x14ac:dyDescent="0.25">
      <c r="A236" s="473" t="s">
        <v>87</v>
      </c>
      <c r="B236" s="24">
        <f>AVERAGE(B82:B83)</f>
        <v>0</v>
      </c>
      <c r="C236" s="24">
        <f>AVERAGE(C82:C83)</f>
        <v>0</v>
      </c>
      <c r="D236" s="24">
        <f>AVERAGE(D82:D83)</f>
        <v>109</v>
      </c>
      <c r="E236" s="24">
        <f>AVERAGE(E82:E83)</f>
        <v>1</v>
      </c>
      <c r="F236" s="24">
        <f>AVERAGE(F82:F83)</f>
        <v>1</v>
      </c>
      <c r="G236" s="24" t="s">
        <v>29</v>
      </c>
      <c r="H236" s="24">
        <f>AVERAGE(H82:H83)</f>
        <v>111</v>
      </c>
    </row>
    <row r="237" spans="1:8" ht="11.25" customHeight="1" x14ac:dyDescent="0.25">
      <c r="A237" s="473" t="s">
        <v>14</v>
      </c>
      <c r="B237" s="24">
        <f>AVERAGE(B84:B86)</f>
        <v>0</v>
      </c>
      <c r="C237" s="24">
        <f>AVERAGE(C84:C86)</f>
        <v>0</v>
      </c>
      <c r="D237" s="24">
        <f>AVERAGE(D84:D86)</f>
        <v>0</v>
      </c>
      <c r="E237" s="24">
        <f>AVERAGE(E84:E86)</f>
        <v>55</v>
      </c>
      <c r="F237" s="24">
        <f>AVERAGE(F84:F86)</f>
        <v>0</v>
      </c>
      <c r="G237" s="24" t="s">
        <v>29</v>
      </c>
      <c r="H237" s="24">
        <f>AVERAGE(H84:H86)</f>
        <v>55</v>
      </c>
    </row>
    <row r="238" spans="1:8" ht="11.25" customHeight="1" x14ac:dyDescent="0.25">
      <c r="A238" s="473" t="s">
        <v>243</v>
      </c>
      <c r="B238" s="24">
        <f>AVERAGE(B87:B89)</f>
        <v>65</v>
      </c>
      <c r="C238" s="24">
        <f>AVERAGE(C87:C89)</f>
        <v>16.666666666666668</v>
      </c>
      <c r="D238" s="24">
        <f>AVERAGE(D87:D89)</f>
        <v>16.666666666666668</v>
      </c>
      <c r="E238" s="24">
        <f>AVERAGE(E87:E89)</f>
        <v>17</v>
      </c>
      <c r="F238" s="24">
        <f>AVERAGE(F87:F89)</f>
        <v>0</v>
      </c>
      <c r="G238" s="24" t="str">
        <f>G87</f>
        <v>-</v>
      </c>
      <c r="H238" s="24">
        <f>AVERAGE(H87:H89)</f>
        <v>115.33333333333333</v>
      </c>
    </row>
    <row r="239" spans="1:8" ht="11.25" customHeight="1" x14ac:dyDescent="0.25">
      <c r="A239" s="473">
        <v>2003</v>
      </c>
      <c r="B239" s="24">
        <f t="shared" ref="B239:H245" si="31">B90</f>
        <v>0</v>
      </c>
      <c r="C239" s="24">
        <f t="shared" si="31"/>
        <v>2</v>
      </c>
      <c r="D239" s="24">
        <f t="shared" si="31"/>
        <v>43</v>
      </c>
      <c r="E239" s="24">
        <f t="shared" si="31"/>
        <v>16</v>
      </c>
      <c r="F239" s="24">
        <f t="shared" si="31"/>
        <v>0</v>
      </c>
      <c r="G239" s="24" t="str">
        <f t="shared" si="31"/>
        <v>-</v>
      </c>
      <c r="H239" s="24">
        <f t="shared" si="31"/>
        <v>61</v>
      </c>
    </row>
    <row r="240" spans="1:8" ht="11.25" customHeight="1" x14ac:dyDescent="0.25">
      <c r="A240" s="473">
        <v>2005</v>
      </c>
      <c r="B240" s="24">
        <f t="shared" si="31"/>
        <v>0</v>
      </c>
      <c r="C240" s="24">
        <f t="shared" si="31"/>
        <v>0</v>
      </c>
      <c r="D240" s="24">
        <f t="shared" si="31"/>
        <v>1</v>
      </c>
      <c r="E240" s="24">
        <f t="shared" si="31"/>
        <v>1</v>
      </c>
      <c r="F240" s="24">
        <f t="shared" si="31"/>
        <v>1</v>
      </c>
      <c r="G240" s="24" t="str">
        <f t="shared" si="31"/>
        <v>-</v>
      </c>
      <c r="H240" s="24">
        <f t="shared" si="31"/>
        <v>3</v>
      </c>
    </row>
    <row r="241" spans="1:8" ht="11.25" customHeight="1" x14ac:dyDescent="0.25">
      <c r="A241" s="477">
        <v>2007</v>
      </c>
      <c r="B241" s="37">
        <f t="shared" si="31"/>
        <v>65</v>
      </c>
      <c r="C241" s="37">
        <f t="shared" si="31"/>
        <v>0</v>
      </c>
      <c r="D241" s="37">
        <f t="shared" si="31"/>
        <v>4</v>
      </c>
      <c r="E241" s="37">
        <f t="shared" si="31"/>
        <v>11</v>
      </c>
      <c r="F241" s="37">
        <f t="shared" si="31"/>
        <v>0</v>
      </c>
      <c r="G241" s="37" t="str">
        <f t="shared" si="31"/>
        <v>-</v>
      </c>
      <c r="H241" s="37">
        <f t="shared" si="31"/>
        <v>80</v>
      </c>
    </row>
    <row r="242" spans="1:8" ht="11.25" customHeight="1" x14ac:dyDescent="0.25">
      <c r="A242" s="477">
        <v>2009</v>
      </c>
      <c r="B242" s="37">
        <f t="shared" si="31"/>
        <v>0</v>
      </c>
      <c r="C242" s="37">
        <f t="shared" si="31"/>
        <v>0</v>
      </c>
      <c r="D242" s="37">
        <f t="shared" si="31"/>
        <v>2</v>
      </c>
      <c r="E242" s="37">
        <f t="shared" si="31"/>
        <v>8</v>
      </c>
      <c r="F242" s="37">
        <f t="shared" si="31"/>
        <v>8</v>
      </c>
      <c r="G242" s="37" t="str">
        <f t="shared" si="31"/>
        <v>-</v>
      </c>
      <c r="H242" s="37">
        <f t="shared" si="31"/>
        <v>18</v>
      </c>
    </row>
    <row r="243" spans="1:8" ht="11.25" customHeight="1" x14ac:dyDescent="0.25">
      <c r="A243" s="477">
        <v>2011</v>
      </c>
      <c r="B243" s="37">
        <f t="shared" si="31"/>
        <v>0</v>
      </c>
      <c r="C243" s="37">
        <f t="shared" si="31"/>
        <v>36</v>
      </c>
      <c r="D243" s="37">
        <f t="shared" si="31"/>
        <v>5</v>
      </c>
      <c r="E243" s="37">
        <f t="shared" si="31"/>
        <v>8</v>
      </c>
      <c r="F243" s="37">
        <f t="shared" si="31"/>
        <v>0</v>
      </c>
      <c r="G243" s="37" t="str">
        <f t="shared" si="31"/>
        <v>-</v>
      </c>
      <c r="H243" s="37">
        <f t="shared" si="31"/>
        <v>49</v>
      </c>
    </row>
    <row r="244" spans="1:8" ht="11.25" customHeight="1" x14ac:dyDescent="0.25">
      <c r="A244" s="477">
        <v>2013</v>
      </c>
      <c r="B244" s="37">
        <f t="shared" si="31"/>
        <v>0</v>
      </c>
      <c r="C244" s="37">
        <f t="shared" si="31"/>
        <v>0</v>
      </c>
      <c r="D244" s="37">
        <f t="shared" si="31"/>
        <v>0</v>
      </c>
      <c r="E244" s="37">
        <f t="shared" si="31"/>
        <v>0</v>
      </c>
      <c r="F244" s="37">
        <f t="shared" si="31"/>
        <v>0</v>
      </c>
      <c r="G244" s="37" t="str">
        <f t="shared" si="31"/>
        <v>-</v>
      </c>
      <c r="H244" s="37">
        <f t="shared" si="31"/>
        <v>0</v>
      </c>
    </row>
    <row r="245" spans="1:8" ht="11.25" customHeight="1" x14ac:dyDescent="0.25">
      <c r="A245" s="477">
        <v>2015</v>
      </c>
      <c r="B245" s="37">
        <f t="shared" si="31"/>
        <v>0</v>
      </c>
      <c r="C245" s="37">
        <f t="shared" si="31"/>
        <v>0</v>
      </c>
      <c r="D245" s="37">
        <f t="shared" si="31"/>
        <v>0</v>
      </c>
      <c r="E245" s="37">
        <f t="shared" si="31"/>
        <v>0</v>
      </c>
      <c r="F245" s="37">
        <f t="shared" si="31"/>
        <v>0</v>
      </c>
      <c r="G245" s="37" t="str">
        <f t="shared" si="31"/>
        <v>-</v>
      </c>
      <c r="H245" s="37">
        <f t="shared" si="31"/>
        <v>0</v>
      </c>
    </row>
    <row r="246" spans="1:8" s="358" customFormat="1" ht="11.25" customHeight="1" x14ac:dyDescent="0.25">
      <c r="A246" s="477">
        <v>2017</v>
      </c>
      <c r="B246" s="37">
        <f t="shared" ref="B246:H247" si="32">B97</f>
        <v>0</v>
      </c>
      <c r="C246" s="37">
        <f>C97</f>
        <v>0</v>
      </c>
      <c r="D246" s="37">
        <f t="shared" si="32"/>
        <v>0</v>
      </c>
      <c r="E246" s="37">
        <f t="shared" si="32"/>
        <v>0</v>
      </c>
      <c r="F246" s="37">
        <f t="shared" si="32"/>
        <v>0</v>
      </c>
      <c r="G246" s="37" t="str">
        <f t="shared" si="32"/>
        <v>-</v>
      </c>
      <c r="H246" s="37">
        <f t="shared" si="32"/>
        <v>0</v>
      </c>
    </row>
    <row r="247" spans="1:8" ht="11.25" customHeight="1" x14ac:dyDescent="0.25">
      <c r="A247" s="477" t="s">
        <v>336</v>
      </c>
      <c r="B247" s="37">
        <f t="shared" si="32"/>
        <v>0</v>
      </c>
      <c r="C247" s="37">
        <f>C98</f>
        <v>0</v>
      </c>
      <c r="D247" s="37">
        <f t="shared" si="32"/>
        <v>0</v>
      </c>
      <c r="E247" s="37">
        <f t="shared" si="32"/>
        <v>0</v>
      </c>
      <c r="F247" s="37">
        <f t="shared" si="32"/>
        <v>0</v>
      </c>
      <c r="G247" s="37" t="str">
        <f t="shared" si="32"/>
        <v>-</v>
      </c>
      <c r="H247" s="37">
        <f t="shared" si="32"/>
        <v>0</v>
      </c>
    </row>
    <row r="248" spans="1:8" ht="11.25" customHeight="1" x14ac:dyDescent="0.25">
      <c r="A248" s="477"/>
      <c r="B248" s="37"/>
      <c r="C248" s="37"/>
      <c r="D248" s="37"/>
      <c r="E248" s="37"/>
      <c r="F248" s="37"/>
      <c r="G248" s="37"/>
      <c r="H248" s="37"/>
    </row>
    <row r="249" spans="1:8" ht="11.25" customHeight="1" x14ac:dyDescent="0.25">
      <c r="A249" s="572" t="s">
        <v>386</v>
      </c>
      <c r="B249" s="572"/>
      <c r="C249" s="572"/>
      <c r="D249" s="572"/>
      <c r="E249" s="572"/>
      <c r="F249" s="572"/>
      <c r="G249" s="572"/>
      <c r="H249" s="572"/>
    </row>
    <row r="250" spans="1:8" ht="11.25" customHeight="1" x14ac:dyDescent="0.25">
      <c r="A250" s="590"/>
      <c r="B250" s="590"/>
      <c r="C250" s="590"/>
      <c r="D250" s="590"/>
      <c r="E250" s="590"/>
      <c r="F250" s="590"/>
      <c r="G250" s="590"/>
      <c r="H250" s="590"/>
    </row>
    <row r="251" spans="1:8" ht="11.25" customHeight="1" x14ac:dyDescent="0.25">
      <c r="A251" s="469" t="s">
        <v>33</v>
      </c>
      <c r="B251" s="471" t="s">
        <v>104</v>
      </c>
      <c r="C251" s="471" t="s">
        <v>36</v>
      </c>
      <c r="D251" s="471" t="s">
        <v>105</v>
      </c>
      <c r="E251" s="471" t="s">
        <v>106</v>
      </c>
      <c r="F251" s="471" t="s">
        <v>107</v>
      </c>
      <c r="G251" s="471" t="s">
        <v>108</v>
      </c>
      <c r="H251" s="471" t="s">
        <v>28</v>
      </c>
    </row>
    <row r="252" spans="1:8" x14ac:dyDescent="0.25">
      <c r="A252" s="126" t="s">
        <v>97</v>
      </c>
      <c r="B252" s="26"/>
      <c r="C252" s="26"/>
      <c r="D252" s="26"/>
      <c r="E252" s="26"/>
      <c r="F252" s="26"/>
      <c r="G252" s="26"/>
      <c r="H252" s="26"/>
    </row>
    <row r="253" spans="1:8" ht="11.25" customHeight="1" x14ac:dyDescent="0.25">
      <c r="A253" s="473" t="s">
        <v>30</v>
      </c>
      <c r="B253" s="24">
        <f>AVERAGE(B103:B105)</f>
        <v>235.33333333333334</v>
      </c>
      <c r="C253" s="24">
        <f t="shared" ref="C253:H253" si="33">AVERAGE(C103:C105)</f>
        <v>36.666666666666664</v>
      </c>
      <c r="D253" s="24">
        <f t="shared" si="33"/>
        <v>51433.666666666664</v>
      </c>
      <c r="E253" s="24">
        <f t="shared" si="33"/>
        <v>89318</v>
      </c>
      <c r="F253" s="24">
        <f t="shared" si="33"/>
        <v>277</v>
      </c>
      <c r="G253" s="24" t="str">
        <f>G85</f>
        <v>-</v>
      </c>
      <c r="H253" s="24">
        <f t="shared" si="33"/>
        <v>141300.66666666666</v>
      </c>
    </row>
    <row r="254" spans="1:8" ht="11.25" customHeight="1" x14ac:dyDescent="0.25">
      <c r="A254" s="473" t="s">
        <v>87</v>
      </c>
      <c r="B254" s="24">
        <f>AVERAGE(B106:B107)</f>
        <v>114.5</v>
      </c>
      <c r="C254" s="24">
        <f t="shared" ref="C254:H254" si="34">AVERAGE(C106:C107)</f>
        <v>91</v>
      </c>
      <c r="D254" s="24">
        <f t="shared" si="34"/>
        <v>1430</v>
      </c>
      <c r="E254" s="24">
        <f t="shared" si="34"/>
        <v>18144</v>
      </c>
      <c r="F254" s="24">
        <f t="shared" si="34"/>
        <v>1</v>
      </c>
      <c r="G254" s="24" t="str">
        <f>G86</f>
        <v>-</v>
      </c>
      <c r="H254" s="24">
        <f t="shared" si="34"/>
        <v>19780.5</v>
      </c>
    </row>
    <row r="255" spans="1:8" ht="11.25" customHeight="1" x14ac:dyDescent="0.25">
      <c r="A255" s="473" t="s">
        <v>14</v>
      </c>
      <c r="B255" s="24">
        <f>AVERAGE(B108:B110)</f>
        <v>6.666666666666667</v>
      </c>
      <c r="C255" s="24">
        <f t="shared" ref="C255:H255" si="35">AVERAGE(C108:C110)</f>
        <v>6</v>
      </c>
      <c r="D255" s="24">
        <f t="shared" si="35"/>
        <v>29.333333333333332</v>
      </c>
      <c r="E255" s="24">
        <f t="shared" si="35"/>
        <v>25395.333333333332</v>
      </c>
      <c r="F255" s="24">
        <f t="shared" si="35"/>
        <v>390</v>
      </c>
      <c r="G255" s="24" t="str">
        <f>G87</f>
        <v>-</v>
      </c>
      <c r="H255" s="24">
        <f t="shared" si="35"/>
        <v>25827.333333333332</v>
      </c>
    </row>
    <row r="256" spans="1:8" ht="11.25" customHeight="1" x14ac:dyDescent="0.25">
      <c r="A256" s="473" t="s">
        <v>243</v>
      </c>
      <c r="B256" s="24">
        <f>AVERAGE(B111:B113)</f>
        <v>66</v>
      </c>
      <c r="C256" s="24">
        <f>AVERAGE(C111:C113)</f>
        <v>21</v>
      </c>
      <c r="D256" s="24">
        <f>AVERAGE(D111:D113)</f>
        <v>33.666666666666664</v>
      </c>
      <c r="E256" s="24">
        <f>AVERAGE(E111:E113)</f>
        <v>24</v>
      </c>
      <c r="F256" s="24">
        <f>AVERAGE(F111:F113)</f>
        <v>0</v>
      </c>
      <c r="G256" s="24" t="str">
        <f>G111</f>
        <v>-</v>
      </c>
      <c r="H256" s="24">
        <f>AVERAGE(H111:H113)</f>
        <v>144.66666666666666</v>
      </c>
    </row>
    <row r="257" spans="1:8" ht="11.25" customHeight="1" x14ac:dyDescent="0.25">
      <c r="A257" s="473">
        <v>2003</v>
      </c>
      <c r="B257" s="24">
        <f t="shared" ref="B257:H257" si="36">B114</f>
        <v>0</v>
      </c>
      <c r="C257" s="24">
        <f t="shared" si="36"/>
        <v>2</v>
      </c>
      <c r="D257" s="24">
        <f t="shared" si="36"/>
        <v>185</v>
      </c>
      <c r="E257" s="24">
        <f t="shared" si="36"/>
        <v>79</v>
      </c>
      <c r="F257" s="24">
        <f t="shared" si="36"/>
        <v>10</v>
      </c>
      <c r="G257" s="24" t="str">
        <f t="shared" si="36"/>
        <v>-</v>
      </c>
      <c r="H257" s="24">
        <f t="shared" si="36"/>
        <v>276</v>
      </c>
    </row>
    <row r="258" spans="1:8" ht="11.25" customHeight="1" x14ac:dyDescent="0.25">
      <c r="A258" s="473">
        <v>2005</v>
      </c>
      <c r="B258" s="24">
        <f t="shared" ref="B258:H258" si="37">B115</f>
        <v>4</v>
      </c>
      <c r="C258" s="24">
        <f t="shared" si="37"/>
        <v>0</v>
      </c>
      <c r="D258" s="24">
        <f t="shared" si="37"/>
        <v>3</v>
      </c>
      <c r="E258" s="24">
        <f t="shared" si="37"/>
        <v>3</v>
      </c>
      <c r="F258" s="24">
        <f t="shared" si="37"/>
        <v>1</v>
      </c>
      <c r="G258" s="24" t="str">
        <f t="shared" si="37"/>
        <v>-</v>
      </c>
      <c r="H258" s="24">
        <f t="shared" si="37"/>
        <v>11</v>
      </c>
    </row>
    <row r="259" spans="1:8" ht="11.25" customHeight="1" x14ac:dyDescent="0.25">
      <c r="A259" s="477">
        <v>2007</v>
      </c>
      <c r="B259" s="37">
        <f t="shared" ref="B259:H259" si="38">B116</f>
        <v>73</v>
      </c>
      <c r="C259" s="37">
        <f t="shared" si="38"/>
        <v>19</v>
      </c>
      <c r="D259" s="37">
        <f t="shared" si="38"/>
        <v>123</v>
      </c>
      <c r="E259" s="37">
        <f t="shared" si="38"/>
        <v>12</v>
      </c>
      <c r="F259" s="37">
        <f t="shared" si="38"/>
        <v>0</v>
      </c>
      <c r="G259" s="37" t="str">
        <f t="shared" si="38"/>
        <v>-</v>
      </c>
      <c r="H259" s="37">
        <f t="shared" si="38"/>
        <v>227</v>
      </c>
    </row>
    <row r="260" spans="1:8" ht="11.25" customHeight="1" x14ac:dyDescent="0.25">
      <c r="A260" s="477">
        <v>2009</v>
      </c>
      <c r="B260" s="37">
        <f t="shared" ref="B260:H260" si="39">B117</f>
        <v>1</v>
      </c>
      <c r="C260" s="37">
        <f t="shared" si="39"/>
        <v>14</v>
      </c>
      <c r="D260" s="37">
        <f t="shared" si="39"/>
        <v>84</v>
      </c>
      <c r="E260" s="37">
        <f t="shared" si="39"/>
        <v>45</v>
      </c>
      <c r="F260" s="37">
        <f t="shared" si="39"/>
        <v>9</v>
      </c>
      <c r="G260" s="37" t="str">
        <f t="shared" si="39"/>
        <v>-</v>
      </c>
      <c r="H260" s="37">
        <f t="shared" si="39"/>
        <v>153</v>
      </c>
    </row>
    <row r="261" spans="1:8" ht="11.25" customHeight="1" x14ac:dyDescent="0.25">
      <c r="A261" s="477">
        <v>2011</v>
      </c>
      <c r="B261" s="37">
        <f t="shared" ref="B261:H261" si="40">B118</f>
        <v>0</v>
      </c>
      <c r="C261" s="37">
        <f t="shared" si="40"/>
        <v>36</v>
      </c>
      <c r="D261" s="37">
        <f t="shared" si="40"/>
        <v>8</v>
      </c>
      <c r="E261" s="37">
        <f t="shared" si="40"/>
        <v>126</v>
      </c>
      <c r="F261" s="37">
        <f t="shared" si="40"/>
        <v>93</v>
      </c>
      <c r="G261" s="37">
        <f t="shared" si="40"/>
        <v>1</v>
      </c>
      <c r="H261" s="37">
        <f t="shared" si="40"/>
        <v>264</v>
      </c>
    </row>
    <row r="262" spans="1:8" ht="11.25" customHeight="1" x14ac:dyDescent="0.25">
      <c r="A262" s="477">
        <v>2013</v>
      </c>
      <c r="B262" s="37">
        <f t="shared" ref="B262:H262" si="41">B119</f>
        <v>0</v>
      </c>
      <c r="C262" s="37">
        <f t="shared" si="41"/>
        <v>2</v>
      </c>
      <c r="D262" s="37">
        <f t="shared" si="41"/>
        <v>0</v>
      </c>
      <c r="E262" s="37">
        <f t="shared" si="41"/>
        <v>101</v>
      </c>
      <c r="F262" s="37">
        <f t="shared" si="41"/>
        <v>37</v>
      </c>
      <c r="G262" s="37">
        <f t="shared" si="41"/>
        <v>1</v>
      </c>
      <c r="H262" s="37">
        <f t="shared" si="41"/>
        <v>141</v>
      </c>
    </row>
    <row r="263" spans="1:8" ht="11.25" customHeight="1" x14ac:dyDescent="0.25">
      <c r="A263" s="477">
        <v>2015</v>
      </c>
      <c r="B263" s="37">
        <f t="shared" ref="B263:H263" si="42">B120</f>
        <v>0</v>
      </c>
      <c r="C263" s="37">
        <f t="shared" si="42"/>
        <v>1</v>
      </c>
      <c r="D263" s="37">
        <f t="shared" si="42"/>
        <v>20</v>
      </c>
      <c r="E263" s="37">
        <f t="shared" si="42"/>
        <v>47</v>
      </c>
      <c r="F263" s="37">
        <f t="shared" si="42"/>
        <v>0</v>
      </c>
      <c r="G263" s="37">
        <f t="shared" si="42"/>
        <v>0</v>
      </c>
      <c r="H263" s="37">
        <f t="shared" si="42"/>
        <v>68</v>
      </c>
    </row>
    <row r="264" spans="1:8" s="358" customFormat="1" ht="11.25" customHeight="1" x14ac:dyDescent="0.25">
      <c r="A264" s="477">
        <v>2017</v>
      </c>
      <c r="B264" s="37">
        <f t="shared" ref="B264:H265" si="43">B121</f>
        <v>0</v>
      </c>
      <c r="C264" s="37">
        <f t="shared" si="43"/>
        <v>0</v>
      </c>
      <c r="D264" s="37">
        <f t="shared" si="43"/>
        <v>0</v>
      </c>
      <c r="E264" s="37">
        <f t="shared" si="43"/>
        <v>0</v>
      </c>
      <c r="F264" s="37">
        <f t="shared" si="43"/>
        <v>0</v>
      </c>
      <c r="G264" s="37">
        <f t="shared" si="43"/>
        <v>0</v>
      </c>
      <c r="H264" s="37">
        <f t="shared" si="43"/>
        <v>0</v>
      </c>
    </row>
    <row r="265" spans="1:8" ht="11.25" customHeight="1" x14ac:dyDescent="0.25">
      <c r="A265" s="477" t="s">
        <v>336</v>
      </c>
      <c r="B265" s="24">
        <f t="shared" si="43"/>
        <v>0</v>
      </c>
      <c r="C265" s="24">
        <f t="shared" si="43"/>
        <v>0</v>
      </c>
      <c r="D265" s="24">
        <f t="shared" si="43"/>
        <v>0</v>
      </c>
      <c r="E265" s="24">
        <f t="shared" si="43"/>
        <v>0</v>
      </c>
      <c r="F265" s="24">
        <f t="shared" si="43"/>
        <v>0</v>
      </c>
      <c r="G265" s="24">
        <f t="shared" si="43"/>
        <v>0</v>
      </c>
      <c r="H265" s="24">
        <f t="shared" si="43"/>
        <v>0</v>
      </c>
    </row>
    <row r="266" spans="1:8" ht="11.25" customHeight="1" x14ac:dyDescent="0.25">
      <c r="A266" s="473"/>
      <c r="B266" s="24"/>
      <c r="C266" s="24"/>
      <c r="D266" s="24"/>
      <c r="E266" s="24"/>
      <c r="F266" s="24"/>
      <c r="G266" s="24"/>
      <c r="H266" s="24"/>
    </row>
    <row r="267" spans="1:8" x14ac:dyDescent="0.25">
      <c r="A267" s="126" t="s">
        <v>324</v>
      </c>
      <c r="B267" s="128"/>
      <c r="C267" s="128"/>
      <c r="D267" s="128"/>
      <c r="E267" s="26"/>
      <c r="F267" s="26"/>
      <c r="G267" s="26"/>
      <c r="H267" s="26"/>
    </row>
    <row r="268" spans="1:8" ht="11.25" customHeight="1" x14ac:dyDescent="0.25">
      <c r="A268" s="473" t="s">
        <v>30</v>
      </c>
      <c r="B268" s="24">
        <f>AVERAGE(B127:B129)</f>
        <v>31.666666666666668</v>
      </c>
      <c r="C268" s="24">
        <f t="shared" ref="C268:H268" si="44">AVERAGE(C127:C129)</f>
        <v>214</v>
      </c>
      <c r="D268" s="24">
        <f t="shared" si="44"/>
        <v>2207.6666666666665</v>
      </c>
      <c r="E268" s="24">
        <f t="shared" si="44"/>
        <v>7806.333333333333</v>
      </c>
      <c r="F268" s="24">
        <f t="shared" si="44"/>
        <v>320.33333333333331</v>
      </c>
      <c r="G268" s="24">
        <f t="shared" si="44"/>
        <v>0</v>
      </c>
      <c r="H268" s="24">
        <f t="shared" si="44"/>
        <v>10580</v>
      </c>
    </row>
    <row r="269" spans="1:8" ht="11.25" customHeight="1" x14ac:dyDescent="0.25">
      <c r="A269" s="473" t="s">
        <v>87</v>
      </c>
      <c r="B269" s="24">
        <f>AVERAGE(B130:B131)</f>
        <v>5</v>
      </c>
      <c r="C269" s="24">
        <f t="shared" ref="C269:H269" si="45">AVERAGE(C130:C131)</f>
        <v>10</v>
      </c>
      <c r="D269" s="24">
        <f t="shared" si="45"/>
        <v>8991</v>
      </c>
      <c r="E269" s="24">
        <f t="shared" si="45"/>
        <v>4253.5</v>
      </c>
      <c r="F269" s="24">
        <f t="shared" si="45"/>
        <v>591</v>
      </c>
      <c r="G269" s="24">
        <f t="shared" si="45"/>
        <v>0</v>
      </c>
      <c r="H269" s="24">
        <f t="shared" si="45"/>
        <v>13850.5</v>
      </c>
    </row>
    <row r="270" spans="1:8" ht="11.25" customHeight="1" x14ac:dyDescent="0.25">
      <c r="A270" s="473" t="s">
        <v>14</v>
      </c>
      <c r="B270" s="24">
        <f t="shared" ref="B270:H270" si="46">AVERAGE(B132:B134)</f>
        <v>0</v>
      </c>
      <c r="C270" s="24">
        <f t="shared" si="46"/>
        <v>0.66666666666666663</v>
      </c>
      <c r="D270" s="24">
        <f t="shared" si="46"/>
        <v>499</v>
      </c>
      <c r="E270" s="24">
        <f t="shared" si="46"/>
        <v>5519</v>
      </c>
      <c r="F270" s="24">
        <f t="shared" si="46"/>
        <v>261</v>
      </c>
      <c r="G270" s="24">
        <f t="shared" si="46"/>
        <v>0</v>
      </c>
      <c r="H270" s="24">
        <f t="shared" si="46"/>
        <v>6279.666666666667</v>
      </c>
    </row>
    <row r="271" spans="1:8" ht="11.25" customHeight="1" x14ac:dyDescent="0.25">
      <c r="A271" s="473" t="s">
        <v>243</v>
      </c>
      <c r="B271" s="24">
        <f>AVERAGE(B135:B137)</f>
        <v>3.6666666666666665</v>
      </c>
      <c r="C271" s="24">
        <f>AVERAGE(C135:C137)</f>
        <v>0</v>
      </c>
      <c r="D271" s="24">
        <f>AVERAGE(D135:D137)</f>
        <v>232</v>
      </c>
      <c r="E271" s="24">
        <f>AVERAGE(E135:E137)</f>
        <v>1560.6666666666667</v>
      </c>
      <c r="F271" s="24">
        <f>AVERAGE(F135:F137)</f>
        <v>122.66666666666667</v>
      </c>
      <c r="G271" s="24">
        <f>AVERAGE(G133:G135)</f>
        <v>0</v>
      </c>
      <c r="H271" s="24">
        <f>AVERAGE(H135:H137)</f>
        <v>1919</v>
      </c>
    </row>
    <row r="272" spans="1:8" ht="11.25" customHeight="1" x14ac:dyDescent="0.25">
      <c r="A272" s="473">
        <v>2003</v>
      </c>
      <c r="B272" s="24">
        <f t="shared" ref="B272:H272" si="47">B138</f>
        <v>0</v>
      </c>
      <c r="C272" s="24">
        <f t="shared" si="47"/>
        <v>0</v>
      </c>
      <c r="D272" s="24">
        <f t="shared" si="47"/>
        <v>172</v>
      </c>
      <c r="E272" s="24">
        <f t="shared" si="47"/>
        <v>41</v>
      </c>
      <c r="F272" s="24">
        <f t="shared" si="47"/>
        <v>23</v>
      </c>
      <c r="G272" s="24">
        <f t="shared" si="47"/>
        <v>0</v>
      </c>
      <c r="H272" s="24">
        <f t="shared" si="47"/>
        <v>236</v>
      </c>
    </row>
    <row r="273" spans="1:8" ht="11.25" customHeight="1" x14ac:dyDescent="0.25">
      <c r="A273" s="473">
        <v>2005</v>
      </c>
      <c r="B273" s="24">
        <f t="shared" ref="B273:H273" si="48">B139</f>
        <v>0</v>
      </c>
      <c r="C273" s="24">
        <f t="shared" si="48"/>
        <v>0</v>
      </c>
      <c r="D273" s="24">
        <f t="shared" si="48"/>
        <v>186</v>
      </c>
      <c r="E273" s="24">
        <f t="shared" si="48"/>
        <v>198</v>
      </c>
      <c r="F273" s="24">
        <f t="shared" si="48"/>
        <v>3</v>
      </c>
      <c r="G273" s="24">
        <f t="shared" si="48"/>
        <v>0</v>
      </c>
      <c r="H273" s="24">
        <f t="shared" si="48"/>
        <v>387</v>
      </c>
    </row>
    <row r="274" spans="1:8" ht="11.25" customHeight="1" x14ac:dyDescent="0.25">
      <c r="A274" s="477">
        <v>2007</v>
      </c>
      <c r="B274" s="37">
        <f t="shared" ref="B274:H274" si="49">B140</f>
        <v>0</v>
      </c>
      <c r="C274" s="37">
        <f t="shared" si="49"/>
        <v>7</v>
      </c>
      <c r="D274" s="37">
        <f t="shared" si="49"/>
        <v>326</v>
      </c>
      <c r="E274" s="37">
        <f t="shared" si="49"/>
        <v>251</v>
      </c>
      <c r="F274" s="37">
        <f t="shared" si="49"/>
        <v>0</v>
      </c>
      <c r="G274" s="37">
        <f t="shared" si="49"/>
        <v>0</v>
      </c>
      <c r="H274" s="37">
        <f t="shared" si="49"/>
        <v>584</v>
      </c>
    </row>
    <row r="275" spans="1:8" ht="11.25" customHeight="1" x14ac:dyDescent="0.25">
      <c r="A275" s="477">
        <v>2009</v>
      </c>
      <c r="B275" s="37">
        <f t="shared" ref="B275:H275" si="50">B141</f>
        <v>0</v>
      </c>
      <c r="C275" s="37">
        <f t="shared" si="50"/>
        <v>0</v>
      </c>
      <c r="D275" s="37">
        <f t="shared" si="50"/>
        <v>431</v>
      </c>
      <c r="E275" s="37">
        <f t="shared" si="50"/>
        <v>369</v>
      </c>
      <c r="F275" s="37">
        <f t="shared" si="50"/>
        <v>0</v>
      </c>
      <c r="G275" s="37">
        <f t="shared" si="50"/>
        <v>0</v>
      </c>
      <c r="H275" s="37">
        <f t="shared" si="50"/>
        <v>800</v>
      </c>
    </row>
    <row r="276" spans="1:8" ht="11.25" customHeight="1" x14ac:dyDescent="0.25">
      <c r="A276" s="477">
        <v>2011</v>
      </c>
      <c r="B276" s="37">
        <f t="shared" ref="B276:H276" si="51">B142</f>
        <v>0</v>
      </c>
      <c r="C276" s="37">
        <f t="shared" si="51"/>
        <v>6</v>
      </c>
      <c r="D276" s="37">
        <f t="shared" si="51"/>
        <v>718</v>
      </c>
      <c r="E276" s="37">
        <f t="shared" si="51"/>
        <v>334</v>
      </c>
      <c r="F276" s="37">
        <f t="shared" si="51"/>
        <v>16</v>
      </c>
      <c r="G276" s="37">
        <f t="shared" si="51"/>
        <v>0</v>
      </c>
      <c r="H276" s="37">
        <f t="shared" si="51"/>
        <v>1074</v>
      </c>
    </row>
    <row r="277" spans="1:8" ht="11.25" customHeight="1" x14ac:dyDescent="0.25">
      <c r="A277" s="477">
        <v>2013</v>
      </c>
      <c r="B277" s="37">
        <f t="shared" ref="B277:H277" si="52">B143</f>
        <v>0</v>
      </c>
      <c r="C277" s="37">
        <f t="shared" si="52"/>
        <v>0</v>
      </c>
      <c r="D277" s="37">
        <f t="shared" si="52"/>
        <v>89</v>
      </c>
      <c r="E277" s="37">
        <f t="shared" si="52"/>
        <v>120</v>
      </c>
      <c r="F277" s="37">
        <f t="shared" si="52"/>
        <v>0</v>
      </c>
      <c r="G277" s="37">
        <f t="shared" si="52"/>
        <v>0</v>
      </c>
      <c r="H277" s="37">
        <f t="shared" si="52"/>
        <v>209</v>
      </c>
    </row>
    <row r="278" spans="1:8" ht="11.25" customHeight="1" x14ac:dyDescent="0.25">
      <c r="A278" s="477">
        <v>2015</v>
      </c>
      <c r="B278" s="37">
        <f t="shared" ref="B278:H278" si="53">B144</f>
        <v>0</v>
      </c>
      <c r="C278" s="37">
        <f t="shared" si="53"/>
        <v>6</v>
      </c>
      <c r="D278" s="37">
        <f t="shared" si="53"/>
        <v>98</v>
      </c>
      <c r="E278" s="37">
        <f t="shared" si="53"/>
        <v>18</v>
      </c>
      <c r="F278" s="37">
        <f t="shared" si="53"/>
        <v>0</v>
      </c>
      <c r="G278" s="37">
        <f t="shared" si="53"/>
        <v>0</v>
      </c>
      <c r="H278" s="37">
        <f t="shared" si="53"/>
        <v>122</v>
      </c>
    </row>
    <row r="279" spans="1:8" s="358" customFormat="1" ht="11.25" customHeight="1" x14ac:dyDescent="0.25">
      <c r="A279" s="477">
        <v>2017</v>
      </c>
      <c r="B279" s="37">
        <f t="shared" ref="B279:G280" si="54">B145</f>
        <v>0</v>
      </c>
      <c r="C279" s="37">
        <f t="shared" si="54"/>
        <v>0</v>
      </c>
      <c r="D279" s="37">
        <f t="shared" si="54"/>
        <v>61</v>
      </c>
      <c r="E279" s="37">
        <f t="shared" si="54"/>
        <v>134</v>
      </c>
      <c r="F279" s="37">
        <f t="shared" si="54"/>
        <v>0</v>
      </c>
      <c r="G279" s="37">
        <f t="shared" si="54"/>
        <v>0</v>
      </c>
      <c r="H279" s="37">
        <f>H145</f>
        <v>195</v>
      </c>
    </row>
    <row r="280" spans="1:8" ht="11.25" customHeight="1" x14ac:dyDescent="0.25">
      <c r="A280" s="477" t="s">
        <v>336</v>
      </c>
      <c r="B280" s="24">
        <f t="shared" si="54"/>
        <v>0</v>
      </c>
      <c r="C280" s="24">
        <f t="shared" si="54"/>
        <v>0</v>
      </c>
      <c r="D280" s="24">
        <f t="shared" si="54"/>
        <v>243</v>
      </c>
      <c r="E280" s="24">
        <f t="shared" si="54"/>
        <v>270</v>
      </c>
      <c r="F280" s="24">
        <f t="shared" si="54"/>
        <v>0</v>
      </c>
      <c r="G280" s="24">
        <f t="shared" si="54"/>
        <v>0</v>
      </c>
      <c r="H280" s="24">
        <f>H146</f>
        <v>513</v>
      </c>
    </row>
    <row r="281" spans="1:8" ht="11.25" customHeight="1" x14ac:dyDescent="0.25">
      <c r="A281" s="473"/>
      <c r="B281" s="24"/>
      <c r="C281" s="24"/>
      <c r="D281" s="24"/>
      <c r="E281" s="24"/>
      <c r="F281" s="24"/>
      <c r="G281" s="24"/>
      <c r="H281" s="24"/>
    </row>
    <row r="282" spans="1:8" x14ac:dyDescent="0.25">
      <c r="A282" s="127" t="s">
        <v>327</v>
      </c>
      <c r="B282" s="200"/>
      <c r="C282" s="200"/>
      <c r="D282" s="200"/>
      <c r="E282" s="24"/>
      <c r="F282" s="24"/>
      <c r="G282" s="24"/>
      <c r="H282" s="24"/>
    </row>
    <row r="283" spans="1:8" ht="11.25" customHeight="1" x14ac:dyDescent="0.25">
      <c r="A283" s="473" t="s">
        <v>30</v>
      </c>
      <c r="B283" s="24">
        <f>AVERAGE(B151:B153)</f>
        <v>267</v>
      </c>
      <c r="C283" s="24">
        <f t="shared" ref="C283:H283" si="55">AVERAGE(C151:C153)</f>
        <v>250.66666666666666</v>
      </c>
      <c r="D283" s="24">
        <f t="shared" si="55"/>
        <v>53641.333333333336</v>
      </c>
      <c r="E283" s="24">
        <f t="shared" si="55"/>
        <v>97124.333333333328</v>
      </c>
      <c r="F283" s="24">
        <f t="shared" si="55"/>
        <v>597.33333333333337</v>
      </c>
      <c r="G283" s="24">
        <f t="shared" si="55"/>
        <v>0</v>
      </c>
      <c r="H283" s="24">
        <f t="shared" si="55"/>
        <v>151880.66666666666</v>
      </c>
    </row>
    <row r="284" spans="1:8" ht="11.25" customHeight="1" x14ac:dyDescent="0.25">
      <c r="A284" s="473" t="s">
        <v>87</v>
      </c>
      <c r="B284" s="24">
        <f t="shared" ref="B284:H284" si="56">AVERAGE(B154:B155)</f>
        <v>119.5</v>
      </c>
      <c r="C284" s="24">
        <f t="shared" si="56"/>
        <v>101</v>
      </c>
      <c r="D284" s="24">
        <f t="shared" si="56"/>
        <v>10421</v>
      </c>
      <c r="E284" s="24">
        <f t="shared" si="56"/>
        <v>22397.5</v>
      </c>
      <c r="F284" s="24">
        <f t="shared" si="56"/>
        <v>592</v>
      </c>
      <c r="G284" s="24">
        <f t="shared" si="56"/>
        <v>0</v>
      </c>
      <c r="H284" s="24">
        <f t="shared" si="56"/>
        <v>33631</v>
      </c>
    </row>
    <row r="285" spans="1:8" ht="11.25" customHeight="1" x14ac:dyDescent="0.25">
      <c r="A285" s="473" t="s">
        <v>14</v>
      </c>
      <c r="B285" s="24">
        <f t="shared" ref="B285:H285" si="57">AVERAGE(B156:B158)</f>
        <v>6.666666666666667</v>
      </c>
      <c r="C285" s="24">
        <f t="shared" si="57"/>
        <v>6.666666666666667</v>
      </c>
      <c r="D285" s="24">
        <f t="shared" si="57"/>
        <v>528.33333333333337</v>
      </c>
      <c r="E285" s="24">
        <f t="shared" si="57"/>
        <v>30914.333333333332</v>
      </c>
      <c r="F285" s="24">
        <f t="shared" si="57"/>
        <v>651</v>
      </c>
      <c r="G285" s="24">
        <f t="shared" si="57"/>
        <v>0</v>
      </c>
      <c r="H285" s="24">
        <f t="shared" si="57"/>
        <v>32107</v>
      </c>
    </row>
    <row r="286" spans="1:8" ht="11.25" customHeight="1" x14ac:dyDescent="0.25">
      <c r="A286" s="473" t="s">
        <v>243</v>
      </c>
      <c r="B286" s="24">
        <f>AVERAGE(B159:B161)</f>
        <v>69.666666666666671</v>
      </c>
      <c r="C286" s="24">
        <f>AVERAGE(C159:C161)</f>
        <v>21</v>
      </c>
      <c r="D286" s="24">
        <f>AVERAGE(D159:D161)</f>
        <v>265.66666666666669</v>
      </c>
      <c r="E286" s="24">
        <f>AVERAGE(E159:E161)</f>
        <v>1584.6666666666667</v>
      </c>
      <c r="F286" s="24">
        <f>AVERAGE(F159:F161)</f>
        <v>122.66666666666667</v>
      </c>
      <c r="G286" s="24">
        <f>AVERAGE(G157:G159)</f>
        <v>0</v>
      </c>
      <c r="H286" s="24">
        <f>AVERAGE(H159:H161)</f>
        <v>2063.6666666666665</v>
      </c>
    </row>
    <row r="287" spans="1:8" ht="11.25" customHeight="1" x14ac:dyDescent="0.25">
      <c r="A287" s="473">
        <v>2003</v>
      </c>
      <c r="B287" s="37">
        <f t="shared" ref="B287:H287" si="58">B162</f>
        <v>0</v>
      </c>
      <c r="C287" s="37">
        <f t="shared" si="58"/>
        <v>2</v>
      </c>
      <c r="D287" s="37">
        <f t="shared" si="58"/>
        <v>357</v>
      </c>
      <c r="E287" s="37">
        <f t="shared" si="58"/>
        <v>120</v>
      </c>
      <c r="F287" s="37">
        <f t="shared" si="58"/>
        <v>33</v>
      </c>
      <c r="G287" s="37">
        <f t="shared" si="58"/>
        <v>0</v>
      </c>
      <c r="H287" s="37">
        <f t="shared" si="58"/>
        <v>512</v>
      </c>
    </row>
    <row r="288" spans="1:8" ht="11.25" customHeight="1" x14ac:dyDescent="0.25">
      <c r="A288" s="477">
        <v>2005</v>
      </c>
      <c r="B288" s="37">
        <f t="shared" ref="B288:H288" si="59">B163</f>
        <v>4</v>
      </c>
      <c r="C288" s="37">
        <f t="shared" si="59"/>
        <v>0</v>
      </c>
      <c r="D288" s="37">
        <f t="shared" si="59"/>
        <v>189</v>
      </c>
      <c r="E288" s="37">
        <f t="shared" si="59"/>
        <v>201</v>
      </c>
      <c r="F288" s="37">
        <f t="shared" si="59"/>
        <v>4</v>
      </c>
      <c r="G288" s="37">
        <f t="shared" si="59"/>
        <v>0</v>
      </c>
      <c r="H288" s="37">
        <f t="shared" si="59"/>
        <v>398</v>
      </c>
    </row>
    <row r="289" spans="1:8" ht="11.25" customHeight="1" x14ac:dyDescent="0.25">
      <c r="A289" s="477">
        <v>2007</v>
      </c>
      <c r="B289" s="37">
        <f t="shared" ref="B289:H289" si="60">B164</f>
        <v>73</v>
      </c>
      <c r="C289" s="37">
        <f t="shared" si="60"/>
        <v>26</v>
      </c>
      <c r="D289" s="37">
        <f t="shared" si="60"/>
        <v>449</v>
      </c>
      <c r="E289" s="37">
        <f t="shared" si="60"/>
        <v>263</v>
      </c>
      <c r="F289" s="37">
        <f t="shared" si="60"/>
        <v>0</v>
      </c>
      <c r="G289" s="37">
        <f t="shared" si="60"/>
        <v>0</v>
      </c>
      <c r="H289" s="37">
        <f t="shared" si="60"/>
        <v>811</v>
      </c>
    </row>
    <row r="290" spans="1:8" ht="11.25" customHeight="1" x14ac:dyDescent="0.25">
      <c r="A290" s="477">
        <v>2009</v>
      </c>
      <c r="B290" s="37">
        <f t="shared" ref="B290:H290" si="61">B165</f>
        <v>1</v>
      </c>
      <c r="C290" s="37">
        <f t="shared" si="61"/>
        <v>14</v>
      </c>
      <c r="D290" s="37">
        <f t="shared" si="61"/>
        <v>515</v>
      </c>
      <c r="E290" s="37">
        <f t="shared" si="61"/>
        <v>414</v>
      </c>
      <c r="F290" s="37">
        <f t="shared" si="61"/>
        <v>9</v>
      </c>
      <c r="G290" s="37">
        <f t="shared" si="61"/>
        <v>0</v>
      </c>
      <c r="H290" s="37">
        <f t="shared" si="61"/>
        <v>953</v>
      </c>
    </row>
    <row r="291" spans="1:8" ht="11.25" customHeight="1" x14ac:dyDescent="0.25">
      <c r="A291" s="477">
        <v>2011</v>
      </c>
      <c r="B291" s="37">
        <f t="shared" ref="B291:H291" si="62">B166</f>
        <v>0</v>
      </c>
      <c r="C291" s="37">
        <f t="shared" si="62"/>
        <v>42</v>
      </c>
      <c r="D291" s="37">
        <f t="shared" si="62"/>
        <v>726</v>
      </c>
      <c r="E291" s="37">
        <f t="shared" si="62"/>
        <v>460</v>
      </c>
      <c r="F291" s="37">
        <f t="shared" si="62"/>
        <v>109</v>
      </c>
      <c r="G291" s="37">
        <f t="shared" si="62"/>
        <v>1</v>
      </c>
      <c r="H291" s="37">
        <f t="shared" si="62"/>
        <v>1338</v>
      </c>
    </row>
    <row r="292" spans="1:8" ht="11.25" customHeight="1" x14ac:dyDescent="0.25">
      <c r="A292" s="477">
        <v>2013</v>
      </c>
      <c r="B292" s="37">
        <f t="shared" ref="B292:H292" si="63">B167</f>
        <v>0</v>
      </c>
      <c r="C292" s="37">
        <f t="shared" si="63"/>
        <v>2</v>
      </c>
      <c r="D292" s="37">
        <f t="shared" si="63"/>
        <v>89</v>
      </c>
      <c r="E292" s="37">
        <f t="shared" si="63"/>
        <v>221</v>
      </c>
      <c r="F292" s="37">
        <f t="shared" si="63"/>
        <v>37</v>
      </c>
      <c r="G292" s="37">
        <f t="shared" si="63"/>
        <v>1</v>
      </c>
      <c r="H292" s="37">
        <f t="shared" si="63"/>
        <v>350</v>
      </c>
    </row>
    <row r="293" spans="1:8" ht="11.25" customHeight="1" x14ac:dyDescent="0.25">
      <c r="A293" s="477">
        <v>2015</v>
      </c>
      <c r="B293" s="37">
        <f t="shared" ref="B293:H293" si="64">B168</f>
        <v>0</v>
      </c>
      <c r="C293" s="37">
        <f t="shared" si="64"/>
        <v>7</v>
      </c>
      <c r="D293" s="37">
        <f t="shared" si="64"/>
        <v>118</v>
      </c>
      <c r="E293" s="37">
        <f t="shared" si="64"/>
        <v>65</v>
      </c>
      <c r="F293" s="37">
        <f t="shared" si="64"/>
        <v>0</v>
      </c>
      <c r="G293" s="37">
        <f t="shared" si="64"/>
        <v>0</v>
      </c>
      <c r="H293" s="37">
        <f t="shared" si="64"/>
        <v>190</v>
      </c>
    </row>
    <row r="294" spans="1:8" s="358" customFormat="1" ht="10.5" customHeight="1" x14ac:dyDescent="0.25">
      <c r="A294" s="477">
        <v>2017</v>
      </c>
      <c r="B294" s="37">
        <f t="shared" ref="B294:H295" si="65">B169</f>
        <v>0</v>
      </c>
      <c r="C294" s="37">
        <f t="shared" si="65"/>
        <v>0</v>
      </c>
      <c r="D294" s="37">
        <f t="shared" si="65"/>
        <v>61</v>
      </c>
      <c r="E294" s="37">
        <f t="shared" si="65"/>
        <v>134</v>
      </c>
      <c r="F294" s="37">
        <f t="shared" si="65"/>
        <v>0</v>
      </c>
      <c r="G294" s="37">
        <f t="shared" si="65"/>
        <v>0</v>
      </c>
      <c r="H294" s="37">
        <f t="shared" si="65"/>
        <v>195</v>
      </c>
    </row>
    <row r="295" spans="1:8" ht="11.25" customHeight="1" x14ac:dyDescent="0.25">
      <c r="A295" s="477" t="s">
        <v>336</v>
      </c>
      <c r="B295" s="38">
        <f t="shared" si="65"/>
        <v>0</v>
      </c>
      <c r="C295" s="38">
        <f t="shared" si="65"/>
        <v>0</v>
      </c>
      <c r="D295" s="38">
        <f t="shared" si="65"/>
        <v>243</v>
      </c>
      <c r="E295" s="38">
        <f t="shared" si="65"/>
        <v>270</v>
      </c>
      <c r="F295" s="38">
        <f t="shared" si="65"/>
        <v>0</v>
      </c>
      <c r="G295" s="38">
        <f t="shared" si="65"/>
        <v>0</v>
      </c>
      <c r="H295" s="38">
        <f t="shared" si="65"/>
        <v>513</v>
      </c>
    </row>
    <row r="296" spans="1:8" ht="21" customHeight="1" x14ac:dyDescent="0.25">
      <c r="A296" s="619" t="s">
        <v>98</v>
      </c>
      <c r="B296" s="619"/>
      <c r="C296" s="619"/>
      <c r="D296" s="619"/>
      <c r="E296" s="619"/>
      <c r="F296" s="619"/>
      <c r="G296" s="619"/>
      <c r="H296" s="619"/>
    </row>
    <row r="297" spans="1:8" ht="9.75" customHeight="1" x14ac:dyDescent="0.25">
      <c r="A297" s="485" t="s">
        <v>328</v>
      </c>
      <c r="B297" s="341"/>
      <c r="C297" s="341"/>
      <c r="D297" s="341"/>
      <c r="E297" s="341"/>
      <c r="F297" s="341"/>
      <c r="G297" s="341"/>
      <c r="H297" s="341"/>
    </row>
    <row r="298" spans="1:8" x14ac:dyDescent="0.25">
      <c r="A298" s="604" t="s">
        <v>387</v>
      </c>
      <c r="B298" s="604"/>
      <c r="C298" s="604"/>
      <c r="D298" s="604"/>
      <c r="E298" s="604"/>
      <c r="F298" s="604"/>
      <c r="G298" s="604"/>
      <c r="H298" s="604"/>
    </row>
    <row r="299" spans="1:8" ht="11.25" customHeight="1" x14ac:dyDescent="0.25">
      <c r="A299" s="474"/>
      <c r="B299" s="474"/>
      <c r="C299" s="474"/>
      <c r="D299" s="474"/>
      <c r="E299" s="474"/>
      <c r="F299" s="474"/>
      <c r="G299" s="474"/>
      <c r="H299" s="474"/>
    </row>
    <row r="300" spans="1:8" ht="11.25" customHeight="1" x14ac:dyDescent="0.25"/>
  </sheetData>
  <mergeCells count="7">
    <mergeCell ref="A1:H2"/>
    <mergeCell ref="A171:H171"/>
    <mergeCell ref="A173:H173"/>
    <mergeCell ref="A296:H296"/>
    <mergeCell ref="A298:H298"/>
    <mergeCell ref="A186:H187"/>
    <mergeCell ref="A249:H250"/>
  </mergeCells>
  <pageMargins left="0.7" right="0.7" top="0.75" bottom="0.75" header="0.3" footer="0.3"/>
  <pageSetup orientation="portrait" r:id="rId1"/>
  <rowBreaks count="1" manualBreakCount="1">
    <brk id="247" max="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K251"/>
  <sheetViews>
    <sheetView showGridLines="0" zoomScaleNormal="100" workbookViewId="0">
      <pane ySplit="3" topLeftCell="A194" activePane="bottomLeft" state="frozen"/>
      <selection sqref="A1:J2"/>
      <selection pane="bottomLeft" sqref="A1:J2"/>
    </sheetView>
  </sheetViews>
  <sheetFormatPr defaultRowHeight="15.75" x14ac:dyDescent="0.25"/>
  <cols>
    <col min="1" max="16384" width="9" style="340"/>
  </cols>
  <sheetData>
    <row r="1" spans="1:11" ht="11.25" customHeight="1" x14ac:dyDescent="0.25">
      <c r="A1" s="523" t="s">
        <v>314</v>
      </c>
      <c r="B1" s="523"/>
      <c r="C1" s="523"/>
      <c r="D1" s="523"/>
      <c r="E1" s="523"/>
      <c r="F1" s="523"/>
      <c r="G1" s="523"/>
      <c r="H1" s="523"/>
      <c r="I1" s="523"/>
    </row>
    <row r="2" spans="1:11" ht="11.25" customHeight="1" x14ac:dyDescent="0.25">
      <c r="A2" s="2" t="s">
        <v>33</v>
      </c>
      <c r="B2" s="369" t="s">
        <v>34</v>
      </c>
      <c r="C2" s="369" t="s">
        <v>35</v>
      </c>
      <c r="D2" s="369" t="s">
        <v>36</v>
      </c>
      <c r="E2" s="369" t="s">
        <v>37</v>
      </c>
      <c r="F2" s="369" t="s">
        <v>38</v>
      </c>
      <c r="G2" s="369" t="s">
        <v>39</v>
      </c>
      <c r="H2" s="369" t="s">
        <v>40</v>
      </c>
      <c r="I2" s="369" t="s">
        <v>295</v>
      </c>
    </row>
    <row r="3" spans="1:11" ht="11.25" customHeight="1" x14ac:dyDescent="0.25">
      <c r="A3" s="116" t="s">
        <v>315</v>
      </c>
    </row>
    <row r="4" spans="1:11" ht="11.25" customHeight="1" x14ac:dyDescent="0.25">
      <c r="A4" s="371">
        <v>1976</v>
      </c>
      <c r="B4" s="193">
        <f>IF(AND('A-17'!B4="-",'A-17'!B51="-",'A-17'!B98="-"),"-",SUM('A-17'!B4,'A-17'!B51,'A-17'!B98))</f>
        <v>1025</v>
      </c>
      <c r="C4" s="193">
        <f>IF(AND('A-17'!C4="-",'A-17'!C51="-",'A-17'!C98="-"),"-",SUM('A-17'!C4,'A-17'!C51,'A-17'!C98))</f>
        <v>14874</v>
      </c>
      <c r="D4" s="193">
        <f>IF(AND('A-17'!D4="-",'A-17'!D51="-",'A-17'!D98="-"),"-",SUM('A-17'!D4,'A-17'!D51,'A-17'!D98))</f>
        <v>45486</v>
      </c>
      <c r="E4" s="193">
        <f>IF(AND('A-17'!E4="-",'A-17'!E51="-",'A-17'!E98="-"),"-",SUM('A-17'!E4,'A-17'!E51,'A-17'!E98))</f>
        <v>103454</v>
      </c>
      <c r="F4" s="193">
        <f>IF(AND('A-17'!F4="-",'A-17'!F51="-",'A-17'!F98="-"),"-",SUM('A-17'!F4,'A-17'!F51,'A-17'!F98))</f>
        <v>110606</v>
      </c>
      <c r="G4" s="193">
        <f>IF(AND('A-17'!G4="-",'A-17'!G51="-",'A-17'!G98="-"),"-",SUM('A-17'!G4,'A-17'!G51,'A-17'!G98))</f>
        <v>55809</v>
      </c>
      <c r="H4" s="193">
        <f>IF(AND('A-17'!H4="-",'A-17'!H51="-",'A-17'!H98="-"),"-",SUM('A-17'!H4,'A-17'!H51,'A-17'!H98))</f>
        <v>6146</v>
      </c>
      <c r="I4" s="193">
        <f>IF(AND('A-17'!I4="-",'A-17'!I51="-",'A-17'!I98="-"),"-",SUM('A-17'!I4,'A-17'!I51,'A-17'!I98))</f>
        <v>337400</v>
      </c>
      <c r="J4" s="22"/>
      <c r="K4" s="22"/>
    </row>
    <row r="5" spans="1:11" ht="11.25" customHeight="1" x14ac:dyDescent="0.25">
      <c r="A5" s="371">
        <v>1977</v>
      </c>
      <c r="B5" s="193">
        <f>IF(AND('A-17'!B5="-",'A-17'!B52="-",'A-17'!B99="-"),"-",SUM('A-17'!B5,'A-17'!B52,'A-17'!B99))</f>
        <v>7682</v>
      </c>
      <c r="C5" s="193">
        <f>IF(AND('A-17'!C5="-",'A-17'!C52="-",'A-17'!C99="-"),"-",SUM('A-17'!C5,'A-17'!C52,'A-17'!C99))</f>
        <v>13049</v>
      </c>
      <c r="D5" s="193">
        <f>IF(AND('A-17'!D5="-",'A-17'!D52="-",'A-17'!D99="-"),"-",SUM('A-17'!D5,'A-17'!D52,'A-17'!D99))</f>
        <v>46179</v>
      </c>
      <c r="E5" s="193">
        <f>IF(AND('A-17'!E5="-",'A-17'!E52="-",'A-17'!E99="-"),"-",SUM('A-17'!E5,'A-17'!E52,'A-17'!E99))</f>
        <v>90944</v>
      </c>
      <c r="F5" s="193">
        <f>IF(AND('A-17'!F5="-",'A-17'!F52="-",'A-17'!F99="-"),"-",SUM('A-17'!F5,'A-17'!F52,'A-17'!F99))</f>
        <v>129522</v>
      </c>
      <c r="G5" s="193">
        <f>IF(AND('A-17'!G5="-",'A-17'!G52="-",'A-17'!G99="-"),"-",SUM('A-17'!G5,'A-17'!G52,'A-17'!G99))</f>
        <v>57670</v>
      </c>
      <c r="H5" s="193">
        <f>IF(AND('A-17'!H5="-",'A-17'!H52="-",'A-17'!H99="-"),"-",SUM('A-17'!H5,'A-17'!H52,'A-17'!H99))</f>
        <v>3379</v>
      </c>
      <c r="I5" s="193">
        <f>IF(AND('A-17'!I5="-",'A-17'!I52="-",'A-17'!I99="-"),"-",SUM('A-17'!I5,'A-17'!I52,'A-17'!I99))</f>
        <v>348425</v>
      </c>
      <c r="J5" s="22"/>
      <c r="K5" s="22"/>
    </row>
    <row r="6" spans="1:11" ht="11.25" customHeight="1" x14ac:dyDescent="0.25">
      <c r="A6" s="371">
        <v>1978</v>
      </c>
      <c r="B6" s="193">
        <f>IF(AND('A-17'!B6="-",'A-17'!B53="-",'A-17'!B100="-"),"-",SUM('A-17'!B6,'A-17'!B53,'A-17'!B100))</f>
        <v>2416</v>
      </c>
      <c r="C6" s="193">
        <f>IF(AND('A-17'!C6="-",'A-17'!C53="-",'A-17'!C100="-"),"-",SUM('A-17'!C6,'A-17'!C53,'A-17'!C100))</f>
        <v>14002</v>
      </c>
      <c r="D6" s="193">
        <f>IF(AND('A-17'!D6="-",'A-17'!D53="-",'A-17'!D100="-"),"-",SUM('A-17'!D6,'A-17'!D53,'A-17'!D100))</f>
        <v>48598</v>
      </c>
      <c r="E6" s="193">
        <f>IF(AND('A-17'!E6="-",'A-17'!E53="-",'A-17'!E100="-"),"-",SUM('A-17'!E6,'A-17'!E53,'A-17'!E100))</f>
        <v>105977</v>
      </c>
      <c r="F6" s="193">
        <f>IF(AND('A-17'!F6="-",'A-17'!F53="-",'A-17'!F100="-"),"-",SUM('A-17'!F6,'A-17'!F53,'A-17'!F100))</f>
        <v>103140</v>
      </c>
      <c r="G6" s="193">
        <f>IF(AND('A-17'!G6="-",'A-17'!G53="-",'A-17'!G100="-"),"-",SUM('A-17'!G6,'A-17'!G53,'A-17'!G100))</f>
        <v>45293</v>
      </c>
      <c r="H6" s="193">
        <f>IF(AND('A-17'!H6="-",'A-17'!H53="-",'A-17'!H100="-"),"-",SUM('A-17'!H6,'A-17'!H53,'A-17'!H100))</f>
        <v>7810</v>
      </c>
      <c r="I6" s="193">
        <f>IF(AND('A-17'!I6="-",'A-17'!I53="-",'A-17'!I100="-"),"-",SUM('A-17'!I6,'A-17'!I53,'A-17'!I100))</f>
        <v>327236</v>
      </c>
      <c r="J6" s="22"/>
      <c r="K6" s="22"/>
    </row>
    <row r="7" spans="1:11" ht="11.25" customHeight="1" x14ac:dyDescent="0.25">
      <c r="A7" s="371">
        <v>1979</v>
      </c>
      <c r="B7" s="193">
        <f>IF(AND('A-17'!B7="-",'A-17'!B54="-",'A-17'!B101="-"),"-",SUM('A-17'!B7,'A-17'!B54,'A-17'!B101))</f>
        <v>1347</v>
      </c>
      <c r="C7" s="193">
        <f>IF(AND('A-17'!C7="-",'A-17'!C54="-",'A-17'!C101="-"),"-",SUM('A-17'!C7,'A-17'!C54,'A-17'!C101))</f>
        <v>15073</v>
      </c>
      <c r="D7" s="193">
        <f>IF(AND('A-17'!D7="-",'A-17'!D54="-",'A-17'!D101="-"),"-",SUM('A-17'!D7,'A-17'!D54,'A-17'!D101))</f>
        <v>38636</v>
      </c>
      <c r="E7" s="193">
        <f>IF(AND('A-17'!E7="-",'A-17'!E54="-",'A-17'!E101="-"),"-",SUM('A-17'!E7,'A-17'!E54,'A-17'!E101))</f>
        <v>68320</v>
      </c>
      <c r="F7" s="193">
        <f>IF(AND('A-17'!F7="-",'A-17'!F54="-",'A-17'!F101="-"),"-",SUM('A-17'!F7,'A-17'!F54,'A-17'!F101))</f>
        <v>76785</v>
      </c>
      <c r="G7" s="193">
        <f>IF(AND('A-17'!G7="-",'A-17'!G54="-",'A-17'!G101="-"),"-",SUM('A-17'!G7,'A-17'!G54,'A-17'!G101))</f>
        <v>4624</v>
      </c>
      <c r="H7" s="193">
        <f>IF(AND('A-17'!H7="-",'A-17'!H54="-",'A-17'!H101="-"),"-",SUM('A-17'!H7,'A-17'!H54,'A-17'!H101))</f>
        <v>406</v>
      </c>
      <c r="I7" s="193">
        <f>IF(AND('A-17'!I7="-",'A-17'!I54="-",'A-17'!I101="-"),"-",SUM('A-17'!I7,'A-17'!I54,'A-17'!I101))</f>
        <v>205191</v>
      </c>
      <c r="J7" s="22"/>
      <c r="K7" s="22"/>
    </row>
    <row r="8" spans="1:11" ht="11.25" customHeight="1" x14ac:dyDescent="0.25">
      <c r="A8" s="371">
        <v>1980</v>
      </c>
      <c r="B8" s="193" t="str">
        <f>IF(AND('A-17'!B8="-",'A-17'!B55="-",'A-17'!B102="-"),"-",SUM('A-17'!B8,'A-17'!B55,'A-17'!B102))</f>
        <v>-</v>
      </c>
      <c r="C8" s="193">
        <f>IF(AND('A-17'!C8="-",'A-17'!C55="-",'A-17'!C102="-"),"-",SUM('A-17'!C8,'A-17'!C55,'A-17'!C102))</f>
        <v>11890</v>
      </c>
      <c r="D8" s="193">
        <f>IF(AND('A-17'!D8="-",'A-17'!D55="-",'A-17'!D102="-"),"-",SUM('A-17'!D8,'A-17'!D55,'A-17'!D102))</f>
        <v>35147</v>
      </c>
      <c r="E8" s="193">
        <f>IF(AND('A-17'!E8="-",'A-17'!E55="-",'A-17'!E102="-"),"-",SUM('A-17'!E8,'A-17'!E55,'A-17'!E102))</f>
        <v>68532</v>
      </c>
      <c r="F8" s="193">
        <f>IF(AND('A-17'!F8="-",'A-17'!F55="-",'A-17'!F102="-"),"-",SUM('A-17'!F8,'A-17'!F55,'A-17'!F102))</f>
        <v>59481</v>
      </c>
      <c r="G8" s="193">
        <f>IF(AND('A-17'!G8="-",'A-17'!G55="-",'A-17'!G102="-"),"-",SUM('A-17'!G8,'A-17'!G55,'A-17'!G102))</f>
        <v>2806</v>
      </c>
      <c r="H8" s="193">
        <f>IF(AND('A-17'!H8="-",'A-17'!H55="-",'A-17'!H102="-"),"-",SUM('A-17'!H8,'A-17'!H55,'A-17'!H102))</f>
        <v>30</v>
      </c>
      <c r="I8" s="193">
        <f>IF(AND('A-17'!I8="-",'A-17'!I55="-",'A-17'!I102="-"),"-",SUM('A-17'!I8,'A-17'!I55,'A-17'!I102))</f>
        <v>177886</v>
      </c>
      <c r="J8" s="22"/>
      <c r="K8" s="22"/>
    </row>
    <row r="9" spans="1:11" ht="11.25" customHeight="1" x14ac:dyDescent="0.25">
      <c r="A9" s="371">
        <v>1981</v>
      </c>
      <c r="B9" s="193">
        <f>IF(AND('A-17'!B9="-",'A-17'!B56="-",'A-17'!B103="-"),"-",SUM('A-17'!B9,'A-17'!B56,'A-17'!B103))</f>
        <v>177</v>
      </c>
      <c r="C9" s="193">
        <f>IF(AND('A-17'!C9="-",'A-17'!C56="-",'A-17'!C103="-"),"-",SUM('A-17'!C9,'A-17'!C56,'A-17'!C103))</f>
        <v>7663</v>
      </c>
      <c r="D9" s="193">
        <f>IF(AND('A-17'!D9="-",'A-17'!D56="-",'A-17'!D103="-"),"-",SUM('A-17'!D9,'A-17'!D56,'A-17'!D103))</f>
        <v>25656</v>
      </c>
      <c r="E9" s="193">
        <f>IF(AND('A-17'!E9="-",'A-17'!E56="-",'A-17'!E103="-"),"-",SUM('A-17'!E9,'A-17'!E56,'A-17'!E103))</f>
        <v>57836</v>
      </c>
      <c r="F9" s="193">
        <f>IF(AND('A-17'!F9="-",'A-17'!F56="-",'A-17'!F103="-"),"-",SUM('A-17'!F9,'A-17'!F56,'A-17'!F103))</f>
        <v>52521</v>
      </c>
      <c r="G9" s="193">
        <f>IF(AND('A-17'!G9="-",'A-17'!G56="-",'A-17'!G103="-"),"-",SUM('A-17'!G9,'A-17'!G56,'A-17'!G103))</f>
        <v>3672</v>
      </c>
      <c r="H9" s="193">
        <f>IF(AND('A-17'!H9="-",'A-17'!H56="-",'A-17'!H103="-"),"-",SUM('A-17'!H9,'A-17'!H56,'A-17'!H103))</f>
        <v>431</v>
      </c>
      <c r="I9" s="193">
        <f>IF(AND('A-17'!I9="-",'A-17'!I56="-",'A-17'!I103="-"),"-",SUM('A-17'!I9,'A-17'!I56,'A-17'!I103))</f>
        <v>147956</v>
      </c>
      <c r="J9" s="22"/>
      <c r="K9" s="22"/>
    </row>
    <row r="10" spans="1:11" ht="11.25" customHeight="1" x14ac:dyDescent="0.25">
      <c r="A10" s="371">
        <v>1982</v>
      </c>
      <c r="B10" s="193">
        <f>IF(AND('A-17'!B10="-",'A-17'!B57="-",'A-17'!B104="-"),"-",SUM('A-17'!B10,'A-17'!B57,'A-17'!B104))</f>
        <v>18</v>
      </c>
      <c r="C10" s="193">
        <f>IF(AND('A-17'!C10="-",'A-17'!C57="-",'A-17'!C104="-"),"-",SUM('A-17'!C10,'A-17'!C57,'A-17'!C104))</f>
        <v>2698</v>
      </c>
      <c r="D10" s="193">
        <f>IF(AND('A-17'!D10="-",'A-17'!D57="-",'A-17'!D104="-"),"-",SUM('A-17'!D10,'A-17'!D57,'A-17'!D104))</f>
        <v>31348</v>
      </c>
      <c r="E10" s="193">
        <f>IF(AND('A-17'!E10="-",'A-17'!E57="-",'A-17'!E104="-"),"-",SUM('A-17'!E10,'A-17'!E57,'A-17'!E104))</f>
        <v>69394</v>
      </c>
      <c r="F10" s="193">
        <f>IF(AND('A-17'!F10="-",'A-17'!F57="-",'A-17'!F104="-"),"-",SUM('A-17'!F10,'A-17'!F57,'A-17'!F104))</f>
        <v>47385</v>
      </c>
      <c r="G10" s="193">
        <f>IF(AND('A-17'!G10="-",'A-17'!G57="-",'A-17'!G104="-"),"-",SUM('A-17'!G10,'A-17'!G57,'A-17'!G104))</f>
        <v>5858</v>
      </c>
      <c r="H10" s="193">
        <f>IF(AND('A-17'!H10="-",'A-17'!H57="-",'A-17'!H104="-"),"-",SUM('A-17'!H10,'A-17'!H57,'A-17'!H104))</f>
        <v>113</v>
      </c>
      <c r="I10" s="193">
        <f>IF(AND('A-17'!I10="-",'A-17'!I57="-",'A-17'!I104="-"),"-",SUM('A-17'!I10,'A-17'!I57,'A-17'!I104))</f>
        <v>156814</v>
      </c>
      <c r="J10" s="22"/>
      <c r="K10" s="22"/>
    </row>
    <row r="11" spans="1:11" ht="11.25" customHeight="1" x14ac:dyDescent="0.25">
      <c r="A11" s="371">
        <v>1983</v>
      </c>
      <c r="B11" s="193">
        <f>IF(AND('A-17'!B11="-",'A-17'!B58="-",'A-17'!B105="-"),"-",SUM('A-17'!B11,'A-17'!B58,'A-17'!B105))</f>
        <v>142</v>
      </c>
      <c r="C11" s="193">
        <f>IF(AND('A-17'!C11="-",'A-17'!C58="-",'A-17'!C105="-"),"-",SUM('A-17'!C11,'A-17'!C58,'A-17'!C105))</f>
        <v>2923</v>
      </c>
      <c r="D11" s="193">
        <f>IF(AND('A-17'!D11="-",'A-17'!D58="-",'A-17'!D105="-"),"-",SUM('A-17'!D11,'A-17'!D58,'A-17'!D105))</f>
        <v>25634</v>
      </c>
      <c r="E11" s="193">
        <f>IF(AND('A-17'!E11="-",'A-17'!E58="-",'A-17'!E105="-"),"-",SUM('A-17'!E11,'A-17'!E58,'A-17'!E105))</f>
        <v>54160</v>
      </c>
      <c r="F11" s="193">
        <f>IF(AND('A-17'!F11="-",'A-17'!F58="-",'A-17'!F105="-"),"-",SUM('A-17'!F11,'A-17'!F58,'A-17'!F105))</f>
        <v>48362</v>
      </c>
      <c r="G11" s="193">
        <f>IF(AND('A-17'!G11="-",'A-17'!G58="-",'A-17'!G105="-"),"-",SUM('A-17'!G11,'A-17'!G58,'A-17'!G105))</f>
        <v>14501</v>
      </c>
      <c r="H11" s="193">
        <f>IF(AND('A-17'!H11="-",'A-17'!H58="-",'A-17'!H105="-"),"-",SUM('A-17'!H11,'A-17'!H58,'A-17'!H105))</f>
        <v>43</v>
      </c>
      <c r="I11" s="193">
        <f>IF(AND('A-17'!I11="-",'A-17'!I58="-",'A-17'!I105="-"),"-",SUM('A-17'!I11,'A-17'!I58,'A-17'!I105))</f>
        <v>145765</v>
      </c>
      <c r="J11" s="22"/>
      <c r="K11" s="22"/>
    </row>
    <row r="12" spans="1:11" ht="11.25" customHeight="1" x14ac:dyDescent="0.25">
      <c r="A12" s="371">
        <v>1984</v>
      </c>
      <c r="B12" s="193">
        <f>IF(AND('A-17'!B12="-",'A-17'!B59="-",'A-17'!B106="-"),"-",SUM('A-17'!B12,'A-17'!B59,'A-17'!B106))</f>
        <v>55</v>
      </c>
      <c r="C12" s="193">
        <f>IF(AND('A-17'!C12="-",'A-17'!C59="-",'A-17'!C106="-"),"-",SUM('A-17'!C12,'A-17'!C59,'A-17'!C106))</f>
        <v>3367</v>
      </c>
      <c r="D12" s="193">
        <f>IF(AND('A-17'!D12="-",'A-17'!D59="-",'A-17'!D106="-"),"-",SUM('A-17'!D12,'A-17'!D59,'A-17'!D106))</f>
        <v>0</v>
      </c>
      <c r="E12" s="193">
        <f>IF(AND('A-17'!E12="-",'A-17'!E59="-",'A-17'!E106="-"),"-",SUM('A-17'!E12,'A-17'!E59,'A-17'!E106))</f>
        <v>5984</v>
      </c>
      <c r="F12" s="193">
        <f>IF(AND('A-17'!F12="-",'A-17'!F59="-",'A-17'!F106="-"),"-",SUM('A-17'!F12,'A-17'!F59,'A-17'!F106))</f>
        <v>13158</v>
      </c>
      <c r="G12" s="193">
        <f>IF(AND('A-17'!G12="-",'A-17'!G59="-",'A-17'!G106="-"),"-",SUM('A-17'!G12,'A-17'!G59,'A-17'!G106))</f>
        <v>179</v>
      </c>
      <c r="H12" s="193" t="str">
        <f>IF(AND('A-17'!H12="-",'A-17'!H59="-",'A-17'!H106="-"),"-",SUM('A-17'!H12,'A-17'!H59,'A-17'!H106))</f>
        <v>-</v>
      </c>
      <c r="I12" s="193">
        <f>IF(AND('A-17'!I12="-",'A-17'!I59="-",'A-17'!I106="-"),"-",SUM('A-17'!I12,'A-17'!I59,'A-17'!I106))</f>
        <v>22743</v>
      </c>
      <c r="J12" s="22"/>
      <c r="K12" s="22"/>
    </row>
    <row r="13" spans="1:11" ht="11.25" customHeight="1" x14ac:dyDescent="0.25">
      <c r="A13" s="371">
        <v>1985</v>
      </c>
      <c r="B13" s="193">
        <f>IF(AND('A-17'!B13="-",'A-17'!B60="-",'A-17'!B107="-"),"-",SUM('A-17'!B13,'A-17'!B60,'A-17'!B107))</f>
        <v>9</v>
      </c>
      <c r="C13" s="193">
        <f>IF(AND('A-17'!C13="-",'A-17'!C60="-",'A-17'!C107="-"),"-",SUM('A-17'!C13,'A-17'!C60,'A-17'!C107))</f>
        <v>2</v>
      </c>
      <c r="D13" s="193">
        <f>IF(AND('A-17'!D13="-",'A-17'!D60="-",'A-17'!D107="-"),"-",SUM('A-17'!D13,'A-17'!D60,'A-17'!D107))</f>
        <v>2077</v>
      </c>
      <c r="E13" s="193">
        <f>IF(AND('A-17'!E13="-",'A-17'!E60="-",'A-17'!E107="-"),"-",SUM('A-17'!E13,'A-17'!E60,'A-17'!E107))</f>
        <v>35769</v>
      </c>
      <c r="F13" s="193">
        <f>IF(AND('A-17'!F13="-",'A-17'!F60="-",'A-17'!F107="-"),"-",SUM('A-17'!F13,'A-17'!F60,'A-17'!F107))</f>
        <v>33262</v>
      </c>
      <c r="G13" s="193">
        <f>IF(AND('A-17'!G13="-",'A-17'!G60="-",'A-17'!G107="-"),"-",SUM('A-17'!G13,'A-17'!G60,'A-17'!G107))</f>
        <v>3567</v>
      </c>
      <c r="H13" s="193" t="str">
        <f>IF(AND('A-17'!H13="-",'A-17'!H60="-",'A-17'!H107="-"),"-",SUM('A-17'!H13,'A-17'!H60,'A-17'!H107))</f>
        <v>-</v>
      </c>
      <c r="I13" s="193">
        <f>IF(AND('A-17'!I13="-",'A-17'!I60="-",'A-17'!I107="-"),"-",SUM('A-17'!I13,'A-17'!I60,'A-17'!I107))</f>
        <v>74686</v>
      </c>
      <c r="J13" s="22"/>
      <c r="K13" s="22"/>
    </row>
    <row r="14" spans="1:11" ht="11.25" customHeight="1" x14ac:dyDescent="0.25">
      <c r="A14" s="371">
        <v>1986</v>
      </c>
      <c r="B14" s="193" t="str">
        <f>IF(AND('A-17'!B14="-",'A-17'!B61="-",'A-17'!B108="-"),"-",SUM('A-17'!B14,'A-17'!B61,'A-17'!B108))</f>
        <v>-</v>
      </c>
      <c r="C14" s="193" t="str">
        <f>IF(AND('A-17'!C14="-",'A-17'!C61="-",'A-17'!C108="-"),"-",SUM('A-17'!C14,'A-17'!C61,'A-17'!C108))</f>
        <v>-</v>
      </c>
      <c r="D14" s="193">
        <f>IF(AND('A-17'!D14="-",'A-17'!D61="-",'A-17'!D108="-"),"-",SUM('A-17'!D14,'A-17'!D61,'A-17'!D108))</f>
        <v>2469</v>
      </c>
      <c r="E14" s="193">
        <f>IF(AND('A-17'!E14="-",'A-17'!E61="-",'A-17'!E108="-"),"-",SUM('A-17'!E14,'A-17'!E61,'A-17'!E108))</f>
        <v>41799</v>
      </c>
      <c r="F14" s="193">
        <f>IF(AND('A-17'!F14="-",'A-17'!F61="-",'A-17'!F108="-"),"-",SUM('A-17'!F14,'A-17'!F61,'A-17'!F108))</f>
        <v>27339</v>
      </c>
      <c r="G14" s="193">
        <f>IF(AND('A-17'!G14="-",'A-17'!G61="-",'A-17'!G108="-"),"-",SUM('A-17'!G14,'A-17'!G61,'A-17'!G108))</f>
        <v>943</v>
      </c>
      <c r="H14" s="193">
        <f>IF(AND('A-17'!H14="-",'A-17'!H61="-",'A-17'!H108="-"),"-",SUM('A-17'!H14,'A-17'!H61,'A-17'!H108))</f>
        <v>86</v>
      </c>
      <c r="I14" s="193">
        <f>IF(AND('A-17'!I14="-",'A-17'!I61="-",'A-17'!I108="-"),"-",SUM('A-17'!I14,'A-17'!I61,'A-17'!I108))</f>
        <v>72636</v>
      </c>
      <c r="J14" s="22"/>
      <c r="K14" s="22"/>
    </row>
    <row r="15" spans="1:11" ht="11.25" customHeight="1" x14ac:dyDescent="0.25">
      <c r="A15" s="371">
        <v>1987</v>
      </c>
      <c r="B15" s="193" t="str">
        <f>IF(AND('A-17'!B15="-",'A-17'!B62="-",'A-17'!B109="-"),"-",SUM('A-17'!B15,'A-17'!B62,'A-17'!B109))</f>
        <v>-</v>
      </c>
      <c r="C15" s="193" t="str">
        <f>IF(AND('A-17'!C15="-",'A-17'!C62="-",'A-17'!C109="-"),"-",SUM('A-17'!C15,'A-17'!C62,'A-17'!C109))</f>
        <v>-</v>
      </c>
      <c r="D15" s="193">
        <f>IF(AND('A-17'!D15="-",'A-17'!D62="-",'A-17'!D109="-"),"-",SUM('A-17'!D15,'A-17'!D62,'A-17'!D109))</f>
        <v>2710</v>
      </c>
      <c r="E15" s="193">
        <f>IF(AND('A-17'!E15="-",'A-17'!E62="-",'A-17'!E109="-"),"-",SUM('A-17'!E15,'A-17'!E62,'A-17'!E109))</f>
        <v>43097</v>
      </c>
      <c r="F15" s="193">
        <f>IF(AND('A-17'!F15="-",'A-17'!F62="-",'A-17'!F109="-"),"-",SUM('A-17'!F15,'A-17'!F62,'A-17'!F109))</f>
        <v>18580</v>
      </c>
      <c r="G15" s="193">
        <f>IF(AND('A-17'!G15="-",'A-17'!G62="-",'A-17'!G109="-"),"-",SUM('A-17'!G15,'A-17'!G62,'A-17'!G109))</f>
        <v>784</v>
      </c>
      <c r="H15" s="193">
        <f>IF(AND('A-17'!H15="-",'A-17'!H62="-",'A-17'!H109="-"),"-",SUM('A-17'!H15,'A-17'!H62,'A-17'!H109))</f>
        <v>22</v>
      </c>
      <c r="I15" s="193">
        <f>IF(AND('A-17'!I15="-",'A-17'!I62="-",'A-17'!I109="-"),"-",SUM('A-17'!I15,'A-17'!I62,'A-17'!I109))</f>
        <v>65193</v>
      </c>
      <c r="J15" s="22"/>
      <c r="K15" s="22"/>
    </row>
    <row r="16" spans="1:11" ht="11.25" customHeight="1" x14ac:dyDescent="0.25">
      <c r="A16" s="371">
        <v>1988</v>
      </c>
      <c r="B16" s="193" t="str">
        <f>IF(AND('A-17'!B16="-",'A-17'!B63="-",'A-17'!B110="-"),"-",SUM('A-17'!B16,'A-17'!B63,'A-17'!B110))</f>
        <v>-</v>
      </c>
      <c r="C16" s="193">
        <f>IF(AND('A-17'!C16="-",'A-17'!C63="-",'A-17'!C110="-"),"-",SUM('A-17'!C16,'A-17'!C63,'A-17'!C110))</f>
        <v>6</v>
      </c>
      <c r="D16" s="193" t="str">
        <f>IF(AND('A-17'!D16="-",'A-17'!D63="-",'A-17'!D110="-"),"-",SUM('A-17'!D16,'A-17'!D63,'A-17'!D110))</f>
        <v>-</v>
      </c>
      <c r="E16" s="193">
        <f>IF(AND('A-17'!E16="-",'A-17'!E63="-",'A-17'!E110="-"),"-",SUM('A-17'!E16,'A-17'!E63,'A-17'!E110))</f>
        <v>51292</v>
      </c>
      <c r="F16" s="193">
        <f>IF(AND('A-17'!F16="-",'A-17'!F63="-",'A-17'!F110="-"),"-",SUM('A-17'!F16,'A-17'!F63,'A-17'!F110))</f>
        <v>4179</v>
      </c>
      <c r="G16" s="193">
        <f>IF(AND('A-17'!G16="-",'A-17'!G63="-",'A-17'!G110="-"),"-",SUM('A-17'!G16,'A-17'!G63,'A-17'!G110))</f>
        <v>604</v>
      </c>
      <c r="H16" s="193">
        <f>IF(AND('A-17'!H16="-",'A-17'!H63="-",'A-17'!H110="-"),"-",SUM('A-17'!H16,'A-17'!H63,'A-17'!H110))</f>
        <v>12</v>
      </c>
      <c r="I16" s="193">
        <f>IF(AND('A-17'!I16="-",'A-17'!I63="-",'A-17'!I110="-"),"-",SUM('A-17'!I16,'A-17'!I63,'A-17'!I110))</f>
        <v>56093</v>
      </c>
      <c r="J16" s="22"/>
      <c r="K16" s="22"/>
    </row>
    <row r="17" spans="1:11" ht="11.25" customHeight="1" x14ac:dyDescent="0.25">
      <c r="A17" s="371">
        <v>1989</v>
      </c>
      <c r="B17" s="193" t="str">
        <f>IF(AND('A-17'!B17="-",'A-17'!B64="-",'A-17'!B111="-"),"-",SUM('A-17'!B17,'A-17'!B64,'A-17'!B111))</f>
        <v>-</v>
      </c>
      <c r="C17" s="193">
        <f>IF(AND('A-17'!C17="-",'A-17'!C64="-",'A-17'!C111="-"),"-",SUM('A-17'!C17,'A-17'!C64,'A-17'!C111))</f>
        <v>2373</v>
      </c>
      <c r="D17" s="193">
        <f>IF(AND('A-17'!D17="-",'A-17'!D64="-",'A-17'!D111="-"),"-",SUM('A-17'!D17,'A-17'!D64,'A-17'!D111))</f>
        <v>4391</v>
      </c>
      <c r="E17" s="193">
        <f>IF(AND('A-17'!E17="-",'A-17'!E64="-",'A-17'!E111="-"),"-",SUM('A-17'!E17,'A-17'!E64,'A-17'!E111))</f>
        <v>45451</v>
      </c>
      <c r="F17" s="193">
        <f>IF(AND('A-17'!F17="-",'A-17'!F64="-",'A-17'!F111="-"),"-",SUM('A-17'!F17,'A-17'!F64,'A-17'!F111))</f>
        <v>31903</v>
      </c>
      <c r="G17" s="193">
        <f>IF(AND('A-17'!G17="-",'A-17'!G64="-",'A-17'!G111="-"),"-",SUM('A-17'!G17,'A-17'!G64,'A-17'!G111))</f>
        <v>5362</v>
      </c>
      <c r="H17" s="193" t="str">
        <f>IF(AND('A-17'!H17="-",'A-17'!H64="-",'A-17'!H111="-"),"-",SUM('A-17'!H17,'A-17'!H64,'A-17'!H111))</f>
        <v>-</v>
      </c>
      <c r="I17" s="193">
        <f>IF(AND('A-17'!I17="-",'A-17'!I64="-",'A-17'!I111="-"),"-",SUM('A-17'!I17,'A-17'!I64,'A-17'!I111))</f>
        <v>89480</v>
      </c>
      <c r="J17" s="22"/>
      <c r="K17" s="22"/>
    </row>
    <row r="18" spans="1:11" ht="11.25" customHeight="1" x14ac:dyDescent="0.25">
      <c r="A18" s="371">
        <v>1990</v>
      </c>
      <c r="B18" s="193" t="str">
        <f>IF(AND('A-17'!B18="-",'A-17'!B65="-",'A-17'!B112="-"),"-",SUM('A-17'!B18,'A-17'!B65,'A-17'!B112))</f>
        <v>-</v>
      </c>
      <c r="C18" s="193" t="str">
        <f>IF(AND('A-17'!C18="-",'A-17'!C65="-",'A-17'!C112="-"),"-",SUM('A-17'!C18,'A-17'!C65,'A-17'!C112))</f>
        <v>-</v>
      </c>
      <c r="D18" s="193">
        <f>IF(AND('A-17'!D18="-",'A-17'!D65="-",'A-17'!D112="-"),"-",SUM('A-17'!D18,'A-17'!D65,'A-17'!D112))</f>
        <v>7225</v>
      </c>
      <c r="E18" s="193">
        <f>IF(AND('A-17'!E18="-",'A-17'!E65="-",'A-17'!E112="-"),"-",SUM('A-17'!E18,'A-17'!E65,'A-17'!E112))</f>
        <v>48244</v>
      </c>
      <c r="F18" s="193">
        <f>IF(AND('A-17'!F18="-",'A-17'!F65="-",'A-17'!F112="-"),"-",SUM('A-17'!F18,'A-17'!F65,'A-17'!F112))</f>
        <v>37656</v>
      </c>
      <c r="G18" s="193">
        <f>IF(AND('A-17'!G18="-",'A-17'!G65="-",'A-17'!G112="-"),"-",SUM('A-17'!G18,'A-17'!G65,'A-17'!G112))</f>
        <v>14193</v>
      </c>
      <c r="H18" s="193" t="str">
        <f>IF(AND('A-17'!H18="-",'A-17'!H65="-",'A-17'!H112="-"),"-",SUM('A-17'!H18,'A-17'!H65,'A-17'!H112))</f>
        <v>-</v>
      </c>
      <c r="I18" s="193">
        <f>IF(AND('A-17'!I18="-",'A-17'!I65="-",'A-17'!I112="-"),"-",SUM('A-17'!I18,'A-17'!I65,'A-17'!I112))</f>
        <v>107318</v>
      </c>
      <c r="J18" s="22"/>
      <c r="K18" s="22"/>
    </row>
    <row r="19" spans="1:11" ht="11.25" customHeight="1" x14ac:dyDescent="0.25">
      <c r="A19" s="371">
        <v>1991</v>
      </c>
      <c r="B19" s="193" t="str">
        <f>IF(AND('A-17'!B19="-",'A-17'!B66="-",'A-17'!B113="-"),"-",SUM('A-17'!B19,'A-17'!B66,'A-17'!B113))</f>
        <v>-</v>
      </c>
      <c r="C19" s="193" t="str">
        <f>IF(AND('A-17'!C19="-",'A-17'!C66="-",'A-17'!C113="-"),"-",SUM('A-17'!C19,'A-17'!C66,'A-17'!C113))</f>
        <v>-</v>
      </c>
      <c r="D19" s="193">
        <f>IF(AND('A-17'!D19="-",'A-17'!D66="-",'A-17'!D113="-"),"-",SUM('A-17'!D19,'A-17'!D66,'A-17'!D113))</f>
        <v>4959</v>
      </c>
      <c r="E19" s="193">
        <f>IF(AND('A-17'!E19="-",'A-17'!E66="-",'A-17'!E113="-"),"-",SUM('A-17'!E19,'A-17'!E66,'A-17'!E113))</f>
        <v>54748</v>
      </c>
      <c r="F19" s="193">
        <f>IF(AND('A-17'!F19="-",'A-17'!F66="-",'A-17'!F113="-"),"-",SUM('A-17'!F19,'A-17'!F66,'A-17'!F113))</f>
        <v>18142</v>
      </c>
      <c r="G19" s="193">
        <f>IF(AND('A-17'!G19="-",'A-17'!G66="-",'A-17'!G113="-"),"-",SUM('A-17'!G19,'A-17'!G66,'A-17'!G113))</f>
        <v>3864</v>
      </c>
      <c r="H19" s="193" t="str">
        <f>IF(AND('A-17'!H19="-",'A-17'!H66="-",'A-17'!H113="-"),"-",SUM('A-17'!H19,'A-17'!H66,'A-17'!H113))</f>
        <v>-</v>
      </c>
      <c r="I19" s="193">
        <f>IF(AND('A-17'!I19="-",'A-17'!I66="-",'A-17'!I113="-"),"-",SUM('A-17'!I19,'A-17'!I66,'A-17'!I113))</f>
        <v>81713</v>
      </c>
      <c r="J19" s="22"/>
      <c r="K19" s="22"/>
    </row>
    <row r="20" spans="1:11" ht="11.25" customHeight="1" x14ac:dyDescent="0.25">
      <c r="A20" s="371">
        <v>1992</v>
      </c>
      <c r="B20" s="193" t="str">
        <f>IF(AND('A-17'!B20="-",'A-17'!B67="-",'A-17'!B114="-"),"-",SUM('A-17'!B20,'A-17'!B67,'A-17'!B114))</f>
        <v>-</v>
      </c>
      <c r="C20" s="193">
        <f>IF(AND('A-17'!C20="-",'A-17'!C67="-",'A-17'!C114="-"),"-",SUM('A-17'!C20,'A-17'!C67,'A-17'!C114))</f>
        <v>1344</v>
      </c>
      <c r="D20" s="193" t="str">
        <f>IF(AND('A-17'!D20="-",'A-17'!D67="-",'A-17'!D114="-"),"-",SUM('A-17'!D20,'A-17'!D67,'A-17'!D114))</f>
        <v>-</v>
      </c>
      <c r="E20" s="193">
        <f>IF(AND('A-17'!E20="-",'A-17'!E67="-",'A-17'!E114="-"),"-",SUM('A-17'!E20,'A-17'!E67,'A-17'!E114))</f>
        <v>34918</v>
      </c>
      <c r="F20" s="193">
        <f>IF(AND('A-17'!F20="-",'A-17'!F67="-",'A-17'!F114="-"),"-",SUM('A-17'!F20,'A-17'!F67,'A-17'!F114))</f>
        <v>29184</v>
      </c>
      <c r="G20" s="193">
        <f>IF(AND('A-17'!G20="-",'A-17'!G67="-",'A-17'!G114="-"),"-",SUM('A-17'!G20,'A-17'!G67,'A-17'!G114))</f>
        <v>9721</v>
      </c>
      <c r="H20" s="193">
        <f>IF(AND('A-17'!H20="-",'A-17'!H67="-",'A-17'!H114="-"),"-",SUM('A-17'!H20,'A-17'!H67,'A-17'!H114))</f>
        <v>714</v>
      </c>
      <c r="I20" s="193">
        <f>IF(AND('A-17'!I20="-",'A-17'!I67="-",'A-17'!I114="-"),"-",SUM('A-17'!I20,'A-17'!I67,'A-17'!I114))</f>
        <v>75881</v>
      </c>
      <c r="J20" s="22"/>
      <c r="K20" s="22"/>
    </row>
    <row r="21" spans="1:11" ht="11.25" customHeight="1" x14ac:dyDescent="0.25">
      <c r="A21" s="371">
        <v>1993</v>
      </c>
      <c r="B21" s="193" t="str">
        <f>IF(AND('A-17'!B21="-",'A-17'!B68="-",'A-17'!B115="-"),"-",SUM('A-17'!B21,'A-17'!B68,'A-17'!B115))</f>
        <v>-</v>
      </c>
      <c r="C21" s="193">
        <f>IF(AND('A-17'!C21="-",'A-17'!C68="-",'A-17'!C115="-"),"-",SUM('A-17'!C21,'A-17'!C68,'A-17'!C115))</f>
        <v>1172</v>
      </c>
      <c r="D21" s="193" t="str">
        <f>IF(AND('A-17'!D21="-",'A-17'!D68="-",'A-17'!D115="-"),"-",SUM('A-17'!D21,'A-17'!D68,'A-17'!D115))</f>
        <v>-</v>
      </c>
      <c r="E21" s="193">
        <f>IF(AND('A-17'!E21="-",'A-17'!E68="-",'A-17'!E115="-"),"-",SUM('A-17'!E21,'A-17'!E68,'A-17'!E115))</f>
        <v>30351</v>
      </c>
      <c r="F21" s="193">
        <f>IF(AND('A-17'!F21="-",'A-17'!F68="-",'A-17'!F115="-"),"-",SUM('A-17'!F21,'A-17'!F68,'A-17'!F115))</f>
        <v>31397</v>
      </c>
      <c r="G21" s="193">
        <f>IF(AND('A-17'!G21="-",'A-17'!G68="-",'A-17'!G115="-"),"-",SUM('A-17'!G21,'A-17'!G68,'A-17'!G115))</f>
        <v>18199</v>
      </c>
      <c r="H21" s="193" t="str">
        <f>IF(AND('A-17'!H21="-",'A-17'!H68="-",'A-17'!H115="-"),"-",SUM('A-17'!H21,'A-17'!H68,'A-17'!H115))</f>
        <v>-</v>
      </c>
      <c r="I21" s="193">
        <f>IF(AND('A-17'!I21="-",'A-17'!I68="-",'A-17'!I115="-"),"-",SUM('A-17'!I21,'A-17'!I68,'A-17'!I115))</f>
        <v>81119</v>
      </c>
      <c r="J21" s="22"/>
      <c r="K21" s="22"/>
    </row>
    <row r="22" spans="1:11" ht="11.25" customHeight="1" x14ac:dyDescent="0.25">
      <c r="A22" s="371">
        <v>1994</v>
      </c>
      <c r="B22" s="193" t="str">
        <f>IF(AND('A-17'!B22="-",'A-17'!B69="-",'A-17'!B116="-"),"-",SUM('A-17'!B22,'A-17'!B69,'A-17'!B116))</f>
        <v>-</v>
      </c>
      <c r="C22" s="193" t="str">
        <f>IF(AND('A-17'!C22="-",'A-17'!C69="-",'A-17'!C116="-"),"-",SUM('A-17'!C22,'A-17'!C69,'A-17'!C116))</f>
        <v>-</v>
      </c>
      <c r="D22" s="193" t="str">
        <f>IF(AND('A-17'!D22="-",'A-17'!D69="-",'A-17'!D116="-"),"-",SUM('A-17'!D22,'A-17'!D69,'A-17'!D116))</f>
        <v>-</v>
      </c>
      <c r="E22" s="193" t="str">
        <f>IF(AND('A-17'!E22="-",'A-17'!E69="-",'A-17'!E116="-"),"-",SUM('A-17'!E22,'A-17'!E69,'A-17'!E116))</f>
        <v>-</v>
      </c>
      <c r="F22" s="193" t="str">
        <f>IF(AND('A-17'!F22="-",'A-17'!F69="-",'A-17'!F116="-"),"-",SUM('A-17'!F22,'A-17'!F69,'A-17'!F116))</f>
        <v>-</v>
      </c>
      <c r="G22" s="193" t="str">
        <f>IF(AND('A-17'!G22="-",'A-17'!G69="-",'A-17'!G116="-"),"-",SUM('A-17'!G22,'A-17'!G69,'A-17'!G116))</f>
        <v>-</v>
      </c>
      <c r="H22" s="193" t="str">
        <f>IF(AND('A-17'!H22="-",'A-17'!H69="-",'A-17'!H116="-"),"-",SUM('A-17'!H22,'A-17'!H69,'A-17'!H116))</f>
        <v>-</v>
      </c>
      <c r="I22" s="193" t="str">
        <f>IF(AND('A-17'!I22="-",'A-17'!I69="-",'A-17'!I116="-"),"-",SUM('A-17'!I22,'A-17'!I69,'A-17'!I116))</f>
        <v>-</v>
      </c>
      <c r="J22" s="22"/>
      <c r="K22" s="22"/>
    </row>
    <row r="23" spans="1:11" ht="11.25" customHeight="1" x14ac:dyDescent="0.25">
      <c r="A23" s="371">
        <v>1995</v>
      </c>
      <c r="B23" s="193" t="str">
        <f>IF(AND('A-17'!B23="-",'A-17'!B70="-",'A-17'!B117="-"),"-",SUM('A-17'!B23,'A-17'!B70,'A-17'!B117))</f>
        <v>-</v>
      </c>
      <c r="C23" s="193" t="str">
        <f>IF(AND('A-17'!C23="-",'A-17'!C70="-",'A-17'!C117="-"),"-",SUM('A-17'!C23,'A-17'!C70,'A-17'!C117))</f>
        <v>-</v>
      </c>
      <c r="D23" s="193" t="str">
        <f>IF(AND('A-17'!D23="-",'A-17'!D70="-",'A-17'!D117="-"),"-",SUM('A-17'!D23,'A-17'!D70,'A-17'!D117))</f>
        <v>-</v>
      </c>
      <c r="E23" s="193">
        <f>IF(AND('A-17'!E23="-",'A-17'!E70="-",'A-17'!E117="-"),"-",SUM('A-17'!E23,'A-17'!E70,'A-17'!E117))</f>
        <v>4859</v>
      </c>
      <c r="F23" s="193">
        <f>IF(AND('A-17'!F23="-",'A-17'!F70="-",'A-17'!F117="-"),"-",SUM('A-17'!F23,'A-17'!F70,'A-17'!F117))</f>
        <v>21874</v>
      </c>
      <c r="G23" s="193">
        <f>IF(AND('A-17'!G23="-",'A-17'!G70="-",'A-17'!G117="-"),"-",SUM('A-17'!G23,'A-17'!G70,'A-17'!G117))</f>
        <v>5917</v>
      </c>
      <c r="H23" s="193" t="str">
        <f>IF(AND('A-17'!H23="-",'A-17'!H70="-",'A-17'!H117="-"),"-",SUM('A-17'!H23,'A-17'!H70,'A-17'!H117))</f>
        <v>-</v>
      </c>
      <c r="I23" s="193">
        <f>IF(AND('A-17'!I23="-",'A-17'!I70="-",'A-17'!I117="-"),"-",SUM('A-17'!I23,'A-17'!I70,'A-17'!I117))</f>
        <v>32650</v>
      </c>
      <c r="J23" s="22"/>
      <c r="K23" s="22"/>
    </row>
    <row r="24" spans="1:11" ht="11.25" customHeight="1" x14ac:dyDescent="0.25">
      <c r="A24" s="371">
        <v>1996</v>
      </c>
      <c r="B24" s="193" t="str">
        <f>IF(AND('A-17'!B24="-",'A-17'!B71="-",'A-17'!B118="-"),"-",SUM('A-17'!B24,'A-17'!B71,'A-17'!B118))</f>
        <v>-</v>
      </c>
      <c r="C24" s="193" t="str">
        <f>IF(AND('A-17'!C24="-",'A-17'!C71="-",'A-17'!C118="-"),"-",SUM('A-17'!C24,'A-17'!C71,'A-17'!C118))</f>
        <v>-</v>
      </c>
      <c r="D24" s="193" t="str">
        <f>IF(AND('A-17'!D24="-",'A-17'!D71="-",'A-17'!D118="-"),"-",SUM('A-17'!D24,'A-17'!D71,'A-17'!D118))</f>
        <v>-</v>
      </c>
      <c r="E24" s="193">
        <f>IF(AND('A-17'!E24="-",'A-17'!E71="-",'A-17'!E118="-"),"-",SUM('A-17'!E24,'A-17'!E71,'A-17'!E118))</f>
        <v>4458</v>
      </c>
      <c r="F24" s="193">
        <f>IF(AND('A-17'!F24="-",'A-17'!F71="-",'A-17'!F118="-"),"-",SUM('A-17'!F24,'A-17'!F71,'A-17'!F118))</f>
        <v>20205</v>
      </c>
      <c r="G24" s="193">
        <f>IF(AND('A-17'!G24="-",'A-17'!G71="-",'A-17'!G118="-"),"-",SUM('A-17'!G24,'A-17'!G71,'A-17'!G118))</f>
        <v>2994</v>
      </c>
      <c r="H24" s="193" t="str">
        <f>IF(AND('A-17'!H24="-",'A-17'!H71="-",'A-17'!H118="-"),"-",SUM('A-17'!H24,'A-17'!H71,'A-17'!H118))</f>
        <v>-</v>
      </c>
      <c r="I24" s="193">
        <f>IF(AND('A-17'!I24="-",'A-17'!I71="-",'A-17'!I118="-"),"-",SUM('A-17'!I24,'A-17'!I71,'A-17'!I118))</f>
        <v>27657</v>
      </c>
      <c r="J24" s="22"/>
      <c r="K24" s="22"/>
    </row>
    <row r="25" spans="1:11" ht="11.25" customHeight="1" x14ac:dyDescent="0.25">
      <c r="A25" s="371">
        <v>1997</v>
      </c>
      <c r="B25" s="193" t="str">
        <f>IF(AND('A-17'!B25="-",'A-17'!B72="-",'A-17'!B119="-"),"-",SUM('A-17'!B25,'A-17'!B72,'A-17'!B119))</f>
        <v>-</v>
      </c>
      <c r="C25" s="193" t="str">
        <f>IF(AND('A-17'!C25="-",'A-17'!C72="-",'A-17'!C119="-"),"-",SUM('A-17'!C25,'A-17'!C72,'A-17'!C119))</f>
        <v>-</v>
      </c>
      <c r="D25" s="193" t="str">
        <f>IF(AND('A-17'!D25="-",'A-17'!D72="-",'A-17'!D119="-"),"-",SUM('A-17'!D25,'A-17'!D72,'A-17'!D119))</f>
        <v>-</v>
      </c>
      <c r="E25" s="193">
        <f>IF(AND('A-17'!E25="-",'A-17'!E72="-",'A-17'!E119="-"),"-",SUM('A-17'!E25,'A-17'!E72,'A-17'!E119))</f>
        <v>11794</v>
      </c>
      <c r="F25" s="193">
        <f>IF(AND('A-17'!F25="-",'A-17'!F72="-",'A-17'!F119="-"),"-",SUM('A-17'!F25,'A-17'!F72,'A-17'!F119))</f>
        <v>10044</v>
      </c>
      <c r="G25" s="193">
        <f>IF(AND('A-17'!G25="-",'A-17'!G72="-",'A-17'!G119="-"),"-",SUM('A-17'!G25,'A-17'!G72,'A-17'!G119))</f>
        <v>1171</v>
      </c>
      <c r="H25" s="193" t="str">
        <f>IF(AND('A-17'!H25="-",'A-17'!H72="-",'A-17'!H119="-"),"-",SUM('A-17'!H25,'A-17'!H72,'A-17'!H119))</f>
        <v>-</v>
      </c>
      <c r="I25" s="193">
        <f>IF(AND('A-17'!I25="-",'A-17'!I72="-",'A-17'!I119="-"),"-",SUM('A-17'!I25,'A-17'!I72,'A-17'!I119))</f>
        <v>23009</v>
      </c>
      <c r="J25" s="22"/>
      <c r="K25" s="22"/>
    </row>
    <row r="26" spans="1:11" ht="11.25" customHeight="1" x14ac:dyDescent="0.25">
      <c r="A26" s="371">
        <v>1998</v>
      </c>
      <c r="B26" s="193" t="str">
        <f>IF(AND('A-17'!B26="-",'A-17'!B73="-",'A-17'!B120="-"),"-",SUM('A-17'!B26,'A-17'!B73,'A-17'!B120))</f>
        <v>-</v>
      </c>
      <c r="C26" s="193" t="str">
        <f>IF(AND('A-17'!C26="-",'A-17'!C73="-",'A-17'!C120="-"),"-",SUM('A-17'!C26,'A-17'!C73,'A-17'!C120))</f>
        <v>-</v>
      </c>
      <c r="D26" s="193" t="str">
        <f>IF(AND('A-17'!D26="-",'A-17'!D73="-",'A-17'!D120="-"),"-",SUM('A-17'!D26,'A-17'!D73,'A-17'!D120))</f>
        <v>-</v>
      </c>
      <c r="E26" s="193" t="str">
        <f>IF(AND('A-17'!E26="-",'A-17'!E73="-",'A-17'!E120="-"),"-",SUM('A-17'!E26,'A-17'!E73,'A-17'!E120))</f>
        <v>-</v>
      </c>
      <c r="F26" s="193">
        <f>IF(AND('A-17'!F26="-",'A-17'!F73="-",'A-17'!F120="-"),"-",SUM('A-17'!F26,'A-17'!F73,'A-17'!F120))</f>
        <v>14013</v>
      </c>
      <c r="G26" s="193">
        <f>IF(AND('A-17'!G26="-",'A-17'!G73="-",'A-17'!G120="-"),"-",SUM('A-17'!G26,'A-17'!G73,'A-17'!G120))</f>
        <v>943</v>
      </c>
      <c r="H26" s="193" t="str">
        <f>IF(AND('A-17'!H26="-",'A-17'!H73="-",'A-17'!H120="-"),"-",SUM('A-17'!H26,'A-17'!H73,'A-17'!H120))</f>
        <v>-</v>
      </c>
      <c r="I26" s="193">
        <f>IF(AND('A-17'!I26="-",'A-17'!I73="-",'A-17'!I120="-"),"-",SUM('A-17'!I26,'A-17'!I73,'A-17'!I120))</f>
        <v>14956</v>
      </c>
      <c r="J26" s="22"/>
      <c r="K26" s="22"/>
    </row>
    <row r="27" spans="1:11" ht="11.25" customHeight="1" x14ac:dyDescent="0.25">
      <c r="A27" s="371">
        <v>1999</v>
      </c>
      <c r="B27" s="193" t="str">
        <f>IF(AND('A-17'!B27="-",'A-17'!B74="-",'A-17'!B121="-"),"-",SUM('A-17'!B27,'A-17'!B74,'A-17'!B121))</f>
        <v>-</v>
      </c>
      <c r="C27" s="193" t="str">
        <f>IF(AND('A-17'!C27="-",'A-17'!C74="-",'A-17'!C121="-"),"-",SUM('A-17'!C27,'A-17'!C74,'A-17'!C121))</f>
        <v>-</v>
      </c>
      <c r="D27" s="193" t="str">
        <f>IF(AND('A-17'!D27="-",'A-17'!D74="-",'A-17'!D121="-"),"-",SUM('A-17'!D27,'A-17'!D74,'A-17'!D121))</f>
        <v>-</v>
      </c>
      <c r="E27" s="193">
        <f>IF(AND('A-17'!E27="-",'A-17'!E74="-",'A-17'!E121="-"),"-",SUM('A-17'!E27,'A-17'!E74,'A-17'!E121))</f>
        <v>8875</v>
      </c>
      <c r="F27" s="193">
        <f>IF(AND('A-17'!F27="-",'A-17'!F74="-",'A-17'!F121="-"),"-",SUM('A-17'!F27,'A-17'!F74,'A-17'!F121))</f>
        <v>14607</v>
      </c>
      <c r="G27" s="193">
        <f>IF(AND('A-17'!G27="-",'A-17'!G74="-",'A-17'!G121="-"),"-",SUM('A-17'!G27,'A-17'!G74,'A-17'!G121))</f>
        <v>6616</v>
      </c>
      <c r="H27" s="193" t="str">
        <f>IF(AND('A-17'!H27="-",'A-17'!H74="-",'A-17'!H121="-"),"-",SUM('A-17'!H27,'A-17'!H74,'A-17'!H121))</f>
        <v>-</v>
      </c>
      <c r="I27" s="193">
        <f>IF(AND('A-17'!I27="-",'A-17'!I74="-",'A-17'!I121="-"),"-",SUM('A-17'!I27,'A-17'!I74,'A-17'!I121))</f>
        <v>30098</v>
      </c>
      <c r="J27" s="22"/>
      <c r="K27" s="22"/>
    </row>
    <row r="28" spans="1:11" ht="11.25" customHeight="1" x14ac:dyDescent="0.25">
      <c r="A28" s="371">
        <v>2000</v>
      </c>
      <c r="B28" s="193" t="str">
        <f>IF(AND('A-17'!B28="-",'A-17'!B75="-",'A-17'!B122="-"),"-",SUM('A-17'!B28,'A-17'!B75,'A-17'!B122))</f>
        <v>-</v>
      </c>
      <c r="C28" s="193" t="str">
        <f>IF(AND('A-17'!C28="-",'A-17'!C75="-",'A-17'!C122="-"),"-",SUM('A-17'!C28,'A-17'!C75,'A-17'!C122))</f>
        <v>-</v>
      </c>
      <c r="D28" s="193" t="str">
        <f>IF(AND('A-17'!D28="-",'A-17'!D75="-",'A-17'!D122="-"),"-",SUM('A-17'!D28,'A-17'!D75,'A-17'!D122))</f>
        <v>-</v>
      </c>
      <c r="E28" s="193">
        <f>IF(AND('A-17'!E28="-",'A-17'!E75="-",'A-17'!E122="-"),"-",SUM('A-17'!E28,'A-17'!E75,'A-17'!E122))</f>
        <v>18556</v>
      </c>
      <c r="F28" s="193">
        <f>IF(AND('A-17'!F28="-",'A-17'!F75="-",'A-17'!F122="-"),"-",SUM('A-17'!F28,'A-17'!F75,'A-17'!F122))</f>
        <v>12960</v>
      </c>
      <c r="G28" s="193">
        <f>IF(AND('A-17'!G28="-",'A-17'!G75="-",'A-17'!G122="-"),"-",SUM('A-17'!G28,'A-17'!G75,'A-17'!G122))</f>
        <v>1646</v>
      </c>
      <c r="H28" s="193" t="str">
        <f>IF(AND('A-17'!H28="-",'A-17'!H75="-",'A-17'!H122="-"),"-",SUM('A-17'!H28,'A-17'!H75,'A-17'!H122))</f>
        <v>-</v>
      </c>
      <c r="I28" s="193">
        <f>IF(AND('A-17'!I28="-",'A-17'!I75="-",'A-17'!I122="-"),"-",SUM('A-17'!I28,'A-17'!I75,'A-17'!I122))</f>
        <v>33162</v>
      </c>
      <c r="J28" s="22"/>
      <c r="K28" s="22"/>
    </row>
    <row r="29" spans="1:11" ht="11.25" customHeight="1" x14ac:dyDescent="0.25">
      <c r="A29" s="371">
        <v>2001</v>
      </c>
      <c r="B29" s="193" t="str">
        <f>IF(AND('A-17'!B29="-",'A-17'!B76="-",'A-17'!B123="-"),"-",SUM('A-17'!B29,'A-17'!B76,'A-17'!B123))</f>
        <v>-</v>
      </c>
      <c r="C29" s="193" t="str">
        <f>IF(AND('A-17'!C29="-",'A-17'!C76="-",'A-17'!C123="-"),"-",SUM('A-17'!C29,'A-17'!C76,'A-17'!C123))</f>
        <v>-</v>
      </c>
      <c r="D29" s="193" t="str">
        <f>IF(AND('A-17'!D29="-",'A-17'!D76="-",'A-17'!D123="-"),"-",SUM('A-17'!D29,'A-17'!D76,'A-17'!D123))</f>
        <v>-</v>
      </c>
      <c r="E29" s="193">
        <f>IF(AND('A-17'!E29="-",'A-17'!E76="-",'A-17'!E123="-"),"-",SUM('A-17'!E29,'A-17'!E76,'A-17'!E123))</f>
        <v>37754</v>
      </c>
      <c r="F29" s="193">
        <f>IF(AND('A-17'!F29="-",'A-17'!F76="-",'A-17'!F123="-"),"-",SUM('A-17'!F29,'A-17'!F76,'A-17'!F123))</f>
        <v>23732</v>
      </c>
      <c r="G29" s="193">
        <f>IF(AND('A-17'!G29="-",'A-17'!G76="-",'A-17'!G123="-"),"-",SUM('A-17'!G29,'A-17'!G76,'A-17'!G123))</f>
        <v>9291</v>
      </c>
      <c r="H29" s="193">
        <f>IF(AND('A-17'!H29="-",'A-17'!H76="-",'A-17'!H123="-"),"-",SUM('A-17'!H29,'A-17'!H76,'A-17'!H123))</f>
        <v>239</v>
      </c>
      <c r="I29" s="193">
        <f>IF(AND('A-17'!I29="-",'A-17'!I76="-",'A-17'!I123="-"),"-",SUM('A-17'!I29,'A-17'!I76,'A-17'!I123))</f>
        <v>71016</v>
      </c>
      <c r="J29" s="22"/>
      <c r="K29" s="22"/>
    </row>
    <row r="30" spans="1:11" ht="11.25" customHeight="1" x14ac:dyDescent="0.25">
      <c r="A30" s="371">
        <v>2002</v>
      </c>
      <c r="B30" s="193" t="str">
        <f>IF(AND('A-17'!B30="-",'A-17'!B77="-",'A-17'!B124="-"),"-",SUM('A-17'!B30,'A-17'!B77,'A-17'!B124))</f>
        <v>-</v>
      </c>
      <c r="C30" s="193">
        <f>IF(AND('A-17'!C30="-",'A-17'!C77="-",'A-17'!C124="-"),"-",SUM('A-17'!C30,'A-17'!C77,'A-17'!C124))</f>
        <v>2496</v>
      </c>
      <c r="D30" s="193">
        <f>IF(AND('A-17'!D30="-",'A-17'!D77="-",'A-17'!D124="-"),"-",SUM('A-17'!D30,'A-17'!D77,'A-17'!D124))</f>
        <v>13613</v>
      </c>
      <c r="E30" s="193">
        <f>IF(AND('A-17'!E30="-",'A-17'!E77="-",'A-17'!E124="-"),"-",SUM('A-17'!E30,'A-17'!E77,'A-17'!E124))</f>
        <v>21404</v>
      </c>
      <c r="F30" s="193">
        <f>IF(AND('A-17'!F30="-",'A-17'!F77="-",'A-17'!F124="-"),"-",SUM('A-17'!F30,'A-17'!F77,'A-17'!F124))</f>
        <v>19160</v>
      </c>
      <c r="G30" s="193">
        <f>IF(AND('A-17'!G30="-",'A-17'!G77="-",'A-17'!G124="-"),"-",SUM('A-17'!G30,'A-17'!G77,'A-17'!G124))</f>
        <v>1719</v>
      </c>
      <c r="H30" s="193">
        <f>IF(AND('A-17'!H30="-",'A-17'!H77="-",'A-17'!H124="-"),"-",SUM('A-17'!H30,'A-17'!H77,'A-17'!H124))</f>
        <v>113</v>
      </c>
      <c r="I30" s="193">
        <f>IF(AND('A-17'!I30="-",'A-17'!I77="-",'A-17'!I124="-"),"-",SUM('A-17'!I30,'A-17'!I77,'A-17'!I124))</f>
        <v>58505</v>
      </c>
      <c r="J30" s="22"/>
      <c r="K30" s="22"/>
    </row>
    <row r="31" spans="1:11" ht="11.25" customHeight="1" x14ac:dyDescent="0.25">
      <c r="A31" s="371">
        <v>2003</v>
      </c>
      <c r="B31" s="193" t="str">
        <f>IF(AND('A-17'!B31="-",'A-17'!B78="-",'A-17'!B125="-"),"-",SUM('A-17'!B31,'A-17'!B78,'A-17'!B125))</f>
        <v>-</v>
      </c>
      <c r="C31" s="193" t="str">
        <f>IF(AND('A-17'!C31="-",'A-17'!C78="-",'A-17'!C125="-"),"-",SUM('A-17'!C31,'A-17'!C78,'A-17'!C125))</f>
        <v>-</v>
      </c>
      <c r="D31" s="193">
        <f>IF(AND('A-17'!D31="-",'A-17'!D78="-",'A-17'!D125="-"),"-",SUM('A-17'!D31,'A-17'!D78,'A-17'!D125))</f>
        <v>5894</v>
      </c>
      <c r="E31" s="193">
        <f>IF(AND('A-17'!E31="-",'A-17'!E78="-",'A-17'!E125="-"),"-",SUM('A-17'!E31,'A-17'!E78,'A-17'!E125))</f>
        <v>32630</v>
      </c>
      <c r="F31" s="193">
        <f>IF(AND('A-17'!F31="-",'A-17'!F78="-",'A-17'!F125="-"),"-",SUM('A-17'!F31,'A-17'!F78,'A-17'!F125))</f>
        <v>27968</v>
      </c>
      <c r="G31" s="193">
        <f>IF(AND('A-17'!G31="-",'A-17'!G78="-",'A-17'!G125="-"),"-",SUM('A-17'!G31,'A-17'!G78,'A-17'!G125))</f>
        <v>6247</v>
      </c>
      <c r="H31" s="193">
        <f>IF(AND('A-17'!H31="-",'A-17'!H78="-",'A-17'!H125="-"),"-",SUM('A-17'!H31,'A-17'!H78,'A-17'!H125))</f>
        <v>128</v>
      </c>
      <c r="I31" s="193">
        <f>IF(AND('A-17'!I31="-",'A-17'!I78="-",'A-17'!I125="-"),"-",SUM('A-17'!I31,'A-17'!I78,'A-17'!I125))</f>
        <v>72867</v>
      </c>
      <c r="J31" s="22"/>
      <c r="K31" s="22"/>
    </row>
    <row r="32" spans="1:11" ht="11.25" customHeight="1" x14ac:dyDescent="0.25">
      <c r="A32" s="371">
        <v>2004</v>
      </c>
      <c r="B32" s="193" t="str">
        <f>IF(AND('A-17'!B32="-",'A-17'!B79="-",'A-17'!B126="-"),"-",SUM('A-17'!B32,'A-17'!B79,'A-17'!B126))</f>
        <v>-</v>
      </c>
      <c r="C32" s="193" t="str">
        <f>IF(AND('A-17'!C32="-",'A-17'!C79="-",'A-17'!C126="-"),"-",SUM('A-17'!C32,'A-17'!C79,'A-17'!C126))</f>
        <v>-</v>
      </c>
      <c r="D32" s="193">
        <f>IF(AND('A-17'!D32="-",'A-17'!D79="-",'A-17'!D126="-"),"-",SUM('A-17'!D32,'A-17'!D79,'A-17'!D126))</f>
        <v>2013</v>
      </c>
      <c r="E32" s="193">
        <f>IF(AND('A-17'!E32="-",'A-17'!E79="-",'A-17'!E126="-"),"-",SUM('A-17'!E32,'A-17'!E79,'A-17'!E126))</f>
        <v>31942</v>
      </c>
      <c r="F32" s="193">
        <f>IF(AND('A-17'!F32="-",'A-17'!F79="-",'A-17'!F126="-"),"-",SUM('A-17'!F32,'A-17'!F79,'A-17'!F126))</f>
        <v>26905</v>
      </c>
      <c r="G32" s="193">
        <f>IF(AND('A-17'!G32="-",'A-17'!G79="-",'A-17'!G126="-"),"-",SUM('A-17'!G32,'A-17'!G79,'A-17'!G126))</f>
        <v>8013</v>
      </c>
      <c r="H32" s="193">
        <f>IF(AND('A-17'!H32="-",'A-17'!H79="-",'A-17'!H126="-"),"-",SUM('A-17'!H32,'A-17'!H79,'A-17'!H126))</f>
        <v>20</v>
      </c>
      <c r="I32" s="193">
        <f>IF(AND('A-17'!I32="-",'A-17'!I79="-",'A-17'!I126="-"),"-",SUM('A-17'!I32,'A-17'!I79,'A-17'!I126))</f>
        <v>68893</v>
      </c>
      <c r="J32" s="22"/>
      <c r="K32" s="22"/>
    </row>
    <row r="33" spans="1:11" ht="11.25" customHeight="1" x14ac:dyDescent="0.25">
      <c r="A33" s="348">
        <v>2005</v>
      </c>
      <c r="B33" s="197" t="str">
        <f>IF(AND('A-17'!B33="-",'A-17'!B80="-",'A-17'!B127="-"),"-",SUM('A-17'!B33,'A-17'!B80,'A-17'!B127))</f>
        <v>-</v>
      </c>
      <c r="C33" s="197" t="str">
        <f>IF(AND('A-17'!C33="-",'A-17'!C80="-",'A-17'!C127="-"),"-",SUM('A-17'!C33,'A-17'!C80,'A-17'!C127))</f>
        <v>-</v>
      </c>
      <c r="D33" s="197">
        <f>IF(AND('A-17'!D33="-",'A-17'!D80="-",'A-17'!D127="-"),"-",SUM('A-17'!D33,'A-17'!D80,'A-17'!D127))</f>
        <v>1119</v>
      </c>
      <c r="E33" s="197">
        <f>IF(AND('A-17'!E33="-",'A-17'!E80="-",'A-17'!E127="-"),"-",SUM('A-17'!E33,'A-17'!E80,'A-17'!E127))</f>
        <v>25888.744915506741</v>
      </c>
      <c r="F33" s="197">
        <f>IF(AND('A-17'!F33="-",'A-17'!F80="-",'A-17'!F127="-"),"-",SUM('A-17'!F33,'A-17'!F80,'A-17'!F127))</f>
        <v>22503.536814377021</v>
      </c>
      <c r="G33" s="197">
        <f>IF(AND('A-17'!G33="-",'A-17'!G80="-",'A-17'!G127="-"),"-",SUM('A-17'!G33,'A-17'!G80,'A-17'!G127))</f>
        <v>8870.1950999392811</v>
      </c>
      <c r="H33" s="197">
        <f>IF(AND('A-17'!H33="-",'A-17'!H80="-",'A-17'!H127="-"),"-",SUM('A-17'!H33,'A-17'!H80,'A-17'!H127))</f>
        <v>160</v>
      </c>
      <c r="I33" s="197">
        <f>IF(AND('A-17'!I33="-",'A-17'!I80="-",'A-17'!I127="-"),"-",SUM('A-17'!I33,'A-17'!I80,'A-17'!I127))</f>
        <v>58541.476829823048</v>
      </c>
      <c r="J33" s="22"/>
      <c r="K33" s="22"/>
    </row>
    <row r="34" spans="1:11" ht="11.25" customHeight="1" x14ac:dyDescent="0.25">
      <c r="A34" s="371">
        <v>2006</v>
      </c>
      <c r="B34" s="193" t="str">
        <f>IF(AND('A-17'!B34="-",'A-17'!B81="-",'A-17'!B128="-"),"-",SUM('A-17'!B34,'A-17'!B81,'A-17'!B128))</f>
        <v>-</v>
      </c>
      <c r="C34" s="193" t="str">
        <f>IF(AND('A-17'!C34="-",'A-17'!C81="-",'A-17'!C128="-"),"-",SUM('A-17'!C34,'A-17'!C81,'A-17'!C128))</f>
        <v>-</v>
      </c>
      <c r="D34" s="193">
        <f>IF(AND('A-17'!D34="-",'A-17'!D81="-",'A-17'!D128="-"),"-",SUM('A-17'!D34,'A-17'!D81,'A-17'!D128))</f>
        <v>1118.93</v>
      </c>
      <c r="E34" s="193">
        <f>IF(AND('A-17'!E34="-",'A-17'!E81="-",'A-17'!E128="-"),"-",SUM('A-17'!E34,'A-17'!E81,'A-17'!E128))</f>
        <v>16486.240000000002</v>
      </c>
      <c r="F34" s="193">
        <f>IF(AND('A-17'!F34="-",'A-17'!F81="-",'A-17'!F128="-"),"-",SUM('A-17'!F34,'A-17'!F81,'A-17'!F128))</f>
        <v>20678.71</v>
      </c>
      <c r="G34" s="193">
        <f>IF(AND('A-17'!G34="-",'A-17'!G81="-",'A-17'!G128="-"),"-",SUM('A-17'!G34,'A-17'!G81,'A-17'!G128))</f>
        <v>3551.2</v>
      </c>
      <c r="H34" s="193">
        <f>IF(AND('A-17'!H34="-",'A-17'!H81="-",'A-17'!H128="-"),"-",SUM('A-17'!H34,'A-17'!H81,'A-17'!H128))</f>
        <v>258.35000000000002</v>
      </c>
      <c r="I34" s="193">
        <f>IF(AND('A-17'!I34="-",'A-17'!I81="-",'A-17'!I128="-"),"-",SUM('A-17'!I34,'A-17'!I81,'A-17'!I128))</f>
        <v>42093.430000000008</v>
      </c>
      <c r="J34" s="22"/>
      <c r="K34" s="22"/>
    </row>
    <row r="35" spans="1:11" ht="11.25" customHeight="1" x14ac:dyDescent="0.25">
      <c r="A35" s="348">
        <v>2007</v>
      </c>
      <c r="B35" s="197" t="str">
        <f>IF(AND('A-17'!B35="-",'A-17'!B82="-",'A-17'!B129="-"),"-",SUM('A-17'!B35,'A-17'!B82,'A-17'!B129))</f>
        <v>-</v>
      </c>
      <c r="C35" s="197" t="str">
        <f>IF(AND('A-17'!C35="-",'A-17'!C82="-",'A-17'!C129="-"),"-",SUM('A-17'!C35,'A-17'!C82,'A-17'!C129))</f>
        <v>-</v>
      </c>
      <c r="D35" s="197" t="str">
        <f>IF(AND('A-17'!D35="-",'A-17'!D82="-",'A-17'!D129="-"),"-",SUM('A-17'!D35,'A-17'!D82,'A-17'!D129))</f>
        <v>-</v>
      </c>
      <c r="E35" s="197">
        <f>IF(AND('A-17'!E35="-",'A-17'!E82="-",'A-17'!E129="-"),"-",SUM('A-17'!E35,'A-17'!E82,'A-17'!E129))</f>
        <v>17481.84</v>
      </c>
      <c r="F35" s="197">
        <f>IF(AND('A-17'!F35="-",'A-17'!F82="-",'A-17'!F129="-"),"-",SUM('A-17'!F35,'A-17'!F82,'A-17'!F129))</f>
        <v>21514.170000000002</v>
      </c>
      <c r="G35" s="197">
        <f>IF(AND('A-17'!G35="-",'A-17'!G82="-",'A-17'!G129="-"),"-",SUM('A-17'!G35,'A-17'!G82,'A-17'!G129))</f>
        <v>3555.27</v>
      </c>
      <c r="H35" s="197">
        <f>IF(AND('A-17'!H35="-",'A-17'!H82="-",'A-17'!H129="-"),"-",SUM('A-17'!H35,'A-17'!H82,'A-17'!H129))</f>
        <v>0</v>
      </c>
      <c r="I35" s="197">
        <f>IF(AND('A-17'!I35="-",'A-17'!I82="-",'A-17'!I129="-"),"-",SUM('A-17'!I35,'A-17'!I82,'A-17'!I129))</f>
        <v>42551.28</v>
      </c>
      <c r="J35" s="148"/>
      <c r="K35" s="148"/>
    </row>
    <row r="36" spans="1:11" ht="11.25" customHeight="1" x14ac:dyDescent="0.25">
      <c r="A36" s="348">
        <v>2008</v>
      </c>
      <c r="B36" s="197" t="str">
        <f>IF(AND('A-17'!B36="-",'A-17'!B83="-",'A-17'!B130="-"),"-",SUM('A-17'!B36,'A-17'!B83,'A-17'!B130))</f>
        <v>-</v>
      </c>
      <c r="C36" s="197" t="str">
        <f>IF(AND('A-17'!C36="-",'A-17'!C83="-",'A-17'!C130="-"),"-",SUM('A-17'!C36,'A-17'!C83,'A-17'!C130))</f>
        <v>-</v>
      </c>
      <c r="D36" s="197">
        <f>IF(AND('A-17'!D36="-",'A-17'!D83="-",'A-17'!D130="-"),"-",SUM('A-17'!D36,'A-17'!D83,'A-17'!D130))</f>
        <v>4007.3399999999997</v>
      </c>
      <c r="E36" s="197">
        <f>IF(AND('A-17'!E36="-",'A-17'!E83="-",'A-17'!E130="-"),"-",SUM('A-17'!E36,'A-17'!E83,'A-17'!E130))</f>
        <v>11391.77</v>
      </c>
      <c r="F36" s="197">
        <f>IF(AND('A-17'!F36="-",'A-17'!F83="-",'A-17'!F130="-"),"-",SUM('A-17'!F36,'A-17'!F83,'A-17'!F130))</f>
        <v>9170.59</v>
      </c>
      <c r="G36" s="197">
        <f>IF(AND('A-17'!G36="-",'A-17'!G83="-",'A-17'!G130="-"),"-",SUM('A-17'!G36,'A-17'!G83,'A-17'!G130))</f>
        <v>2563.7800000000002</v>
      </c>
      <c r="H36" s="197">
        <f>IF(AND('A-17'!H36="-",'A-17'!H83="-",'A-17'!H130="-"),"-",SUM('A-17'!H36,'A-17'!H83,'A-17'!H130))</f>
        <v>37.5</v>
      </c>
      <c r="I36" s="197">
        <f>IF(AND('A-17'!I36="-",'A-17'!I83="-",'A-17'!I130="-"),"-",SUM('A-17'!I36,'A-17'!I83,'A-17'!I130))</f>
        <v>27170.979999999996</v>
      </c>
      <c r="J36" s="148"/>
      <c r="K36" s="148"/>
    </row>
    <row r="37" spans="1:11" ht="11.25" customHeight="1" x14ac:dyDescent="0.25">
      <c r="A37" s="348">
        <v>2009</v>
      </c>
      <c r="B37" s="197" t="str">
        <f>IF(AND('A-17'!B37="-",'A-17'!B84="-",'A-17'!B131="-"),"-",SUM('A-17'!B37,'A-17'!B84,'A-17'!B131))</f>
        <v>-</v>
      </c>
      <c r="C37" s="197" t="str">
        <f>IF(AND('A-17'!C37="-",'A-17'!C84="-",'A-17'!C131="-"),"-",SUM('A-17'!C37,'A-17'!C84,'A-17'!C131))</f>
        <v>-</v>
      </c>
      <c r="D37" s="197">
        <f>IF(AND('A-17'!D37="-",'A-17'!D84="-",'A-17'!D131="-"),"-",SUM('A-17'!D37,'A-17'!D84,'A-17'!D131))</f>
        <v>1104.29</v>
      </c>
      <c r="E37" s="197">
        <f>IF(AND('A-17'!E37="-",'A-17'!E84="-",'A-17'!E131="-"),"-",SUM('A-17'!E37,'A-17'!E84,'A-17'!E131))</f>
        <v>18115.16</v>
      </c>
      <c r="F37" s="197">
        <f>IF(AND('A-17'!F37="-",'A-17'!F84="-",'A-17'!F131="-"),"-",SUM('A-17'!F37,'A-17'!F84,'A-17'!F131))</f>
        <v>32545.57</v>
      </c>
      <c r="G37" s="197">
        <f>IF(AND('A-17'!G37="-",'A-17'!G84="-",'A-17'!G131="-"),"-",SUM('A-17'!G37,'A-17'!G84,'A-17'!G131))</f>
        <v>7402.0300000000007</v>
      </c>
      <c r="H37" s="197">
        <f>IF(AND('A-17'!H37="-",'A-17'!H84="-",'A-17'!H131="-"),"-",SUM('A-17'!H37,'A-17'!H84,'A-17'!H131))</f>
        <v>212.42</v>
      </c>
      <c r="I37" s="197">
        <f>IF(AND('A-17'!I37="-",'A-17'!I84="-",'A-17'!I131="-"),"-",SUM('A-17'!I37,'A-17'!I84,'A-17'!I131))</f>
        <v>59379.47</v>
      </c>
      <c r="J37" s="148"/>
      <c r="K37" s="148"/>
    </row>
    <row r="38" spans="1:11" ht="11.25" customHeight="1" x14ac:dyDescent="0.25">
      <c r="A38" s="348">
        <v>2010</v>
      </c>
      <c r="B38" s="197" t="str">
        <f>IF(AND('A-17'!B38="-",'A-17'!B85="-",'A-17'!B132="-"),"-",SUM('A-17'!B38,'A-17'!B85,'A-17'!B132))</f>
        <v>-</v>
      </c>
      <c r="C38" s="197" t="str">
        <f>IF(AND('A-17'!C38="-",'A-17'!C85="-",'A-17'!C132="-"),"-",SUM('A-17'!C38,'A-17'!C85,'A-17'!C132))</f>
        <v>-</v>
      </c>
      <c r="D38" s="197">
        <f>IF(AND('A-17'!D38="-",'A-17'!D85="-",'A-17'!D132="-"),"-",SUM('A-17'!D38,'A-17'!D85,'A-17'!D132))</f>
        <v>9451.1299999999992</v>
      </c>
      <c r="E38" s="197">
        <f>IF(AND('A-17'!E38="-",'A-17'!E85="-",'A-17'!E132="-"),"-",SUM('A-17'!E38,'A-17'!E85,'A-17'!E132))</f>
        <v>18380.2</v>
      </c>
      <c r="F38" s="197">
        <f>IF(AND('A-17'!F38="-",'A-17'!F85="-",'A-17'!F132="-"),"-",SUM('A-17'!F38,'A-17'!F85,'A-17'!F132))</f>
        <v>19546.45</v>
      </c>
      <c r="G38" s="197">
        <f>IF(AND('A-17'!G38="-",'A-17'!G85="-",'A-17'!G132="-"),"-",SUM('A-17'!G38,'A-17'!G85,'A-17'!G132))</f>
        <v>6281.6</v>
      </c>
      <c r="H38" s="197">
        <f>IF(AND('A-17'!H38="-",'A-17'!H85="-",'A-17'!H132="-"),"-",SUM('A-17'!H38,'A-17'!H85,'A-17'!H132))</f>
        <v>153.97</v>
      </c>
      <c r="I38" s="197">
        <f>IF(AND('A-17'!I38="-",'A-17'!I85="-",'A-17'!I132="-"),"-",SUM('A-17'!I38,'A-17'!I85,'A-17'!I132))</f>
        <v>53813.350000000006</v>
      </c>
      <c r="J38" s="148"/>
      <c r="K38" s="148"/>
    </row>
    <row r="39" spans="1:11" ht="11.25" customHeight="1" x14ac:dyDescent="0.25">
      <c r="A39" s="348">
        <v>2011</v>
      </c>
      <c r="B39" s="197" t="str">
        <f>IF(AND('A-17'!B39="-",'A-17'!B86="-",'A-17'!B133="-"),"-",SUM('A-17'!B39,'A-17'!B86,'A-17'!B133))</f>
        <v>-</v>
      </c>
      <c r="C39" s="197" t="str">
        <f>IF(AND('A-17'!C39="-",'A-17'!C86="-",'A-17'!C133="-"),"-",SUM('A-17'!C39,'A-17'!C86,'A-17'!C133))</f>
        <v>-</v>
      </c>
      <c r="D39" s="197">
        <f>IF(AND('A-17'!D39="-",'A-17'!D86="-",'A-17'!D133="-"),"-",SUM('A-17'!D39,'A-17'!D86,'A-17'!D133))</f>
        <v>5536.83</v>
      </c>
      <c r="E39" s="197">
        <f>IF(AND('A-17'!E39="-",'A-17'!E86="-",'A-17'!E133="-"),"-",SUM('A-17'!E39,'A-17'!E86,'A-17'!E133))</f>
        <v>17334.349999999999</v>
      </c>
      <c r="F39" s="197">
        <f>IF(AND('A-17'!F39="-",'A-17'!F86="-",'A-17'!F133="-"),"-",SUM('A-17'!F39,'A-17'!F86,'A-17'!F133))</f>
        <v>21178.25</v>
      </c>
      <c r="G39" s="197">
        <f>IF(AND('A-17'!G39="-",'A-17'!G86="-",'A-17'!G133="-"),"-",SUM('A-17'!G39,'A-17'!G86,'A-17'!G133))</f>
        <v>4786.58</v>
      </c>
      <c r="H39" s="197">
        <f>IF(AND('A-17'!H39="-",'A-17'!H86="-",'A-17'!H133="-"),"-",SUM('A-17'!H39,'A-17'!H86,'A-17'!H133))</f>
        <v>16.05</v>
      </c>
      <c r="I39" s="197">
        <f>IF(AND('A-17'!I39="-",'A-17'!I86="-",'A-17'!I133="-"),"-",SUM('A-17'!I39,'A-17'!I86,'A-17'!I133))</f>
        <v>48852.06</v>
      </c>
      <c r="J39" s="148"/>
      <c r="K39" s="148"/>
    </row>
    <row r="40" spans="1:11" ht="11.25" customHeight="1" x14ac:dyDescent="0.25">
      <c r="A40" s="348">
        <v>2012</v>
      </c>
      <c r="B40" s="197" t="str">
        <f>IF(AND('A-17'!B40="-",'A-17'!B87="-",'A-17'!B134="-"),"-",SUM('A-17'!B40,'A-17'!B87,'A-17'!B134))</f>
        <v>-</v>
      </c>
      <c r="C40" s="197" t="str">
        <f>IF(AND('A-17'!C40="-",'A-17'!C87="-",'A-17'!C134="-"),"-",SUM('A-17'!C40,'A-17'!C87,'A-17'!C134))</f>
        <v>-</v>
      </c>
      <c r="D40" s="197">
        <f>IF(AND('A-17'!D40="-",'A-17'!D87="-",'A-17'!D134="-"),"-",SUM('A-17'!D40,'A-17'!D87,'A-17'!D134))</f>
        <v>9627.2200000000012</v>
      </c>
      <c r="E40" s="197">
        <f>IF(AND('A-17'!E40="-",'A-17'!E87="-",'A-17'!E134="-"),"-",SUM('A-17'!E40,'A-17'!E87,'A-17'!E134))</f>
        <v>17412.53</v>
      </c>
      <c r="F40" s="197">
        <f>IF(AND('A-17'!F40="-",'A-17'!F87="-",'A-17'!F134="-"),"-",SUM('A-17'!F40,'A-17'!F87,'A-17'!F134))</f>
        <v>19168.04</v>
      </c>
      <c r="G40" s="197">
        <f>IF(AND('A-17'!G40="-",'A-17'!G87="-",'A-17'!G134="-"),"-",SUM('A-17'!G40,'A-17'!G87,'A-17'!G134))</f>
        <v>8128.11</v>
      </c>
      <c r="H40" s="197">
        <f>IF(AND('A-17'!H40="-",'A-17'!H87="-",'A-17'!H134="-"),"-",SUM('A-17'!H40,'A-17'!H87,'A-17'!H134))</f>
        <v>353.11</v>
      </c>
      <c r="I40" s="197">
        <f>IF(AND('A-17'!I40="-",'A-17'!I87="-",'A-17'!I134="-"),"-",SUM('A-17'!I40,'A-17'!I87,'A-17'!I134))</f>
        <v>54689.010000000009</v>
      </c>
      <c r="J40" s="148"/>
      <c r="K40" s="148"/>
    </row>
    <row r="41" spans="1:11" ht="11.25" customHeight="1" x14ac:dyDescent="0.25">
      <c r="A41" s="348">
        <v>2013</v>
      </c>
      <c r="B41" s="197" t="str">
        <f>IF(AND('A-17'!B41="-",'A-17'!B88="-",'A-17'!B135="-"),"-",SUM('A-17'!B41,'A-17'!B88,'A-17'!B135))</f>
        <v>-</v>
      </c>
      <c r="C41" s="197">
        <f>IF(AND('A-17'!C41="-",'A-17'!C88="-",'A-17'!C135="-"),"-",SUM('A-17'!C41,'A-17'!C88,'A-17'!C135))</f>
        <v>950.86</v>
      </c>
      <c r="D41" s="197">
        <f>IF(AND('A-17'!D41="-",'A-17'!D88="-",'A-17'!D135="-"),"-",SUM('A-17'!D41,'A-17'!D88,'A-17'!D135))</f>
        <v>8973.08</v>
      </c>
      <c r="E41" s="197">
        <f>IF(AND('A-17'!E41="-",'A-17'!E88="-",'A-17'!E135="-"),"-",SUM('A-17'!E41,'A-17'!E88,'A-17'!E135))</f>
        <v>16010.42</v>
      </c>
      <c r="F41" s="197">
        <f>IF(AND('A-17'!F41="-",'A-17'!F88="-",'A-17'!F135="-"),"-",SUM('A-17'!F41,'A-17'!F88,'A-17'!F135))</f>
        <v>23946.48</v>
      </c>
      <c r="G41" s="197">
        <f>IF(AND('A-17'!G41="-",'A-17'!G88="-",'A-17'!G135="-"),"-",SUM('A-17'!G41,'A-17'!G88,'A-17'!G135))</f>
        <v>5399.54</v>
      </c>
      <c r="H41" s="197">
        <f>IF(AND('A-17'!H41="-",'A-17'!H88="-",'A-17'!H135="-"),"-",SUM('A-17'!H41,'A-17'!H88,'A-17'!H135))</f>
        <v>237.41</v>
      </c>
      <c r="I41" s="197">
        <f>IF(AND('A-17'!I41="-",'A-17'!I88="-",'A-17'!I135="-"),"-",SUM('A-17'!I41,'A-17'!I88,'A-17'!I135))</f>
        <v>55517.79</v>
      </c>
      <c r="J41" s="148"/>
      <c r="K41" s="148"/>
    </row>
    <row r="42" spans="1:11" ht="11.25" customHeight="1" x14ac:dyDescent="0.25">
      <c r="A42" s="348">
        <v>2014</v>
      </c>
      <c r="B42" s="197" t="str">
        <f>IF(AND('A-17'!B42="-",'A-17'!B89="-",'A-17'!B136="-"),"-",SUM('A-17'!B42,'A-17'!B89,'A-17'!B136))</f>
        <v>-</v>
      </c>
      <c r="C42" s="197">
        <f>IF(AND('A-17'!C42="-",'A-17'!C89="-",'A-17'!C136="-"),"-",SUM('A-17'!C42,'A-17'!C89,'A-17'!C136))</f>
        <v>1642.56</v>
      </c>
      <c r="D42" s="197">
        <f>IF(AND('A-17'!D42="-",'A-17'!D89="-",'A-17'!D136="-"),"-",SUM('A-17'!D42,'A-17'!D89,'A-17'!D136))</f>
        <v>10330.92</v>
      </c>
      <c r="E42" s="197">
        <f>IF(AND('A-17'!E42="-",'A-17'!E89="-",'A-17'!E136="-"),"-",SUM('A-17'!E42,'A-17'!E89,'A-17'!E136))</f>
        <v>28528.67</v>
      </c>
      <c r="F42" s="197">
        <f>IF(AND('A-17'!F42="-",'A-17'!F89="-",'A-17'!F136="-"),"-",SUM('A-17'!F42,'A-17'!F89,'A-17'!F136))</f>
        <v>24392.71</v>
      </c>
      <c r="G42" s="197">
        <f>IF(AND('A-17'!G42="-",'A-17'!G89="-",'A-17'!G136="-"),"-",SUM('A-17'!G42,'A-17'!G89,'A-17'!G136))</f>
        <v>10089.450000000001</v>
      </c>
      <c r="H42" s="197">
        <f>IF(AND('A-17'!H42="-",'A-17'!H89="-",'A-17'!H136="-"),"-",SUM('A-17'!H42,'A-17'!H89,'A-17'!H136))</f>
        <v>364.82</v>
      </c>
      <c r="I42" s="197">
        <f>IF(AND('A-17'!I42="-",'A-17'!I89="-",'A-17'!I136="-"),"-",SUM('A-17'!I42,'A-17'!I89,'A-17'!I136))</f>
        <v>75349.13</v>
      </c>
      <c r="J42" s="148"/>
      <c r="K42" s="148"/>
    </row>
    <row r="43" spans="1:11" ht="11.25" customHeight="1" x14ac:dyDescent="0.25">
      <c r="A43" s="348">
        <v>2015</v>
      </c>
      <c r="B43" s="197" t="str">
        <f>IF(AND('A-17'!B43="-",'A-17'!B90="-",'A-17'!B137="-"),"-",SUM('A-17'!B43,'A-17'!B90,'A-17'!B137))</f>
        <v>-</v>
      </c>
      <c r="C43" s="197">
        <f>IF(AND('A-17'!C43="-",'A-17'!C90="-",'A-17'!C137="-"),"-",SUM('A-17'!C43,'A-17'!C90,'A-17'!C137))</f>
        <v>1440.92</v>
      </c>
      <c r="D43" s="197">
        <f>IF(AND('A-17'!D43="-",'A-17'!D90="-",'A-17'!D137="-"),"-",SUM('A-17'!D43,'A-17'!D90,'A-17'!D137))</f>
        <v>8973.7900000000009</v>
      </c>
      <c r="E43" s="197">
        <f>IF(AND('A-17'!E43="-",'A-17'!E90="-",'A-17'!E137="-"),"-",SUM('A-17'!E43,'A-17'!E90,'A-17'!E137))</f>
        <v>28778.77</v>
      </c>
      <c r="F43" s="197">
        <f>IF(AND('A-17'!F43="-",'A-17'!F90="-",'A-17'!F137="-"),"-",SUM('A-17'!F43,'A-17'!F90,'A-17'!F137))</f>
        <v>15565.84</v>
      </c>
      <c r="G43" s="197">
        <f>IF(AND('A-17'!G43="-",'A-17'!G90="-",'A-17'!G137="-"),"-",SUM('A-17'!G43,'A-17'!G90,'A-17'!G137))</f>
        <v>8665.7200000000012</v>
      </c>
      <c r="H43" s="197">
        <f>IF(AND('A-17'!H43="-",'A-17'!H90="-",'A-17'!H137="-"),"-",SUM('A-17'!H43,'A-17'!H90,'A-17'!H137))</f>
        <v>300.16000000000003</v>
      </c>
      <c r="I43" s="197">
        <f>IF(AND('A-17'!I43="-",'A-17'!I90="-",'A-17'!I137="-"),"-",SUM('A-17'!I43,'A-17'!I90,'A-17'!I137))</f>
        <v>63725.200000000004</v>
      </c>
      <c r="J43" s="148"/>
      <c r="K43" s="148"/>
    </row>
    <row r="44" spans="1:11" ht="11.25" customHeight="1" x14ac:dyDescent="0.25">
      <c r="A44" s="348">
        <v>2016</v>
      </c>
      <c r="B44" s="197" t="str">
        <f>IF(AND('A-17'!B44="-",'A-17'!B91="-",'A-17'!B138="-"),"-",SUM('A-17'!B44,'A-17'!B91,'A-17'!B138))</f>
        <v>-</v>
      </c>
      <c r="C44" s="197" t="str">
        <f>IF(AND('A-17'!C44="-",'A-17'!C91="-",'A-17'!C138="-"),"-",SUM('A-17'!C44,'A-17'!C91,'A-17'!C138))</f>
        <v>-</v>
      </c>
      <c r="D44" s="197" t="str">
        <f>IF(AND('A-17'!D44="-",'A-17'!D91="-",'A-17'!D138="-"),"-",SUM('A-17'!D44,'A-17'!D91,'A-17'!D138))</f>
        <v>-</v>
      </c>
      <c r="E44" s="197">
        <f>IF(AND('A-17'!E44="-",'A-17'!E91="-",'A-17'!E138="-"),"-",SUM('A-17'!E44,'A-17'!E91,'A-17'!E138))</f>
        <v>17792.21</v>
      </c>
      <c r="F44" s="197">
        <f>IF(AND('A-17'!F44="-",'A-17'!F91="-",'A-17'!F138="-"),"-",SUM('A-17'!F44,'A-17'!F91,'A-17'!F138))</f>
        <v>9390.9200000000019</v>
      </c>
      <c r="G44" s="197" t="str">
        <f>IF(AND('A-17'!G44="-",'A-17'!G91="-",'A-17'!G138="-"),"-",SUM('A-17'!G44,'A-17'!G91,'A-17'!G138))</f>
        <v>-</v>
      </c>
      <c r="H44" s="197" t="str">
        <f>IF(AND('A-17'!H44="-",'A-17'!H91="-",'A-17'!H138="-"),"-",SUM('A-17'!H44,'A-17'!H91,'A-17'!H138))</f>
        <v>-</v>
      </c>
      <c r="I44" s="197">
        <f>IF(AND('A-17'!I44="-",'A-17'!I91="-",'A-17'!I138="-"),"-",SUM('A-17'!I44,'A-17'!I91,'A-17'!I138))</f>
        <v>27183.129999999997</v>
      </c>
      <c r="J44" s="148"/>
      <c r="K44" s="148"/>
    </row>
    <row r="45" spans="1:11" ht="11.25" customHeight="1" x14ac:dyDescent="0.25">
      <c r="A45" s="348">
        <v>2017</v>
      </c>
      <c r="B45" s="197" t="str">
        <f>IF(AND('A-17'!B45="-",'A-17'!B92="-",'A-17'!B139="-"),"-",SUM('A-17'!B45,'A-17'!B92,'A-17'!B139))</f>
        <v>-</v>
      </c>
      <c r="C45" s="197" t="str">
        <f>IF(AND('A-17'!C45="-",'A-17'!C92="-",'A-17'!C139="-"),"-",SUM('A-17'!C45,'A-17'!C92,'A-17'!C139))</f>
        <v>-</v>
      </c>
      <c r="D45" s="197">
        <f>IF(AND('A-17'!D45="-",'A-17'!D92="-",'A-17'!D139="-"),"-",SUM('A-17'!D45,'A-17'!D92,'A-17'!D139))</f>
        <v>468.16</v>
      </c>
      <c r="E45" s="197">
        <f>IF(AND('A-17'!E45="-",'A-17'!E92="-",'A-17'!E139="-"),"-",SUM('A-17'!E45,'A-17'!E92,'A-17'!E139))</f>
        <v>21555.81</v>
      </c>
      <c r="F45" s="197">
        <f>IF(AND('A-17'!F45="-",'A-17'!F92="-",'A-17'!F139="-"),"-",SUM('A-17'!F45,'A-17'!F92,'A-17'!F139))</f>
        <v>15822.17</v>
      </c>
      <c r="G45" s="197">
        <f>IF(AND('A-17'!G45="-",'A-17'!G92="-",'A-17'!G139="-"),"-",SUM('A-17'!G45,'A-17'!G92,'A-17'!G139))</f>
        <v>841.76</v>
      </c>
      <c r="H45" s="197" t="str">
        <f>IF(AND('A-17'!H45="-",'A-17'!H92="-",'A-17'!H139="-"),"-",SUM('A-17'!H45,'A-17'!H92,'A-17'!H139))</f>
        <v>-</v>
      </c>
      <c r="I45" s="197">
        <f>IF(AND('A-17'!I45="-",'A-17'!I92="-",'A-17'!I139="-"),"-",SUM('A-17'!I45,'A-17'!I92,'A-17'!I139))</f>
        <v>38687.9</v>
      </c>
      <c r="J45" s="148"/>
      <c r="K45" s="148"/>
    </row>
    <row r="46" spans="1:11" s="358" customFormat="1" ht="11.25" customHeight="1" x14ac:dyDescent="0.25">
      <c r="A46" s="348">
        <v>2018</v>
      </c>
      <c r="B46" s="197" t="str">
        <f>IF(AND('A-17'!B46="-",'A-17'!B93="-",'A-17'!B140="-"),"-",SUM('A-17'!B46,'A-17'!B93,'A-17'!B140))</f>
        <v>-</v>
      </c>
      <c r="C46" s="197" t="str">
        <f>IF(AND('A-17'!C46="-",'A-17'!C93="-",'A-17'!C140="-"),"-",SUM('A-17'!C46,'A-17'!C93,'A-17'!C140))</f>
        <v>-</v>
      </c>
      <c r="D46" s="197">
        <f>IF(AND('A-17'!D46="-",'A-17'!D93="-",'A-17'!D140="-"),"-",SUM('A-17'!D46,'A-17'!D93,'A-17'!D140))</f>
        <v>1249</v>
      </c>
      <c r="E46" s="197">
        <f>IF(AND('A-17'!E46="-",'A-17'!E93="-",'A-17'!E140="-"),"-",SUM('A-17'!E46,'A-17'!E93,'A-17'!E140))</f>
        <v>14407.939999999999</v>
      </c>
      <c r="F46" s="197">
        <f>IF(AND('A-17'!F46="-",'A-17'!F93="-",'A-17'!F140="-"),"-",SUM('A-17'!F46,'A-17'!F93,'A-17'!F140))</f>
        <v>17016.7</v>
      </c>
      <c r="G46" s="197">
        <f>IF(AND('A-17'!G46="-",'A-17'!G93="-",'A-17'!G140="-"),"-",SUM('A-17'!G46,'A-17'!G93,'A-17'!G140))</f>
        <v>410.35</v>
      </c>
      <c r="H46" s="197" t="str">
        <f>IF(AND('A-17'!H46="-",'A-17'!H93="-",'A-17'!H140="-"),"-",SUM('A-17'!H46,'A-17'!H93,'A-17'!H140))</f>
        <v>-</v>
      </c>
      <c r="I46" s="197">
        <f>IF(AND('A-17'!I46="-",'A-17'!I93="-",'A-17'!I140="-"),"-",SUM('A-17'!I46,'A-17'!I93,'A-17'!I140))</f>
        <v>33083.99</v>
      </c>
      <c r="J46" s="148"/>
      <c r="K46" s="148"/>
    </row>
    <row r="47" spans="1:11" s="358" customFormat="1" ht="11.25" customHeight="1" x14ac:dyDescent="0.25">
      <c r="A47" s="491">
        <v>2019</v>
      </c>
      <c r="B47" s="197" t="str">
        <f>IF(AND('A-17'!B47="-",'A-17'!B94="-",'A-17'!B141="-"),"-",SUM('A-17'!B47,'A-17'!B94,'A-17'!B141))</f>
        <v>-</v>
      </c>
      <c r="C47" s="197" t="str">
        <f>IF(AND('A-17'!C47="-",'A-17'!C94="-",'A-17'!C141="-"),"-",SUM('A-17'!C47,'A-17'!C94,'A-17'!C141))</f>
        <v>-</v>
      </c>
      <c r="D47" s="197">
        <f>IF(AND('A-17'!D47="-",'A-17'!D94="-",'A-17'!D141="-"),"-",SUM('A-17'!D47,'A-17'!D94,'A-17'!D141))</f>
        <v>4254.4799999999996</v>
      </c>
      <c r="E47" s="197">
        <f>IF(AND('A-17'!E47="-",'A-17'!E94="-",'A-17'!E141="-"),"-",SUM('A-17'!E47,'A-17'!E94,'A-17'!E141))</f>
        <v>15503.29</v>
      </c>
      <c r="F47" s="197">
        <f>IF(AND('A-17'!F47="-",'A-17'!F94="-",'A-17'!F141="-"),"-",SUM('A-17'!F47,'A-17'!F94,'A-17'!F141))</f>
        <v>13278.720000000001</v>
      </c>
      <c r="G47" s="197">
        <f>IF(AND('A-17'!G47="-",'A-17'!G94="-",'A-17'!G141="-"),"-",SUM('A-17'!G47,'A-17'!G94,'A-17'!G141))</f>
        <v>2481.61</v>
      </c>
      <c r="H47" s="197">
        <f>IF(AND('A-17'!H47="-",'A-17'!H94="-",'A-17'!H141="-"),"-",SUM('A-17'!H47,'A-17'!H94,'A-17'!H141))</f>
        <v>239.57</v>
      </c>
      <c r="I47" s="197">
        <f>IF(AND('A-17'!I47="-",'A-17'!I94="-",'A-17'!I141="-"),"-",SUM('A-17'!I47,'A-17'!I94,'A-17'!I141))</f>
        <v>35757.67</v>
      </c>
      <c r="J47" s="148"/>
      <c r="K47" s="148"/>
    </row>
    <row r="48" spans="1:11" ht="11.25" customHeight="1" x14ac:dyDescent="0.25">
      <c r="A48" s="490" t="s">
        <v>394</v>
      </c>
      <c r="B48" s="197" t="str">
        <f>IF(AND('A-17'!B48="-",'A-17'!B95="-",'A-17'!B142="-"),"-",SUM('A-17'!B48,'A-17'!B95,'A-17'!B142))</f>
        <v>-</v>
      </c>
      <c r="C48" s="197" t="str">
        <f>IF(AND('A-17'!C48="-",'A-17'!C95="-",'A-17'!C142="-"),"-",SUM('A-17'!C48,'A-17'!C95,'A-17'!C142))</f>
        <v>-</v>
      </c>
      <c r="D48" s="197">
        <f>IF(AND('A-17'!D48="-",'A-17'!D95="-",'A-17'!D142="-"),"-",SUM('A-17'!D48,'A-17'!D95,'A-17'!D142))</f>
        <v>1998.94</v>
      </c>
      <c r="E48" s="197">
        <f>IF(AND('A-17'!E48="-",'A-17'!E95="-",'A-17'!E142="-"),"-",SUM('A-17'!E48,'A-17'!E95,'A-17'!E142))</f>
        <v>12653.66</v>
      </c>
      <c r="F48" s="197">
        <f>IF(AND('A-17'!F48="-",'A-17'!F95="-",'A-17'!F142="-"),"-",SUM('A-17'!F48,'A-17'!F95,'A-17'!F142))</f>
        <v>7118.7699999999995</v>
      </c>
      <c r="G48" s="197">
        <f>IF(AND('A-17'!G48="-",'A-17'!G95="-",'A-17'!G142="-"),"-",SUM('A-17'!G48,'A-17'!G95,'A-17'!G142))</f>
        <v>3340.91</v>
      </c>
      <c r="H48" s="197" t="str">
        <f>IF(AND('A-17'!H48="-",'A-17'!H95="-",'A-17'!H142="-"),"-",SUM('A-17'!H48,'A-17'!H95,'A-17'!H142))</f>
        <v>-</v>
      </c>
      <c r="I48" s="197">
        <f>IF(AND('A-17'!I48="-",'A-17'!I95="-",'A-17'!I142="-"),"-",SUM('A-17'!I48,'A-17'!I95,'A-17'!I142))</f>
        <v>25112.28</v>
      </c>
      <c r="J48" s="22"/>
      <c r="K48" s="22"/>
    </row>
    <row r="49" spans="1:11" ht="11.25" customHeight="1" x14ac:dyDescent="0.25">
      <c r="J49" s="22"/>
      <c r="K49" s="22"/>
    </row>
    <row r="50" spans="1:11" ht="11.25" customHeight="1" x14ac:dyDescent="0.25">
      <c r="A50" s="116" t="s">
        <v>109</v>
      </c>
      <c r="J50" s="22"/>
      <c r="K50" s="22"/>
    </row>
    <row r="51" spans="1:11" ht="11.25" customHeight="1" x14ac:dyDescent="0.25">
      <c r="A51" s="371">
        <v>1976</v>
      </c>
      <c r="B51" s="193">
        <f>IF(AND('A-17'!B145="-",'A-9'!C6="-"),"-",SUM('A-17'!B145,'A-9'!C6))</f>
        <v>0</v>
      </c>
      <c r="C51" s="193">
        <f>IF(AND('A-17'!C145="-",'A-9'!D6="-"),"-",SUM('A-17'!C145,'A-9'!D6))</f>
        <v>6818</v>
      </c>
      <c r="D51" s="193">
        <f>IF(AND('A-17'!D145="-",'A-9'!E6="-"),"-",SUM('A-17'!D145,'A-9'!E6))</f>
        <v>34439</v>
      </c>
      <c r="E51" s="193">
        <f>IF(AND('A-17'!E145="-",'A-9'!F6="-"),"-",SUM('A-17'!E145,'A-9'!F6))</f>
        <v>73251</v>
      </c>
      <c r="F51" s="193">
        <f>IF(AND('A-17'!F145="-",'A-9'!G6="-"),"-",SUM('A-17'!F145,'A-9'!G6))</f>
        <v>126531</v>
      </c>
      <c r="G51" s="193">
        <f>IF(AND('A-17'!G145="-",'A-9'!H6="-"),"-",SUM('A-17'!G145,'A-9'!H6))</f>
        <v>56397</v>
      </c>
      <c r="H51" s="193">
        <f>IF(AND('A-17'!H145="-",'A-9'!I6="-"),"-",SUM('A-17'!H145,'A-9'!I6))</f>
        <v>3755</v>
      </c>
      <c r="I51" s="193">
        <f>IF(AND('A-17'!I145="-",'A-9'!K6="-"),"-",SUM('A-17'!I145,'A-9'!K6))</f>
        <v>301213</v>
      </c>
      <c r="J51" s="22"/>
      <c r="K51" s="22"/>
    </row>
    <row r="52" spans="1:11" ht="11.25" customHeight="1" x14ac:dyDescent="0.25">
      <c r="A52" s="371">
        <v>1977</v>
      </c>
      <c r="B52" s="193">
        <f>IF(AND('A-17'!B146="-",'A-9'!C7="-"),"-",SUM('A-17'!B146,'A-9'!C7))</f>
        <v>1333</v>
      </c>
      <c r="C52" s="193">
        <f>IF(AND('A-17'!C146="-",'A-9'!D7="-"),"-",SUM('A-17'!C146,'A-9'!D7))</f>
        <v>6711</v>
      </c>
      <c r="D52" s="193">
        <f>IF(AND('A-17'!D146="-",'A-9'!E7="-"),"-",SUM('A-17'!D146,'A-9'!E7))</f>
        <v>28283</v>
      </c>
      <c r="E52" s="193">
        <f>IF(AND('A-17'!E146="-",'A-9'!F7="-"),"-",SUM('A-17'!E146,'A-9'!F7))</f>
        <v>61737</v>
      </c>
      <c r="F52" s="193">
        <f>IF(AND('A-17'!F146="-",'A-9'!G7="-"),"-",SUM('A-17'!F146,'A-9'!G7))</f>
        <v>102663</v>
      </c>
      <c r="G52" s="193">
        <f>IF(AND('A-17'!G146="-",'A-9'!H7="-"),"-",SUM('A-17'!G146,'A-9'!H7))</f>
        <v>29040</v>
      </c>
      <c r="H52" s="193">
        <f>IF(AND('A-17'!H146="-",'A-9'!I7="-"),"-",SUM('A-17'!H146,'A-9'!I7))</f>
        <v>2277</v>
      </c>
      <c r="I52" s="193">
        <f>IF(AND('A-17'!I146="-",'A-9'!K7="-"),"-",SUM('A-17'!I146,'A-9'!K7))</f>
        <v>232044</v>
      </c>
      <c r="J52" s="22"/>
      <c r="K52" s="22"/>
    </row>
    <row r="53" spans="1:11" ht="11.25" customHeight="1" x14ac:dyDescent="0.25">
      <c r="A53" s="371">
        <v>1978</v>
      </c>
      <c r="B53" s="193">
        <f>IF(AND('A-17'!B147="-",'A-9'!C8="-"),"-",SUM('A-17'!B147,'A-9'!C8))</f>
        <v>494</v>
      </c>
      <c r="C53" s="193">
        <f>IF(AND('A-17'!C147="-",'A-9'!D8="-"),"-",SUM('A-17'!C147,'A-9'!D8))</f>
        <v>4124</v>
      </c>
      <c r="D53" s="193">
        <f>IF(AND('A-17'!D147="-",'A-9'!E8="-"),"-",SUM('A-17'!D147,'A-9'!E8))</f>
        <v>36141</v>
      </c>
      <c r="E53" s="193">
        <f>IF(AND('A-17'!E147="-",'A-9'!F8="-"),"-",SUM('A-17'!E147,'A-9'!F8))</f>
        <v>60840</v>
      </c>
      <c r="F53" s="193">
        <f>IF(AND('A-17'!F147="-",'A-9'!G8="-"),"-",SUM('A-17'!F147,'A-9'!G8))</f>
        <v>76699</v>
      </c>
      <c r="G53" s="193">
        <f>IF(AND('A-17'!G147="-",'A-9'!H8="-"),"-",SUM('A-17'!G147,'A-9'!H8))</f>
        <v>38018</v>
      </c>
      <c r="H53" s="193">
        <f>IF(AND('A-17'!H147="-",'A-9'!I8="-"),"-",SUM('A-17'!H147,'A-9'!I8))</f>
        <v>2324</v>
      </c>
      <c r="I53" s="193">
        <f>IF(AND('A-17'!I147="-",'A-9'!K8="-"),"-",SUM('A-17'!I147,'A-9'!K8))</f>
        <v>218640</v>
      </c>
      <c r="J53" s="22"/>
      <c r="K53" s="22"/>
    </row>
    <row r="54" spans="1:11" ht="11.25" customHeight="1" x14ac:dyDescent="0.25">
      <c r="A54" s="371">
        <v>1979</v>
      </c>
      <c r="B54" s="193" t="str">
        <f>IF(AND('A-17'!B148="-",'A-9'!C9="-"),"-",SUM('A-17'!B148,'A-9'!C9))</f>
        <v>-</v>
      </c>
      <c r="C54" s="193">
        <f>IF(AND('A-17'!C148="-",'A-9'!D9="-"),"-",SUM('A-17'!C148,'A-9'!D9))</f>
        <v>5051</v>
      </c>
      <c r="D54" s="193">
        <f>IF(AND('A-17'!D148="-",'A-9'!E9="-"),"-",SUM('A-17'!D148,'A-9'!E9))</f>
        <v>20585</v>
      </c>
      <c r="E54" s="193">
        <f>IF(AND('A-17'!E148="-",'A-9'!F9="-"),"-",SUM('A-17'!E148,'A-9'!F9))</f>
        <v>52056</v>
      </c>
      <c r="F54" s="193">
        <f>IF(AND('A-17'!F148="-",'A-9'!G9="-"),"-",SUM('A-17'!F148,'A-9'!G9))</f>
        <v>70635</v>
      </c>
      <c r="G54" s="193">
        <f>IF(AND('A-17'!G148="-",'A-9'!H9="-"),"-",SUM('A-17'!G148,'A-9'!H9))</f>
        <v>5708</v>
      </c>
      <c r="H54" s="193">
        <f>IF(AND('A-17'!H148="-",'A-9'!I9="-"),"-",SUM('A-17'!H148,'A-9'!I9))</f>
        <v>1272</v>
      </c>
      <c r="I54" s="193">
        <f>IF(AND('A-17'!I148="-",'A-9'!K9="-"),"-",SUM('A-17'!I148,'A-9'!K9))</f>
        <v>155307</v>
      </c>
      <c r="J54" s="22"/>
      <c r="K54" s="22"/>
    </row>
    <row r="55" spans="1:11" ht="11.25" customHeight="1" x14ac:dyDescent="0.25">
      <c r="A55" s="371">
        <v>1980</v>
      </c>
      <c r="B55" s="193" t="str">
        <f>IF(AND('A-17'!B149="-",'A-9'!C10="-"),"-",SUM('A-17'!B149,'A-9'!C10))</f>
        <v>-</v>
      </c>
      <c r="C55" s="193">
        <f>IF(AND('A-17'!C149="-",'A-9'!D10="-"),"-",SUM('A-17'!C149,'A-9'!D10))</f>
        <v>5095</v>
      </c>
      <c r="D55" s="193">
        <f>IF(AND('A-17'!D149="-",'A-9'!E10="-"),"-",SUM('A-17'!D149,'A-9'!E10))</f>
        <v>27505</v>
      </c>
      <c r="E55" s="193">
        <f>IF(AND('A-17'!E149="-",'A-9'!F10="-"),"-",SUM('A-17'!E149,'A-9'!F10))</f>
        <v>49236</v>
      </c>
      <c r="F55" s="193">
        <f>IF(AND('A-17'!F149="-",'A-9'!G10="-"),"-",SUM('A-17'!F149,'A-9'!G10))</f>
        <v>61753</v>
      </c>
      <c r="G55" s="193">
        <f>IF(AND('A-17'!G149="-",'A-9'!H10="-"),"-",SUM('A-17'!G149,'A-9'!H10))</f>
        <v>5842</v>
      </c>
      <c r="H55" s="193" t="str">
        <f>IF(AND('A-17'!H149="-",'A-9'!I10="-"),"-",SUM('A-17'!H149,'A-9'!I10))</f>
        <v>-</v>
      </c>
      <c r="I55" s="193">
        <f>IF(AND('A-17'!I149="-",'A-9'!K10="-"),"-",SUM('A-17'!I149,'A-9'!K10))</f>
        <v>149431</v>
      </c>
      <c r="J55" s="22"/>
      <c r="K55" s="22"/>
    </row>
    <row r="56" spans="1:11" ht="11.25" customHeight="1" x14ac:dyDescent="0.25">
      <c r="A56" s="371">
        <v>1981</v>
      </c>
      <c r="B56" s="193" t="str">
        <f>IF(AND('A-17'!B150="-",'A-9'!C11="-"),"-",SUM('A-17'!B150,'A-9'!C11))</f>
        <v>-</v>
      </c>
      <c r="C56" s="193">
        <f>IF(AND('A-17'!C150="-",'A-9'!D11="-"),"-",SUM('A-17'!C150,'A-9'!D11))</f>
        <v>4054</v>
      </c>
      <c r="D56" s="193">
        <f>IF(AND('A-17'!D150="-",'A-9'!E11="-"),"-",SUM('A-17'!D150,'A-9'!E11))</f>
        <v>17219</v>
      </c>
      <c r="E56" s="193">
        <f>IF(AND('A-17'!E150="-",'A-9'!F11="-"),"-",SUM('A-17'!E150,'A-9'!F11))</f>
        <v>42293</v>
      </c>
      <c r="F56" s="193">
        <f>IF(AND('A-17'!F150="-",'A-9'!G11="-"),"-",SUM('A-17'!F150,'A-9'!G11))</f>
        <v>65327</v>
      </c>
      <c r="G56" s="193">
        <f>IF(AND('A-17'!G150="-",'A-9'!H11="-"),"-",SUM('A-17'!G150,'A-9'!H11))</f>
        <v>4625</v>
      </c>
      <c r="H56" s="193" t="str">
        <f>IF(AND('A-17'!H150="-",'A-9'!I11="-"),"-",SUM('A-17'!H150,'A-9'!I11))</f>
        <v>-</v>
      </c>
      <c r="I56" s="193">
        <f>IF(AND('A-17'!I150="-",'A-9'!K11="-"),"-",SUM('A-17'!I150,'A-9'!K11))</f>
        <v>133518</v>
      </c>
      <c r="J56" s="22"/>
      <c r="K56" s="22"/>
    </row>
    <row r="57" spans="1:11" ht="11.25" customHeight="1" x14ac:dyDescent="0.25">
      <c r="A57" s="371">
        <v>1982</v>
      </c>
      <c r="B57" s="193" t="str">
        <f>IF(AND('A-17'!B151="-",'A-9'!C12="-"),"-",SUM('A-17'!B151,'A-9'!C12))</f>
        <v>-</v>
      </c>
      <c r="C57" s="193">
        <f>IF(AND('A-17'!C151="-",'A-9'!D12="-"),"-",SUM('A-17'!C151,'A-9'!D12))</f>
        <v>0</v>
      </c>
      <c r="D57" s="193">
        <f>IF(AND('A-17'!D151="-",'A-9'!E12="-"),"-",SUM('A-17'!D151,'A-9'!E12))</f>
        <v>15115</v>
      </c>
      <c r="E57" s="193">
        <f>IF(AND('A-17'!E151="-",'A-9'!F12="-"),"-",SUM('A-17'!E151,'A-9'!F12))</f>
        <v>60822</v>
      </c>
      <c r="F57" s="193">
        <f>IF(AND('A-17'!F151="-",'A-9'!G12="-"),"-",SUM('A-17'!F151,'A-9'!G12))</f>
        <v>7902</v>
      </c>
      <c r="G57" s="193">
        <f>IF(AND('A-17'!G151="-",'A-9'!H12="-"),"-",SUM('A-17'!G151,'A-9'!H12))</f>
        <v>4538</v>
      </c>
      <c r="H57" s="193">
        <f>IF(AND('A-17'!H151="-",'A-9'!I12="-"),"-",SUM('A-17'!H151,'A-9'!I12))</f>
        <v>721</v>
      </c>
      <c r="I57" s="193">
        <f>IF(AND('A-17'!I151="-",'A-9'!K12="-"),"-",SUM('A-17'!I151,'A-9'!K12))</f>
        <v>89098</v>
      </c>
      <c r="J57" s="22"/>
      <c r="K57" s="22"/>
    </row>
    <row r="58" spans="1:11" ht="11.25" customHeight="1" x14ac:dyDescent="0.25">
      <c r="A58" s="371">
        <v>1983</v>
      </c>
      <c r="B58" s="193" t="str">
        <f>IF(AND('A-17'!B152="-",'A-9'!C13="-"),"-",SUM('A-17'!B152,'A-9'!C13))</f>
        <v>-</v>
      </c>
      <c r="C58" s="193">
        <f>IF(AND('A-17'!C152="-",'A-9'!D13="-"),"-",SUM('A-17'!C152,'A-9'!D13))</f>
        <v>270</v>
      </c>
      <c r="D58" s="193">
        <f>IF(AND('A-17'!D152="-",'A-9'!E13="-"),"-",SUM('A-17'!D152,'A-9'!E13))</f>
        <v>9378</v>
      </c>
      <c r="E58" s="193">
        <f>IF(AND('A-17'!E152="-",'A-9'!F13="-"),"-",SUM('A-17'!E152,'A-9'!F13))</f>
        <v>39453</v>
      </c>
      <c r="F58" s="193">
        <f>IF(AND('A-17'!F152="-",'A-9'!G13="-"),"-",SUM('A-17'!F152,'A-9'!G13))</f>
        <v>35672</v>
      </c>
      <c r="G58" s="193">
        <f>IF(AND('A-17'!G152="-",'A-9'!H13="-"),"-",SUM('A-17'!G152,'A-9'!H13))</f>
        <v>9979</v>
      </c>
      <c r="H58" s="193" t="str">
        <f>IF(AND('A-17'!H152="-",'A-9'!I13="-"),"-",SUM('A-17'!H152,'A-9'!I13))</f>
        <v>-</v>
      </c>
      <c r="I58" s="193">
        <f>IF(AND('A-17'!I152="-",'A-9'!K13="-"),"-",SUM('A-17'!I152,'A-9'!K13))</f>
        <v>94752</v>
      </c>
      <c r="J58" s="22"/>
      <c r="K58" s="22"/>
    </row>
    <row r="59" spans="1:11" ht="11.25" customHeight="1" x14ac:dyDescent="0.25">
      <c r="A59" s="371">
        <v>1984</v>
      </c>
      <c r="B59" s="193" t="str">
        <f>IF(AND('A-17'!B153="-",'A-9'!C14="-"),"-",SUM('A-17'!B153,'A-9'!C14))</f>
        <v>-</v>
      </c>
      <c r="C59" s="193">
        <f>IF(AND('A-17'!C153="-",'A-9'!D14="-"),"-",SUM('A-17'!C153,'A-9'!D14))</f>
        <v>337</v>
      </c>
      <c r="D59" s="193" t="str">
        <f>IF(AND('A-17'!D153="-",'A-9'!E14="-"),"-",SUM('A-17'!D153,'A-9'!E14))</f>
        <v>-</v>
      </c>
      <c r="E59" s="193">
        <f>IF(AND('A-17'!E153="-",'A-9'!F14="-"),"-",SUM('A-17'!E153,'A-9'!F14))</f>
        <v>5881</v>
      </c>
      <c r="F59" s="193">
        <f>IF(AND('A-17'!F153="-",'A-9'!G14="-"),"-",SUM('A-17'!F153,'A-9'!G14))</f>
        <v>16129</v>
      </c>
      <c r="G59" s="193" t="str">
        <f>IF(AND('A-17'!G153="-",'A-9'!H14="-"),"-",SUM('A-17'!G153,'A-9'!H14))</f>
        <v>-</v>
      </c>
      <c r="H59" s="193" t="str">
        <f>IF(AND('A-17'!H153="-",'A-9'!I14="-"),"-",SUM('A-17'!H153,'A-9'!I14))</f>
        <v>-</v>
      </c>
      <c r="I59" s="193">
        <f>IF(AND('A-17'!I153="-",'A-9'!K14="-"),"-",SUM('A-17'!I153,'A-9'!K14))</f>
        <v>22347</v>
      </c>
      <c r="J59" s="22"/>
      <c r="K59" s="22"/>
    </row>
    <row r="60" spans="1:11" ht="11.25" customHeight="1" x14ac:dyDescent="0.25">
      <c r="A60" s="371">
        <v>1985</v>
      </c>
      <c r="B60" s="193" t="str">
        <f>IF(AND('A-17'!B154="-",'A-9'!C15="-"),"-",SUM('A-17'!B154,'A-9'!C15))</f>
        <v>-</v>
      </c>
      <c r="C60" s="193" t="str">
        <f>IF(AND('A-17'!C154="-",'A-9'!D15="-"),"-",SUM('A-17'!C154,'A-9'!D15))</f>
        <v>-</v>
      </c>
      <c r="D60" s="193">
        <f>IF(AND('A-17'!D154="-",'A-9'!E15="-"),"-",SUM('A-17'!D154,'A-9'!E15))</f>
        <v>1601</v>
      </c>
      <c r="E60" s="193">
        <f>IF(AND('A-17'!E154="-",'A-9'!F15="-"),"-",SUM('A-17'!E154,'A-9'!F15))</f>
        <v>26977</v>
      </c>
      <c r="F60" s="193">
        <f>IF(AND('A-17'!F154="-",'A-9'!G15="-"),"-",SUM('A-17'!F154,'A-9'!G15))</f>
        <v>31373</v>
      </c>
      <c r="G60" s="193">
        <f>IF(AND('A-17'!G154="-",'A-9'!H15="-"),"-",SUM('A-17'!G154,'A-9'!H15))</f>
        <v>197</v>
      </c>
      <c r="H60" s="193" t="str">
        <f>IF(AND('A-17'!H154="-",'A-9'!I15="-"),"-",SUM('A-17'!H154,'A-9'!I15))</f>
        <v>-</v>
      </c>
      <c r="I60" s="193">
        <f>IF(AND('A-17'!I154="-",'A-9'!K15="-"),"-",SUM('A-17'!I154,'A-9'!K15))</f>
        <v>60148</v>
      </c>
      <c r="J60" s="22"/>
      <c r="K60" s="22"/>
    </row>
    <row r="61" spans="1:11" ht="11.25" customHeight="1" x14ac:dyDescent="0.25">
      <c r="A61" s="371">
        <v>1986</v>
      </c>
      <c r="B61" s="193" t="str">
        <f>IF(AND('A-17'!B155="-",'A-9'!C16="-"),"-",SUM('A-17'!B155,'A-9'!C16))</f>
        <v>-</v>
      </c>
      <c r="C61" s="193" t="str">
        <f>IF(AND('A-17'!C155="-",'A-9'!D16="-"),"-",SUM('A-17'!C155,'A-9'!D16))</f>
        <v>-</v>
      </c>
      <c r="D61" s="193">
        <f>IF(AND('A-17'!D155="-",'A-9'!E16="-"),"-",SUM('A-17'!D155,'A-9'!E16))</f>
        <v>1848</v>
      </c>
      <c r="E61" s="193">
        <f>IF(AND('A-17'!E155="-",'A-9'!F16="-"),"-",SUM('A-17'!E155,'A-9'!F16))</f>
        <v>31759</v>
      </c>
      <c r="F61" s="193">
        <f>IF(AND('A-17'!F155="-",'A-9'!G16="-"),"-",SUM('A-17'!F155,'A-9'!G16))</f>
        <v>23581</v>
      </c>
      <c r="G61" s="193" t="str">
        <f>IF(AND('A-17'!G155="-",'A-9'!H16="-"),"-",SUM('A-17'!G155,'A-9'!H16))</f>
        <v>-</v>
      </c>
      <c r="H61" s="193" t="str">
        <f>IF(AND('A-17'!H155="-",'A-9'!I16="-"),"-",SUM('A-17'!H155,'A-9'!I16))</f>
        <v>-</v>
      </c>
      <c r="I61" s="193">
        <f>IF(AND('A-17'!I155="-",'A-9'!K16="-"),"-",SUM('A-17'!I155,'A-9'!K16))</f>
        <v>57188</v>
      </c>
      <c r="J61" s="22"/>
      <c r="K61" s="22"/>
    </row>
    <row r="62" spans="1:11" ht="11.25" customHeight="1" x14ac:dyDescent="0.25">
      <c r="A62" s="371">
        <v>1987</v>
      </c>
      <c r="B62" s="193" t="str">
        <f>IF(AND('A-17'!B156="-",'A-9'!C17="-"),"-",SUM('A-17'!B156,'A-9'!C17))</f>
        <v>-</v>
      </c>
      <c r="C62" s="193" t="str">
        <f>IF(AND('A-17'!C156="-",'A-9'!D17="-"),"-",SUM('A-17'!C156,'A-9'!D17))</f>
        <v>-</v>
      </c>
      <c r="D62" s="193">
        <f>IF(AND('A-17'!D156="-",'A-9'!E17="-"),"-",SUM('A-17'!D156,'A-9'!E17))</f>
        <v>1567</v>
      </c>
      <c r="E62" s="193">
        <f>IF(AND('A-17'!E156="-",'A-9'!F17="-"),"-",SUM('A-17'!E156,'A-9'!F17))</f>
        <v>26061</v>
      </c>
      <c r="F62" s="193">
        <f>IF(AND('A-17'!F156="-",'A-9'!G17="-"),"-",SUM('A-17'!F156,'A-9'!G17))</f>
        <v>25774</v>
      </c>
      <c r="G62" s="193" t="str">
        <f>IF(AND('A-17'!G156="-",'A-9'!H17="-"),"-",SUM('A-17'!G156,'A-9'!H17))</f>
        <v>-</v>
      </c>
      <c r="H62" s="193" t="str">
        <f>IF(AND('A-17'!H156="-",'A-9'!I17="-"),"-",SUM('A-17'!H156,'A-9'!I17))</f>
        <v>-</v>
      </c>
      <c r="I62" s="193">
        <f>IF(AND('A-17'!I156="-",'A-9'!K17="-"),"-",SUM('A-17'!I156,'A-9'!K17))</f>
        <v>53402</v>
      </c>
      <c r="J62" s="22"/>
      <c r="K62" s="22"/>
    </row>
    <row r="63" spans="1:11" ht="11.25" customHeight="1" x14ac:dyDescent="0.25">
      <c r="A63" s="371">
        <v>1988</v>
      </c>
      <c r="B63" s="193" t="str">
        <f>IF(AND('A-17'!B157="-",'A-9'!C18="-"),"-",SUM('A-17'!B157,'A-9'!C18))</f>
        <v>-</v>
      </c>
      <c r="C63" s="193" t="str">
        <f>IF(AND('A-17'!C157="-",'A-9'!D18="-"),"-",SUM('A-17'!C157,'A-9'!D18))</f>
        <v>-</v>
      </c>
      <c r="D63" s="193" t="str">
        <f>IF(AND('A-17'!D157="-",'A-9'!E18="-"),"-",SUM('A-17'!D157,'A-9'!E18))</f>
        <v>-</v>
      </c>
      <c r="E63" s="193">
        <f>IF(AND('A-17'!E157="-",'A-9'!F18="-"),"-",SUM('A-17'!E157,'A-9'!F18))</f>
        <v>17851</v>
      </c>
      <c r="F63" s="193">
        <f>IF(AND('A-17'!F157="-",'A-9'!G18="-"),"-",SUM('A-17'!F157,'A-9'!G18))</f>
        <v>595</v>
      </c>
      <c r="G63" s="193">
        <f>IF(AND('A-17'!G157="-",'A-9'!H18="-"),"-",SUM('A-17'!G157,'A-9'!H18))</f>
        <v>47</v>
      </c>
      <c r="H63" s="193" t="str">
        <f>IF(AND('A-17'!H157="-",'A-9'!I18="-"),"-",SUM('A-17'!H157,'A-9'!I18))</f>
        <v>-</v>
      </c>
      <c r="I63" s="193">
        <f>IF(AND('A-17'!I157="-",'A-9'!K18="-"),"-",SUM('A-17'!I157,'A-9'!K18))</f>
        <v>18493</v>
      </c>
      <c r="J63" s="22"/>
      <c r="K63" s="22"/>
    </row>
    <row r="64" spans="1:11" ht="11.25" customHeight="1" x14ac:dyDescent="0.25">
      <c r="A64" s="371">
        <v>1989</v>
      </c>
      <c r="B64" s="193" t="str">
        <f>IF(AND('A-17'!B158="-",'A-9'!C19="-"),"-",SUM('A-17'!B158,'A-9'!C19))</f>
        <v>-</v>
      </c>
      <c r="C64" s="193">
        <f>IF(AND('A-17'!C158="-",'A-9'!D19="-"),"-",SUM('A-17'!C158,'A-9'!D19))</f>
        <v>444</v>
      </c>
      <c r="D64" s="193">
        <f>IF(AND('A-17'!D158="-",'A-9'!E19="-"),"-",SUM('A-17'!D158,'A-9'!E19))</f>
        <v>1786</v>
      </c>
      <c r="E64" s="193">
        <f>IF(AND('A-17'!E158="-",'A-9'!F19="-"),"-",SUM('A-17'!E158,'A-9'!F19))</f>
        <v>31520</v>
      </c>
      <c r="F64" s="193">
        <f>IF(AND('A-17'!F158="-",'A-9'!G19="-"),"-",SUM('A-17'!F158,'A-9'!G19))</f>
        <v>38855</v>
      </c>
      <c r="G64" s="193" t="str">
        <f>IF(AND('A-17'!G158="-",'A-9'!H19="-"),"-",SUM('A-17'!G158,'A-9'!H19))</f>
        <v>-</v>
      </c>
      <c r="H64" s="193" t="str">
        <f>IF(AND('A-17'!H158="-",'A-9'!I19="-"),"-",SUM('A-17'!H158,'A-9'!I19))</f>
        <v>-</v>
      </c>
      <c r="I64" s="193">
        <f>IF(AND('A-17'!I158="-",'A-9'!K19="-"),"-",SUM('A-17'!I158,'A-9'!K19))</f>
        <v>72605</v>
      </c>
      <c r="J64" s="22"/>
      <c r="K64" s="22"/>
    </row>
    <row r="65" spans="1:11" ht="11.25" customHeight="1" x14ac:dyDescent="0.25">
      <c r="A65" s="371">
        <v>1990</v>
      </c>
      <c r="B65" s="193" t="str">
        <f>IF(AND('A-17'!B159="-",'A-9'!C20="-"),"-",SUM('A-17'!B159,'A-9'!C20))</f>
        <v>-</v>
      </c>
      <c r="C65" s="193" t="str">
        <f>IF(AND('A-17'!C159="-",'A-9'!D20="-"),"-",SUM('A-17'!C159,'A-9'!D20))</f>
        <v>-</v>
      </c>
      <c r="D65" s="193">
        <f>IF(AND('A-17'!D159="-",'A-9'!E20="-"),"-",SUM('A-17'!D159,'A-9'!E20))</f>
        <v>5803</v>
      </c>
      <c r="E65" s="193">
        <f>IF(AND('A-17'!E159="-",'A-9'!F20="-"),"-",SUM('A-17'!E159,'A-9'!F20))</f>
        <v>35928</v>
      </c>
      <c r="F65" s="193">
        <f>IF(AND('A-17'!F159="-",'A-9'!G20="-"),"-",SUM('A-17'!F159,'A-9'!G20))</f>
        <v>46683</v>
      </c>
      <c r="G65" s="193">
        <f>IF(AND('A-17'!G159="-",'A-9'!H20="-"),"-",SUM('A-17'!G159,'A-9'!H20))</f>
        <v>4939</v>
      </c>
      <c r="H65" s="193" t="str">
        <f>IF(AND('A-17'!H159="-",'A-9'!I20="-"),"-",SUM('A-17'!H159,'A-9'!I20))</f>
        <v>-</v>
      </c>
      <c r="I65" s="193">
        <f>IF(AND('A-17'!I159="-",'A-9'!K20="-"),"-",SUM('A-17'!I159,'A-9'!K20))</f>
        <v>93353</v>
      </c>
      <c r="J65" s="22"/>
      <c r="K65" s="22"/>
    </row>
    <row r="66" spans="1:11" ht="11.25" customHeight="1" x14ac:dyDescent="0.25">
      <c r="A66" s="371">
        <v>1991</v>
      </c>
      <c r="B66" s="193" t="str">
        <f>IF(AND('A-17'!B160="-",'A-9'!C21="-"),"-",SUM('A-17'!B160,'A-9'!C21))</f>
        <v>-</v>
      </c>
      <c r="C66" s="193" t="str">
        <f>IF(AND('A-17'!C160="-",'A-9'!D21="-"),"-",SUM('A-17'!C160,'A-9'!D21))</f>
        <v>-</v>
      </c>
      <c r="D66" s="193">
        <f>IF(AND('A-17'!D160="-",'A-9'!E21="-"),"-",SUM('A-17'!D160,'A-9'!E21))</f>
        <v>4816</v>
      </c>
      <c r="E66" s="193">
        <f>IF(AND('A-17'!E160="-",'A-9'!F21="-"),"-",SUM('A-17'!E160,'A-9'!F21))</f>
        <v>35014</v>
      </c>
      <c r="F66" s="193">
        <f>IF(AND('A-17'!F160="-",'A-9'!G21="-"),"-",SUM('A-17'!F160,'A-9'!G21))</f>
        <v>20716</v>
      </c>
      <c r="G66" s="193">
        <f>IF(AND('A-17'!G160="-",'A-9'!H21="-"),"-",SUM('A-17'!G160,'A-9'!H21))</f>
        <v>6575</v>
      </c>
      <c r="H66" s="193" t="str">
        <f>IF(AND('A-17'!H160="-",'A-9'!I21="-"),"-",SUM('A-17'!H160,'A-9'!I21))</f>
        <v>-</v>
      </c>
      <c r="I66" s="193">
        <f>IF(AND('A-17'!I160="-",'A-9'!K21="-"),"-",SUM('A-17'!I160,'A-9'!K21))</f>
        <v>67121</v>
      </c>
      <c r="J66" s="22"/>
      <c r="K66" s="22"/>
    </row>
    <row r="67" spans="1:11" ht="11.25" customHeight="1" x14ac:dyDescent="0.25">
      <c r="A67" s="371">
        <v>1992</v>
      </c>
      <c r="B67" s="193" t="str">
        <f>IF(AND('A-17'!B161="-",'A-9'!C22="-"),"-",SUM('A-17'!B161,'A-9'!C22))</f>
        <v>-</v>
      </c>
      <c r="C67" s="193" t="str">
        <f>IF(AND('A-17'!C161="-",'A-9'!D22="-"),"-",SUM('A-17'!C161,'A-9'!D22))</f>
        <v>-</v>
      </c>
      <c r="D67" s="193">
        <f>IF(AND('A-17'!D161="-",'A-9'!E22="-"),"-",SUM('A-17'!D161,'A-9'!E22))</f>
        <v>0</v>
      </c>
      <c r="E67" s="193">
        <f>IF(AND('A-17'!E161="-",'A-9'!F22="-"),"-",SUM('A-17'!E161,'A-9'!F22))</f>
        <v>35423</v>
      </c>
      <c r="F67" s="193">
        <f>IF(AND('A-17'!F161="-",'A-9'!G22="-"),"-",SUM('A-17'!F161,'A-9'!G22))</f>
        <v>6347</v>
      </c>
      <c r="G67" s="193">
        <f>IF(AND('A-17'!G161="-",'A-9'!H22="-"),"-",SUM('A-17'!G161,'A-9'!H22))</f>
        <v>4174</v>
      </c>
      <c r="H67" s="193" t="str">
        <f>IF(AND('A-17'!H161="-",'A-9'!I22="-"),"-",SUM('A-17'!H161,'A-9'!I22))</f>
        <v>-</v>
      </c>
      <c r="I67" s="193">
        <f>IF(AND('A-17'!I161="-",'A-9'!K22="-"),"-",SUM('A-17'!I161,'A-9'!K22))</f>
        <v>45944</v>
      </c>
      <c r="J67" s="22"/>
      <c r="K67" s="22"/>
    </row>
    <row r="68" spans="1:11" ht="11.25" customHeight="1" x14ac:dyDescent="0.25">
      <c r="A68" s="371">
        <v>1993</v>
      </c>
      <c r="B68" s="193" t="str">
        <f>IF(AND('A-17'!B162="-",'A-9'!C23="-"),"-",SUM('A-17'!B162,'A-9'!C23))</f>
        <v>-</v>
      </c>
      <c r="C68" s="193" t="str">
        <f>IF(AND('A-17'!C162="-",'A-9'!D23="-"),"-",SUM('A-17'!C162,'A-9'!D23))</f>
        <v>-</v>
      </c>
      <c r="D68" s="193" t="str">
        <f>IF(AND('A-17'!D162="-",'A-9'!E23="-"),"-",SUM('A-17'!D162,'A-9'!E23))</f>
        <v>-</v>
      </c>
      <c r="E68" s="193">
        <f>IF(AND('A-17'!E162="-",'A-9'!F23="-"),"-",SUM('A-17'!E162,'A-9'!F23))</f>
        <v>18590</v>
      </c>
      <c r="F68" s="193">
        <f>IF(AND('A-17'!F162="-",'A-9'!G23="-"),"-",SUM('A-17'!F162,'A-9'!G23))</f>
        <v>27542</v>
      </c>
      <c r="G68" s="193">
        <f>IF(AND('A-17'!G162="-",'A-9'!H23="-"),"-",SUM('A-17'!G162,'A-9'!H23))</f>
        <v>19335</v>
      </c>
      <c r="H68" s="193" t="str">
        <f>IF(AND('A-17'!H162="-",'A-9'!I23="-"),"-",SUM('A-17'!H162,'A-9'!I23))</f>
        <v>-</v>
      </c>
      <c r="I68" s="193">
        <f>IF(AND('A-17'!I162="-",'A-9'!K23="-"),"-",SUM('A-17'!I162,'A-9'!K23))</f>
        <v>65467</v>
      </c>
      <c r="J68" s="22"/>
      <c r="K68" s="22"/>
    </row>
    <row r="69" spans="1:11" ht="11.25" customHeight="1" x14ac:dyDescent="0.25">
      <c r="A69" s="371">
        <v>1994</v>
      </c>
      <c r="B69" s="193" t="str">
        <f>IF(AND('A-17'!B163="-",'A-9'!C24="-"),"-",SUM('A-17'!B163,'A-9'!C24))</f>
        <v>-</v>
      </c>
      <c r="C69" s="193" t="str">
        <f>IF(AND('A-17'!C163="-",'A-9'!D24="-"),"-",SUM('A-17'!C163,'A-9'!D24))</f>
        <v>-</v>
      </c>
      <c r="D69" s="193" t="str">
        <f>IF(AND('A-17'!D163="-",'A-9'!E24="-"),"-",SUM('A-17'!D163,'A-9'!E24))</f>
        <v>-</v>
      </c>
      <c r="E69" s="193" t="str">
        <f>IF(AND('A-17'!E163="-",'A-9'!F24="-"),"-",SUM('A-17'!E163,'A-9'!F24))</f>
        <v>-</v>
      </c>
      <c r="F69" s="193" t="str">
        <f>IF(AND('A-17'!F163="-",'A-9'!G24="-"),"-",SUM('A-17'!F163,'A-9'!G24))</f>
        <v>-</v>
      </c>
      <c r="G69" s="193" t="str">
        <f>IF(AND('A-17'!G163="-",'A-9'!H24="-"),"-",SUM('A-17'!G163,'A-9'!H24))</f>
        <v>-</v>
      </c>
      <c r="H69" s="193" t="str">
        <f>IF(AND('A-17'!H163="-",'A-9'!I24="-"),"-",SUM('A-17'!H163,'A-9'!I24))</f>
        <v>-</v>
      </c>
      <c r="I69" s="193" t="str">
        <f>IF(AND('A-17'!I163="-",'A-9'!K24="-"),"-",SUM('A-17'!I163,'A-9'!K24))</f>
        <v>-</v>
      </c>
      <c r="J69" s="22"/>
      <c r="K69" s="22"/>
    </row>
    <row r="70" spans="1:11" ht="11.25" customHeight="1" x14ac:dyDescent="0.25">
      <c r="A70" s="371">
        <v>1995</v>
      </c>
      <c r="B70" s="193" t="str">
        <f>IF(AND('A-17'!B164="-",'A-9'!C25="-"),"-",SUM('A-17'!B164,'A-9'!C25))</f>
        <v>-</v>
      </c>
      <c r="C70" s="193" t="str">
        <f>IF(AND('A-17'!C164="-",'A-9'!D25="-"),"-",SUM('A-17'!C164,'A-9'!D25))</f>
        <v>-</v>
      </c>
      <c r="D70" s="193" t="str">
        <f>IF(AND('A-17'!D164="-",'A-9'!E25="-"),"-",SUM('A-17'!D164,'A-9'!E25))</f>
        <v>-</v>
      </c>
      <c r="E70" s="193">
        <f>IF(AND('A-17'!E164="-",'A-9'!F25="-"),"-",SUM('A-17'!E164,'A-9'!F25))</f>
        <v>6096</v>
      </c>
      <c r="F70" s="193">
        <f>IF(AND('A-17'!F164="-",'A-9'!G25="-"),"-",SUM('A-17'!F164,'A-9'!G25))</f>
        <v>19239</v>
      </c>
      <c r="G70" s="193">
        <f>IF(AND('A-17'!G164="-",'A-9'!H25="-"),"-",SUM('A-17'!G164,'A-9'!H25))</f>
        <v>7897</v>
      </c>
      <c r="H70" s="193" t="str">
        <f>IF(AND('A-17'!H164="-",'A-9'!I25="-"),"-",SUM('A-17'!H164,'A-9'!I25))</f>
        <v>-</v>
      </c>
      <c r="I70" s="193">
        <f>IF(AND('A-17'!I164="-",'A-9'!K25="-"),"-",SUM('A-17'!I164,'A-9'!K25))</f>
        <v>33232</v>
      </c>
      <c r="J70" s="22"/>
      <c r="K70" s="22"/>
    </row>
    <row r="71" spans="1:11" ht="11.25" customHeight="1" x14ac:dyDescent="0.25">
      <c r="A71" s="371">
        <v>1996</v>
      </c>
      <c r="B71" s="193" t="str">
        <f>IF(AND('A-17'!B165="-",'A-9'!C26="-"),"-",SUM('A-17'!B165,'A-9'!C26))</f>
        <v>-</v>
      </c>
      <c r="C71" s="193" t="str">
        <f>IF(AND('A-17'!C165="-",'A-9'!D26="-"),"-",SUM('A-17'!C165,'A-9'!D26))</f>
        <v>-</v>
      </c>
      <c r="D71" s="193" t="str">
        <f>IF(AND('A-17'!D165="-",'A-9'!E26="-"),"-",SUM('A-17'!D165,'A-9'!E26))</f>
        <v>-</v>
      </c>
      <c r="E71" s="193">
        <f>IF(AND('A-17'!E165="-",'A-9'!F26="-"),"-",SUM('A-17'!E165,'A-9'!F26))</f>
        <v>4215</v>
      </c>
      <c r="F71" s="193">
        <f>IF(AND('A-17'!F165="-",'A-9'!G26="-"),"-",SUM('A-17'!F165,'A-9'!G26))</f>
        <v>12527</v>
      </c>
      <c r="G71" s="193">
        <f>IF(AND('A-17'!G165="-",'A-9'!H26="-"),"-",SUM('A-17'!G165,'A-9'!H26))</f>
        <v>4485</v>
      </c>
      <c r="H71" s="193" t="str">
        <f>IF(AND('A-17'!H165="-",'A-9'!I26="-"),"-",SUM('A-17'!H165,'A-9'!I26))</f>
        <v>-</v>
      </c>
      <c r="I71" s="193">
        <f>IF(AND('A-17'!I165="-",'A-9'!K26="-"),"-",SUM('A-17'!I165,'A-9'!K26))</f>
        <v>21227</v>
      </c>
      <c r="J71" s="22"/>
      <c r="K71" s="22"/>
    </row>
    <row r="72" spans="1:11" ht="11.25" customHeight="1" x14ac:dyDescent="0.25">
      <c r="A72" s="371">
        <v>1997</v>
      </c>
      <c r="B72" s="193" t="str">
        <f>IF(AND('A-17'!B166="-",'A-9'!C27="-"),"-",SUM('A-17'!B166,'A-9'!C27))</f>
        <v>-</v>
      </c>
      <c r="C72" s="193" t="str">
        <f>IF(AND('A-17'!C166="-",'A-9'!D27="-"),"-",SUM('A-17'!C166,'A-9'!D27))</f>
        <v>-</v>
      </c>
      <c r="D72" s="193" t="str">
        <f>IF(AND('A-17'!D166="-",'A-9'!E27="-"),"-",SUM('A-17'!D166,'A-9'!E27))</f>
        <v>-</v>
      </c>
      <c r="E72" s="193">
        <f>IF(AND('A-17'!E166="-",'A-9'!F27="-"),"-",SUM('A-17'!E166,'A-9'!F27))</f>
        <v>7328</v>
      </c>
      <c r="F72" s="193">
        <f>IF(AND('A-17'!F166="-",'A-9'!G27="-"),"-",SUM('A-17'!F166,'A-9'!G27))</f>
        <v>2964</v>
      </c>
      <c r="G72" s="193" t="str">
        <f>IF(AND('A-17'!G166="-",'A-9'!H27="-"),"-",SUM('A-17'!G166,'A-9'!H27))</f>
        <v>-</v>
      </c>
      <c r="H72" s="193" t="str">
        <f>IF(AND('A-17'!H166="-",'A-9'!I27="-"),"-",SUM('A-17'!H166,'A-9'!I27))</f>
        <v>-</v>
      </c>
      <c r="I72" s="193">
        <f>IF(AND('A-17'!I166="-",'A-9'!K27="-"),"-",SUM('A-17'!I166,'A-9'!K27))</f>
        <v>10292</v>
      </c>
      <c r="J72" s="22"/>
      <c r="K72" s="22"/>
    </row>
    <row r="73" spans="1:11" ht="11.25" customHeight="1" x14ac:dyDescent="0.25">
      <c r="A73" s="371">
        <v>1998</v>
      </c>
      <c r="B73" s="193" t="str">
        <f>IF(AND('A-17'!B167="-",'A-9'!C28="-"),"-",SUM('A-17'!B167,'A-9'!C28))</f>
        <v>-</v>
      </c>
      <c r="C73" s="193" t="str">
        <f>IF(AND('A-17'!C167="-",'A-9'!D28="-"),"-",SUM('A-17'!C167,'A-9'!D28))</f>
        <v>-</v>
      </c>
      <c r="D73" s="193" t="str">
        <f>IF(AND('A-17'!D167="-",'A-9'!E28="-"),"-",SUM('A-17'!D167,'A-9'!E28))</f>
        <v>-</v>
      </c>
      <c r="E73" s="193" t="str">
        <f>IF(AND('A-17'!E167="-",'A-9'!F28="-"),"-",SUM('A-17'!E167,'A-9'!F28))</f>
        <v>-</v>
      </c>
      <c r="F73" s="193">
        <f>IF(AND('A-17'!F167="-",'A-9'!G28="-"),"-",SUM('A-17'!F167,'A-9'!G28))</f>
        <v>6107</v>
      </c>
      <c r="G73" s="193">
        <f>IF(AND('A-17'!G167="-",'A-9'!H28="-"),"-",SUM('A-17'!G167,'A-9'!H28))</f>
        <v>704</v>
      </c>
      <c r="H73" s="193" t="str">
        <f>IF(AND('A-17'!H167="-",'A-9'!I28="-"),"-",SUM('A-17'!H167,'A-9'!I28))</f>
        <v>-</v>
      </c>
      <c r="I73" s="193">
        <f>IF(AND('A-17'!I167="-",'A-9'!K28="-"),"-",SUM('A-17'!I167,'A-9'!K28))</f>
        <v>6811</v>
      </c>
      <c r="J73" s="22"/>
      <c r="K73" s="22"/>
    </row>
    <row r="74" spans="1:11" ht="11.25" customHeight="1" x14ac:dyDescent="0.25">
      <c r="A74" s="371">
        <v>1999</v>
      </c>
      <c r="B74" s="193" t="str">
        <f>IF(AND('A-17'!B168="-",'A-9'!C29="-"),"-",SUM('A-17'!B168,'A-9'!C29))</f>
        <v>-</v>
      </c>
      <c r="C74" s="193" t="str">
        <f>IF(AND('A-17'!C168="-",'A-9'!D29="-"),"-",SUM('A-17'!C168,'A-9'!D29))</f>
        <v>-</v>
      </c>
      <c r="D74" s="193" t="str">
        <f>IF(AND('A-17'!D168="-",'A-9'!E29="-"),"-",SUM('A-17'!D168,'A-9'!E29))</f>
        <v>-</v>
      </c>
      <c r="E74" s="193">
        <f>IF(AND('A-17'!E168="-",'A-9'!F29="-"),"-",SUM('A-17'!E168,'A-9'!F29))</f>
        <v>6546</v>
      </c>
      <c r="F74" s="193">
        <f>IF(AND('A-17'!F168="-",'A-9'!G29="-"),"-",SUM('A-17'!F168,'A-9'!G29))</f>
        <v>14786</v>
      </c>
      <c r="G74" s="193">
        <f>IF(AND('A-17'!G168="-",'A-9'!H29="-"),"-",SUM('A-17'!G168,'A-9'!H29))</f>
        <v>6761</v>
      </c>
      <c r="H74" s="193" t="str">
        <f>IF(AND('A-17'!H168="-",'A-9'!I29="-"),"-",SUM('A-17'!H168,'A-9'!I29))</f>
        <v>-</v>
      </c>
      <c r="I74" s="193">
        <f>IF(AND('A-17'!I168="-",'A-9'!K29="-"),"-",SUM('A-17'!I168,'A-9'!K29))</f>
        <v>28093</v>
      </c>
      <c r="J74" s="22"/>
      <c r="K74" s="22"/>
    </row>
    <row r="75" spans="1:11" ht="11.25" customHeight="1" x14ac:dyDescent="0.25">
      <c r="A75" s="371">
        <v>2000</v>
      </c>
      <c r="B75" s="193" t="str">
        <f>IF(AND('A-17'!B169="-",'A-9'!C30="-"),"-",SUM('A-17'!B169,'A-9'!C30))</f>
        <v>-</v>
      </c>
      <c r="C75" s="193" t="str">
        <f>IF(AND('A-17'!C169="-",'A-9'!D30="-"),"-",SUM('A-17'!C169,'A-9'!D30))</f>
        <v>-</v>
      </c>
      <c r="D75" s="193" t="str">
        <f>IF(AND('A-17'!D169="-",'A-9'!E30="-"),"-",SUM('A-17'!D169,'A-9'!E30))</f>
        <v>-</v>
      </c>
      <c r="E75" s="193">
        <f>IF(AND('A-17'!E169="-",'A-9'!F30="-"),"-",SUM('A-17'!E169,'A-9'!F30))</f>
        <v>10836</v>
      </c>
      <c r="F75" s="193">
        <f>IF(AND('A-17'!F169="-",'A-9'!G30="-"),"-",SUM('A-17'!F169,'A-9'!G30))</f>
        <v>13364</v>
      </c>
      <c r="G75" s="193" t="str">
        <f>IF(AND('A-17'!G169="-",'A-9'!H30="-"),"-",SUM('A-17'!G169,'A-9'!H30))</f>
        <v>-</v>
      </c>
      <c r="H75" s="193" t="str">
        <f>IF(AND('A-17'!H169="-",'A-9'!I30="-"),"-",SUM('A-17'!H169,'A-9'!I30))</f>
        <v>-</v>
      </c>
      <c r="I75" s="193">
        <f>IF(AND('A-17'!I169="-",'A-9'!K30="-"),"-",SUM('A-17'!I169,'A-9'!K30))</f>
        <v>24200</v>
      </c>
      <c r="J75" s="22"/>
      <c r="K75" s="22"/>
    </row>
    <row r="76" spans="1:11" ht="11.25" customHeight="1" x14ac:dyDescent="0.25">
      <c r="A76" s="371">
        <v>2001</v>
      </c>
      <c r="B76" s="193" t="str">
        <f>IF(AND('A-17'!B170="-",'A-9'!C31="-"),"-",SUM('A-17'!B170,'A-9'!C31))</f>
        <v>-</v>
      </c>
      <c r="C76" s="193" t="str">
        <f>IF(AND('A-17'!C170="-",'A-9'!D31="-"),"-",SUM('A-17'!C170,'A-9'!D31))</f>
        <v>-</v>
      </c>
      <c r="D76" s="193" t="str">
        <f>IF(AND('A-17'!D170="-",'A-9'!E31="-"),"-",SUM('A-17'!D170,'A-9'!E31))</f>
        <v>-</v>
      </c>
      <c r="E76" s="193">
        <f>IF(AND('A-17'!E170="-",'A-9'!F31="-"),"-",SUM('A-17'!E170,'A-9'!F31))</f>
        <v>29087</v>
      </c>
      <c r="F76" s="193">
        <f>IF(AND('A-17'!F170="-",'A-9'!G31="-"),"-",SUM('A-17'!F170,'A-9'!G31))</f>
        <v>38189</v>
      </c>
      <c r="G76" s="193">
        <f>IF(AND('A-17'!G170="-",'A-9'!H31="-"),"-",SUM('A-17'!G170,'A-9'!H31))</f>
        <v>11351</v>
      </c>
      <c r="H76" s="193" t="str">
        <f>IF(AND('A-17'!H170="-",'A-9'!I31="-"),"-",SUM('A-17'!H170,'A-9'!I31))</f>
        <v>-</v>
      </c>
      <c r="I76" s="193">
        <f>IF(AND('A-17'!I170="-",'A-9'!K31="-"),"-",SUM('A-17'!I170,'A-9'!K31))</f>
        <v>78627</v>
      </c>
      <c r="J76" s="22"/>
      <c r="K76" s="22"/>
    </row>
    <row r="77" spans="1:11" ht="11.25" customHeight="1" x14ac:dyDescent="0.25">
      <c r="A77" s="371">
        <v>2002</v>
      </c>
      <c r="B77" s="193" t="str">
        <f>IF(AND('A-17'!B171="-",'A-9'!C32="-"),"-",SUM('A-17'!B171,'A-9'!C32))</f>
        <v>-</v>
      </c>
      <c r="C77" s="193">
        <f>IF(AND('A-17'!C171="-",'A-9'!D32="-"),"-",SUM('A-17'!C171,'A-9'!D32))</f>
        <v>370</v>
      </c>
      <c r="D77" s="193">
        <f>IF(AND('A-17'!D171="-",'A-9'!E32="-"),"-",SUM('A-17'!D171,'A-9'!E32))</f>
        <v>1662</v>
      </c>
      <c r="E77" s="193">
        <f>IF(AND('A-17'!E171="-",'A-9'!F32="-"),"-",SUM('A-17'!E171,'A-9'!F32))</f>
        <v>12993</v>
      </c>
      <c r="F77" s="193">
        <f>IF(AND('A-17'!F171="-",'A-9'!G32="-"),"-",SUM('A-17'!F171,'A-9'!G32))</f>
        <v>24510</v>
      </c>
      <c r="G77" s="193">
        <f>IF(AND('A-17'!G171="-",'A-9'!H32="-"),"-",SUM('A-17'!G171,'A-9'!H32))</f>
        <v>9172</v>
      </c>
      <c r="H77" s="193">
        <f>IF(AND('A-17'!H171="-",'A-9'!I32="-"),"-",SUM('A-17'!H171,'A-9'!I32))</f>
        <v>6</v>
      </c>
      <c r="I77" s="193">
        <f>IF(AND('A-17'!I171="-",'A-9'!K32="-"),"-",SUM('A-17'!I171,'A-9'!K32))</f>
        <v>48713</v>
      </c>
      <c r="J77" s="22"/>
      <c r="K77" s="22"/>
    </row>
    <row r="78" spans="1:11" ht="11.25" customHeight="1" x14ac:dyDescent="0.25">
      <c r="A78" s="371">
        <v>2003</v>
      </c>
      <c r="B78" s="193" t="str">
        <f>IF(AND('A-17'!B172="-",'A-9'!C33="-"),"-",SUM('A-17'!B172,'A-9'!C33))</f>
        <v>-</v>
      </c>
      <c r="C78" s="193" t="str">
        <f>IF(AND('A-17'!C172="-",'A-9'!D33="-"),"-",SUM('A-17'!C172,'A-9'!D33))</f>
        <v>-</v>
      </c>
      <c r="D78" s="193">
        <f>IF(AND('A-17'!D172="-",'A-9'!E33="-"),"-",SUM('A-17'!D172,'A-9'!E33))</f>
        <v>606</v>
      </c>
      <c r="E78" s="193">
        <f>IF(AND('A-17'!E172="-",'A-9'!F33="-"),"-",SUM('A-17'!E172,'A-9'!F33))</f>
        <v>20308</v>
      </c>
      <c r="F78" s="193">
        <f>IF(AND('A-17'!F172="-",'A-9'!G33="-"),"-",SUM('A-17'!F172,'A-9'!G33))</f>
        <v>42124</v>
      </c>
      <c r="G78" s="193">
        <f>IF(AND('A-17'!G172="-",'A-9'!H33="-"),"-",SUM('A-17'!G172,'A-9'!H33))</f>
        <v>8188</v>
      </c>
      <c r="H78" s="193" t="str">
        <f>IF(AND('A-17'!H172="-",'A-9'!I33="-"),"-",SUM('A-17'!H172,'A-9'!I33))</f>
        <v>-</v>
      </c>
      <c r="I78" s="193">
        <f>IF(AND('A-17'!I172="-",'A-9'!K33="-"),"-",SUM('A-17'!I172,'A-9'!K33))</f>
        <v>71226</v>
      </c>
      <c r="J78" s="22"/>
      <c r="K78" s="22"/>
    </row>
    <row r="79" spans="1:11" ht="11.25" customHeight="1" x14ac:dyDescent="0.25">
      <c r="A79" s="371">
        <v>2004</v>
      </c>
      <c r="B79" s="193" t="str">
        <f>IF(AND('A-17'!B173="-",'A-9'!C34="-"),"-",SUM('A-17'!B173,'A-9'!C34))</f>
        <v>-</v>
      </c>
      <c r="C79" s="193" t="str">
        <f>IF(AND('A-17'!C173="-",'A-9'!D34="-"),"-",SUM('A-17'!C173,'A-9'!D34))</f>
        <v>-</v>
      </c>
      <c r="D79" s="193">
        <f>IF(AND('A-17'!D173="-",'A-9'!E34="-"),"-",SUM('A-17'!D173,'A-9'!E34))</f>
        <v>853</v>
      </c>
      <c r="E79" s="193">
        <f>IF(AND('A-17'!E173="-",'A-9'!F34="-"),"-",SUM('A-17'!E173,'A-9'!F34))</f>
        <v>16101</v>
      </c>
      <c r="F79" s="193">
        <f>IF(AND('A-17'!F173="-",'A-9'!G34="-"),"-",SUM('A-17'!F173,'A-9'!G34))</f>
        <v>35006</v>
      </c>
      <c r="G79" s="193">
        <f>IF(AND('A-17'!G173="-",'A-9'!H34="-"),"-",SUM('A-17'!G173,'A-9'!H34))</f>
        <v>10444</v>
      </c>
      <c r="H79" s="193" t="str">
        <f>IF(AND('A-17'!H173="-",'A-9'!I34="-"),"-",SUM('A-17'!H173,'A-9'!I34))</f>
        <v>-</v>
      </c>
      <c r="I79" s="193">
        <f>IF(AND('A-17'!I173="-",'A-9'!K34="-"),"-",SUM('A-17'!I173,'A-9'!K34))</f>
        <v>62404</v>
      </c>
      <c r="J79" s="22"/>
      <c r="K79" s="22"/>
    </row>
    <row r="80" spans="1:11" ht="11.25" customHeight="1" x14ac:dyDescent="0.25">
      <c r="A80" s="348">
        <v>2005</v>
      </c>
      <c r="B80" s="197" t="str">
        <f>IF(AND('A-17'!B174="-",'A-9'!C35="-"),"-",SUM('A-17'!B174,'A-9'!C35))</f>
        <v>-</v>
      </c>
      <c r="C80" s="197" t="str">
        <f>IF(AND('A-17'!C174="-",'A-9'!D35="-"),"-",SUM('A-17'!C174,'A-9'!D35))</f>
        <v>-</v>
      </c>
      <c r="D80" s="197" t="str">
        <f>IF(AND('A-17'!D174="-",'A-9'!E35="-"),"-",SUM('A-17'!D174,'A-9'!E35))</f>
        <v>-</v>
      </c>
      <c r="E80" s="197">
        <f>IF(AND('A-17'!E174="-",'A-9'!F35="-"),"-",SUM('A-17'!E174,'A-9'!F35))</f>
        <v>8316</v>
      </c>
      <c r="F80" s="197">
        <f>IF(AND('A-17'!F174="-",'A-9'!G35="-"),"-",SUM('A-17'!F174,'A-9'!G35))</f>
        <v>27084</v>
      </c>
      <c r="G80" s="197">
        <f>IF(AND('A-17'!G174="-",'A-9'!H35="-"),"-",SUM('A-17'!G174,'A-9'!H35))</f>
        <v>9916</v>
      </c>
      <c r="H80" s="197" t="str">
        <f>IF(AND('A-17'!H174="-",'A-9'!I35="-"),"-",SUM('A-17'!H174,'A-9'!I35))</f>
        <v>-</v>
      </c>
      <c r="I80" s="197">
        <f>IF(AND('A-17'!I174="-",'A-9'!K35="-"),"-",SUM('A-17'!I174,'A-9'!K35))</f>
        <v>45316</v>
      </c>
      <c r="J80" s="22"/>
      <c r="K80" s="22"/>
    </row>
    <row r="81" spans="1:11" ht="11.25" customHeight="1" x14ac:dyDescent="0.25">
      <c r="A81" s="371">
        <v>2006</v>
      </c>
      <c r="B81" s="193" t="str">
        <f>IF(AND('A-17'!B175="-",'A-9'!C36="-"),"-",SUM('A-17'!B175,'A-9'!C36))</f>
        <v>-</v>
      </c>
      <c r="C81" s="193" t="str">
        <f>IF(AND('A-17'!C175="-",'A-9'!D36="-"),"-",SUM('A-17'!C175,'A-9'!D36))</f>
        <v>-</v>
      </c>
      <c r="D81" s="193" t="str">
        <f>IF(AND('A-17'!D175="-",'A-9'!E36="-"),"-",SUM('A-17'!D175,'A-9'!E36))</f>
        <v>-</v>
      </c>
      <c r="E81" s="193">
        <f>IF(AND('A-17'!E175="-",'A-9'!F36="-"),"-",SUM('A-17'!E175,'A-9'!F36))</f>
        <v>7450.97</v>
      </c>
      <c r="F81" s="193">
        <f>IF(AND('A-17'!F175="-",'A-9'!G36="-"),"-",SUM('A-17'!F175,'A-9'!G36))</f>
        <v>21248.84</v>
      </c>
      <c r="G81" s="193">
        <f>IF(AND('A-17'!G175="-",'A-9'!H36="-"),"-",SUM('A-17'!G175,'A-9'!H36))</f>
        <v>2711.75</v>
      </c>
      <c r="H81" s="193" t="str">
        <f>IF(AND('A-17'!H175="-",'A-9'!I36="-"),"-",SUM('A-17'!H175,'A-9'!I36))</f>
        <v>-</v>
      </c>
      <c r="I81" s="193">
        <f>IF(AND('A-17'!I175="-",'A-9'!K36="-"),"-",SUM('A-17'!I175,'A-9'!K36))</f>
        <v>31411.56</v>
      </c>
      <c r="J81" s="22"/>
      <c r="K81" s="22"/>
    </row>
    <row r="82" spans="1:11" ht="11.25" customHeight="1" x14ac:dyDescent="0.25">
      <c r="A82" s="348">
        <v>2007</v>
      </c>
      <c r="B82" s="197" t="str">
        <f>IF(AND('A-17'!B176="-",'A-9'!C37="-"),"-",SUM('A-17'!B176,'A-9'!C37))</f>
        <v>-</v>
      </c>
      <c r="C82" s="197" t="str">
        <f>IF(AND('A-17'!C176="-",'A-9'!D37="-"),"-",SUM('A-17'!C176,'A-9'!D37))</f>
        <v>-</v>
      </c>
      <c r="D82" s="197" t="str">
        <f>IF(AND('A-17'!D176="-",'A-9'!E37="-"),"-",SUM('A-17'!D176,'A-9'!E37))</f>
        <v>-</v>
      </c>
      <c r="E82" s="197">
        <f>IF(AND('A-17'!E176="-",'A-9'!F37="-"),"-",SUM('A-17'!E176,'A-9'!F37))</f>
        <v>10033.66</v>
      </c>
      <c r="F82" s="197">
        <f>IF(AND('A-17'!F176="-",'A-9'!G37="-"),"-",SUM('A-17'!F176,'A-9'!G37))</f>
        <v>29199.48</v>
      </c>
      <c r="G82" s="197">
        <f>IF(AND('A-17'!G176="-",'A-9'!H37="-"),"-",SUM('A-17'!G176,'A-9'!H37))</f>
        <v>3284.49</v>
      </c>
      <c r="H82" s="197" t="str">
        <f>IF(AND('A-17'!H176="-",'A-9'!I37="-"),"-",SUM('A-17'!H176,'A-9'!I37))</f>
        <v>-</v>
      </c>
      <c r="I82" s="197">
        <f>IF(AND('A-17'!I176="-",'A-9'!K37="-"),"-",SUM('A-17'!I176,'A-9'!K37))</f>
        <v>42517.63</v>
      </c>
      <c r="J82" s="148"/>
      <c r="K82" s="148"/>
    </row>
    <row r="83" spans="1:11" ht="11.25" customHeight="1" x14ac:dyDescent="0.25">
      <c r="A83" s="348">
        <v>2008</v>
      </c>
      <c r="B83" s="197" t="str">
        <f>IF(AND('A-17'!B177="-",'A-9'!C38="-"),"-",SUM('A-17'!B177,'A-9'!C38))</f>
        <v>-</v>
      </c>
      <c r="C83" s="197">
        <f>IF(AND('A-17'!C177="-",'A-9'!D38="-"),"-",SUM('A-17'!C177,'A-9'!D38))</f>
        <v>66</v>
      </c>
      <c r="D83" s="197">
        <f>IF(AND('A-17'!D177="-",'A-9'!E38="-"),"-",SUM('A-17'!D177,'A-9'!E38))</f>
        <v>1275.02</v>
      </c>
      <c r="E83" s="197">
        <f>IF(AND('A-17'!E177="-",'A-9'!F38="-"),"-",SUM('A-17'!E177,'A-9'!F38))</f>
        <v>6381.17</v>
      </c>
      <c r="F83" s="197">
        <f>IF(AND('A-17'!F177="-",'A-9'!G38="-"),"-",SUM('A-17'!F177,'A-9'!G38))</f>
        <v>6371.06</v>
      </c>
      <c r="G83" s="197" t="str">
        <f>IF(AND('A-17'!G177="-",'A-9'!H38="-"),"-",SUM('A-17'!G177,'A-9'!H38))</f>
        <v>-</v>
      </c>
      <c r="H83" s="197" t="str">
        <f>IF(AND('A-17'!H177="-",'A-9'!I38="-"),"-",SUM('A-17'!H177,'A-9'!I38))</f>
        <v>-</v>
      </c>
      <c r="I83" s="197">
        <f>IF(AND('A-17'!I177="-",'A-9'!K38="-"),"-",SUM('A-17'!I177,'A-9'!K38))</f>
        <v>14093.25</v>
      </c>
      <c r="J83" s="148"/>
      <c r="K83" s="148"/>
    </row>
    <row r="84" spans="1:11" ht="11.25" customHeight="1" x14ac:dyDescent="0.25">
      <c r="A84" s="348">
        <v>2009</v>
      </c>
      <c r="B84" s="197" t="str">
        <f>IF(AND('A-17'!B178="-",'A-9'!C39="-"),"-",SUM('A-17'!B178,'A-9'!C39))</f>
        <v>-</v>
      </c>
      <c r="C84" s="197" t="str">
        <f>IF(AND('A-17'!C178="-",'A-9'!D39="-"),"-",SUM('A-17'!C178,'A-9'!D39))</f>
        <v>-</v>
      </c>
      <c r="D84" s="197">
        <f>IF(AND('A-17'!D178="-",'A-9'!E39="-"),"-",SUM('A-17'!D178,'A-9'!E39))</f>
        <v>277.89999999999998</v>
      </c>
      <c r="E84" s="197">
        <f>IF(AND('A-17'!E178="-",'A-9'!F39="-"),"-",SUM('A-17'!E178,'A-9'!F39))</f>
        <v>15968.84</v>
      </c>
      <c r="F84" s="197">
        <f>IF(AND('A-17'!F178="-",'A-9'!G39="-"),"-",SUM('A-17'!F178,'A-9'!G39))</f>
        <v>36343.919999999998</v>
      </c>
      <c r="G84" s="197">
        <f>IF(AND('A-17'!G178="-",'A-9'!H39="-"),"-",SUM('A-17'!G178,'A-9'!H39))</f>
        <v>1839.92</v>
      </c>
      <c r="H84" s="197" t="str">
        <f>IF(AND('A-17'!H178="-",'A-9'!I39="-"),"-",SUM('A-17'!H178,'A-9'!I39))</f>
        <v>-</v>
      </c>
      <c r="I84" s="197">
        <f>IF(AND('A-17'!I178="-",'A-9'!K39="-"),"-",SUM('A-17'!I178,'A-9'!K39))</f>
        <v>54430.579999999994</v>
      </c>
      <c r="J84" s="148"/>
      <c r="K84" s="148"/>
    </row>
    <row r="85" spans="1:11" ht="11.25" customHeight="1" x14ac:dyDescent="0.25">
      <c r="A85" s="348">
        <v>2010</v>
      </c>
      <c r="B85" s="197" t="str">
        <f>IF(AND('A-17'!B179="-",'A-9'!C40="-"),"-",SUM('A-17'!B179,'A-9'!C40))</f>
        <v>-</v>
      </c>
      <c r="C85" s="197" t="str">
        <f>IF(AND('A-17'!C179="-",'A-9'!D40="-"),"-",SUM('A-17'!C179,'A-9'!D40))</f>
        <v>-</v>
      </c>
      <c r="D85" s="197">
        <f>IF(AND('A-17'!D179="-",'A-9'!E40="-"),"-",SUM('A-17'!D179,'A-9'!E40))</f>
        <v>862.7299999999999</v>
      </c>
      <c r="E85" s="197">
        <f>IF(AND('A-17'!E179="-",'A-9'!F40="-"),"-",SUM('A-17'!E179,'A-9'!F40))</f>
        <v>9376.41</v>
      </c>
      <c r="F85" s="197">
        <f>IF(AND('A-17'!F179="-",'A-9'!G40="-"),"-",SUM('A-17'!F179,'A-9'!G40))</f>
        <v>24345.33</v>
      </c>
      <c r="G85" s="197">
        <f>IF(AND('A-17'!G179="-",'A-9'!H40="-"),"-",SUM('A-17'!G179,'A-9'!H40))</f>
        <v>2810.68</v>
      </c>
      <c r="H85" s="197" t="str">
        <f>IF(AND('A-17'!H179="-",'A-9'!I40="-"),"-",SUM('A-17'!H179,'A-9'!I40))</f>
        <v>-</v>
      </c>
      <c r="I85" s="197">
        <f>IF(AND('A-17'!I179="-",'A-9'!K40="-"),"-",SUM('A-17'!I179,'A-9'!K40))</f>
        <v>37395.15</v>
      </c>
      <c r="J85" s="148"/>
      <c r="K85" s="148"/>
    </row>
    <row r="86" spans="1:11" ht="11.25" customHeight="1" x14ac:dyDescent="0.25">
      <c r="A86" s="348">
        <v>2011</v>
      </c>
      <c r="B86" s="197" t="str">
        <f>IF(AND('A-17'!B180="-",'A-9'!C41="-"),"-",SUM('A-17'!B180,'A-9'!C41))</f>
        <v>-</v>
      </c>
      <c r="C86" s="197" t="str">
        <f>IF(AND('A-17'!C180="-",'A-9'!D41="-"),"-",SUM('A-17'!C180,'A-9'!D41))</f>
        <v>-</v>
      </c>
      <c r="D86" s="197">
        <f>IF(AND('A-17'!D180="-",'A-9'!E41="-"),"-",SUM('A-17'!D180,'A-9'!E41))</f>
        <v>1132.74</v>
      </c>
      <c r="E86" s="197">
        <f>IF(AND('A-17'!E180="-",'A-9'!F41="-"),"-",SUM('A-17'!E180,'A-9'!F41))</f>
        <v>6760.06</v>
      </c>
      <c r="F86" s="197">
        <f>IF(AND('A-17'!F180="-",'A-9'!G41="-"),"-",SUM('A-17'!F180,'A-9'!G41))</f>
        <v>19771.68</v>
      </c>
      <c r="G86" s="197">
        <f>IF(AND('A-17'!G180="-",'A-9'!H41="-"),"-",SUM('A-17'!G180,'A-9'!H41))</f>
        <v>4462.7</v>
      </c>
      <c r="H86" s="197" t="str">
        <f>IF(AND('A-17'!H180="-",'A-9'!I41="-"),"-",SUM('A-17'!H180,'A-9'!I41))</f>
        <v>-</v>
      </c>
      <c r="I86" s="197">
        <f>IF(AND('A-17'!I180="-",'A-9'!K41="-"),"-",SUM('A-17'!I180,'A-9'!K41))</f>
        <v>32127.18</v>
      </c>
      <c r="J86" s="148"/>
      <c r="K86" s="148"/>
    </row>
    <row r="87" spans="1:11" ht="11.25" customHeight="1" x14ac:dyDescent="0.25">
      <c r="A87" s="348">
        <v>2012</v>
      </c>
      <c r="B87" s="197" t="str">
        <f>IF(AND('A-17'!B181="-",'A-9'!C42="-"),"-",SUM('A-17'!B181,'A-9'!C42))</f>
        <v>-</v>
      </c>
      <c r="C87" s="197" t="str">
        <f>IF(AND('A-17'!C181="-",'A-9'!D42="-"),"-",SUM('A-17'!C181,'A-9'!D42))</f>
        <v>-</v>
      </c>
      <c r="D87" s="197">
        <f>IF(AND('A-17'!D181="-",'A-9'!E42="-"),"-",SUM('A-17'!D181,'A-9'!E42))</f>
        <v>2645.24</v>
      </c>
      <c r="E87" s="197">
        <f>IF(AND('A-17'!E181="-",'A-9'!F42="-"),"-",SUM('A-17'!E181,'A-9'!F42))</f>
        <v>7419.21</v>
      </c>
      <c r="F87" s="197">
        <f>IF(AND('A-17'!F181="-",'A-9'!G42="-"),"-",SUM('A-17'!F181,'A-9'!G42))</f>
        <v>12108.34</v>
      </c>
      <c r="G87" s="197">
        <f>IF(AND('A-17'!G181="-",'A-9'!H42="-"),"-",SUM('A-17'!G181,'A-9'!H42))</f>
        <v>5634.77</v>
      </c>
      <c r="H87" s="197" t="str">
        <f>IF(AND('A-17'!H181="-",'A-9'!I42="-"),"-",SUM('A-17'!H181,'A-9'!I42))</f>
        <v>-</v>
      </c>
      <c r="I87" s="197">
        <f>IF(AND('A-17'!I181="-",'A-9'!K42="-"),"-",SUM('A-17'!I181,'A-9'!K42))</f>
        <v>27807.56</v>
      </c>
      <c r="J87" s="148"/>
      <c r="K87" s="148"/>
    </row>
    <row r="88" spans="1:11" ht="11.25" customHeight="1" x14ac:dyDescent="0.25">
      <c r="A88" s="348">
        <v>2013</v>
      </c>
      <c r="B88" s="197" t="str">
        <f>IF(AND('A-17'!B182="-",'A-9'!C43="-"),"-",SUM('A-17'!B182,'A-9'!C43))</f>
        <v>-</v>
      </c>
      <c r="C88" s="197" t="str">
        <f>IF(AND('A-17'!C182="-",'A-9'!D43="-"),"-",SUM('A-17'!C182,'A-9'!D43))</f>
        <v>-</v>
      </c>
      <c r="D88" s="197">
        <f>IF(AND('A-17'!D182="-",'A-9'!E43="-"),"-",SUM('A-17'!D182,'A-9'!E43))</f>
        <v>4435.82</v>
      </c>
      <c r="E88" s="197">
        <f>IF(AND('A-17'!E182="-",'A-9'!F43="-"),"-",SUM('A-17'!E182,'A-9'!F43))</f>
        <v>6162.45</v>
      </c>
      <c r="F88" s="197">
        <f>IF(AND('A-17'!F182="-",'A-9'!G43="-"),"-",SUM('A-17'!F182,'A-9'!G43))</f>
        <v>16293.33</v>
      </c>
      <c r="G88" s="197">
        <f>IF(AND('A-17'!G182="-",'A-9'!H43="-"),"-",SUM('A-17'!G182,'A-9'!H43))</f>
        <v>3740.4</v>
      </c>
      <c r="H88" s="197" t="str">
        <f>IF(AND('A-17'!H182="-",'A-9'!I43="-"),"-",SUM('A-17'!H182,'A-9'!I43))</f>
        <v>-</v>
      </c>
      <c r="I88" s="197">
        <f>IF(AND('A-17'!I182="-",'A-9'!K43="-"),"-",SUM('A-17'!I182,'A-9'!K43))</f>
        <v>30632</v>
      </c>
      <c r="J88" s="148"/>
      <c r="K88" s="148"/>
    </row>
    <row r="89" spans="1:11" ht="11.25" customHeight="1" x14ac:dyDescent="0.25">
      <c r="A89" s="348">
        <v>2014</v>
      </c>
      <c r="B89" s="197" t="str">
        <f>IF(AND('A-17'!B183="-",'A-9'!C44="-"),"-",SUM('A-17'!B183,'A-9'!C44))</f>
        <v>-</v>
      </c>
      <c r="C89" s="197">
        <f>IF(AND('A-17'!C183="-",'A-9'!D44="-"),"-",SUM('A-17'!C183,'A-9'!D44))</f>
        <v>77.86</v>
      </c>
      <c r="D89" s="197">
        <f>IF(AND('A-17'!D183="-",'A-9'!E44="-"),"-",SUM('A-17'!D183,'A-9'!E44))</f>
        <v>3282.9900000000002</v>
      </c>
      <c r="E89" s="197">
        <f>IF(AND('A-17'!E183="-",'A-9'!F44="-"),"-",SUM('A-17'!E183,'A-9'!F44))</f>
        <v>14884.62</v>
      </c>
      <c r="F89" s="197">
        <f>IF(AND('A-17'!F183="-",'A-9'!G44="-"),"-",SUM('A-17'!F183,'A-9'!G44))</f>
        <v>28896.12</v>
      </c>
      <c r="G89" s="197">
        <f>IF(AND('A-17'!G183="-",'A-9'!H44="-"),"-",SUM('A-17'!G183,'A-9'!H44))</f>
        <v>9381.6</v>
      </c>
      <c r="H89" s="197" t="str">
        <f>IF(AND('A-17'!H183="-",'A-9'!I44="-"),"-",SUM('A-17'!H183,'A-9'!I44))</f>
        <v>-</v>
      </c>
      <c r="I89" s="197">
        <f>IF(AND('A-17'!I183="-",'A-9'!K44="-"),"-",SUM('A-17'!I183,'A-9'!K44))</f>
        <v>56523.189999999995</v>
      </c>
      <c r="J89" s="148"/>
      <c r="K89" s="148"/>
    </row>
    <row r="90" spans="1:11" ht="11.25" customHeight="1" x14ac:dyDescent="0.25">
      <c r="A90" s="348">
        <v>2015</v>
      </c>
      <c r="B90" s="197" t="str">
        <f>IF(AND('A-17'!B184="-",'A-9'!C45="-"),"-",SUM('A-17'!B184,'A-9'!C45))</f>
        <v>-</v>
      </c>
      <c r="C90" s="197">
        <f>IF(AND('A-17'!C184="-",'A-9'!D45="-"),"-",SUM('A-17'!C184,'A-9'!D45))</f>
        <v>269.03999999999996</v>
      </c>
      <c r="D90" s="197">
        <f>IF(AND('A-17'!D184="-",'A-9'!E45="-"),"-",SUM('A-17'!D184,'A-9'!E45))</f>
        <v>3045.5299999999997</v>
      </c>
      <c r="E90" s="197">
        <f>IF(AND('A-17'!E184="-",'A-9'!F45="-"),"-",SUM('A-17'!E184,'A-9'!F45))</f>
        <v>11243.15</v>
      </c>
      <c r="F90" s="197">
        <f>IF(AND('A-17'!F184="-",'A-9'!G45="-"),"-",SUM('A-17'!F184,'A-9'!G45))</f>
        <v>18588.98</v>
      </c>
      <c r="G90" s="197">
        <f>IF(AND('A-17'!G184="-",'A-9'!H45="-"),"-",SUM('A-17'!G184,'A-9'!H45))</f>
        <v>8871.56</v>
      </c>
      <c r="H90" s="197" t="str">
        <f>IF(AND('A-17'!H184="-",'A-9'!I45="-"),"-",SUM('A-17'!H184,'A-9'!I45))</f>
        <v>-</v>
      </c>
      <c r="I90" s="197">
        <f>IF(AND('A-17'!I184="-",'A-9'!K45="-"),"-",SUM('A-17'!I184,'A-9'!K45))</f>
        <v>42018.259999999995</v>
      </c>
      <c r="J90" s="148"/>
      <c r="K90" s="148"/>
    </row>
    <row r="91" spans="1:11" ht="11.25" customHeight="1" x14ac:dyDescent="0.25">
      <c r="A91" s="348">
        <v>2016</v>
      </c>
      <c r="B91" s="197" t="str">
        <f>IF(AND('A-17'!B185="-",'A-9'!C46="-"),"-",SUM('A-17'!B185,'A-9'!C46))</f>
        <v>-</v>
      </c>
      <c r="C91" s="197" t="str">
        <f>IF(AND('A-17'!C185="-",'A-9'!D46="-"),"-",SUM('A-17'!C185,'A-9'!D46))</f>
        <v>-</v>
      </c>
      <c r="D91" s="197" t="str">
        <f>IF(AND('A-17'!D185="-",'A-9'!E46="-"),"-",SUM('A-17'!D185,'A-9'!E46))</f>
        <v>-</v>
      </c>
      <c r="E91" s="197">
        <f>IF(AND('A-17'!E185="-",'A-9'!F46="-"),"-",SUM('A-17'!E185,'A-9'!F46))</f>
        <v>9586.17</v>
      </c>
      <c r="F91" s="197">
        <f>IF(AND('A-17'!F185="-",'A-9'!G46="-"),"-",SUM('A-17'!F185,'A-9'!G46))</f>
        <v>18999.330000000002</v>
      </c>
      <c r="G91" s="197" t="str">
        <f>IF(AND('A-17'!G185="-",'A-9'!H46="-"),"-",SUM('A-17'!G185,'A-9'!H46))</f>
        <v>-</v>
      </c>
      <c r="H91" s="197" t="str">
        <f>IF(AND('A-17'!H185="-",'A-9'!I46="-"),"-",SUM('A-17'!H185,'A-9'!I46))</f>
        <v>-</v>
      </c>
      <c r="I91" s="197">
        <f>IF(AND('A-17'!I185="-",'A-9'!K46="-"),"-",SUM('A-17'!I185,'A-9'!K46))</f>
        <v>28585.5</v>
      </c>
      <c r="J91" s="148"/>
      <c r="K91" s="148"/>
    </row>
    <row r="92" spans="1:11" ht="11.25" customHeight="1" x14ac:dyDescent="0.25">
      <c r="A92" s="348">
        <v>2017</v>
      </c>
      <c r="B92" s="197" t="str">
        <f>IF(AND('A-17'!B186="-",'A-9'!C47="-"),"-",SUM('A-17'!B186,'A-9'!C47))</f>
        <v>-</v>
      </c>
      <c r="C92" s="197" t="str">
        <f>IF(AND('A-17'!C186="-",'A-9'!D47="-"),"-",SUM('A-17'!C186,'A-9'!D47))</f>
        <v>-</v>
      </c>
      <c r="D92" s="197">
        <f>IF(AND('A-17'!D186="-",'A-9'!E47="-"),"-",SUM('A-17'!D186,'A-9'!E47))</f>
        <v>975.48</v>
      </c>
      <c r="E92" s="197">
        <f>IF(AND('A-17'!E186="-",'A-9'!F47="-"),"-",SUM('A-17'!E186,'A-9'!F47))</f>
        <v>11229.23</v>
      </c>
      <c r="F92" s="197">
        <f>IF(AND('A-17'!F186="-",'A-9'!G47="-"),"-",SUM('A-17'!F186,'A-9'!G47))</f>
        <v>19128.099999999999</v>
      </c>
      <c r="G92" s="197" t="str">
        <f>IF(AND('A-17'!G186="-",'A-9'!H47="-"),"-",SUM('A-17'!G186,'A-9'!H47))</f>
        <v>-</v>
      </c>
      <c r="H92" s="197" t="str">
        <f>IF(AND('A-17'!H186="-",'A-9'!I47="-"),"-",SUM('A-17'!H186,'A-9'!I47))</f>
        <v>-</v>
      </c>
      <c r="I92" s="197">
        <f>IF(AND('A-17'!I186="-",'A-9'!K47="-"),"-",SUM('A-17'!I186,'A-9'!K47))</f>
        <v>31332.809999999998</v>
      </c>
      <c r="J92" s="148"/>
      <c r="K92" s="148"/>
    </row>
    <row r="93" spans="1:11" s="358" customFormat="1" ht="11.25" customHeight="1" x14ac:dyDescent="0.25">
      <c r="A93" s="348">
        <v>2018</v>
      </c>
      <c r="B93" s="197" t="str">
        <f>IF(AND('A-17'!B187="-",'A-9'!C48="-"),"-",SUM('A-17'!B187,'A-9'!C48))</f>
        <v>-</v>
      </c>
      <c r="C93" s="197" t="str">
        <f>IF(AND('A-17'!C187="-",'A-9'!D48="-"),"-",SUM('A-17'!C187,'A-9'!D48))</f>
        <v>-</v>
      </c>
      <c r="D93" s="197">
        <f>IF(AND('A-17'!D187="-",'A-9'!E48="-"),"-",SUM('A-17'!D187,'A-9'!E48))</f>
        <v>1574.55</v>
      </c>
      <c r="E93" s="197">
        <f>IF(AND('A-17'!E187="-",'A-9'!F48="-"),"-",SUM('A-17'!E187,'A-9'!F48))</f>
        <v>6937.37</v>
      </c>
      <c r="F93" s="197">
        <f>IF(AND('A-17'!F187="-",'A-9'!G48="-"),"-",SUM('A-17'!F187,'A-9'!G48))</f>
        <v>13310.5</v>
      </c>
      <c r="G93" s="197">
        <f>IF(AND('A-17'!G187="-",'A-9'!H48="-"),"-",SUM('A-17'!G187,'A-9'!H48))</f>
        <v>760.73</v>
      </c>
      <c r="H93" s="197" t="str">
        <f>IF(AND('A-17'!H187="-",'A-9'!I48="-"),"-",SUM('A-17'!H187,'A-9'!I48))</f>
        <v>-</v>
      </c>
      <c r="I93" s="197">
        <f>IF(AND('A-17'!I187="-",'A-9'!K48="-"),"-",SUM('A-17'!I187,'A-9'!K48))</f>
        <v>22583.15</v>
      </c>
      <c r="J93" s="148"/>
      <c r="K93" s="148"/>
    </row>
    <row r="94" spans="1:11" s="358" customFormat="1" ht="11.25" customHeight="1" x14ac:dyDescent="0.25">
      <c r="A94" s="491">
        <v>2019</v>
      </c>
      <c r="B94" s="197" t="str">
        <f>IF(AND('A-17'!B188="-",'A-9'!C49="-"),"-",SUM('A-17'!B188,'A-9'!C49))</f>
        <v>-</v>
      </c>
      <c r="C94" s="197" t="str">
        <f>IF(AND('A-17'!C188="-",'A-9'!D49="-"),"-",SUM('A-17'!C188,'A-9'!D49))</f>
        <v>-</v>
      </c>
      <c r="D94" s="197">
        <f>IF(AND('A-17'!D188="-",'A-9'!E49="-"),"-",SUM('A-17'!D188,'A-9'!E49))</f>
        <v>3730.15</v>
      </c>
      <c r="E94" s="197">
        <f>IF(AND('A-17'!E188="-",'A-9'!F49="-"),"-",SUM('A-17'!E188,'A-9'!F49))</f>
        <v>15642.04</v>
      </c>
      <c r="F94" s="197">
        <f>IF(AND('A-17'!F188="-",'A-9'!G49="-"),"-",SUM('A-17'!F188,'A-9'!G49))</f>
        <v>23531.870000000003</v>
      </c>
      <c r="G94" s="197">
        <f>IF(AND('A-17'!G188="-",'A-9'!H49="-"),"-",SUM('A-17'!G188,'A-9'!H49))</f>
        <v>1699.82</v>
      </c>
      <c r="H94" s="197" t="str">
        <f>IF(AND('A-17'!H188="-",'A-9'!I49="-"),"-",SUM('A-17'!H188,'A-9'!I49))</f>
        <v>-</v>
      </c>
      <c r="I94" s="197">
        <f>IF(AND('A-17'!I188="-",'A-9'!K49="-"),"-",SUM('A-17'!I188,'A-9'!K49))</f>
        <v>44603.880000000005</v>
      </c>
      <c r="J94" s="148"/>
      <c r="K94" s="148"/>
    </row>
    <row r="95" spans="1:11" ht="11.25" customHeight="1" x14ac:dyDescent="0.25">
      <c r="A95" s="490" t="s">
        <v>394</v>
      </c>
      <c r="B95" s="197" t="str">
        <f>IF(AND('A-17'!B189="-",'A-9'!C50="-"),"-",SUM('A-17'!B189,'A-9'!C50))</f>
        <v>-</v>
      </c>
      <c r="C95" s="197" t="str">
        <f>IF(AND('A-17'!C189="-",'A-9'!D50="-"),"-",SUM('A-17'!C189,'A-9'!D50))</f>
        <v>-</v>
      </c>
      <c r="D95" s="197">
        <f>IF(AND('A-17'!D189="-",'A-9'!E50="-"),"-",SUM('A-17'!D189,'A-9'!E50))</f>
        <v>692.98</v>
      </c>
      <c r="E95" s="197">
        <f>IF(AND('A-17'!E189="-",'A-9'!F50="-"),"-",SUM('A-17'!E189,'A-9'!F50))</f>
        <v>11529.54</v>
      </c>
      <c r="F95" s="197" t="str">
        <f>IF(AND('A-17'!F189="-",'A-9'!G50="-"),"-",SUM('A-17'!F189,'A-9'!G50))</f>
        <v>-</v>
      </c>
      <c r="G95" s="197" t="str">
        <f>IF(AND('A-17'!G189="-",'A-9'!H50="-"),"-",SUM('A-17'!G189,'A-9'!H50))</f>
        <v>-</v>
      </c>
      <c r="H95" s="197" t="str">
        <f>IF(AND('A-17'!H189="-",'A-9'!I50="-"),"-",SUM('A-17'!H189,'A-9'!I50))</f>
        <v>-</v>
      </c>
      <c r="I95" s="197">
        <f>IF(AND('A-17'!I189="-",'A-9'!K50="-"),"-",SUM('A-17'!I189,'A-9'!K50))</f>
        <v>12222.52</v>
      </c>
      <c r="J95" s="22"/>
      <c r="K95" s="22"/>
    </row>
    <row r="96" spans="1:11" ht="11.25" customHeight="1" x14ac:dyDescent="0.25">
      <c r="J96" s="22"/>
      <c r="K96" s="22"/>
    </row>
    <row r="97" spans="1:11" ht="11.25" customHeight="1" x14ac:dyDescent="0.25">
      <c r="A97" s="120" t="s">
        <v>316</v>
      </c>
      <c r="J97" s="22"/>
      <c r="K97" s="22"/>
    </row>
    <row r="98" spans="1:11" ht="11.25" customHeight="1" x14ac:dyDescent="0.25">
      <c r="A98" s="371">
        <v>1976</v>
      </c>
      <c r="B98" s="193">
        <f t="shared" ref="B98:I107" si="0">IF(AND(B51="-",B4="-"),"-",SUM(B51,B4))</f>
        <v>1025</v>
      </c>
      <c r="C98" s="193">
        <f t="shared" si="0"/>
        <v>21692</v>
      </c>
      <c r="D98" s="193">
        <f t="shared" si="0"/>
        <v>79925</v>
      </c>
      <c r="E98" s="193">
        <f t="shared" si="0"/>
        <v>176705</v>
      </c>
      <c r="F98" s="193">
        <f t="shared" si="0"/>
        <v>237137</v>
      </c>
      <c r="G98" s="193">
        <f t="shared" si="0"/>
        <v>112206</v>
      </c>
      <c r="H98" s="193">
        <f t="shared" si="0"/>
        <v>9901</v>
      </c>
      <c r="I98" s="193">
        <f t="shared" si="0"/>
        <v>638613</v>
      </c>
      <c r="J98" s="22"/>
      <c r="K98" s="22"/>
    </row>
    <row r="99" spans="1:11" ht="11.25" customHeight="1" x14ac:dyDescent="0.25">
      <c r="A99" s="371">
        <v>1977</v>
      </c>
      <c r="B99" s="193">
        <f t="shared" si="0"/>
        <v>9015</v>
      </c>
      <c r="C99" s="193">
        <f t="shared" si="0"/>
        <v>19760</v>
      </c>
      <c r="D99" s="193">
        <f t="shared" si="0"/>
        <v>74462</v>
      </c>
      <c r="E99" s="193">
        <f t="shared" si="0"/>
        <v>152681</v>
      </c>
      <c r="F99" s="193">
        <f t="shared" si="0"/>
        <v>232185</v>
      </c>
      <c r="G99" s="193">
        <f t="shared" si="0"/>
        <v>86710</v>
      </c>
      <c r="H99" s="193">
        <f t="shared" si="0"/>
        <v>5656</v>
      </c>
      <c r="I99" s="193">
        <f t="shared" si="0"/>
        <v>580469</v>
      </c>
      <c r="J99" s="22"/>
      <c r="K99" s="22"/>
    </row>
    <row r="100" spans="1:11" ht="11.25" customHeight="1" x14ac:dyDescent="0.25">
      <c r="A100" s="371">
        <v>1978</v>
      </c>
      <c r="B100" s="193">
        <f t="shared" si="0"/>
        <v>2910</v>
      </c>
      <c r="C100" s="193">
        <f t="shared" si="0"/>
        <v>18126</v>
      </c>
      <c r="D100" s="193">
        <f t="shared" si="0"/>
        <v>84739</v>
      </c>
      <c r="E100" s="193">
        <f t="shared" si="0"/>
        <v>166817</v>
      </c>
      <c r="F100" s="193">
        <f t="shared" si="0"/>
        <v>179839</v>
      </c>
      <c r="G100" s="193">
        <f t="shared" si="0"/>
        <v>83311</v>
      </c>
      <c r="H100" s="193">
        <f t="shared" si="0"/>
        <v>10134</v>
      </c>
      <c r="I100" s="193">
        <f t="shared" si="0"/>
        <v>545876</v>
      </c>
      <c r="J100" s="22"/>
      <c r="K100" s="22"/>
    </row>
    <row r="101" spans="1:11" ht="11.25" customHeight="1" x14ac:dyDescent="0.25">
      <c r="A101" s="371">
        <v>1979</v>
      </c>
      <c r="B101" s="193">
        <f t="shared" si="0"/>
        <v>1347</v>
      </c>
      <c r="C101" s="193">
        <f t="shared" si="0"/>
        <v>20124</v>
      </c>
      <c r="D101" s="193">
        <f t="shared" si="0"/>
        <v>59221</v>
      </c>
      <c r="E101" s="193">
        <f t="shared" si="0"/>
        <v>120376</v>
      </c>
      <c r="F101" s="193">
        <f t="shared" si="0"/>
        <v>147420</v>
      </c>
      <c r="G101" s="193">
        <f t="shared" si="0"/>
        <v>10332</v>
      </c>
      <c r="H101" s="193">
        <f t="shared" si="0"/>
        <v>1678</v>
      </c>
      <c r="I101" s="193">
        <f t="shared" si="0"/>
        <v>360498</v>
      </c>
      <c r="J101" s="22"/>
      <c r="K101" s="22"/>
    </row>
    <row r="102" spans="1:11" ht="11.25" customHeight="1" x14ac:dyDescent="0.25">
      <c r="A102" s="371">
        <v>1980</v>
      </c>
      <c r="B102" s="193" t="str">
        <f t="shared" si="0"/>
        <v>-</v>
      </c>
      <c r="C102" s="193">
        <f t="shared" si="0"/>
        <v>16985</v>
      </c>
      <c r="D102" s="193">
        <f t="shared" si="0"/>
        <v>62652</v>
      </c>
      <c r="E102" s="193">
        <f t="shared" si="0"/>
        <v>117768</v>
      </c>
      <c r="F102" s="193">
        <f t="shared" si="0"/>
        <v>121234</v>
      </c>
      <c r="G102" s="193">
        <f t="shared" si="0"/>
        <v>8648</v>
      </c>
      <c r="H102" s="193">
        <f t="shared" si="0"/>
        <v>30</v>
      </c>
      <c r="I102" s="193">
        <f t="shared" si="0"/>
        <v>327317</v>
      </c>
      <c r="J102" s="22"/>
      <c r="K102" s="22"/>
    </row>
    <row r="103" spans="1:11" ht="11.25" customHeight="1" x14ac:dyDescent="0.25">
      <c r="A103" s="371">
        <v>1981</v>
      </c>
      <c r="B103" s="193">
        <f t="shared" si="0"/>
        <v>177</v>
      </c>
      <c r="C103" s="193">
        <f t="shared" si="0"/>
        <v>11717</v>
      </c>
      <c r="D103" s="193">
        <f t="shared" si="0"/>
        <v>42875</v>
      </c>
      <c r="E103" s="193">
        <f t="shared" si="0"/>
        <v>100129</v>
      </c>
      <c r="F103" s="193">
        <f t="shared" si="0"/>
        <v>117848</v>
      </c>
      <c r="G103" s="193">
        <f t="shared" si="0"/>
        <v>8297</v>
      </c>
      <c r="H103" s="193">
        <f t="shared" si="0"/>
        <v>431</v>
      </c>
      <c r="I103" s="193">
        <f t="shared" si="0"/>
        <v>281474</v>
      </c>
      <c r="J103" s="22"/>
      <c r="K103" s="22"/>
    </row>
    <row r="104" spans="1:11" ht="11.25" customHeight="1" x14ac:dyDescent="0.25">
      <c r="A104" s="371">
        <v>1982</v>
      </c>
      <c r="B104" s="193">
        <f t="shared" si="0"/>
        <v>18</v>
      </c>
      <c r="C104" s="193">
        <f t="shared" si="0"/>
        <v>2698</v>
      </c>
      <c r="D104" s="193">
        <f t="shared" si="0"/>
        <v>46463</v>
      </c>
      <c r="E104" s="193">
        <f t="shared" si="0"/>
        <v>130216</v>
      </c>
      <c r="F104" s="193">
        <f t="shared" si="0"/>
        <v>55287</v>
      </c>
      <c r="G104" s="193">
        <f t="shared" si="0"/>
        <v>10396</v>
      </c>
      <c r="H104" s="193">
        <f t="shared" si="0"/>
        <v>834</v>
      </c>
      <c r="I104" s="193">
        <f t="shared" si="0"/>
        <v>245912</v>
      </c>
      <c r="J104" s="22"/>
      <c r="K104" s="22"/>
    </row>
    <row r="105" spans="1:11" ht="11.25" customHeight="1" x14ac:dyDescent="0.25">
      <c r="A105" s="371">
        <v>1983</v>
      </c>
      <c r="B105" s="193">
        <f t="shared" si="0"/>
        <v>142</v>
      </c>
      <c r="C105" s="193">
        <f t="shared" si="0"/>
        <v>3193</v>
      </c>
      <c r="D105" s="193">
        <f t="shared" si="0"/>
        <v>35012</v>
      </c>
      <c r="E105" s="193">
        <f t="shared" si="0"/>
        <v>93613</v>
      </c>
      <c r="F105" s="193">
        <f t="shared" si="0"/>
        <v>84034</v>
      </c>
      <c r="G105" s="193">
        <f t="shared" si="0"/>
        <v>24480</v>
      </c>
      <c r="H105" s="193">
        <f t="shared" si="0"/>
        <v>43</v>
      </c>
      <c r="I105" s="193">
        <f t="shared" si="0"/>
        <v>240517</v>
      </c>
      <c r="J105" s="22"/>
      <c r="K105" s="22"/>
    </row>
    <row r="106" spans="1:11" ht="11.25" customHeight="1" x14ac:dyDescent="0.25">
      <c r="A106" s="371">
        <v>1984</v>
      </c>
      <c r="B106" s="193">
        <f t="shared" si="0"/>
        <v>55</v>
      </c>
      <c r="C106" s="193">
        <f t="shared" si="0"/>
        <v>3704</v>
      </c>
      <c r="D106" s="193">
        <f t="shared" si="0"/>
        <v>0</v>
      </c>
      <c r="E106" s="193">
        <f t="shared" si="0"/>
        <v>11865</v>
      </c>
      <c r="F106" s="193">
        <f t="shared" si="0"/>
        <v>29287</v>
      </c>
      <c r="G106" s="193">
        <f t="shared" si="0"/>
        <v>179</v>
      </c>
      <c r="H106" s="193" t="str">
        <f t="shared" si="0"/>
        <v>-</v>
      </c>
      <c r="I106" s="193">
        <f t="shared" si="0"/>
        <v>45090</v>
      </c>
      <c r="J106" s="22"/>
      <c r="K106" s="22"/>
    </row>
    <row r="107" spans="1:11" ht="11.25" customHeight="1" x14ac:dyDescent="0.25">
      <c r="A107" s="371">
        <v>1985</v>
      </c>
      <c r="B107" s="193">
        <f t="shared" si="0"/>
        <v>9</v>
      </c>
      <c r="C107" s="193">
        <f t="shared" si="0"/>
        <v>2</v>
      </c>
      <c r="D107" s="193">
        <f t="shared" si="0"/>
        <v>3678</v>
      </c>
      <c r="E107" s="193">
        <f t="shared" si="0"/>
        <v>62746</v>
      </c>
      <c r="F107" s="193">
        <f t="shared" si="0"/>
        <v>64635</v>
      </c>
      <c r="G107" s="193">
        <f t="shared" si="0"/>
        <v>3764</v>
      </c>
      <c r="H107" s="193" t="str">
        <f t="shared" si="0"/>
        <v>-</v>
      </c>
      <c r="I107" s="193">
        <f t="shared" si="0"/>
        <v>134834</v>
      </c>
      <c r="J107" s="22"/>
      <c r="K107" s="22"/>
    </row>
    <row r="108" spans="1:11" ht="11.25" customHeight="1" x14ac:dyDescent="0.25">
      <c r="A108" s="371">
        <v>1986</v>
      </c>
      <c r="B108" s="193" t="str">
        <f t="shared" ref="B108:I117" si="1">IF(AND(B61="-",B14="-"),"-",SUM(B61,B14))</f>
        <v>-</v>
      </c>
      <c r="C108" s="193" t="str">
        <f t="shared" si="1"/>
        <v>-</v>
      </c>
      <c r="D108" s="193">
        <f t="shared" si="1"/>
        <v>4317</v>
      </c>
      <c r="E108" s="193">
        <f t="shared" si="1"/>
        <v>73558</v>
      </c>
      <c r="F108" s="193">
        <f t="shared" si="1"/>
        <v>50920</v>
      </c>
      <c r="G108" s="193">
        <f t="shared" si="1"/>
        <v>943</v>
      </c>
      <c r="H108" s="193">
        <f t="shared" si="1"/>
        <v>86</v>
      </c>
      <c r="I108" s="193">
        <f t="shared" si="1"/>
        <v>129824</v>
      </c>
      <c r="J108" s="22"/>
      <c r="K108" s="22"/>
    </row>
    <row r="109" spans="1:11" ht="11.25" customHeight="1" x14ac:dyDescent="0.25">
      <c r="A109" s="371">
        <v>1987</v>
      </c>
      <c r="B109" s="193" t="str">
        <f t="shared" si="1"/>
        <v>-</v>
      </c>
      <c r="C109" s="193" t="str">
        <f t="shared" si="1"/>
        <v>-</v>
      </c>
      <c r="D109" s="193">
        <f t="shared" si="1"/>
        <v>4277</v>
      </c>
      <c r="E109" s="193">
        <f t="shared" si="1"/>
        <v>69158</v>
      </c>
      <c r="F109" s="193">
        <f t="shared" si="1"/>
        <v>44354</v>
      </c>
      <c r="G109" s="193">
        <f t="shared" si="1"/>
        <v>784</v>
      </c>
      <c r="H109" s="193">
        <f t="shared" si="1"/>
        <v>22</v>
      </c>
      <c r="I109" s="193">
        <f t="shared" si="1"/>
        <v>118595</v>
      </c>
      <c r="J109" s="22"/>
      <c r="K109" s="22"/>
    </row>
    <row r="110" spans="1:11" ht="11.25" customHeight="1" x14ac:dyDescent="0.25">
      <c r="A110" s="371">
        <v>1988</v>
      </c>
      <c r="B110" s="193" t="str">
        <f t="shared" si="1"/>
        <v>-</v>
      </c>
      <c r="C110" s="193">
        <f t="shared" si="1"/>
        <v>6</v>
      </c>
      <c r="D110" s="193" t="str">
        <f t="shared" si="1"/>
        <v>-</v>
      </c>
      <c r="E110" s="193">
        <f t="shared" si="1"/>
        <v>69143</v>
      </c>
      <c r="F110" s="193">
        <f t="shared" si="1"/>
        <v>4774</v>
      </c>
      <c r="G110" s="193">
        <f t="shared" si="1"/>
        <v>651</v>
      </c>
      <c r="H110" s="193">
        <f t="shared" si="1"/>
        <v>12</v>
      </c>
      <c r="I110" s="193">
        <f t="shared" si="1"/>
        <v>74586</v>
      </c>
      <c r="J110" s="22"/>
      <c r="K110" s="22"/>
    </row>
    <row r="111" spans="1:11" ht="11.25" customHeight="1" x14ac:dyDescent="0.25">
      <c r="A111" s="371">
        <v>1989</v>
      </c>
      <c r="B111" s="193" t="str">
        <f t="shared" si="1"/>
        <v>-</v>
      </c>
      <c r="C111" s="193">
        <f t="shared" si="1"/>
        <v>2817</v>
      </c>
      <c r="D111" s="193">
        <f t="shared" si="1"/>
        <v>6177</v>
      </c>
      <c r="E111" s="193">
        <f t="shared" si="1"/>
        <v>76971</v>
      </c>
      <c r="F111" s="193">
        <f t="shared" si="1"/>
        <v>70758</v>
      </c>
      <c r="G111" s="193">
        <f t="shared" si="1"/>
        <v>5362</v>
      </c>
      <c r="H111" s="193" t="str">
        <f t="shared" si="1"/>
        <v>-</v>
      </c>
      <c r="I111" s="193">
        <f t="shared" si="1"/>
        <v>162085</v>
      </c>
      <c r="J111" s="22"/>
      <c r="K111" s="22"/>
    </row>
    <row r="112" spans="1:11" ht="11.25" customHeight="1" x14ac:dyDescent="0.25">
      <c r="A112" s="371">
        <v>1990</v>
      </c>
      <c r="B112" s="193" t="str">
        <f t="shared" si="1"/>
        <v>-</v>
      </c>
      <c r="C112" s="193" t="str">
        <f t="shared" si="1"/>
        <v>-</v>
      </c>
      <c r="D112" s="193">
        <f t="shared" si="1"/>
        <v>13028</v>
      </c>
      <c r="E112" s="193">
        <f t="shared" si="1"/>
        <v>84172</v>
      </c>
      <c r="F112" s="193">
        <f t="shared" si="1"/>
        <v>84339</v>
      </c>
      <c r="G112" s="193">
        <f t="shared" si="1"/>
        <v>19132</v>
      </c>
      <c r="H112" s="193" t="str">
        <f t="shared" si="1"/>
        <v>-</v>
      </c>
      <c r="I112" s="193">
        <f t="shared" si="1"/>
        <v>200671</v>
      </c>
      <c r="J112" s="22"/>
      <c r="K112" s="22"/>
    </row>
    <row r="113" spans="1:11" ht="11.25" customHeight="1" x14ac:dyDescent="0.25">
      <c r="A113" s="371">
        <v>1991</v>
      </c>
      <c r="B113" s="193" t="str">
        <f t="shared" si="1"/>
        <v>-</v>
      </c>
      <c r="C113" s="193" t="str">
        <f t="shared" si="1"/>
        <v>-</v>
      </c>
      <c r="D113" s="193">
        <f t="shared" si="1"/>
        <v>9775</v>
      </c>
      <c r="E113" s="193">
        <f t="shared" si="1"/>
        <v>89762</v>
      </c>
      <c r="F113" s="193">
        <f t="shared" si="1"/>
        <v>38858</v>
      </c>
      <c r="G113" s="193">
        <f t="shared" si="1"/>
        <v>10439</v>
      </c>
      <c r="H113" s="193" t="str">
        <f t="shared" si="1"/>
        <v>-</v>
      </c>
      <c r="I113" s="193">
        <f t="shared" si="1"/>
        <v>148834</v>
      </c>
      <c r="J113" s="22"/>
      <c r="K113" s="22"/>
    </row>
    <row r="114" spans="1:11" ht="11.25" customHeight="1" x14ac:dyDescent="0.25">
      <c r="A114" s="371">
        <v>1992</v>
      </c>
      <c r="B114" s="193" t="str">
        <f t="shared" si="1"/>
        <v>-</v>
      </c>
      <c r="C114" s="193">
        <f t="shared" si="1"/>
        <v>1344</v>
      </c>
      <c r="D114" s="193">
        <f t="shared" si="1"/>
        <v>0</v>
      </c>
      <c r="E114" s="193">
        <f t="shared" si="1"/>
        <v>70341</v>
      </c>
      <c r="F114" s="193">
        <f t="shared" si="1"/>
        <v>35531</v>
      </c>
      <c r="G114" s="193">
        <f t="shared" si="1"/>
        <v>13895</v>
      </c>
      <c r="H114" s="193">
        <f t="shared" si="1"/>
        <v>714</v>
      </c>
      <c r="I114" s="193">
        <f t="shared" si="1"/>
        <v>121825</v>
      </c>
      <c r="J114" s="22"/>
      <c r="K114" s="22"/>
    </row>
    <row r="115" spans="1:11" ht="11.25" customHeight="1" x14ac:dyDescent="0.25">
      <c r="A115" s="371">
        <v>1993</v>
      </c>
      <c r="B115" s="193" t="str">
        <f t="shared" si="1"/>
        <v>-</v>
      </c>
      <c r="C115" s="193">
        <f t="shared" si="1"/>
        <v>1172</v>
      </c>
      <c r="D115" s="193" t="str">
        <f t="shared" si="1"/>
        <v>-</v>
      </c>
      <c r="E115" s="193">
        <f t="shared" si="1"/>
        <v>48941</v>
      </c>
      <c r="F115" s="193">
        <f t="shared" si="1"/>
        <v>58939</v>
      </c>
      <c r="G115" s="193">
        <f t="shared" si="1"/>
        <v>37534</v>
      </c>
      <c r="H115" s="193" t="str">
        <f t="shared" si="1"/>
        <v>-</v>
      </c>
      <c r="I115" s="193">
        <f t="shared" si="1"/>
        <v>146586</v>
      </c>
      <c r="J115" s="22"/>
      <c r="K115" s="22"/>
    </row>
    <row r="116" spans="1:11" ht="11.25" customHeight="1" x14ac:dyDescent="0.25">
      <c r="A116" s="371">
        <v>1994</v>
      </c>
      <c r="B116" s="193" t="str">
        <f t="shared" si="1"/>
        <v>-</v>
      </c>
      <c r="C116" s="193" t="str">
        <f t="shared" si="1"/>
        <v>-</v>
      </c>
      <c r="D116" s="193" t="str">
        <f t="shared" si="1"/>
        <v>-</v>
      </c>
      <c r="E116" s="193" t="str">
        <f t="shared" si="1"/>
        <v>-</v>
      </c>
      <c r="F116" s="193" t="str">
        <f t="shared" si="1"/>
        <v>-</v>
      </c>
      <c r="G116" s="193" t="str">
        <f t="shared" si="1"/>
        <v>-</v>
      </c>
      <c r="H116" s="193" t="str">
        <f t="shared" si="1"/>
        <v>-</v>
      </c>
      <c r="I116" s="193" t="str">
        <f t="shared" si="1"/>
        <v>-</v>
      </c>
      <c r="J116" s="22"/>
      <c r="K116" s="22"/>
    </row>
    <row r="117" spans="1:11" ht="11.25" customHeight="1" x14ac:dyDescent="0.25">
      <c r="A117" s="371">
        <v>1995</v>
      </c>
      <c r="B117" s="193" t="str">
        <f t="shared" si="1"/>
        <v>-</v>
      </c>
      <c r="C117" s="193" t="str">
        <f t="shared" si="1"/>
        <v>-</v>
      </c>
      <c r="D117" s="193" t="str">
        <f t="shared" si="1"/>
        <v>-</v>
      </c>
      <c r="E117" s="193">
        <f t="shared" si="1"/>
        <v>10955</v>
      </c>
      <c r="F117" s="193">
        <f t="shared" si="1"/>
        <v>41113</v>
      </c>
      <c r="G117" s="193">
        <f t="shared" si="1"/>
        <v>13814</v>
      </c>
      <c r="H117" s="193" t="str">
        <f t="shared" si="1"/>
        <v>-</v>
      </c>
      <c r="I117" s="193">
        <f t="shared" si="1"/>
        <v>65882</v>
      </c>
      <c r="J117" s="22"/>
      <c r="K117" s="22"/>
    </row>
    <row r="118" spans="1:11" ht="11.25" customHeight="1" x14ac:dyDescent="0.25">
      <c r="A118" s="371">
        <v>1996</v>
      </c>
      <c r="B118" s="193" t="str">
        <f t="shared" ref="B118:I127" si="2">IF(AND(B71="-",B24="-"),"-",SUM(B71,B24))</f>
        <v>-</v>
      </c>
      <c r="C118" s="193" t="str">
        <f t="shared" si="2"/>
        <v>-</v>
      </c>
      <c r="D118" s="193" t="str">
        <f t="shared" si="2"/>
        <v>-</v>
      </c>
      <c r="E118" s="193">
        <f t="shared" si="2"/>
        <v>8673</v>
      </c>
      <c r="F118" s="193">
        <f t="shared" si="2"/>
        <v>32732</v>
      </c>
      <c r="G118" s="193">
        <f t="shared" si="2"/>
        <v>7479</v>
      </c>
      <c r="H118" s="193" t="str">
        <f t="shared" si="2"/>
        <v>-</v>
      </c>
      <c r="I118" s="193">
        <f t="shared" si="2"/>
        <v>48884</v>
      </c>
      <c r="J118" s="22"/>
      <c r="K118" s="22"/>
    </row>
    <row r="119" spans="1:11" ht="11.25" customHeight="1" x14ac:dyDescent="0.25">
      <c r="A119" s="371">
        <v>1997</v>
      </c>
      <c r="B119" s="193" t="str">
        <f t="shared" si="2"/>
        <v>-</v>
      </c>
      <c r="C119" s="193" t="str">
        <f t="shared" si="2"/>
        <v>-</v>
      </c>
      <c r="D119" s="193" t="str">
        <f t="shared" si="2"/>
        <v>-</v>
      </c>
      <c r="E119" s="193">
        <f t="shared" si="2"/>
        <v>19122</v>
      </c>
      <c r="F119" s="193">
        <f t="shared" si="2"/>
        <v>13008</v>
      </c>
      <c r="G119" s="193">
        <f t="shared" si="2"/>
        <v>1171</v>
      </c>
      <c r="H119" s="193" t="str">
        <f t="shared" si="2"/>
        <v>-</v>
      </c>
      <c r="I119" s="193">
        <f t="shared" si="2"/>
        <v>33301</v>
      </c>
      <c r="J119" s="22"/>
      <c r="K119" s="22"/>
    </row>
    <row r="120" spans="1:11" ht="11.25" customHeight="1" x14ac:dyDescent="0.25">
      <c r="A120" s="371">
        <v>1998</v>
      </c>
      <c r="B120" s="193" t="str">
        <f t="shared" si="2"/>
        <v>-</v>
      </c>
      <c r="C120" s="193" t="str">
        <f t="shared" si="2"/>
        <v>-</v>
      </c>
      <c r="D120" s="193" t="str">
        <f t="shared" si="2"/>
        <v>-</v>
      </c>
      <c r="E120" s="193" t="str">
        <f t="shared" si="2"/>
        <v>-</v>
      </c>
      <c r="F120" s="193">
        <f t="shared" si="2"/>
        <v>20120</v>
      </c>
      <c r="G120" s="193">
        <f t="shared" si="2"/>
        <v>1647</v>
      </c>
      <c r="H120" s="193" t="str">
        <f t="shared" si="2"/>
        <v>-</v>
      </c>
      <c r="I120" s="193">
        <f t="shared" si="2"/>
        <v>21767</v>
      </c>
      <c r="J120" s="22"/>
      <c r="K120" s="22"/>
    </row>
    <row r="121" spans="1:11" ht="11.25" customHeight="1" x14ac:dyDescent="0.25">
      <c r="A121" s="371">
        <v>1999</v>
      </c>
      <c r="B121" s="193" t="str">
        <f t="shared" si="2"/>
        <v>-</v>
      </c>
      <c r="C121" s="193" t="str">
        <f t="shared" si="2"/>
        <v>-</v>
      </c>
      <c r="D121" s="193" t="str">
        <f t="shared" si="2"/>
        <v>-</v>
      </c>
      <c r="E121" s="193">
        <f t="shared" si="2"/>
        <v>15421</v>
      </c>
      <c r="F121" s="193">
        <f t="shared" si="2"/>
        <v>29393</v>
      </c>
      <c r="G121" s="193">
        <f t="shared" si="2"/>
        <v>13377</v>
      </c>
      <c r="H121" s="193" t="str">
        <f t="shared" si="2"/>
        <v>-</v>
      </c>
      <c r="I121" s="193">
        <f t="shared" si="2"/>
        <v>58191</v>
      </c>
      <c r="J121" s="22"/>
      <c r="K121" s="22"/>
    </row>
    <row r="122" spans="1:11" ht="11.25" customHeight="1" x14ac:dyDescent="0.25">
      <c r="A122" s="371">
        <v>2000</v>
      </c>
      <c r="B122" s="193" t="str">
        <f t="shared" si="2"/>
        <v>-</v>
      </c>
      <c r="C122" s="193" t="str">
        <f t="shared" si="2"/>
        <v>-</v>
      </c>
      <c r="D122" s="193" t="str">
        <f t="shared" si="2"/>
        <v>-</v>
      </c>
      <c r="E122" s="193">
        <f t="shared" si="2"/>
        <v>29392</v>
      </c>
      <c r="F122" s="193">
        <f t="shared" si="2"/>
        <v>26324</v>
      </c>
      <c r="G122" s="193">
        <f t="shared" si="2"/>
        <v>1646</v>
      </c>
      <c r="H122" s="193" t="str">
        <f t="shared" si="2"/>
        <v>-</v>
      </c>
      <c r="I122" s="193">
        <f t="shared" si="2"/>
        <v>57362</v>
      </c>
      <c r="J122" s="22"/>
      <c r="K122" s="22"/>
    </row>
    <row r="123" spans="1:11" ht="11.25" customHeight="1" x14ac:dyDescent="0.25">
      <c r="A123" s="371">
        <v>2001</v>
      </c>
      <c r="B123" s="193" t="str">
        <f t="shared" si="2"/>
        <v>-</v>
      </c>
      <c r="C123" s="193" t="str">
        <f t="shared" si="2"/>
        <v>-</v>
      </c>
      <c r="D123" s="193" t="str">
        <f t="shared" si="2"/>
        <v>-</v>
      </c>
      <c r="E123" s="193">
        <f t="shared" si="2"/>
        <v>66841</v>
      </c>
      <c r="F123" s="193">
        <f t="shared" si="2"/>
        <v>61921</v>
      </c>
      <c r="G123" s="193">
        <f t="shared" si="2"/>
        <v>20642</v>
      </c>
      <c r="H123" s="193">
        <f t="shared" si="2"/>
        <v>239</v>
      </c>
      <c r="I123" s="193">
        <f t="shared" si="2"/>
        <v>149643</v>
      </c>
      <c r="J123" s="22"/>
      <c r="K123" s="22"/>
    </row>
    <row r="124" spans="1:11" ht="11.25" customHeight="1" x14ac:dyDescent="0.25">
      <c r="A124" s="371">
        <v>2002</v>
      </c>
      <c r="B124" s="193" t="str">
        <f t="shared" si="2"/>
        <v>-</v>
      </c>
      <c r="C124" s="193">
        <f t="shared" si="2"/>
        <v>2866</v>
      </c>
      <c r="D124" s="193">
        <f t="shared" si="2"/>
        <v>15275</v>
      </c>
      <c r="E124" s="193">
        <f t="shared" si="2"/>
        <v>34397</v>
      </c>
      <c r="F124" s="193">
        <f t="shared" si="2"/>
        <v>43670</v>
      </c>
      <c r="G124" s="193">
        <f t="shared" si="2"/>
        <v>10891</v>
      </c>
      <c r="H124" s="193">
        <f t="shared" si="2"/>
        <v>119</v>
      </c>
      <c r="I124" s="193">
        <f t="shared" si="2"/>
        <v>107218</v>
      </c>
      <c r="J124" s="22"/>
      <c r="K124" s="22"/>
    </row>
    <row r="125" spans="1:11" ht="11.25" customHeight="1" x14ac:dyDescent="0.25">
      <c r="A125" s="371">
        <v>2003</v>
      </c>
      <c r="B125" s="193" t="str">
        <f t="shared" si="2"/>
        <v>-</v>
      </c>
      <c r="C125" s="193" t="str">
        <f t="shared" si="2"/>
        <v>-</v>
      </c>
      <c r="D125" s="193">
        <f t="shared" si="2"/>
        <v>6500</v>
      </c>
      <c r="E125" s="193">
        <f t="shared" si="2"/>
        <v>52938</v>
      </c>
      <c r="F125" s="193">
        <f t="shared" si="2"/>
        <v>70092</v>
      </c>
      <c r="G125" s="193">
        <f t="shared" si="2"/>
        <v>14435</v>
      </c>
      <c r="H125" s="193">
        <f t="shared" si="2"/>
        <v>128</v>
      </c>
      <c r="I125" s="193">
        <f t="shared" si="2"/>
        <v>144093</v>
      </c>
      <c r="J125" s="22"/>
      <c r="K125" s="22"/>
    </row>
    <row r="126" spans="1:11" ht="11.25" customHeight="1" x14ac:dyDescent="0.25">
      <c r="A126" s="348">
        <v>2004</v>
      </c>
      <c r="B126" s="197" t="str">
        <f t="shared" si="2"/>
        <v>-</v>
      </c>
      <c r="C126" s="197" t="str">
        <f t="shared" si="2"/>
        <v>-</v>
      </c>
      <c r="D126" s="197">
        <f t="shared" si="2"/>
        <v>2866</v>
      </c>
      <c r="E126" s="197">
        <f t="shared" si="2"/>
        <v>48043</v>
      </c>
      <c r="F126" s="197">
        <f t="shared" si="2"/>
        <v>61911</v>
      </c>
      <c r="G126" s="197">
        <f t="shared" si="2"/>
        <v>18457</v>
      </c>
      <c r="H126" s="197">
        <f t="shared" si="2"/>
        <v>20</v>
      </c>
      <c r="I126" s="197">
        <f t="shared" si="2"/>
        <v>131297</v>
      </c>
      <c r="J126" s="22"/>
      <c r="K126" s="22"/>
    </row>
    <row r="127" spans="1:11" ht="11.25" customHeight="1" x14ac:dyDescent="0.25">
      <c r="A127" s="348">
        <v>2005</v>
      </c>
      <c r="B127" s="197" t="str">
        <f t="shared" si="2"/>
        <v>-</v>
      </c>
      <c r="C127" s="197" t="str">
        <f t="shared" si="2"/>
        <v>-</v>
      </c>
      <c r="D127" s="197">
        <f t="shared" si="2"/>
        <v>1119</v>
      </c>
      <c r="E127" s="197">
        <f t="shared" si="2"/>
        <v>34204.744915506744</v>
      </c>
      <c r="F127" s="197">
        <f t="shared" si="2"/>
        <v>49587.536814377017</v>
      </c>
      <c r="G127" s="197">
        <f t="shared" si="2"/>
        <v>18786.195099939279</v>
      </c>
      <c r="H127" s="197">
        <f t="shared" si="2"/>
        <v>160</v>
      </c>
      <c r="I127" s="197">
        <f t="shared" si="2"/>
        <v>103857.47682982305</v>
      </c>
      <c r="J127" s="22"/>
      <c r="K127" s="22"/>
    </row>
    <row r="128" spans="1:11" ht="11.25" customHeight="1" x14ac:dyDescent="0.25">
      <c r="A128" s="348">
        <v>2006</v>
      </c>
      <c r="B128" s="197" t="str">
        <f t="shared" ref="B128:I128" si="3">IF(AND(B81="-",B34="-"),"-",SUM(B81,B34))</f>
        <v>-</v>
      </c>
      <c r="C128" s="197" t="str">
        <f t="shared" si="3"/>
        <v>-</v>
      </c>
      <c r="D128" s="197">
        <f t="shared" si="3"/>
        <v>1118.93</v>
      </c>
      <c r="E128" s="197">
        <f t="shared" si="3"/>
        <v>23937.210000000003</v>
      </c>
      <c r="F128" s="197">
        <f t="shared" si="3"/>
        <v>41927.550000000003</v>
      </c>
      <c r="G128" s="197">
        <f t="shared" si="3"/>
        <v>6262.95</v>
      </c>
      <c r="H128" s="197">
        <f t="shared" si="3"/>
        <v>258.35000000000002</v>
      </c>
      <c r="I128" s="197">
        <f t="shared" si="3"/>
        <v>73504.990000000005</v>
      </c>
      <c r="J128" s="22"/>
      <c r="K128" s="22"/>
    </row>
    <row r="129" spans="1:11" ht="11.25" customHeight="1" x14ac:dyDescent="0.25">
      <c r="A129" s="348">
        <v>2007</v>
      </c>
      <c r="B129" s="197" t="str">
        <f t="shared" ref="B129:I129" si="4">IF(AND(B82="-",B35="-"),"-",SUM(B82,B35))</f>
        <v>-</v>
      </c>
      <c r="C129" s="197" t="str">
        <f t="shared" si="4"/>
        <v>-</v>
      </c>
      <c r="D129" s="197" t="str">
        <f t="shared" si="4"/>
        <v>-</v>
      </c>
      <c r="E129" s="197">
        <f t="shared" si="4"/>
        <v>27515.5</v>
      </c>
      <c r="F129" s="197">
        <f t="shared" si="4"/>
        <v>50713.65</v>
      </c>
      <c r="G129" s="197">
        <f t="shared" si="4"/>
        <v>6839.76</v>
      </c>
      <c r="H129" s="197">
        <f t="shared" si="4"/>
        <v>0</v>
      </c>
      <c r="I129" s="197">
        <f t="shared" si="4"/>
        <v>85068.91</v>
      </c>
      <c r="J129" s="148"/>
      <c r="K129" s="148"/>
    </row>
    <row r="130" spans="1:11" ht="11.25" customHeight="1" x14ac:dyDescent="0.25">
      <c r="A130" s="348">
        <v>2008</v>
      </c>
      <c r="B130" s="197" t="str">
        <f t="shared" ref="B130:I130" si="5">IF(AND(B83="-",B36="-"),"-",SUM(B83,B36))</f>
        <v>-</v>
      </c>
      <c r="C130" s="197">
        <f t="shared" si="5"/>
        <v>66</v>
      </c>
      <c r="D130" s="197">
        <f t="shared" si="5"/>
        <v>5282.36</v>
      </c>
      <c r="E130" s="197">
        <f t="shared" si="5"/>
        <v>17772.940000000002</v>
      </c>
      <c r="F130" s="197">
        <f t="shared" si="5"/>
        <v>15541.650000000001</v>
      </c>
      <c r="G130" s="197">
        <f t="shared" si="5"/>
        <v>2563.7800000000002</v>
      </c>
      <c r="H130" s="197">
        <f t="shared" si="5"/>
        <v>37.5</v>
      </c>
      <c r="I130" s="197">
        <f t="shared" si="5"/>
        <v>41264.229999999996</v>
      </c>
      <c r="J130" s="148"/>
      <c r="K130" s="148"/>
    </row>
    <row r="131" spans="1:11" ht="11.25" customHeight="1" x14ac:dyDescent="0.25">
      <c r="A131" s="348">
        <v>2009</v>
      </c>
      <c r="B131" s="197" t="str">
        <f t="shared" ref="B131:I131" si="6">IF(AND(B84="-",B37="-"),"-",SUM(B84,B37))</f>
        <v>-</v>
      </c>
      <c r="C131" s="197" t="str">
        <f t="shared" si="6"/>
        <v>-</v>
      </c>
      <c r="D131" s="197">
        <f t="shared" si="6"/>
        <v>1382.19</v>
      </c>
      <c r="E131" s="197">
        <f t="shared" si="6"/>
        <v>34084</v>
      </c>
      <c r="F131" s="197">
        <f t="shared" si="6"/>
        <v>68889.489999999991</v>
      </c>
      <c r="G131" s="197">
        <f t="shared" si="6"/>
        <v>9241.9500000000007</v>
      </c>
      <c r="H131" s="197">
        <f t="shared" si="6"/>
        <v>212.42</v>
      </c>
      <c r="I131" s="197">
        <f t="shared" si="6"/>
        <v>113810.04999999999</v>
      </c>
      <c r="J131" s="148"/>
      <c r="K131" s="148"/>
    </row>
    <row r="132" spans="1:11" ht="11.25" customHeight="1" x14ac:dyDescent="0.25">
      <c r="A132" s="348">
        <v>2010</v>
      </c>
      <c r="B132" s="197" t="str">
        <f t="shared" ref="B132:I132" si="7">IF(AND(B85="-",B38="-"),"-",SUM(B85,B38))</f>
        <v>-</v>
      </c>
      <c r="C132" s="197" t="str">
        <f t="shared" si="7"/>
        <v>-</v>
      </c>
      <c r="D132" s="197">
        <f t="shared" si="7"/>
        <v>10313.859999999999</v>
      </c>
      <c r="E132" s="197">
        <f t="shared" si="7"/>
        <v>27756.61</v>
      </c>
      <c r="F132" s="197">
        <f t="shared" si="7"/>
        <v>43891.78</v>
      </c>
      <c r="G132" s="197">
        <f t="shared" si="7"/>
        <v>9092.2800000000007</v>
      </c>
      <c r="H132" s="197">
        <f t="shared" si="7"/>
        <v>153.97</v>
      </c>
      <c r="I132" s="197">
        <f t="shared" si="7"/>
        <v>91208.5</v>
      </c>
      <c r="J132" s="148"/>
      <c r="K132" s="148"/>
    </row>
    <row r="133" spans="1:11" ht="11.25" customHeight="1" x14ac:dyDescent="0.25">
      <c r="A133" s="348">
        <v>2011</v>
      </c>
      <c r="B133" s="197" t="str">
        <f t="shared" ref="B133:I133" si="8">IF(AND(B86="-",B39="-"),"-",SUM(B86,B39))</f>
        <v>-</v>
      </c>
      <c r="C133" s="197" t="str">
        <f t="shared" si="8"/>
        <v>-</v>
      </c>
      <c r="D133" s="197">
        <f t="shared" si="8"/>
        <v>6669.57</v>
      </c>
      <c r="E133" s="197">
        <f t="shared" si="8"/>
        <v>24094.41</v>
      </c>
      <c r="F133" s="197">
        <f t="shared" si="8"/>
        <v>40949.93</v>
      </c>
      <c r="G133" s="197">
        <f t="shared" si="8"/>
        <v>9249.2799999999988</v>
      </c>
      <c r="H133" s="197">
        <f t="shared" si="8"/>
        <v>16.05</v>
      </c>
      <c r="I133" s="197">
        <f t="shared" si="8"/>
        <v>80979.239999999991</v>
      </c>
      <c r="J133" s="148"/>
      <c r="K133" s="148"/>
    </row>
    <row r="134" spans="1:11" ht="11.25" customHeight="1" x14ac:dyDescent="0.25">
      <c r="A134" s="348">
        <v>2012</v>
      </c>
      <c r="B134" s="197" t="str">
        <f t="shared" ref="B134:I134" si="9">IF(AND(B87="-",B40="-"),"-",SUM(B87,B40))</f>
        <v>-</v>
      </c>
      <c r="C134" s="197" t="str">
        <f t="shared" si="9"/>
        <v>-</v>
      </c>
      <c r="D134" s="197">
        <f t="shared" si="9"/>
        <v>12272.460000000001</v>
      </c>
      <c r="E134" s="197">
        <f t="shared" si="9"/>
        <v>24831.739999999998</v>
      </c>
      <c r="F134" s="197">
        <f t="shared" si="9"/>
        <v>31276.38</v>
      </c>
      <c r="G134" s="197">
        <f t="shared" si="9"/>
        <v>13762.880000000001</v>
      </c>
      <c r="H134" s="197">
        <f t="shared" si="9"/>
        <v>353.11</v>
      </c>
      <c r="I134" s="197">
        <f t="shared" si="9"/>
        <v>82496.570000000007</v>
      </c>
      <c r="J134" s="148"/>
      <c r="K134" s="148"/>
    </row>
    <row r="135" spans="1:11" ht="11.25" customHeight="1" x14ac:dyDescent="0.25">
      <c r="A135" s="348">
        <v>2013</v>
      </c>
      <c r="B135" s="197" t="str">
        <f t="shared" ref="B135:I135" si="10">IF(AND(B88="-",B41="-"),"-",SUM(B88,B41))</f>
        <v>-</v>
      </c>
      <c r="C135" s="197">
        <f t="shared" si="10"/>
        <v>950.86</v>
      </c>
      <c r="D135" s="197">
        <f t="shared" si="10"/>
        <v>13408.9</v>
      </c>
      <c r="E135" s="197">
        <f t="shared" si="10"/>
        <v>22172.87</v>
      </c>
      <c r="F135" s="197">
        <f t="shared" si="10"/>
        <v>40239.81</v>
      </c>
      <c r="G135" s="197">
        <f t="shared" si="10"/>
        <v>9139.94</v>
      </c>
      <c r="H135" s="197">
        <f t="shared" si="10"/>
        <v>237.41</v>
      </c>
      <c r="I135" s="197">
        <f t="shared" si="10"/>
        <v>86149.790000000008</v>
      </c>
      <c r="J135" s="148"/>
      <c r="K135" s="148"/>
    </row>
    <row r="136" spans="1:11" ht="11.25" customHeight="1" x14ac:dyDescent="0.25">
      <c r="A136" s="348">
        <v>2014</v>
      </c>
      <c r="B136" s="197" t="str">
        <f t="shared" ref="B136:I136" si="11">IF(AND(B89="-",B42="-"),"-",SUM(B89,B42))</f>
        <v>-</v>
      </c>
      <c r="C136" s="197">
        <f t="shared" si="11"/>
        <v>1720.4199999999998</v>
      </c>
      <c r="D136" s="197">
        <f t="shared" si="11"/>
        <v>13613.91</v>
      </c>
      <c r="E136" s="197">
        <f t="shared" si="11"/>
        <v>43413.29</v>
      </c>
      <c r="F136" s="197">
        <f t="shared" si="11"/>
        <v>53288.83</v>
      </c>
      <c r="G136" s="197">
        <f t="shared" si="11"/>
        <v>19471.050000000003</v>
      </c>
      <c r="H136" s="197">
        <f t="shared" si="11"/>
        <v>364.82</v>
      </c>
      <c r="I136" s="197">
        <f t="shared" si="11"/>
        <v>131872.32000000001</v>
      </c>
      <c r="J136" s="148"/>
      <c r="K136" s="148"/>
    </row>
    <row r="137" spans="1:11" ht="11.25" customHeight="1" x14ac:dyDescent="0.25">
      <c r="A137" s="348">
        <v>2015</v>
      </c>
      <c r="B137" s="197" t="str">
        <f t="shared" ref="B137:I137" si="12">IF(AND(B90="-",B43="-"),"-",SUM(B90,B43))</f>
        <v>-</v>
      </c>
      <c r="C137" s="197">
        <f t="shared" si="12"/>
        <v>1709.96</v>
      </c>
      <c r="D137" s="197">
        <f t="shared" si="12"/>
        <v>12019.32</v>
      </c>
      <c r="E137" s="197">
        <f t="shared" si="12"/>
        <v>40021.919999999998</v>
      </c>
      <c r="F137" s="197">
        <f t="shared" si="12"/>
        <v>34154.82</v>
      </c>
      <c r="G137" s="197">
        <f t="shared" si="12"/>
        <v>17537.28</v>
      </c>
      <c r="H137" s="197">
        <f t="shared" si="12"/>
        <v>300.16000000000003</v>
      </c>
      <c r="I137" s="197">
        <f t="shared" si="12"/>
        <v>105743.45999999999</v>
      </c>
      <c r="J137" s="148"/>
      <c r="K137" s="148"/>
    </row>
    <row r="138" spans="1:11" ht="11.25" customHeight="1" x14ac:dyDescent="0.25">
      <c r="A138" s="348">
        <v>2016</v>
      </c>
      <c r="B138" s="197" t="str">
        <f t="shared" ref="B138:I138" si="13">IF(AND(B91="-",B44="-"),"-",SUM(B91,B44))</f>
        <v>-</v>
      </c>
      <c r="C138" s="197" t="str">
        <f t="shared" si="13"/>
        <v>-</v>
      </c>
      <c r="D138" s="197" t="str">
        <f t="shared" si="13"/>
        <v>-</v>
      </c>
      <c r="E138" s="197">
        <f t="shared" si="13"/>
        <v>27378.379999999997</v>
      </c>
      <c r="F138" s="197">
        <f t="shared" si="13"/>
        <v>28390.250000000004</v>
      </c>
      <c r="G138" s="197" t="str">
        <f t="shared" si="13"/>
        <v>-</v>
      </c>
      <c r="H138" s="197" t="str">
        <f t="shared" si="13"/>
        <v>-</v>
      </c>
      <c r="I138" s="197">
        <f t="shared" si="13"/>
        <v>55768.63</v>
      </c>
      <c r="J138" s="148"/>
      <c r="K138" s="148"/>
    </row>
    <row r="139" spans="1:11" ht="11.25" customHeight="1" x14ac:dyDescent="0.25">
      <c r="A139" s="348">
        <v>2017</v>
      </c>
      <c r="B139" s="197" t="str">
        <f t="shared" ref="B139:I139" si="14">IF(AND(B92="-",B45="-"),"-",SUM(B92,B45))</f>
        <v>-</v>
      </c>
      <c r="C139" s="197" t="str">
        <f t="shared" si="14"/>
        <v>-</v>
      </c>
      <c r="D139" s="197">
        <f t="shared" si="14"/>
        <v>1443.64</v>
      </c>
      <c r="E139" s="197">
        <f t="shared" si="14"/>
        <v>32785.040000000001</v>
      </c>
      <c r="F139" s="197">
        <f t="shared" si="14"/>
        <v>34950.269999999997</v>
      </c>
      <c r="G139" s="197">
        <f t="shared" si="14"/>
        <v>841.76</v>
      </c>
      <c r="H139" s="197" t="str">
        <f t="shared" si="14"/>
        <v>-</v>
      </c>
      <c r="I139" s="197">
        <f t="shared" si="14"/>
        <v>70020.709999999992</v>
      </c>
      <c r="J139" s="148"/>
      <c r="K139" s="148"/>
    </row>
    <row r="140" spans="1:11" s="358" customFormat="1" ht="11.25" customHeight="1" x14ac:dyDescent="0.25">
      <c r="A140" s="348">
        <v>2018</v>
      </c>
      <c r="B140" s="197" t="str">
        <f t="shared" ref="B140:I140" si="15">IF(AND(B93="-",B46="-"),"-",SUM(B93,B46))</f>
        <v>-</v>
      </c>
      <c r="C140" s="197" t="str">
        <f t="shared" si="15"/>
        <v>-</v>
      </c>
      <c r="D140" s="197">
        <f t="shared" si="15"/>
        <v>2823.55</v>
      </c>
      <c r="E140" s="197">
        <f t="shared" si="15"/>
        <v>21345.309999999998</v>
      </c>
      <c r="F140" s="197">
        <f t="shared" si="15"/>
        <v>30327.200000000001</v>
      </c>
      <c r="G140" s="197">
        <f t="shared" si="15"/>
        <v>1171.08</v>
      </c>
      <c r="H140" s="197" t="str">
        <f t="shared" si="15"/>
        <v>-</v>
      </c>
      <c r="I140" s="197">
        <f t="shared" si="15"/>
        <v>55667.14</v>
      </c>
      <c r="J140" s="148"/>
      <c r="K140" s="148"/>
    </row>
    <row r="141" spans="1:11" s="358" customFormat="1" ht="11.25" customHeight="1" x14ac:dyDescent="0.25">
      <c r="A141" s="491">
        <v>2019</v>
      </c>
      <c r="B141" s="197" t="str">
        <f t="shared" ref="B141:I142" si="16">IF(AND(B94="-",B47="-"),"-",SUM(B94,B47))</f>
        <v>-</v>
      </c>
      <c r="C141" s="197" t="str">
        <f t="shared" si="16"/>
        <v>-</v>
      </c>
      <c r="D141" s="197">
        <f t="shared" si="16"/>
        <v>7984.6299999999992</v>
      </c>
      <c r="E141" s="197">
        <f t="shared" si="16"/>
        <v>31145.33</v>
      </c>
      <c r="F141" s="197">
        <f t="shared" si="16"/>
        <v>36810.590000000004</v>
      </c>
      <c r="G141" s="197">
        <f t="shared" si="16"/>
        <v>4181.43</v>
      </c>
      <c r="H141" s="197">
        <f t="shared" si="16"/>
        <v>239.57</v>
      </c>
      <c r="I141" s="197">
        <f t="shared" si="16"/>
        <v>80361.55</v>
      </c>
      <c r="J141" s="148"/>
      <c r="K141" s="148"/>
    </row>
    <row r="142" spans="1:11" ht="11.25" customHeight="1" x14ac:dyDescent="0.25">
      <c r="A142" s="490" t="s">
        <v>394</v>
      </c>
      <c r="B142" s="32" t="str">
        <f t="shared" si="16"/>
        <v>-</v>
      </c>
      <c r="C142" s="32" t="str">
        <f t="shared" si="16"/>
        <v>-</v>
      </c>
      <c r="D142" s="32">
        <f t="shared" si="16"/>
        <v>2691.92</v>
      </c>
      <c r="E142" s="32">
        <f t="shared" si="16"/>
        <v>24183.200000000001</v>
      </c>
      <c r="F142" s="32">
        <f t="shared" si="16"/>
        <v>7118.7699999999995</v>
      </c>
      <c r="G142" s="32">
        <f t="shared" si="16"/>
        <v>3340.91</v>
      </c>
      <c r="H142" s="32" t="str">
        <f t="shared" si="16"/>
        <v>-</v>
      </c>
      <c r="I142" s="32">
        <f t="shared" si="16"/>
        <v>37334.800000000003</v>
      </c>
      <c r="J142" s="22"/>
      <c r="K142" s="22"/>
    </row>
    <row r="143" spans="1:11" ht="11.25" customHeight="1" x14ac:dyDescent="0.25">
      <c r="A143" s="621" t="s">
        <v>98</v>
      </c>
      <c r="B143" s="621"/>
      <c r="C143" s="621"/>
      <c r="D143" s="621"/>
      <c r="E143" s="621"/>
      <c r="F143" s="621"/>
      <c r="G143" s="621"/>
      <c r="H143" s="621"/>
      <c r="I143" s="621"/>
    </row>
    <row r="144" spans="1:11" ht="11.25" customHeight="1" x14ac:dyDescent="0.25">
      <c r="A144" s="620"/>
      <c r="B144" s="620"/>
      <c r="C144" s="620"/>
      <c r="D144" s="620"/>
      <c r="E144" s="620"/>
      <c r="F144" s="620"/>
      <c r="G144" s="620"/>
      <c r="H144" s="620"/>
      <c r="I144" s="620"/>
    </row>
    <row r="145" spans="1:9" ht="11.25" customHeight="1" x14ac:dyDescent="0.25">
      <c r="A145" s="620" t="s">
        <v>4</v>
      </c>
      <c r="B145" s="620"/>
      <c r="C145" s="620"/>
      <c r="D145" s="620"/>
      <c r="E145" s="620"/>
      <c r="F145" s="620"/>
      <c r="G145" s="620"/>
      <c r="H145" s="620"/>
      <c r="I145" s="620"/>
    </row>
    <row r="146" spans="1:9" ht="11.25" customHeight="1" x14ac:dyDescent="0.25">
      <c r="A146" s="620" t="s">
        <v>136</v>
      </c>
      <c r="B146" s="620"/>
      <c r="C146" s="620"/>
      <c r="D146" s="620"/>
      <c r="E146" s="620"/>
      <c r="F146" s="620"/>
      <c r="G146" s="620"/>
      <c r="H146" s="620"/>
      <c r="I146" s="620"/>
    </row>
    <row r="147" spans="1:9" ht="11.25" customHeight="1" x14ac:dyDescent="0.25">
      <c r="A147" s="519" t="s">
        <v>46</v>
      </c>
      <c r="B147" s="519"/>
      <c r="C147" s="519"/>
      <c r="D147" s="519"/>
      <c r="E147" s="519"/>
      <c r="F147" s="519"/>
      <c r="G147" s="519"/>
      <c r="H147" s="519"/>
      <c r="I147" s="519"/>
    </row>
    <row r="148" spans="1:9" ht="11.25" customHeight="1" x14ac:dyDescent="0.25">
      <c r="A148" s="372"/>
      <c r="B148" s="62"/>
      <c r="C148" s="62"/>
      <c r="D148" s="62"/>
      <c r="E148" s="62"/>
      <c r="F148" s="62"/>
      <c r="G148" s="62"/>
      <c r="H148" s="62"/>
      <c r="I148" s="62"/>
    </row>
    <row r="149" spans="1:9" ht="11.25" customHeight="1" x14ac:dyDescent="0.25">
      <c r="A149" s="372"/>
      <c r="B149" s="62"/>
      <c r="C149" s="62"/>
      <c r="D149" s="62"/>
      <c r="E149" s="62"/>
      <c r="F149" s="62"/>
      <c r="G149" s="62"/>
      <c r="H149" s="62"/>
      <c r="I149" s="62"/>
    </row>
    <row r="150" spans="1:9" ht="11.25" customHeight="1" x14ac:dyDescent="0.25"/>
    <row r="151" spans="1:9" ht="11.25" customHeight="1" x14ac:dyDescent="0.25"/>
    <row r="152" spans="1:9" ht="11.25" customHeight="1" x14ac:dyDescent="0.25"/>
    <row r="153" spans="1:9" ht="11.25" customHeight="1" x14ac:dyDescent="0.25"/>
    <row r="154" spans="1:9" ht="11.25" customHeight="1" x14ac:dyDescent="0.25"/>
    <row r="155" spans="1:9" ht="11.25" customHeight="1" x14ac:dyDescent="0.25"/>
    <row r="156" spans="1:9" ht="11.25" customHeight="1" x14ac:dyDescent="0.25"/>
    <row r="157" spans="1:9" ht="11.25" customHeight="1" x14ac:dyDescent="0.25"/>
    <row r="158" spans="1:9" ht="11.25" customHeight="1" x14ac:dyDescent="0.25"/>
    <row r="159" spans="1:9" ht="11.25" customHeight="1" x14ac:dyDescent="0.25">
      <c r="A159" s="240"/>
      <c r="B159" s="242"/>
      <c r="C159" s="242"/>
      <c r="D159" s="242"/>
      <c r="E159" s="242"/>
      <c r="F159" s="242"/>
      <c r="G159" s="242"/>
      <c r="H159" s="242"/>
      <c r="I159" s="242"/>
    </row>
    <row r="160" spans="1:9" ht="11.25" customHeight="1" x14ac:dyDescent="0.25"/>
    <row r="161" spans="1:9" ht="11.25" customHeight="1" x14ac:dyDescent="0.25"/>
    <row r="162" spans="1:9" ht="11.25" customHeight="1" x14ac:dyDescent="0.25">
      <c r="A162" s="572" t="s">
        <v>350</v>
      </c>
      <c r="B162" s="572"/>
      <c r="C162" s="572"/>
      <c r="D162" s="572"/>
      <c r="E162" s="572"/>
      <c r="F162" s="572"/>
      <c r="G162" s="572"/>
      <c r="H162" s="572"/>
      <c r="I162" s="572"/>
    </row>
    <row r="163" spans="1:9" ht="11.25" customHeight="1" x14ac:dyDescent="0.25">
      <c r="A163" s="121" t="s">
        <v>33</v>
      </c>
      <c r="B163" s="369" t="s">
        <v>34</v>
      </c>
      <c r="C163" s="369" t="s">
        <v>35</v>
      </c>
      <c r="D163" s="369" t="s">
        <v>36</v>
      </c>
      <c r="E163" s="369" t="s">
        <v>37</v>
      </c>
      <c r="F163" s="369" t="s">
        <v>38</v>
      </c>
      <c r="G163" s="369" t="s">
        <v>39</v>
      </c>
      <c r="H163" s="369" t="s">
        <v>40</v>
      </c>
      <c r="I163" s="174" t="s">
        <v>295</v>
      </c>
    </row>
    <row r="164" spans="1:9" x14ac:dyDescent="0.25">
      <c r="A164" s="126" t="s">
        <v>315</v>
      </c>
      <c r="B164" s="396"/>
      <c r="C164" s="396"/>
      <c r="D164" s="197"/>
      <c r="E164" s="197"/>
      <c r="F164" s="197"/>
      <c r="G164" s="197"/>
      <c r="H164" s="197"/>
      <c r="I164" s="197"/>
    </row>
    <row r="165" spans="1:9" ht="11.25" customHeight="1" x14ac:dyDescent="0.25">
      <c r="A165" s="348" t="s">
        <v>30</v>
      </c>
      <c r="B165" s="197">
        <f t="shared" ref="B165:I165" si="17">AVERAGE(B9:B13)</f>
        <v>80.2</v>
      </c>
      <c r="C165" s="197">
        <f t="shared" si="17"/>
        <v>3330.6</v>
      </c>
      <c r="D165" s="197">
        <f t="shared" si="17"/>
        <v>16943</v>
      </c>
      <c r="E165" s="197">
        <f t="shared" si="17"/>
        <v>44628.6</v>
      </c>
      <c r="F165" s="197">
        <f t="shared" si="17"/>
        <v>38937.599999999999</v>
      </c>
      <c r="G165" s="197">
        <f t="shared" si="17"/>
        <v>5555.4</v>
      </c>
      <c r="H165" s="197">
        <f>AVERAGE(H9:H13)</f>
        <v>195.66666666666666</v>
      </c>
      <c r="I165" s="197">
        <f t="shared" si="17"/>
        <v>109592.8</v>
      </c>
    </row>
    <row r="166" spans="1:9" ht="11.25" customHeight="1" x14ac:dyDescent="0.25">
      <c r="A166" s="348" t="s">
        <v>87</v>
      </c>
      <c r="B166" s="197" t="s">
        <v>29</v>
      </c>
      <c r="C166" s="197">
        <f t="shared" ref="C166:I166" si="18">AVERAGE(C14:C18)</f>
        <v>1189.5</v>
      </c>
      <c r="D166" s="197">
        <f t="shared" si="18"/>
        <v>4198.75</v>
      </c>
      <c r="E166" s="197">
        <f t="shared" si="18"/>
        <v>45976.6</v>
      </c>
      <c r="F166" s="197">
        <f t="shared" si="18"/>
        <v>23931.4</v>
      </c>
      <c r="G166" s="197">
        <f t="shared" si="18"/>
        <v>4377.2</v>
      </c>
      <c r="H166" s="197">
        <f>AVERAGE(H14:H18)</f>
        <v>40</v>
      </c>
      <c r="I166" s="197">
        <f t="shared" si="18"/>
        <v>78144</v>
      </c>
    </row>
    <row r="167" spans="1:9" ht="11.25" customHeight="1" x14ac:dyDescent="0.25">
      <c r="A167" s="348" t="s">
        <v>14</v>
      </c>
      <c r="B167" s="197" t="s">
        <v>29</v>
      </c>
      <c r="C167" s="197">
        <f>AVERAGE(C19:C23)</f>
        <v>1258</v>
      </c>
      <c r="D167" s="197">
        <f t="shared" ref="D167:I167" si="19">AVERAGE(D19:D23)</f>
        <v>4959</v>
      </c>
      <c r="E167" s="197">
        <f t="shared" si="19"/>
        <v>31219</v>
      </c>
      <c r="F167" s="197">
        <f t="shared" si="19"/>
        <v>25149.25</v>
      </c>
      <c r="G167" s="197">
        <f t="shared" si="19"/>
        <v>9425.25</v>
      </c>
      <c r="H167" s="197">
        <f t="shared" si="19"/>
        <v>714</v>
      </c>
      <c r="I167" s="197">
        <f t="shared" si="19"/>
        <v>67840.75</v>
      </c>
    </row>
    <row r="168" spans="1:9" ht="11.25" customHeight="1" x14ac:dyDescent="0.25">
      <c r="A168" s="348" t="s">
        <v>207</v>
      </c>
      <c r="B168" s="197" t="s">
        <v>29</v>
      </c>
      <c r="C168" s="197" t="s">
        <v>29</v>
      </c>
      <c r="D168" s="197" t="s">
        <v>29</v>
      </c>
      <c r="E168" s="197">
        <f>AVERAGE(E24:E28)</f>
        <v>10920.75</v>
      </c>
      <c r="F168" s="197">
        <f>AVERAGE(F24:F28)</f>
        <v>14365.8</v>
      </c>
      <c r="G168" s="197">
        <f>AVERAGE(G24:G28)</f>
        <v>2674</v>
      </c>
      <c r="H168" s="197" t="s">
        <v>29</v>
      </c>
      <c r="I168" s="197">
        <f>AVERAGE(I24:I28)</f>
        <v>25776.400000000001</v>
      </c>
    </row>
    <row r="169" spans="1:9" ht="11.25" customHeight="1" x14ac:dyDescent="0.25">
      <c r="A169" s="348" t="s">
        <v>238</v>
      </c>
      <c r="B169" s="197" t="str">
        <f>B29</f>
        <v>-</v>
      </c>
      <c r="C169" s="197">
        <f t="shared" ref="C169:I169" si="20">AVERAGE(C29:C33)</f>
        <v>2496</v>
      </c>
      <c r="D169" s="197">
        <f t="shared" si="20"/>
        <v>5659.75</v>
      </c>
      <c r="E169" s="197">
        <f t="shared" si="20"/>
        <v>29923.748983101348</v>
      </c>
      <c r="F169" s="197">
        <f t="shared" si="20"/>
        <v>24053.707362875404</v>
      </c>
      <c r="G169" s="197">
        <f t="shared" si="20"/>
        <v>6828.0390199878557</v>
      </c>
      <c r="H169" s="197">
        <f t="shared" si="20"/>
        <v>132</v>
      </c>
      <c r="I169" s="197">
        <f t="shared" si="20"/>
        <v>65964.495365964613</v>
      </c>
    </row>
    <row r="170" spans="1:9" ht="11.25" customHeight="1" x14ac:dyDescent="0.25">
      <c r="A170" s="348">
        <v>2006</v>
      </c>
      <c r="B170" s="197" t="str">
        <f t="shared" ref="B170:I170" si="21">B34</f>
        <v>-</v>
      </c>
      <c r="C170" s="197" t="str">
        <f t="shared" si="21"/>
        <v>-</v>
      </c>
      <c r="D170" s="197">
        <f t="shared" si="21"/>
        <v>1118.93</v>
      </c>
      <c r="E170" s="197">
        <f t="shared" si="21"/>
        <v>16486.240000000002</v>
      </c>
      <c r="F170" s="197">
        <f t="shared" si="21"/>
        <v>20678.71</v>
      </c>
      <c r="G170" s="197">
        <f t="shared" si="21"/>
        <v>3551.2</v>
      </c>
      <c r="H170" s="197">
        <f>H34</f>
        <v>258.35000000000002</v>
      </c>
      <c r="I170" s="197">
        <f t="shared" si="21"/>
        <v>42093.430000000008</v>
      </c>
    </row>
    <row r="171" spans="1:9" ht="11.25" customHeight="1" x14ac:dyDescent="0.25">
      <c r="A171" s="348">
        <v>2007</v>
      </c>
      <c r="B171" s="197" t="str">
        <f t="shared" ref="B171:I171" si="22">B35</f>
        <v>-</v>
      </c>
      <c r="C171" s="197" t="str">
        <f t="shared" si="22"/>
        <v>-</v>
      </c>
      <c r="D171" s="197" t="str">
        <f t="shared" si="22"/>
        <v>-</v>
      </c>
      <c r="E171" s="197">
        <f t="shared" si="22"/>
        <v>17481.84</v>
      </c>
      <c r="F171" s="197">
        <f t="shared" si="22"/>
        <v>21514.170000000002</v>
      </c>
      <c r="G171" s="197">
        <f t="shared" si="22"/>
        <v>3555.27</v>
      </c>
      <c r="H171" s="197">
        <f t="shared" si="22"/>
        <v>0</v>
      </c>
      <c r="I171" s="197">
        <f t="shared" si="22"/>
        <v>42551.28</v>
      </c>
    </row>
    <row r="172" spans="1:9" ht="11.25" customHeight="1" x14ac:dyDescent="0.25">
      <c r="A172" s="348">
        <v>2008</v>
      </c>
      <c r="B172" s="197" t="str">
        <f t="shared" ref="B172:I172" si="23">B36</f>
        <v>-</v>
      </c>
      <c r="C172" s="197" t="str">
        <f t="shared" si="23"/>
        <v>-</v>
      </c>
      <c r="D172" s="197">
        <f t="shared" si="23"/>
        <v>4007.3399999999997</v>
      </c>
      <c r="E172" s="197">
        <f t="shared" si="23"/>
        <v>11391.77</v>
      </c>
      <c r="F172" s="197">
        <f t="shared" si="23"/>
        <v>9170.59</v>
      </c>
      <c r="G172" s="197">
        <f t="shared" si="23"/>
        <v>2563.7800000000002</v>
      </c>
      <c r="H172" s="197">
        <f t="shared" si="23"/>
        <v>37.5</v>
      </c>
      <c r="I172" s="197">
        <f t="shared" si="23"/>
        <v>27170.979999999996</v>
      </c>
    </row>
    <row r="173" spans="1:9" ht="11.25" customHeight="1" x14ac:dyDescent="0.25">
      <c r="A173" s="348">
        <v>2009</v>
      </c>
      <c r="B173" s="197" t="str">
        <f t="shared" ref="B173:I173" si="24">B37</f>
        <v>-</v>
      </c>
      <c r="C173" s="197" t="str">
        <f t="shared" si="24"/>
        <v>-</v>
      </c>
      <c r="D173" s="197">
        <f t="shared" si="24"/>
        <v>1104.29</v>
      </c>
      <c r="E173" s="197">
        <f t="shared" si="24"/>
        <v>18115.16</v>
      </c>
      <c r="F173" s="197">
        <f t="shared" si="24"/>
        <v>32545.57</v>
      </c>
      <c r="G173" s="197">
        <f t="shared" si="24"/>
        <v>7402.0300000000007</v>
      </c>
      <c r="H173" s="197">
        <f t="shared" si="24"/>
        <v>212.42</v>
      </c>
      <c r="I173" s="197">
        <f t="shared" si="24"/>
        <v>59379.47</v>
      </c>
    </row>
    <row r="174" spans="1:9" ht="11.25" customHeight="1" x14ac:dyDescent="0.25">
      <c r="A174" s="348">
        <v>2010</v>
      </c>
      <c r="B174" s="197" t="str">
        <f t="shared" ref="B174:I174" si="25">B38</f>
        <v>-</v>
      </c>
      <c r="C174" s="197" t="str">
        <f t="shared" si="25"/>
        <v>-</v>
      </c>
      <c r="D174" s="197">
        <f t="shared" si="25"/>
        <v>9451.1299999999992</v>
      </c>
      <c r="E174" s="197">
        <f t="shared" si="25"/>
        <v>18380.2</v>
      </c>
      <c r="F174" s="197">
        <f t="shared" si="25"/>
        <v>19546.45</v>
      </c>
      <c r="G174" s="197">
        <f t="shared" si="25"/>
        <v>6281.6</v>
      </c>
      <c r="H174" s="197">
        <f t="shared" si="25"/>
        <v>153.97</v>
      </c>
      <c r="I174" s="197">
        <f t="shared" si="25"/>
        <v>53813.350000000006</v>
      </c>
    </row>
    <row r="175" spans="1:9" ht="11.25" customHeight="1" x14ac:dyDescent="0.25">
      <c r="A175" s="348">
        <v>2011</v>
      </c>
      <c r="B175" s="197" t="str">
        <f t="shared" ref="B175:I175" si="26">B39</f>
        <v>-</v>
      </c>
      <c r="C175" s="197" t="str">
        <f t="shared" si="26"/>
        <v>-</v>
      </c>
      <c r="D175" s="197">
        <f t="shared" si="26"/>
        <v>5536.83</v>
      </c>
      <c r="E175" s="197">
        <f t="shared" si="26"/>
        <v>17334.349999999999</v>
      </c>
      <c r="F175" s="197">
        <f t="shared" si="26"/>
        <v>21178.25</v>
      </c>
      <c r="G175" s="197">
        <f t="shared" si="26"/>
        <v>4786.58</v>
      </c>
      <c r="H175" s="197">
        <f t="shared" si="26"/>
        <v>16.05</v>
      </c>
      <c r="I175" s="197">
        <f t="shared" si="26"/>
        <v>48852.06</v>
      </c>
    </row>
    <row r="176" spans="1:9" ht="11.25" customHeight="1" x14ac:dyDescent="0.25">
      <c r="A176" s="348">
        <v>2012</v>
      </c>
      <c r="B176" s="197" t="str">
        <f t="shared" ref="B176:I176" si="27">B40</f>
        <v>-</v>
      </c>
      <c r="C176" s="197" t="str">
        <f t="shared" si="27"/>
        <v>-</v>
      </c>
      <c r="D176" s="197">
        <f>D40</f>
        <v>9627.2200000000012</v>
      </c>
      <c r="E176" s="197">
        <f t="shared" si="27"/>
        <v>17412.53</v>
      </c>
      <c r="F176" s="197">
        <f t="shared" si="27"/>
        <v>19168.04</v>
      </c>
      <c r="G176" s="197">
        <f t="shared" si="27"/>
        <v>8128.11</v>
      </c>
      <c r="H176" s="197">
        <f t="shared" si="27"/>
        <v>353.11</v>
      </c>
      <c r="I176" s="197">
        <f t="shared" si="27"/>
        <v>54689.010000000009</v>
      </c>
    </row>
    <row r="177" spans="1:9" ht="11.25" customHeight="1" x14ac:dyDescent="0.25">
      <c r="A177" s="348">
        <v>2013</v>
      </c>
      <c r="B177" s="197" t="str">
        <f t="shared" ref="B177:I177" si="28">B41</f>
        <v>-</v>
      </c>
      <c r="C177" s="197">
        <f t="shared" si="28"/>
        <v>950.86</v>
      </c>
      <c r="D177" s="197">
        <f t="shared" si="28"/>
        <v>8973.08</v>
      </c>
      <c r="E177" s="197">
        <f t="shared" si="28"/>
        <v>16010.42</v>
      </c>
      <c r="F177" s="197">
        <f t="shared" si="28"/>
        <v>23946.48</v>
      </c>
      <c r="G177" s="197">
        <f t="shared" si="28"/>
        <v>5399.54</v>
      </c>
      <c r="H177" s="197">
        <f t="shared" si="28"/>
        <v>237.41</v>
      </c>
      <c r="I177" s="197">
        <f t="shared" si="28"/>
        <v>55517.79</v>
      </c>
    </row>
    <row r="178" spans="1:9" ht="11.25" customHeight="1" x14ac:dyDescent="0.25">
      <c r="A178" s="348">
        <v>2014</v>
      </c>
      <c r="B178" s="197" t="str">
        <f t="shared" ref="B178:I178" si="29">B42</f>
        <v>-</v>
      </c>
      <c r="C178" s="197">
        <f t="shared" si="29"/>
        <v>1642.56</v>
      </c>
      <c r="D178" s="197">
        <f t="shared" si="29"/>
        <v>10330.92</v>
      </c>
      <c r="E178" s="197">
        <f t="shared" si="29"/>
        <v>28528.67</v>
      </c>
      <c r="F178" s="197">
        <f t="shared" si="29"/>
        <v>24392.71</v>
      </c>
      <c r="G178" s="197">
        <f t="shared" si="29"/>
        <v>10089.450000000001</v>
      </c>
      <c r="H178" s="197">
        <f t="shared" si="29"/>
        <v>364.82</v>
      </c>
      <c r="I178" s="197">
        <f t="shared" si="29"/>
        <v>75349.13</v>
      </c>
    </row>
    <row r="179" spans="1:9" ht="11.25" customHeight="1" x14ac:dyDescent="0.25">
      <c r="A179" s="348">
        <v>2015</v>
      </c>
      <c r="B179" s="197" t="str">
        <f t="shared" ref="B179:I179" si="30">B43</f>
        <v>-</v>
      </c>
      <c r="C179" s="197">
        <f t="shared" si="30"/>
        <v>1440.92</v>
      </c>
      <c r="D179" s="197">
        <f t="shared" si="30"/>
        <v>8973.7900000000009</v>
      </c>
      <c r="E179" s="197">
        <f t="shared" si="30"/>
        <v>28778.77</v>
      </c>
      <c r="F179" s="197">
        <f t="shared" si="30"/>
        <v>15565.84</v>
      </c>
      <c r="G179" s="197">
        <f t="shared" si="30"/>
        <v>8665.7200000000012</v>
      </c>
      <c r="H179" s="197">
        <f t="shared" si="30"/>
        <v>300.16000000000003</v>
      </c>
      <c r="I179" s="197">
        <f t="shared" si="30"/>
        <v>63725.200000000004</v>
      </c>
    </row>
    <row r="180" spans="1:9" ht="11.25" customHeight="1" x14ac:dyDescent="0.25">
      <c r="A180" s="348">
        <v>2016</v>
      </c>
      <c r="B180" s="197" t="str">
        <f t="shared" ref="B180:I180" si="31">B44</f>
        <v>-</v>
      </c>
      <c r="C180" s="197" t="str">
        <f t="shared" si="31"/>
        <v>-</v>
      </c>
      <c r="D180" s="197" t="str">
        <f t="shared" si="31"/>
        <v>-</v>
      </c>
      <c r="E180" s="197">
        <f t="shared" si="31"/>
        <v>17792.21</v>
      </c>
      <c r="F180" s="197">
        <f t="shared" si="31"/>
        <v>9390.9200000000019</v>
      </c>
      <c r="G180" s="197" t="str">
        <f t="shared" si="31"/>
        <v>-</v>
      </c>
      <c r="H180" s="197" t="str">
        <f t="shared" si="31"/>
        <v>-</v>
      </c>
      <c r="I180" s="197">
        <f t="shared" si="31"/>
        <v>27183.129999999997</v>
      </c>
    </row>
    <row r="181" spans="1:9" ht="11.25" customHeight="1" x14ac:dyDescent="0.25">
      <c r="A181" s="348">
        <v>2017</v>
      </c>
      <c r="B181" s="197" t="str">
        <f t="shared" ref="B181:I181" si="32">B45</f>
        <v>-</v>
      </c>
      <c r="C181" s="197" t="str">
        <f t="shared" si="32"/>
        <v>-</v>
      </c>
      <c r="D181" s="197">
        <f t="shared" si="32"/>
        <v>468.16</v>
      </c>
      <c r="E181" s="197">
        <f t="shared" si="32"/>
        <v>21555.81</v>
      </c>
      <c r="F181" s="197">
        <f t="shared" si="32"/>
        <v>15822.17</v>
      </c>
      <c r="G181" s="197">
        <f t="shared" si="32"/>
        <v>841.76</v>
      </c>
      <c r="H181" s="197" t="str">
        <f t="shared" si="32"/>
        <v>-</v>
      </c>
      <c r="I181" s="197">
        <f t="shared" si="32"/>
        <v>38687.9</v>
      </c>
    </row>
    <row r="182" spans="1:9" s="358" customFormat="1" ht="11.25" customHeight="1" x14ac:dyDescent="0.25">
      <c r="A182" s="348">
        <v>2018</v>
      </c>
      <c r="B182" s="197" t="str">
        <f t="shared" ref="B182:I182" si="33">B46</f>
        <v>-</v>
      </c>
      <c r="C182" s="197" t="str">
        <f t="shared" si="33"/>
        <v>-</v>
      </c>
      <c r="D182" s="197">
        <f t="shared" si="33"/>
        <v>1249</v>
      </c>
      <c r="E182" s="197">
        <f t="shared" si="33"/>
        <v>14407.939999999999</v>
      </c>
      <c r="F182" s="197">
        <f t="shared" si="33"/>
        <v>17016.7</v>
      </c>
      <c r="G182" s="197">
        <f t="shared" si="33"/>
        <v>410.35</v>
      </c>
      <c r="H182" s="197" t="str">
        <f t="shared" si="33"/>
        <v>-</v>
      </c>
      <c r="I182" s="197">
        <f t="shared" si="33"/>
        <v>33083.99</v>
      </c>
    </row>
    <row r="183" spans="1:9" s="358" customFormat="1" ht="11.25" customHeight="1" x14ac:dyDescent="0.25">
      <c r="A183" s="491">
        <v>2019</v>
      </c>
      <c r="B183" s="197" t="str">
        <f t="shared" ref="B183:I184" si="34">B47</f>
        <v>-</v>
      </c>
      <c r="C183" s="197" t="str">
        <f t="shared" si="34"/>
        <v>-</v>
      </c>
      <c r="D183" s="197">
        <f t="shared" si="34"/>
        <v>4254.4799999999996</v>
      </c>
      <c r="E183" s="197">
        <f t="shared" si="34"/>
        <v>15503.29</v>
      </c>
      <c r="F183" s="197">
        <f t="shared" si="34"/>
        <v>13278.720000000001</v>
      </c>
      <c r="G183" s="197">
        <f t="shared" si="34"/>
        <v>2481.61</v>
      </c>
      <c r="H183" s="197">
        <f t="shared" si="34"/>
        <v>239.57</v>
      </c>
      <c r="I183" s="197">
        <f t="shared" si="34"/>
        <v>35757.67</v>
      </c>
    </row>
    <row r="184" spans="1:9" ht="11.25" customHeight="1" x14ac:dyDescent="0.25">
      <c r="A184" s="490" t="s">
        <v>394</v>
      </c>
      <c r="B184" s="197" t="str">
        <f t="shared" si="34"/>
        <v>-</v>
      </c>
      <c r="C184" s="197" t="str">
        <f t="shared" si="34"/>
        <v>-</v>
      </c>
      <c r="D184" s="197">
        <f t="shared" si="34"/>
        <v>1998.94</v>
      </c>
      <c r="E184" s="197">
        <f t="shared" si="34"/>
        <v>12653.66</v>
      </c>
      <c r="F184" s="197">
        <f t="shared" si="34"/>
        <v>7118.7699999999995</v>
      </c>
      <c r="G184" s="197">
        <f t="shared" si="34"/>
        <v>3340.91</v>
      </c>
      <c r="H184" s="197" t="str">
        <f t="shared" si="34"/>
        <v>-</v>
      </c>
      <c r="I184" s="197">
        <f t="shared" si="34"/>
        <v>25112.28</v>
      </c>
    </row>
    <row r="185" spans="1:9" ht="11.25" customHeight="1" x14ac:dyDescent="0.25">
      <c r="A185" s="348"/>
      <c r="B185" s="197"/>
      <c r="C185" s="197"/>
      <c r="D185" s="197"/>
      <c r="E185" s="197"/>
      <c r="F185" s="197"/>
      <c r="G185" s="197"/>
      <c r="H185" s="197"/>
      <c r="I185" s="197"/>
    </row>
    <row r="186" spans="1:9" ht="11.25" customHeight="1" x14ac:dyDescent="0.25">
      <c r="A186" s="159" t="s">
        <v>109</v>
      </c>
      <c r="B186" s="197"/>
      <c r="C186" s="197"/>
      <c r="D186" s="197"/>
      <c r="E186" s="197"/>
      <c r="F186" s="197"/>
      <c r="G186" s="197"/>
      <c r="H186" s="197"/>
      <c r="I186" s="197"/>
    </row>
    <row r="187" spans="1:9" ht="11.25" customHeight="1" x14ac:dyDescent="0.25">
      <c r="A187" s="348" t="s">
        <v>30</v>
      </c>
      <c r="B187" s="197" t="s">
        <v>29</v>
      </c>
      <c r="C187" s="197">
        <f t="shared" ref="C187:I187" si="35">AVERAGE(C56:C60)</f>
        <v>1165.25</v>
      </c>
      <c r="D187" s="197">
        <f t="shared" si="35"/>
        <v>10828.25</v>
      </c>
      <c r="E187" s="197">
        <f t="shared" si="35"/>
        <v>35085.199999999997</v>
      </c>
      <c r="F187" s="197">
        <f t="shared" si="35"/>
        <v>31280.6</v>
      </c>
      <c r="G187" s="197">
        <f t="shared" si="35"/>
        <v>4834.75</v>
      </c>
      <c r="H187" s="197">
        <f>AVERAGE(H56:H60)</f>
        <v>721</v>
      </c>
      <c r="I187" s="197">
        <f t="shared" si="35"/>
        <v>79972.600000000006</v>
      </c>
    </row>
    <row r="188" spans="1:9" ht="11.25" customHeight="1" x14ac:dyDescent="0.25">
      <c r="A188" s="348" t="s">
        <v>87</v>
      </c>
      <c r="B188" s="197" t="s">
        <v>29</v>
      </c>
      <c r="C188" s="197">
        <f t="shared" ref="C188:I188" si="36">AVERAGE(C61:C65)</f>
        <v>444</v>
      </c>
      <c r="D188" s="197">
        <f t="shared" si="36"/>
        <v>2751</v>
      </c>
      <c r="E188" s="197">
        <f t="shared" si="36"/>
        <v>28623.8</v>
      </c>
      <c r="F188" s="197">
        <f t="shared" si="36"/>
        <v>27097.599999999999</v>
      </c>
      <c r="G188" s="197">
        <f t="shared" si="36"/>
        <v>2493</v>
      </c>
      <c r="H188" s="197" t="s">
        <v>29</v>
      </c>
      <c r="I188" s="197">
        <f t="shared" si="36"/>
        <v>59008.2</v>
      </c>
    </row>
    <row r="189" spans="1:9" ht="11.25" customHeight="1" x14ac:dyDescent="0.25">
      <c r="A189" s="348" t="s">
        <v>14</v>
      </c>
      <c r="B189" s="197" t="s">
        <v>29</v>
      </c>
      <c r="C189" s="197" t="s">
        <v>29</v>
      </c>
      <c r="D189" s="197">
        <f t="shared" ref="D189:I189" si="37">AVERAGE(D66:D70)</f>
        <v>2408</v>
      </c>
      <c r="E189" s="197">
        <f t="shared" si="37"/>
        <v>23780.75</v>
      </c>
      <c r="F189" s="197">
        <f t="shared" si="37"/>
        <v>18461</v>
      </c>
      <c r="G189" s="197">
        <f t="shared" si="37"/>
        <v>9495.25</v>
      </c>
      <c r="H189" s="197" t="s">
        <v>29</v>
      </c>
      <c r="I189" s="197">
        <f t="shared" si="37"/>
        <v>52941</v>
      </c>
    </row>
    <row r="190" spans="1:9" ht="11.25" customHeight="1" x14ac:dyDescent="0.25">
      <c r="A190" s="348" t="s">
        <v>207</v>
      </c>
      <c r="B190" s="197" t="s">
        <v>29</v>
      </c>
      <c r="C190" s="197" t="s">
        <v>29</v>
      </c>
      <c r="D190" s="197" t="s">
        <v>29</v>
      </c>
      <c r="E190" s="197">
        <f>AVERAGE(E71:E75)</f>
        <v>7231.25</v>
      </c>
      <c r="F190" s="197">
        <f>AVERAGE(F71:F75)</f>
        <v>9949.6</v>
      </c>
      <c r="G190" s="197">
        <f>AVERAGE(G71:G75)</f>
        <v>3983.3333333333335</v>
      </c>
      <c r="H190" s="197" t="s">
        <v>29</v>
      </c>
      <c r="I190" s="197">
        <f>AVERAGE(I71:I75)</f>
        <v>18124.599999999999</v>
      </c>
    </row>
    <row r="191" spans="1:9" ht="11.25" customHeight="1" x14ac:dyDescent="0.25">
      <c r="A191" s="348" t="s">
        <v>238</v>
      </c>
      <c r="B191" s="197" t="str">
        <f>B76</f>
        <v>-</v>
      </c>
      <c r="C191" s="197">
        <f t="shared" ref="C191:I191" si="38">AVERAGE(C76:C80)</f>
        <v>370</v>
      </c>
      <c r="D191" s="197">
        <f t="shared" si="38"/>
        <v>1040.3333333333333</v>
      </c>
      <c r="E191" s="197">
        <f t="shared" si="38"/>
        <v>17361</v>
      </c>
      <c r="F191" s="197">
        <f t="shared" si="38"/>
        <v>33382.6</v>
      </c>
      <c r="G191" s="197">
        <f t="shared" si="38"/>
        <v>9814.2000000000007</v>
      </c>
      <c r="H191" s="197">
        <f t="shared" si="38"/>
        <v>6</v>
      </c>
      <c r="I191" s="197">
        <f t="shared" si="38"/>
        <v>61257.2</v>
      </c>
    </row>
    <row r="192" spans="1:9" ht="11.25" customHeight="1" x14ac:dyDescent="0.25">
      <c r="A192" s="348">
        <v>2006</v>
      </c>
      <c r="B192" s="197" t="str">
        <f t="shared" ref="B192:G192" si="39">B81</f>
        <v>-</v>
      </c>
      <c r="C192" s="197" t="str">
        <f t="shared" si="39"/>
        <v>-</v>
      </c>
      <c r="D192" s="197" t="str">
        <f t="shared" si="39"/>
        <v>-</v>
      </c>
      <c r="E192" s="197">
        <f t="shared" si="39"/>
        <v>7450.97</v>
      </c>
      <c r="F192" s="197">
        <f t="shared" si="39"/>
        <v>21248.84</v>
      </c>
      <c r="G192" s="197">
        <f t="shared" si="39"/>
        <v>2711.75</v>
      </c>
      <c r="H192" s="197" t="str">
        <f>H81</f>
        <v>-</v>
      </c>
      <c r="I192" s="197">
        <f>I81</f>
        <v>31411.56</v>
      </c>
    </row>
    <row r="193" spans="1:9" ht="11.25" customHeight="1" x14ac:dyDescent="0.25">
      <c r="A193" s="348">
        <v>2007</v>
      </c>
      <c r="B193" s="197" t="str">
        <f t="shared" ref="B193:I193" si="40">B82</f>
        <v>-</v>
      </c>
      <c r="C193" s="197" t="str">
        <f t="shared" si="40"/>
        <v>-</v>
      </c>
      <c r="D193" s="197" t="str">
        <f t="shared" si="40"/>
        <v>-</v>
      </c>
      <c r="E193" s="197">
        <f t="shared" si="40"/>
        <v>10033.66</v>
      </c>
      <c r="F193" s="197">
        <f t="shared" si="40"/>
        <v>29199.48</v>
      </c>
      <c r="G193" s="197">
        <f t="shared" si="40"/>
        <v>3284.49</v>
      </c>
      <c r="H193" s="197" t="str">
        <f t="shared" si="40"/>
        <v>-</v>
      </c>
      <c r="I193" s="197">
        <f t="shared" si="40"/>
        <v>42517.63</v>
      </c>
    </row>
    <row r="194" spans="1:9" ht="11.25" customHeight="1" x14ac:dyDescent="0.25">
      <c r="A194" s="348">
        <v>2008</v>
      </c>
      <c r="B194" s="197" t="str">
        <f t="shared" ref="B194:I194" si="41">B83</f>
        <v>-</v>
      </c>
      <c r="C194" s="197">
        <f t="shared" si="41"/>
        <v>66</v>
      </c>
      <c r="D194" s="197">
        <f t="shared" si="41"/>
        <v>1275.02</v>
      </c>
      <c r="E194" s="197">
        <f t="shared" si="41"/>
        <v>6381.17</v>
      </c>
      <c r="F194" s="197">
        <f t="shared" si="41"/>
        <v>6371.06</v>
      </c>
      <c r="G194" s="197" t="str">
        <f t="shared" si="41"/>
        <v>-</v>
      </c>
      <c r="H194" s="197" t="str">
        <f t="shared" si="41"/>
        <v>-</v>
      </c>
      <c r="I194" s="197">
        <f t="shared" si="41"/>
        <v>14093.25</v>
      </c>
    </row>
    <row r="195" spans="1:9" ht="11.25" customHeight="1" x14ac:dyDescent="0.25">
      <c r="A195" s="348">
        <v>2009</v>
      </c>
      <c r="B195" s="197" t="str">
        <f t="shared" ref="B195:I195" si="42">B84</f>
        <v>-</v>
      </c>
      <c r="C195" s="197" t="str">
        <f t="shared" si="42"/>
        <v>-</v>
      </c>
      <c r="D195" s="197">
        <f t="shared" si="42"/>
        <v>277.89999999999998</v>
      </c>
      <c r="E195" s="197">
        <f t="shared" si="42"/>
        <v>15968.84</v>
      </c>
      <c r="F195" s="197">
        <f t="shared" si="42"/>
        <v>36343.919999999998</v>
      </c>
      <c r="G195" s="197">
        <f t="shared" si="42"/>
        <v>1839.92</v>
      </c>
      <c r="H195" s="197" t="str">
        <f t="shared" si="42"/>
        <v>-</v>
      </c>
      <c r="I195" s="197">
        <f t="shared" si="42"/>
        <v>54430.579999999994</v>
      </c>
    </row>
    <row r="196" spans="1:9" ht="11.25" customHeight="1" x14ac:dyDescent="0.25">
      <c r="A196" s="348">
        <v>2010</v>
      </c>
      <c r="B196" s="197" t="str">
        <f t="shared" ref="B196:I196" si="43">B85</f>
        <v>-</v>
      </c>
      <c r="C196" s="197" t="str">
        <f t="shared" si="43"/>
        <v>-</v>
      </c>
      <c r="D196" s="197">
        <f t="shared" si="43"/>
        <v>862.7299999999999</v>
      </c>
      <c r="E196" s="197">
        <f t="shared" si="43"/>
        <v>9376.41</v>
      </c>
      <c r="F196" s="197">
        <f t="shared" si="43"/>
        <v>24345.33</v>
      </c>
      <c r="G196" s="197">
        <f t="shared" si="43"/>
        <v>2810.68</v>
      </c>
      <c r="H196" s="197" t="str">
        <f t="shared" si="43"/>
        <v>-</v>
      </c>
      <c r="I196" s="197">
        <f t="shared" si="43"/>
        <v>37395.15</v>
      </c>
    </row>
    <row r="197" spans="1:9" ht="11.25" customHeight="1" x14ac:dyDescent="0.25">
      <c r="A197" s="348">
        <v>2011</v>
      </c>
      <c r="B197" s="197" t="str">
        <f t="shared" ref="B197:I197" si="44">B86</f>
        <v>-</v>
      </c>
      <c r="C197" s="197" t="str">
        <f t="shared" si="44"/>
        <v>-</v>
      </c>
      <c r="D197" s="197">
        <f t="shared" si="44"/>
        <v>1132.74</v>
      </c>
      <c r="E197" s="197">
        <f t="shared" si="44"/>
        <v>6760.06</v>
      </c>
      <c r="F197" s="197">
        <f t="shared" si="44"/>
        <v>19771.68</v>
      </c>
      <c r="G197" s="197">
        <f t="shared" si="44"/>
        <v>4462.7</v>
      </c>
      <c r="H197" s="197" t="str">
        <f t="shared" si="44"/>
        <v>-</v>
      </c>
      <c r="I197" s="197">
        <f t="shared" si="44"/>
        <v>32127.18</v>
      </c>
    </row>
    <row r="198" spans="1:9" ht="11.25" customHeight="1" x14ac:dyDescent="0.25">
      <c r="A198" s="348">
        <v>2012</v>
      </c>
      <c r="B198" s="197" t="str">
        <f t="shared" ref="B198:I198" si="45">B87</f>
        <v>-</v>
      </c>
      <c r="C198" s="197" t="str">
        <f t="shared" si="45"/>
        <v>-</v>
      </c>
      <c r="D198" s="197">
        <f t="shared" si="45"/>
        <v>2645.24</v>
      </c>
      <c r="E198" s="197">
        <f t="shared" si="45"/>
        <v>7419.21</v>
      </c>
      <c r="F198" s="197">
        <f t="shared" si="45"/>
        <v>12108.34</v>
      </c>
      <c r="G198" s="197">
        <f t="shared" si="45"/>
        <v>5634.77</v>
      </c>
      <c r="H198" s="197" t="str">
        <f t="shared" si="45"/>
        <v>-</v>
      </c>
      <c r="I198" s="197">
        <f t="shared" si="45"/>
        <v>27807.56</v>
      </c>
    </row>
    <row r="199" spans="1:9" ht="11.25" customHeight="1" x14ac:dyDescent="0.25">
      <c r="A199" s="348">
        <v>2013</v>
      </c>
      <c r="B199" s="197" t="str">
        <f t="shared" ref="B199:I199" si="46">B88</f>
        <v>-</v>
      </c>
      <c r="C199" s="197" t="str">
        <f t="shared" si="46"/>
        <v>-</v>
      </c>
      <c r="D199" s="197">
        <f t="shared" si="46"/>
        <v>4435.82</v>
      </c>
      <c r="E199" s="197">
        <f t="shared" si="46"/>
        <v>6162.45</v>
      </c>
      <c r="F199" s="197">
        <f t="shared" si="46"/>
        <v>16293.33</v>
      </c>
      <c r="G199" s="197">
        <f t="shared" si="46"/>
        <v>3740.4</v>
      </c>
      <c r="H199" s="197" t="str">
        <f t="shared" si="46"/>
        <v>-</v>
      </c>
      <c r="I199" s="197">
        <f t="shared" si="46"/>
        <v>30632</v>
      </c>
    </row>
    <row r="200" spans="1:9" ht="11.25" customHeight="1" x14ac:dyDescent="0.25">
      <c r="A200" s="348">
        <v>2014</v>
      </c>
      <c r="B200" s="197" t="str">
        <f t="shared" ref="B200:I200" si="47">B89</f>
        <v>-</v>
      </c>
      <c r="C200" s="197">
        <f t="shared" si="47"/>
        <v>77.86</v>
      </c>
      <c r="D200" s="197">
        <f t="shared" si="47"/>
        <v>3282.9900000000002</v>
      </c>
      <c r="E200" s="197">
        <f t="shared" si="47"/>
        <v>14884.62</v>
      </c>
      <c r="F200" s="197">
        <f t="shared" si="47"/>
        <v>28896.12</v>
      </c>
      <c r="G200" s="197">
        <f t="shared" si="47"/>
        <v>9381.6</v>
      </c>
      <c r="H200" s="197" t="str">
        <f t="shared" si="47"/>
        <v>-</v>
      </c>
      <c r="I200" s="197">
        <f t="shared" si="47"/>
        <v>56523.189999999995</v>
      </c>
    </row>
    <row r="201" spans="1:9" ht="11.25" customHeight="1" x14ac:dyDescent="0.25">
      <c r="A201" s="348">
        <v>2015</v>
      </c>
      <c r="B201" s="197" t="str">
        <f t="shared" ref="B201:I201" si="48">B90</f>
        <v>-</v>
      </c>
      <c r="C201" s="197">
        <f t="shared" si="48"/>
        <v>269.03999999999996</v>
      </c>
      <c r="D201" s="197">
        <f t="shared" si="48"/>
        <v>3045.5299999999997</v>
      </c>
      <c r="E201" s="197">
        <f t="shared" si="48"/>
        <v>11243.15</v>
      </c>
      <c r="F201" s="197">
        <f t="shared" si="48"/>
        <v>18588.98</v>
      </c>
      <c r="G201" s="197">
        <f t="shared" si="48"/>
        <v>8871.56</v>
      </c>
      <c r="H201" s="197" t="str">
        <f t="shared" si="48"/>
        <v>-</v>
      </c>
      <c r="I201" s="197">
        <f t="shared" si="48"/>
        <v>42018.259999999995</v>
      </c>
    </row>
    <row r="202" spans="1:9" ht="11.25" customHeight="1" x14ac:dyDescent="0.25">
      <c r="A202" s="348">
        <v>2016</v>
      </c>
      <c r="B202" s="197" t="str">
        <f t="shared" ref="B202:I202" si="49">B91</f>
        <v>-</v>
      </c>
      <c r="C202" s="197" t="str">
        <f t="shared" si="49"/>
        <v>-</v>
      </c>
      <c r="D202" s="197" t="str">
        <f t="shared" si="49"/>
        <v>-</v>
      </c>
      <c r="E202" s="197">
        <f t="shared" si="49"/>
        <v>9586.17</v>
      </c>
      <c r="F202" s="197">
        <f t="shared" si="49"/>
        <v>18999.330000000002</v>
      </c>
      <c r="G202" s="197" t="str">
        <f t="shared" si="49"/>
        <v>-</v>
      </c>
      <c r="H202" s="197" t="str">
        <f t="shared" si="49"/>
        <v>-</v>
      </c>
      <c r="I202" s="197">
        <f t="shared" si="49"/>
        <v>28585.5</v>
      </c>
    </row>
    <row r="203" spans="1:9" ht="11.25" customHeight="1" x14ac:dyDescent="0.25">
      <c r="A203" s="348">
        <v>2017</v>
      </c>
      <c r="B203" s="197" t="str">
        <f t="shared" ref="B203:I203" si="50">B92</f>
        <v>-</v>
      </c>
      <c r="C203" s="197" t="str">
        <f t="shared" si="50"/>
        <v>-</v>
      </c>
      <c r="D203" s="197">
        <f t="shared" si="50"/>
        <v>975.48</v>
      </c>
      <c r="E203" s="197">
        <f t="shared" si="50"/>
        <v>11229.23</v>
      </c>
      <c r="F203" s="197">
        <f t="shared" si="50"/>
        <v>19128.099999999999</v>
      </c>
      <c r="G203" s="197" t="str">
        <f t="shared" si="50"/>
        <v>-</v>
      </c>
      <c r="H203" s="197" t="str">
        <f t="shared" si="50"/>
        <v>-</v>
      </c>
      <c r="I203" s="197">
        <f t="shared" si="50"/>
        <v>31332.809999999998</v>
      </c>
    </row>
    <row r="204" spans="1:9" s="358" customFormat="1" ht="11.25" customHeight="1" x14ac:dyDescent="0.25">
      <c r="A204" s="348">
        <v>2018</v>
      </c>
      <c r="B204" s="197" t="str">
        <f t="shared" ref="B204:I204" si="51">B93</f>
        <v>-</v>
      </c>
      <c r="C204" s="197" t="str">
        <f t="shared" si="51"/>
        <v>-</v>
      </c>
      <c r="D204" s="197">
        <f t="shared" si="51"/>
        <v>1574.55</v>
      </c>
      <c r="E204" s="197">
        <f t="shared" si="51"/>
        <v>6937.37</v>
      </c>
      <c r="F204" s="197">
        <f t="shared" si="51"/>
        <v>13310.5</v>
      </c>
      <c r="G204" s="197">
        <f t="shared" si="51"/>
        <v>760.73</v>
      </c>
      <c r="H204" s="197" t="str">
        <f t="shared" si="51"/>
        <v>-</v>
      </c>
      <c r="I204" s="197">
        <f t="shared" si="51"/>
        <v>22583.15</v>
      </c>
    </row>
    <row r="205" spans="1:9" s="358" customFormat="1" ht="11.25" customHeight="1" x14ac:dyDescent="0.25">
      <c r="A205" s="491">
        <v>2019</v>
      </c>
      <c r="B205" s="197" t="str">
        <f t="shared" ref="B205:I206" si="52">B94</f>
        <v>-</v>
      </c>
      <c r="C205" s="197" t="str">
        <f t="shared" si="52"/>
        <v>-</v>
      </c>
      <c r="D205" s="197">
        <f t="shared" si="52"/>
        <v>3730.15</v>
      </c>
      <c r="E205" s="197">
        <f t="shared" si="52"/>
        <v>15642.04</v>
      </c>
      <c r="F205" s="197">
        <f t="shared" si="52"/>
        <v>23531.870000000003</v>
      </c>
      <c r="G205" s="197">
        <f t="shared" si="52"/>
        <v>1699.82</v>
      </c>
      <c r="H205" s="197" t="str">
        <f t="shared" si="52"/>
        <v>-</v>
      </c>
      <c r="I205" s="197">
        <f t="shared" si="52"/>
        <v>44603.880000000005</v>
      </c>
    </row>
    <row r="206" spans="1:9" ht="11.25" customHeight="1" x14ac:dyDescent="0.25">
      <c r="A206" s="490" t="s">
        <v>394</v>
      </c>
      <c r="B206" s="197" t="str">
        <f t="shared" si="52"/>
        <v>-</v>
      </c>
      <c r="C206" s="197" t="str">
        <f t="shared" si="52"/>
        <v>-</v>
      </c>
      <c r="D206" s="197">
        <f t="shared" si="52"/>
        <v>692.98</v>
      </c>
      <c r="E206" s="197">
        <f t="shared" si="52"/>
        <v>11529.54</v>
      </c>
      <c r="F206" s="197" t="str">
        <f t="shared" si="52"/>
        <v>-</v>
      </c>
      <c r="G206" s="197" t="str">
        <f t="shared" si="52"/>
        <v>-</v>
      </c>
      <c r="H206" s="197" t="str">
        <f t="shared" si="52"/>
        <v>-</v>
      </c>
      <c r="I206" s="197">
        <f t="shared" si="52"/>
        <v>12222.52</v>
      </c>
    </row>
    <row r="207" spans="1:9" ht="11.25" customHeight="1" x14ac:dyDescent="0.25">
      <c r="A207" s="348"/>
      <c r="B207" s="197"/>
      <c r="C207" s="197"/>
      <c r="D207" s="197"/>
      <c r="E207" s="197"/>
      <c r="F207" s="197"/>
      <c r="G207" s="197"/>
      <c r="H207" s="197"/>
      <c r="I207" s="197"/>
    </row>
    <row r="208" spans="1:9" x14ac:dyDescent="0.25">
      <c r="A208" s="397" t="s">
        <v>316</v>
      </c>
      <c r="B208" s="197"/>
      <c r="C208" s="197"/>
      <c r="D208" s="197"/>
      <c r="E208" s="197"/>
      <c r="F208" s="197"/>
      <c r="G208" s="197"/>
      <c r="H208" s="197"/>
      <c r="I208" s="197"/>
    </row>
    <row r="209" spans="1:9" ht="11.25" customHeight="1" x14ac:dyDescent="0.25">
      <c r="A209" s="348" t="s">
        <v>30</v>
      </c>
      <c r="B209" s="197">
        <f t="shared" ref="B209:I209" si="53">AVERAGE(B103:B107)</f>
        <v>80.2</v>
      </c>
      <c r="C209" s="197">
        <f t="shared" si="53"/>
        <v>4262.8</v>
      </c>
      <c r="D209" s="197">
        <f t="shared" si="53"/>
        <v>25605.599999999999</v>
      </c>
      <c r="E209" s="197">
        <f t="shared" si="53"/>
        <v>79713.8</v>
      </c>
      <c r="F209" s="197">
        <f t="shared" si="53"/>
        <v>70218.2</v>
      </c>
      <c r="G209" s="197">
        <f t="shared" si="53"/>
        <v>9423.2000000000007</v>
      </c>
      <c r="H209" s="197">
        <f>AVERAGE(H103:H107)</f>
        <v>436</v>
      </c>
      <c r="I209" s="197">
        <f t="shared" si="53"/>
        <v>189565.4</v>
      </c>
    </row>
    <row r="210" spans="1:9" ht="11.25" customHeight="1" x14ac:dyDescent="0.25">
      <c r="A210" s="348" t="s">
        <v>87</v>
      </c>
      <c r="B210" s="197" t="s">
        <v>29</v>
      </c>
      <c r="C210" s="197">
        <f t="shared" ref="C210:I210" si="54">AVERAGE(C108:C112)</f>
        <v>1411.5</v>
      </c>
      <c r="D210" s="197">
        <f t="shared" si="54"/>
        <v>6949.75</v>
      </c>
      <c r="E210" s="197">
        <f t="shared" si="54"/>
        <v>74600.399999999994</v>
      </c>
      <c r="F210" s="197">
        <f t="shared" si="54"/>
        <v>51029</v>
      </c>
      <c r="G210" s="197">
        <f t="shared" si="54"/>
        <v>5374.4</v>
      </c>
      <c r="H210" s="197">
        <f>AVERAGE(H108:H112)</f>
        <v>40</v>
      </c>
      <c r="I210" s="197">
        <f t="shared" si="54"/>
        <v>137152.20000000001</v>
      </c>
    </row>
    <row r="211" spans="1:9" ht="11.25" customHeight="1" x14ac:dyDescent="0.25">
      <c r="A211" s="348" t="s">
        <v>14</v>
      </c>
      <c r="B211" s="197" t="s">
        <v>29</v>
      </c>
      <c r="C211" s="197">
        <f>AVERAGE(C113:C117)</f>
        <v>1258</v>
      </c>
      <c r="D211" s="197">
        <f t="shared" ref="D211:I211" si="55">AVERAGE(D113:D117)</f>
        <v>4887.5</v>
      </c>
      <c r="E211" s="197">
        <f t="shared" si="55"/>
        <v>54999.75</v>
      </c>
      <c r="F211" s="197">
        <f t="shared" si="55"/>
        <v>43610.25</v>
      </c>
      <c r="G211" s="197">
        <f t="shared" si="55"/>
        <v>18920.5</v>
      </c>
      <c r="H211" s="197">
        <f t="shared" si="55"/>
        <v>714</v>
      </c>
      <c r="I211" s="197">
        <f t="shared" si="55"/>
        <v>120781.75</v>
      </c>
    </row>
    <row r="212" spans="1:9" ht="11.25" customHeight="1" x14ac:dyDescent="0.25">
      <c r="A212" s="348" t="s">
        <v>207</v>
      </c>
      <c r="B212" s="197" t="s">
        <v>29</v>
      </c>
      <c r="C212" s="197" t="s">
        <v>29</v>
      </c>
      <c r="D212" s="197" t="s">
        <v>29</v>
      </c>
      <c r="E212" s="197">
        <f>AVERAGE(E118:E122)</f>
        <v>18152</v>
      </c>
      <c r="F212" s="197">
        <f>AVERAGE(F118:F122)</f>
        <v>24315.4</v>
      </c>
      <c r="G212" s="197">
        <f>AVERAGE(G118:G122)</f>
        <v>5064</v>
      </c>
      <c r="H212" s="197" t="s">
        <v>29</v>
      </c>
      <c r="I212" s="197">
        <f>AVERAGE(I118:I122)</f>
        <v>43901</v>
      </c>
    </row>
    <row r="213" spans="1:9" ht="11.25" customHeight="1" x14ac:dyDescent="0.25">
      <c r="A213" s="348">
        <v>2001</v>
      </c>
      <c r="B213" s="197" t="s">
        <v>29</v>
      </c>
      <c r="C213" s="197">
        <f t="shared" ref="C213:I213" si="56">AVERAGE(C123:C127)</f>
        <v>2866</v>
      </c>
      <c r="D213" s="197">
        <f t="shared" si="56"/>
        <v>6440</v>
      </c>
      <c r="E213" s="197">
        <f t="shared" si="56"/>
        <v>47284.748983101352</v>
      </c>
      <c r="F213" s="197">
        <f t="shared" si="56"/>
        <v>57436.307362875399</v>
      </c>
      <c r="G213" s="197">
        <f t="shared" si="56"/>
        <v>16642.239019987854</v>
      </c>
      <c r="H213" s="197">
        <f t="shared" si="56"/>
        <v>133.19999999999999</v>
      </c>
      <c r="I213" s="197">
        <f t="shared" si="56"/>
        <v>127221.69536596462</v>
      </c>
    </row>
    <row r="214" spans="1:9" ht="11.25" customHeight="1" x14ac:dyDescent="0.25">
      <c r="A214" s="157">
        <v>2006</v>
      </c>
      <c r="B214" s="197" t="str">
        <f t="shared" ref="B214:I214" si="57">B128</f>
        <v>-</v>
      </c>
      <c r="C214" s="197" t="str">
        <f t="shared" si="57"/>
        <v>-</v>
      </c>
      <c r="D214" s="197">
        <f t="shared" si="57"/>
        <v>1118.93</v>
      </c>
      <c r="E214" s="197">
        <f t="shared" si="57"/>
        <v>23937.210000000003</v>
      </c>
      <c r="F214" s="197">
        <f t="shared" si="57"/>
        <v>41927.550000000003</v>
      </c>
      <c r="G214" s="197">
        <f t="shared" si="57"/>
        <v>6262.95</v>
      </c>
      <c r="H214" s="197">
        <f t="shared" si="57"/>
        <v>258.35000000000002</v>
      </c>
      <c r="I214" s="197">
        <f t="shared" si="57"/>
        <v>73504.990000000005</v>
      </c>
    </row>
    <row r="215" spans="1:9" ht="11.25" customHeight="1" x14ac:dyDescent="0.25">
      <c r="A215" s="348">
        <v>2007</v>
      </c>
      <c r="B215" s="197" t="str">
        <f t="shared" ref="B215:I215" si="58">B129</f>
        <v>-</v>
      </c>
      <c r="C215" s="197" t="str">
        <f t="shared" si="58"/>
        <v>-</v>
      </c>
      <c r="D215" s="197" t="str">
        <f t="shared" si="58"/>
        <v>-</v>
      </c>
      <c r="E215" s="197">
        <f t="shared" si="58"/>
        <v>27515.5</v>
      </c>
      <c r="F215" s="197">
        <f t="shared" si="58"/>
        <v>50713.65</v>
      </c>
      <c r="G215" s="197">
        <f t="shared" si="58"/>
        <v>6839.76</v>
      </c>
      <c r="H215" s="197">
        <f t="shared" si="58"/>
        <v>0</v>
      </c>
      <c r="I215" s="197">
        <f t="shared" si="58"/>
        <v>85068.91</v>
      </c>
    </row>
    <row r="216" spans="1:9" ht="11.25" customHeight="1" x14ac:dyDescent="0.25">
      <c r="A216" s="348">
        <v>2008</v>
      </c>
      <c r="B216" s="197" t="str">
        <f t="shared" ref="B216:I216" si="59">B130</f>
        <v>-</v>
      </c>
      <c r="C216" s="197">
        <f t="shared" si="59"/>
        <v>66</v>
      </c>
      <c r="D216" s="197">
        <f t="shared" si="59"/>
        <v>5282.36</v>
      </c>
      <c r="E216" s="197">
        <f t="shared" si="59"/>
        <v>17772.940000000002</v>
      </c>
      <c r="F216" s="197">
        <f t="shared" si="59"/>
        <v>15541.650000000001</v>
      </c>
      <c r="G216" s="197">
        <f t="shared" si="59"/>
        <v>2563.7800000000002</v>
      </c>
      <c r="H216" s="197">
        <f t="shared" si="59"/>
        <v>37.5</v>
      </c>
      <c r="I216" s="197">
        <f t="shared" si="59"/>
        <v>41264.229999999996</v>
      </c>
    </row>
    <row r="217" spans="1:9" ht="11.25" customHeight="1" x14ac:dyDescent="0.25">
      <c r="A217" s="348">
        <v>2009</v>
      </c>
      <c r="B217" s="197" t="str">
        <f t="shared" ref="B217:I217" si="60">B131</f>
        <v>-</v>
      </c>
      <c r="C217" s="197" t="str">
        <f t="shared" si="60"/>
        <v>-</v>
      </c>
      <c r="D217" s="197">
        <f t="shared" si="60"/>
        <v>1382.19</v>
      </c>
      <c r="E217" s="197">
        <f t="shared" si="60"/>
        <v>34084</v>
      </c>
      <c r="F217" s="197">
        <f t="shared" si="60"/>
        <v>68889.489999999991</v>
      </c>
      <c r="G217" s="197">
        <f t="shared" si="60"/>
        <v>9241.9500000000007</v>
      </c>
      <c r="H217" s="197">
        <f t="shared" si="60"/>
        <v>212.42</v>
      </c>
      <c r="I217" s="197">
        <f t="shared" si="60"/>
        <v>113810.04999999999</v>
      </c>
    </row>
    <row r="218" spans="1:9" ht="11.25" customHeight="1" x14ac:dyDescent="0.25">
      <c r="A218" s="348">
        <v>2010</v>
      </c>
      <c r="B218" s="197" t="str">
        <f t="shared" ref="B218:I218" si="61">B132</f>
        <v>-</v>
      </c>
      <c r="C218" s="197" t="str">
        <f t="shared" si="61"/>
        <v>-</v>
      </c>
      <c r="D218" s="197">
        <f t="shared" si="61"/>
        <v>10313.859999999999</v>
      </c>
      <c r="E218" s="197">
        <f t="shared" si="61"/>
        <v>27756.61</v>
      </c>
      <c r="F218" s="197">
        <f t="shared" si="61"/>
        <v>43891.78</v>
      </c>
      <c r="G218" s="197">
        <f t="shared" si="61"/>
        <v>9092.2800000000007</v>
      </c>
      <c r="H218" s="197">
        <f t="shared" si="61"/>
        <v>153.97</v>
      </c>
      <c r="I218" s="197">
        <f t="shared" si="61"/>
        <v>91208.5</v>
      </c>
    </row>
    <row r="219" spans="1:9" ht="11.25" customHeight="1" x14ac:dyDescent="0.25">
      <c r="A219" s="348">
        <v>2011</v>
      </c>
      <c r="B219" s="197" t="str">
        <f t="shared" ref="B219:I219" si="62">B133</f>
        <v>-</v>
      </c>
      <c r="C219" s="197" t="str">
        <f t="shared" si="62"/>
        <v>-</v>
      </c>
      <c r="D219" s="197">
        <f t="shared" si="62"/>
        <v>6669.57</v>
      </c>
      <c r="E219" s="197">
        <f t="shared" si="62"/>
        <v>24094.41</v>
      </c>
      <c r="F219" s="197">
        <f t="shared" si="62"/>
        <v>40949.93</v>
      </c>
      <c r="G219" s="197">
        <f t="shared" si="62"/>
        <v>9249.2799999999988</v>
      </c>
      <c r="H219" s="197">
        <f t="shared" si="62"/>
        <v>16.05</v>
      </c>
      <c r="I219" s="197">
        <f t="shared" si="62"/>
        <v>80979.239999999991</v>
      </c>
    </row>
    <row r="220" spans="1:9" ht="11.25" customHeight="1" x14ac:dyDescent="0.25">
      <c r="A220" s="348">
        <v>2012</v>
      </c>
      <c r="B220" s="197" t="str">
        <f t="shared" ref="B220:I220" si="63">B134</f>
        <v>-</v>
      </c>
      <c r="C220" s="197" t="str">
        <f t="shared" si="63"/>
        <v>-</v>
      </c>
      <c r="D220" s="197">
        <f t="shared" si="63"/>
        <v>12272.460000000001</v>
      </c>
      <c r="E220" s="197">
        <f t="shared" si="63"/>
        <v>24831.739999999998</v>
      </c>
      <c r="F220" s="197">
        <f t="shared" si="63"/>
        <v>31276.38</v>
      </c>
      <c r="G220" s="197">
        <f t="shared" si="63"/>
        <v>13762.880000000001</v>
      </c>
      <c r="H220" s="197">
        <f t="shared" si="63"/>
        <v>353.11</v>
      </c>
      <c r="I220" s="197">
        <f t="shared" si="63"/>
        <v>82496.570000000007</v>
      </c>
    </row>
    <row r="221" spans="1:9" ht="11.25" customHeight="1" x14ac:dyDescent="0.25">
      <c r="A221" s="348">
        <v>2013</v>
      </c>
      <c r="B221" s="197" t="str">
        <f t="shared" ref="B221:I221" si="64">B135</f>
        <v>-</v>
      </c>
      <c r="C221" s="197">
        <f t="shared" si="64"/>
        <v>950.86</v>
      </c>
      <c r="D221" s="197">
        <f t="shared" si="64"/>
        <v>13408.9</v>
      </c>
      <c r="E221" s="197">
        <f t="shared" si="64"/>
        <v>22172.87</v>
      </c>
      <c r="F221" s="197">
        <f t="shared" si="64"/>
        <v>40239.81</v>
      </c>
      <c r="G221" s="197">
        <f t="shared" si="64"/>
        <v>9139.94</v>
      </c>
      <c r="H221" s="197">
        <f t="shared" si="64"/>
        <v>237.41</v>
      </c>
      <c r="I221" s="197">
        <f t="shared" si="64"/>
        <v>86149.790000000008</v>
      </c>
    </row>
    <row r="222" spans="1:9" ht="11.25" customHeight="1" x14ac:dyDescent="0.25">
      <c r="A222" s="348">
        <v>2014</v>
      </c>
      <c r="B222" s="197" t="str">
        <f t="shared" ref="B222:I222" si="65">B136</f>
        <v>-</v>
      </c>
      <c r="C222" s="197">
        <f t="shared" si="65"/>
        <v>1720.4199999999998</v>
      </c>
      <c r="D222" s="197">
        <f t="shared" si="65"/>
        <v>13613.91</v>
      </c>
      <c r="E222" s="197">
        <f t="shared" si="65"/>
        <v>43413.29</v>
      </c>
      <c r="F222" s="197">
        <f t="shared" si="65"/>
        <v>53288.83</v>
      </c>
      <c r="G222" s="197">
        <f t="shared" si="65"/>
        <v>19471.050000000003</v>
      </c>
      <c r="H222" s="197">
        <f t="shared" si="65"/>
        <v>364.82</v>
      </c>
      <c r="I222" s="197">
        <f t="shared" si="65"/>
        <v>131872.32000000001</v>
      </c>
    </row>
    <row r="223" spans="1:9" ht="11.25" customHeight="1" x14ac:dyDescent="0.25">
      <c r="A223" s="348">
        <v>2015</v>
      </c>
      <c r="B223" s="197" t="str">
        <f t="shared" ref="B223:I223" si="66">B137</f>
        <v>-</v>
      </c>
      <c r="C223" s="197">
        <f t="shared" si="66"/>
        <v>1709.96</v>
      </c>
      <c r="D223" s="197">
        <f t="shared" si="66"/>
        <v>12019.32</v>
      </c>
      <c r="E223" s="197">
        <f t="shared" si="66"/>
        <v>40021.919999999998</v>
      </c>
      <c r="F223" s="197">
        <f t="shared" si="66"/>
        <v>34154.82</v>
      </c>
      <c r="G223" s="197">
        <f t="shared" si="66"/>
        <v>17537.28</v>
      </c>
      <c r="H223" s="197">
        <f t="shared" si="66"/>
        <v>300.16000000000003</v>
      </c>
      <c r="I223" s="197">
        <f t="shared" si="66"/>
        <v>105743.45999999999</v>
      </c>
    </row>
    <row r="224" spans="1:9" ht="11.25" customHeight="1" x14ac:dyDescent="0.25">
      <c r="A224" s="348">
        <v>2016</v>
      </c>
      <c r="B224" s="197" t="str">
        <f t="shared" ref="B224:I224" si="67">B138</f>
        <v>-</v>
      </c>
      <c r="C224" s="197" t="str">
        <f t="shared" si="67"/>
        <v>-</v>
      </c>
      <c r="D224" s="197" t="str">
        <f t="shared" si="67"/>
        <v>-</v>
      </c>
      <c r="E224" s="197">
        <f t="shared" si="67"/>
        <v>27378.379999999997</v>
      </c>
      <c r="F224" s="197">
        <f t="shared" si="67"/>
        <v>28390.250000000004</v>
      </c>
      <c r="G224" s="197" t="str">
        <f t="shared" si="67"/>
        <v>-</v>
      </c>
      <c r="H224" s="197" t="str">
        <f t="shared" si="67"/>
        <v>-</v>
      </c>
      <c r="I224" s="197">
        <f t="shared" si="67"/>
        <v>55768.63</v>
      </c>
    </row>
    <row r="225" spans="1:9" ht="11.25" customHeight="1" x14ac:dyDescent="0.25">
      <c r="A225" s="348">
        <v>2017</v>
      </c>
      <c r="B225" s="197" t="str">
        <f t="shared" ref="B225:I225" si="68">B139</f>
        <v>-</v>
      </c>
      <c r="C225" s="197" t="str">
        <f t="shared" si="68"/>
        <v>-</v>
      </c>
      <c r="D225" s="197">
        <f t="shared" si="68"/>
        <v>1443.64</v>
      </c>
      <c r="E225" s="197">
        <f t="shared" si="68"/>
        <v>32785.040000000001</v>
      </c>
      <c r="F225" s="197">
        <f t="shared" si="68"/>
        <v>34950.269999999997</v>
      </c>
      <c r="G225" s="197">
        <f t="shared" si="68"/>
        <v>841.76</v>
      </c>
      <c r="H225" s="197" t="str">
        <f t="shared" si="68"/>
        <v>-</v>
      </c>
      <c r="I225" s="197">
        <f t="shared" si="68"/>
        <v>70020.709999999992</v>
      </c>
    </row>
    <row r="226" spans="1:9" s="358" customFormat="1" ht="11.25" customHeight="1" x14ac:dyDescent="0.25">
      <c r="A226" s="348">
        <v>2018</v>
      </c>
      <c r="B226" s="197" t="str">
        <f t="shared" ref="B226:I226" si="69">B140</f>
        <v>-</v>
      </c>
      <c r="C226" s="197" t="str">
        <f t="shared" si="69"/>
        <v>-</v>
      </c>
      <c r="D226" s="197">
        <f t="shared" si="69"/>
        <v>2823.55</v>
      </c>
      <c r="E226" s="197">
        <f t="shared" si="69"/>
        <v>21345.309999999998</v>
      </c>
      <c r="F226" s="197">
        <f t="shared" si="69"/>
        <v>30327.200000000001</v>
      </c>
      <c r="G226" s="197">
        <f t="shared" si="69"/>
        <v>1171.08</v>
      </c>
      <c r="H226" s="197" t="str">
        <f t="shared" si="69"/>
        <v>-</v>
      </c>
      <c r="I226" s="197">
        <f t="shared" si="69"/>
        <v>55667.14</v>
      </c>
    </row>
    <row r="227" spans="1:9" s="358" customFormat="1" ht="11.25" customHeight="1" x14ac:dyDescent="0.25">
      <c r="A227" s="491">
        <v>2019</v>
      </c>
      <c r="B227" s="197" t="str">
        <f t="shared" ref="B227:I228" si="70">B141</f>
        <v>-</v>
      </c>
      <c r="C227" s="197" t="str">
        <f t="shared" si="70"/>
        <v>-</v>
      </c>
      <c r="D227" s="197">
        <f t="shared" si="70"/>
        <v>7984.6299999999992</v>
      </c>
      <c r="E227" s="197">
        <f t="shared" si="70"/>
        <v>31145.33</v>
      </c>
      <c r="F227" s="197">
        <f t="shared" si="70"/>
        <v>36810.590000000004</v>
      </c>
      <c r="G227" s="197">
        <f t="shared" si="70"/>
        <v>4181.43</v>
      </c>
      <c r="H227" s="197">
        <f t="shared" si="70"/>
        <v>239.57</v>
      </c>
      <c r="I227" s="197">
        <f t="shared" si="70"/>
        <v>80361.55</v>
      </c>
    </row>
    <row r="228" spans="1:9" ht="11.25" customHeight="1" x14ac:dyDescent="0.25">
      <c r="A228" s="371" t="s">
        <v>394</v>
      </c>
      <c r="B228" s="197" t="str">
        <f t="shared" si="70"/>
        <v>-</v>
      </c>
      <c r="C228" s="197" t="str">
        <f t="shared" si="70"/>
        <v>-</v>
      </c>
      <c r="D228" s="197">
        <f t="shared" si="70"/>
        <v>2691.92</v>
      </c>
      <c r="E228" s="197">
        <f t="shared" si="70"/>
        <v>24183.200000000001</v>
      </c>
      <c r="F228" s="197">
        <f t="shared" si="70"/>
        <v>7118.7699999999995</v>
      </c>
      <c r="G228" s="197">
        <f t="shared" si="70"/>
        <v>3340.91</v>
      </c>
      <c r="H228" s="197" t="str">
        <f t="shared" si="70"/>
        <v>-</v>
      </c>
      <c r="I228" s="197">
        <f t="shared" si="70"/>
        <v>37334.800000000003</v>
      </c>
    </row>
    <row r="229" spans="1:9" ht="11.25" customHeight="1" x14ac:dyDescent="0.25">
      <c r="A229" s="621" t="s">
        <v>98</v>
      </c>
      <c r="B229" s="621"/>
      <c r="C229" s="621"/>
      <c r="D229" s="621"/>
      <c r="E229" s="621"/>
      <c r="F229" s="621"/>
      <c r="G229" s="621"/>
      <c r="H229" s="621"/>
      <c r="I229" s="621"/>
    </row>
    <row r="230" spans="1:9" ht="11.25" customHeight="1" x14ac:dyDescent="0.25">
      <c r="A230" s="620"/>
      <c r="B230" s="620"/>
      <c r="C230" s="620"/>
      <c r="D230" s="620"/>
      <c r="E230" s="620"/>
      <c r="F230" s="620"/>
      <c r="G230" s="620"/>
      <c r="H230" s="620"/>
      <c r="I230" s="620"/>
    </row>
    <row r="231" spans="1:9" ht="11.25" customHeight="1" x14ac:dyDescent="0.25">
      <c r="A231" s="620" t="s">
        <v>4</v>
      </c>
      <c r="B231" s="620"/>
      <c r="C231" s="620"/>
      <c r="D231" s="620"/>
      <c r="E231" s="620"/>
      <c r="F231" s="620"/>
      <c r="G231" s="620"/>
      <c r="H231" s="620"/>
      <c r="I231" s="620"/>
    </row>
    <row r="232" spans="1:9" ht="11.25" customHeight="1" x14ac:dyDescent="0.25">
      <c r="A232" s="620" t="s">
        <v>136</v>
      </c>
      <c r="B232" s="620"/>
      <c r="C232" s="620"/>
      <c r="D232" s="620"/>
      <c r="E232" s="620"/>
      <c r="F232" s="620"/>
      <c r="G232" s="620"/>
      <c r="H232" s="620"/>
      <c r="I232" s="620"/>
    </row>
    <row r="233" spans="1:9" ht="11.25" customHeight="1" x14ac:dyDescent="0.25">
      <c r="A233" s="519" t="s">
        <v>46</v>
      </c>
      <c r="B233" s="519"/>
      <c r="C233" s="519"/>
      <c r="D233" s="519"/>
      <c r="E233" s="519"/>
      <c r="F233" s="519"/>
      <c r="G233" s="519"/>
      <c r="H233" s="519"/>
      <c r="I233" s="519"/>
    </row>
    <row r="234" spans="1:9" ht="11.25" customHeight="1" x14ac:dyDescent="0.25">
      <c r="A234" s="372"/>
      <c r="B234" s="62"/>
      <c r="C234" s="62"/>
      <c r="D234" s="62"/>
      <c r="E234" s="62"/>
      <c r="F234" s="62"/>
      <c r="G234" s="62"/>
      <c r="H234" s="62"/>
      <c r="I234" s="62"/>
    </row>
    <row r="235" spans="1:9" ht="11.25" customHeight="1" x14ac:dyDescent="0.25"/>
    <row r="236" spans="1:9" ht="11.25" customHeight="1" x14ac:dyDescent="0.25"/>
    <row r="237" spans="1:9" ht="11.25" customHeight="1" x14ac:dyDescent="0.25"/>
    <row r="238" spans="1:9" ht="11.25" customHeight="1" x14ac:dyDescent="0.25"/>
    <row r="239" spans="1:9" ht="11.25" customHeight="1" x14ac:dyDescent="0.25"/>
    <row r="240" spans="1:9" ht="11.25" customHeight="1" x14ac:dyDescent="0.25"/>
    <row r="241" ht="11.25" customHeight="1" x14ac:dyDescent="0.25"/>
    <row r="242" ht="11.25" customHeight="1" x14ac:dyDescent="0.25"/>
    <row r="243" ht="11.25" customHeight="1" x14ac:dyDescent="0.25"/>
    <row r="244" ht="11.25" customHeight="1" x14ac:dyDescent="0.25"/>
    <row r="245" ht="11.25" customHeight="1" x14ac:dyDescent="0.25"/>
    <row r="246" ht="11.25" customHeight="1" x14ac:dyDescent="0.25"/>
    <row r="247" ht="11.25" customHeight="1" x14ac:dyDescent="0.25"/>
    <row r="248" ht="11.25" customHeight="1" x14ac:dyDescent="0.25"/>
    <row r="249" ht="11.25" customHeight="1" x14ac:dyDescent="0.25"/>
    <row r="250" ht="11.25" customHeight="1" x14ac:dyDescent="0.25"/>
    <row r="251" ht="11.25" customHeight="1" x14ac:dyDescent="0.25"/>
  </sheetData>
  <mergeCells count="10">
    <mergeCell ref="A231:I231"/>
    <mergeCell ref="A232:I232"/>
    <mergeCell ref="A233:I233"/>
    <mergeCell ref="A162:I162"/>
    <mergeCell ref="A1:I1"/>
    <mergeCell ref="A143:I144"/>
    <mergeCell ref="A145:I145"/>
    <mergeCell ref="A146:I146"/>
    <mergeCell ref="A147:I147"/>
    <mergeCell ref="A229:I230"/>
  </mergeCells>
  <pageMargins left="0.7" right="0.7" top="0.75" bottom="0.75" header="0.3" footer="0.3"/>
  <pageSetup scale="92"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1"/>
  <dimension ref="A1:V246"/>
  <sheetViews>
    <sheetView showGridLines="0" zoomScaleNormal="100" workbookViewId="0">
      <pane xSplit="1" ySplit="3" topLeftCell="B193" activePane="bottomRight" state="frozen"/>
      <selection sqref="A1:J2"/>
      <selection pane="topRight" sqref="A1:J2"/>
      <selection pane="bottomLeft" sqref="A1:J2"/>
      <selection pane="bottomRight" sqref="A1:R2"/>
    </sheetView>
  </sheetViews>
  <sheetFormatPr defaultRowHeight="15.75" x14ac:dyDescent="0.25"/>
  <cols>
    <col min="1" max="1" width="9" style="340"/>
    <col min="2" max="9" width="6.375" style="340" customWidth="1"/>
    <col min="10" max="10" width="1" style="340" customWidth="1"/>
    <col min="11" max="17" width="6.375" style="340" customWidth="1"/>
    <col min="18" max="18" width="6.625" style="340" customWidth="1"/>
    <col min="19" max="16384" width="9" style="340"/>
  </cols>
  <sheetData>
    <row r="1" spans="1:21" ht="11.25" customHeight="1" x14ac:dyDescent="0.25">
      <c r="A1" s="523" t="s">
        <v>317</v>
      </c>
      <c r="B1" s="523"/>
      <c r="C1" s="523"/>
      <c r="D1" s="523"/>
      <c r="E1" s="523"/>
      <c r="F1" s="523"/>
      <c r="G1" s="523"/>
      <c r="H1" s="523"/>
      <c r="I1" s="523"/>
      <c r="J1" s="523"/>
      <c r="K1" s="523"/>
      <c r="L1" s="523"/>
      <c r="M1" s="523"/>
      <c r="N1" s="523"/>
      <c r="O1" s="523"/>
      <c r="P1" s="523"/>
      <c r="Q1" s="523"/>
      <c r="R1" s="523"/>
      <c r="U1" s="257" t="s">
        <v>256</v>
      </c>
    </row>
    <row r="2" spans="1:21" ht="11.25" customHeight="1" x14ac:dyDescent="0.25">
      <c r="A2" s="121" t="s">
        <v>33</v>
      </c>
      <c r="B2" s="58" t="s">
        <v>118</v>
      </c>
      <c r="C2" s="58" t="s">
        <v>35</v>
      </c>
      <c r="D2" s="58" t="s">
        <v>36</v>
      </c>
      <c r="E2" s="58" t="s">
        <v>37</v>
      </c>
      <c r="F2" s="58" t="s">
        <v>38</v>
      </c>
      <c r="G2" s="58" t="s">
        <v>39</v>
      </c>
      <c r="H2" s="58" t="s">
        <v>40</v>
      </c>
      <c r="I2" s="174" t="s">
        <v>295</v>
      </c>
      <c r="J2" s="59"/>
      <c r="K2" s="58" t="s">
        <v>118</v>
      </c>
      <c r="L2" s="58" t="s">
        <v>35</v>
      </c>
      <c r="M2" s="58" t="s">
        <v>36</v>
      </c>
      <c r="N2" s="58" t="s">
        <v>37</v>
      </c>
      <c r="O2" s="58" t="s">
        <v>38</v>
      </c>
      <c r="P2" s="58" t="s">
        <v>39</v>
      </c>
      <c r="Q2" s="58" t="s">
        <v>40</v>
      </c>
      <c r="R2" s="58" t="s">
        <v>28</v>
      </c>
    </row>
    <row r="3" spans="1:21" ht="11.25" customHeight="1" x14ac:dyDescent="0.25">
      <c r="A3" s="348"/>
      <c r="B3" s="583" t="s">
        <v>67</v>
      </c>
      <c r="C3" s="583"/>
      <c r="D3" s="583"/>
      <c r="E3" s="583"/>
      <c r="F3" s="583"/>
      <c r="G3" s="583"/>
      <c r="H3" s="583"/>
      <c r="I3" s="583"/>
      <c r="J3" s="68"/>
      <c r="K3" s="583" t="s">
        <v>68</v>
      </c>
      <c r="L3" s="583"/>
      <c r="M3" s="583"/>
      <c r="N3" s="583"/>
      <c r="O3" s="583"/>
      <c r="P3" s="583"/>
      <c r="Q3" s="583"/>
      <c r="R3" s="583"/>
    </row>
    <row r="4" spans="1:21" ht="11.25" customHeight="1" x14ac:dyDescent="0.25">
      <c r="A4" s="116" t="s">
        <v>318</v>
      </c>
    </row>
    <row r="5" spans="1:21" ht="11.25" customHeight="1" x14ac:dyDescent="0.25">
      <c r="A5" s="371">
        <v>1976</v>
      </c>
      <c r="B5" s="200" t="str">
        <f>IF(AND('A-18'!B5="-",'A-18'!B52="-",'A-18'!B99="-"),"-",SUM('A-18'!B5,'A-18'!B52,'A-18'!B99))</f>
        <v>-</v>
      </c>
      <c r="C5" s="200">
        <f>IF(AND('A-18'!C5="-",'A-18'!C52="-",'A-18'!C99="-"),"-",SUM('A-18'!C5,'A-18'!C52,'A-18'!C99))</f>
        <v>9738</v>
      </c>
      <c r="D5" s="200">
        <f>IF(AND('A-18'!D5="-",'A-18'!D52="-",'A-18'!D99="-"),"-",SUM('A-18'!D5,'A-18'!D52,'A-18'!D99))</f>
        <v>28478</v>
      </c>
      <c r="E5" s="200">
        <f>IF(AND('A-18'!E5="-",'A-18'!E52="-",'A-18'!E99="-"),"-",SUM('A-18'!E5,'A-18'!E52,'A-18'!E99))</f>
        <v>40237</v>
      </c>
      <c r="F5" s="200">
        <f>IF(AND('A-18'!F5="-",'A-18'!F52="-",'A-18'!F99="-"),"-",SUM('A-18'!F5,'A-18'!F52,'A-18'!F99))</f>
        <v>18100</v>
      </c>
      <c r="G5" s="200">
        <f>IF(AND('A-18'!G5="-",'A-18'!G52="-",'A-18'!G99="-"),"-",SUM('A-18'!G5,'A-18'!G52,'A-18'!G99))</f>
        <v>11565</v>
      </c>
      <c r="H5" s="200">
        <f>IF(AND('A-18'!H5="-",'A-18'!H52="-",'A-18'!H99="-"),"-",SUM('A-18'!H5,'A-18'!H52,'A-18'!H99))</f>
        <v>1627</v>
      </c>
      <c r="I5" s="200">
        <f>IF(AND('A-18'!I5="-",'A-18'!I52="-",'A-18'!I99="-"),"-",SUM('A-18'!I5,'A-18'!I52,'A-18'!I99))</f>
        <v>109745</v>
      </c>
      <c r="K5" s="200">
        <f>IF(AND('A-18'!K5="-",'A-18'!K52="-",'A-18'!K99="-"),"-",SUM('A-18'!K5,'A-18'!K52,'A-18'!K99))</f>
        <v>65</v>
      </c>
      <c r="L5" s="200">
        <f>IF(AND('A-18'!L5="-",'A-18'!L52="-",'A-18'!L99="-"),"-",SUM('A-18'!L5,'A-18'!L52,'A-18'!L99))</f>
        <v>19918</v>
      </c>
      <c r="M5" s="200">
        <f>IF(AND('A-18'!M5="-",'A-18'!M52="-",'A-18'!M99="-"),"-",SUM('A-18'!M5,'A-18'!M52,'A-18'!M99))</f>
        <v>76393</v>
      </c>
      <c r="N5" s="200">
        <f>IF(AND('A-18'!N5="-",'A-18'!N52="-",'A-18'!N99="-"),"-",SUM('A-18'!N5,'A-18'!N52,'A-18'!N99))</f>
        <v>186682</v>
      </c>
      <c r="O5" s="200">
        <f>IF(AND('A-18'!O5="-",'A-18'!O52="-",'A-18'!O99="-"),"-",SUM('A-18'!O5,'A-18'!O52,'A-18'!O99))</f>
        <v>193834</v>
      </c>
      <c r="P5" s="200">
        <f>IF(AND('A-18'!P5="-",'A-18'!P52="-",'A-18'!P99="-"),"-",SUM('A-18'!P5,'A-18'!P52,'A-18'!P99))</f>
        <v>88555</v>
      </c>
      <c r="Q5" s="200">
        <f>IF(AND('A-18'!Q5="-",'A-18'!Q52="-",'A-18'!Q99="-"),"-",SUM('A-18'!Q5,'A-18'!Q52,'A-18'!Q99))</f>
        <v>5516</v>
      </c>
      <c r="R5" s="200">
        <f>IF(AND('A-18'!R5="-",'A-18'!R52="-",'A-18'!R99="-"),"-",SUM('A-18'!R5,'A-18'!R52,'A-18'!R99))</f>
        <v>570963</v>
      </c>
      <c r="S5" s="22">
        <f>SUM(K5:Q5)</f>
        <v>570963</v>
      </c>
      <c r="T5" s="22">
        <f>+S5-R5</f>
        <v>0</v>
      </c>
    </row>
    <row r="6" spans="1:21" ht="11.25" customHeight="1" x14ac:dyDescent="0.25">
      <c r="A6" s="371">
        <v>1977</v>
      </c>
      <c r="B6" s="200">
        <f>IF(AND('A-18'!B6="-",'A-18'!B53="-",'A-18'!B100="-"),"-",SUM('A-18'!B6,'A-18'!B53,'A-18'!B100))</f>
        <v>3696</v>
      </c>
      <c r="C6" s="200">
        <f>IF(AND('A-18'!C6="-",'A-18'!C53="-",'A-18'!C100="-"),"-",SUM('A-18'!C6,'A-18'!C53,'A-18'!C100))</f>
        <v>4092</v>
      </c>
      <c r="D6" s="200">
        <f>IF(AND('A-18'!D6="-",'A-18'!D53="-",'A-18'!D100="-"),"-",SUM('A-18'!D6,'A-18'!D53,'A-18'!D100))</f>
        <v>25696</v>
      </c>
      <c r="E6" s="200">
        <f>IF(AND('A-18'!E6="-",'A-18'!E53="-",'A-18'!E100="-"),"-",SUM('A-18'!E6,'A-18'!E53,'A-18'!E100))</f>
        <v>21761</v>
      </c>
      <c r="F6" s="200">
        <f>IF(AND('A-18'!F6="-",'A-18'!F53="-",'A-18'!F100="-"),"-",SUM('A-18'!F6,'A-18'!F53,'A-18'!F100))</f>
        <v>35917</v>
      </c>
      <c r="G6" s="200">
        <f>IF(AND('A-18'!G6="-",'A-18'!G53="-",'A-18'!G100="-"),"-",SUM('A-18'!G6,'A-18'!G53,'A-18'!G100))</f>
        <v>18199</v>
      </c>
      <c r="H6" s="200">
        <f>IF(AND('A-18'!H6="-",'A-18'!H53="-",'A-18'!H100="-"),"-",SUM('A-18'!H6,'A-18'!H53,'A-18'!H100))</f>
        <v>1603</v>
      </c>
      <c r="I6" s="200">
        <f>IF(AND('A-18'!I6="-",'A-18'!I53="-",'A-18'!I100="-"),"-",SUM('A-18'!I6,'A-18'!I53,'A-18'!I100))</f>
        <v>110964</v>
      </c>
      <c r="K6" s="200">
        <f>IF(AND('A-18'!K6="-",'A-18'!K53="-",'A-18'!K100="-"),"-",SUM('A-18'!K6,'A-18'!K53,'A-18'!K100))</f>
        <v>354</v>
      </c>
      <c r="L6" s="200">
        <f>IF(AND('A-18'!L6="-",'A-18'!L53="-",'A-18'!L100="-"),"-",SUM('A-18'!L6,'A-18'!L53,'A-18'!L100))</f>
        <v>16475</v>
      </c>
      <c r="M6" s="200">
        <f>IF(AND('A-18'!M6="-",'A-18'!M53="-",'A-18'!M100="-"),"-",SUM('A-18'!M6,'A-18'!M53,'A-18'!M100))</f>
        <v>37625</v>
      </c>
      <c r="N6" s="200">
        <f>IF(AND('A-18'!N6="-",'A-18'!N53="-",'A-18'!N100="-"),"-",SUM('A-18'!N6,'A-18'!N53,'A-18'!N100))</f>
        <v>115540</v>
      </c>
      <c r="O6" s="200">
        <f>IF(AND('A-18'!O6="-",'A-18'!O53="-",'A-18'!O100="-"),"-",SUM('A-18'!O6,'A-18'!O53,'A-18'!O100))</f>
        <v>102238</v>
      </c>
      <c r="P6" s="200">
        <f>IF(AND('A-18'!P6="-",'A-18'!P53="-",'A-18'!P100="-"),"-",SUM('A-18'!P6,'A-18'!P53,'A-18'!P100))</f>
        <v>32149</v>
      </c>
      <c r="Q6" s="200">
        <f>IF(AND('A-18'!Q6="-",'A-18'!Q53="-",'A-18'!Q100="-"),"-",SUM('A-18'!Q6,'A-18'!Q53,'A-18'!Q100))</f>
        <v>2890</v>
      </c>
      <c r="R6" s="200">
        <f>IF(AND('A-18'!R6="-",'A-18'!R53="-",'A-18'!R100="-"),"-",SUM('A-18'!R6,'A-18'!R53,'A-18'!R100))</f>
        <v>307271</v>
      </c>
      <c r="S6" s="22"/>
      <c r="T6" s="22"/>
    </row>
    <row r="7" spans="1:21" ht="11.25" customHeight="1" x14ac:dyDescent="0.25">
      <c r="A7" s="371">
        <v>1978</v>
      </c>
      <c r="B7" s="200">
        <f>IF(AND('A-18'!B7="-",'A-18'!B54="-",'A-18'!B101="-"),"-",SUM('A-18'!B7,'A-18'!B54,'A-18'!B101))</f>
        <v>2405</v>
      </c>
      <c r="C7" s="200">
        <f>IF(AND('A-18'!C7="-",'A-18'!C54="-",'A-18'!C101="-"),"-",SUM('A-18'!C7,'A-18'!C54,'A-18'!C101))</f>
        <v>8841</v>
      </c>
      <c r="D7" s="200">
        <f>IF(AND('A-18'!D7="-",'A-18'!D54="-",'A-18'!D101="-"),"-",SUM('A-18'!D7,'A-18'!D54,'A-18'!D101))</f>
        <v>29101</v>
      </c>
      <c r="E7" s="200">
        <f>IF(AND('A-18'!E7="-",'A-18'!E54="-",'A-18'!E101="-"),"-",SUM('A-18'!E7,'A-18'!E54,'A-18'!E101))</f>
        <v>15922</v>
      </c>
      <c r="F7" s="200">
        <f>IF(AND('A-18'!F7="-",'A-18'!F54="-",'A-18'!F101="-"),"-",SUM('A-18'!F7,'A-18'!F54,'A-18'!F101))</f>
        <v>14530</v>
      </c>
      <c r="G7" s="200">
        <f>IF(AND('A-18'!G7="-",'A-18'!G54="-",'A-18'!G101="-"),"-",SUM('A-18'!G7,'A-18'!G54,'A-18'!G101))</f>
        <v>2673</v>
      </c>
      <c r="H7" s="200">
        <f>IF(AND('A-18'!H7="-",'A-18'!H54="-",'A-18'!H101="-"),"-",SUM('A-18'!H7,'A-18'!H54,'A-18'!H101))</f>
        <v>1166</v>
      </c>
      <c r="I7" s="200">
        <f>IF(AND('A-18'!I7="-",'A-18'!I54="-",'A-18'!I101="-"),"-",SUM('A-18'!I7,'A-18'!I54,'A-18'!I101))</f>
        <v>74638</v>
      </c>
      <c r="K7" s="200">
        <f>IF(AND('A-18'!K7="-",'A-18'!K54="-",'A-18'!K101="-"),"-",SUM('A-18'!K7,'A-18'!K54,'A-18'!K101))</f>
        <v>390</v>
      </c>
      <c r="L7" s="200">
        <f>IF(AND('A-18'!L7="-",'A-18'!L54="-",'A-18'!L101="-"),"-",SUM('A-18'!L7,'A-18'!L54,'A-18'!L101))</f>
        <v>7478</v>
      </c>
      <c r="M7" s="200">
        <f>IF(AND('A-18'!M7="-",'A-18'!M54="-",'A-18'!M101="-"),"-",SUM('A-18'!M7,'A-18'!M54,'A-18'!M101))</f>
        <v>53521</v>
      </c>
      <c r="N7" s="200">
        <f>IF(AND('A-18'!N7="-",'A-18'!N54="-",'A-18'!N101="-"),"-",SUM('A-18'!N7,'A-18'!N54,'A-18'!N101))</f>
        <v>91588</v>
      </c>
      <c r="O7" s="200">
        <f>IF(AND('A-18'!O7="-",'A-18'!O54="-",'A-18'!O101="-"),"-",SUM('A-18'!O7,'A-18'!O54,'A-18'!O101))</f>
        <v>78533</v>
      </c>
      <c r="P7" s="200">
        <f>IF(AND('A-18'!P7="-",'A-18'!P54="-",'A-18'!P101="-"),"-",SUM('A-18'!P7,'A-18'!P54,'A-18'!P101))</f>
        <v>37730</v>
      </c>
      <c r="Q7" s="200">
        <f>IF(AND('A-18'!Q7="-",'A-18'!Q54="-",'A-18'!Q101="-"),"-",SUM('A-18'!Q7,'A-18'!Q54,'A-18'!Q101))</f>
        <v>1800</v>
      </c>
      <c r="R7" s="200">
        <f>IF(AND('A-18'!R7="-",'A-18'!R54="-",'A-18'!R101="-"),"-",SUM('A-18'!R7,'A-18'!R54,'A-18'!R101))</f>
        <v>271040</v>
      </c>
      <c r="S7" s="22"/>
      <c r="T7" s="22"/>
    </row>
    <row r="8" spans="1:21" ht="11.25" customHeight="1" x14ac:dyDescent="0.25">
      <c r="A8" s="371">
        <v>1979</v>
      </c>
      <c r="B8" s="200">
        <f>IF(AND('A-18'!B8="-",'A-18'!B55="-",'A-18'!B102="-"),"-",SUM('A-18'!B8,'A-18'!B55,'A-18'!B102))</f>
        <v>504</v>
      </c>
      <c r="C8" s="200">
        <f>IF(AND('A-18'!C8="-",'A-18'!C55="-",'A-18'!C102="-"),"-",SUM('A-18'!C8,'A-18'!C55,'A-18'!C102))</f>
        <v>7163</v>
      </c>
      <c r="D8" s="200">
        <f>IF(AND('A-18'!D8="-",'A-18'!D55="-",'A-18'!D102="-"),"-",SUM('A-18'!D8,'A-18'!D55,'A-18'!D102))</f>
        <v>16425</v>
      </c>
      <c r="E8" s="200">
        <f>IF(AND('A-18'!E8="-",'A-18'!E55="-",'A-18'!E102="-"),"-",SUM('A-18'!E8,'A-18'!E55,'A-18'!E102))</f>
        <v>11401</v>
      </c>
      <c r="F8" s="200">
        <f>IF(AND('A-18'!F8="-",'A-18'!F55="-",'A-18'!F102="-"),"-",SUM('A-18'!F8,'A-18'!F55,'A-18'!F102))</f>
        <v>17407</v>
      </c>
      <c r="G8" s="200">
        <f>IF(AND('A-18'!G8="-",'A-18'!G55="-",'A-18'!G102="-"),"-",SUM('A-18'!G8,'A-18'!G55,'A-18'!G102))</f>
        <v>102</v>
      </c>
      <c r="H8" s="200">
        <f>IF(AND('A-18'!H8="-",'A-18'!H55="-",'A-18'!H102="-"),"-",SUM('A-18'!H8,'A-18'!H55,'A-18'!H102))</f>
        <v>14</v>
      </c>
      <c r="I8" s="200">
        <f>IF(AND('A-18'!I8="-",'A-18'!I55="-",'A-18'!I102="-"),"-",SUM('A-18'!I8,'A-18'!I55,'A-18'!I102))</f>
        <v>53016</v>
      </c>
      <c r="K8" s="200">
        <f>IF(AND('A-18'!K8="-",'A-18'!K55="-",'A-18'!K102="-"),"-",SUM('A-18'!K8,'A-18'!K55,'A-18'!K102))</f>
        <v>408</v>
      </c>
      <c r="L8" s="200">
        <f>IF(AND('A-18'!L8="-",'A-18'!L55="-",'A-18'!L102="-"),"-",SUM('A-18'!L8,'A-18'!L55,'A-18'!L102))</f>
        <v>5030</v>
      </c>
      <c r="M8" s="200">
        <f>IF(AND('A-18'!M8="-",'A-18'!M55="-",'A-18'!M102="-"),"-",SUM('A-18'!M8,'A-18'!M55,'A-18'!M102))</f>
        <v>28331</v>
      </c>
      <c r="N8" s="200">
        <f>IF(AND('A-18'!N8="-",'A-18'!N55="-",'A-18'!N102="-"),"-",SUM('A-18'!N8,'A-18'!N55,'A-18'!N102))</f>
        <v>70320</v>
      </c>
      <c r="O8" s="200">
        <f>IF(AND('A-18'!O8="-",'A-18'!O55="-",'A-18'!O102="-"),"-",SUM('A-18'!O8,'A-18'!O55,'A-18'!O102))</f>
        <v>62952</v>
      </c>
      <c r="P8" s="200">
        <f>IF(AND('A-18'!P8="-",'A-18'!P55="-",'A-18'!P102="-"),"-",SUM('A-18'!P8,'A-18'!P55,'A-18'!P102))</f>
        <v>2755</v>
      </c>
      <c r="Q8" s="200">
        <f>IF(AND('A-18'!Q8="-",'A-18'!Q55="-",'A-18'!Q102="-"),"-",SUM('A-18'!Q8,'A-18'!Q55,'A-18'!Q102))</f>
        <v>235</v>
      </c>
      <c r="R8" s="200">
        <f>IF(AND('A-18'!R8="-",'A-18'!R55="-",'A-18'!R102="-"),"-",SUM('A-18'!R8,'A-18'!R55,'A-18'!R102))</f>
        <v>170031</v>
      </c>
      <c r="S8" s="22"/>
      <c r="T8" s="22"/>
    </row>
    <row r="9" spans="1:21" ht="11.25" customHeight="1" x14ac:dyDescent="0.25">
      <c r="A9" s="371">
        <v>1980</v>
      </c>
      <c r="B9" s="200" t="str">
        <f>IF(AND('A-18'!B9="-",'A-18'!B56="-",'A-18'!B103="-"),"-",SUM('A-18'!B9,'A-18'!B56,'A-18'!B103))</f>
        <v>-</v>
      </c>
      <c r="C9" s="200">
        <f>IF(AND('A-18'!C9="-",'A-18'!C56="-",'A-18'!C103="-"),"-",SUM('A-18'!C9,'A-18'!C56,'A-18'!C103))</f>
        <v>1592</v>
      </c>
      <c r="D9" s="200">
        <f>IF(AND('A-18'!D9="-",'A-18'!D56="-",'A-18'!D103="-"),"-",SUM('A-18'!D9,'A-18'!D56,'A-18'!D103))</f>
        <v>10881</v>
      </c>
      <c r="E9" s="200">
        <f>IF(AND('A-18'!E9="-",'A-18'!E56="-",'A-18'!E103="-"),"-",SUM('A-18'!E9,'A-18'!E56,'A-18'!E103))</f>
        <v>17702</v>
      </c>
      <c r="F9" s="200">
        <f>IF(AND('A-18'!F9="-",'A-18'!F56="-",'A-18'!F103="-"),"-",SUM('A-18'!F9,'A-18'!F56,'A-18'!F103))</f>
        <v>6974</v>
      </c>
      <c r="G9" s="200">
        <f>IF(AND('A-18'!G9="-",'A-18'!G56="-",'A-18'!G103="-"),"-",SUM('A-18'!G9,'A-18'!G56,'A-18'!G103))</f>
        <v>103</v>
      </c>
      <c r="H9" s="200" t="str">
        <f>IF(AND('A-18'!H9="-",'A-18'!H56="-",'A-18'!H103="-"),"-",SUM('A-18'!H9,'A-18'!H56,'A-18'!H103))</f>
        <v>-</v>
      </c>
      <c r="I9" s="200">
        <f>IF(AND('A-18'!I9="-",'A-18'!I56="-",'A-18'!I103="-"),"-",SUM('A-18'!I9,'A-18'!I56,'A-18'!I103))</f>
        <v>37252</v>
      </c>
      <c r="K9" s="200" t="str">
        <f>IF(AND('A-18'!K9="-",'A-18'!K56="-",'A-18'!K103="-"),"-",SUM('A-18'!K9,'A-18'!K56,'A-18'!K103))</f>
        <v>-</v>
      </c>
      <c r="L9" s="200">
        <f>IF(AND('A-18'!L9="-",'A-18'!L56="-",'A-18'!L103="-"),"-",SUM('A-18'!L9,'A-18'!L56,'A-18'!L103))</f>
        <v>17008</v>
      </c>
      <c r="M9" s="200">
        <f>IF(AND('A-18'!M9="-",'A-18'!M56="-",'A-18'!M103="-"),"-",SUM('A-18'!M9,'A-18'!M56,'A-18'!M103))</f>
        <v>48334</v>
      </c>
      <c r="N9" s="200">
        <f>IF(AND('A-18'!N9="-",'A-18'!N56="-",'A-18'!N103="-"),"-",SUM('A-18'!N9,'A-18'!N56,'A-18'!N103))</f>
        <v>82998</v>
      </c>
      <c r="O9" s="200">
        <f>IF(AND('A-18'!O9="-",'A-18'!O56="-",'A-18'!O103="-"),"-",SUM('A-18'!O9,'A-18'!O56,'A-18'!O103))</f>
        <v>57329</v>
      </c>
      <c r="P9" s="200">
        <f>IF(AND('A-18'!P9="-",'A-18'!P56="-",'A-18'!P103="-"),"-",SUM('A-18'!P9,'A-18'!P56,'A-18'!P103))</f>
        <v>2683</v>
      </c>
      <c r="Q9" s="200">
        <f>IF(AND('A-18'!Q9="-",'A-18'!Q56="-",'A-18'!Q103="-"),"-",SUM('A-18'!Q9,'A-18'!Q56,'A-18'!Q103))</f>
        <v>44</v>
      </c>
      <c r="R9" s="200">
        <f>IF(AND('A-18'!R9="-",'A-18'!R56="-",'A-18'!R103="-"),"-",SUM('A-18'!R9,'A-18'!R56,'A-18'!R103))</f>
        <v>208396</v>
      </c>
      <c r="S9" s="22"/>
      <c r="T9" s="22"/>
    </row>
    <row r="10" spans="1:21" ht="11.25" customHeight="1" x14ac:dyDescent="0.25">
      <c r="A10" s="371">
        <v>1981</v>
      </c>
      <c r="B10" s="200">
        <f>IF(AND('A-18'!B10="-",'A-18'!B57="-",'A-18'!B104="-"),"-",SUM('A-18'!B10,'A-18'!B57,'A-18'!B104))</f>
        <v>138</v>
      </c>
      <c r="C10" s="200">
        <f>IF(AND('A-18'!C10="-",'A-18'!C57="-",'A-18'!C104="-"),"-",SUM('A-18'!C10,'A-18'!C57,'A-18'!C104))</f>
        <v>2484</v>
      </c>
      <c r="D10" s="200">
        <f>IF(AND('A-18'!D10="-",'A-18'!D57="-",'A-18'!D104="-"),"-",SUM('A-18'!D10,'A-18'!D57,'A-18'!D104))</f>
        <v>11237</v>
      </c>
      <c r="E10" s="200">
        <f>IF(AND('A-18'!E10="-",'A-18'!E57="-",'A-18'!E104="-"),"-",SUM('A-18'!E10,'A-18'!E57,'A-18'!E104))</f>
        <v>30863</v>
      </c>
      <c r="F10" s="200">
        <f>IF(AND('A-18'!F10="-",'A-18'!F57="-",'A-18'!F104="-"),"-",SUM('A-18'!F10,'A-18'!F57,'A-18'!F104))</f>
        <v>15964</v>
      </c>
      <c r="G10" s="200">
        <f>IF(AND('A-18'!G10="-",'A-18'!G57="-",'A-18'!G104="-"),"-",SUM('A-18'!G10,'A-18'!G57,'A-18'!G104))</f>
        <v>51</v>
      </c>
      <c r="H10" s="200">
        <f>IF(AND('A-18'!H10="-",'A-18'!H57="-",'A-18'!H104="-"),"-",SUM('A-18'!H10,'A-18'!H57,'A-18'!H104))</f>
        <v>17</v>
      </c>
      <c r="I10" s="200">
        <f>IF(AND('A-18'!I10="-",'A-18'!I57="-",'A-18'!I104="-"),"-",SUM('A-18'!I10,'A-18'!I57,'A-18'!I104))</f>
        <v>60754</v>
      </c>
      <c r="K10" s="200">
        <f>IF(AND('A-18'!K10="-",'A-18'!K57="-",'A-18'!K104="-"),"-",SUM('A-18'!K10,'A-18'!K57,'A-18'!K104))</f>
        <v>80</v>
      </c>
      <c r="L10" s="200">
        <f>IF(AND('A-18'!L10="-",'A-18'!L57="-",'A-18'!L104="-"),"-",SUM('A-18'!L10,'A-18'!L57,'A-18'!L104))</f>
        <v>2937</v>
      </c>
      <c r="M10" s="200">
        <f>IF(AND('A-18'!M10="-",'A-18'!M57="-",'A-18'!M104="-"),"-",SUM('A-18'!M10,'A-18'!M57,'A-18'!M104))</f>
        <v>25023</v>
      </c>
      <c r="N10" s="200">
        <f>IF(AND('A-18'!N10="-",'A-18'!N57="-",'A-18'!N104="-"),"-",SUM('A-18'!N10,'A-18'!N57,'A-18'!N104))</f>
        <v>43215</v>
      </c>
      <c r="O10" s="200">
        <f>IF(AND('A-18'!O10="-",'A-18'!O57="-",'A-18'!O104="-"),"-",SUM('A-18'!O10,'A-18'!O57,'A-18'!O104))</f>
        <v>43452</v>
      </c>
      <c r="P10" s="200">
        <f>IF(AND('A-18'!P10="-",'A-18'!P57="-",'A-18'!P104="-"),"-",SUM('A-18'!P10,'A-18'!P57,'A-18'!P104))</f>
        <v>4244</v>
      </c>
      <c r="Q10" s="200">
        <f>IF(AND('A-18'!Q10="-",'A-18'!Q57="-",'A-18'!Q104="-"),"-",SUM('A-18'!Q10,'A-18'!Q57,'A-18'!Q104))</f>
        <v>372</v>
      </c>
      <c r="R10" s="200">
        <f>IF(AND('A-18'!R10="-",'A-18'!R57="-",'A-18'!R104="-"),"-",SUM('A-18'!R10,'A-18'!R57,'A-18'!R104))</f>
        <v>119323</v>
      </c>
      <c r="S10" s="22"/>
      <c r="T10" s="22"/>
    </row>
    <row r="11" spans="1:21" ht="11.25" customHeight="1" x14ac:dyDescent="0.25">
      <c r="A11" s="371">
        <v>1982</v>
      </c>
      <c r="B11" s="200">
        <f>IF(AND('A-18'!B11="-",'A-18'!B58="-",'A-18'!B105="-"),"-",SUM('A-18'!B11,'A-18'!B58,'A-18'!B105))</f>
        <v>3</v>
      </c>
      <c r="C11" s="200">
        <f>IF(AND('A-18'!C11="-",'A-18'!C58="-",'A-18'!C105="-"),"-",SUM('A-18'!C11,'A-18'!C58,'A-18'!C105))</f>
        <v>654</v>
      </c>
      <c r="D11" s="200">
        <f>IF(AND('A-18'!D11="-",'A-18'!D58="-",'A-18'!D105="-"),"-",SUM('A-18'!D11,'A-18'!D58,'A-18'!D105))</f>
        <v>33585</v>
      </c>
      <c r="E11" s="200">
        <f>IF(AND('A-18'!E11="-",'A-18'!E58="-",'A-18'!E105="-"),"-",SUM('A-18'!E11,'A-18'!E58,'A-18'!E105))</f>
        <v>40557</v>
      </c>
      <c r="F11" s="200">
        <f>IF(AND('A-18'!F11="-",'A-18'!F58="-",'A-18'!F105="-"),"-",SUM('A-18'!F11,'A-18'!F58,'A-18'!F105))</f>
        <v>12216</v>
      </c>
      <c r="G11" s="200">
        <f>IF(AND('A-18'!G11="-",'A-18'!G58="-",'A-18'!G105="-"),"-",SUM('A-18'!G11,'A-18'!G58,'A-18'!G105))</f>
        <v>219</v>
      </c>
      <c r="H11" s="200">
        <f>IF(AND('A-18'!H11="-",'A-18'!H58="-",'A-18'!H105="-"),"-",SUM('A-18'!H11,'A-18'!H58,'A-18'!H105))</f>
        <v>35</v>
      </c>
      <c r="I11" s="200">
        <f>IF(AND('A-18'!I11="-",'A-18'!I58="-",'A-18'!I105="-"),"-",SUM('A-18'!I11,'A-18'!I58,'A-18'!I105))</f>
        <v>87269</v>
      </c>
      <c r="K11" s="200" t="str">
        <f>IF(AND('A-18'!K11="-",'A-18'!K58="-",'A-18'!K105="-"),"-",SUM('A-18'!K11,'A-18'!K58,'A-18'!K105))</f>
        <v>-</v>
      </c>
      <c r="L11" s="200">
        <f>IF(AND('A-18'!L11="-",'A-18'!L58="-",'A-18'!L105="-"),"-",SUM('A-18'!L11,'A-18'!L58,'A-18'!L105))</f>
        <v>113</v>
      </c>
      <c r="M11" s="200">
        <f>IF(AND('A-18'!M11="-",'A-18'!M58="-",'A-18'!M105="-"),"-",SUM('A-18'!M11,'A-18'!M58,'A-18'!M105))</f>
        <v>10618</v>
      </c>
      <c r="N11" s="200">
        <f>IF(AND('A-18'!N11="-",'A-18'!N58="-",'A-18'!N105="-"),"-",SUM('A-18'!N11,'A-18'!N58,'A-18'!N105))</f>
        <v>53956</v>
      </c>
      <c r="O11" s="200">
        <f>IF(AND('A-18'!O11="-",'A-18'!O58="-",'A-18'!O105="-"),"-",SUM('A-18'!O11,'A-18'!O58,'A-18'!O105))</f>
        <v>52642</v>
      </c>
      <c r="P11" s="200">
        <f>IF(AND('A-18'!P11="-",'A-18'!P58="-",'A-18'!P105="-"),"-",SUM('A-18'!P11,'A-18'!P58,'A-18'!P105))</f>
        <v>5848</v>
      </c>
      <c r="Q11" s="200">
        <f>IF(AND('A-18'!Q11="-",'A-18'!Q58="-",'A-18'!Q105="-"),"-",SUM('A-18'!Q11,'A-18'!Q58,'A-18'!Q105))</f>
        <v>78</v>
      </c>
      <c r="R11" s="200">
        <f>IF(AND('A-18'!R11="-",'A-18'!R58="-",'A-18'!R105="-"),"-",SUM('A-18'!R11,'A-18'!R58,'A-18'!R105))</f>
        <v>123255</v>
      </c>
      <c r="S11" s="22"/>
      <c r="T11" s="22"/>
    </row>
    <row r="12" spans="1:21" ht="11.25" customHeight="1" x14ac:dyDescent="0.25">
      <c r="A12" s="371">
        <v>1983</v>
      </c>
      <c r="B12" s="200">
        <f>IF(AND('A-18'!B12="-",'A-18'!B59="-",'A-18'!B106="-"),"-",SUM('A-18'!B12,'A-18'!B59,'A-18'!B106))</f>
        <v>117</v>
      </c>
      <c r="C12" s="200">
        <f>IF(AND('A-18'!C12="-",'A-18'!C59="-",'A-18'!C106="-"),"-",SUM('A-18'!C12,'A-18'!C59,'A-18'!C106))</f>
        <v>753</v>
      </c>
      <c r="D12" s="200">
        <f>IF(AND('A-18'!D12="-",'A-18'!D59="-",'A-18'!D106="-"),"-",SUM('A-18'!D12,'A-18'!D59,'A-18'!D106))</f>
        <v>20314</v>
      </c>
      <c r="E12" s="200">
        <f>IF(AND('A-18'!E12="-",'A-18'!E59="-",'A-18'!E106="-"),"-",SUM('A-18'!E12,'A-18'!E59,'A-18'!E106))</f>
        <v>10461</v>
      </c>
      <c r="F12" s="200">
        <f>IF(AND('A-18'!F12="-",'A-18'!F59="-",'A-18'!F106="-"),"-",SUM('A-18'!F12,'A-18'!F59,'A-18'!F106))</f>
        <v>5224</v>
      </c>
      <c r="G12" s="200">
        <f>IF(AND('A-18'!G12="-",'A-18'!G59="-",'A-18'!G106="-"),"-",SUM('A-18'!G12,'A-18'!G59,'A-18'!G106))</f>
        <v>1495</v>
      </c>
      <c r="H12" s="200" t="str">
        <f>IF(AND('A-18'!H12="-",'A-18'!H59="-",'A-18'!H106="-"),"-",SUM('A-18'!H12,'A-18'!H59,'A-18'!H106))</f>
        <v>-</v>
      </c>
      <c r="I12" s="200">
        <f>IF(AND('A-18'!I12="-",'A-18'!I59="-",'A-18'!I106="-"),"-",SUM('A-18'!I12,'A-18'!I59,'A-18'!I106))</f>
        <v>38364</v>
      </c>
      <c r="K12" s="200" t="str">
        <f>IF(AND('A-18'!K12="-",'A-18'!K59="-",'A-18'!K106="-"),"-",SUM('A-18'!K12,'A-18'!K59,'A-18'!K106))</f>
        <v>-</v>
      </c>
      <c r="L12" s="200">
        <f>IF(AND('A-18'!L12="-",'A-18'!L59="-",'A-18'!L106="-"),"-",SUM('A-18'!L12,'A-18'!L59,'A-18'!L106))</f>
        <v>422</v>
      </c>
      <c r="M12" s="200">
        <f>IF(AND('A-18'!M12="-",'A-18'!M59="-",'A-18'!M106="-"),"-",SUM('A-18'!M12,'A-18'!M59,'A-18'!M106))</f>
        <v>12165</v>
      </c>
      <c r="N12" s="200">
        <f>IF(AND('A-18'!N12="-",'A-18'!N59="-",'A-18'!N106="-"),"-",SUM('A-18'!N12,'A-18'!N59,'A-18'!N106))</f>
        <v>43293</v>
      </c>
      <c r="O12" s="200">
        <f>IF(AND('A-18'!O12="-",'A-18'!O59="-",'A-18'!O106="-"),"-",SUM('A-18'!O12,'A-18'!O59,'A-18'!O106))</f>
        <v>53122</v>
      </c>
      <c r="P12" s="200">
        <f>IF(AND('A-18'!P12="-",'A-18'!P59="-",'A-18'!P106="-"),"-",SUM('A-18'!P12,'A-18'!P59,'A-18'!P106))</f>
        <v>14685</v>
      </c>
      <c r="Q12" s="200">
        <f>IF(AND('A-18'!Q12="-",'A-18'!Q59="-",'A-18'!Q106="-"),"-",SUM('A-18'!Q12,'A-18'!Q59,'A-18'!Q106))</f>
        <v>33</v>
      </c>
      <c r="R12" s="200">
        <f>IF(AND('A-18'!R12="-",'A-18'!R59="-",'A-18'!R106="-"),"-",SUM('A-18'!R12,'A-18'!R59,'A-18'!R106))</f>
        <v>123720</v>
      </c>
      <c r="S12" s="22"/>
      <c r="T12" s="22"/>
    </row>
    <row r="13" spans="1:21" ht="11.25" customHeight="1" x14ac:dyDescent="0.25">
      <c r="A13" s="371">
        <v>1984</v>
      </c>
      <c r="B13" s="200">
        <f>IF(AND('A-18'!B13="-",'A-18'!B60="-",'A-18'!B107="-"),"-",SUM('A-18'!B13,'A-18'!B60,'A-18'!B107))</f>
        <v>24</v>
      </c>
      <c r="C13" s="200">
        <f>IF(AND('A-18'!C13="-",'A-18'!C60="-",'A-18'!C107="-"),"-",SUM('A-18'!C13,'A-18'!C60,'A-18'!C107))</f>
        <v>6017</v>
      </c>
      <c r="D13" s="200">
        <f>IF(AND('A-18'!D13="-",'A-18'!D60="-",'A-18'!D107="-"),"-",SUM('A-18'!D13,'A-18'!D60,'A-18'!D107))</f>
        <v>0</v>
      </c>
      <c r="E13" s="200">
        <f>IF(AND('A-18'!E13="-",'A-18'!E60="-",'A-18'!E107="-"),"-",SUM('A-18'!E13,'A-18'!E60,'A-18'!E107))</f>
        <v>117</v>
      </c>
      <c r="F13" s="200">
        <f>IF(AND('A-18'!F13="-",'A-18'!F60="-",'A-18'!F107="-"),"-",SUM('A-18'!F13,'A-18'!F60,'A-18'!F107))</f>
        <v>109</v>
      </c>
      <c r="G13" s="200" t="str">
        <f>IF(AND('A-18'!G13="-",'A-18'!G60="-",'A-18'!G107="-"),"-",SUM('A-18'!G13,'A-18'!G60,'A-18'!G107))</f>
        <v>-</v>
      </c>
      <c r="H13" s="200" t="str">
        <f>IF(AND('A-18'!H13="-",'A-18'!H60="-",'A-18'!H107="-"),"-",SUM('A-18'!H13,'A-18'!H60,'A-18'!H107))</f>
        <v>-</v>
      </c>
      <c r="I13" s="200">
        <f>IF(AND('A-18'!I13="-",'A-18'!I60="-",'A-18'!I107="-"),"-",SUM('A-18'!I13,'A-18'!I60,'A-18'!I107))</f>
        <v>6267</v>
      </c>
      <c r="K13" s="200" t="str">
        <f>IF(AND('A-18'!K13="-",'A-18'!K60="-",'A-18'!K107="-"),"-",SUM('A-18'!K13,'A-18'!K60,'A-18'!K107))</f>
        <v>-</v>
      </c>
      <c r="L13" s="200" t="str">
        <f>IF(AND('A-18'!L13="-",'A-18'!L60="-",'A-18'!L107="-"),"-",SUM('A-18'!L13,'A-18'!L60,'A-18'!L107))</f>
        <v>-</v>
      </c>
      <c r="M13" s="200" t="str">
        <f>IF(AND('A-18'!M13="-",'A-18'!M60="-",'A-18'!M107="-"),"-",SUM('A-18'!M13,'A-18'!M60,'A-18'!M107))</f>
        <v>-</v>
      </c>
      <c r="N13" s="200">
        <f>IF(AND('A-18'!N13="-",'A-18'!N60="-",'A-18'!N107="-"),"-",SUM('A-18'!N13,'A-18'!N60,'A-18'!N107))</f>
        <v>2676</v>
      </c>
      <c r="O13" s="200">
        <f>IF(AND('A-18'!O13="-",'A-18'!O60="-",'A-18'!O107="-"),"-",SUM('A-18'!O13,'A-18'!O60,'A-18'!O107))</f>
        <v>14189</v>
      </c>
      <c r="P13" s="200">
        <f>IF(AND('A-18'!P13="-",'A-18'!P60="-",'A-18'!P107="-"),"-",SUM('A-18'!P13,'A-18'!P60,'A-18'!P107))</f>
        <v>264</v>
      </c>
      <c r="Q13" s="200" t="str">
        <f>IF(AND('A-18'!Q13="-",'A-18'!Q60="-",'A-18'!Q107="-"),"-",SUM('A-18'!Q13,'A-18'!Q60,'A-18'!Q107))</f>
        <v>-</v>
      </c>
      <c r="R13" s="200">
        <f>IF(AND('A-18'!R13="-",'A-18'!R60="-",'A-18'!R107="-"),"-",SUM('A-18'!R13,'A-18'!R60,'A-18'!R107))</f>
        <v>17129</v>
      </c>
      <c r="S13" s="22"/>
      <c r="T13" s="22"/>
    </row>
    <row r="14" spans="1:21" ht="11.25" customHeight="1" x14ac:dyDescent="0.25">
      <c r="A14" s="371">
        <v>1985</v>
      </c>
      <c r="B14" s="200">
        <f>IF(AND('A-18'!B14="-",'A-18'!B61="-",'A-18'!B108="-"),"-",SUM('A-18'!B14,'A-18'!B61,'A-18'!B108))</f>
        <v>5</v>
      </c>
      <c r="C14" s="200">
        <f>IF(AND('A-18'!C14="-",'A-18'!C61="-",'A-18'!C108="-"),"-",SUM('A-18'!C14,'A-18'!C61,'A-18'!C108))</f>
        <v>1</v>
      </c>
      <c r="D14" s="200">
        <f>IF(AND('A-18'!D14="-",'A-18'!D61="-",'A-18'!D108="-"),"-",SUM('A-18'!D14,'A-18'!D61,'A-18'!D108))</f>
        <v>831</v>
      </c>
      <c r="E14" s="200">
        <f>IF(AND('A-18'!E14="-",'A-18'!E61="-",'A-18'!E108="-"),"-",SUM('A-18'!E14,'A-18'!E61,'A-18'!E108))</f>
        <v>12110</v>
      </c>
      <c r="F14" s="200">
        <f>IF(AND('A-18'!F14="-",'A-18'!F61="-",'A-18'!F108="-"),"-",SUM('A-18'!F14,'A-18'!F61,'A-18'!F108))</f>
        <v>7297</v>
      </c>
      <c r="G14" s="200">
        <f>IF(AND('A-18'!G14="-",'A-18'!G61="-",'A-18'!G108="-"),"-",SUM('A-18'!G14,'A-18'!G61,'A-18'!G108))</f>
        <v>256</v>
      </c>
      <c r="H14" s="200" t="str">
        <f>IF(AND('A-18'!H14="-",'A-18'!H61="-",'A-18'!H108="-"),"-",SUM('A-18'!H14,'A-18'!H61,'A-18'!H108))</f>
        <v>-</v>
      </c>
      <c r="I14" s="200">
        <f>IF(AND('A-18'!I14="-",'A-18'!I61="-",'A-18'!I108="-"),"-",SUM('A-18'!I14,'A-18'!I61,'A-18'!I108))</f>
        <v>20500</v>
      </c>
      <c r="K14" s="200" t="str">
        <f>IF(AND('A-18'!K14="-",'A-18'!K61="-",'A-18'!K108="-"),"-",SUM('A-18'!K14,'A-18'!K61,'A-18'!K108))</f>
        <v>-</v>
      </c>
      <c r="L14" s="200" t="str">
        <f>IF(AND('A-18'!L14="-",'A-18'!L61="-",'A-18'!L108="-"),"-",SUM('A-18'!L14,'A-18'!L61,'A-18'!L108))</f>
        <v>-</v>
      </c>
      <c r="M14" s="200">
        <f>IF(AND('A-18'!M14="-",'A-18'!M61="-",'A-18'!M108="-"),"-",SUM('A-18'!M14,'A-18'!M61,'A-18'!M108))</f>
        <v>1490</v>
      </c>
      <c r="N14" s="200">
        <f>IF(AND('A-18'!N14="-",'A-18'!N61="-",'A-18'!N108="-"),"-",SUM('A-18'!N14,'A-18'!N61,'A-18'!N108))</f>
        <v>43878</v>
      </c>
      <c r="O14" s="200">
        <f>IF(AND('A-18'!O14="-",'A-18'!O61="-",'A-18'!O108="-"),"-",SUM('A-18'!O14,'A-18'!O61,'A-18'!O108))</f>
        <v>47771</v>
      </c>
      <c r="P14" s="200">
        <f>IF(AND('A-18'!P14="-",'A-18'!P61="-",'A-18'!P108="-"),"-",SUM('A-18'!P14,'A-18'!P61,'A-18'!P108))</f>
        <v>6013</v>
      </c>
      <c r="Q14" s="200" t="str">
        <f>IF(AND('A-18'!Q14="-",'A-18'!Q61="-",'A-18'!Q108="-"),"-",SUM('A-18'!Q14,'A-18'!Q61,'A-18'!Q108))</f>
        <v>-</v>
      </c>
      <c r="R14" s="200">
        <f>IF(AND('A-18'!R14="-",'A-18'!R61="-",'A-18'!R108="-"),"-",SUM('A-18'!R14,'A-18'!R61,'A-18'!R108))</f>
        <v>99152</v>
      </c>
      <c r="S14" s="22"/>
      <c r="T14" s="22"/>
    </row>
    <row r="15" spans="1:21" ht="11.25" customHeight="1" x14ac:dyDescent="0.25">
      <c r="A15" s="371">
        <v>1986</v>
      </c>
      <c r="B15" s="200" t="str">
        <f>IF(AND('A-18'!B15="-",'A-18'!B62="-",'A-18'!B109="-"),"-",SUM('A-18'!B15,'A-18'!B62,'A-18'!B109))</f>
        <v>-</v>
      </c>
      <c r="C15" s="200" t="str">
        <f>IF(AND('A-18'!C15="-",'A-18'!C62="-",'A-18'!C109="-"),"-",SUM('A-18'!C15,'A-18'!C62,'A-18'!C109))</f>
        <v>-</v>
      </c>
      <c r="D15" s="200">
        <f>IF(AND('A-18'!D15="-",'A-18'!D62="-",'A-18'!D109="-"),"-",SUM('A-18'!D15,'A-18'!D62,'A-18'!D109))</f>
        <v>621</v>
      </c>
      <c r="E15" s="200">
        <f>IF(AND('A-18'!E15="-",'A-18'!E62="-",'A-18'!E109="-"),"-",SUM('A-18'!E15,'A-18'!E62,'A-18'!E109))</f>
        <v>10632</v>
      </c>
      <c r="F15" s="200">
        <f>IF(AND('A-18'!F15="-",'A-18'!F62="-",'A-18'!F109="-"),"-",SUM('A-18'!F15,'A-18'!F62,'A-18'!F109))</f>
        <v>7623</v>
      </c>
      <c r="G15" s="200" t="str">
        <f>IF(AND('A-18'!G15="-",'A-18'!G62="-",'A-18'!G109="-"),"-",SUM('A-18'!G15,'A-18'!G62,'A-18'!G109))</f>
        <v>-</v>
      </c>
      <c r="H15" s="200" t="str">
        <f>IF(AND('A-18'!H15="-",'A-18'!H62="-",'A-18'!H109="-"),"-",SUM('A-18'!H15,'A-18'!H62,'A-18'!H109))</f>
        <v>-</v>
      </c>
      <c r="I15" s="200">
        <f>IF(AND('A-18'!I15="-",'A-18'!I62="-",'A-18'!I109="-"),"-",SUM('A-18'!I15,'A-18'!I62,'A-18'!I109))</f>
        <v>18876</v>
      </c>
      <c r="K15" s="200" t="str">
        <f>IF(AND('A-18'!K15="-",'A-18'!K62="-",'A-18'!K109="-"),"-",SUM('A-18'!K15,'A-18'!K62,'A-18'!K109))</f>
        <v>-</v>
      </c>
      <c r="L15" s="200" t="str">
        <f>IF(AND('A-18'!L15="-",'A-18'!L62="-",'A-18'!L109="-"),"-",SUM('A-18'!L15,'A-18'!L62,'A-18'!L109))</f>
        <v>-</v>
      </c>
      <c r="M15" s="200">
        <f>IF(AND('A-18'!M15="-",'A-18'!M62="-",'A-18'!M109="-"),"-",SUM('A-18'!M15,'A-18'!M62,'A-18'!M109))</f>
        <v>3724</v>
      </c>
      <c r="N15" s="200">
        <f>IF(AND('A-18'!N15="-",'A-18'!N62="-",'A-18'!N109="-"),"-",SUM('A-18'!N15,'A-18'!N62,'A-18'!N109))</f>
        <v>61325</v>
      </c>
      <c r="O15" s="200">
        <f>IF(AND('A-18'!O15="-",'A-18'!O62="-",'A-18'!O109="-"),"-",SUM('A-18'!O15,'A-18'!O62,'A-18'!O109))</f>
        <v>40992</v>
      </c>
      <c r="P15" s="200">
        <f>IF(AND('A-18'!P15="-",'A-18'!P62="-",'A-18'!P109="-"),"-",SUM('A-18'!P15,'A-18'!P62,'A-18'!P109))</f>
        <v>943</v>
      </c>
      <c r="Q15" s="200">
        <f>IF(AND('A-18'!Q15="-",'A-18'!Q62="-",'A-18'!Q109="-"),"-",SUM('A-18'!Q15,'A-18'!Q62,'A-18'!Q109))</f>
        <v>86</v>
      </c>
      <c r="R15" s="200">
        <f>IF(AND('A-18'!R15="-",'A-18'!R62="-",'A-18'!R109="-"),"-",SUM('A-18'!R15,'A-18'!R62,'A-18'!R109))</f>
        <v>107070</v>
      </c>
      <c r="S15" s="22"/>
      <c r="T15" s="22"/>
    </row>
    <row r="16" spans="1:21" ht="11.25" customHeight="1" x14ac:dyDescent="0.25">
      <c r="A16" s="371">
        <v>1987</v>
      </c>
      <c r="B16" s="200" t="str">
        <f>IF(AND('A-18'!B16="-",'A-18'!B63="-",'A-18'!B110="-"),"-",SUM('A-18'!B16,'A-18'!B63,'A-18'!B110))</f>
        <v>-</v>
      </c>
      <c r="C16" s="200" t="str">
        <f>IF(AND('A-18'!C16="-",'A-18'!C63="-",'A-18'!C110="-"),"-",SUM('A-18'!C16,'A-18'!C63,'A-18'!C110))</f>
        <v>-</v>
      </c>
      <c r="D16" s="200">
        <f>IF(AND('A-18'!D16="-",'A-18'!D63="-",'A-18'!D110="-"),"-",SUM('A-18'!D16,'A-18'!D63,'A-18'!D110))</f>
        <v>3112</v>
      </c>
      <c r="E16" s="200">
        <f>IF(AND('A-18'!E16="-",'A-18'!E63="-",'A-18'!E110="-"),"-",SUM('A-18'!E16,'A-18'!E63,'A-18'!E110))</f>
        <v>20685</v>
      </c>
      <c r="F16" s="200">
        <f>IF(AND('A-18'!F16="-",'A-18'!F63="-",'A-18'!F110="-"),"-",SUM('A-18'!F16,'A-18'!F63,'A-18'!F110))</f>
        <v>6309</v>
      </c>
      <c r="G16" s="200">
        <f>IF(AND('A-18'!G16="-",'A-18'!G63="-",'A-18'!G110="-"),"-",SUM('A-18'!G16,'A-18'!G63,'A-18'!G110))</f>
        <v>17</v>
      </c>
      <c r="H16" s="200" t="str">
        <f>IF(AND('A-18'!H16="-",'A-18'!H63="-",'A-18'!H110="-"),"-",SUM('A-18'!H16,'A-18'!H63,'A-18'!H110))</f>
        <v>-</v>
      </c>
      <c r="I16" s="200">
        <f>IF(AND('A-18'!I16="-",'A-18'!I63="-",'A-18'!I110="-"),"-",SUM('A-18'!I16,'A-18'!I63,'A-18'!I110))</f>
        <v>30123</v>
      </c>
      <c r="K16" s="200" t="str">
        <f>IF(AND('A-18'!K16="-",'A-18'!K63="-",'A-18'!K110="-"),"-",SUM('A-18'!K16,'A-18'!K63,'A-18'!K110))</f>
        <v>-</v>
      </c>
      <c r="L16" s="200" t="str">
        <f>IF(AND('A-18'!L16="-",'A-18'!L63="-",'A-18'!L110="-"),"-",SUM('A-18'!L16,'A-18'!L63,'A-18'!L110))</f>
        <v>-</v>
      </c>
      <c r="M16" s="200">
        <f>IF(AND('A-18'!M16="-",'A-18'!M63="-",'A-18'!M110="-"),"-",SUM('A-18'!M16,'A-18'!M63,'A-18'!M110))</f>
        <v>617</v>
      </c>
      <c r="N16" s="200">
        <f>IF(AND('A-18'!N16="-",'A-18'!N63="-",'A-18'!N110="-"),"-",SUM('A-18'!N16,'A-18'!N63,'A-18'!N110))</f>
        <v>44110</v>
      </c>
      <c r="O16" s="200">
        <f>IF(AND('A-18'!O16="-",'A-18'!O63="-",'A-18'!O110="-"),"-",SUM('A-18'!O16,'A-18'!O63,'A-18'!O110))</f>
        <v>24852</v>
      </c>
      <c r="P16" s="200">
        <f>IF(AND('A-18'!P16="-",'A-18'!P63="-",'A-18'!P110="-"),"-",SUM('A-18'!P16,'A-18'!P63,'A-18'!P110))</f>
        <v>44</v>
      </c>
      <c r="Q16" s="200">
        <f>IF(AND('A-18'!Q16="-",'A-18'!Q63="-",'A-18'!Q110="-"),"-",SUM('A-18'!Q16,'A-18'!Q63,'A-18'!Q110))</f>
        <v>3</v>
      </c>
      <c r="R16" s="200">
        <f>IF(AND('A-18'!R16="-",'A-18'!R63="-",'A-18'!R110="-"),"-",SUM('A-18'!R16,'A-18'!R63,'A-18'!R110))</f>
        <v>69626</v>
      </c>
      <c r="S16" s="22"/>
      <c r="T16" s="22"/>
    </row>
    <row r="17" spans="1:20" ht="11.25" customHeight="1" x14ac:dyDescent="0.25">
      <c r="A17" s="371">
        <v>1988</v>
      </c>
      <c r="B17" s="200" t="str">
        <f>IF(AND('A-18'!B17="-",'A-18'!B64="-",'A-18'!B111="-"),"-",SUM('A-18'!B17,'A-18'!B64,'A-18'!B111))</f>
        <v>-</v>
      </c>
      <c r="C17" s="200" t="str">
        <f>IF(AND('A-18'!C17="-",'A-18'!C64="-",'A-18'!C111="-"),"-",SUM('A-18'!C17,'A-18'!C64,'A-18'!C111))</f>
        <v>-</v>
      </c>
      <c r="D17" s="200" t="str">
        <f>IF(AND('A-18'!D17="-",'A-18'!D64="-",'A-18'!D111="-"),"-",SUM('A-18'!D17,'A-18'!D64,'A-18'!D111))</f>
        <v>-</v>
      </c>
      <c r="E17" s="200">
        <f>IF(AND('A-18'!E17="-",'A-18'!E64="-",'A-18'!E111="-"),"-",SUM('A-18'!E17,'A-18'!E64,'A-18'!E111))</f>
        <v>16592</v>
      </c>
      <c r="F17" s="200">
        <f>IF(AND('A-18'!F17="-",'A-18'!F64="-",'A-18'!F111="-"),"-",SUM('A-18'!F17,'A-18'!F64,'A-18'!F111))</f>
        <v>1156</v>
      </c>
      <c r="G17" s="200">
        <f>IF(AND('A-18'!G17="-",'A-18'!G64="-",'A-18'!G111="-"),"-",SUM('A-18'!G17,'A-18'!G64,'A-18'!G111))</f>
        <v>33</v>
      </c>
      <c r="H17" s="200" t="str">
        <f>IF(AND('A-18'!H17="-",'A-18'!H64="-",'A-18'!H111="-"),"-",SUM('A-18'!H17,'A-18'!H64,'A-18'!H111))</f>
        <v>-</v>
      </c>
      <c r="I17" s="200">
        <f>IF(AND('A-18'!I17="-",'A-18'!I64="-",'A-18'!I111="-"),"-",SUM('A-18'!I17,'A-18'!I64,'A-18'!I111))</f>
        <v>17781</v>
      </c>
      <c r="K17" s="200" t="str">
        <f>IF(AND('A-18'!K17="-",'A-18'!K64="-",'A-18'!K111="-"),"-",SUM('A-18'!K17,'A-18'!K64,'A-18'!K111))</f>
        <v>-</v>
      </c>
      <c r="L17" s="200" t="str">
        <f>IF(AND('A-18'!L17="-",'A-18'!L64="-",'A-18'!L111="-"),"-",SUM('A-18'!L17,'A-18'!L64,'A-18'!L111))</f>
        <v>-</v>
      </c>
      <c r="M17" s="200" t="str">
        <f>IF(AND('A-18'!M17="-",'A-18'!M64="-",'A-18'!M111="-"),"-",SUM('A-18'!M17,'A-18'!M64,'A-18'!M111))</f>
        <v>-</v>
      </c>
      <c r="N17" s="200">
        <f>IF(AND('A-18'!N17="-",'A-18'!N64="-",'A-18'!N111="-"),"-",SUM('A-18'!N17,'A-18'!N64,'A-18'!N111))</f>
        <v>60969</v>
      </c>
      <c r="O17" s="200">
        <f>IF(AND('A-18'!O17="-",'A-18'!O64="-",'A-18'!O111="-"),"-",SUM('A-18'!O17,'A-18'!O64,'A-18'!O111))</f>
        <v>5654</v>
      </c>
      <c r="P17" s="200">
        <f>IF(AND('A-18'!P17="-",'A-18'!P64="-",'A-18'!P111="-"),"-",SUM('A-18'!P17,'A-18'!P64,'A-18'!P111))</f>
        <v>497</v>
      </c>
      <c r="Q17" s="200" t="str">
        <f>IF(AND('A-18'!Q17="-",'A-18'!Q64="-",'A-18'!Q111="-"),"-",SUM('A-18'!Q17,'A-18'!Q64,'A-18'!Q111))</f>
        <v>-</v>
      </c>
      <c r="R17" s="200">
        <f>IF(AND('A-18'!R17="-",'A-18'!R64="-",'A-18'!R111="-"),"-",SUM('A-18'!R17,'A-18'!R64,'A-18'!R111))</f>
        <v>67120</v>
      </c>
      <c r="S17" s="22"/>
      <c r="T17" s="22"/>
    </row>
    <row r="18" spans="1:20" ht="11.25" customHeight="1" x14ac:dyDescent="0.25">
      <c r="A18" s="371">
        <v>1989</v>
      </c>
      <c r="B18" s="200" t="str">
        <f>IF(AND('A-18'!B18="-",'A-18'!B65="-",'A-18'!B112="-"),"-",SUM('A-18'!B18,'A-18'!B65,'A-18'!B112))</f>
        <v>-</v>
      </c>
      <c r="C18" s="200">
        <f>IF(AND('A-18'!C18="-",'A-18'!C65="-",'A-18'!C112="-"),"-",SUM('A-18'!C18,'A-18'!C65,'A-18'!C112))</f>
        <v>790</v>
      </c>
      <c r="D18" s="200">
        <f>IF(AND('A-18'!D18="-",'A-18'!D65="-",'A-18'!D112="-"),"-",SUM('A-18'!D18,'A-18'!D65,'A-18'!D112))</f>
        <v>1597</v>
      </c>
      <c r="E18" s="200">
        <f>IF(AND('A-18'!E18="-",'A-18'!E65="-",'A-18'!E112="-"),"-",SUM('A-18'!E18,'A-18'!E65,'A-18'!E112))</f>
        <v>6389</v>
      </c>
      <c r="F18" s="200">
        <f>IF(AND('A-18'!F18="-",'A-18'!F65="-",'A-18'!F112="-"),"-",SUM('A-18'!F18,'A-18'!F65,'A-18'!F112))</f>
        <v>5622</v>
      </c>
      <c r="G18" s="200" t="str">
        <f>IF(AND('A-18'!G18="-",'A-18'!G65="-",'A-18'!G112="-"),"-",SUM('A-18'!G18,'A-18'!G65,'A-18'!G112))</f>
        <v>-</v>
      </c>
      <c r="H18" s="200" t="str">
        <f>IF(AND('A-18'!H18="-",'A-18'!H65="-",'A-18'!H112="-"),"-",SUM('A-18'!H18,'A-18'!H65,'A-18'!H112))</f>
        <v>-</v>
      </c>
      <c r="I18" s="200">
        <f>IF(AND('A-18'!I18="-",'A-18'!I65="-",'A-18'!I112="-"),"-",SUM('A-18'!I18,'A-18'!I65,'A-18'!I112))</f>
        <v>14398</v>
      </c>
      <c r="K18" s="200" t="str">
        <f>IF(AND('A-18'!K18="-",'A-18'!K65="-",'A-18'!K112="-"),"-",SUM('A-18'!K18,'A-18'!K65,'A-18'!K112))</f>
        <v>-</v>
      </c>
      <c r="L18" s="200">
        <f>IF(AND('A-18'!L18="-",'A-18'!L65="-",'A-18'!L112="-"),"-",SUM('A-18'!L18,'A-18'!L65,'A-18'!L112))</f>
        <v>19</v>
      </c>
      <c r="M18" s="200">
        <f>IF(AND('A-18'!M18="-",'A-18'!M65="-",'A-18'!M112="-"),"-",SUM('A-18'!M18,'A-18'!M65,'A-18'!M112))</f>
        <v>14</v>
      </c>
      <c r="N18" s="200">
        <f>IF(AND('A-18'!N18="-",'A-18'!N65="-",'A-18'!N112="-"),"-",SUM('A-18'!N18,'A-18'!N65,'A-18'!N112))</f>
        <v>68576</v>
      </c>
      <c r="O18" s="200">
        <f>IF(AND('A-18'!O18="-",'A-18'!O65="-",'A-18'!O112="-"),"-",SUM('A-18'!O18,'A-18'!O65,'A-18'!O112))</f>
        <v>52718</v>
      </c>
      <c r="P18" s="200">
        <f>IF(AND('A-18'!P18="-",'A-18'!P65="-",'A-18'!P112="-"),"-",SUM('A-18'!P18,'A-18'!P65,'A-18'!P112))</f>
        <v>8855</v>
      </c>
      <c r="Q18" s="200" t="str">
        <f>IF(AND('A-18'!Q18="-",'A-18'!Q65="-",'A-18'!Q112="-"),"-",SUM('A-18'!Q18,'A-18'!Q65,'A-18'!Q112))</f>
        <v>-</v>
      </c>
      <c r="R18" s="200">
        <f>IF(AND('A-18'!R18="-",'A-18'!R65="-",'A-18'!R112="-"),"-",SUM('A-18'!R18,'A-18'!R65,'A-18'!R112))</f>
        <v>130182</v>
      </c>
      <c r="S18" s="22"/>
      <c r="T18" s="22"/>
    </row>
    <row r="19" spans="1:20" ht="11.25" customHeight="1" x14ac:dyDescent="0.25">
      <c r="A19" s="371">
        <v>1990</v>
      </c>
      <c r="B19" s="200" t="str">
        <f>IF(AND('A-18'!B19="-",'A-18'!B66="-",'A-18'!B113="-"),"-",SUM('A-18'!B19,'A-18'!B66,'A-18'!B113))</f>
        <v>-</v>
      </c>
      <c r="C19" s="200" t="str">
        <f>IF(AND('A-18'!C19="-",'A-18'!C66="-",'A-18'!C113="-"),"-",SUM('A-18'!C19,'A-18'!C66,'A-18'!C113))</f>
        <v>-</v>
      </c>
      <c r="D19" s="200">
        <f>IF(AND('A-18'!D19="-",'A-18'!D66="-",'A-18'!D113="-"),"-",SUM('A-18'!D19,'A-18'!D66,'A-18'!D113))</f>
        <v>1283</v>
      </c>
      <c r="E19" s="200">
        <f>IF(AND('A-18'!E19="-",'A-18'!E66="-",'A-18'!E113="-"),"-",SUM('A-18'!E19,'A-18'!E66,'A-18'!E113))</f>
        <v>9233</v>
      </c>
      <c r="F19" s="200">
        <f>IF(AND('A-18'!F19="-",'A-18'!F66="-",'A-18'!F113="-"),"-",SUM('A-18'!F19,'A-18'!F66,'A-18'!F113))</f>
        <v>6153</v>
      </c>
      <c r="G19" s="200">
        <f>IF(AND('A-18'!G19="-",'A-18'!G66="-",'A-18'!G113="-"),"-",SUM('A-18'!G19,'A-18'!G66,'A-18'!G113))</f>
        <v>3434</v>
      </c>
      <c r="H19" s="200" t="str">
        <f>IF(AND('A-18'!H19="-",'A-18'!H66="-",'A-18'!H113="-"),"-",SUM('A-18'!H19,'A-18'!H66,'A-18'!H113))</f>
        <v>-</v>
      </c>
      <c r="I19" s="200">
        <f>IF(AND('A-18'!I19="-",'A-18'!I66="-",'A-18'!I113="-"),"-",SUM('A-18'!I19,'A-18'!I66,'A-18'!I113))</f>
        <v>20103</v>
      </c>
      <c r="K19" s="200" t="str">
        <f>IF(AND('A-18'!K19="-",'A-18'!K66="-",'A-18'!K113="-"),"-",SUM('A-18'!K19,'A-18'!K66,'A-18'!K113))</f>
        <v>-</v>
      </c>
      <c r="L19" s="200" t="str">
        <f>IF(AND('A-18'!L19="-",'A-18'!L66="-",'A-18'!L113="-"),"-",SUM('A-18'!L19,'A-18'!L66,'A-18'!L113))</f>
        <v>-</v>
      </c>
      <c r="M19" s="200">
        <f>IF(AND('A-18'!M19="-",'A-18'!M66="-",'A-18'!M113="-"),"-",SUM('A-18'!M19,'A-18'!M66,'A-18'!M113))</f>
        <v>5402</v>
      </c>
      <c r="N19" s="200">
        <f>IF(AND('A-18'!N19="-",'A-18'!N66="-",'A-18'!N113="-"),"-",SUM('A-18'!N19,'A-18'!N66,'A-18'!N113))</f>
        <v>55775</v>
      </c>
      <c r="O19" s="200">
        <f>IF(AND('A-18'!O19="-",'A-18'!O66="-",'A-18'!O113="-"),"-",SUM('A-18'!O19,'A-18'!O66,'A-18'!O113))</f>
        <v>54513</v>
      </c>
      <c r="P19" s="200">
        <f>IF(AND('A-18'!P19="-",'A-18'!P66="-",'A-18'!P113="-"),"-",SUM('A-18'!P19,'A-18'!P66,'A-18'!P113))</f>
        <v>21261</v>
      </c>
      <c r="Q19" s="200" t="str">
        <f>IF(AND('A-18'!Q19="-",'A-18'!Q66="-",'A-18'!Q113="-"),"-",SUM('A-18'!Q19,'A-18'!Q66,'A-18'!Q113))</f>
        <v>-</v>
      </c>
      <c r="R19" s="200">
        <f>IF(AND('A-18'!R19="-",'A-18'!R66="-",'A-18'!R113="-"),"-",SUM('A-18'!R19,'A-18'!R66,'A-18'!R113))</f>
        <v>136951</v>
      </c>
      <c r="S19" s="22"/>
      <c r="T19" s="22"/>
    </row>
    <row r="20" spans="1:20" ht="11.25" customHeight="1" x14ac:dyDescent="0.25">
      <c r="A20" s="371">
        <v>1991</v>
      </c>
      <c r="B20" s="200" t="str">
        <f>IF(AND('A-18'!B20="-",'A-18'!B67="-",'A-18'!B114="-"),"-",SUM('A-18'!B20,'A-18'!B67,'A-18'!B114))</f>
        <v>-</v>
      </c>
      <c r="C20" s="200" t="str">
        <f>IF(AND('A-18'!C20="-",'A-18'!C67="-",'A-18'!C114="-"),"-",SUM('A-18'!C20,'A-18'!C67,'A-18'!C114))</f>
        <v>-</v>
      </c>
      <c r="D20" s="200">
        <f>IF(AND('A-18'!D20="-",'A-18'!D67="-",'A-18'!D114="-"),"-",SUM('A-18'!D20,'A-18'!D67,'A-18'!D114))</f>
        <v>1911</v>
      </c>
      <c r="E20" s="200">
        <f>IF(AND('A-18'!E20="-",'A-18'!E67="-",'A-18'!E114="-"),"-",SUM('A-18'!E20,'A-18'!E67,'A-18'!E114))</f>
        <v>6560</v>
      </c>
      <c r="F20" s="200">
        <f>IF(AND('A-18'!F20="-",'A-18'!F67="-",'A-18'!F114="-"),"-",SUM('A-18'!F20,'A-18'!F67,'A-18'!F114))</f>
        <v>1645</v>
      </c>
      <c r="G20" s="200">
        <f>IF(AND('A-18'!G20="-",'A-18'!G67="-",'A-18'!G114="-"),"-",SUM('A-18'!G20,'A-18'!G67,'A-18'!G114))</f>
        <v>209</v>
      </c>
      <c r="H20" s="200" t="str">
        <f>IF(AND('A-18'!H20="-",'A-18'!H67="-",'A-18'!H114="-"),"-",SUM('A-18'!H20,'A-18'!H67,'A-18'!H114))</f>
        <v>-</v>
      </c>
      <c r="I20" s="200">
        <f>IF(AND('A-18'!I20="-",'A-18'!I67="-",'A-18'!I114="-"),"-",SUM('A-18'!I20,'A-18'!I67,'A-18'!I114))</f>
        <v>10325</v>
      </c>
      <c r="K20" s="200" t="str">
        <f>IF(AND('A-18'!K20="-",'A-18'!K67="-",'A-18'!K114="-"),"-",SUM('A-18'!K20,'A-18'!K67,'A-18'!K114))</f>
        <v>-</v>
      </c>
      <c r="L20" s="200" t="str">
        <f>IF(AND('A-18'!L20="-",'A-18'!L67="-",'A-18'!L114="-"),"-",SUM('A-18'!L20,'A-18'!L67,'A-18'!L114))</f>
        <v>-</v>
      </c>
      <c r="M20" s="200">
        <f>IF(AND('A-18'!M20="-",'A-18'!M67="-",'A-18'!M114="-"),"-",SUM('A-18'!M20,'A-18'!M67,'A-18'!M114))</f>
        <v>6781</v>
      </c>
      <c r="N20" s="200">
        <f>IF(AND('A-18'!N20="-",'A-18'!N67="-",'A-18'!N114="-"),"-",SUM('A-18'!N20,'A-18'!N67,'A-18'!N114))</f>
        <v>89094</v>
      </c>
      <c r="O20" s="200">
        <f>IF(AND('A-18'!O20="-",'A-18'!O67="-",'A-18'!O114="-"),"-",SUM('A-18'!O20,'A-18'!O67,'A-18'!O114))</f>
        <v>29652</v>
      </c>
      <c r="P20" s="200">
        <f>IF(AND('A-18'!P20="-",'A-18'!P67="-",'A-18'!P114="-"),"-",SUM('A-18'!P20,'A-18'!P67,'A-18'!P114))</f>
        <v>6968</v>
      </c>
      <c r="Q20" s="200" t="str">
        <f>IF(AND('A-18'!Q20="-",'A-18'!Q67="-",'A-18'!Q114="-"),"-",SUM('A-18'!Q20,'A-18'!Q67,'A-18'!Q114))</f>
        <v>-</v>
      </c>
      <c r="R20" s="200">
        <f>IF(AND('A-18'!R20="-",'A-18'!R67="-",'A-18'!R114="-"),"-",SUM('A-18'!R20,'A-18'!R67,'A-18'!R114))</f>
        <v>132495</v>
      </c>
      <c r="S20" s="22"/>
      <c r="T20" s="22"/>
    </row>
    <row r="21" spans="1:20" ht="11.25" customHeight="1" x14ac:dyDescent="0.25">
      <c r="A21" s="371">
        <v>1992</v>
      </c>
      <c r="B21" s="200" t="str">
        <f>IF(AND('A-18'!B21="-",'A-18'!B68="-",'A-18'!B115="-"),"-",SUM('A-18'!B21,'A-18'!B68,'A-18'!B115))</f>
        <v>-</v>
      </c>
      <c r="C21" s="200">
        <f>IF(AND('A-18'!C21="-",'A-18'!C68="-",'A-18'!C115="-"),"-",SUM('A-18'!C21,'A-18'!C68,'A-18'!C115))</f>
        <v>118</v>
      </c>
      <c r="D21" s="200" t="str">
        <f>IF(AND('A-18'!D21="-",'A-18'!D68="-",'A-18'!D115="-"),"-",SUM('A-18'!D21,'A-18'!D68,'A-18'!D115))</f>
        <v>-</v>
      </c>
      <c r="E21" s="200">
        <f>IF(AND('A-18'!E21="-",'A-18'!E68="-",'A-18'!E115="-"),"-",SUM('A-18'!E21,'A-18'!E68,'A-18'!E115))</f>
        <v>8181</v>
      </c>
      <c r="F21" s="200">
        <f>IF(AND('A-18'!F21="-",'A-18'!F68="-",'A-18'!F115="-"),"-",SUM('A-18'!F21,'A-18'!F68,'A-18'!F115))</f>
        <v>6055</v>
      </c>
      <c r="G21" s="200">
        <f>IF(AND('A-18'!G21="-",'A-18'!G68="-",'A-18'!G115="-"),"-",SUM('A-18'!G21,'A-18'!G68,'A-18'!G115))</f>
        <v>2401</v>
      </c>
      <c r="H21" s="200">
        <f>IF(AND('A-18'!H21="-",'A-18'!H68="-",'A-18'!H115="-"),"-",SUM('A-18'!H21,'A-18'!H68,'A-18'!H115))</f>
        <v>215</v>
      </c>
      <c r="I21" s="200">
        <f>IF(AND('A-18'!I21="-",'A-18'!I68="-",'A-18'!I115="-"),"-",SUM('A-18'!I21,'A-18'!I68,'A-18'!I115))</f>
        <v>16970</v>
      </c>
      <c r="K21" s="200" t="str">
        <f>IF(AND('A-18'!K21="-",'A-18'!K68="-",'A-18'!K115="-"),"-",SUM('A-18'!K21,'A-18'!K68,'A-18'!K115))</f>
        <v>-</v>
      </c>
      <c r="L21" s="200">
        <f>IF(AND('A-18'!L21="-",'A-18'!L68="-",'A-18'!L115="-"),"-",SUM('A-18'!L21,'A-18'!L68,'A-18'!L115))</f>
        <v>32</v>
      </c>
      <c r="M21" s="200" t="str">
        <f>IF(AND('A-18'!M21="-",'A-18'!M68="-",'A-18'!M115="-"),"-",SUM('A-18'!M21,'A-18'!M68,'A-18'!M115))</f>
        <v>-</v>
      </c>
      <c r="N21" s="200">
        <f>IF(AND('A-18'!N21="-",'A-18'!N68="-",'A-18'!N115="-"),"-",SUM('A-18'!N21,'A-18'!N68,'A-18'!N115))</f>
        <v>30875</v>
      </c>
      <c r="O21" s="200">
        <f>IF(AND('A-18'!O21="-",'A-18'!O68="-",'A-18'!O115="-"),"-",SUM('A-18'!O21,'A-18'!O68,'A-18'!O115))</f>
        <v>37891</v>
      </c>
      <c r="P21" s="200">
        <f>IF(AND('A-18'!P21="-",'A-18'!P68="-",'A-18'!P115="-"),"-",SUM('A-18'!P21,'A-18'!P68,'A-18'!P115))</f>
        <v>7542</v>
      </c>
      <c r="Q21" s="200">
        <f>IF(AND('A-18'!Q21="-",'A-18'!Q68="-",'A-18'!Q115="-"),"-",SUM('A-18'!Q21,'A-18'!Q68,'A-18'!Q115))</f>
        <v>324</v>
      </c>
      <c r="R21" s="200">
        <f>IF(AND('A-18'!R21="-",'A-18'!R68="-",'A-18'!R115="-"),"-",SUM('A-18'!R21,'A-18'!R68,'A-18'!R115))</f>
        <v>76664</v>
      </c>
      <c r="S21" s="22"/>
      <c r="T21" s="22"/>
    </row>
    <row r="22" spans="1:20" ht="11.25" customHeight="1" x14ac:dyDescent="0.25">
      <c r="A22" s="371">
        <v>1993</v>
      </c>
      <c r="B22" s="200" t="str">
        <f>IF(AND('A-18'!B22="-",'A-18'!B69="-",'A-18'!B116="-"),"-",SUM('A-18'!B22,'A-18'!B69,'A-18'!B116))</f>
        <v>-</v>
      </c>
      <c r="C22" s="200">
        <f>IF(AND('A-18'!C22="-",'A-18'!C69="-",'A-18'!C116="-"),"-",SUM('A-18'!C22,'A-18'!C69,'A-18'!C116))</f>
        <v>178</v>
      </c>
      <c r="D22" s="200" t="str">
        <f>IF(AND('A-18'!D22="-",'A-18'!D69="-",'A-18'!D116="-"),"-",SUM('A-18'!D22,'A-18'!D69,'A-18'!D116))</f>
        <v>-</v>
      </c>
      <c r="E22" s="200">
        <f>IF(AND('A-18'!E22="-",'A-18'!E69="-",'A-18'!E116="-"),"-",SUM('A-18'!E22,'A-18'!E69,'A-18'!E116))</f>
        <v>2467</v>
      </c>
      <c r="F22" s="200">
        <f>IF(AND('A-18'!F22="-",'A-18'!F69="-",'A-18'!F116="-"),"-",SUM('A-18'!F22,'A-18'!F69,'A-18'!F116))</f>
        <v>4204</v>
      </c>
      <c r="G22" s="200">
        <f>IF(AND('A-18'!G22="-",'A-18'!G69="-",'A-18'!G116="-"),"-",SUM('A-18'!G22,'A-18'!G69,'A-18'!G116))</f>
        <v>3536</v>
      </c>
      <c r="H22" s="200" t="str">
        <f>IF(AND('A-18'!H22="-",'A-18'!H69="-",'A-18'!H116="-"),"-",SUM('A-18'!H22,'A-18'!H69,'A-18'!H116))</f>
        <v>-</v>
      </c>
      <c r="I22" s="200">
        <f>IF(AND('A-18'!I22="-",'A-18'!I69="-",'A-18'!I116="-"),"-",SUM('A-18'!I22,'A-18'!I69,'A-18'!I116))</f>
        <v>10385</v>
      </c>
      <c r="K22" s="200" t="str">
        <f>IF(AND('A-18'!K22="-",'A-18'!K69="-",'A-18'!K116="-"),"-",SUM('A-18'!K22,'A-18'!K69,'A-18'!K116))</f>
        <v>-</v>
      </c>
      <c r="L22" s="200">
        <f>IF(AND('A-18'!L22="-",'A-18'!L69="-",'A-18'!L116="-"),"-",SUM('A-18'!L22,'A-18'!L69,'A-18'!L116))</f>
        <v>48</v>
      </c>
      <c r="M22" s="200" t="str">
        <f>IF(AND('A-18'!M22="-",'A-18'!M69="-",'A-18'!M116="-"),"-",SUM('A-18'!M22,'A-18'!M69,'A-18'!M116))</f>
        <v>-</v>
      </c>
      <c r="N22" s="200">
        <f>IF(AND('A-18'!N22="-",'A-18'!N69="-",'A-18'!N116="-"),"-",SUM('A-18'!N22,'A-18'!N69,'A-18'!N116))</f>
        <v>28754</v>
      </c>
      <c r="O22" s="200">
        <f>IF(AND('A-18'!O22="-",'A-18'!O69="-",'A-18'!O116="-"),"-",SUM('A-18'!O22,'A-18'!O69,'A-18'!O116))</f>
        <v>34621</v>
      </c>
      <c r="P22" s="200">
        <f>IF(AND('A-18'!P22="-",'A-18'!P69="-",'A-18'!P116="-"),"-",SUM('A-18'!P22,'A-18'!P69,'A-18'!P116))</f>
        <v>16373</v>
      </c>
      <c r="Q22" s="200" t="str">
        <f>IF(AND('A-18'!Q22="-",'A-18'!Q69="-",'A-18'!Q116="-"),"-",SUM('A-18'!Q22,'A-18'!Q69,'A-18'!Q116))</f>
        <v>-</v>
      </c>
      <c r="R22" s="200">
        <f>IF(AND('A-18'!R22="-",'A-18'!R69="-",'A-18'!R116="-"),"-",SUM('A-18'!R22,'A-18'!R69,'A-18'!R116))</f>
        <v>79796</v>
      </c>
      <c r="S22" s="22"/>
      <c r="T22" s="22"/>
    </row>
    <row r="23" spans="1:20" ht="11.25" customHeight="1" x14ac:dyDescent="0.25">
      <c r="A23" s="371">
        <v>1994</v>
      </c>
      <c r="B23" s="200" t="str">
        <f>IF(AND('A-18'!B23="-",'A-18'!B70="-",'A-18'!B117="-"),"-",SUM('A-18'!B23,'A-18'!B70,'A-18'!B117))</f>
        <v>-</v>
      </c>
      <c r="C23" s="200" t="str">
        <f>IF(AND('A-18'!C23="-",'A-18'!C70="-",'A-18'!C117="-"),"-",SUM('A-18'!C23,'A-18'!C70,'A-18'!C117))</f>
        <v>-</v>
      </c>
      <c r="D23" s="200" t="str">
        <f>IF(AND('A-18'!D23="-",'A-18'!D70="-",'A-18'!D117="-"),"-",SUM('A-18'!D23,'A-18'!D70,'A-18'!D117))</f>
        <v>-</v>
      </c>
      <c r="E23" s="200" t="str">
        <f>IF(AND('A-18'!E23="-",'A-18'!E70="-",'A-18'!E117="-"),"-",SUM('A-18'!E23,'A-18'!E70,'A-18'!E117))</f>
        <v>-</v>
      </c>
      <c r="F23" s="200" t="str">
        <f>IF(AND('A-18'!F23="-",'A-18'!F70="-",'A-18'!F117="-"),"-",SUM('A-18'!F23,'A-18'!F70,'A-18'!F117))</f>
        <v>-</v>
      </c>
      <c r="G23" s="200" t="str">
        <f>IF(AND('A-18'!G23="-",'A-18'!G70="-",'A-18'!G117="-"),"-",SUM('A-18'!G23,'A-18'!G70,'A-18'!G117))</f>
        <v>-</v>
      </c>
      <c r="H23" s="200" t="str">
        <f>IF(AND('A-18'!H23="-",'A-18'!H70="-",'A-18'!H117="-"),"-",SUM('A-18'!H23,'A-18'!H70,'A-18'!H117))</f>
        <v>-</v>
      </c>
      <c r="I23" s="200" t="str">
        <f>IF(AND('A-18'!I23="-",'A-18'!I70="-",'A-18'!I117="-"),"-",SUM('A-18'!I23,'A-18'!I70,'A-18'!I117))</f>
        <v>-</v>
      </c>
      <c r="K23" s="200" t="str">
        <f>IF(AND('A-18'!K23="-",'A-18'!K70="-",'A-18'!K117="-"),"-",SUM('A-18'!K23,'A-18'!K70,'A-18'!K117))</f>
        <v>-</v>
      </c>
      <c r="L23" s="200" t="str">
        <f>IF(AND('A-18'!L23="-",'A-18'!L70="-",'A-18'!L117="-"),"-",SUM('A-18'!L23,'A-18'!L70,'A-18'!L117))</f>
        <v>-</v>
      </c>
      <c r="M23" s="200" t="str">
        <f>IF(AND('A-18'!M23="-",'A-18'!M70="-",'A-18'!M117="-"),"-",SUM('A-18'!M23,'A-18'!M70,'A-18'!M117))</f>
        <v>-</v>
      </c>
      <c r="N23" s="200" t="str">
        <f>IF(AND('A-18'!N23="-",'A-18'!N70="-",'A-18'!N117="-"),"-",SUM('A-18'!N23,'A-18'!N70,'A-18'!N117))</f>
        <v>-</v>
      </c>
      <c r="O23" s="200" t="str">
        <f>IF(AND('A-18'!O23="-",'A-18'!O70="-",'A-18'!O117="-"),"-",SUM('A-18'!O23,'A-18'!O70,'A-18'!O117))</f>
        <v>-</v>
      </c>
      <c r="P23" s="200" t="str">
        <f>IF(AND('A-18'!P23="-",'A-18'!P70="-",'A-18'!P117="-"),"-",SUM('A-18'!P23,'A-18'!P70,'A-18'!P117))</f>
        <v>-</v>
      </c>
      <c r="Q23" s="200" t="str">
        <f>IF(AND('A-18'!Q23="-",'A-18'!Q70="-",'A-18'!Q117="-"),"-",SUM('A-18'!Q23,'A-18'!Q70,'A-18'!Q117))</f>
        <v>-</v>
      </c>
      <c r="R23" s="200" t="str">
        <f>IF(AND('A-18'!R23="-",'A-18'!R70="-",'A-18'!R117="-"),"-",SUM('A-18'!R23,'A-18'!R70,'A-18'!R117))</f>
        <v>-</v>
      </c>
      <c r="S23" s="22"/>
      <c r="T23" s="22"/>
    </row>
    <row r="24" spans="1:20" ht="11.25" customHeight="1" x14ac:dyDescent="0.25">
      <c r="A24" s="371">
        <v>1995</v>
      </c>
      <c r="B24" s="200" t="str">
        <f>IF(AND('A-18'!B24="-",'A-18'!B71="-",'A-18'!B118="-"),"-",SUM('A-18'!B24,'A-18'!B71,'A-18'!B118))</f>
        <v>-</v>
      </c>
      <c r="C24" s="200" t="str">
        <f>IF(AND('A-18'!C24="-",'A-18'!C71="-",'A-18'!C118="-"),"-",SUM('A-18'!C24,'A-18'!C71,'A-18'!C118))</f>
        <v>-</v>
      </c>
      <c r="D24" s="200" t="str">
        <f>IF(AND('A-18'!D24="-",'A-18'!D71="-",'A-18'!D118="-"),"-",SUM('A-18'!D24,'A-18'!D71,'A-18'!D118))</f>
        <v>-</v>
      </c>
      <c r="E24" s="200">
        <f>IF(AND('A-18'!E24="-",'A-18'!E71="-",'A-18'!E118="-"),"-",SUM('A-18'!E24,'A-18'!E71,'A-18'!E118))</f>
        <v>12</v>
      </c>
      <c r="F24" s="200">
        <f>IF(AND('A-18'!F24="-",'A-18'!F71="-",'A-18'!F118="-"),"-",SUM('A-18'!F24,'A-18'!F71,'A-18'!F118))</f>
        <v>176</v>
      </c>
      <c r="G24" s="200">
        <f>IF(AND('A-18'!G24="-",'A-18'!G71="-",'A-18'!G118="-"),"-",SUM('A-18'!G24,'A-18'!G71,'A-18'!G118))</f>
        <v>49</v>
      </c>
      <c r="H24" s="200" t="str">
        <f>IF(AND('A-18'!H24="-",'A-18'!H71="-",'A-18'!H118="-"),"-",SUM('A-18'!H24,'A-18'!H71,'A-18'!H118))</f>
        <v>-</v>
      </c>
      <c r="I24" s="200">
        <f>IF(AND('A-18'!I24="-",'A-18'!I71="-",'A-18'!I118="-"),"-",SUM('A-18'!I24,'A-18'!I71,'A-18'!I118))</f>
        <v>237</v>
      </c>
      <c r="K24" s="200" t="str">
        <f>IF(AND('A-18'!K24="-",'A-18'!K71="-",'A-18'!K118="-"),"-",SUM('A-18'!K24,'A-18'!K71,'A-18'!K118))</f>
        <v>-</v>
      </c>
      <c r="L24" s="200" t="str">
        <f>IF(AND('A-18'!L24="-",'A-18'!L71="-",'A-18'!L118="-"),"-",SUM('A-18'!L24,'A-18'!L71,'A-18'!L118))</f>
        <v>-</v>
      </c>
      <c r="M24" s="200" t="str">
        <f>IF(AND('A-18'!M24="-",'A-18'!M71="-",'A-18'!M118="-"),"-",SUM('A-18'!M24,'A-18'!M71,'A-18'!M118))</f>
        <v>-</v>
      </c>
      <c r="N24" s="200">
        <f>IF(AND('A-18'!N24="-",'A-18'!N71="-",'A-18'!N118="-"),"-",SUM('A-18'!N24,'A-18'!N71,'A-18'!N118))</f>
        <v>3216</v>
      </c>
      <c r="O24" s="200">
        <f>IF(AND('A-18'!O24="-",'A-18'!O71="-",'A-18'!O118="-"),"-",SUM('A-18'!O24,'A-18'!O71,'A-18'!O118))</f>
        <v>31680</v>
      </c>
      <c r="P24" s="200">
        <f>IF(AND('A-18'!P24="-",'A-18'!P71="-",'A-18'!P118="-"),"-",SUM('A-18'!P24,'A-18'!P71,'A-18'!P118))</f>
        <v>8723</v>
      </c>
      <c r="Q24" s="200" t="str">
        <f>IF(AND('A-18'!Q24="-",'A-18'!Q71="-",'A-18'!Q118="-"),"-",SUM('A-18'!Q24,'A-18'!Q71,'A-18'!Q118))</f>
        <v>-</v>
      </c>
      <c r="R24" s="200">
        <f>IF(AND('A-18'!R24="-",'A-18'!R71="-",'A-18'!R118="-"),"-",SUM('A-18'!R24,'A-18'!R71,'A-18'!R118))</f>
        <v>43619</v>
      </c>
      <c r="S24" s="22"/>
      <c r="T24" s="22"/>
    </row>
    <row r="25" spans="1:20" ht="11.25" customHeight="1" x14ac:dyDescent="0.25">
      <c r="A25" s="371">
        <v>1996</v>
      </c>
      <c r="B25" s="200" t="str">
        <f>IF(AND('A-18'!B25="-",'A-18'!B72="-",'A-18'!B119="-"),"-",SUM('A-18'!B25,'A-18'!B72,'A-18'!B119))</f>
        <v>-</v>
      </c>
      <c r="C25" s="200" t="str">
        <f>IF(AND('A-18'!C25="-",'A-18'!C72="-",'A-18'!C119="-"),"-",SUM('A-18'!C25,'A-18'!C72,'A-18'!C119))</f>
        <v>-</v>
      </c>
      <c r="D25" s="200" t="str">
        <f>IF(AND('A-18'!D25="-",'A-18'!D72="-",'A-18'!D119="-"),"-",SUM('A-18'!D25,'A-18'!D72,'A-18'!D119))</f>
        <v>-</v>
      </c>
      <c r="E25" s="200">
        <f>IF(AND('A-18'!E25="-",'A-18'!E72="-",'A-18'!E119="-"),"-",SUM('A-18'!E25,'A-18'!E72,'A-18'!E119))</f>
        <v>8</v>
      </c>
      <c r="F25" s="200">
        <f>IF(AND('A-18'!F25="-",'A-18'!F72="-",'A-18'!F119="-"),"-",SUM('A-18'!F25,'A-18'!F72,'A-18'!F119))</f>
        <v>65</v>
      </c>
      <c r="G25" s="200">
        <f>IF(AND('A-18'!G25="-",'A-18'!G72="-",'A-18'!G119="-"),"-",SUM('A-18'!G25,'A-18'!G72,'A-18'!G119))</f>
        <v>12</v>
      </c>
      <c r="H25" s="200" t="str">
        <f>IF(AND('A-18'!H25="-",'A-18'!H72="-",'A-18'!H119="-"),"-",SUM('A-18'!H25,'A-18'!H72,'A-18'!H119))</f>
        <v>-</v>
      </c>
      <c r="I25" s="200">
        <f>IF(AND('A-18'!I25="-",'A-18'!I72="-",'A-18'!I119="-"),"-",SUM('A-18'!I25,'A-18'!I72,'A-18'!I119))</f>
        <v>85</v>
      </c>
      <c r="K25" s="200" t="str">
        <f>IF(AND('A-18'!K25="-",'A-18'!K72="-",'A-18'!K119="-"),"-",SUM('A-18'!K25,'A-18'!K72,'A-18'!K119))</f>
        <v>-</v>
      </c>
      <c r="L25" s="200" t="str">
        <f>IF(AND('A-18'!L25="-",'A-18'!L72="-",'A-18'!L119="-"),"-",SUM('A-18'!L25,'A-18'!L72,'A-18'!L119))</f>
        <v>-</v>
      </c>
      <c r="M25" s="200" t="str">
        <f>IF(AND('A-18'!M25="-",'A-18'!M72="-",'A-18'!M119="-"),"-",SUM('A-18'!M25,'A-18'!M72,'A-18'!M119))</f>
        <v>-</v>
      </c>
      <c r="N25" s="200">
        <f>IF(AND('A-18'!N25="-",'A-18'!N72="-",'A-18'!N119="-"),"-",SUM('A-18'!N25,'A-18'!N72,'A-18'!N119))</f>
        <v>5975</v>
      </c>
      <c r="O25" s="200">
        <f>IF(AND('A-18'!O25="-",'A-18'!O72="-",'A-18'!O119="-"),"-",SUM('A-18'!O25,'A-18'!O72,'A-18'!O119))</f>
        <v>22332</v>
      </c>
      <c r="P25" s="200">
        <f>IF(AND('A-18'!P25="-",'A-18'!P72="-",'A-18'!P119="-"),"-",SUM('A-18'!P25,'A-18'!P72,'A-18'!P119))</f>
        <v>5338</v>
      </c>
      <c r="Q25" s="200" t="str">
        <f>IF(AND('A-18'!Q25="-",'A-18'!Q72="-",'A-18'!Q119="-"),"-",SUM('A-18'!Q25,'A-18'!Q72,'A-18'!Q119))</f>
        <v>-</v>
      </c>
      <c r="R25" s="200">
        <f>IF(AND('A-18'!R25="-",'A-18'!R72="-",'A-18'!R119="-"),"-",SUM('A-18'!R25,'A-18'!R72,'A-18'!R119))</f>
        <v>33645</v>
      </c>
      <c r="S25" s="22"/>
      <c r="T25" s="22"/>
    </row>
    <row r="26" spans="1:20" ht="11.25" customHeight="1" x14ac:dyDescent="0.25">
      <c r="A26" s="371">
        <v>1997</v>
      </c>
      <c r="B26" s="200" t="str">
        <f>IF(AND('A-18'!B26="-",'A-18'!B73="-",'A-18'!B120="-"),"-",SUM('A-18'!B26,'A-18'!B73,'A-18'!B120))</f>
        <v>-</v>
      </c>
      <c r="C26" s="200" t="str">
        <f>IF(AND('A-18'!C26="-",'A-18'!C73="-",'A-18'!C120="-"),"-",SUM('A-18'!C26,'A-18'!C73,'A-18'!C120))</f>
        <v>-</v>
      </c>
      <c r="D26" s="200" t="str">
        <f>IF(AND('A-18'!D26="-",'A-18'!D73="-",'A-18'!D120="-"),"-",SUM('A-18'!D26,'A-18'!D73,'A-18'!D120))</f>
        <v>-</v>
      </c>
      <c r="E26" s="200">
        <f>IF(AND('A-18'!E26="-",'A-18'!E73="-",'A-18'!E120="-"),"-",SUM('A-18'!E26,'A-18'!E73,'A-18'!E120))</f>
        <v>1738</v>
      </c>
      <c r="F26" s="200">
        <f>IF(AND('A-18'!F26="-",'A-18'!F73="-",'A-18'!F120="-"),"-",SUM('A-18'!F26,'A-18'!F73,'A-18'!F120))</f>
        <v>1571</v>
      </c>
      <c r="G26" s="200">
        <f>IF(AND('A-18'!G26="-",'A-18'!G73="-",'A-18'!G120="-"),"-",SUM('A-18'!G26,'A-18'!G73,'A-18'!G120))</f>
        <v>315</v>
      </c>
      <c r="H26" s="200" t="str">
        <f>IF(AND('A-18'!H26="-",'A-18'!H73="-",'A-18'!H120="-"),"-",SUM('A-18'!H26,'A-18'!H73,'A-18'!H120))</f>
        <v>-</v>
      </c>
      <c r="I26" s="200">
        <f>IF(AND('A-18'!I26="-",'A-18'!I73="-",'A-18'!I120="-"),"-",SUM('A-18'!I26,'A-18'!I73,'A-18'!I120))</f>
        <v>3624</v>
      </c>
      <c r="K26" s="200" t="str">
        <f>IF(AND('A-18'!K26="-",'A-18'!K73="-",'A-18'!K120="-"),"-",SUM('A-18'!K26,'A-18'!K73,'A-18'!K120))</f>
        <v>-</v>
      </c>
      <c r="L26" s="200" t="str">
        <f>IF(AND('A-18'!L26="-",'A-18'!L73="-",'A-18'!L120="-"),"-",SUM('A-18'!L26,'A-18'!L73,'A-18'!L120))</f>
        <v>-</v>
      </c>
      <c r="M26" s="200" t="str">
        <f>IF(AND('A-18'!M26="-",'A-18'!M73="-",'A-18'!M120="-"),"-",SUM('A-18'!M26,'A-18'!M73,'A-18'!M120))</f>
        <v>-</v>
      </c>
      <c r="N26" s="200">
        <f>IF(AND('A-18'!N26="-",'A-18'!N73="-",'A-18'!N120="-"),"-",SUM('A-18'!N26,'A-18'!N73,'A-18'!N120))</f>
        <v>7043</v>
      </c>
      <c r="O26" s="200">
        <f>IF(AND('A-18'!O26="-",'A-18'!O73="-",'A-18'!O120="-"),"-",SUM('A-18'!O26,'A-18'!O73,'A-18'!O120))</f>
        <v>8239</v>
      </c>
      <c r="P26" s="200">
        <f>IF(AND('A-18'!P26="-",'A-18'!P73="-",'A-18'!P120="-"),"-",SUM('A-18'!P26,'A-18'!P73,'A-18'!P120))</f>
        <v>424</v>
      </c>
      <c r="Q26" s="200" t="str">
        <f>IF(AND('A-18'!Q26="-",'A-18'!Q73="-",'A-18'!Q120="-"),"-",SUM('A-18'!Q26,'A-18'!Q73,'A-18'!Q120))</f>
        <v>-</v>
      </c>
      <c r="R26" s="200">
        <f>IF(AND('A-18'!R26="-",'A-18'!R73="-",'A-18'!R120="-"),"-",SUM('A-18'!R26,'A-18'!R73,'A-18'!R120))</f>
        <v>15706</v>
      </c>
      <c r="S26" s="22"/>
      <c r="T26" s="22"/>
    </row>
    <row r="27" spans="1:20" ht="11.25" customHeight="1" x14ac:dyDescent="0.25">
      <c r="A27" s="371">
        <v>1998</v>
      </c>
      <c r="B27" s="200" t="str">
        <f>IF(AND('A-18'!B27="-",'A-18'!B74="-",'A-18'!B121="-"),"-",SUM('A-18'!B27,'A-18'!B74,'A-18'!B121))</f>
        <v>-</v>
      </c>
      <c r="C27" s="200" t="str">
        <f>IF(AND('A-18'!C27="-",'A-18'!C74="-",'A-18'!C121="-"),"-",SUM('A-18'!C27,'A-18'!C74,'A-18'!C121))</f>
        <v>-</v>
      </c>
      <c r="D27" s="200" t="str">
        <f>IF(AND('A-18'!D27="-",'A-18'!D74="-",'A-18'!D121="-"),"-",SUM('A-18'!D27,'A-18'!D74,'A-18'!D121))</f>
        <v>-</v>
      </c>
      <c r="E27" s="200" t="str">
        <f>IF(AND('A-18'!E27="-",'A-18'!E74="-",'A-18'!E121="-"),"-",SUM('A-18'!E27,'A-18'!E74,'A-18'!E121))</f>
        <v>-</v>
      </c>
      <c r="F27" s="200">
        <f>IF(AND('A-18'!F27="-",'A-18'!F74="-",'A-18'!F121="-"),"-",SUM('A-18'!F27,'A-18'!F74,'A-18'!F121))</f>
        <v>1645</v>
      </c>
      <c r="G27" s="200">
        <f>IF(AND('A-18'!G27="-",'A-18'!G74="-",'A-18'!G121="-"),"-",SUM('A-18'!G27,'A-18'!G74,'A-18'!G121))</f>
        <v>228</v>
      </c>
      <c r="H27" s="200" t="str">
        <f>IF(AND('A-18'!H27="-",'A-18'!H74="-",'A-18'!H121="-"),"-",SUM('A-18'!H27,'A-18'!H74,'A-18'!H121))</f>
        <v>-</v>
      </c>
      <c r="I27" s="200">
        <f>IF(AND('A-18'!I27="-",'A-18'!I74="-",'A-18'!I121="-"),"-",SUM('A-18'!I27,'A-18'!I74,'A-18'!I121))</f>
        <v>1873</v>
      </c>
      <c r="K27" s="200" t="str">
        <f>IF(AND('A-18'!K27="-",'A-18'!K74="-",'A-18'!K121="-"),"-",SUM('A-18'!K27,'A-18'!K74,'A-18'!K121))</f>
        <v>-</v>
      </c>
      <c r="L27" s="200" t="str">
        <f>IF(AND('A-18'!L27="-",'A-18'!L74="-",'A-18'!L121="-"),"-",SUM('A-18'!L27,'A-18'!L74,'A-18'!L121))</f>
        <v>-</v>
      </c>
      <c r="M27" s="200" t="str">
        <f>IF(AND('A-18'!M27="-",'A-18'!M74="-",'A-18'!M121="-"),"-",SUM('A-18'!M27,'A-18'!M74,'A-18'!M121))</f>
        <v>-</v>
      </c>
      <c r="N27" s="200" t="str">
        <f>IF(AND('A-18'!N27="-",'A-18'!N74="-",'A-18'!N121="-"),"-",SUM('A-18'!N27,'A-18'!N74,'A-18'!N121))</f>
        <v>-</v>
      </c>
      <c r="O27" s="200">
        <f>IF(AND('A-18'!O27="-",'A-18'!O74="-",'A-18'!O121="-"),"-",SUM('A-18'!O27,'A-18'!O74,'A-18'!O121))</f>
        <v>15267</v>
      </c>
      <c r="P27" s="200">
        <f>IF(AND('A-18'!P27="-",'A-18'!P74="-",'A-18'!P121="-"),"-",SUM('A-18'!P27,'A-18'!P74,'A-18'!P121))</f>
        <v>1066</v>
      </c>
      <c r="Q27" s="200" t="str">
        <f>IF(AND('A-18'!Q27="-",'A-18'!Q74="-",'A-18'!Q121="-"),"-",SUM('A-18'!Q27,'A-18'!Q74,'A-18'!Q121))</f>
        <v>-</v>
      </c>
      <c r="R27" s="200">
        <f>IF(AND('A-18'!R27="-",'A-18'!R74="-",'A-18'!R121="-"),"-",SUM('A-18'!R27,'A-18'!R74,'A-18'!R121))</f>
        <v>16333</v>
      </c>
      <c r="S27" s="22"/>
      <c r="T27" s="22"/>
    </row>
    <row r="28" spans="1:20" ht="11.25" customHeight="1" x14ac:dyDescent="0.25">
      <c r="A28" s="371">
        <v>1999</v>
      </c>
      <c r="B28" s="200" t="str">
        <f>IF(AND('A-18'!B28="-",'A-18'!B75="-",'A-18'!B122="-"),"-",SUM('A-18'!B28,'A-18'!B75,'A-18'!B122))</f>
        <v>-</v>
      </c>
      <c r="C28" s="200" t="str">
        <f>IF(AND('A-18'!C28="-",'A-18'!C75="-",'A-18'!C122="-"),"-",SUM('A-18'!C28,'A-18'!C75,'A-18'!C122))</f>
        <v>-</v>
      </c>
      <c r="D28" s="200" t="str">
        <f>IF(AND('A-18'!D28="-",'A-18'!D75="-",'A-18'!D122="-"),"-",SUM('A-18'!D28,'A-18'!D75,'A-18'!D122))</f>
        <v>-</v>
      </c>
      <c r="E28" s="200">
        <f>IF(AND('A-18'!E28="-",'A-18'!E75="-",'A-18'!E122="-"),"-",SUM('A-18'!E28,'A-18'!E75,'A-18'!E122))</f>
        <v>2667</v>
      </c>
      <c r="F28" s="200">
        <f>IF(AND('A-18'!F28="-",'A-18'!F75="-",'A-18'!F122="-"),"-",SUM('A-18'!F28,'A-18'!F75,'A-18'!F122))</f>
        <v>3591</v>
      </c>
      <c r="G28" s="200">
        <f>IF(AND('A-18'!G28="-",'A-18'!G75="-",'A-18'!G122="-"),"-",SUM('A-18'!G28,'A-18'!G75,'A-18'!G122))</f>
        <v>1311</v>
      </c>
      <c r="H28" s="200" t="str">
        <f>IF(AND('A-18'!H28="-",'A-18'!H75="-",'A-18'!H122="-"),"-",SUM('A-18'!H28,'A-18'!H75,'A-18'!H122))</f>
        <v>-</v>
      </c>
      <c r="I28" s="200">
        <f>IF(AND('A-18'!I28="-",'A-18'!I75="-",'A-18'!I122="-"),"-",SUM('A-18'!I28,'A-18'!I75,'A-18'!I122))</f>
        <v>7569</v>
      </c>
      <c r="K28" s="200" t="str">
        <f>IF(AND('A-18'!K28="-",'A-18'!K75="-",'A-18'!K122="-"),"-",SUM('A-18'!K28,'A-18'!K75,'A-18'!K122))</f>
        <v>-</v>
      </c>
      <c r="L28" s="200" t="str">
        <f>IF(AND('A-18'!L28="-",'A-18'!L75="-",'A-18'!L122="-"),"-",SUM('A-18'!L28,'A-18'!L75,'A-18'!L122))</f>
        <v>-</v>
      </c>
      <c r="M28" s="200" t="str">
        <f>IF(AND('A-18'!M28="-",'A-18'!M75="-",'A-18'!M122="-"),"-",SUM('A-18'!M28,'A-18'!M75,'A-18'!M122))</f>
        <v>-</v>
      </c>
      <c r="N28" s="200">
        <f>IF(AND('A-18'!N28="-",'A-18'!N75="-",'A-18'!N122="-"),"-",SUM('A-18'!N28,'A-18'!N75,'A-18'!N122))</f>
        <v>6177</v>
      </c>
      <c r="O28" s="200">
        <f>IF(AND('A-18'!O28="-",'A-18'!O75="-",'A-18'!O122="-"),"-",SUM('A-18'!O28,'A-18'!O75,'A-18'!O122))</f>
        <v>11545</v>
      </c>
      <c r="P28" s="200">
        <f>IF(AND('A-18'!P28="-",'A-18'!P75="-",'A-18'!P122="-"),"-",SUM('A-18'!P28,'A-18'!P75,'A-18'!P122))</f>
        <v>2820</v>
      </c>
      <c r="Q28" s="200" t="str">
        <f>IF(AND('A-18'!Q28="-",'A-18'!Q75="-",'A-18'!Q122="-"),"-",SUM('A-18'!Q28,'A-18'!Q75,'A-18'!Q122))</f>
        <v>-</v>
      </c>
      <c r="R28" s="200">
        <f>IF(AND('A-18'!R28="-",'A-18'!R75="-",'A-18'!R122="-"),"-",SUM('A-18'!R28,'A-18'!R75,'A-18'!R122))</f>
        <v>20542</v>
      </c>
      <c r="S28" s="22"/>
      <c r="T28" s="22"/>
    </row>
    <row r="29" spans="1:20" ht="11.25" customHeight="1" x14ac:dyDescent="0.25">
      <c r="A29" s="371">
        <v>2000</v>
      </c>
      <c r="B29" s="200" t="str">
        <f>IF(AND('A-18'!B29="-",'A-18'!B76="-",'A-18'!B123="-"),"-",SUM('A-18'!B29,'A-18'!B76,'A-18'!B123))</f>
        <v>-</v>
      </c>
      <c r="C29" s="200" t="str">
        <f>IF(AND('A-18'!C29="-",'A-18'!C76="-",'A-18'!C123="-"),"-",SUM('A-18'!C29,'A-18'!C76,'A-18'!C123))</f>
        <v>-</v>
      </c>
      <c r="D29" s="200" t="str">
        <f>IF(AND('A-18'!D29="-",'A-18'!D76="-",'A-18'!D123="-"),"-",SUM('A-18'!D29,'A-18'!D76,'A-18'!D123))</f>
        <v>-</v>
      </c>
      <c r="E29" s="200">
        <f>IF(AND('A-18'!E29="-",'A-18'!E76="-",'A-18'!E123="-"),"-",SUM('A-18'!E29,'A-18'!E76,'A-18'!E123))</f>
        <v>4572</v>
      </c>
      <c r="F29" s="200">
        <f>IF(AND('A-18'!F29="-",'A-18'!F76="-",'A-18'!F123="-"),"-",SUM('A-18'!F29,'A-18'!F76,'A-18'!F123))</f>
        <v>2358</v>
      </c>
      <c r="G29" s="200" t="str">
        <f>IF(AND('A-18'!G29="-",'A-18'!G76="-",'A-18'!G123="-"),"-",SUM('A-18'!G29,'A-18'!G76,'A-18'!G123))</f>
        <v>-</v>
      </c>
      <c r="H29" s="200" t="str">
        <f>IF(AND('A-18'!H29="-",'A-18'!H76="-",'A-18'!H123="-"),"-",SUM('A-18'!H29,'A-18'!H76,'A-18'!H123))</f>
        <v>-</v>
      </c>
      <c r="I29" s="200">
        <f>IF(AND('A-18'!I29="-",'A-18'!I76="-",'A-18'!I123="-"),"-",SUM('A-18'!I29,'A-18'!I76,'A-18'!I123))</f>
        <v>6930</v>
      </c>
      <c r="K29" s="200" t="str">
        <f>IF(AND('A-18'!K29="-",'A-18'!K76="-",'A-18'!K123="-"),"-",SUM('A-18'!K29,'A-18'!K76,'A-18'!K123))</f>
        <v>-</v>
      </c>
      <c r="L29" s="200" t="str">
        <f>IF(AND('A-18'!L29="-",'A-18'!L76="-",'A-18'!L123="-"),"-",SUM('A-18'!L29,'A-18'!L76,'A-18'!L123))</f>
        <v>-</v>
      </c>
      <c r="M29" s="200" t="str">
        <f>IF(AND('A-18'!M29="-",'A-18'!M76="-",'A-18'!M123="-"),"-",SUM('A-18'!M29,'A-18'!M76,'A-18'!M123))</f>
        <v>-</v>
      </c>
      <c r="N29" s="200">
        <f>IF(AND('A-18'!N29="-",'A-18'!N76="-",'A-18'!N123="-"),"-",SUM('A-18'!N29,'A-18'!N76,'A-18'!N123))</f>
        <v>23122</v>
      </c>
      <c r="O29" s="200">
        <f>IF(AND('A-18'!O29="-",'A-18'!O76="-",'A-18'!O123="-"),"-",SUM('A-18'!O29,'A-18'!O76,'A-18'!O123))</f>
        <v>17161</v>
      </c>
      <c r="P29" s="200">
        <f>IF(AND('A-18'!P29="-",'A-18'!P76="-",'A-18'!P123="-"),"-",SUM('A-18'!P29,'A-18'!P76,'A-18'!P123))</f>
        <v>2067</v>
      </c>
      <c r="Q29" s="200" t="str">
        <f>IF(AND('A-18'!Q29="-",'A-18'!Q76="-",'A-18'!Q123="-"),"-",SUM('A-18'!Q29,'A-18'!Q76,'A-18'!Q123))</f>
        <v>-</v>
      </c>
      <c r="R29" s="200">
        <f>IF(AND('A-18'!R29="-",'A-18'!R76="-",'A-18'!R123="-"),"-",SUM('A-18'!R29,'A-18'!R76,'A-18'!R123))</f>
        <v>42350</v>
      </c>
      <c r="S29" s="22"/>
      <c r="T29" s="22"/>
    </row>
    <row r="30" spans="1:20" ht="11.25" customHeight="1" x14ac:dyDescent="0.25">
      <c r="A30" s="371">
        <v>2001</v>
      </c>
      <c r="B30" s="200" t="str">
        <f>IF(AND('A-18'!B30="-",'A-18'!B77="-",'A-18'!B124="-"),"-",SUM('A-18'!B30,'A-18'!B77,'A-18'!B124))</f>
        <v>-</v>
      </c>
      <c r="C30" s="200" t="str">
        <f>IF(AND('A-18'!C30="-",'A-18'!C77="-",'A-18'!C124="-"),"-",SUM('A-18'!C30,'A-18'!C77,'A-18'!C124))</f>
        <v>-</v>
      </c>
      <c r="D30" s="200" t="str">
        <f>IF(AND('A-18'!D30="-",'A-18'!D77="-",'A-18'!D124="-"),"-",SUM('A-18'!D30,'A-18'!D77,'A-18'!D124))</f>
        <v>-</v>
      </c>
      <c r="E30" s="200">
        <f>IF(AND('A-18'!E30="-",'A-18'!E77="-",'A-18'!E124="-"),"-",SUM('A-18'!E30,'A-18'!E77,'A-18'!E124))</f>
        <v>13632</v>
      </c>
      <c r="F30" s="200">
        <f>IF(AND('A-18'!F30="-",'A-18'!F77="-",'A-18'!F124="-"),"-",SUM('A-18'!F30,'A-18'!F77,'A-18'!F124))</f>
        <v>3224</v>
      </c>
      <c r="G30" s="200">
        <f>IF(AND('A-18'!G30="-",'A-18'!G77="-",'A-18'!G124="-"),"-",SUM('A-18'!G30,'A-18'!G77,'A-18'!G124))</f>
        <v>896</v>
      </c>
      <c r="H30" s="200">
        <f>IF(AND('A-18'!H30="-",'A-18'!H77="-",'A-18'!H124="-"),"-",SUM('A-18'!H30,'A-18'!H77,'A-18'!H124))</f>
        <v>100</v>
      </c>
      <c r="I30" s="200">
        <f>IF(AND('A-18'!I30="-",'A-18'!I77="-",'A-18'!I124="-"),"-",SUM('A-18'!I30,'A-18'!I77,'A-18'!I124))</f>
        <v>17852</v>
      </c>
      <c r="K30" s="200" t="str">
        <f>IF(AND('A-18'!K30="-",'A-18'!K77="-",'A-18'!K124="-"),"-",SUM('A-18'!K30,'A-18'!K77,'A-18'!K124))</f>
        <v>-</v>
      </c>
      <c r="L30" s="200"/>
      <c r="M30" s="200" t="str">
        <f>IF(AND('A-18'!M30="-",'A-18'!M77="-",'A-18'!M124="-"),"-",SUM('A-18'!M30,'A-18'!M77,'A-18'!M124))</f>
        <v>-</v>
      </c>
      <c r="N30" s="200">
        <f>IF(AND('A-18'!N30="-",'A-18'!N77="-",'A-18'!N124="-"),"-",SUM('A-18'!N30,'A-18'!N77,'A-18'!N124))</f>
        <v>42997</v>
      </c>
      <c r="O30" s="200">
        <f>IF(AND('A-18'!O30="-",'A-18'!O77="-",'A-18'!O124="-"),"-",SUM('A-18'!O30,'A-18'!O77,'A-18'!O124))</f>
        <v>33408</v>
      </c>
      <c r="P30" s="200">
        <f>IF(AND('A-18'!P30="-",'A-18'!P77="-",'A-18'!P124="-"),"-",SUM('A-18'!P30,'A-18'!P77,'A-18'!P124))</f>
        <v>14163</v>
      </c>
      <c r="Q30" s="200">
        <f>IF(AND('A-18'!Q30="-",'A-18'!Q77="-",'A-18'!Q124="-"),"-",SUM('A-18'!Q30,'A-18'!Q77,'A-18'!Q124))</f>
        <v>15</v>
      </c>
      <c r="R30" s="200">
        <f>IF(AND('A-18'!R30="-",'A-18'!R77="-",'A-18'!R124="-"),"-",SUM('A-18'!R30,'A-18'!R77,'A-18'!R124))</f>
        <v>90583</v>
      </c>
      <c r="S30" s="22"/>
      <c r="T30" s="22"/>
    </row>
    <row r="31" spans="1:20" ht="11.25" customHeight="1" x14ac:dyDescent="0.25">
      <c r="A31" s="371">
        <v>2002</v>
      </c>
      <c r="B31" s="200" t="str">
        <f>IF(AND('A-18'!B31="-",'A-18'!B78="-",'A-18'!B125="-"),"-",SUM('A-18'!B31,'A-18'!B78,'A-18'!B125))</f>
        <v>-</v>
      </c>
      <c r="C31" s="200">
        <f>IF(AND('A-18'!C31="-",'A-18'!C78="-",'A-18'!C125="-"),"-",SUM('A-18'!C31,'A-18'!C78,'A-18'!C125))</f>
        <v>2554</v>
      </c>
      <c r="D31" s="200">
        <f>IF(AND('A-18'!D31="-",'A-18'!D78="-",'A-18'!D125="-"),"-",SUM('A-18'!D31,'A-18'!D78,'A-18'!D125))</f>
        <v>15225</v>
      </c>
      <c r="E31" s="200">
        <f>IF(AND('A-18'!E31="-",'A-18'!E78="-",'A-18'!E125="-"),"-",SUM('A-18'!E31,'A-18'!E78,'A-18'!E125))</f>
        <v>21984</v>
      </c>
      <c r="F31" s="200">
        <f>IF(AND('A-18'!F31="-",'A-18'!F78="-",'A-18'!F125="-"),"-",SUM('A-18'!F31,'A-18'!F78,'A-18'!F125))</f>
        <v>9884</v>
      </c>
      <c r="G31" s="200">
        <f>IF(AND('A-18'!G31="-",'A-18'!G78="-",'A-18'!G125="-"),"-",SUM('A-18'!G31,'A-18'!G78,'A-18'!G125))</f>
        <v>99</v>
      </c>
      <c r="H31" s="200">
        <f>IF(AND('A-18'!H31="-",'A-18'!H78="-",'A-18'!H125="-"),"-",SUM('A-18'!H31,'A-18'!H78,'A-18'!H125))</f>
        <v>43</v>
      </c>
      <c r="I31" s="200">
        <f>IF(AND('A-18'!I31="-",'A-18'!I78="-",'A-18'!I125="-"),"-",SUM('A-18'!I31,'A-18'!I78,'A-18'!I125))</f>
        <v>49789</v>
      </c>
      <c r="K31" s="200" t="str">
        <f>IF(AND('A-18'!K31="-",'A-18'!K78="-",'A-18'!K125="-"),"-",SUM('A-18'!K31,'A-18'!K78,'A-18'!K125))</f>
        <v>-</v>
      </c>
      <c r="L31" s="200">
        <f>IF(AND('A-18'!L31="-",'A-18'!L78="-",'A-18'!L125="-"),"-",SUM('A-18'!L31,'A-18'!L78,'A-18'!L125))</f>
        <v>5</v>
      </c>
      <c r="M31" s="200">
        <f>IF(AND('A-18'!M31="-",'A-18'!M78="-",'A-18'!M125="-"),"-",SUM('A-18'!M31,'A-18'!M78,'A-18'!M125))</f>
        <v>271</v>
      </c>
      <c r="N31" s="200">
        <f>IF(AND('A-18'!N31="-",'A-18'!N78="-",'A-18'!N125="-"),"-",SUM('A-18'!N31,'A-18'!N78,'A-18'!N125))</f>
        <v>10327</v>
      </c>
      <c r="O31" s="200">
        <f>IF(AND('A-18'!O31="-",'A-18'!O78="-",'A-18'!O125="-"),"-",SUM('A-18'!O31,'A-18'!O78,'A-18'!O125))</f>
        <v>17191</v>
      </c>
      <c r="P31" s="200">
        <f>IF(AND('A-18'!P31="-",'A-18'!P78="-",'A-18'!P125="-"),"-",SUM('A-18'!P31,'A-18'!P78,'A-18'!P125))</f>
        <v>1331</v>
      </c>
      <c r="Q31" s="200">
        <f>IF(AND('A-18'!Q31="-",'A-18'!Q78="-",'A-18'!Q125="-"),"-",SUM('A-18'!Q31,'A-18'!Q78,'A-18'!Q125))</f>
        <v>4</v>
      </c>
      <c r="R31" s="200">
        <f>IF(AND('A-18'!R31="-",'A-18'!R78="-",'A-18'!R125="-"),"-",SUM('A-18'!R31,'A-18'!R78,'A-18'!R125))</f>
        <v>29129</v>
      </c>
      <c r="S31" s="22"/>
      <c r="T31" s="22"/>
    </row>
    <row r="32" spans="1:20" ht="11.25" customHeight="1" x14ac:dyDescent="0.25">
      <c r="A32" s="371">
        <v>2003</v>
      </c>
      <c r="B32" s="200" t="str">
        <f>IF(AND('A-18'!B32="-",'A-18'!B79="-",'A-18'!B126="-"),"-",SUM('A-18'!B32,'A-18'!B79,'A-18'!B126))</f>
        <v>-</v>
      </c>
      <c r="C32" s="200" t="str">
        <f>IF(AND('A-18'!C32="-",'A-18'!C79="-",'A-18'!C126="-"),"-",SUM('A-18'!C32,'A-18'!C79,'A-18'!C126))</f>
        <v>-</v>
      </c>
      <c r="D32" s="200">
        <f>IF(AND('A-18'!D32="-",'A-18'!D79="-",'A-18'!D126="-"),"-",SUM('A-18'!D32,'A-18'!D79,'A-18'!D126))</f>
        <v>2689</v>
      </c>
      <c r="E32" s="200">
        <f>IF(AND('A-18'!E32="-",'A-18'!E79="-",'A-18'!E126="-"),"-",SUM('A-18'!E32,'A-18'!E79,'A-18'!E126))</f>
        <v>12959</v>
      </c>
      <c r="F32" s="200">
        <f>IF(AND('A-18'!F32="-",'A-18'!F79="-",'A-18'!F126="-"),"-",SUM('A-18'!F32,'A-18'!F79,'A-18'!F126))</f>
        <v>10752</v>
      </c>
      <c r="G32" s="200">
        <f>IF(AND('A-18'!G32="-",'A-18'!G79="-",'A-18'!G126="-"),"-",SUM('A-18'!G32,'A-18'!G79,'A-18'!G126))</f>
        <v>1937</v>
      </c>
      <c r="H32" s="200">
        <f>IF(AND('A-18'!H32="-",'A-18'!H79="-",'A-18'!H126="-"),"-",SUM('A-18'!H32,'A-18'!H79,'A-18'!H126))</f>
        <v>62</v>
      </c>
      <c r="I32" s="200">
        <f>IF(AND('A-18'!I32="-",'A-18'!I79="-",'A-18'!I126="-"),"-",SUM('A-18'!I32,'A-18'!I79,'A-18'!I126))</f>
        <v>28399</v>
      </c>
      <c r="K32" s="200" t="str">
        <f>IF(AND('A-18'!K32="-",'A-18'!K79="-",'A-18'!K126="-"),"-",SUM('A-18'!K32,'A-18'!K79,'A-18'!K126))</f>
        <v>-</v>
      </c>
      <c r="L32" s="200" t="str">
        <f>IF(AND('A-18'!L32="-",'A-18'!L79="-",'A-18'!L126="-"),"-",SUM('A-18'!L32,'A-18'!L79,'A-18'!L126))</f>
        <v>-</v>
      </c>
      <c r="M32" s="200">
        <f>IF(AND('A-18'!M32="-",'A-18'!M79="-",'A-18'!M126="-"),"-",SUM('A-18'!M32,'A-18'!M79,'A-18'!M126))</f>
        <v>3635</v>
      </c>
      <c r="N32" s="200">
        <f>IF(AND('A-18'!N32="-",'A-18'!N79="-",'A-18'!N126="-"),"-",SUM('A-18'!N32,'A-18'!N79,'A-18'!N126))</f>
        <v>25550</v>
      </c>
      <c r="O32" s="200">
        <f>IF(AND('A-18'!O32="-",'A-18'!O79="-",'A-18'!O126="-"),"-",SUM('A-18'!O32,'A-18'!O79,'A-18'!O126))</f>
        <v>27566</v>
      </c>
      <c r="P32" s="200">
        <f>IF(AND('A-18'!P32="-",'A-18'!P79="-",'A-18'!P126="-"),"-",SUM('A-18'!P32,'A-18'!P79,'A-18'!P126))</f>
        <v>5660</v>
      </c>
      <c r="Q32" s="200">
        <f>IF(AND('A-18'!Q32="-",'A-18'!Q79="-",'A-18'!Q126="-"),"-",SUM('A-18'!Q32,'A-18'!Q79,'A-18'!Q126))</f>
        <v>12</v>
      </c>
      <c r="R32" s="200">
        <f>IF(AND('A-18'!R32="-",'A-18'!R79="-",'A-18'!R126="-"),"-",SUM('A-18'!R32,'A-18'!R79,'A-18'!R126))</f>
        <v>62423</v>
      </c>
      <c r="S32" s="22"/>
      <c r="T32" s="22"/>
    </row>
    <row r="33" spans="1:20" ht="11.25" customHeight="1" x14ac:dyDescent="0.25">
      <c r="A33" s="371">
        <v>2004</v>
      </c>
      <c r="B33" s="200" t="str">
        <f>IF(AND('A-18'!B33="-",'A-18'!B80="-",'A-18'!B127="-"),"-",SUM('A-18'!B33,'A-18'!B80,'A-18'!B127))</f>
        <v>-</v>
      </c>
      <c r="C33" s="200" t="str">
        <f>IF(AND('A-18'!C33="-",'A-18'!C80="-",'A-18'!C127="-"),"-",SUM('A-18'!C33,'A-18'!C80,'A-18'!C127))</f>
        <v>-</v>
      </c>
      <c r="D33" s="200">
        <f>IF(AND('A-18'!D33="-",'A-18'!D80="-",'A-18'!D127="-"),"-",SUM('A-18'!D33,'A-18'!D80,'A-18'!D127))</f>
        <v>527</v>
      </c>
      <c r="E33" s="200">
        <f>IF(AND('A-18'!E33="-",'A-18'!E80="-",'A-18'!E127="-"),"-",SUM('A-18'!E33,'A-18'!E80,'A-18'!E127))</f>
        <v>9057</v>
      </c>
      <c r="F33" s="200">
        <f>IF(AND('A-18'!F33="-",'A-18'!F80="-",'A-18'!F127="-"),"-",SUM('A-18'!F33,'A-18'!F80,'A-18'!F127))</f>
        <v>6977</v>
      </c>
      <c r="G33" s="200">
        <f>IF(AND('A-18'!G33="-",'A-18'!G80="-",'A-18'!G127="-"),"-",SUM('A-18'!G33,'A-18'!G80,'A-18'!G127))</f>
        <v>2124</v>
      </c>
      <c r="H33" s="200">
        <f>IF(AND('A-18'!H33="-",'A-18'!H80="-",'A-18'!H127="-"),"-",SUM('A-18'!H33,'A-18'!H80,'A-18'!H127))</f>
        <v>6</v>
      </c>
      <c r="I33" s="200">
        <f>IF(AND('A-18'!I33="-",'A-18'!I80="-",'A-18'!I127="-"),"-",SUM('A-18'!I33,'A-18'!I80,'A-18'!I127))</f>
        <v>18685</v>
      </c>
      <c r="K33" s="200" t="str">
        <f>IF(AND('A-18'!K33="-",'A-18'!K80="-",'A-18'!K127="-"),"-",SUM('A-18'!K33,'A-18'!K80,'A-18'!K127))</f>
        <v>-</v>
      </c>
      <c r="L33" s="200" t="str">
        <f>IF(AND('A-18'!L33="-",'A-18'!L80="-",'A-18'!L127="-"),"-",SUM('A-18'!L33,'A-18'!L80,'A-18'!L127))</f>
        <v>-</v>
      </c>
      <c r="M33" s="200">
        <f>IF(AND('A-18'!M33="-",'A-18'!M80="-",'A-18'!M127="-"),"-",SUM('A-18'!M33,'A-18'!M80,'A-18'!M127))</f>
        <v>1581</v>
      </c>
      <c r="N33" s="200">
        <f>IF(AND('A-18'!N33="-",'A-18'!N80="-",'A-18'!N127="-"),"-",SUM('A-18'!N33,'A-18'!N80,'A-18'!N127))</f>
        <v>22685</v>
      </c>
      <c r="O33" s="200">
        <f>IF(AND('A-18'!O33="-",'A-18'!O80="-",'A-18'!O127="-"),"-",SUM('A-18'!O33,'A-18'!O80,'A-18'!O127))</f>
        <v>27588</v>
      </c>
      <c r="P33" s="200">
        <f>IF(AND('A-18'!P33="-",'A-18'!P80="-",'A-18'!P127="-"),"-",SUM('A-18'!P33,'A-18'!P80,'A-18'!P127))</f>
        <v>10042</v>
      </c>
      <c r="Q33" s="200">
        <f>IF(AND('A-18'!Q33="-",'A-18'!Q80="-",'A-18'!Q127="-"),"-",SUM('A-18'!Q33,'A-18'!Q80,'A-18'!Q127))</f>
        <v>3</v>
      </c>
      <c r="R33" s="200">
        <f>IF(AND('A-18'!R33="-",'A-18'!R80="-",'A-18'!R127="-"),"-",SUM('A-18'!R33,'A-18'!R80,'A-18'!R127))</f>
        <v>61899</v>
      </c>
      <c r="S33" s="22"/>
      <c r="T33" s="22"/>
    </row>
    <row r="34" spans="1:20" ht="11.25" customHeight="1" x14ac:dyDescent="0.25">
      <c r="A34" s="348">
        <v>2005</v>
      </c>
      <c r="B34" s="203" t="str">
        <f>IF(AND('A-18'!B34="-",'A-18'!B81="-",'A-18'!B128="-"),"-",SUM('A-18'!B34,'A-18'!B81,'A-18'!B128))</f>
        <v>-</v>
      </c>
      <c r="C34" s="203" t="str">
        <f>IF(AND('A-18'!C34="-",'A-18'!C81="-",'A-18'!C128="-"),"-",SUM('A-18'!C34,'A-18'!C81,'A-18'!C128))</f>
        <v>-</v>
      </c>
      <c r="D34" s="203">
        <f>IF(AND('A-18'!D34="-",'A-18'!D81="-",'A-18'!D128="-"),"-",SUM('A-18'!D34,'A-18'!D81,'A-18'!D128))</f>
        <v>364</v>
      </c>
      <c r="E34" s="203">
        <f>IF(AND('A-18'!E34="-",'A-18'!E81="-",'A-18'!E128="-"),"-",SUM('A-18'!E34,'A-18'!E81,'A-18'!E128))</f>
        <v>8104.4236039019879</v>
      </c>
      <c r="F34" s="203">
        <f>IF(AND('A-18'!F34="-",'A-18'!F81="-",'A-18'!F128="-"),"-",SUM('A-18'!F34,'A-18'!F81,'A-18'!F128))</f>
        <v>13189.399514076762</v>
      </c>
      <c r="G34" s="203">
        <f>IF(AND('A-18'!G34="-",'A-18'!G81="-",'A-18'!G128="-"),"-",SUM('A-18'!G34,'A-18'!G81,'A-18'!G128))</f>
        <v>5106.9502311670931</v>
      </c>
      <c r="H34" s="203">
        <f>IF(AND('A-18'!H34="-",'A-18'!H81="-",'A-18'!H128="-"),"-",SUM('A-18'!H34,'A-18'!H81,'A-18'!H128))</f>
        <v>43</v>
      </c>
      <c r="I34" s="203">
        <f>IF(AND('A-18'!I34="-",'A-18'!I81="-",'A-18'!I128="-"),"-",SUM('A-18'!I34,'A-18'!I81,'A-18'!I128))</f>
        <v>26807.773349145842</v>
      </c>
      <c r="J34" s="64"/>
      <c r="K34" s="203" t="str">
        <f>IF(AND('A-18'!K34="-",'A-18'!K81="-",'A-18'!K128="-"),"-",SUM('A-18'!K34,'A-18'!K81,'A-18'!K128))</f>
        <v>-</v>
      </c>
      <c r="L34" s="203" t="str">
        <f>IF(AND('A-18'!L34="-",'A-18'!L81="-",'A-18'!L128="-"),"-",SUM('A-18'!L34,'A-18'!L81,'A-18'!L128))</f>
        <v>-</v>
      </c>
      <c r="M34" s="203">
        <f>IF(AND('A-18'!M34="-",'A-18'!M81="-",'A-18'!M128="-"),"-",SUM('A-18'!M34,'A-18'!M81,'A-18'!M128))</f>
        <v>126</v>
      </c>
      <c r="N34" s="203">
        <f>IF(AND('A-18'!N34="-",'A-18'!N81="-",'A-18'!N128="-"),"-",SUM('A-18'!N34,'A-18'!N81,'A-18'!N128))</f>
        <v>10445.76608873891</v>
      </c>
      <c r="O34" s="203">
        <f>IF(AND('A-18'!O34="-",'A-18'!O81="-",'A-18'!O128="-"),"-",SUM('A-18'!O34,'A-18'!O81,'A-18'!O128))</f>
        <v>8684.1517073611394</v>
      </c>
      <c r="P34" s="203">
        <f>IF(AND('A-18'!P34="-",'A-18'!P81="-",'A-18'!P128="-"),"-",SUM('A-18'!P34,'A-18'!P81,'A-18'!P128))</f>
        <v>3771.6344315132769</v>
      </c>
      <c r="Q34" s="203">
        <f>IF(AND('A-18'!Q34="-",'A-18'!Q81="-",'A-18'!Q128="-"),"-",SUM('A-18'!Q34,'A-18'!Q81,'A-18'!Q128))</f>
        <v>18</v>
      </c>
      <c r="R34" s="203">
        <f>IF(AND('A-18'!R34="-",'A-18'!R81="-",'A-18'!R128="-"),"-",SUM('A-18'!R34,'A-18'!R81,'A-18'!R128))</f>
        <v>23045.552227613327</v>
      </c>
      <c r="S34" s="22"/>
      <c r="T34" s="22"/>
    </row>
    <row r="35" spans="1:20" ht="11.25" customHeight="1" x14ac:dyDescent="0.25">
      <c r="A35" s="371">
        <v>2006</v>
      </c>
      <c r="B35" s="200" t="str">
        <f>IF(AND('A-18'!B35="-",'A-18'!B82="-",'A-18'!B129="-"),"-",SUM('A-18'!B35,'A-18'!B82,'A-18'!B129))</f>
        <v>-</v>
      </c>
      <c r="C35" s="200" t="str">
        <f>IF(AND('A-18'!C35="-",'A-18'!C82="-",'A-18'!C129="-"),"-",SUM('A-18'!C35,'A-18'!C82,'A-18'!C129))</f>
        <v>-</v>
      </c>
      <c r="D35" s="200">
        <f>IF(AND('A-18'!D35="-",'A-18'!D82="-",'A-18'!D129="-"),"-",SUM('A-18'!D35,'A-18'!D82,'A-18'!D129))</f>
        <v>202.26999999999998</v>
      </c>
      <c r="E35" s="200">
        <f>IF(AND('A-18'!E35="-",'A-18'!E82="-",'A-18'!E129="-"),"-",SUM('A-18'!E35,'A-18'!E82,'A-18'!E129))</f>
        <v>3273.55</v>
      </c>
      <c r="F35" s="200">
        <f>IF(AND('A-18'!F35="-",'A-18'!F82="-",'A-18'!F129="-"),"-",SUM('A-18'!F35,'A-18'!F82,'A-18'!F129))</f>
        <v>4522.49</v>
      </c>
      <c r="G35" s="200">
        <f>IF(AND('A-18'!G35="-",'A-18'!G82="-",'A-18'!G129="-"),"-",SUM('A-18'!G35,'A-18'!G82,'A-18'!G129))</f>
        <v>813.42</v>
      </c>
      <c r="H35" s="200">
        <f>IF(AND('A-18'!H35="-",'A-18'!H82="-",'A-18'!H129="-"),"-",SUM('A-18'!H35,'A-18'!H82,'A-18'!H129))</f>
        <v>90.54</v>
      </c>
      <c r="I35" s="200">
        <f>IF(AND('A-18'!I35="-",'A-18'!I82="-",'A-18'!I129="-"),"-",SUM('A-18'!I35,'A-18'!I82,'A-18'!I129))</f>
        <v>8902.27</v>
      </c>
      <c r="K35" s="200" t="str">
        <f>IF(AND('A-18'!K35="-",'A-18'!K82="-",'A-18'!K129="-"),"-",SUM('A-18'!K35,'A-18'!K82,'A-18'!K129))</f>
        <v>-</v>
      </c>
      <c r="L35" s="200" t="str">
        <f>IF(AND('A-18'!L35="-",'A-18'!L82="-",'A-18'!L129="-"),"-",SUM('A-18'!L35,'A-18'!L82,'A-18'!L129))</f>
        <v>-</v>
      </c>
      <c r="M35" s="200">
        <f>IF(AND('A-18'!M35="-",'A-18'!M82="-",'A-18'!M129="-"),"-",SUM('A-18'!M35,'A-18'!M82,'A-18'!M129))</f>
        <v>416.05</v>
      </c>
      <c r="N35" s="200">
        <f>IF(AND('A-18'!N35="-",'A-18'!N82="-",'A-18'!N129="-"),"-",SUM('A-18'!N35,'A-18'!N82,'A-18'!N129))</f>
        <v>6514.4599999999991</v>
      </c>
      <c r="O35" s="200">
        <f>IF(AND('A-18'!O35="-",'A-18'!O82="-",'A-18'!O129="-"),"-",SUM('A-18'!O35,'A-18'!O82,'A-18'!O129))</f>
        <v>8286.5400000000009</v>
      </c>
      <c r="P35" s="200">
        <f>IF(AND('A-18'!P35="-",'A-18'!P82="-",'A-18'!P129="-"),"-",SUM('A-18'!P35,'A-18'!P82,'A-18'!P129))</f>
        <v>1466.1</v>
      </c>
      <c r="Q35" s="200">
        <f>IF(AND('A-18'!Q35="-",'A-18'!Q82="-",'A-18'!Q129="-"),"-",SUM('A-18'!Q35,'A-18'!Q82,'A-18'!Q129))</f>
        <v>2.4</v>
      </c>
      <c r="R35" s="200">
        <f>IF(AND('A-18'!R35="-",'A-18'!R82="-",'A-18'!R129="-"),"-",SUM('A-18'!R35,'A-18'!R82,'A-18'!R129))</f>
        <v>16685.55</v>
      </c>
      <c r="S35" s="22"/>
      <c r="T35" s="22"/>
    </row>
    <row r="36" spans="1:20" ht="11.25" customHeight="1" x14ac:dyDescent="0.25">
      <c r="A36" s="348">
        <v>2007</v>
      </c>
      <c r="B36" s="203" t="str">
        <f>IF(AND('A-18'!B36="-",'A-18'!B83="-",'A-18'!B130="-"),"-",SUM('A-18'!B36,'A-18'!B83,'A-18'!B130))</f>
        <v>-</v>
      </c>
      <c r="C36" s="203" t="str">
        <f>IF(AND('A-18'!C36="-",'A-18'!C83="-",'A-18'!C130="-"),"-",SUM('A-18'!C36,'A-18'!C83,'A-18'!C130))</f>
        <v>-</v>
      </c>
      <c r="D36" s="203" t="str">
        <f>IF(AND('A-18'!D36="-",'A-18'!D83="-",'A-18'!D130="-"),"-",SUM('A-18'!D36,'A-18'!D83,'A-18'!D130))</f>
        <v>-</v>
      </c>
      <c r="E36" s="203">
        <f>IF(AND('A-18'!E36="-",'A-18'!E83="-",'A-18'!E130="-"),"-",SUM('A-18'!E36,'A-18'!E83,'A-18'!E130))</f>
        <v>3804.3999999999996</v>
      </c>
      <c r="F36" s="203">
        <f>IF(AND('A-18'!F36="-",'A-18'!F83="-",'A-18'!F130="-"),"-",SUM('A-18'!F36,'A-18'!F83,'A-18'!F130))</f>
        <v>3137.58</v>
      </c>
      <c r="G36" s="203">
        <f>IF(AND('A-18'!G36="-",'A-18'!G83="-",'A-18'!G130="-"),"-",SUM('A-18'!G36,'A-18'!G83,'A-18'!G130))</f>
        <v>370.65999999999997</v>
      </c>
      <c r="H36" s="203">
        <f>IF(AND('A-18'!H36="-",'A-18'!H83="-",'A-18'!H130="-"),"-",SUM('A-18'!H36,'A-18'!H83,'A-18'!H130))</f>
        <v>0</v>
      </c>
      <c r="I36" s="203">
        <f>IF(AND('A-18'!I36="-",'A-18'!I83="-",'A-18'!I130="-"),"-",SUM('A-18'!I36,'A-18'!I83,'A-18'!I130))</f>
        <v>7312.64</v>
      </c>
      <c r="J36" s="64"/>
      <c r="K36" s="203" t="str">
        <f>IF(AND('A-18'!K36="-",'A-18'!K83="-",'A-18'!K130="-"),"-",SUM('A-18'!K36,'A-18'!K83,'A-18'!K130))</f>
        <v>-</v>
      </c>
      <c r="L36" s="203" t="str">
        <f>IF(AND('A-18'!L36="-",'A-18'!L83="-",'A-18'!L130="-"),"-",SUM('A-18'!L36,'A-18'!L83,'A-18'!L130))</f>
        <v>-</v>
      </c>
      <c r="M36" s="203" t="str">
        <f>IF(AND('A-18'!M36="-",'A-18'!M83="-",'A-18'!M130="-"),"-",SUM('A-18'!M36,'A-18'!M83,'A-18'!M130))</f>
        <v>-</v>
      </c>
      <c r="N36" s="203">
        <f>IF(AND('A-18'!N36="-",'A-18'!N83="-",'A-18'!N130="-"),"-",SUM('A-18'!N36,'A-18'!N83,'A-18'!N130))</f>
        <v>13027.79</v>
      </c>
      <c r="O36" s="203">
        <f>IF(AND('A-18'!O36="-",'A-18'!O83="-",'A-18'!O130="-"),"-",SUM('A-18'!O36,'A-18'!O83,'A-18'!O130))</f>
        <v>20920.29</v>
      </c>
      <c r="P36" s="203">
        <f>IF(AND('A-18'!P36="-",'A-18'!P83="-",'A-18'!P130="-"),"-",SUM('A-18'!P36,'A-18'!P83,'A-18'!P130))</f>
        <v>2420.9</v>
      </c>
      <c r="Q36" s="203">
        <f>IF(AND('A-18'!Q36="-",'A-18'!Q83="-",'A-18'!Q130="-"),"-",SUM('A-18'!Q36,'A-18'!Q83,'A-18'!Q130))</f>
        <v>0</v>
      </c>
      <c r="R36" s="203">
        <f>IF(AND('A-18'!R36="-",'A-18'!R83="-",'A-18'!R130="-"),"-",SUM('A-18'!R36,'A-18'!R83,'A-18'!R130))</f>
        <v>36368.979999999996</v>
      </c>
      <c r="S36" s="148"/>
      <c r="T36" s="148"/>
    </row>
    <row r="37" spans="1:20" ht="11.25" customHeight="1" x14ac:dyDescent="0.25">
      <c r="A37" s="348">
        <v>2008</v>
      </c>
      <c r="B37" s="203" t="str">
        <f>IF(AND('A-18'!B37="-",'A-18'!B84="-",'A-18'!B131="-"),"-",SUM('A-18'!B37,'A-18'!B84,'A-18'!B131))</f>
        <v>-</v>
      </c>
      <c r="C37" s="203" t="str">
        <f>IF(AND('A-18'!C37="-",'A-18'!C84="-",'A-18'!C131="-"),"-",SUM('A-18'!C37,'A-18'!C84,'A-18'!C131))</f>
        <v>-</v>
      </c>
      <c r="D37" s="203">
        <f>IF(AND('A-18'!D37="-",'A-18'!D84="-",'A-18'!D131="-"),"-",SUM('A-18'!D37,'A-18'!D84,'A-18'!D131))</f>
        <v>2536.5299999999997</v>
      </c>
      <c r="E37" s="203">
        <f>IF(AND('A-18'!E37="-",'A-18'!E84="-",'A-18'!E131="-"),"-",SUM('A-18'!E37,'A-18'!E84,'A-18'!E131))</f>
        <v>5427.94</v>
      </c>
      <c r="F37" s="203">
        <f>IF(AND('A-18'!F37="-",'A-18'!F84="-",'A-18'!F131="-"),"-",SUM('A-18'!F37,'A-18'!F84,'A-18'!F131))</f>
        <v>3352.29</v>
      </c>
      <c r="G37" s="203">
        <f>IF(AND('A-18'!G37="-",'A-18'!G84="-",'A-18'!G131="-"),"-",SUM('A-18'!G37,'A-18'!G84,'A-18'!G131))</f>
        <v>413.91</v>
      </c>
      <c r="H37" s="203">
        <f>IF(AND('A-18'!H37="-",'A-18'!H84="-",'A-18'!H131="-"),"-",SUM('A-18'!H37,'A-18'!H84,'A-18'!H131))</f>
        <v>6.25</v>
      </c>
      <c r="I37" s="203">
        <f>IF(AND('A-18'!I37="-",'A-18'!I84="-",'A-18'!I131="-"),"-",SUM('A-18'!I37,'A-18'!I84,'A-18'!I131))</f>
        <v>11736.92</v>
      </c>
      <c r="J37" s="64"/>
      <c r="K37" s="203" t="str">
        <f>IF(AND('A-18'!K37="-",'A-18'!K84="-",'A-18'!K131="-"),"-",SUM('A-18'!K37,'A-18'!K84,'A-18'!K131))</f>
        <v>-</v>
      </c>
      <c r="L37" s="203" t="str">
        <f>IF(AND('A-18'!L37="-",'A-18'!L84="-",'A-18'!L131="-"),"-",SUM('A-18'!L37,'A-18'!L84,'A-18'!L131))</f>
        <v>-</v>
      </c>
      <c r="M37" s="203">
        <f>IF(AND('A-18'!M37="-",'A-18'!M84="-",'A-18'!M131="-"),"-",SUM('A-18'!M37,'A-18'!M84,'A-18'!M131))</f>
        <v>30.03</v>
      </c>
      <c r="N37" s="203">
        <f>IF(AND('A-18'!N37="-",'A-18'!N84="-",'A-18'!N131="-"),"-",SUM('A-18'!N37,'A-18'!N84,'A-18'!N131))</f>
        <v>3331.74</v>
      </c>
      <c r="O37" s="203">
        <f>IF(AND('A-18'!O37="-",'A-18'!O84="-",'A-18'!O131="-"),"-",SUM('A-18'!O37,'A-18'!O84,'A-18'!O131))</f>
        <v>5114.96</v>
      </c>
      <c r="P37" s="203">
        <f>IF(AND('A-18'!P37="-",'A-18'!P84="-",'A-18'!P131="-"),"-",SUM('A-18'!P37,'A-18'!P84,'A-18'!P131))</f>
        <v>1751.83</v>
      </c>
      <c r="Q37" s="203">
        <f>IF(AND('A-18'!Q37="-",'A-18'!Q84="-",'A-18'!Q131="-"),"-",SUM('A-18'!Q37,'A-18'!Q84,'A-18'!Q131))</f>
        <v>1.25</v>
      </c>
      <c r="R37" s="203">
        <f>IF(AND('A-18'!R37="-",'A-18'!R84="-",'A-18'!R131="-"),"-",SUM('A-18'!R37,'A-18'!R84,'A-18'!R131))</f>
        <v>10229.810000000001</v>
      </c>
      <c r="S37" s="148"/>
      <c r="T37" s="148"/>
    </row>
    <row r="38" spans="1:20" ht="11.25" customHeight="1" x14ac:dyDescent="0.25">
      <c r="A38" s="348">
        <v>2009</v>
      </c>
      <c r="B38" s="203" t="str">
        <f>IF(AND('A-18'!B38="-",'A-18'!B85="-",'A-18'!B132="-"),"-",SUM('A-18'!B38,'A-18'!B85,'A-18'!B132))</f>
        <v>-</v>
      </c>
      <c r="C38" s="203" t="str">
        <f>IF(AND('A-18'!C38="-",'A-18'!C85="-",'A-18'!C132="-"),"-",SUM('A-18'!C38,'A-18'!C85,'A-18'!C132))</f>
        <v>-</v>
      </c>
      <c r="D38" s="203">
        <f>IF(AND('A-18'!D38="-",'A-18'!D85="-",'A-18'!D132="-"),"-",SUM('A-18'!D38,'A-18'!D85,'A-18'!D132))</f>
        <v>182.29</v>
      </c>
      <c r="E38" s="203">
        <f>IF(AND('A-18'!E38="-",'A-18'!E85="-",'A-18'!E132="-"),"-",SUM('A-18'!E38,'A-18'!E85,'A-18'!E132))</f>
        <v>3550.95</v>
      </c>
      <c r="F38" s="203">
        <f>IF(AND('A-18'!F38="-",'A-18'!F85="-",'A-18'!F132="-"),"-",SUM('A-18'!F38,'A-18'!F85,'A-18'!F132))</f>
        <v>3993.96</v>
      </c>
      <c r="G38" s="203">
        <f>IF(AND('A-18'!G38="-",'A-18'!G85="-",'A-18'!G132="-"),"-",SUM('A-18'!G38,'A-18'!G85,'A-18'!G132))</f>
        <v>324.97000000000003</v>
      </c>
      <c r="H38" s="203">
        <f>IF(AND('A-18'!H38="-",'A-18'!H85="-",'A-18'!H132="-"),"-",SUM('A-18'!H38,'A-18'!H85,'A-18'!H132))</f>
        <v>96.78</v>
      </c>
      <c r="I38" s="203">
        <f>IF(AND('A-18'!I38="-",'A-18'!I85="-",'A-18'!I132="-"),"-",SUM('A-18'!I38,'A-18'!I85,'A-18'!I132))</f>
        <v>8148.95</v>
      </c>
      <c r="J38" s="64"/>
      <c r="K38" s="203" t="str">
        <f>IF(AND('A-18'!K38="-",'A-18'!K85="-",'A-18'!K132="-"),"-",SUM('A-18'!K38,'A-18'!K85,'A-18'!K132))</f>
        <v>-</v>
      </c>
      <c r="L38" s="203" t="str">
        <f>IF(AND('A-18'!L38="-",'A-18'!L85="-",'A-18'!L132="-"),"-",SUM('A-18'!L38,'A-18'!L85,'A-18'!L132))</f>
        <v>-</v>
      </c>
      <c r="M38" s="203">
        <f>IF(AND('A-18'!M38="-",'A-18'!M85="-",'A-18'!M132="-"),"-",SUM('A-18'!M38,'A-18'!M85,'A-18'!M132))</f>
        <v>822.56999999999994</v>
      </c>
      <c r="N38" s="203">
        <f>IF(AND('A-18'!N38="-",'A-18'!N85="-",'A-18'!N132="-"),"-",SUM('A-18'!N38,'A-18'!N85,'A-18'!N132))</f>
        <v>17495.82</v>
      </c>
      <c r="O38" s="203">
        <f>IF(AND('A-18'!O38="-",'A-18'!O85="-",'A-18'!O132="-"),"-",SUM('A-18'!O38,'A-18'!O85,'A-18'!O132))</f>
        <v>44997.789999999994</v>
      </c>
      <c r="P38" s="203">
        <f>IF(AND('A-18'!P38="-",'A-18'!P85="-",'A-18'!P132="-"),"-",SUM('A-18'!P38,'A-18'!P85,'A-18'!P132))</f>
        <v>10692.039999999999</v>
      </c>
      <c r="Q38" s="203">
        <f>IF(AND('A-18'!Q38="-",'A-18'!Q85="-",'A-18'!Q132="-"),"-",SUM('A-18'!Q38,'A-18'!Q85,'A-18'!Q132))</f>
        <v>92.41</v>
      </c>
      <c r="R38" s="203">
        <f>IF(AND('A-18'!R38="-",'A-18'!R85="-",'A-18'!R132="-"),"-",SUM('A-18'!R38,'A-18'!R85,'A-18'!R132))</f>
        <v>74100.63</v>
      </c>
      <c r="S38" s="148"/>
      <c r="T38" s="148"/>
    </row>
    <row r="39" spans="1:20" ht="11.25" customHeight="1" x14ac:dyDescent="0.25">
      <c r="A39" s="348">
        <v>2010</v>
      </c>
      <c r="B39" s="203" t="str">
        <f>IF(AND('A-18'!B39="-",'A-18'!B86="-",'A-18'!B133="-"),"-",SUM('A-18'!B39,'A-18'!B86,'A-18'!B133))</f>
        <v>-</v>
      </c>
      <c r="C39" s="203" t="str">
        <f>IF(AND('A-18'!C39="-",'A-18'!C86="-",'A-18'!C133="-"),"-",SUM('A-18'!C39,'A-18'!C86,'A-18'!C133))</f>
        <v>-</v>
      </c>
      <c r="D39" s="203">
        <f>IF(AND('A-18'!D39="-",'A-18'!D86="-",'A-18'!D133="-"),"-",SUM('A-18'!D39,'A-18'!D86,'A-18'!D133))</f>
        <v>4893.43</v>
      </c>
      <c r="E39" s="203">
        <f>IF(AND('A-18'!E39="-",'A-18'!E86="-",'A-18'!E133="-"),"-",SUM('A-18'!E39,'A-18'!E86,'A-18'!E133))</f>
        <v>11813.91</v>
      </c>
      <c r="F39" s="203">
        <f>IF(AND('A-18'!F39="-",'A-18'!F86="-",'A-18'!F133="-"),"-",SUM('A-18'!F39,'A-18'!F86,'A-18'!F133))</f>
        <v>12753.46</v>
      </c>
      <c r="G39" s="203">
        <f>IF(AND('A-18'!G39="-",'A-18'!G86="-",'A-18'!G133="-"),"-",SUM('A-18'!G39,'A-18'!G86,'A-18'!G133))</f>
        <v>1959.55</v>
      </c>
      <c r="H39" s="203">
        <f>IF(AND('A-18'!H39="-",'A-18'!H86="-",'A-18'!H133="-"),"-",SUM('A-18'!H39,'A-18'!H86,'A-18'!H133))</f>
        <v>44.95</v>
      </c>
      <c r="I39" s="203">
        <f>IF(AND('A-18'!I39="-",'A-18'!I86="-",'A-18'!I133="-"),"-",SUM('A-18'!I39,'A-18'!I86,'A-18'!I133))</f>
        <v>31465.300000000003</v>
      </c>
      <c r="J39" s="64"/>
      <c r="K39" s="203" t="str">
        <f>IF(AND('A-18'!K39="-",'A-18'!K86="-",'A-18'!K133="-"),"-",SUM('A-18'!K39,'A-18'!K86,'A-18'!K133))</f>
        <v>-</v>
      </c>
      <c r="L39" s="203" t="str">
        <f>IF(AND('A-18'!L39="-",'A-18'!L86="-",'A-18'!L133="-"),"-",SUM('A-18'!L39,'A-18'!L86,'A-18'!L133))</f>
        <v>-</v>
      </c>
      <c r="M39" s="203">
        <f>IF(AND('A-18'!M39="-",'A-18'!M86="-",'A-18'!M133="-"),"-",SUM('A-18'!M39,'A-18'!M86,'A-18'!M133))</f>
        <v>46.32</v>
      </c>
      <c r="N39" s="203">
        <f>IF(AND('A-18'!N39="-",'A-18'!N86="-",'A-18'!N133="-"),"-",SUM('A-18'!N39,'A-18'!N86,'A-18'!N133))</f>
        <v>5817.3899999999994</v>
      </c>
      <c r="O39" s="203">
        <f>IF(AND('A-18'!O39="-",'A-18'!O86="-",'A-18'!O133="-"),"-",SUM('A-18'!O39,'A-18'!O86,'A-18'!O133))</f>
        <v>6274.91</v>
      </c>
      <c r="P39" s="203">
        <f>IF(AND('A-18'!P39="-",'A-18'!P86="-",'A-18'!P133="-"),"-",SUM('A-18'!P39,'A-18'!P86,'A-18'!P133))</f>
        <v>5297.46</v>
      </c>
      <c r="Q39" s="203">
        <f>IF(AND('A-18'!Q39="-",'A-18'!Q86="-",'A-18'!Q133="-"),"-",SUM('A-18'!Q39,'A-18'!Q86,'A-18'!Q133))</f>
        <v>36.76</v>
      </c>
      <c r="R39" s="203">
        <f>IF(AND('A-18'!R39="-",'A-18'!R86="-",'A-18'!R133="-"),"-",SUM('A-18'!R39,'A-18'!R86,'A-18'!R133))</f>
        <v>17472.84</v>
      </c>
      <c r="S39" s="148"/>
      <c r="T39" s="148"/>
    </row>
    <row r="40" spans="1:20" ht="11.25" customHeight="1" x14ac:dyDescent="0.25">
      <c r="A40" s="348">
        <v>2011</v>
      </c>
      <c r="B40" s="203" t="str">
        <f>IF(AND('A-18'!B40="-",'A-18'!B87="-",'A-18'!B134="-"),"-",SUM('A-18'!B40,'A-18'!B87,'A-18'!B134))</f>
        <v>-</v>
      </c>
      <c r="C40" s="203" t="str">
        <f>IF(AND('A-18'!C40="-",'A-18'!C87="-",'A-18'!C134="-"),"-",SUM('A-18'!C40,'A-18'!C87,'A-18'!C134))</f>
        <v>-</v>
      </c>
      <c r="D40" s="203">
        <f>IF(AND('A-18'!D40="-",'A-18'!D87="-",'A-18'!D134="-"),"-",SUM('A-18'!D40,'A-18'!D87,'A-18'!D134))</f>
        <v>2509.02</v>
      </c>
      <c r="E40" s="203">
        <f>IF(AND('A-18'!E40="-",'A-18'!E87="-",'A-18'!E134="-"),"-",SUM('A-18'!E40,'A-18'!E87,'A-18'!E134))</f>
        <v>7462.49</v>
      </c>
      <c r="F40" s="203">
        <f>IF(AND('A-18'!F40="-",'A-18'!F87="-",'A-18'!F134="-"),"-",SUM('A-18'!F40,'A-18'!F87,'A-18'!F134))</f>
        <v>13071.050000000001</v>
      </c>
      <c r="G40" s="203">
        <f>IF(AND('A-18'!G40="-",'A-18'!G87="-",'A-18'!G134="-"),"-",SUM('A-18'!G40,'A-18'!G87,'A-18'!G134))</f>
        <v>559.47</v>
      </c>
      <c r="H40" s="203">
        <f>IF(AND('A-18'!H40="-",'A-18'!H87="-",'A-18'!H134="-"),"-",SUM('A-18'!H40,'A-18'!H87,'A-18'!H134))</f>
        <v>5</v>
      </c>
      <c r="I40" s="203">
        <f>IF(AND('A-18'!I40="-",'A-18'!I87="-",'A-18'!I134="-"),"-",SUM('A-18'!I40,'A-18'!I87,'A-18'!I134))</f>
        <v>23607.03</v>
      </c>
      <c r="J40" s="64"/>
      <c r="K40" s="203" t="str">
        <f>IF(AND('A-18'!K40="-",'A-18'!K87="-",'A-18'!K134="-"),"-",SUM('A-18'!K40,'A-18'!K87,'A-18'!K134))</f>
        <v>-</v>
      </c>
      <c r="L40" s="203" t="str">
        <f>IF(AND('A-18'!L40="-",'A-18'!L87="-",'A-18'!L134="-"),"-",SUM('A-18'!L40,'A-18'!L87,'A-18'!L134))</f>
        <v>-</v>
      </c>
      <c r="M40" s="203">
        <f>IF(AND('A-18'!M40="-",'A-18'!M87="-",'A-18'!M134="-"),"-",SUM('A-18'!M40,'A-18'!M87,'A-18'!M134))</f>
        <v>330.85</v>
      </c>
      <c r="N40" s="203">
        <f>IF(AND('A-18'!N40="-",'A-18'!N87="-",'A-18'!N134="-"),"-",SUM('A-18'!N40,'A-18'!N87,'A-18'!N134))</f>
        <v>6989.4000000000005</v>
      </c>
      <c r="O40" s="203">
        <f>IF(AND('A-18'!O40="-",'A-18'!O87="-",'A-18'!O134="-"),"-",SUM('A-18'!O40,'A-18'!O87,'A-18'!O134))</f>
        <v>8694.0400000000009</v>
      </c>
      <c r="P40" s="203">
        <f>IF(AND('A-18'!P40="-",'A-18'!P87="-",'A-18'!P134="-"),"-",SUM('A-18'!P40,'A-18'!P87,'A-18'!P134))</f>
        <v>2930.6099999999997</v>
      </c>
      <c r="Q40" s="203">
        <f>IF(AND('A-18'!Q40="-",'A-18'!Q87="-",'A-18'!Q134="-"),"-",SUM('A-18'!Q40,'A-18'!Q87,'A-18'!Q134))</f>
        <v>2.4500000000000002</v>
      </c>
      <c r="R40" s="203">
        <f>IF(AND('A-18'!R40="-",'A-18'!R87="-",'A-18'!R134="-"),"-",SUM('A-18'!R40,'A-18'!R87,'A-18'!R134))</f>
        <v>18947.349999999999</v>
      </c>
      <c r="S40" s="148"/>
      <c r="T40" s="148"/>
    </row>
    <row r="41" spans="1:20" ht="11.25" customHeight="1" x14ac:dyDescent="0.25">
      <c r="A41" s="348">
        <v>2012</v>
      </c>
      <c r="B41" s="203" t="str">
        <f>IF(AND('A-18'!B41="-",'A-18'!B88="-",'A-18'!B135="-"),"-",SUM('A-18'!B41,'A-18'!B88,'A-18'!B135))</f>
        <v>-</v>
      </c>
      <c r="C41" s="203" t="str">
        <f>IF(AND('A-18'!C41="-",'A-18'!C88="-",'A-18'!C135="-"),"-",SUM('A-18'!C41,'A-18'!C88,'A-18'!C135))</f>
        <v>-</v>
      </c>
      <c r="D41" s="203">
        <f>IF(AND('A-18'!D41="-",'A-18'!D88="-",'A-18'!D135="-"),"-",SUM('A-18'!D41,'A-18'!D88,'A-18'!D135))</f>
        <v>8472.08</v>
      </c>
      <c r="E41" s="203">
        <f>IF(AND('A-18'!E41="-",'A-18'!E88="-",'A-18'!E135="-"),"-",SUM('A-18'!E41,'A-18'!E88,'A-18'!E135))</f>
        <v>8019.73</v>
      </c>
      <c r="F41" s="203">
        <f>IF(AND('A-18'!F41="-",'A-18'!F88="-",'A-18'!F135="-"),"-",SUM('A-18'!F41,'A-18'!F88,'A-18'!F135))</f>
        <v>8325.0999999999985</v>
      </c>
      <c r="G41" s="203">
        <f>IF(AND('A-18'!G41="-",'A-18'!G88="-",'A-18'!G135="-"),"-",SUM('A-18'!G41,'A-18'!G88,'A-18'!G135))</f>
        <v>1365.8500000000001</v>
      </c>
      <c r="H41" s="203">
        <f>IF(AND('A-18'!H41="-",'A-18'!H88="-",'A-18'!H135="-"),"-",SUM('A-18'!H41,'A-18'!H88,'A-18'!H135))</f>
        <v>132.59</v>
      </c>
      <c r="I41" s="203">
        <f>IF(AND('A-18'!I41="-",'A-18'!I88="-",'A-18'!I135="-"),"-",SUM('A-18'!I41,'A-18'!I88,'A-18'!I135))</f>
        <v>26315.350000000002</v>
      </c>
      <c r="J41" s="64"/>
      <c r="K41" s="203" t="str">
        <f>IF(AND('A-18'!K41="-",'A-18'!K88="-",'A-18'!K135="-"),"-",SUM('A-18'!K41,'A-18'!K88,'A-18'!K135))</f>
        <v>-</v>
      </c>
      <c r="L41" s="203" t="str">
        <f>IF(AND('A-18'!L41="-",'A-18'!L88="-",'A-18'!L135="-"),"-",SUM('A-18'!L41,'A-18'!L88,'A-18'!L135))</f>
        <v>-</v>
      </c>
      <c r="M41" s="203">
        <f>IF(AND('A-18'!M41="-",'A-18'!M88="-",'A-18'!M135="-"),"-",SUM('A-18'!M41,'A-18'!M88,'A-18'!M135))</f>
        <v>211.15</v>
      </c>
      <c r="N41" s="203">
        <f>IF(AND('A-18'!N41="-",'A-18'!N88="-",'A-18'!N135="-"),"-",SUM('A-18'!N41,'A-18'!N88,'A-18'!N135))</f>
        <v>7239.75</v>
      </c>
      <c r="O41" s="203">
        <f>IF(AND('A-18'!O41="-",'A-18'!O88="-",'A-18'!O135="-"),"-",SUM('A-18'!O41,'A-18'!O88,'A-18'!O135))</f>
        <v>7520.93</v>
      </c>
      <c r="P41" s="203">
        <f>IF(AND('A-18'!P41="-",'A-18'!P88="-",'A-18'!P135="-"),"-",SUM('A-18'!P41,'A-18'!P88,'A-18'!P135))</f>
        <v>6722.39</v>
      </c>
      <c r="Q41" s="203">
        <f>IF(AND('A-18'!Q41="-",'A-18'!Q88="-",'A-18'!Q135="-"),"-",SUM('A-18'!Q41,'A-18'!Q88,'A-18'!Q135))</f>
        <v>20.81</v>
      </c>
      <c r="R41" s="203">
        <f>IF(AND('A-18'!R41="-",'A-18'!R88="-",'A-18'!R135="-"),"-",SUM('A-18'!R41,'A-18'!R88,'A-18'!R135))</f>
        <v>21715.03</v>
      </c>
      <c r="S41" s="148"/>
      <c r="T41" s="148"/>
    </row>
    <row r="42" spans="1:20" ht="11.25" customHeight="1" x14ac:dyDescent="0.25">
      <c r="A42" s="348">
        <v>2013</v>
      </c>
      <c r="B42" s="203" t="str">
        <f>IF(AND('A-18'!B42="-",'A-18'!B89="-",'A-18'!B136="-"),"-",SUM('A-18'!B42,'A-18'!B89,'A-18'!B136))</f>
        <v>-</v>
      </c>
      <c r="C42" s="203">
        <f>IF(AND('A-18'!C42="-",'A-18'!C89="-",'A-18'!C136="-"),"-",SUM('A-18'!C42,'A-18'!C89,'A-18'!C136))</f>
        <v>130.57999999999998</v>
      </c>
      <c r="D42" s="203">
        <f>IF(AND('A-18'!D42="-",'A-18'!D89="-",'A-18'!D136="-"),"-",SUM('A-18'!D42,'A-18'!D89,'A-18'!D136))</f>
        <v>2926.62</v>
      </c>
      <c r="E42" s="203">
        <f>IF(AND('A-18'!E42="-",'A-18'!E89="-",'A-18'!E136="-"),"-",SUM('A-18'!E42,'A-18'!E89,'A-18'!E136))</f>
        <v>7362.58</v>
      </c>
      <c r="F42" s="203">
        <f>IF(AND('A-18'!F42="-",'A-18'!F89="-",'A-18'!F136="-"),"-",SUM('A-18'!F42,'A-18'!F89,'A-18'!F136))</f>
        <v>10450.41</v>
      </c>
      <c r="G42" s="203">
        <f>IF(AND('A-18'!G42="-",'A-18'!G89="-",'A-18'!G136="-"),"-",SUM('A-18'!G42,'A-18'!G89,'A-18'!G136))</f>
        <v>1300.47</v>
      </c>
      <c r="H42" s="203">
        <f>IF(AND('A-18'!H42="-",'A-18'!H89="-",'A-18'!H136="-"),"-",SUM('A-18'!H42,'A-18'!H89,'A-18'!H136))</f>
        <v>118.68</v>
      </c>
      <c r="I42" s="203">
        <f>IF(AND('A-18'!I42="-",'A-18'!I89="-",'A-18'!I136="-"),"-",SUM('A-18'!I42,'A-18'!I89,'A-18'!I136))</f>
        <v>22289.34</v>
      </c>
      <c r="J42" s="64"/>
      <c r="K42" s="203" t="str">
        <f>IF(AND('A-18'!K42="-",'A-18'!K89="-",'A-18'!K136="-"),"-",SUM('A-18'!K42,'A-18'!K89,'A-18'!K136))</f>
        <v>-</v>
      </c>
      <c r="L42" s="203" t="str">
        <f>IF(AND('A-18'!L42="-",'A-18'!L89="-",'A-18'!L136="-"),"-",SUM('A-18'!L42,'A-18'!L89,'A-18'!L136))</f>
        <v>-</v>
      </c>
      <c r="M42" s="203">
        <f>IF(AND('A-18'!M42="-",'A-18'!M89="-",'A-18'!M136="-"),"-",SUM('A-18'!M42,'A-18'!M89,'A-18'!M136))</f>
        <v>693.06999999999994</v>
      </c>
      <c r="N42" s="203">
        <f>IF(AND('A-18'!N42="-",'A-18'!N89="-",'A-18'!N136="-"),"-",SUM('A-18'!N42,'A-18'!N89,'A-18'!N136))</f>
        <v>6618.5599999999995</v>
      </c>
      <c r="O42" s="203">
        <f>IF(AND('A-18'!O42="-",'A-18'!O89="-",'A-18'!O136="-"),"-",SUM('A-18'!O42,'A-18'!O89,'A-18'!O136))</f>
        <v>17182.439999999999</v>
      </c>
      <c r="P42" s="203">
        <f>IF(AND('A-18'!P42="-",'A-18'!P89="-",'A-18'!P136="-"),"-",SUM('A-18'!P42,'A-18'!P89,'A-18'!P136))</f>
        <v>5169.09</v>
      </c>
      <c r="Q42" s="203">
        <f>IF(AND('A-18'!Q42="-",'A-18'!Q89="-",'A-18'!Q136="-"),"-",SUM('A-18'!Q42,'A-18'!Q89,'A-18'!Q136))</f>
        <v>17.72</v>
      </c>
      <c r="R42" s="203">
        <f>IF(AND('A-18'!R42="-",'A-18'!R89="-",'A-18'!R136="-"),"-",SUM('A-18'!R42,'A-18'!R89,'A-18'!R136))</f>
        <v>29680.879999999997</v>
      </c>
      <c r="S42" s="148"/>
      <c r="T42" s="148"/>
    </row>
    <row r="43" spans="1:20" ht="11.25" customHeight="1" x14ac:dyDescent="0.25">
      <c r="A43" s="348">
        <v>2014</v>
      </c>
      <c r="B43" s="203" t="str">
        <f>IF(AND('A-18'!B43="-",'A-18'!B90="-",'A-18'!B137="-"),"-",SUM('A-18'!B43,'A-18'!B90,'A-18'!B137))</f>
        <v>-</v>
      </c>
      <c r="C43" s="203">
        <f>IF(AND('A-18'!C43="-",'A-18'!C90="-",'A-18'!C137="-"),"-",SUM('A-18'!C43,'A-18'!C90,'A-18'!C137))</f>
        <v>585.02</v>
      </c>
      <c r="D43" s="203">
        <f>IF(AND('A-18'!D43="-",'A-18'!D90="-",'A-18'!D137="-"),"-",SUM('A-18'!D43,'A-18'!D90,'A-18'!D137))</f>
        <v>5109.76</v>
      </c>
      <c r="E43" s="203">
        <f>IF(AND('A-18'!E43="-",'A-18'!E90="-",'A-18'!E137="-"),"-",SUM('A-18'!E43,'A-18'!E90,'A-18'!E137))</f>
        <v>12890.07</v>
      </c>
      <c r="F43" s="203">
        <f>IF(AND('A-18'!F43="-",'A-18'!F90="-",'A-18'!F137="-"),"-",SUM('A-18'!F43,'A-18'!F90,'A-18'!F137))</f>
        <v>11155.42</v>
      </c>
      <c r="G43" s="203">
        <f>IF(AND('A-18'!G43="-",'A-18'!G90="-",'A-18'!G137="-"),"-",SUM('A-18'!G43,'A-18'!G90,'A-18'!G137))</f>
        <v>1133.3900000000001</v>
      </c>
      <c r="H43" s="203">
        <f>IF(AND('A-18'!H43="-",'A-18'!H90="-",'A-18'!H137="-"),"-",SUM('A-18'!H43,'A-18'!H90,'A-18'!H137))</f>
        <v>110.29</v>
      </c>
      <c r="I43" s="203">
        <f>IF(AND('A-18'!I43="-",'A-18'!I90="-",'A-18'!I137="-"),"-",SUM('A-18'!I43,'A-18'!I90,'A-18'!I137))</f>
        <v>30983.949999999997</v>
      </c>
      <c r="J43" s="64"/>
      <c r="K43" s="203" t="str">
        <f>IF(AND('A-18'!K43="-",'A-18'!K90="-",'A-18'!K137="-"),"-",SUM('A-18'!K43,'A-18'!K90,'A-18'!K137))</f>
        <v>-</v>
      </c>
      <c r="L43" s="203" t="str">
        <f>IF(AND('A-18'!L43="-",'A-18'!L90="-",'A-18'!L137="-"),"-",SUM('A-18'!L43,'A-18'!L90,'A-18'!L137))</f>
        <v>-</v>
      </c>
      <c r="M43" s="203">
        <f>IF(AND('A-18'!M43="-",'A-18'!M90="-",'A-18'!M137="-"),"-",SUM('A-18'!M43,'A-18'!M90,'A-18'!M137))</f>
        <v>6224.61</v>
      </c>
      <c r="N43" s="203">
        <f>IF(AND('A-18'!N43="-",'A-18'!N90="-",'A-18'!N137="-"),"-",SUM('A-18'!N43,'A-18'!N90,'A-18'!N137))</f>
        <v>20342.099999999999</v>
      </c>
      <c r="O43" s="203">
        <f>IF(AND('A-18'!O43="-",'A-18'!O90="-",'A-18'!O137="-"),"-",SUM('A-18'!O43,'A-18'!O90,'A-18'!O137))</f>
        <v>22381.870000000003</v>
      </c>
      <c r="P43" s="203">
        <f>IF(AND('A-18'!P43="-",'A-18'!P90="-",'A-18'!P137="-"),"-",SUM('A-18'!P43,'A-18'!P90,'A-18'!P137))</f>
        <v>15577.52</v>
      </c>
      <c r="Q43" s="203">
        <f>IF(AND('A-18'!Q43="-",'A-18'!Q90="-",'A-18'!Q137="-"),"-",SUM('A-18'!Q43,'A-18'!Q90,'A-18'!Q137))</f>
        <v>199.14</v>
      </c>
      <c r="R43" s="203">
        <f>IF(AND('A-18'!R43="-",'A-18'!R90="-",'A-18'!R137="-"),"-",SUM('A-18'!R43,'A-18'!R90,'A-18'!R137))</f>
        <v>64725.24</v>
      </c>
      <c r="S43" s="148"/>
      <c r="T43" s="148"/>
    </row>
    <row r="44" spans="1:20" ht="11.25" customHeight="1" x14ac:dyDescent="0.25">
      <c r="A44" s="348">
        <v>2015</v>
      </c>
      <c r="B44" s="203" t="str">
        <f>IF(AND('A-18'!B44="-",'A-18'!B91="-",'A-18'!B138="-"),"-",SUM('A-18'!B44,'A-18'!B91,'A-18'!B138))</f>
        <v>-</v>
      </c>
      <c r="C44" s="203">
        <f>IF(AND('A-18'!C44="-",'A-18'!C91="-",'A-18'!C138="-"),"-",SUM('A-18'!C44,'A-18'!C91,'A-18'!C138))</f>
        <v>534.01</v>
      </c>
      <c r="D44" s="203">
        <f>IF(AND('A-18'!D44="-",'A-18'!D91="-",'A-18'!D138="-"),"-",SUM('A-18'!D44,'A-18'!D91,'A-18'!D138))</f>
        <v>5081.1399999999994</v>
      </c>
      <c r="E44" s="203">
        <f>IF(AND('A-18'!E44="-",'A-18'!E91="-",'A-18'!E138="-"),"-",SUM('A-18'!E44,'A-18'!E91,'A-18'!E138))</f>
        <v>15661.66</v>
      </c>
      <c r="F44" s="203">
        <f>IF(AND('A-18'!F44="-",'A-18'!F91="-",'A-18'!F138="-"),"-",SUM('A-18'!F44,'A-18'!F91,'A-18'!F138))</f>
        <v>5672.49</v>
      </c>
      <c r="G44" s="203">
        <f>IF(AND('A-18'!G44="-",'A-18'!G91="-",'A-18'!G138="-"),"-",SUM('A-18'!G44,'A-18'!G91,'A-18'!G138))</f>
        <v>2903.48</v>
      </c>
      <c r="H44" s="203">
        <f>IF(AND('A-18'!H44="-",'A-18'!H91="-",'A-18'!H138="-"),"-",SUM('A-18'!H44,'A-18'!H91,'A-18'!H138))</f>
        <v>164.41</v>
      </c>
      <c r="I44" s="203">
        <f>IF(AND('A-18'!I44="-",'A-18'!I91="-",'A-18'!I138="-"),"-",SUM('A-18'!I44,'A-18'!I91,'A-18'!I138))</f>
        <v>30017.19</v>
      </c>
      <c r="J44" s="64"/>
      <c r="K44" s="203" t="str">
        <f>IF(AND('A-18'!K44="-",'A-18'!K91="-",'A-18'!K138="-"),"-",SUM('A-18'!K44,'A-18'!K91,'A-18'!K138))</f>
        <v>-</v>
      </c>
      <c r="L44" s="203" t="str">
        <f>IF(AND('A-18'!L44="-",'A-18'!L91="-",'A-18'!L138="-"),"-",SUM('A-18'!L44,'A-18'!L91,'A-18'!L138))</f>
        <v>-</v>
      </c>
      <c r="M44" s="203">
        <f>IF(AND('A-18'!M44="-",'A-18'!M91="-",'A-18'!M138="-"),"-",SUM('A-18'!M44,'A-18'!M91,'A-18'!M138))</f>
        <v>2607.6799999999998</v>
      </c>
      <c r="N44" s="203">
        <f>IF(AND('A-18'!N44="-",'A-18'!N91="-",'A-18'!N138="-"),"-",SUM('A-18'!N44,'A-18'!N91,'A-18'!N138))</f>
        <v>15085.4</v>
      </c>
      <c r="O44" s="203">
        <f>IF(AND('A-18'!O44="-",'A-18'!O91="-",'A-18'!O138="-"),"-",SUM('A-18'!O44,'A-18'!O91,'A-18'!O138))</f>
        <v>8787.369999999999</v>
      </c>
      <c r="P44" s="203">
        <f>IF(AND('A-18'!P44="-",'A-18'!P91="-",'A-18'!P138="-"),"-",SUM('A-18'!P44,'A-18'!P91,'A-18'!P138))</f>
        <v>12533.31</v>
      </c>
      <c r="Q44" s="203">
        <f>IF(AND('A-18'!Q44="-",'A-18'!Q91="-",'A-18'!Q138="-"),"-",SUM('A-18'!Q44,'A-18'!Q91,'A-18'!Q138))</f>
        <v>12.74</v>
      </c>
      <c r="R44" s="203">
        <f>IF(AND('A-18'!R44="-",'A-18'!R91="-",'A-18'!R138="-"),"-",SUM('A-18'!R44,'A-18'!R91,'A-18'!R138))</f>
        <v>39026.5</v>
      </c>
      <c r="S44" s="148"/>
      <c r="T44" s="148"/>
    </row>
    <row r="45" spans="1:20" ht="11.25" customHeight="1" x14ac:dyDescent="0.25">
      <c r="A45" s="348">
        <v>2016</v>
      </c>
      <c r="B45" s="203" t="str">
        <f>IF(AND('A-18'!B45="-",'A-18'!B92="-",'A-18'!B139="-"),"-",SUM('A-18'!B45,'A-18'!B92,'A-18'!B139))</f>
        <v>-</v>
      </c>
      <c r="C45" s="203" t="str">
        <f>IF(AND('A-18'!C45="-",'A-18'!C92="-",'A-18'!C139="-"),"-",SUM('A-18'!C45,'A-18'!C92,'A-18'!C139))</f>
        <v>-</v>
      </c>
      <c r="D45" s="203" t="str">
        <f>IF(AND('A-18'!D45="-",'A-18'!D92="-",'A-18'!D139="-"),"-",SUM('A-18'!D45,'A-18'!D92,'A-18'!D139))</f>
        <v>-</v>
      </c>
      <c r="E45" s="203">
        <f>IF(AND('A-18'!E45="-",'A-18'!E92="-",'A-18'!E139="-"),"-",SUM('A-18'!E45,'A-18'!E92,'A-18'!E139))</f>
        <v>7430.6399999999994</v>
      </c>
      <c r="F45" s="203">
        <f>IF(AND('A-18'!F45="-",'A-18'!F92="-",'A-18'!F139="-"),"-",SUM('A-18'!F45,'A-18'!F92,'A-18'!F139))</f>
        <v>4520.2999999999993</v>
      </c>
      <c r="G45" s="203" t="str">
        <f>IF(AND('A-18'!G45="-",'A-18'!G92="-",'A-18'!G139="-"),"-",SUM('A-18'!G45,'A-18'!G92,'A-18'!G139))</f>
        <v>-</v>
      </c>
      <c r="H45" s="203" t="str">
        <f>IF(AND('A-18'!H45="-",'A-18'!H92="-",'A-18'!H139="-"),"-",SUM('A-18'!H45,'A-18'!H92,'A-18'!H139))</f>
        <v>-</v>
      </c>
      <c r="I45" s="203">
        <f>IF(AND('A-18'!I45="-",'A-18'!I92="-",'A-18'!I139="-"),"-",SUM('A-18'!I45,'A-18'!I92,'A-18'!I139))</f>
        <v>11950.94</v>
      </c>
      <c r="J45" s="64"/>
      <c r="K45" s="203" t="str">
        <f>IF(AND('A-18'!K45="-",'A-18'!K92="-",'A-18'!K139="-"),"-",SUM('A-18'!K45,'A-18'!K92,'A-18'!K139))</f>
        <v>-</v>
      </c>
      <c r="L45" s="203" t="str">
        <f>IF(AND('A-18'!L45="-",'A-18'!L92="-",'A-18'!L139="-"),"-",SUM('A-18'!L45,'A-18'!L92,'A-18'!L139))</f>
        <v>-</v>
      </c>
      <c r="M45" s="203" t="str">
        <f>IF(AND('A-18'!M45="-",'A-18'!M92="-",'A-18'!M139="-"),"-",SUM('A-18'!M45,'A-18'!M92,'A-18'!M139))</f>
        <v>-</v>
      </c>
      <c r="N45" s="203">
        <f>IF(AND('A-18'!N45="-",'A-18'!N92="-",'A-18'!N139="-"),"-",SUM('A-18'!N45,'A-18'!N92,'A-18'!N139))</f>
        <v>63.230000000000004</v>
      </c>
      <c r="O45" s="203">
        <f>IF(AND('A-18'!O45="-",'A-18'!O92="-",'A-18'!O139="-"),"-",SUM('A-18'!O45,'A-18'!O92,'A-18'!O139))</f>
        <v>37.86</v>
      </c>
      <c r="P45" s="203" t="str">
        <f>IF(AND('A-18'!P45="-",'A-18'!P92="-",'A-18'!P139="-"),"-",SUM('A-18'!P45,'A-18'!P92,'A-18'!P139))</f>
        <v>-</v>
      </c>
      <c r="Q45" s="203" t="str">
        <f>IF(AND('A-18'!Q45="-",'A-18'!Q92="-",'A-18'!Q139="-"),"-",SUM('A-18'!Q45,'A-18'!Q92,'A-18'!Q139))</f>
        <v>-</v>
      </c>
      <c r="R45" s="203">
        <f>IF(AND('A-18'!R45="-",'A-18'!R92="-",'A-18'!R139="-"),"-",SUM('A-18'!R45,'A-18'!R92,'A-18'!R139))</f>
        <v>101.09</v>
      </c>
      <c r="S45" s="148"/>
      <c r="T45" s="148"/>
    </row>
    <row r="46" spans="1:20" ht="11.25" customHeight="1" x14ac:dyDescent="0.25">
      <c r="A46" s="348">
        <v>2017</v>
      </c>
      <c r="B46" s="203" t="str">
        <f>IF(AND('A-18'!B46="-",'A-18'!B93="-",'A-18'!B140="-"),"-",SUM('A-18'!B46,'A-18'!B93,'A-18'!B140))</f>
        <v>-</v>
      </c>
      <c r="C46" s="203" t="str">
        <f>IF(AND('A-18'!C46="-",'A-18'!C93="-",'A-18'!C140="-"),"-",SUM('A-18'!C46,'A-18'!C93,'A-18'!C140))</f>
        <v>-</v>
      </c>
      <c r="D46" s="203">
        <f>IF(AND('A-18'!D46="-",'A-18'!D93="-",'A-18'!D140="-"),"-",SUM('A-18'!D46,'A-18'!D93,'A-18'!D140))</f>
        <v>250.41</v>
      </c>
      <c r="E46" s="203">
        <f>IF(AND('A-18'!E46="-",'A-18'!E93="-",'A-18'!E140="-"),"-",SUM('A-18'!E46,'A-18'!E93,'A-18'!E140))</f>
        <v>10590.34</v>
      </c>
      <c r="F46" s="203">
        <f>IF(AND('A-18'!F46="-",'A-18'!F93="-",'A-18'!F140="-"),"-",SUM('A-18'!F46,'A-18'!F93,'A-18'!F140))</f>
        <v>3442.3599999999997</v>
      </c>
      <c r="G46" s="203">
        <f>IF(AND('A-18'!G46="-",'A-18'!G93="-",'A-18'!G140="-"),"-",SUM('A-18'!G46,'A-18'!G93,'A-18'!G140))</f>
        <v>90.74</v>
      </c>
      <c r="H46" s="203" t="str">
        <f>IF(AND('A-18'!H46="-",'A-18'!H93="-",'A-18'!H140="-"),"-",SUM('A-18'!H46,'A-18'!H93,'A-18'!H140))</f>
        <v>-</v>
      </c>
      <c r="I46" s="203">
        <f>IF(AND('A-18'!I46="-",'A-18'!I93="-",'A-18'!I140="-"),"-",SUM('A-18'!I46,'A-18'!I93,'A-18'!I140))</f>
        <v>14373.85</v>
      </c>
      <c r="J46" s="64"/>
      <c r="K46" s="203" t="str">
        <f>IF(AND('A-18'!K46="-",'A-18'!K93="-",'A-18'!K140="-"),"-",SUM('A-18'!K46,'A-18'!K93,'A-18'!K140))</f>
        <v>-</v>
      </c>
      <c r="L46" s="203" t="str">
        <f>IF(AND('A-18'!L46="-",'A-18'!L93="-",'A-18'!L140="-"),"-",SUM('A-18'!L46,'A-18'!L93,'A-18'!L140))</f>
        <v>-</v>
      </c>
      <c r="M46" s="203">
        <f>IF(AND('A-18'!M46="-",'A-18'!M93="-",'A-18'!M140="-"),"-",SUM('A-18'!M46,'A-18'!M93,'A-18'!M140))</f>
        <v>58.070000000000007</v>
      </c>
      <c r="N46" s="203">
        <f>IF(AND('A-18'!N46="-",'A-18'!N93="-",'A-18'!N140="-"),"-",SUM('A-18'!N46,'A-18'!N93,'A-18'!N140))</f>
        <v>8590.34</v>
      </c>
      <c r="O46" s="203">
        <f>IF(AND('A-18'!O46="-",'A-18'!O93="-",'A-18'!O140="-"),"-",SUM('A-18'!O46,'A-18'!O93,'A-18'!O140))</f>
        <v>11454.16</v>
      </c>
      <c r="P46" s="203">
        <f>IF(AND('A-18'!P46="-",'A-18'!P93="-",'A-18'!P140="-"),"-",SUM('A-18'!P46,'A-18'!P93,'A-18'!P140))</f>
        <v>929.59999999999991</v>
      </c>
      <c r="Q46" s="203" t="str">
        <f>IF(AND('A-18'!Q46="-",'A-18'!Q93="-",'A-18'!Q140="-"),"-",SUM('A-18'!Q46,'A-18'!Q93,'A-18'!Q140))</f>
        <v>-</v>
      </c>
      <c r="R46" s="203">
        <f>IF(AND('A-18'!R46="-",'A-18'!R93="-",'A-18'!R140="-"),"-",SUM('A-18'!R46,'A-18'!R93,'A-18'!R140))</f>
        <v>21032.170000000002</v>
      </c>
      <c r="S46" s="148"/>
      <c r="T46" s="148"/>
    </row>
    <row r="47" spans="1:20" s="358" customFormat="1" ht="11.25" customHeight="1" x14ac:dyDescent="0.25">
      <c r="A47" s="348">
        <v>2018</v>
      </c>
      <c r="B47" s="203" t="str">
        <f>IF(AND('A-18'!B47="-",'A-18'!B94="-",'A-18'!B141="-"),"-",SUM('A-18'!B47,'A-18'!B94,'A-18'!B141))</f>
        <v>-</v>
      </c>
      <c r="C47" s="203" t="str">
        <f>IF(AND('A-18'!C47="-",'A-18'!C94="-",'A-18'!C141="-"),"-",SUM('A-18'!C47,'A-18'!C94,'A-18'!C141))</f>
        <v>-</v>
      </c>
      <c r="D47" s="203">
        <f>IF(AND('A-18'!D47="-",'A-18'!D94="-",'A-18'!D141="-"),"-",SUM('A-18'!D47,'A-18'!D94,'A-18'!D141))</f>
        <v>377.83</v>
      </c>
      <c r="E47" s="203">
        <f>IF(AND('A-18'!E47="-",'A-18'!E94="-",'A-18'!E141="-"),"-",SUM('A-18'!E47,'A-18'!E94,'A-18'!E141))</f>
        <v>4907.5</v>
      </c>
      <c r="F47" s="203">
        <f>IF(AND('A-18'!F47="-",'A-18'!F94="-",'A-18'!F141="-"),"-",SUM('A-18'!F47,'A-18'!F94,'A-18'!F141))</f>
        <v>3024.67</v>
      </c>
      <c r="G47" s="203">
        <f>IF(AND('A-18'!G47="-",'A-18'!G94="-",'A-18'!G141="-"),"-",SUM('A-18'!G47,'A-18'!G94,'A-18'!G141))</f>
        <v>34.450000000000003</v>
      </c>
      <c r="H47" s="203" t="str">
        <f>IF(AND('A-18'!H47="-",'A-18'!H94="-",'A-18'!H141="-"),"-",SUM('A-18'!H47,'A-18'!H94,'A-18'!H141))</f>
        <v>-</v>
      </c>
      <c r="I47" s="203">
        <f>IF(AND('A-18'!I47="-",'A-18'!I94="-",'A-18'!I141="-"),"-",SUM('A-18'!I47,'A-18'!I94,'A-18'!I141))</f>
        <v>8344.4500000000007</v>
      </c>
      <c r="K47" s="203" t="str">
        <f>IF(AND('A-18'!K47="-",'A-18'!K94="-",'A-18'!K141="-"),"-",SUM('A-18'!K47,'A-18'!K94,'A-18'!K141))</f>
        <v>-</v>
      </c>
      <c r="L47" s="203" t="str">
        <f>IF(AND('A-18'!L47="-",'A-18'!L94="-",'A-18'!L141="-"),"-",SUM('A-18'!L47,'A-18'!L94,'A-18'!L141))</f>
        <v>-</v>
      </c>
      <c r="M47" s="203">
        <f>IF(AND('A-18'!M47="-",'A-18'!M94="-",'A-18'!M141="-"),"-",SUM('A-18'!M47,'A-18'!M94,'A-18'!M141))</f>
        <v>573.64</v>
      </c>
      <c r="N47" s="203">
        <f>IF(AND('A-18'!N47="-",'A-18'!N94="-",'A-18'!N141="-"),"-",SUM('A-18'!N47,'A-18'!N94,'A-18'!N141))</f>
        <v>4902.09</v>
      </c>
      <c r="O47" s="203">
        <f>IF(AND('A-18'!O47="-",'A-18'!O94="-",'A-18'!O141="-"),"-",SUM('A-18'!O47,'A-18'!O94,'A-18'!O141))</f>
        <v>15529.85</v>
      </c>
      <c r="P47" s="203">
        <f>IF(AND('A-18'!P47="-",'A-18'!P94="-",'A-18'!P141="-"),"-",SUM('A-18'!P47,'A-18'!P94,'A-18'!P141))</f>
        <v>256.90999999999997</v>
      </c>
      <c r="Q47" s="203" t="str">
        <f>IF(AND('A-18'!Q47="-",'A-18'!Q94="-",'A-18'!Q141="-"),"-",SUM('A-18'!Q47,'A-18'!Q94,'A-18'!Q141))</f>
        <v>-</v>
      </c>
      <c r="R47" s="203">
        <f>IF(AND('A-18'!R47="-",'A-18'!R94="-",'A-18'!R141="-"),"-",SUM('A-18'!R47,'A-18'!R94,'A-18'!R141))</f>
        <v>21262.489999999998</v>
      </c>
      <c r="S47" s="148"/>
      <c r="T47" s="148"/>
    </row>
    <row r="48" spans="1:20" s="358" customFormat="1" ht="11.25" customHeight="1" x14ac:dyDescent="0.25">
      <c r="A48" s="491">
        <v>2019</v>
      </c>
      <c r="B48" s="203" t="str">
        <f>IF(AND('A-18'!B48="-",'A-18'!B95="-",'A-18'!B142="-"),"-",SUM('A-18'!B48,'A-18'!B95,'A-18'!B142))</f>
        <v>-</v>
      </c>
      <c r="C48" s="203" t="str">
        <f>IF(AND('A-18'!C48="-",'A-18'!C95="-",'A-18'!C142="-"),"-",SUM('A-18'!C48,'A-18'!C95,'A-18'!C142))</f>
        <v>-</v>
      </c>
      <c r="D48" s="203">
        <f>IF(AND('A-18'!D48="-",'A-18'!D95="-",'A-18'!D142="-"),"-",SUM('A-18'!D48,'A-18'!D95,'A-18'!D142))</f>
        <v>1609.7700000000002</v>
      </c>
      <c r="E48" s="203">
        <f>IF(AND('A-18'!E48="-",'A-18'!E95="-",'A-18'!E142="-"),"-",SUM('A-18'!E48,'A-18'!E95,'A-18'!E142))</f>
        <v>3764.29</v>
      </c>
      <c r="F48" s="203">
        <f>IF(AND('A-18'!F48="-",'A-18'!F95="-",'A-18'!F142="-"),"-",SUM('A-18'!F48,'A-18'!F95,'A-18'!F142))</f>
        <v>1148.29</v>
      </c>
      <c r="G48" s="203">
        <f>IF(AND('A-18'!G48="-",'A-18'!G95="-",'A-18'!G142="-"),"-",SUM('A-18'!G48,'A-18'!G95,'A-18'!G142))</f>
        <v>154.04</v>
      </c>
      <c r="H48" s="203">
        <f>IF(AND('A-18'!H48="-",'A-18'!H95="-",'A-18'!H142="-"),"-",SUM('A-18'!H48,'A-18'!H95,'A-18'!H142))</f>
        <v>164.35</v>
      </c>
      <c r="I48" s="203">
        <f>IF(AND('A-18'!I48="-",'A-18'!I95="-",'A-18'!I142="-"),"-",SUM('A-18'!I48,'A-18'!I95,'A-18'!I142))</f>
        <v>6840.7400000000007</v>
      </c>
      <c r="K48" s="203" t="str">
        <f>IF(AND('A-18'!K48="-",'A-18'!K95="-",'A-18'!K142="-"),"-",SUM('A-18'!K48,'A-18'!K95,'A-18'!K142))</f>
        <v>-</v>
      </c>
      <c r="L48" s="203" t="str">
        <f>IF(AND('A-18'!L48="-",'A-18'!L95="-",'A-18'!L142="-"),"-",SUM('A-18'!L48,'A-18'!L95,'A-18'!L142))</f>
        <v>-</v>
      </c>
      <c r="M48" s="203">
        <f>IF(AND('A-18'!M48="-",'A-18'!M95="-",'A-18'!M142="-"),"-",SUM('A-18'!M48,'A-18'!M95,'A-18'!M142))</f>
        <v>1096.8399999999999</v>
      </c>
      <c r="N48" s="203">
        <f>IF(AND('A-18'!N48="-",'A-18'!N95="-",'A-18'!N142="-"),"-",SUM('A-18'!N48,'A-18'!N95,'A-18'!N142))</f>
        <v>11557.98</v>
      </c>
      <c r="O48" s="203">
        <f>IF(AND('A-18'!O48="-",'A-18'!O95="-",'A-18'!O142="-"),"-",SUM('A-18'!O48,'A-18'!O95,'A-18'!O142))</f>
        <v>13789.119999999999</v>
      </c>
      <c r="P48" s="203">
        <f>IF(AND('A-18'!P48="-",'A-18'!P95="-",'A-18'!P142="-"),"-",SUM('A-18'!P48,'A-18'!P95,'A-18'!P142))</f>
        <v>1713.74</v>
      </c>
      <c r="Q48" s="203">
        <f>IF(AND('A-18'!Q48="-",'A-18'!Q95="-",'A-18'!Q142="-"),"-",SUM('A-18'!Q48,'A-18'!Q95,'A-18'!Q142))</f>
        <v>15.86</v>
      </c>
      <c r="R48" s="203">
        <f>IF(AND('A-18'!R48="-",'A-18'!R95="-",'A-18'!R142="-"),"-",SUM('A-18'!R48,'A-18'!R95,'A-18'!R142))</f>
        <v>28173.54</v>
      </c>
      <c r="S48" s="148"/>
      <c r="T48" s="148"/>
    </row>
    <row r="49" spans="1:20" ht="11.25" customHeight="1" x14ac:dyDescent="0.25">
      <c r="A49" s="490" t="s">
        <v>394</v>
      </c>
      <c r="B49" s="200" t="str">
        <f>IF(AND('A-18'!B49="-",'A-18'!B96="-",'A-18'!B143="-"),"-",SUM('A-18'!B49,'A-18'!B96,'A-18'!B143))</f>
        <v>-</v>
      </c>
      <c r="C49" s="200" t="str">
        <f>IF(AND('A-18'!C49="-",'A-18'!C96="-",'A-18'!C143="-"),"-",SUM('A-18'!C49,'A-18'!C96,'A-18'!C143))</f>
        <v>-</v>
      </c>
      <c r="D49" s="200">
        <f>IF(AND('A-18'!D49="-",'A-18'!D96="-",'A-18'!D143="-"),"-",SUM('A-18'!D49,'A-18'!D96,'A-18'!D143))</f>
        <v>602.20000000000005</v>
      </c>
      <c r="E49" s="200">
        <f>IF(AND('A-18'!E49="-",'A-18'!E96="-",'A-18'!E143="-"),"-",SUM('A-18'!E49,'A-18'!E96,'A-18'!E143))</f>
        <v>4162.58</v>
      </c>
      <c r="F49" s="200">
        <f>IF(AND('A-18'!F49="-",'A-18'!F96="-",'A-18'!F143="-"),"-",SUM('A-18'!F49,'A-18'!F96,'A-18'!F143))</f>
        <v>1591.84</v>
      </c>
      <c r="G49" s="200">
        <f>IF(AND('A-18'!G49="-",'A-18'!G96="-",'A-18'!G143="-"),"-",SUM('A-18'!G49,'A-18'!G96,'A-18'!G143))</f>
        <v>478.51</v>
      </c>
      <c r="H49" s="200" t="str">
        <f>IF(AND('A-18'!H49="-",'A-18'!H96="-",'A-18'!H143="-"),"-",SUM('A-18'!H49,'A-18'!H96,'A-18'!H143))</f>
        <v>-</v>
      </c>
      <c r="I49" s="200">
        <f>IF(AND('A-18'!I49="-",'A-18'!I96="-",'A-18'!I143="-"),"-",SUM('A-18'!I49,'A-18'!I96,'A-18'!I143))</f>
        <v>6835.13</v>
      </c>
      <c r="K49" s="200" t="str">
        <f>IF(AND('A-18'!K49="-",'A-18'!K96="-",'A-18'!K143="-"),"-",SUM('A-18'!K49,'A-18'!K96,'A-18'!K143))</f>
        <v>-</v>
      </c>
      <c r="L49" s="200" t="str">
        <f>IF(AND('A-18'!L49="-",'A-18'!L96="-",'A-18'!L143="-"),"-",SUM('A-18'!L49,'A-18'!L96,'A-18'!L143))</f>
        <v>-</v>
      </c>
      <c r="M49" s="200">
        <f>IF(AND('A-18'!M49="-",'A-18'!M96="-",'A-18'!M143="-"),"-",SUM('A-18'!M49,'A-18'!M96,'A-18'!M143))</f>
        <v>49.98</v>
      </c>
      <c r="N49" s="200">
        <f>IF(AND('A-18'!N49="-",'A-18'!N96="-",'A-18'!N143="-"),"-",SUM('A-18'!N49,'A-18'!N96,'A-18'!N143))</f>
        <v>4869.7700000000004</v>
      </c>
      <c r="O49" s="200">
        <f>IF(AND('A-18'!O49="-",'A-18'!O96="-",'A-18'!O143="-"),"-",SUM('A-18'!O49,'A-18'!O96,'A-18'!O143))</f>
        <v>3894.54</v>
      </c>
      <c r="P49" s="200">
        <f>IF(AND('A-18'!P49="-",'A-18'!P96="-",'A-18'!P143="-"),"-",SUM('A-18'!P49,'A-18'!P96,'A-18'!P143))</f>
        <v>2327.23</v>
      </c>
      <c r="Q49" s="200" t="str">
        <f>IF(AND('A-18'!Q49="-",'A-18'!Q96="-",'A-18'!Q143="-"),"-",SUM('A-18'!Q49,'A-18'!Q96,'A-18'!Q143))</f>
        <v>-</v>
      </c>
      <c r="R49" s="200">
        <f>IF(AND('A-18'!R49="-",'A-18'!R96="-",'A-18'!R143="-"),"-",SUM('A-18'!R49,'A-18'!R96,'A-18'!R143))</f>
        <v>11141.52</v>
      </c>
      <c r="S49" s="22"/>
      <c r="T49" s="22"/>
    </row>
    <row r="50" spans="1:20" ht="11.25" customHeight="1" x14ac:dyDescent="0.25">
      <c r="S50" s="22"/>
      <c r="T50" s="22"/>
    </row>
    <row r="51" spans="1:20" ht="11.25" customHeight="1" x14ac:dyDescent="0.25">
      <c r="A51" s="116" t="s">
        <v>109</v>
      </c>
      <c r="S51" s="22"/>
      <c r="T51" s="22"/>
    </row>
    <row r="52" spans="1:20" ht="11.25" customHeight="1" x14ac:dyDescent="0.25">
      <c r="A52" s="371">
        <v>1976</v>
      </c>
      <c r="B52" s="200">
        <f>IF(AND('A-18'!B146="-",'A-10'!C6="-"),"-",SUM('A-18'!B146,'A-10'!C6))</f>
        <v>0</v>
      </c>
      <c r="C52" s="200">
        <f>IF(AND('A-18'!C146="-",'A-10'!D6="-"),"-",SUM('A-18'!C146,'A-10'!D6))</f>
        <v>5041</v>
      </c>
      <c r="D52" s="200">
        <f>IF(AND('A-18'!D146="-",'A-10'!E6="-"),"-",SUM('A-18'!D146,'A-10'!E6))</f>
        <v>28731</v>
      </c>
      <c r="E52" s="200">
        <f>IF(AND('A-18'!E146="-",'A-10'!F6="-"),"-",SUM('A-18'!E146,'A-10'!F6))</f>
        <v>22198</v>
      </c>
      <c r="F52" s="200">
        <f>IF(AND('A-18'!F146="-",'A-10'!G6="-"),"-",SUM('A-18'!F146,'A-10'!G6))</f>
        <v>37549</v>
      </c>
      <c r="G52" s="200">
        <f>IF(AND('A-18'!G146="-",'A-10'!H6="-"),"-",SUM('A-18'!G146,'A-10'!H6))</f>
        <v>11604</v>
      </c>
      <c r="H52" s="200">
        <f>IF(AND('A-18'!H146="-",'A-10'!I6="-"),"-",SUM('A-18'!H146,'A-10'!I6))</f>
        <v>425</v>
      </c>
      <c r="I52" s="200">
        <f>IF(AND('A-18'!I146="-",'A-10'!K6="-"),"-",SUM('A-18'!I146,'A-10'!K6))</f>
        <v>105552</v>
      </c>
      <c r="K52" s="200" t="str">
        <f>'A-18'!K146</f>
        <v>-</v>
      </c>
      <c r="L52" s="200">
        <f>IF(AND('A-18'!L146="-",'A-10'!M6="-"),"-",SUM('A-18'!L146,'A-10'!M6))</f>
        <v>7470</v>
      </c>
      <c r="M52" s="200">
        <f>IF(AND('A-18'!M146="-",'A-10'!N6="-"),"-",SUM('A-18'!M146,'A-10'!N6))</f>
        <v>62288</v>
      </c>
      <c r="N52" s="200">
        <f>IF(AND('A-18'!N146="-",'A-10'!O6="-"),"-",SUM('A-18'!N146,'A-10'!O6))</f>
        <v>155406</v>
      </c>
      <c r="O52" s="200">
        <f>IF(AND('A-18'!O146="-",'A-10'!P6="-"),"-",SUM('A-18'!O146,'A-10'!P6))</f>
        <v>168488</v>
      </c>
      <c r="P52" s="200">
        <f>IF(AND('A-18'!P146="-",'A-10'!Q6="-"),"-",SUM('A-18'!P146,'A-10'!Q6))</f>
        <v>90325</v>
      </c>
      <c r="Q52" s="200">
        <f>IF(AND('A-18'!Q146="-",'A-10'!R6="-"),"-",SUM('A-18'!Q146,'A-10'!R6))</f>
        <v>4577</v>
      </c>
      <c r="R52" s="200">
        <f>IF(AND('A-18'!R146="-",'A-10'!T6="-"),"-",SUM('A-18'!R146,'A-10'!S6))</f>
        <v>488554</v>
      </c>
      <c r="S52" s="22"/>
      <c r="T52" s="22"/>
    </row>
    <row r="53" spans="1:20" ht="11.25" customHeight="1" x14ac:dyDescent="0.25">
      <c r="A53" s="371">
        <v>1977</v>
      </c>
      <c r="B53" s="200">
        <f>IF(AND('A-18'!B147="-",'A-10'!C7="-"),"-",SUM('A-18'!B147,'A-10'!C7))</f>
        <v>435</v>
      </c>
      <c r="C53" s="200">
        <f>IF(AND('A-18'!C147="-",'A-10'!D7="-"),"-",SUM('A-18'!C147,'A-10'!D7))</f>
        <v>4425</v>
      </c>
      <c r="D53" s="200">
        <f>IF(AND('A-18'!D147="-",'A-10'!E7="-"),"-",SUM('A-18'!D147,'A-10'!E7))</f>
        <v>13195</v>
      </c>
      <c r="E53" s="200">
        <f>IF(AND('A-18'!E147="-",'A-10'!F7="-"),"-",SUM('A-18'!E147,'A-10'!F7))</f>
        <v>17849</v>
      </c>
      <c r="F53" s="200">
        <f>IF(AND('A-18'!F147="-",'A-10'!G7="-"),"-",SUM('A-18'!F147,'A-10'!G7))</f>
        <v>43843</v>
      </c>
      <c r="G53" s="200">
        <f>IF(AND('A-18'!G147="-",'A-10'!H7="-"),"-",SUM('A-18'!G147,'A-10'!H7))</f>
        <v>4080</v>
      </c>
      <c r="H53" s="200">
        <f>IF(AND('A-18'!H147="-",'A-10'!I7="-"),"-",SUM('A-18'!H147,'A-10'!I7))</f>
        <v>321</v>
      </c>
      <c r="I53" s="200">
        <f>IF(AND('A-18'!I147="-",'A-10'!K7="-"),"-",SUM('A-18'!I147,'A-10'!K7))</f>
        <v>84148</v>
      </c>
      <c r="K53" s="200">
        <f>'A-18'!K147</f>
        <v>5</v>
      </c>
      <c r="L53" s="200">
        <f>IF(AND('A-18'!L147="-",'A-10'!M7="-"),"-",SUM('A-18'!L147,'A-10'!M7))</f>
        <v>5198</v>
      </c>
      <c r="M53" s="200">
        <f>IF(AND('A-18'!M147="-",'A-10'!N7="-"),"-",SUM('A-18'!M147,'A-10'!N7))</f>
        <v>40955</v>
      </c>
      <c r="N53" s="200">
        <f>IF(AND('A-18'!N147="-",'A-10'!O7="-"),"-",SUM('A-18'!N147,'A-10'!O7))</f>
        <v>81920</v>
      </c>
      <c r="O53" s="200">
        <f>IF(AND('A-18'!O147="-",'A-10'!P7="-"),"-",SUM('A-18'!O147,'A-10'!P7))</f>
        <v>76230</v>
      </c>
      <c r="P53" s="200">
        <f>IF(AND('A-18'!P147="-",'A-10'!Q7="-"),"-",SUM('A-18'!P147,'A-10'!Q7))</f>
        <v>23389</v>
      </c>
      <c r="Q53" s="200">
        <f>IF(AND('A-18'!Q147="-",'A-10'!R7="-"),"-",SUM('A-18'!Q147,'A-10'!R7))</f>
        <v>2813</v>
      </c>
      <c r="R53" s="200">
        <f>IF(AND('A-18'!R147="-",'A-10'!T7="-"),"-",SUM('A-18'!R147,'A-10'!S7))</f>
        <v>230510</v>
      </c>
      <c r="S53" s="22"/>
      <c r="T53" s="22"/>
    </row>
    <row r="54" spans="1:20" ht="11.25" customHeight="1" x14ac:dyDescent="0.25">
      <c r="A54" s="371">
        <v>1978</v>
      </c>
      <c r="B54" s="200">
        <f>IF(AND('A-18'!B148="-",'A-10'!C8="-"),"-",SUM('A-18'!B148,'A-10'!C8))</f>
        <v>137</v>
      </c>
      <c r="C54" s="200">
        <f>IF(AND('A-18'!C148="-",'A-10'!D8="-"),"-",SUM('A-18'!C148,'A-10'!D8))</f>
        <v>614</v>
      </c>
      <c r="D54" s="200">
        <f>IF(AND('A-18'!D148="-",'A-10'!E8="-"),"-",SUM('A-18'!D148,'A-10'!E8))</f>
        <v>6410</v>
      </c>
      <c r="E54" s="200">
        <f>IF(AND('A-18'!E148="-",'A-10'!F8="-"),"-",SUM('A-18'!E148,'A-10'!F8))</f>
        <v>6390</v>
      </c>
      <c r="F54" s="200">
        <f>IF(AND('A-18'!F148="-",'A-10'!G8="-"),"-",SUM('A-18'!F148,'A-10'!G8))</f>
        <v>13570</v>
      </c>
      <c r="G54" s="200">
        <f>IF(AND('A-18'!G148="-",'A-10'!H8="-"),"-",SUM('A-18'!G148,'A-10'!H8))</f>
        <v>2316</v>
      </c>
      <c r="H54" s="200">
        <f>IF(AND('A-18'!H148="-",'A-10'!I8="-"),"-",SUM('A-18'!H148,'A-10'!I8))</f>
        <v>221</v>
      </c>
      <c r="I54" s="200">
        <f>IF(AND('A-18'!I148="-",'A-10'!K8="-"),"-",SUM('A-18'!I148,'A-10'!K8))</f>
        <v>29658</v>
      </c>
      <c r="K54" s="200">
        <f>'A-18'!K148</f>
        <v>980</v>
      </c>
      <c r="L54" s="200">
        <f>IF(AND('A-18'!L148="-",'A-10'!M8="-"),"-",SUM('A-18'!L148,'A-10'!M8))</f>
        <v>7067</v>
      </c>
      <c r="M54" s="200">
        <f>IF(AND('A-18'!M148="-",'A-10'!N8="-"),"-",SUM('A-18'!M148,'A-10'!N8))</f>
        <v>72095</v>
      </c>
      <c r="N54" s="200">
        <f>IF(AND('A-18'!N148="-",'A-10'!O8="-"),"-",SUM('A-18'!N148,'A-10'!O8))</f>
        <v>73145</v>
      </c>
      <c r="O54" s="200">
        <f>IF(AND('A-18'!O148="-",'A-10'!P8="-"),"-",SUM('A-18'!O148,'A-10'!P8))</f>
        <v>66503</v>
      </c>
      <c r="P54" s="200">
        <f>IF(AND('A-18'!P148="-",'A-10'!Q8="-"),"-",SUM('A-18'!P148,'A-10'!Q8))</f>
        <v>36788</v>
      </c>
      <c r="Q54" s="200">
        <f>IF(AND('A-18'!Q148="-",'A-10'!R8="-"),"-",SUM('A-18'!Q148,'A-10'!R8))</f>
        <v>1930</v>
      </c>
      <c r="R54" s="200">
        <f>IF(AND('A-18'!R148="-",'A-10'!T8="-"),"-",SUM('A-18'!R148,'A-10'!S8))</f>
        <v>258508</v>
      </c>
      <c r="S54" s="22"/>
      <c r="T54" s="22"/>
    </row>
    <row r="55" spans="1:20" ht="11.25" customHeight="1" x14ac:dyDescent="0.25">
      <c r="A55" s="371">
        <v>1979</v>
      </c>
      <c r="B55" s="200" t="str">
        <f>IF(AND('A-18'!B149="-",'A-10'!C9="-"),"-",SUM('A-18'!B149,'A-10'!C9))</f>
        <v>-</v>
      </c>
      <c r="C55" s="200">
        <f>IF(AND('A-18'!C149="-",'A-10'!D9="-"),"-",SUM('A-18'!C149,'A-10'!D9))</f>
        <v>621</v>
      </c>
      <c r="D55" s="200">
        <f>IF(AND('A-18'!D149="-",'A-10'!E9="-"),"-",SUM('A-18'!D149,'A-10'!E9))</f>
        <v>9680</v>
      </c>
      <c r="E55" s="200">
        <f>IF(AND('A-18'!E149="-",'A-10'!F9="-"),"-",SUM('A-18'!E149,'A-10'!F9))</f>
        <v>5929</v>
      </c>
      <c r="F55" s="200">
        <f>IF(AND('A-18'!F149="-",'A-10'!G9="-"),"-",SUM('A-18'!F149,'A-10'!G9))</f>
        <v>12884</v>
      </c>
      <c r="G55" s="200">
        <f>IF(AND('A-18'!G149="-",'A-10'!H9="-"),"-",SUM('A-18'!G149,'A-10'!H9))</f>
        <v>171</v>
      </c>
      <c r="H55" s="200">
        <f>IF(AND('A-18'!H149="-",'A-10'!I9="-"),"-",SUM('A-18'!H149,'A-10'!I9))</f>
        <v>15</v>
      </c>
      <c r="I55" s="200">
        <f>IF(AND('A-18'!I149="-",'A-10'!K9="-"),"-",SUM('A-18'!I149,'A-10'!K9))</f>
        <v>29300</v>
      </c>
      <c r="K55" s="200" t="str">
        <f>'A-18'!K149</f>
        <v>-</v>
      </c>
      <c r="L55" s="200">
        <f>IF(AND('A-18'!L149="-",'A-10'!M9="-"),"-",SUM('A-18'!L149,'A-10'!M9))</f>
        <v>3250</v>
      </c>
      <c r="M55" s="200">
        <f>IF(AND('A-18'!M149="-",'A-10'!N9="-"),"-",SUM('A-18'!M149,'A-10'!N9))</f>
        <v>25983</v>
      </c>
      <c r="N55" s="200">
        <f>IF(AND('A-18'!N149="-",'A-10'!O9="-"),"-",SUM('A-18'!N149,'A-10'!O9))</f>
        <v>58645</v>
      </c>
      <c r="O55" s="200">
        <f>IF(AND('A-18'!O149="-",'A-10'!P9="-"),"-",SUM('A-18'!O149,'A-10'!P9))</f>
        <v>70162</v>
      </c>
      <c r="P55" s="200">
        <f>IF(AND('A-18'!P149="-",'A-10'!Q9="-"),"-",SUM('A-18'!P149,'A-10'!Q9))</f>
        <v>2791</v>
      </c>
      <c r="Q55" s="200">
        <f>IF(AND('A-18'!Q149="-",'A-10'!R9="-"),"-",SUM('A-18'!Q149,'A-10'!R9))</f>
        <v>532</v>
      </c>
      <c r="R55" s="200">
        <f>IF(AND('A-18'!R149="-",'A-10'!T9="-"),"-",SUM('A-18'!R149,'A-10'!S9))</f>
        <v>161363</v>
      </c>
      <c r="S55" s="22"/>
      <c r="T55" s="22"/>
    </row>
    <row r="56" spans="1:20" ht="11.25" customHeight="1" x14ac:dyDescent="0.25">
      <c r="A56" s="371">
        <v>1980</v>
      </c>
      <c r="B56" s="200" t="str">
        <f>IF(AND('A-18'!B150="-",'A-10'!C10="-"),"-",SUM('A-18'!B150,'A-10'!C10))</f>
        <v>-</v>
      </c>
      <c r="C56" s="200">
        <f>IF(AND('A-18'!C150="-",'A-10'!D10="-"),"-",SUM('A-18'!C150,'A-10'!D10))</f>
        <v>1061</v>
      </c>
      <c r="D56" s="200">
        <f>IF(AND('A-18'!D150="-",'A-10'!E10="-"),"-",SUM('A-18'!D150,'A-10'!E10))</f>
        <v>3749</v>
      </c>
      <c r="E56" s="200">
        <f>IF(AND('A-18'!E150="-",'A-10'!F10="-"),"-",SUM('A-18'!E150,'A-10'!F10))</f>
        <v>5480</v>
      </c>
      <c r="F56" s="200">
        <f>IF(AND('A-18'!F150="-",'A-10'!G10="-"),"-",SUM('A-18'!F150,'A-10'!G10))</f>
        <v>10976</v>
      </c>
      <c r="G56" s="200">
        <f>IF(AND('A-18'!G150="-",'A-10'!H10="-"),"-",SUM('A-18'!G150,'A-10'!H10))</f>
        <v>584</v>
      </c>
      <c r="H56" s="200" t="str">
        <f>IF(AND('A-18'!H150="-",'A-10'!I10="-"),"-",SUM('A-18'!H150,'A-10'!I10))</f>
        <v>-</v>
      </c>
      <c r="I56" s="200">
        <f>IF(AND('A-18'!I150="-",'A-10'!K10="-"),"-",SUM('A-18'!I150,'A-10'!K10))</f>
        <v>21850</v>
      </c>
      <c r="K56" s="200" t="str">
        <f>'A-18'!K150</f>
        <v>-</v>
      </c>
      <c r="L56" s="200">
        <f>IF(AND('A-18'!L150="-",'A-10'!M10="-"),"-",SUM('A-18'!L150,'A-10'!M10))</f>
        <v>9633</v>
      </c>
      <c r="M56" s="200">
        <f>IF(AND('A-18'!M150="-",'A-10'!N10="-"),"-",SUM('A-18'!M150,'A-10'!N10))</f>
        <v>65251</v>
      </c>
      <c r="N56" s="200">
        <f>IF(AND('A-18'!N150="-",'A-10'!O10="-"),"-",SUM('A-18'!N150,'A-10'!O10))</f>
        <v>80210</v>
      </c>
      <c r="O56" s="200">
        <f>IF(AND('A-18'!O150="-",'A-10'!P10="-"),"-",SUM('A-18'!O150,'A-10'!P10))</f>
        <v>53204</v>
      </c>
      <c r="P56" s="200">
        <f>IF(AND('A-18'!P150="-",'A-10'!Q10="-"),"-",SUM('A-18'!P150,'A-10'!Q10))</f>
        <v>1826</v>
      </c>
      <c r="Q56" s="200" t="str">
        <f>IF(AND('A-18'!Q150="-",'A-10'!R10="-"),"-",SUM('A-18'!Q150,'A-10'!R10))</f>
        <v>-</v>
      </c>
      <c r="R56" s="200">
        <f>IF(AND('A-18'!R150="-",'A-10'!T10="-"),"-",SUM('A-18'!R150,'A-10'!S10))</f>
        <v>210124</v>
      </c>
      <c r="S56" s="22"/>
      <c r="T56" s="22"/>
    </row>
    <row r="57" spans="1:20" ht="11.25" customHeight="1" x14ac:dyDescent="0.25">
      <c r="A57" s="371">
        <v>1981</v>
      </c>
      <c r="B57" s="200" t="str">
        <f>IF(AND('A-18'!B151="-",'A-10'!C11="-"),"-",SUM('A-18'!B151,'A-10'!C11))</f>
        <v>-</v>
      </c>
      <c r="C57" s="200">
        <f>IF(AND('A-18'!C151="-",'A-10'!D11="-"),"-",SUM('A-18'!C151,'A-10'!D11))</f>
        <v>175</v>
      </c>
      <c r="D57" s="200">
        <f>IF(AND('A-18'!D151="-",'A-10'!E11="-"),"-",SUM('A-18'!D151,'A-10'!E11))</f>
        <v>1099</v>
      </c>
      <c r="E57" s="200">
        <f>IF(AND('A-18'!E151="-",'A-10'!F11="-"),"-",SUM('A-18'!E151,'A-10'!F11))</f>
        <v>9004</v>
      </c>
      <c r="F57" s="200">
        <f>IF(AND('A-18'!F151="-",'A-10'!G11="-"),"-",SUM('A-18'!F151,'A-10'!G11))</f>
        <v>23905</v>
      </c>
      <c r="G57" s="200">
        <f>IF(AND('A-18'!G151="-",'A-10'!H11="-"),"-",SUM('A-18'!G151,'A-10'!H11))</f>
        <v>1230</v>
      </c>
      <c r="H57" s="200" t="str">
        <f>IF(AND('A-18'!H151="-",'A-10'!I11="-"),"-",SUM('A-18'!H151,'A-10'!I11))</f>
        <v>-</v>
      </c>
      <c r="I57" s="200">
        <f>IF(AND('A-18'!I151="-",'A-10'!K11="-"),"-",SUM('A-18'!I151,'A-10'!K11))</f>
        <v>35413</v>
      </c>
      <c r="K57" s="200" t="str">
        <f>'A-18'!K151</f>
        <v>-</v>
      </c>
      <c r="L57" s="200">
        <f>IF(AND('A-18'!L151="-",'A-10'!M11="-"),"-",SUM('A-18'!L151,'A-10'!M11))</f>
        <v>7109</v>
      </c>
      <c r="M57" s="200">
        <f>IF(AND('A-18'!M151="-",'A-10'!N11="-"),"-",SUM('A-18'!M151,'A-10'!N11))</f>
        <v>30724</v>
      </c>
      <c r="N57" s="200">
        <f>IF(AND('A-18'!N151="-",'A-10'!O11="-"),"-",SUM('A-18'!N151,'A-10'!O11))</f>
        <v>59680</v>
      </c>
      <c r="O57" s="200">
        <f>IF(AND('A-18'!O151="-",'A-10'!P11="-"),"-",SUM('A-18'!O151,'A-10'!P11))</f>
        <v>69433</v>
      </c>
      <c r="P57" s="200">
        <f>IF(AND('A-18'!P151="-",'A-10'!Q11="-"),"-",SUM('A-18'!P151,'A-10'!Q11))</f>
        <v>5961</v>
      </c>
      <c r="Q57" s="200" t="str">
        <f>IF(AND('A-18'!Q151="-",'A-10'!R11="-"),"-",SUM('A-18'!Q151,'A-10'!R11))</f>
        <v>-</v>
      </c>
      <c r="R57" s="200">
        <f>IF(AND('A-18'!R151="-",'A-10'!T11="-"),"-",SUM('A-18'!R151,'A-10'!S11))</f>
        <v>172907</v>
      </c>
      <c r="S57" s="22"/>
      <c r="T57" s="22"/>
    </row>
    <row r="58" spans="1:20" ht="11.25" customHeight="1" x14ac:dyDescent="0.25">
      <c r="A58" s="371">
        <v>1982</v>
      </c>
      <c r="B58" s="200" t="str">
        <f>IF(AND('A-18'!B152="-",'A-10'!C12="-"),"-",SUM('A-18'!B152,'A-10'!C12))</f>
        <v>-</v>
      </c>
      <c r="C58" s="200">
        <f>IF(AND('A-18'!C152="-",'A-10'!D12="-"),"-",SUM('A-18'!C152,'A-10'!D12))</f>
        <v>0</v>
      </c>
      <c r="D58" s="200">
        <f>IF(AND('A-18'!D152="-",'A-10'!E12="-"),"-",SUM('A-18'!D152,'A-10'!E12))</f>
        <v>10594</v>
      </c>
      <c r="E58" s="200">
        <f>IF(AND('A-18'!E152="-",'A-10'!F12="-"),"-",SUM('A-18'!E152,'A-10'!F12))</f>
        <v>16167</v>
      </c>
      <c r="F58" s="200">
        <f>IF(AND('A-18'!F152="-",'A-10'!G12="-"),"-",SUM('A-18'!F152,'A-10'!G12))</f>
        <v>917</v>
      </c>
      <c r="G58" s="200" t="str">
        <f>IF(AND('A-18'!G152="-",'A-10'!H12="-"),"-",SUM('A-18'!G152,'A-10'!H12))</f>
        <v>-</v>
      </c>
      <c r="H58" s="200">
        <f>IF(AND('A-18'!H152="-",'A-10'!I12="-"),"-",SUM('A-18'!H152,'A-10'!I12))</f>
        <v>40</v>
      </c>
      <c r="I58" s="200">
        <f>IF(AND('A-18'!I152="-",'A-10'!K12="-"),"-",SUM('A-18'!I152,'A-10'!K12))</f>
        <v>27718</v>
      </c>
      <c r="K58" s="200" t="str">
        <f>'A-18'!K152</f>
        <v>-</v>
      </c>
      <c r="L58" s="200" t="str">
        <f>IF(AND('A-18'!L152="-",'A-10'!M12="-"),"-",SUM('A-18'!L152,'A-10'!M12))</f>
        <v>-</v>
      </c>
      <c r="M58" s="200">
        <f>IF(AND('A-18'!M152="-",'A-10'!N12="-"),"-",SUM('A-18'!M152,'A-10'!N12))</f>
        <v>15285</v>
      </c>
      <c r="N58" s="200">
        <f>IF(AND('A-18'!N152="-",'A-10'!O12="-"),"-",SUM('A-18'!N152,'A-10'!O12))</f>
        <v>88931</v>
      </c>
      <c r="O58" s="200">
        <f>IF(AND('A-18'!O152="-",'A-10'!P12="-"),"-",SUM('A-18'!O152,'A-10'!P12))</f>
        <v>6040</v>
      </c>
      <c r="P58" s="200">
        <f>IF(AND('A-18'!P152="-",'A-10'!Q12="-"),"-",SUM('A-18'!P152,'A-10'!Q12))</f>
        <v>7661</v>
      </c>
      <c r="Q58" s="200">
        <f>IF(AND('A-18'!Q152="-",'A-10'!R12="-"),"-",SUM('A-18'!Q152,'A-10'!R12))</f>
        <v>825</v>
      </c>
      <c r="R58" s="200">
        <f>IF(AND('A-18'!R152="-",'A-10'!T12="-"),"-",SUM('A-18'!R152,'A-10'!S12))</f>
        <v>118742</v>
      </c>
      <c r="S58" s="22"/>
      <c r="T58" s="22"/>
    </row>
    <row r="59" spans="1:20" ht="11.25" customHeight="1" x14ac:dyDescent="0.25">
      <c r="A59" s="371">
        <v>1983</v>
      </c>
      <c r="B59" s="200" t="str">
        <f>IF(AND('A-18'!B153="-",'A-10'!C13="-"),"-",SUM('A-18'!B153,'A-10'!C13))</f>
        <v>-</v>
      </c>
      <c r="C59" s="200">
        <f>IF(AND('A-18'!C153="-",'A-10'!D13="-"),"-",SUM('A-18'!C153,'A-10'!D13))</f>
        <v>114</v>
      </c>
      <c r="D59" s="200">
        <f>IF(AND('A-18'!D153="-",'A-10'!E13="-"),"-",SUM('A-18'!D153,'A-10'!E13))</f>
        <v>5351</v>
      </c>
      <c r="E59" s="200">
        <f>IF(AND('A-18'!E153="-",'A-10'!F13="-"),"-",SUM('A-18'!E153,'A-10'!F13))</f>
        <v>5590</v>
      </c>
      <c r="F59" s="200">
        <f>IF(AND('A-18'!F153="-",'A-10'!G13="-"),"-",SUM('A-18'!F153,'A-10'!G13))</f>
        <v>1645</v>
      </c>
      <c r="G59" s="200">
        <f>IF(AND('A-18'!G153="-",'A-10'!H13="-"),"-",SUM('A-18'!G153,'A-10'!H13))</f>
        <v>765</v>
      </c>
      <c r="H59" s="200" t="str">
        <f>IF(AND('A-18'!H153="-",'A-10'!I13="-"),"-",SUM('A-18'!H153,'A-10'!I13))</f>
        <v>-</v>
      </c>
      <c r="I59" s="200">
        <f>IF(AND('A-18'!I153="-",'A-10'!K13="-"),"-",SUM('A-18'!I153,'A-10'!K13))</f>
        <v>13465</v>
      </c>
      <c r="K59" s="200" t="str">
        <f>'A-18'!K153</f>
        <v>-</v>
      </c>
      <c r="L59" s="200" t="str">
        <f>IF(AND('A-18'!L153="-",'A-10'!M13="-"),"-",SUM('A-18'!L153,'A-10'!M13))</f>
        <v>-</v>
      </c>
      <c r="M59" s="200">
        <f>IF(AND('A-18'!M153="-",'A-10'!N13="-"),"-",SUM('A-18'!M153,'A-10'!N13))</f>
        <v>10972</v>
      </c>
      <c r="N59" s="200">
        <f>IF(AND('A-18'!N153="-",'A-10'!O13="-"),"-",SUM('A-18'!N153,'A-10'!O13))</f>
        <v>60164</v>
      </c>
      <c r="O59" s="200">
        <f>IF(AND('A-18'!O153="-",'A-10'!P13="-"),"-",SUM('A-18'!O153,'A-10'!P13))</f>
        <v>36578</v>
      </c>
      <c r="P59" s="200">
        <f>IF(AND('A-18'!P153="-",'A-10'!Q13="-"),"-",SUM('A-18'!P153,'A-10'!Q13))</f>
        <v>15097</v>
      </c>
      <c r="Q59" s="200" t="str">
        <f>IF(AND('A-18'!Q153="-",'A-10'!R13="-"),"-",SUM('A-18'!Q153,'A-10'!R13))</f>
        <v>-</v>
      </c>
      <c r="R59" s="200">
        <f>IF(AND('A-18'!R153="-",'A-10'!T13="-"),"-",SUM('A-18'!R153,'A-10'!S13))</f>
        <v>122811</v>
      </c>
      <c r="S59" s="22"/>
      <c r="T59" s="22"/>
    </row>
    <row r="60" spans="1:20" ht="11.25" customHeight="1" x14ac:dyDescent="0.25">
      <c r="A60" s="371">
        <v>1984</v>
      </c>
      <c r="B60" s="200" t="str">
        <f>IF(AND('A-18'!B154="-",'A-10'!C14="-"),"-",SUM('A-18'!B154,'A-10'!C14))</f>
        <v>-</v>
      </c>
      <c r="C60" s="200">
        <f>IF(AND('A-18'!C154="-",'A-10'!D14="-"),"-",SUM('A-18'!C154,'A-10'!D14))</f>
        <v>596</v>
      </c>
      <c r="D60" s="200" t="str">
        <f>IF(AND('A-18'!D154="-",'A-10'!E14="-"),"-",SUM('A-18'!D154,'A-10'!E14))</f>
        <v>-</v>
      </c>
      <c r="E60" s="200">
        <f>IF(AND('A-18'!E154="-",'A-10'!F14="-"),"-",SUM('A-18'!E154,'A-10'!F14))</f>
        <v>17</v>
      </c>
      <c r="F60" s="200">
        <f>IF(AND('A-18'!F154="-",'A-10'!G14="-"),"-",SUM('A-18'!F154,'A-10'!G14))</f>
        <v>111</v>
      </c>
      <c r="G60" s="200" t="str">
        <f>IF(AND('A-18'!G154="-",'A-10'!H14="-"),"-",SUM('A-18'!G154,'A-10'!H14))</f>
        <v>-</v>
      </c>
      <c r="H60" s="200" t="str">
        <f>IF(AND('A-18'!H154="-",'A-10'!I14="-"),"-",SUM('A-18'!H154,'A-10'!I14))</f>
        <v>-</v>
      </c>
      <c r="I60" s="200">
        <f>IF(AND('A-18'!I154="-",'A-10'!K14="-"),"-",SUM('A-18'!I154,'A-10'!K14))</f>
        <v>724</v>
      </c>
      <c r="K60" s="200" t="str">
        <f>'A-18'!K154</f>
        <v>-</v>
      </c>
      <c r="L60" s="200" t="str">
        <f>IF(AND('A-18'!L154="-",'A-10'!M14="-"),"-",SUM('A-18'!L154,'A-10'!M14))</f>
        <v>-</v>
      </c>
      <c r="M60" s="200" t="str">
        <f>IF(AND('A-18'!M154="-",'A-10'!N14="-"),"-",SUM('A-18'!M154,'A-10'!N14))</f>
        <v>-</v>
      </c>
      <c r="N60" s="200">
        <f>IF(AND('A-18'!N154="-",'A-10'!O14="-"),"-",SUM('A-18'!N154,'A-10'!O14))</f>
        <v>10777</v>
      </c>
      <c r="O60" s="200">
        <f>IF(AND('A-18'!O154="-",'A-10'!P14="-"),"-",SUM('A-18'!O154,'A-10'!P14))</f>
        <v>23361</v>
      </c>
      <c r="P60" s="200" t="str">
        <f>IF(AND('A-18'!P154="-",'A-10'!Q14="-"),"-",SUM('A-18'!P154,'A-10'!Q14))</f>
        <v>-</v>
      </c>
      <c r="Q60" s="200" t="str">
        <f>IF(AND('A-18'!Q154="-",'A-10'!R14="-"),"-",SUM('A-18'!Q154,'A-10'!R14))</f>
        <v>-</v>
      </c>
      <c r="R60" s="200">
        <f>IF(AND('A-18'!R154="-",'A-10'!T14="-"),"-",SUM('A-18'!R154,'A-10'!S14))</f>
        <v>34138</v>
      </c>
      <c r="S60" s="22"/>
      <c r="T60" s="22"/>
    </row>
    <row r="61" spans="1:20" ht="11.25" customHeight="1" x14ac:dyDescent="0.25">
      <c r="A61" s="371">
        <v>1985</v>
      </c>
      <c r="B61" s="200" t="str">
        <f>IF(AND('A-18'!B155="-",'A-10'!C15="-"),"-",SUM('A-18'!B155,'A-10'!C15))</f>
        <v>-</v>
      </c>
      <c r="C61" s="200" t="str">
        <f>IF(AND('A-18'!C155="-",'A-10'!D15="-"),"-",SUM('A-18'!C155,'A-10'!D15))</f>
        <v>-</v>
      </c>
      <c r="D61" s="200">
        <f>IF(AND('A-18'!D155="-",'A-10'!E15="-"),"-",SUM('A-18'!D155,'A-10'!E15))</f>
        <v>98</v>
      </c>
      <c r="E61" s="200">
        <f>IF(AND('A-18'!E155="-",'A-10'!F15="-"),"-",SUM('A-18'!E155,'A-10'!F15))</f>
        <v>4084</v>
      </c>
      <c r="F61" s="200">
        <f>IF(AND('A-18'!F155="-",'A-10'!G15="-"),"-",SUM('A-18'!F155,'A-10'!G15))</f>
        <v>5454</v>
      </c>
      <c r="G61" s="200">
        <f>IF(AND('A-18'!G155="-",'A-10'!H15="-"),"-",SUM('A-18'!G155,'A-10'!H15))</f>
        <v>20</v>
      </c>
      <c r="H61" s="200" t="str">
        <f>IF(AND('A-18'!H155="-",'A-10'!I15="-"),"-",SUM('A-18'!H155,'A-10'!I15))</f>
        <v>-</v>
      </c>
      <c r="I61" s="200">
        <f>IF(AND('A-18'!I155="-",'A-10'!K15="-"),"-",SUM('A-18'!I155,'A-10'!K15))</f>
        <v>9656</v>
      </c>
      <c r="K61" s="200" t="str">
        <f>'A-18'!K155</f>
        <v>-</v>
      </c>
      <c r="L61" s="200" t="str">
        <f>IF(AND('A-18'!L155="-",'A-10'!M15="-"),"-",SUM('A-18'!L155,'A-10'!M15))</f>
        <v>-</v>
      </c>
      <c r="M61" s="200">
        <f>IF(AND('A-18'!M155="-",'A-10'!N15="-"),"-",SUM('A-18'!M155,'A-10'!N15))</f>
        <v>2055</v>
      </c>
      <c r="N61" s="200">
        <f>IF(AND('A-18'!N155="-",'A-10'!O15="-"),"-",SUM('A-18'!N155,'A-10'!O15))</f>
        <v>44590</v>
      </c>
      <c r="O61" s="200">
        <f>IF(AND('A-18'!O155="-",'A-10'!P15="-"),"-",SUM('A-18'!O155,'A-10'!P15))</f>
        <v>52826</v>
      </c>
      <c r="P61" s="200">
        <f>IF(AND('A-18'!P155="-",'A-10'!Q15="-"),"-",SUM('A-18'!P155,'A-10'!Q15))</f>
        <v>244</v>
      </c>
      <c r="Q61" s="200" t="str">
        <f>IF(AND('A-18'!Q155="-",'A-10'!R15="-"),"-",SUM('A-18'!Q155,'A-10'!R15))</f>
        <v>-</v>
      </c>
      <c r="R61" s="200">
        <f>IF(AND('A-18'!R155="-",'A-10'!T15="-"),"-",SUM('A-18'!R155,'A-10'!S15))</f>
        <v>99715</v>
      </c>
      <c r="S61" s="22"/>
      <c r="T61" s="22"/>
    </row>
    <row r="62" spans="1:20" ht="11.25" customHeight="1" x14ac:dyDescent="0.25">
      <c r="A62" s="371">
        <v>1986</v>
      </c>
      <c r="B62" s="200" t="str">
        <f>IF(AND('A-18'!B156="-",'A-10'!C16="-"),"-",SUM('A-18'!B156,'A-10'!C16))</f>
        <v>-</v>
      </c>
      <c r="C62" s="200" t="str">
        <f>IF(AND('A-18'!C156="-",'A-10'!D16="-"),"-",SUM('A-18'!C156,'A-10'!D16))</f>
        <v>-</v>
      </c>
      <c r="D62" s="200">
        <f>IF(AND('A-18'!D156="-",'A-10'!E16="-"),"-",SUM('A-18'!D156,'A-10'!E16))</f>
        <v>114</v>
      </c>
      <c r="E62" s="200">
        <f>IF(AND('A-18'!E156="-",'A-10'!F16="-"),"-",SUM('A-18'!E156,'A-10'!F16))</f>
        <v>2125</v>
      </c>
      <c r="F62" s="200">
        <f>IF(AND('A-18'!F156="-",'A-10'!G16="-"),"-",SUM('A-18'!F156,'A-10'!G16))</f>
        <v>1891</v>
      </c>
      <c r="G62" s="200" t="str">
        <f>IF(AND('A-18'!G156="-",'A-10'!H16="-"),"-",SUM('A-18'!G156,'A-10'!H16))</f>
        <v>-</v>
      </c>
      <c r="H62" s="200" t="str">
        <f>IF(AND('A-18'!H156="-",'A-10'!I16="-"),"-",SUM('A-18'!H156,'A-10'!I16))</f>
        <v>-</v>
      </c>
      <c r="I62" s="200">
        <f>IF(AND('A-18'!I156="-",'A-10'!K16="-"),"-",SUM('A-18'!I156,'A-10'!K16))</f>
        <v>4130</v>
      </c>
      <c r="K62" s="200" t="str">
        <f>'A-18'!K156</f>
        <v>-</v>
      </c>
      <c r="L62" s="200" t="str">
        <f>IF(AND('A-18'!L156="-",'A-10'!M16="-"),"-",SUM('A-18'!L156,'A-10'!M16))</f>
        <v>-</v>
      </c>
      <c r="M62" s="200">
        <f>IF(AND('A-18'!M156="-",'A-10'!N16="-"),"-",SUM('A-18'!M156,'A-10'!N16))</f>
        <v>3428</v>
      </c>
      <c r="N62" s="200">
        <f>IF(AND('A-18'!N156="-",'A-10'!O16="-"),"-",SUM('A-18'!N156,'A-10'!O16))</f>
        <v>58316</v>
      </c>
      <c r="O62" s="200">
        <f>IF(AND('A-18'!O156="-",'A-10'!P16="-"),"-",SUM('A-18'!O156,'A-10'!P16))</f>
        <v>42568</v>
      </c>
      <c r="P62" s="200" t="str">
        <f>IF(AND('A-18'!P156="-",'A-10'!Q16="-"),"-",SUM('A-18'!P156,'A-10'!Q16))</f>
        <v>-</v>
      </c>
      <c r="Q62" s="200" t="str">
        <f>IF(AND('A-18'!Q156="-",'A-10'!R16="-"),"-",SUM('A-18'!Q156,'A-10'!R16))</f>
        <v>-</v>
      </c>
      <c r="R62" s="200">
        <f>IF(AND('A-18'!R156="-",'A-10'!T16="-"),"-",SUM('A-18'!R156,'A-10'!S16))</f>
        <v>104312</v>
      </c>
      <c r="S62" s="22"/>
      <c r="T62" s="22"/>
    </row>
    <row r="63" spans="1:20" ht="11.25" customHeight="1" x14ac:dyDescent="0.25">
      <c r="A63" s="371">
        <v>1987</v>
      </c>
      <c r="B63" s="200" t="str">
        <f>IF(AND('A-18'!B157="-",'A-10'!C17="-"),"-",SUM('A-18'!B157,'A-10'!C17))</f>
        <v>-</v>
      </c>
      <c r="C63" s="200" t="str">
        <f>IF(AND('A-18'!C157="-",'A-10'!D17="-"),"-",SUM('A-18'!C157,'A-10'!D17))</f>
        <v>-</v>
      </c>
      <c r="D63" s="200">
        <f>IF(AND('A-18'!D157="-",'A-10'!E17="-"),"-",SUM('A-18'!D157,'A-10'!E17))</f>
        <v>378</v>
      </c>
      <c r="E63" s="200">
        <f>IF(AND('A-18'!E157="-",'A-10'!F17="-"),"-",SUM('A-18'!E157,'A-10'!F17))</f>
        <v>4853</v>
      </c>
      <c r="F63" s="200">
        <f>IF(AND('A-18'!F157="-",'A-10'!G17="-"),"-",SUM('A-18'!F157,'A-10'!G17))</f>
        <v>6798</v>
      </c>
      <c r="G63" s="200" t="str">
        <f>IF(AND('A-18'!G157="-",'A-10'!H17="-"),"-",SUM('A-18'!G157,'A-10'!H17))</f>
        <v>-</v>
      </c>
      <c r="H63" s="200" t="str">
        <f>IF(AND('A-18'!H157="-",'A-10'!I17="-"),"-",SUM('A-18'!H157,'A-10'!I17))</f>
        <v>-</v>
      </c>
      <c r="I63" s="200">
        <f>IF(AND('A-18'!I157="-",'A-10'!K17="-"),"-",SUM('A-18'!I157,'A-10'!K17))</f>
        <v>12029</v>
      </c>
      <c r="K63" s="200" t="str">
        <f>'A-18'!K157</f>
        <v>-</v>
      </c>
      <c r="L63" s="200" t="str">
        <f>IF(AND('A-18'!L157="-",'A-10'!M17="-"),"-",SUM('A-18'!L157,'A-10'!M17))</f>
        <v>-</v>
      </c>
      <c r="M63" s="200">
        <f>IF(AND('A-18'!M157="-",'A-10'!N17="-"),"-",SUM('A-18'!M157,'A-10'!N17))</f>
        <v>2498</v>
      </c>
      <c r="N63" s="200">
        <f>IF(AND('A-18'!N157="-",'A-10'!O17="-"),"-",SUM('A-18'!N157,'A-10'!O17))</f>
        <v>38824</v>
      </c>
      <c r="O63" s="200">
        <f>IF(AND('A-18'!O157="-",'A-10'!P17="-"),"-",SUM('A-18'!O157,'A-10'!P17))</f>
        <v>38629</v>
      </c>
      <c r="P63" s="200" t="str">
        <f>IF(AND('A-18'!P157="-",'A-10'!Q17="-"),"-",SUM('A-18'!P157,'A-10'!Q17))</f>
        <v>-</v>
      </c>
      <c r="Q63" s="200" t="str">
        <f>IF(AND('A-18'!Q157="-",'A-10'!R17="-"),"-",SUM('A-18'!Q157,'A-10'!R17))</f>
        <v>-</v>
      </c>
      <c r="R63" s="200">
        <f>IF(AND('A-18'!R157="-",'A-10'!T17="-"),"-",SUM('A-18'!R157,'A-10'!S17))</f>
        <v>79951</v>
      </c>
      <c r="S63" s="22"/>
      <c r="T63" s="22"/>
    </row>
    <row r="64" spans="1:20" ht="11.25" customHeight="1" x14ac:dyDescent="0.25">
      <c r="A64" s="371">
        <v>1988</v>
      </c>
      <c r="B64" s="200" t="str">
        <f>IF(AND('A-18'!B158="-",'A-10'!C18="-"),"-",SUM('A-18'!B158,'A-10'!C18))</f>
        <v>-</v>
      </c>
      <c r="C64" s="200" t="str">
        <f>IF(AND('A-18'!C158="-",'A-10'!D18="-"),"-",SUM('A-18'!C158,'A-10'!D18))</f>
        <v>-</v>
      </c>
      <c r="D64" s="200" t="str">
        <f>IF(AND('A-18'!D158="-",'A-10'!E18="-"),"-",SUM('A-18'!D158,'A-10'!E18))</f>
        <v>-</v>
      </c>
      <c r="E64" s="200">
        <f>IF(AND('A-18'!E158="-",'A-10'!F18="-"),"-",SUM('A-18'!E158,'A-10'!F18))</f>
        <v>1569</v>
      </c>
      <c r="F64" s="200">
        <f>IF(AND('A-18'!F158="-",'A-10'!G18="-"),"-",SUM('A-18'!F158,'A-10'!G18))</f>
        <v>64</v>
      </c>
      <c r="G64" s="200">
        <f>IF(AND('A-18'!G158="-",'A-10'!H18="-"),"-",SUM('A-18'!G158,'A-10'!H18))</f>
        <v>4</v>
      </c>
      <c r="H64" s="200" t="str">
        <f>IF(AND('A-18'!H158="-",'A-10'!I18="-"),"-",SUM('A-18'!H158,'A-10'!I18))</f>
        <v>-</v>
      </c>
      <c r="I64" s="200">
        <f>IF(AND('A-18'!I158="-",'A-10'!K18="-"),"-",SUM('A-18'!I158,'A-10'!K18))</f>
        <v>1637</v>
      </c>
      <c r="K64" s="200" t="str">
        <f>'A-18'!K158</f>
        <v>-</v>
      </c>
      <c r="L64" s="200" t="str">
        <f>IF(AND('A-18'!L158="-",'A-10'!M18="-"),"-",SUM('A-18'!L158,'A-10'!M18))</f>
        <v>-</v>
      </c>
      <c r="M64" s="200" t="str">
        <f>IF(AND('A-18'!M158="-",'A-10'!N18="-"),"-",SUM('A-18'!M158,'A-10'!N18))</f>
        <v>-</v>
      </c>
      <c r="N64" s="200">
        <f>IF(AND('A-18'!N158="-",'A-10'!O18="-"),"-",SUM('A-18'!N158,'A-10'!O18))</f>
        <v>30679</v>
      </c>
      <c r="O64" s="200">
        <f>IF(AND('A-18'!O158="-",'A-10'!P18="-"),"-",SUM('A-18'!O158,'A-10'!P18))</f>
        <v>904</v>
      </c>
      <c r="P64" s="200">
        <f>IF(AND('A-18'!P158="-",'A-10'!Q18="-"),"-",SUM('A-18'!P158,'A-10'!Q18))</f>
        <v>66</v>
      </c>
      <c r="Q64" s="200" t="str">
        <f>IF(AND('A-18'!Q158="-",'A-10'!R18="-"),"-",SUM('A-18'!Q158,'A-10'!R18))</f>
        <v>-</v>
      </c>
      <c r="R64" s="200">
        <f>IF(AND('A-18'!R158="-",'A-10'!T18="-"),"-",SUM('A-18'!R158,'A-10'!S18))</f>
        <v>31649</v>
      </c>
      <c r="S64" s="22"/>
      <c r="T64" s="22"/>
    </row>
    <row r="65" spans="1:20" ht="11.25" customHeight="1" x14ac:dyDescent="0.25">
      <c r="A65" s="371">
        <v>1989</v>
      </c>
      <c r="B65" s="200" t="str">
        <f>IF(AND('A-18'!B159="-",'A-10'!C19="-"),"-",SUM('A-18'!B159,'A-10'!C19))</f>
        <v>-</v>
      </c>
      <c r="C65" s="200">
        <f>IF(AND('A-18'!C159="-",'A-10'!D19="-"),"-",SUM('A-18'!C159,'A-10'!D19))</f>
        <v>140</v>
      </c>
      <c r="D65" s="200">
        <f>IF(AND('A-18'!D159="-",'A-10'!E19="-"),"-",SUM('A-18'!D159,'A-10'!E19))</f>
        <v>631</v>
      </c>
      <c r="E65" s="200">
        <f>IF(AND('A-18'!E159="-",'A-10'!F19="-"),"-",SUM('A-18'!E159,'A-10'!F19))</f>
        <v>937</v>
      </c>
      <c r="F65" s="200">
        <f>IF(AND('A-18'!F159="-",'A-10'!G19="-"),"-",SUM('A-18'!F159,'A-10'!G19))</f>
        <v>5213</v>
      </c>
      <c r="G65" s="200" t="str">
        <f>IF(AND('A-18'!G159="-",'A-10'!H19="-"),"-",SUM('A-18'!G159,'A-10'!H19))</f>
        <v>-</v>
      </c>
      <c r="H65" s="200" t="str">
        <f>IF(AND('A-18'!H159="-",'A-10'!I19="-"),"-",SUM('A-18'!H159,'A-10'!I19))</f>
        <v>-</v>
      </c>
      <c r="I65" s="200">
        <f>IF(AND('A-18'!I159="-",'A-10'!K19="-"),"-",SUM('A-18'!I159,'A-10'!K19))</f>
        <v>6921</v>
      </c>
      <c r="K65" s="200" t="str">
        <f>'A-18'!K159</f>
        <v>-</v>
      </c>
      <c r="L65" s="200" t="str">
        <f>IF(AND('A-18'!L159="-",'A-10'!M19="-"),"-",SUM('A-18'!L159,'A-10'!M19))</f>
        <v>-</v>
      </c>
      <c r="M65" s="200">
        <f>IF(AND('A-18'!M159="-",'A-10'!N19="-"),"-",SUM('A-18'!M159,'A-10'!N19))</f>
        <v>1670</v>
      </c>
      <c r="N65" s="200">
        <f>IF(AND('A-18'!N159="-",'A-10'!O19="-"),"-",SUM('A-18'!N159,'A-10'!O19))</f>
        <v>57389</v>
      </c>
      <c r="O65" s="200">
        <f>IF(AND('A-18'!O159="-",'A-10'!P19="-"),"-",SUM('A-18'!O159,'A-10'!P19))</f>
        <v>57916</v>
      </c>
      <c r="P65" s="200" t="str">
        <f>IF(AND('A-18'!P159="-",'A-10'!Q19="-"),"-",SUM('A-18'!P159,'A-10'!Q19))</f>
        <v>-</v>
      </c>
      <c r="Q65" s="200" t="str">
        <f>IF(AND('A-18'!Q159="-",'A-10'!R19="-"),"-",SUM('A-18'!Q159,'A-10'!R19))</f>
        <v>-</v>
      </c>
      <c r="R65" s="200">
        <f>IF(AND('A-18'!R159="-",'A-10'!T19="-"),"-",SUM('A-18'!R159,'A-10'!S19))</f>
        <v>116975</v>
      </c>
      <c r="S65" s="22"/>
      <c r="T65" s="22"/>
    </row>
    <row r="66" spans="1:20" ht="11.25" customHeight="1" x14ac:dyDescent="0.25">
      <c r="A66" s="371">
        <v>1990</v>
      </c>
      <c r="B66" s="200" t="str">
        <f>IF(AND('A-18'!B160="-",'A-10'!C20="-"),"-",SUM('A-18'!B160,'A-10'!C20))</f>
        <v>-</v>
      </c>
      <c r="C66" s="200" t="str">
        <f>IF(AND('A-18'!C160="-",'A-10'!D20="-"),"-",SUM('A-18'!C160,'A-10'!D20))</f>
        <v>-</v>
      </c>
      <c r="D66" s="200">
        <f>IF(AND('A-18'!D160="-",'A-10'!E20="-"),"-",SUM('A-18'!D160,'A-10'!E20))</f>
        <v>318</v>
      </c>
      <c r="E66" s="200">
        <f>IF(AND('A-18'!E160="-",'A-10'!F20="-"),"-",SUM('A-18'!E160,'A-10'!F20))</f>
        <v>4252</v>
      </c>
      <c r="F66" s="200">
        <f>IF(AND('A-18'!F160="-",'A-10'!G20="-"),"-",SUM('A-18'!F160,'A-10'!G20))</f>
        <v>8377</v>
      </c>
      <c r="G66" s="200">
        <f>IF(AND('A-18'!G160="-",'A-10'!H20="-"),"-",SUM('A-18'!G160,'A-10'!H20))</f>
        <v>235</v>
      </c>
      <c r="H66" s="200" t="str">
        <f>IF(AND('A-18'!H160="-",'A-10'!I20="-"),"-",SUM('A-18'!H160,'A-10'!I20))</f>
        <v>-</v>
      </c>
      <c r="I66" s="200">
        <f>IF(AND('A-18'!I160="-",'A-10'!K20="-"),"-",SUM('A-18'!I160,'A-10'!K20))</f>
        <v>13182</v>
      </c>
      <c r="K66" s="200" t="str">
        <f>'A-18'!K160</f>
        <v>-</v>
      </c>
      <c r="L66" s="200" t="str">
        <f>IF(AND('A-18'!L160="-",'A-10'!M20="-"),"-",SUM('A-18'!L160,'A-10'!M20))</f>
        <v>-</v>
      </c>
      <c r="M66" s="200">
        <f>IF(AND('A-18'!M160="-",'A-10'!N20="-"),"-",SUM('A-18'!M160,'A-10'!N20))</f>
        <v>10255</v>
      </c>
      <c r="N66" s="200">
        <f>IF(AND('A-18'!N160="-",'A-10'!O20="-"),"-",SUM('A-18'!N160,'A-10'!O20))</f>
        <v>55212</v>
      </c>
      <c r="O66" s="200">
        <f>IF(AND('A-18'!O160="-",'A-10'!P20="-"),"-",SUM('A-18'!O160,'A-10'!P20))</f>
        <v>53047</v>
      </c>
      <c r="P66" s="200">
        <f>IF(AND('A-18'!P160="-",'A-10'!Q20="-"),"-",SUM('A-18'!P160,'A-10'!Q20))</f>
        <v>5468</v>
      </c>
      <c r="Q66" s="200" t="str">
        <f>IF(AND('A-18'!Q160="-",'A-10'!R20="-"),"-",SUM('A-18'!Q160,'A-10'!R20))</f>
        <v>-</v>
      </c>
      <c r="R66" s="200">
        <f>IF(AND('A-18'!R160="-",'A-10'!T20="-"),"-",SUM('A-18'!R160,'A-10'!S20))</f>
        <v>123982</v>
      </c>
      <c r="S66" s="22"/>
      <c r="T66" s="22"/>
    </row>
    <row r="67" spans="1:20" ht="11.25" customHeight="1" x14ac:dyDescent="0.25">
      <c r="A67" s="371">
        <v>1991</v>
      </c>
      <c r="B67" s="200" t="str">
        <f>IF(AND('A-18'!B161="-",'A-10'!C21="-"),"-",SUM('A-18'!B161,'A-10'!C21))</f>
        <v>-</v>
      </c>
      <c r="C67" s="200" t="str">
        <f>IF(AND('A-18'!C161="-",'A-10'!D21="-"),"-",SUM('A-18'!C161,'A-10'!D21))</f>
        <v>-</v>
      </c>
      <c r="D67" s="200">
        <f>IF(AND('A-18'!D161="-",'A-10'!E21="-"),"-",SUM('A-18'!D161,'A-10'!E21))</f>
        <v>252</v>
      </c>
      <c r="E67" s="200">
        <f>IF(AND('A-18'!E161="-",'A-10'!F21="-"),"-",SUM('A-18'!E161,'A-10'!F21))</f>
        <v>1515</v>
      </c>
      <c r="F67" s="200">
        <f>IF(AND('A-18'!F161="-",'A-10'!G21="-"),"-",SUM('A-18'!F161,'A-10'!G21))</f>
        <v>1491</v>
      </c>
      <c r="G67" s="200">
        <f>IF(AND('A-18'!G161="-",'A-10'!H21="-"),"-",SUM('A-18'!G161,'A-10'!H21))</f>
        <v>69</v>
      </c>
      <c r="H67" s="200" t="str">
        <f>IF(AND('A-18'!H161="-",'A-10'!I21="-"),"-",SUM('A-18'!H161,'A-10'!I21))</f>
        <v>-</v>
      </c>
      <c r="I67" s="200">
        <f>IF(AND('A-18'!I161="-",'A-10'!K21="-"),"-",SUM('A-18'!I161,'A-10'!K21))</f>
        <v>3327</v>
      </c>
      <c r="K67" s="200" t="str">
        <f>'A-18'!K161</f>
        <v>-</v>
      </c>
      <c r="L67" s="200" t="str">
        <f>IF(AND('A-18'!L161="-",'A-10'!M21="-"),"-",SUM('A-18'!L161,'A-10'!M21))</f>
        <v>-</v>
      </c>
      <c r="M67" s="200">
        <f>IF(AND('A-18'!M161="-",'A-10'!N21="-"),"-",SUM('A-18'!M161,'A-10'!N21))</f>
        <v>7875</v>
      </c>
      <c r="N67" s="200">
        <f>IF(AND('A-18'!N161="-",'A-10'!O21="-"),"-",SUM('A-18'!N161,'A-10'!O21))</f>
        <v>62160</v>
      </c>
      <c r="O67" s="200">
        <f>IF(AND('A-18'!O161="-",'A-10'!P21="-"),"-",SUM('A-18'!O161,'A-10'!P21))</f>
        <v>33627</v>
      </c>
      <c r="P67" s="200">
        <f>IF(AND('A-18'!P161="-",'A-10'!Q21="-"),"-",SUM('A-18'!P161,'A-10'!Q21))</f>
        <v>10932</v>
      </c>
      <c r="Q67" s="200" t="str">
        <f>IF(AND('A-18'!Q161="-",'A-10'!R21="-"),"-",SUM('A-18'!Q161,'A-10'!R21))</f>
        <v>-</v>
      </c>
      <c r="R67" s="200">
        <f>IF(AND('A-18'!R161="-",'A-10'!T21="-"),"-",SUM('A-18'!R161,'A-10'!S21))</f>
        <v>114594</v>
      </c>
      <c r="S67" s="22"/>
      <c r="T67" s="22"/>
    </row>
    <row r="68" spans="1:20" ht="11.25" customHeight="1" x14ac:dyDescent="0.25">
      <c r="A68" s="371">
        <v>1992</v>
      </c>
      <c r="B68" s="200" t="str">
        <f>IF(AND('A-18'!B162="-",'A-10'!C22="-"),"-",SUM('A-18'!B162,'A-10'!C22))</f>
        <v>-</v>
      </c>
      <c r="C68" s="200" t="str">
        <f>IF(AND('A-18'!C162="-",'A-10'!D22="-"),"-",SUM('A-18'!C162,'A-10'!D22))</f>
        <v>-</v>
      </c>
      <c r="D68" s="200">
        <f>IF(AND('A-18'!D162="-",'A-10'!E22="-"),"-",SUM('A-18'!D162,'A-10'!E22))</f>
        <v>0</v>
      </c>
      <c r="E68" s="200">
        <f>IF(AND('A-18'!E162="-",'A-10'!F22="-"),"-",SUM('A-18'!E162,'A-10'!F22))</f>
        <v>1164</v>
      </c>
      <c r="F68" s="200">
        <f>IF(AND('A-18'!F162="-",'A-10'!G22="-"),"-",SUM('A-18'!F162,'A-10'!G22))</f>
        <v>627</v>
      </c>
      <c r="G68" s="200">
        <f>IF(AND('A-18'!G162="-",'A-10'!H22="-"),"-",SUM('A-18'!G162,'A-10'!H22))</f>
        <v>174</v>
      </c>
      <c r="H68" s="200" t="str">
        <f>IF(AND('A-18'!H162="-",'A-10'!I22="-"),"-",SUM('A-18'!H162,'A-10'!I22))</f>
        <v>-</v>
      </c>
      <c r="I68" s="200">
        <f>IF(AND('A-18'!I162="-",'A-10'!K22="-"),"-",SUM('A-18'!I162,'A-10'!K22))</f>
        <v>1965</v>
      </c>
      <c r="K68" s="200" t="str">
        <f>'A-18'!K162</f>
        <v>-</v>
      </c>
      <c r="L68" s="200" t="str">
        <f>IF(AND('A-18'!L162="-",'A-10'!M22="-"),"-",SUM('A-18'!L162,'A-10'!M22))</f>
        <v>-</v>
      </c>
      <c r="M68" s="200">
        <f>IF(AND('A-18'!M162="-",'A-10'!N22="-"),"-",SUM('A-18'!M162,'A-10'!N22))</f>
        <v>0</v>
      </c>
      <c r="N68" s="200">
        <f>IF(AND('A-18'!N162="-",'A-10'!O22="-"),"-",SUM('A-18'!N162,'A-10'!O22))</f>
        <v>55292</v>
      </c>
      <c r="O68" s="200">
        <f>IF(AND('A-18'!O162="-",'A-10'!P22="-"),"-",SUM('A-18'!O162,'A-10'!P22))</f>
        <v>9507</v>
      </c>
      <c r="P68" s="200">
        <f>IF(AND('A-18'!P162="-",'A-10'!Q22="-"),"-",SUM('A-18'!P162,'A-10'!Q22))</f>
        <v>4372</v>
      </c>
      <c r="Q68" s="200" t="str">
        <f>IF(AND('A-18'!Q162="-",'A-10'!R22="-"),"-",SUM('A-18'!Q162,'A-10'!R22))</f>
        <v>-</v>
      </c>
      <c r="R68" s="200">
        <f>IF(AND('A-18'!R162="-",'A-10'!T22="-"),"-",SUM('A-18'!R162,'A-10'!S22))</f>
        <v>69171</v>
      </c>
      <c r="S68" s="22"/>
      <c r="T68" s="22"/>
    </row>
    <row r="69" spans="1:20" ht="11.25" customHeight="1" x14ac:dyDescent="0.25">
      <c r="A69" s="371">
        <v>1993</v>
      </c>
      <c r="B69" s="200" t="str">
        <f>IF(AND('A-18'!B163="-",'A-10'!C23="-"),"-",SUM('A-18'!B163,'A-10'!C23))</f>
        <v>-</v>
      </c>
      <c r="C69" s="200" t="str">
        <f>IF(AND('A-18'!C163="-",'A-10'!D23="-"),"-",SUM('A-18'!C163,'A-10'!D23))</f>
        <v>-</v>
      </c>
      <c r="D69" s="200" t="str">
        <f>IF(AND('A-18'!D163="-",'A-10'!E23="-"),"-",SUM('A-18'!D163,'A-10'!E23))</f>
        <v>-</v>
      </c>
      <c r="E69" s="200">
        <f>IF(AND('A-18'!E163="-",'A-10'!F23="-"),"-",SUM('A-18'!E163,'A-10'!F23))</f>
        <v>977</v>
      </c>
      <c r="F69" s="200">
        <f>IF(AND('A-18'!F163="-",'A-10'!G23="-"),"-",SUM('A-18'!F163,'A-10'!G23))</f>
        <v>1755</v>
      </c>
      <c r="G69" s="200">
        <f>IF(AND('A-18'!G163="-",'A-10'!H23="-"),"-",SUM('A-18'!G163,'A-10'!H23))</f>
        <v>737</v>
      </c>
      <c r="H69" s="200" t="str">
        <f>IF(AND('A-18'!H163="-",'A-10'!I23="-"),"-",SUM('A-18'!H163,'A-10'!I23))</f>
        <v>-</v>
      </c>
      <c r="I69" s="200">
        <f>IF(AND('A-18'!I163="-",'A-10'!K23="-"),"-",SUM('A-18'!I163,'A-10'!K23))</f>
        <v>3469</v>
      </c>
      <c r="K69" s="200" t="str">
        <f>'A-18'!K163</f>
        <v>-</v>
      </c>
      <c r="L69" s="200" t="str">
        <f>IF(AND('A-18'!L163="-",'A-10'!M23="-"),"-",SUM('A-18'!L163,'A-10'!M23))</f>
        <v>-</v>
      </c>
      <c r="M69" s="200" t="str">
        <f>IF(AND('A-18'!M163="-",'A-10'!N23="-"),"-",SUM('A-18'!M163,'A-10'!N23))</f>
        <v>-</v>
      </c>
      <c r="N69" s="200">
        <f>IF(AND('A-18'!N163="-",'A-10'!O23="-"),"-",SUM('A-18'!N163,'A-10'!O23))</f>
        <v>22311</v>
      </c>
      <c r="O69" s="200">
        <f>IF(AND('A-18'!O163="-",'A-10'!P23="-"),"-",SUM('A-18'!O163,'A-10'!P23))</f>
        <v>31376</v>
      </c>
      <c r="P69" s="200">
        <f>IF(AND('A-18'!P163="-",'A-10'!Q23="-"),"-",SUM('A-18'!P163,'A-10'!Q23))</f>
        <v>13648</v>
      </c>
      <c r="Q69" s="200" t="str">
        <f>IF(AND('A-18'!Q163="-",'A-10'!R23="-"),"-",SUM('A-18'!Q163,'A-10'!R23))</f>
        <v>-</v>
      </c>
      <c r="R69" s="200">
        <f>IF(AND('A-18'!R163="-",'A-10'!T23="-"),"-",SUM('A-18'!R163,'A-10'!S23))</f>
        <v>67335</v>
      </c>
      <c r="S69" s="22"/>
      <c r="T69" s="22"/>
    </row>
    <row r="70" spans="1:20" ht="11.25" customHeight="1" x14ac:dyDescent="0.25">
      <c r="A70" s="371">
        <v>1994</v>
      </c>
      <c r="B70" s="200" t="str">
        <f>IF(AND('A-18'!B164="-",'A-10'!C24="-"),"-",SUM('A-18'!B164,'A-10'!C24))</f>
        <v>-</v>
      </c>
      <c r="C70" s="200" t="str">
        <f>IF(AND('A-18'!C164="-",'A-10'!D24="-"),"-",SUM('A-18'!C164,'A-10'!D24))</f>
        <v>-</v>
      </c>
      <c r="D70" s="200" t="str">
        <f>IF(AND('A-18'!D164="-",'A-10'!E24="-"),"-",SUM('A-18'!D164,'A-10'!E24))</f>
        <v>-</v>
      </c>
      <c r="E70" s="200" t="str">
        <f>IF(AND('A-18'!E164="-",'A-10'!F24="-"),"-",SUM('A-18'!E164,'A-10'!F24))</f>
        <v>-</v>
      </c>
      <c r="F70" s="200" t="str">
        <f>IF(AND('A-18'!F164="-",'A-10'!G24="-"),"-",SUM('A-18'!F164,'A-10'!G24))</f>
        <v>-</v>
      </c>
      <c r="G70" s="200" t="str">
        <f>IF(AND('A-18'!G164="-",'A-10'!H24="-"),"-",SUM('A-18'!G164,'A-10'!H24))</f>
        <v>-</v>
      </c>
      <c r="H70" s="200" t="str">
        <f>IF(AND('A-18'!H164="-",'A-10'!I24="-"),"-",SUM('A-18'!H164,'A-10'!I24))</f>
        <v>-</v>
      </c>
      <c r="I70" s="200" t="str">
        <f>IF(AND('A-18'!I164="-",'A-10'!K24="-"),"-",SUM('A-18'!I164,'A-10'!K24))</f>
        <v>-</v>
      </c>
      <c r="K70" s="200" t="str">
        <f>'A-18'!K164</f>
        <v>-</v>
      </c>
      <c r="L70" s="200" t="str">
        <f>IF(AND('A-18'!L164="-",'A-10'!M24="-"),"-",SUM('A-18'!L164,'A-10'!M24))</f>
        <v>-</v>
      </c>
      <c r="M70" s="200" t="str">
        <f>IF(AND('A-18'!M164="-",'A-10'!N24="-"),"-",SUM('A-18'!M164,'A-10'!N24))</f>
        <v>-</v>
      </c>
      <c r="N70" s="200" t="str">
        <f>IF(AND('A-18'!N164="-",'A-10'!O24="-"),"-",SUM('A-18'!N164,'A-10'!O24))</f>
        <v>-</v>
      </c>
      <c r="O70" s="200" t="str">
        <f>IF(AND('A-18'!O164="-",'A-10'!P24="-"),"-",SUM('A-18'!O164,'A-10'!P24))</f>
        <v>-</v>
      </c>
      <c r="P70" s="200" t="str">
        <f>IF(AND('A-18'!P164="-",'A-10'!Q24="-"),"-",SUM('A-18'!P164,'A-10'!Q24))</f>
        <v>-</v>
      </c>
      <c r="Q70" s="200" t="str">
        <f>IF(AND('A-18'!Q164="-",'A-10'!R24="-"),"-",SUM('A-18'!Q164,'A-10'!R24))</f>
        <v>-</v>
      </c>
      <c r="R70" s="200">
        <f>IF(AND('A-18'!R164="-",'A-10'!T24="-"),"-",SUM('A-18'!R164,'A-10'!S24))</f>
        <v>0</v>
      </c>
      <c r="S70" s="22"/>
      <c r="T70" s="22"/>
    </row>
    <row r="71" spans="1:20" ht="11.25" customHeight="1" x14ac:dyDescent="0.25">
      <c r="A71" s="371">
        <v>1995</v>
      </c>
      <c r="B71" s="200" t="str">
        <f>IF(AND('A-18'!B165="-",'A-10'!C25="-"),"-",SUM('A-18'!B165,'A-10'!C25))</f>
        <v>-</v>
      </c>
      <c r="C71" s="200" t="str">
        <f>IF(AND('A-18'!C165="-",'A-10'!D25="-"),"-",SUM('A-18'!C165,'A-10'!D25))</f>
        <v>-</v>
      </c>
      <c r="D71" s="200" t="str">
        <f>IF(AND('A-18'!D165="-",'A-10'!E25="-"),"-",SUM('A-18'!D165,'A-10'!E25))</f>
        <v>-</v>
      </c>
      <c r="E71" s="200">
        <f>IF(AND('A-18'!E165="-",'A-10'!F25="-"),"-",SUM('A-18'!E165,'A-10'!F25))</f>
        <v>56</v>
      </c>
      <c r="F71" s="200">
        <f>IF(AND('A-18'!F165="-",'A-10'!G25="-"),"-",SUM('A-18'!F165,'A-10'!G25))</f>
        <v>277</v>
      </c>
      <c r="G71" s="200">
        <f>IF(AND('A-18'!G165="-",'A-10'!H25="-"),"-",SUM('A-18'!G165,'A-10'!H25))</f>
        <v>48</v>
      </c>
      <c r="H71" s="200" t="str">
        <f>IF(AND('A-18'!H165="-",'A-10'!I25="-"),"-",SUM('A-18'!H165,'A-10'!I25))</f>
        <v>-</v>
      </c>
      <c r="I71" s="200">
        <f>IF(AND('A-18'!I165="-",'A-10'!K25="-"),"-",SUM('A-18'!I165,'A-10'!K25))</f>
        <v>381</v>
      </c>
      <c r="K71" s="200" t="str">
        <f>'A-18'!K165</f>
        <v>-</v>
      </c>
      <c r="L71" s="200" t="str">
        <f>IF(AND('A-18'!L165="-",'A-10'!M25="-"),"-",SUM('A-18'!L165,'A-10'!M25))</f>
        <v>-</v>
      </c>
      <c r="M71" s="200" t="str">
        <f>IF(AND('A-18'!M165="-",'A-10'!N25="-"),"-",SUM('A-18'!M165,'A-10'!N25))</f>
        <v>-</v>
      </c>
      <c r="N71" s="200">
        <f>IF(AND('A-18'!N165="-",'A-10'!O25="-"),"-",SUM('A-18'!N165,'A-10'!O25))</f>
        <v>5960</v>
      </c>
      <c r="O71" s="200">
        <f>IF(AND('A-18'!O165="-",'A-10'!P25="-"),"-",SUM('A-18'!O165,'A-10'!P25))</f>
        <v>22893</v>
      </c>
      <c r="P71" s="200">
        <f>IF(AND('A-18'!P165="-",'A-10'!Q25="-"),"-",SUM('A-18'!P165,'A-10'!Q25))</f>
        <v>7557</v>
      </c>
      <c r="Q71" s="200" t="str">
        <f>IF(AND('A-18'!Q165="-",'A-10'!R25="-"),"-",SUM('A-18'!Q165,'A-10'!R25))</f>
        <v>-</v>
      </c>
      <c r="R71" s="200">
        <f>IF(AND('A-18'!R165="-",'A-10'!T25="-"),"-",SUM('A-18'!R165,'A-10'!S25))</f>
        <v>36410</v>
      </c>
      <c r="S71" s="22"/>
      <c r="T71" s="22"/>
    </row>
    <row r="72" spans="1:20" ht="11.25" customHeight="1" x14ac:dyDescent="0.25">
      <c r="A72" s="371">
        <v>1996</v>
      </c>
      <c r="B72" s="200" t="str">
        <f>IF(AND('A-18'!B166="-",'A-10'!C26="-"),"-",SUM('A-18'!B166,'A-10'!C26))</f>
        <v>-</v>
      </c>
      <c r="C72" s="200" t="str">
        <f>IF(AND('A-18'!C166="-",'A-10'!D26="-"),"-",SUM('A-18'!C166,'A-10'!D26))</f>
        <v>-</v>
      </c>
      <c r="D72" s="200" t="str">
        <f>IF(AND('A-18'!D166="-",'A-10'!E26="-"),"-",SUM('A-18'!D166,'A-10'!E26))</f>
        <v>-</v>
      </c>
      <c r="E72" s="200">
        <f>IF(AND('A-18'!E166="-",'A-10'!F26="-"),"-",SUM('A-18'!E166,'A-10'!F26))</f>
        <v>27</v>
      </c>
      <c r="F72" s="200">
        <f>IF(AND('A-18'!F166="-",'A-10'!G26="-"),"-",SUM('A-18'!F166,'A-10'!G26))</f>
        <v>53</v>
      </c>
      <c r="G72" s="200">
        <f>IF(AND('A-18'!G166="-",'A-10'!H26="-"),"-",SUM('A-18'!G166,'A-10'!H26))</f>
        <v>40</v>
      </c>
      <c r="H72" s="200" t="str">
        <f>IF(AND('A-18'!H166="-",'A-10'!I26="-"),"-",SUM('A-18'!H166,'A-10'!I26))</f>
        <v>-</v>
      </c>
      <c r="I72" s="200">
        <f>IF(AND('A-18'!I166="-",'A-10'!K26="-"),"-",SUM('A-18'!I166,'A-10'!K26))</f>
        <v>120</v>
      </c>
      <c r="K72" s="200" t="str">
        <f>'A-18'!K166</f>
        <v>-</v>
      </c>
      <c r="L72" s="200" t="str">
        <f>IF(AND('A-18'!L166="-",'A-10'!M26="-"),"-",SUM('A-18'!L166,'A-10'!M26))</f>
        <v>-</v>
      </c>
      <c r="M72" s="200" t="str">
        <f>IF(AND('A-18'!M166="-",'A-10'!N26="-"),"-",SUM('A-18'!M166,'A-10'!N26))</f>
        <v>-</v>
      </c>
      <c r="N72" s="200">
        <f>IF(AND('A-18'!N166="-",'A-10'!O26="-"),"-",SUM('A-18'!N166,'A-10'!O26))</f>
        <v>6094</v>
      </c>
      <c r="O72" s="200">
        <f>IF(AND('A-18'!O166="-",'A-10'!P26="-"),"-",SUM('A-18'!O166,'A-10'!P26))</f>
        <v>14945</v>
      </c>
      <c r="P72" s="200">
        <f>IF(AND('A-18'!P166="-",'A-10'!Q26="-"),"-",SUM('A-18'!P166,'A-10'!Q26))</f>
        <v>3784</v>
      </c>
      <c r="Q72" s="200" t="str">
        <f>IF(AND('A-18'!Q166="-",'A-10'!R26="-"),"-",SUM('A-18'!Q166,'A-10'!R26))</f>
        <v>-</v>
      </c>
      <c r="R72" s="200">
        <f>IF(AND('A-18'!R166="-",'A-10'!T26="-"),"-",SUM('A-18'!R166,'A-10'!S26))</f>
        <v>24823</v>
      </c>
      <c r="S72" s="22"/>
      <c r="T72" s="22"/>
    </row>
    <row r="73" spans="1:20" ht="11.25" customHeight="1" x14ac:dyDescent="0.25">
      <c r="A73" s="371">
        <v>1997</v>
      </c>
      <c r="B73" s="200" t="str">
        <f>IF(AND('A-18'!B167="-",'A-10'!C27="-"),"-",SUM('A-18'!B167,'A-10'!C27))</f>
        <v>-</v>
      </c>
      <c r="C73" s="200" t="str">
        <f>IF(AND('A-18'!C167="-",'A-10'!D27="-"),"-",SUM('A-18'!C167,'A-10'!D27))</f>
        <v>-</v>
      </c>
      <c r="D73" s="200" t="str">
        <f>IF(AND('A-18'!D167="-",'A-10'!E27="-"),"-",SUM('A-18'!D167,'A-10'!E27))</f>
        <v>-</v>
      </c>
      <c r="E73" s="200">
        <f>IF(AND('A-18'!E167="-",'A-10'!F27="-"),"-",SUM('A-18'!E167,'A-10'!F27))</f>
        <v>288</v>
      </c>
      <c r="F73" s="200">
        <f>IF(AND('A-18'!F167="-",'A-10'!G27="-"),"-",SUM('A-18'!F167,'A-10'!G27))</f>
        <v>240</v>
      </c>
      <c r="G73" s="200" t="str">
        <f>IF(AND('A-18'!G167="-",'A-10'!H27="-"),"-",SUM('A-18'!G167,'A-10'!H27))</f>
        <v>-</v>
      </c>
      <c r="H73" s="200" t="str">
        <f>IF(AND('A-18'!H167="-",'A-10'!I27="-"),"-",SUM('A-18'!H167,'A-10'!I27))</f>
        <v>-</v>
      </c>
      <c r="I73" s="200">
        <f>IF(AND('A-18'!I167="-",'A-10'!K27="-"),"-",SUM('A-18'!I167,'A-10'!K27))</f>
        <v>528</v>
      </c>
      <c r="K73" s="200" t="str">
        <f>'A-18'!K167</f>
        <v>-</v>
      </c>
      <c r="L73" s="200" t="str">
        <f>IF(AND('A-18'!L167="-",'A-10'!M27="-"),"-",SUM('A-18'!L167,'A-10'!M27))</f>
        <v>-</v>
      </c>
      <c r="M73" s="200" t="str">
        <f>IF(AND('A-18'!M167="-",'A-10'!N27="-"),"-",SUM('A-18'!M167,'A-10'!N27))</f>
        <v>-</v>
      </c>
      <c r="N73" s="200">
        <f>IF(AND('A-18'!N167="-",'A-10'!O27="-"),"-",SUM('A-18'!N167,'A-10'!O27))</f>
        <v>11792</v>
      </c>
      <c r="O73" s="200">
        <f>IF(AND('A-18'!O167="-",'A-10'!P27="-"),"-",SUM('A-18'!O167,'A-10'!P27))</f>
        <v>5071</v>
      </c>
      <c r="P73" s="200" t="str">
        <f>IF(AND('A-18'!P167="-",'A-10'!Q27="-"),"-",SUM('A-18'!P167,'A-10'!Q27))</f>
        <v>-</v>
      </c>
      <c r="Q73" s="200" t="str">
        <f>IF(AND('A-18'!Q167="-",'A-10'!R27="-"),"-",SUM('A-18'!Q167,'A-10'!R27))</f>
        <v>-</v>
      </c>
      <c r="R73" s="200">
        <f>IF(AND('A-18'!R167="-",'A-10'!T27="-"),"-",SUM('A-18'!R167,'A-10'!S27))</f>
        <v>16863</v>
      </c>
      <c r="S73" s="22"/>
      <c r="T73" s="22"/>
    </row>
    <row r="74" spans="1:20" ht="11.25" customHeight="1" x14ac:dyDescent="0.25">
      <c r="A74" s="371">
        <v>1998</v>
      </c>
      <c r="B74" s="200" t="str">
        <f>IF(AND('A-18'!B168="-",'A-10'!C28="-"),"-",SUM('A-18'!B168,'A-10'!C28))</f>
        <v>-</v>
      </c>
      <c r="C74" s="200" t="str">
        <f>IF(AND('A-18'!C168="-",'A-10'!D28="-"),"-",SUM('A-18'!C168,'A-10'!D28))</f>
        <v>-</v>
      </c>
      <c r="D74" s="200" t="str">
        <f>IF(AND('A-18'!D168="-",'A-10'!E28="-"),"-",SUM('A-18'!D168,'A-10'!E28))</f>
        <v>-</v>
      </c>
      <c r="E74" s="200" t="str">
        <f>IF(AND('A-18'!E168="-",'A-10'!F28="-"),"-",SUM('A-18'!E168,'A-10'!F28))</f>
        <v>-</v>
      </c>
      <c r="F74" s="200">
        <f>IF(AND('A-18'!F168="-",'A-10'!G28="-"),"-",SUM('A-18'!F168,'A-10'!G28))</f>
        <v>366</v>
      </c>
      <c r="G74" s="200">
        <f>IF(AND('A-18'!G168="-",'A-10'!H28="-"),"-",SUM('A-18'!G168,'A-10'!H28))</f>
        <v>53</v>
      </c>
      <c r="H74" s="200" t="str">
        <f>IF(AND('A-18'!H168="-",'A-10'!I28="-"),"-",SUM('A-18'!H168,'A-10'!I28))</f>
        <v>-</v>
      </c>
      <c r="I74" s="200">
        <f>IF(AND('A-18'!I168="-",'A-10'!K28="-"),"-",SUM('A-18'!I168,'A-10'!K28))</f>
        <v>419</v>
      </c>
      <c r="K74" s="200" t="str">
        <f>'A-18'!K168</f>
        <v>-</v>
      </c>
      <c r="L74" s="200" t="str">
        <f>IF(AND('A-18'!L168="-",'A-10'!M28="-"),"-",SUM('A-18'!L168,'A-10'!M28))</f>
        <v>-</v>
      </c>
      <c r="M74" s="200" t="str">
        <f>IF(AND('A-18'!M168="-",'A-10'!N28="-"),"-",SUM('A-18'!M168,'A-10'!N28))</f>
        <v>-</v>
      </c>
      <c r="N74" s="200" t="str">
        <f>IF(AND('A-18'!N168="-",'A-10'!O28="-"),"-",SUM('A-18'!N168,'A-10'!O28))</f>
        <v>-</v>
      </c>
      <c r="O74" s="200">
        <f>IF(AND('A-18'!O168="-",'A-10'!P28="-"),"-",SUM('A-18'!O168,'A-10'!P28))</f>
        <v>6046</v>
      </c>
      <c r="P74" s="200">
        <f>IF(AND('A-18'!P168="-",'A-10'!Q28="-"),"-",SUM('A-18'!P168,'A-10'!Q28))</f>
        <v>498</v>
      </c>
      <c r="Q74" s="200" t="str">
        <f>IF(AND('A-18'!Q168="-",'A-10'!R28="-"),"-",SUM('A-18'!Q168,'A-10'!R28))</f>
        <v>-</v>
      </c>
      <c r="R74" s="200">
        <f>IF(AND('A-18'!R168="-",'A-10'!T28="-"),"-",SUM('A-18'!R168,'A-10'!S28))</f>
        <v>6544</v>
      </c>
      <c r="S74" s="22"/>
      <c r="T74" s="22"/>
    </row>
    <row r="75" spans="1:20" ht="11.25" customHeight="1" x14ac:dyDescent="0.25">
      <c r="A75" s="371">
        <v>1999</v>
      </c>
      <c r="B75" s="200" t="str">
        <f>IF(AND('A-18'!B169="-",'A-10'!C29="-"),"-",SUM('A-18'!B169,'A-10'!C29))</f>
        <v>-</v>
      </c>
      <c r="C75" s="200" t="str">
        <f>IF(AND('A-18'!C169="-",'A-10'!D29="-"),"-",SUM('A-18'!C169,'A-10'!D29))</f>
        <v>-</v>
      </c>
      <c r="D75" s="200" t="str">
        <f>IF(AND('A-18'!D169="-",'A-10'!E29="-"),"-",SUM('A-18'!D169,'A-10'!E29))</f>
        <v>-</v>
      </c>
      <c r="E75" s="200">
        <f>IF(AND('A-18'!E169="-",'A-10'!F29="-"),"-",SUM('A-18'!E169,'A-10'!F29))</f>
        <v>714</v>
      </c>
      <c r="F75" s="200">
        <f>IF(AND('A-18'!F169="-",'A-10'!G29="-"),"-",SUM('A-18'!F169,'A-10'!G29))</f>
        <v>2129</v>
      </c>
      <c r="G75" s="200">
        <f>IF(AND('A-18'!G169="-",'A-10'!H29="-"),"-",SUM('A-18'!G169,'A-10'!H29))</f>
        <v>409</v>
      </c>
      <c r="H75" s="200" t="str">
        <f>IF(AND('A-18'!H169="-",'A-10'!I29="-"),"-",SUM('A-18'!H169,'A-10'!I29))</f>
        <v>-</v>
      </c>
      <c r="I75" s="200">
        <f>IF(AND('A-18'!I169="-",'A-10'!K29="-"),"-",SUM('A-18'!I169,'A-10'!K29))</f>
        <v>3252</v>
      </c>
      <c r="K75" s="200" t="str">
        <f>'A-18'!K169</f>
        <v>-</v>
      </c>
      <c r="L75" s="200" t="str">
        <f>IF(AND('A-18'!L169="-",'A-10'!M29="-"),"-",SUM('A-18'!L169,'A-10'!M29))</f>
        <v>-</v>
      </c>
      <c r="M75" s="200" t="str">
        <f>IF(AND('A-18'!M169="-",'A-10'!N29="-"),"-",SUM('A-18'!M169,'A-10'!N29))</f>
        <v>-</v>
      </c>
      <c r="N75" s="200">
        <f>IF(AND('A-18'!N169="-",'A-10'!O29="-"),"-",SUM('A-18'!N169,'A-10'!O29))</f>
        <v>7636</v>
      </c>
      <c r="O75" s="200">
        <f>IF(AND('A-18'!O169="-",'A-10'!P29="-"),"-",SUM('A-18'!O169,'A-10'!P29))</f>
        <v>12845</v>
      </c>
      <c r="P75" s="200">
        <f>IF(AND('A-18'!P169="-",'A-10'!Q29="-"),"-",SUM('A-18'!P169,'A-10'!Q29))</f>
        <v>6646</v>
      </c>
      <c r="Q75" s="200" t="str">
        <f>IF(AND('A-18'!Q169="-",'A-10'!R29="-"),"-",SUM('A-18'!Q169,'A-10'!R29))</f>
        <v>-</v>
      </c>
      <c r="R75" s="200">
        <f>IF(AND('A-18'!R169="-",'A-10'!T29="-"),"-",SUM('A-18'!R169,'A-10'!S29))</f>
        <v>27127</v>
      </c>
      <c r="S75" s="22"/>
      <c r="T75" s="22"/>
    </row>
    <row r="76" spans="1:20" ht="11.25" customHeight="1" x14ac:dyDescent="0.25">
      <c r="A76" s="371">
        <v>2000</v>
      </c>
      <c r="B76" s="200" t="str">
        <f>IF(AND('A-18'!B170="-",'A-10'!C30="-"),"-",SUM('A-18'!B170,'A-10'!C30))</f>
        <v>-</v>
      </c>
      <c r="C76" s="200" t="str">
        <f>IF(AND('A-18'!C170="-",'A-10'!D30="-"),"-",SUM('A-18'!C170,'A-10'!D30))</f>
        <v>-</v>
      </c>
      <c r="D76" s="200" t="str">
        <f>IF(AND('A-18'!D170="-",'A-10'!E30="-"),"-",SUM('A-18'!D170,'A-10'!E30))</f>
        <v>-</v>
      </c>
      <c r="E76" s="200">
        <f>IF(AND('A-18'!E170="-",'A-10'!F30="-"),"-",SUM('A-18'!E170,'A-10'!F30))</f>
        <v>1183</v>
      </c>
      <c r="F76" s="200">
        <f>IF(AND('A-18'!F170="-",'A-10'!G30="-"),"-",SUM('A-18'!F170,'A-10'!G30))</f>
        <v>1129</v>
      </c>
      <c r="G76" s="200" t="str">
        <f>IF(AND('A-18'!G170="-",'A-10'!H30="-"),"-",SUM('A-18'!G170,'A-10'!H30))</f>
        <v>-</v>
      </c>
      <c r="H76" s="200" t="str">
        <f>IF(AND('A-18'!H170="-",'A-10'!I30="-"),"-",SUM('A-18'!H170,'A-10'!I30))</f>
        <v>-</v>
      </c>
      <c r="I76" s="200">
        <f>IF(AND('A-18'!I170="-",'A-10'!K30="-"),"-",SUM('A-18'!I170,'A-10'!K30))</f>
        <v>2312</v>
      </c>
      <c r="K76" s="200" t="str">
        <f>'A-18'!K170</f>
        <v>-</v>
      </c>
      <c r="L76" s="200" t="str">
        <f>IF(AND('A-18'!L170="-",'A-10'!M30="-"),"-",SUM('A-18'!L170,'A-10'!M30))</f>
        <v>-</v>
      </c>
      <c r="M76" s="200" t="str">
        <f>IF(AND('A-18'!M170="-",'A-10'!N30="-"),"-",SUM('A-18'!M170,'A-10'!N30))</f>
        <v>-</v>
      </c>
      <c r="N76" s="200">
        <f>IF(AND('A-18'!N170="-",'A-10'!O30="-"),"-",SUM('A-18'!N170,'A-10'!O30))</f>
        <v>18206</v>
      </c>
      <c r="O76" s="200">
        <f>IF(AND('A-18'!O170="-",'A-10'!P30="-"),"-",SUM('A-18'!O170,'A-10'!P30))</f>
        <v>21369</v>
      </c>
      <c r="P76" s="200" t="str">
        <f>IF(AND('A-18'!P170="-",'A-10'!Q30="-"),"-",SUM('A-18'!P170,'A-10'!Q30))</f>
        <v>-</v>
      </c>
      <c r="Q76" s="200" t="str">
        <f>IF(AND('A-18'!Q170="-",'A-10'!R30="-"),"-",SUM('A-18'!Q170,'A-10'!R30))</f>
        <v>-</v>
      </c>
      <c r="R76" s="200">
        <f>IF(AND('A-18'!R170="-",'A-10'!T30="-"),"-",SUM('A-18'!R170,'A-10'!S30))</f>
        <v>39575</v>
      </c>
      <c r="S76" s="22"/>
      <c r="T76" s="22"/>
    </row>
    <row r="77" spans="1:20" ht="11.25" customHeight="1" x14ac:dyDescent="0.25">
      <c r="A77" s="371">
        <v>2001</v>
      </c>
      <c r="B77" s="200" t="str">
        <f>IF(AND('A-18'!B171="-",'A-10'!C31="-"),"-",SUM('A-18'!B171,'A-10'!C31))</f>
        <v>-</v>
      </c>
      <c r="C77" s="200" t="str">
        <f>IF(AND('A-18'!C171="-",'A-10'!D31="-"),"-",SUM('A-18'!C171,'A-10'!D31))</f>
        <v>-</v>
      </c>
      <c r="D77" s="200" t="str">
        <f>IF(AND('A-18'!D171="-",'A-10'!E31="-"),"-",SUM('A-18'!D171,'A-10'!E31))</f>
        <v>-</v>
      </c>
      <c r="E77" s="200">
        <f>IF(AND('A-18'!E171="-",'A-10'!F31="-"),"-",SUM('A-18'!E171,'A-10'!F31))</f>
        <v>3253</v>
      </c>
      <c r="F77" s="200">
        <f>IF(AND('A-18'!F171="-",'A-10'!G31="-"),"-",SUM('A-18'!F171,'A-10'!G31))</f>
        <v>3778</v>
      </c>
      <c r="G77" s="200">
        <f>IF(AND('A-18'!G171="-",'A-10'!H31="-"),"-",SUM('A-18'!G171,'A-10'!H31))</f>
        <v>709</v>
      </c>
      <c r="H77" s="200" t="str">
        <f>IF(AND('A-18'!H171="-",'A-10'!I31="-"),"-",SUM('A-18'!H171,'A-10'!I31))</f>
        <v>-</v>
      </c>
      <c r="I77" s="200">
        <f>IF(AND('A-18'!I171="-",'A-10'!K31="-"),"-",SUM('A-18'!I171,'A-10'!K31))</f>
        <v>7740</v>
      </c>
      <c r="K77" s="200" t="str">
        <f>'A-18'!K171</f>
        <v>-</v>
      </c>
      <c r="L77" s="200" t="str">
        <f>IF(AND('A-18'!L171="-",'A-10'!M31="-"),"-",SUM('A-18'!L171,'A-10'!M31))</f>
        <v>-</v>
      </c>
      <c r="M77" s="200" t="str">
        <f>IF(AND('A-18'!M171="-",'A-10'!N31="-"),"-",SUM('A-18'!M171,'A-10'!N31))</f>
        <v>-</v>
      </c>
      <c r="N77" s="200">
        <f>IF(AND('A-18'!N171="-",'A-10'!O31="-"),"-",SUM('A-18'!N171,'A-10'!O31))</f>
        <v>45862</v>
      </c>
      <c r="O77" s="200">
        <f>IF(AND('A-18'!O171="-",'A-10'!P31="-"),"-",SUM('A-18'!O171,'A-10'!P31))</f>
        <v>56349</v>
      </c>
      <c r="P77" s="200">
        <f>IF(AND('A-18'!P171="-",'A-10'!Q31="-"),"-",SUM('A-18'!P171,'A-10'!Q31))</f>
        <v>14457</v>
      </c>
      <c r="Q77" s="200" t="str">
        <f>IF(AND('A-18'!Q171="-",'A-10'!R31="-"),"-",SUM('A-18'!Q171,'A-10'!R31))</f>
        <v>-</v>
      </c>
      <c r="R77" s="200">
        <f>IF(AND('A-18'!R171="-",'A-10'!T31="-"),"-",SUM('A-18'!R171,'A-10'!S31))</f>
        <v>116668</v>
      </c>
      <c r="S77" s="22"/>
      <c r="T77" s="22"/>
    </row>
    <row r="78" spans="1:20" ht="11.25" customHeight="1" x14ac:dyDescent="0.25">
      <c r="A78" s="371">
        <v>2002</v>
      </c>
      <c r="B78" s="200" t="str">
        <f>IF(AND('A-18'!B172="-",'A-10'!C32="-"),"-",SUM('A-18'!B172,'A-10'!C32))</f>
        <v>-</v>
      </c>
      <c r="C78" s="200">
        <f>IF(AND('A-18'!C172="-",'A-10'!D32="-"),"-",SUM('A-18'!C172,'A-10'!D32))</f>
        <v>86</v>
      </c>
      <c r="D78" s="200">
        <f>IF(AND('A-18'!D172="-",'A-10'!E32="-"),"-",SUM('A-18'!D172,'A-10'!E32))</f>
        <v>2274</v>
      </c>
      <c r="E78" s="200">
        <f>IF(AND('A-18'!E172="-",'A-10'!F32="-"),"-",SUM('A-18'!E172,'A-10'!F32))</f>
        <v>4920</v>
      </c>
      <c r="F78" s="200">
        <f>IF(AND('A-18'!F172="-",'A-10'!G32="-"),"-",SUM('A-18'!F172,'A-10'!G32))</f>
        <v>3398</v>
      </c>
      <c r="G78" s="200">
        <f>IF(AND('A-18'!G172="-",'A-10'!H32="-"),"-",SUM('A-18'!G172,'A-10'!H32))</f>
        <v>105</v>
      </c>
      <c r="H78" s="200">
        <f>IF(AND('A-18'!H172="-",'A-10'!I32="-"),"-",SUM('A-18'!H172,'A-10'!I32))</f>
        <v>3</v>
      </c>
      <c r="I78" s="200">
        <f>IF(AND('A-18'!I172="-",'A-10'!K32="-"),"-",SUM('A-18'!I172,'A-10'!K32))</f>
        <v>10786</v>
      </c>
      <c r="K78" s="200" t="str">
        <f>'A-18'!K172</f>
        <v>-</v>
      </c>
      <c r="L78" s="200" t="str">
        <f>IF(AND('A-18'!L172="-",'A-10'!M32="-"),"-",SUM('A-18'!L172,'A-10'!M32))</f>
        <v>-</v>
      </c>
      <c r="M78" s="200">
        <f>IF(AND('A-18'!M172="-",'A-10'!N32="-"),"-",SUM('A-18'!M172,'A-10'!N32))</f>
        <v>30</v>
      </c>
      <c r="N78" s="200">
        <f>IF(AND('A-18'!N172="-",'A-10'!O32="-"),"-",SUM('A-18'!N172,'A-10'!O32))</f>
        <v>14568</v>
      </c>
      <c r="O78" s="200">
        <f>IF(AND('A-18'!O172="-",'A-10'!P32="-"),"-",SUM('A-18'!O172,'A-10'!P32))</f>
        <v>32527</v>
      </c>
      <c r="P78" s="200">
        <f>IF(AND('A-18'!P172="-",'A-10'!Q32="-"),"-",SUM('A-18'!P172,'A-10'!Q32))</f>
        <v>12283</v>
      </c>
      <c r="Q78" s="200" t="str">
        <f>IF(AND('A-18'!Q172="-",'A-10'!R32="-"),"-",SUM('A-18'!Q172,'A-10'!R32))</f>
        <v>-</v>
      </c>
      <c r="R78" s="200">
        <f>IF(AND('A-18'!R172="-",'A-10'!T32="-"),"-",SUM('A-18'!R172,'A-10'!S32))</f>
        <v>59408</v>
      </c>
      <c r="S78" s="22"/>
      <c r="T78" s="22"/>
    </row>
    <row r="79" spans="1:20" ht="11.25" customHeight="1" x14ac:dyDescent="0.25">
      <c r="A79" s="371">
        <v>2003</v>
      </c>
      <c r="B79" s="200" t="str">
        <f>IF(AND('A-18'!B173="-",'A-10'!C33="-"),"-",SUM('A-18'!B173,'A-10'!C33))</f>
        <v>-</v>
      </c>
      <c r="C79" s="200" t="str">
        <f>IF(AND('A-18'!C173="-",'A-10'!D33="-"),"-",SUM('A-18'!C173,'A-10'!D33))</f>
        <v>-</v>
      </c>
      <c r="D79" s="200">
        <f>IF(AND('A-18'!D173="-",'A-10'!E33="-"),"-",SUM('A-18'!D173,'A-10'!E33))</f>
        <v>52</v>
      </c>
      <c r="E79" s="200">
        <f>IF(AND('A-18'!E173="-",'A-10'!F33="-"),"-",SUM('A-18'!E173,'A-10'!F33))</f>
        <v>2044</v>
      </c>
      <c r="F79" s="200">
        <f>IF(AND('A-18'!F173="-",'A-10'!G33="-"),"-",SUM('A-18'!F173,'A-10'!G33))</f>
        <v>5220</v>
      </c>
      <c r="G79" s="200">
        <f>IF(AND('A-18'!G173="-",'A-10'!H33="-"),"-",SUM('A-18'!G173,'A-10'!H33))</f>
        <v>798</v>
      </c>
      <c r="H79" s="200" t="str">
        <f>IF(AND('A-18'!H173="-",'A-10'!I33="-"),"-",SUM('A-18'!H173,'A-10'!I33))</f>
        <v>-</v>
      </c>
      <c r="I79" s="200">
        <f>IF(AND('A-18'!I173="-",'A-10'!K33="-"),"-",SUM('A-18'!I173,'A-10'!K33))</f>
        <v>8114</v>
      </c>
      <c r="K79" s="200" t="str">
        <f>'A-18'!K173</f>
        <v>-</v>
      </c>
      <c r="L79" s="200" t="str">
        <f>IF(AND('A-18'!L173="-",'A-10'!M33="-"),"-",SUM('A-18'!L173,'A-10'!M33))</f>
        <v>-</v>
      </c>
      <c r="M79" s="200">
        <f>IF(AND('A-18'!M173="-",'A-10'!N33="-"),"-",SUM('A-18'!M173,'A-10'!N33))</f>
        <v>655</v>
      </c>
      <c r="N79" s="200">
        <f>IF(AND('A-18'!N173="-",'A-10'!O33="-"),"-",SUM('A-18'!N173,'A-10'!O33))</f>
        <v>32596</v>
      </c>
      <c r="O79" s="200">
        <f>IF(AND('A-18'!O173="-",'A-10'!P33="-"),"-",SUM('A-18'!O173,'A-10'!P33))</f>
        <v>63648</v>
      </c>
      <c r="P79" s="200">
        <f>IF(AND('A-18'!P173="-",'A-10'!Q33="-"),"-",SUM('A-18'!P173,'A-10'!Q33))</f>
        <v>9545</v>
      </c>
      <c r="Q79" s="200" t="str">
        <f>IF(AND('A-18'!Q173="-",'A-10'!R33="-"),"-",SUM('A-18'!Q173,'A-10'!R33))</f>
        <v>-</v>
      </c>
      <c r="R79" s="200">
        <f>IF(AND('A-18'!R173="-",'A-10'!T33="-"),"-",SUM('A-18'!R173,'A-10'!S33))</f>
        <v>106444</v>
      </c>
      <c r="S79" s="22"/>
      <c r="T79" s="22"/>
    </row>
    <row r="80" spans="1:20" ht="11.25" customHeight="1" x14ac:dyDescent="0.25">
      <c r="A80" s="371">
        <v>2004</v>
      </c>
      <c r="B80" s="200" t="str">
        <f>IF(AND('A-18'!B174="-",'A-10'!C34="-"),"-",SUM('A-18'!B174,'A-10'!C34))</f>
        <v>-</v>
      </c>
      <c r="C80" s="200" t="str">
        <f>IF(AND('A-18'!C174="-",'A-10'!D34="-"),"-",SUM('A-18'!C174,'A-10'!D34))</f>
        <v>-</v>
      </c>
      <c r="D80" s="200">
        <f>IF(AND('A-18'!D174="-",'A-10'!E34="-"),"-",SUM('A-18'!D174,'A-10'!E34))</f>
        <v>47</v>
      </c>
      <c r="E80" s="200">
        <f>IF(AND('A-18'!E174="-",'A-10'!F34="-"),"-",SUM('A-18'!E174,'A-10'!F34))</f>
        <v>1068</v>
      </c>
      <c r="F80" s="200">
        <f>IF(AND('A-18'!F174="-",'A-10'!G34="-"),"-",SUM('A-18'!F174,'A-10'!G34))</f>
        <v>5465</v>
      </c>
      <c r="G80" s="200">
        <f>IF(AND('A-18'!G174="-",'A-10'!H34="-"),"-",SUM('A-18'!G174,'A-10'!H34))</f>
        <v>1825</v>
      </c>
      <c r="H80" s="200" t="str">
        <f>IF(AND('A-18'!H174="-",'A-10'!I34="-"),"-",SUM('A-18'!H174,'A-10'!I34))</f>
        <v>-</v>
      </c>
      <c r="I80" s="200">
        <f>IF(AND('A-18'!I174="-",'A-10'!K34="-"),"-",SUM('A-18'!I174,'A-10'!K34))</f>
        <v>8405</v>
      </c>
      <c r="K80" s="200" t="str">
        <f>'A-18'!K174</f>
        <v>-</v>
      </c>
      <c r="L80" s="200" t="str">
        <f>IF(AND('A-18'!L174="-",'A-10'!M34="-"),"-",SUM('A-18'!L174,'A-10'!M34))</f>
        <v>-</v>
      </c>
      <c r="M80" s="200">
        <f>IF(AND('A-18'!M174="-",'A-10'!N34="-"),"-",SUM('A-18'!M174,'A-10'!N34))</f>
        <v>1303</v>
      </c>
      <c r="N80" s="200">
        <f>IF(AND('A-18'!N174="-",'A-10'!O34="-"),"-",SUM('A-18'!N174,'A-10'!O34))</f>
        <v>23786</v>
      </c>
      <c r="O80" s="200">
        <f>IF(AND('A-18'!O174="-",'A-10'!P34="-"),"-",SUM('A-18'!O174,'A-10'!P34))</f>
        <v>40641</v>
      </c>
      <c r="P80" s="200">
        <f>IF(AND('A-18'!P174="-",'A-10'!Q34="-"),"-",SUM('A-18'!P174,'A-10'!Q34))</f>
        <v>7805</v>
      </c>
      <c r="Q80" s="200" t="str">
        <f>IF(AND('A-18'!Q174="-",'A-10'!R34="-"),"-",SUM('A-18'!Q174,'A-10'!R34))</f>
        <v>-</v>
      </c>
      <c r="R80" s="200">
        <f>IF(AND('A-18'!R174="-",'A-10'!T34="-"),"-",SUM('A-18'!R174,'A-10'!S34))</f>
        <v>73535</v>
      </c>
      <c r="S80" s="22"/>
      <c r="T80" s="22"/>
    </row>
    <row r="81" spans="1:20" ht="11.25" customHeight="1" x14ac:dyDescent="0.25">
      <c r="A81" s="348">
        <v>2005</v>
      </c>
      <c r="B81" s="203" t="str">
        <f>IF(AND('A-18'!B175="-",'A-10'!C35="-"),"-",SUM('A-18'!B175,'A-10'!C35))</f>
        <v>-</v>
      </c>
      <c r="C81" s="203" t="str">
        <f>IF(AND('A-18'!C175="-",'A-10'!D35="-"),"-",SUM('A-18'!C175,'A-10'!D35))</f>
        <v>-</v>
      </c>
      <c r="D81" s="203" t="str">
        <f>IF(AND('A-18'!D175="-",'A-10'!E35="-"),"-",SUM('A-18'!D175,'A-10'!E35))</f>
        <v>-</v>
      </c>
      <c r="E81" s="203">
        <f>IF(AND('A-18'!E175="-",'A-10'!F35="-"),"-",SUM('A-18'!E175,'A-10'!F35))</f>
        <v>1655</v>
      </c>
      <c r="F81" s="203">
        <f>IF(AND('A-18'!F175="-",'A-10'!G35="-"),"-",SUM('A-18'!F175,'A-10'!G35))</f>
        <v>9639</v>
      </c>
      <c r="G81" s="203">
        <f>IF(AND('A-18'!G175="-",'A-10'!H35="-"),"-",SUM('A-18'!G175,'A-10'!H35))</f>
        <v>1902</v>
      </c>
      <c r="H81" s="203" t="str">
        <f>IF(AND('A-18'!H175="-",'A-10'!I35="-"),"-",SUM('A-18'!H175,'A-10'!I35))</f>
        <v>-</v>
      </c>
      <c r="I81" s="203">
        <f>IF(AND('A-18'!I175="-",'A-10'!K35="-"),"-",SUM('A-18'!I175,'A-10'!K35))</f>
        <v>13196</v>
      </c>
      <c r="J81" s="64"/>
      <c r="K81" s="203" t="str">
        <f>'A-18'!K175</f>
        <v>-</v>
      </c>
      <c r="L81" s="203" t="str">
        <f>IF(AND('A-18'!L175="-",'A-10'!M35="-"),"-",SUM('A-18'!L175,'A-10'!M35))</f>
        <v>-</v>
      </c>
      <c r="M81" s="203" t="str">
        <f>IF(AND('A-18'!M175="-",'A-10'!N35="-"),"-",SUM('A-18'!M175,'A-10'!N35))</f>
        <v>-</v>
      </c>
      <c r="N81" s="203">
        <f>IF(AND('A-18'!N175="-",'A-10'!O35="-"),"-",SUM('A-18'!N175,'A-10'!O35))</f>
        <v>9165</v>
      </c>
      <c r="O81" s="203">
        <f>IF(AND('A-18'!O175="-",'A-10'!P35="-"),"-",SUM('A-18'!O175,'A-10'!P35))</f>
        <v>23403</v>
      </c>
      <c r="P81" s="203">
        <f>IF(AND('A-18'!P175="-",'A-10'!Q35="-"),"-",SUM('A-18'!P175,'A-10'!Q35))</f>
        <v>6122</v>
      </c>
      <c r="Q81" s="203" t="str">
        <f>IF(AND('A-18'!Q175="-",'A-10'!R35="-"),"-",SUM('A-18'!Q175,'A-10'!R35))</f>
        <v>-</v>
      </c>
      <c r="R81" s="203">
        <f>IF(AND('A-18'!R175="-",'A-10'!T35="-"),"-",SUM('A-18'!R175,'A-10'!S35))</f>
        <v>38690</v>
      </c>
      <c r="S81" s="22"/>
      <c r="T81" s="22"/>
    </row>
    <row r="82" spans="1:20" ht="11.25" customHeight="1" x14ac:dyDescent="0.25">
      <c r="A82" s="371">
        <v>2006</v>
      </c>
      <c r="B82" s="200" t="str">
        <f>IF(AND('A-18'!B176="-",'A-10'!C36="-"),"-",SUM('A-18'!B176,'A-10'!C36))</f>
        <v>-</v>
      </c>
      <c r="C82" s="200" t="str">
        <f>IF(AND('A-18'!C176="-",'A-10'!D36="-"),"-",SUM('A-18'!C176,'A-10'!D36))</f>
        <v>-</v>
      </c>
      <c r="D82" s="200" t="str">
        <f>IF(AND('A-18'!D176="-",'A-10'!E36="-"),"-",SUM('A-18'!D176,'A-10'!E36))</f>
        <v>-</v>
      </c>
      <c r="E82" s="200">
        <f>IF(AND('A-18'!E176="-",'A-10'!F36="-"),"-",SUM('A-18'!E176,'A-10'!F36))</f>
        <v>558.88</v>
      </c>
      <c r="F82" s="200">
        <f>IF(AND('A-18'!F176="-",'A-10'!G36="-"),"-",SUM('A-18'!F176,'A-10'!G36))</f>
        <v>1517.61</v>
      </c>
      <c r="G82" s="200">
        <f>IF(AND('A-18'!G176="-",'A-10'!H36="-"),"-",SUM('A-18'!G176,'A-10'!H36))</f>
        <v>197.6</v>
      </c>
      <c r="H82" s="200" t="str">
        <f>IF(AND('A-18'!H176="-",'A-10'!I36="-"),"-",SUM('A-18'!H176,'A-10'!I36))</f>
        <v>-</v>
      </c>
      <c r="I82" s="200">
        <f>IF(AND('A-18'!I176="-",'A-10'!K36="-"),"-",SUM('A-18'!I176,'A-10'!K36))</f>
        <v>2274.0899999999997</v>
      </c>
      <c r="K82" s="200" t="str">
        <f>'A-18'!K176</f>
        <v>-</v>
      </c>
      <c r="L82" s="200" t="str">
        <f>IF(AND('A-18'!L176="-",'A-10'!M36="-"),"-",SUM('A-18'!L176,'A-10'!M36))</f>
        <v>-</v>
      </c>
      <c r="M82" s="200" t="str">
        <f>IF(AND('A-18'!M176="-",'A-10'!N36="-"),"-",SUM('A-18'!M176,'A-10'!N36))</f>
        <v>-</v>
      </c>
      <c r="N82" s="200">
        <f>IF(AND('A-18'!N176="-",'A-10'!O36="-"),"-",SUM('A-18'!N176,'A-10'!O36))</f>
        <v>8148.81</v>
      </c>
      <c r="O82" s="200">
        <f>IF(AND('A-18'!O176="-",'A-10'!P36="-"),"-",SUM('A-18'!O176,'A-10'!P36))</f>
        <v>15782.37</v>
      </c>
      <c r="P82" s="200">
        <f>IF(AND('A-18'!P176="-",'A-10'!Q36="-"),"-",SUM('A-18'!P176,'A-10'!Q36))</f>
        <v>881.1</v>
      </c>
      <c r="Q82" s="200" t="str">
        <f>IF(AND('A-18'!Q176="-",'A-10'!R36="-"),"-",SUM('A-18'!Q176,'A-10'!R36))</f>
        <v>-</v>
      </c>
      <c r="R82" s="200">
        <f>IF(AND('A-18'!R176="-",'A-10'!T36="-"),"-",SUM('A-18'!R176,'A-10'!S36))</f>
        <v>24812.28</v>
      </c>
      <c r="S82" s="22"/>
      <c r="T82" s="22"/>
    </row>
    <row r="83" spans="1:20" ht="11.25" customHeight="1" x14ac:dyDescent="0.25">
      <c r="A83" s="348">
        <v>2007</v>
      </c>
      <c r="B83" s="203" t="str">
        <f>IF(AND('A-18'!B177="-",'A-10'!C37="-"),"-",SUM('A-18'!B177,'A-10'!C37))</f>
        <v>-</v>
      </c>
      <c r="C83" s="203" t="str">
        <f>IF(AND('A-18'!C177="-",'A-10'!D37="-"),"-",SUM('A-18'!C177,'A-10'!D37))</f>
        <v>-</v>
      </c>
      <c r="D83" s="203" t="str">
        <f>IF(AND('A-18'!D177="-",'A-10'!E37="-"),"-",SUM('A-18'!D177,'A-10'!E37))</f>
        <v>-</v>
      </c>
      <c r="E83" s="203">
        <f>IF(AND('A-18'!E177="-",'A-10'!F37="-"),"-",SUM('A-18'!E177,'A-10'!F37))</f>
        <v>373.33</v>
      </c>
      <c r="F83" s="203">
        <f>IF(AND('A-18'!F177="-",'A-10'!G37="-"),"-",SUM('A-18'!F177,'A-10'!G37))</f>
        <v>1681.83</v>
      </c>
      <c r="G83" s="203">
        <f>IF(AND('A-18'!G177="-",'A-10'!H37="-"),"-",SUM('A-18'!G177,'A-10'!H37))</f>
        <v>169.99</v>
      </c>
      <c r="H83" s="203" t="str">
        <f>IF(AND('A-18'!H177="-",'A-10'!I37="-"),"-",SUM('A-18'!H177,'A-10'!I37))</f>
        <v>-</v>
      </c>
      <c r="I83" s="203">
        <f>IF(AND('A-18'!I177="-",'A-10'!K37="-"),"-",SUM('A-18'!I177,'A-10'!K37))</f>
        <v>2225.1499999999996</v>
      </c>
      <c r="J83" s="64"/>
      <c r="K83" s="203" t="str">
        <f>'A-18'!K177</f>
        <v>-</v>
      </c>
      <c r="L83" s="203" t="str">
        <f>IF(AND('A-18'!L177="-",'A-10'!M37="-"),"-",SUM('A-18'!L177,'A-10'!M37))</f>
        <v>-</v>
      </c>
      <c r="M83" s="203" t="str">
        <f>IF(AND('A-18'!M177="-",'A-10'!N37="-"),"-",SUM('A-18'!M177,'A-10'!N37))</f>
        <v>-</v>
      </c>
      <c r="N83" s="203">
        <f>IF(AND('A-18'!N177="-",'A-10'!O37="-"),"-",SUM('A-18'!N177,'A-10'!O37))</f>
        <v>15982.39</v>
      </c>
      <c r="O83" s="203">
        <f>IF(AND('A-18'!O177="-",'A-10'!P37="-"),"-",SUM('A-18'!O177,'A-10'!P37))</f>
        <v>46366.19</v>
      </c>
      <c r="P83" s="203">
        <f>IF(AND('A-18'!P177="-",'A-10'!Q37="-"),"-",SUM('A-18'!P177,'A-10'!Q37))</f>
        <v>3467.04</v>
      </c>
      <c r="Q83" s="203" t="str">
        <f>IF(AND('A-18'!Q177="-",'A-10'!R37="-"),"-",SUM('A-18'!Q177,'A-10'!R37))</f>
        <v>-</v>
      </c>
      <c r="R83" s="203">
        <f>IF(AND('A-18'!R177="-",'A-10'!T37="-"),"-",SUM('A-18'!R177,'A-10'!S37))</f>
        <v>65815.62</v>
      </c>
      <c r="S83" s="148"/>
      <c r="T83" s="148"/>
    </row>
    <row r="84" spans="1:20" ht="11.25" customHeight="1" x14ac:dyDescent="0.25">
      <c r="A84" s="348">
        <v>2008</v>
      </c>
      <c r="B84" s="203" t="str">
        <f>IF(AND('A-18'!B178="-",'A-10'!C38="-"),"-",SUM('A-18'!B178,'A-10'!C38))</f>
        <v>-</v>
      </c>
      <c r="C84" s="203">
        <f>IF(AND('A-18'!C178="-",'A-10'!D38="-"),"-",SUM('A-18'!C178,'A-10'!D38))</f>
        <v>17</v>
      </c>
      <c r="D84" s="203">
        <f>IF(AND('A-18'!D178="-",'A-10'!E38="-"),"-",SUM('A-18'!D178,'A-10'!E38))</f>
        <v>626.02</v>
      </c>
      <c r="E84" s="203">
        <f>IF(AND('A-18'!E178="-",'A-10'!F38="-"),"-",SUM('A-18'!E178,'A-10'!F38))</f>
        <v>1508.76</v>
      </c>
      <c r="F84" s="203">
        <f>IF(AND('A-18'!F178="-",'A-10'!G38="-"),"-",SUM('A-18'!F178,'A-10'!G38))</f>
        <v>1563.29</v>
      </c>
      <c r="G84" s="203" t="str">
        <f>IF(AND('A-18'!G178="-",'A-10'!H38="-"),"-",SUM('A-18'!G178,'A-10'!H38))</f>
        <v>-</v>
      </c>
      <c r="H84" s="203" t="str">
        <f>IF(AND('A-18'!H178="-",'A-10'!I38="-"),"-",SUM('A-18'!H178,'A-10'!I38))</f>
        <v>-</v>
      </c>
      <c r="I84" s="203">
        <f>IF(AND('A-18'!I178="-",'A-10'!K38="-"),"-",SUM('A-18'!I178,'A-10'!K38))</f>
        <v>3715.0699999999997</v>
      </c>
      <c r="J84" s="64"/>
      <c r="K84" s="203" t="str">
        <f>'A-18'!K178</f>
        <v>-</v>
      </c>
      <c r="L84" s="203" t="str">
        <f>IF(AND('A-18'!L178="-",'A-10'!M38="-"),"-",SUM('A-18'!L178,'A-10'!M38))</f>
        <v>-</v>
      </c>
      <c r="M84" s="203">
        <f>IF(AND('A-18'!M178="-",'A-10'!N38="-"),"-",SUM('A-18'!M178,'A-10'!N38))</f>
        <v>431.24</v>
      </c>
      <c r="N84" s="203">
        <f>IF(AND('A-18'!N178="-",'A-10'!O38="-"),"-",SUM('A-18'!N178,'A-10'!O38))</f>
        <v>4445.07</v>
      </c>
      <c r="O84" s="203">
        <f>IF(AND('A-18'!O178="-",'A-10'!P38="-"),"-",SUM('A-18'!O178,'A-10'!P38))</f>
        <v>5954.65</v>
      </c>
      <c r="P84" s="203" t="str">
        <f>IF(AND('A-18'!P178="-",'A-10'!Q38="-"),"-",SUM('A-18'!P178,'A-10'!Q38))</f>
        <v>-</v>
      </c>
      <c r="Q84" s="203" t="str">
        <f>IF(AND('A-18'!Q178="-",'A-10'!R38="-"),"-",SUM('A-18'!Q178,'A-10'!R38))</f>
        <v>-</v>
      </c>
      <c r="R84" s="203">
        <f>IF(AND('A-18'!R178="-",'A-10'!T38="-"),"-",SUM('A-18'!R178,'A-10'!S38))</f>
        <v>10830.96</v>
      </c>
      <c r="S84" s="148"/>
      <c r="T84" s="148"/>
    </row>
    <row r="85" spans="1:20" ht="11.25" customHeight="1" x14ac:dyDescent="0.25">
      <c r="A85" s="348">
        <v>2009</v>
      </c>
      <c r="B85" s="203" t="str">
        <f>IF(AND('A-18'!B179="-",'A-10'!C39="-"),"-",SUM('A-18'!B179,'A-10'!C39))</f>
        <v>-</v>
      </c>
      <c r="C85" s="203" t="str">
        <f>IF(AND('A-18'!C179="-",'A-10'!D39="-"),"-",SUM('A-18'!C179,'A-10'!D39))</f>
        <v>-</v>
      </c>
      <c r="D85" s="203">
        <f>IF(AND('A-18'!D179="-",'A-10'!E39="-"),"-",SUM('A-18'!D179,'A-10'!E39))</f>
        <v>13.78</v>
      </c>
      <c r="E85" s="203">
        <f>IF(AND('A-18'!E179="-",'A-10'!F39="-"),"-",SUM('A-18'!E179,'A-10'!F39))</f>
        <v>1347.26</v>
      </c>
      <c r="F85" s="203">
        <f>IF(AND('A-18'!F179="-",'A-10'!G39="-"),"-",SUM('A-18'!F179,'A-10'!G39))</f>
        <v>3781.55</v>
      </c>
      <c r="G85" s="203">
        <f>IF(AND('A-18'!G179="-",'A-10'!H39="-"),"-",SUM('A-18'!G179,'A-10'!H39))</f>
        <v>39.370000000000005</v>
      </c>
      <c r="H85" s="203" t="str">
        <f>IF(AND('A-18'!H179="-",'A-10'!I39="-"),"-",SUM('A-18'!H179,'A-10'!I39))</f>
        <v>-</v>
      </c>
      <c r="I85" s="203">
        <f>IF(AND('A-18'!I179="-",'A-10'!K39="-"),"-",SUM('A-18'!I179,'A-10'!K39))</f>
        <v>5181.96</v>
      </c>
      <c r="J85" s="64"/>
      <c r="K85" s="203" t="str">
        <f>'A-18'!K179</f>
        <v>-</v>
      </c>
      <c r="L85" s="203" t="str">
        <f>IF(AND('A-18'!L179="-",'A-10'!M39="-"),"-",SUM('A-18'!L179,'A-10'!M39))</f>
        <v>-</v>
      </c>
      <c r="M85" s="203">
        <f>IF(AND('A-18'!M179="-",'A-10'!N39="-"),"-",SUM('A-18'!M179,'A-10'!N39))</f>
        <v>472.42</v>
      </c>
      <c r="N85" s="203">
        <f>IF(AND('A-18'!N179="-",'A-10'!O39="-"),"-",SUM('A-18'!N179,'A-10'!O39))</f>
        <v>26839.31</v>
      </c>
      <c r="O85" s="203">
        <f>IF(AND('A-18'!O179="-",'A-10'!P39="-"),"-",SUM('A-18'!O179,'A-10'!P39))</f>
        <v>54536.55</v>
      </c>
      <c r="P85" s="203">
        <f>IF(AND('A-18'!P179="-",'A-10'!Q39="-"),"-",SUM('A-18'!P179,'A-10'!Q39))</f>
        <v>1962.82</v>
      </c>
      <c r="Q85" s="203" t="str">
        <f>IF(AND('A-18'!Q179="-",'A-10'!R39="-"),"-",SUM('A-18'!Q179,'A-10'!R39))</f>
        <v>-</v>
      </c>
      <c r="R85" s="203">
        <f>IF(AND('A-18'!R179="-",'A-10'!T39="-"),"-",SUM('A-18'!R179,'A-10'!S39))</f>
        <v>83811.100000000006</v>
      </c>
      <c r="S85" s="148"/>
      <c r="T85" s="148"/>
    </row>
    <row r="86" spans="1:20" ht="11.25" customHeight="1" x14ac:dyDescent="0.25">
      <c r="A86" s="348">
        <v>2010</v>
      </c>
      <c r="B86" s="203" t="str">
        <f>IF(AND('A-18'!B180="-",'A-10'!C40="-"),"-",SUM('A-18'!B180,'A-10'!C40))</f>
        <v>-</v>
      </c>
      <c r="C86" s="203" t="str">
        <f>IF(AND('A-18'!C180="-",'A-10'!D40="-"),"-",SUM('A-18'!C180,'A-10'!D40))</f>
        <v>-</v>
      </c>
      <c r="D86" s="203">
        <f>IF(AND('A-18'!D180="-",'A-10'!E40="-"),"-",SUM('A-18'!D180,'A-10'!E40))</f>
        <v>143.38</v>
      </c>
      <c r="E86" s="203">
        <f>IF(AND('A-18'!E180="-",'A-10'!F40="-"),"-",SUM('A-18'!E180,'A-10'!F40))</f>
        <v>1873.13</v>
      </c>
      <c r="F86" s="203">
        <f>IF(AND('A-18'!F180="-",'A-10'!G40="-"),"-",SUM('A-18'!F180,'A-10'!G40))</f>
        <v>4908.91</v>
      </c>
      <c r="G86" s="203">
        <f>IF(AND('A-18'!G180="-",'A-10'!H40="-"),"-",SUM('A-18'!G180,'A-10'!H40))</f>
        <v>295.40999999999997</v>
      </c>
      <c r="H86" s="203" t="str">
        <f>IF(AND('A-18'!H180="-",'A-10'!I40="-"),"-",SUM('A-18'!H180,'A-10'!I40))</f>
        <v>-</v>
      </c>
      <c r="I86" s="203">
        <f>IF(AND('A-18'!I180="-",'A-10'!K40="-"),"-",SUM('A-18'!I180,'A-10'!K40))</f>
        <v>7220.83</v>
      </c>
      <c r="J86" s="64"/>
      <c r="K86" s="203" t="str">
        <f>'A-18'!K180</f>
        <v>-</v>
      </c>
      <c r="L86" s="203" t="str">
        <f>IF(AND('A-18'!L180="-",'A-10'!M40="-"),"-",SUM('A-18'!L180,'A-10'!M40))</f>
        <v>-</v>
      </c>
      <c r="M86" s="203">
        <f>IF(AND('A-18'!M180="-",'A-10'!N40="-"),"-",SUM('A-18'!M180,'A-10'!N40))</f>
        <v>13.06</v>
      </c>
      <c r="N86" s="203">
        <f>IF(AND('A-18'!N180="-",'A-10'!O40="-"),"-",SUM('A-18'!N180,'A-10'!O40))</f>
        <v>7909</v>
      </c>
      <c r="O86" s="203">
        <f>IF(AND('A-18'!O180="-",'A-10'!P40="-"),"-",SUM('A-18'!O180,'A-10'!P40))</f>
        <v>16128.5</v>
      </c>
      <c r="P86" s="203">
        <f>IF(AND('A-18'!P180="-",'A-10'!Q40="-"),"-",SUM('A-18'!P180,'A-10'!Q40))</f>
        <v>862.79</v>
      </c>
      <c r="Q86" s="203" t="str">
        <f>IF(AND('A-18'!Q180="-",'A-10'!R40="-"),"-",SUM('A-18'!Q180,'A-10'!R40))</f>
        <v>-</v>
      </c>
      <c r="R86" s="203">
        <f>IF(AND('A-18'!R180="-",'A-10'!T40="-"),"-",SUM('A-18'!R180,'A-10'!S40))</f>
        <v>24913.350000000002</v>
      </c>
      <c r="S86" s="148"/>
      <c r="T86" s="148"/>
    </row>
    <row r="87" spans="1:20" ht="11.25" customHeight="1" x14ac:dyDescent="0.25">
      <c r="A87" s="348">
        <v>2011</v>
      </c>
      <c r="B87" s="203" t="str">
        <f>IF(AND('A-18'!B181="-",'A-10'!C41="-"),"-",SUM('A-18'!B181,'A-10'!C41))</f>
        <v>-</v>
      </c>
      <c r="C87" s="203" t="str">
        <f>IF(AND('A-18'!C181="-",'A-10'!D41="-"),"-",SUM('A-18'!C181,'A-10'!D41))</f>
        <v>-</v>
      </c>
      <c r="D87" s="203">
        <f>IF(AND('A-18'!D181="-",'A-10'!E41="-"),"-",SUM('A-18'!D181,'A-10'!E41))</f>
        <v>480.79999999999995</v>
      </c>
      <c r="E87" s="203">
        <f>IF(AND('A-18'!E181="-",'A-10'!F41="-"),"-",SUM('A-18'!E181,'A-10'!F41))</f>
        <v>955.27</v>
      </c>
      <c r="F87" s="203">
        <f>IF(AND('A-18'!F181="-",'A-10'!G41="-"),"-",SUM('A-18'!F181,'A-10'!G41))</f>
        <v>5370.77</v>
      </c>
      <c r="G87" s="203">
        <f>IF(AND('A-18'!G181="-",'A-10'!H41="-"),"-",SUM('A-18'!G181,'A-10'!H41))</f>
        <v>408.4</v>
      </c>
      <c r="H87" s="203" t="str">
        <f>IF(AND('A-18'!H181="-",'A-10'!I41="-"),"-",SUM('A-18'!H181,'A-10'!I41))</f>
        <v>-</v>
      </c>
      <c r="I87" s="203">
        <f>IF(AND('A-18'!I181="-",'A-10'!K41="-"),"-",SUM('A-18'!I181,'A-10'!K41))</f>
        <v>7215.24</v>
      </c>
      <c r="J87" s="64"/>
      <c r="K87" s="203" t="str">
        <f>'A-18'!K181</f>
        <v>-</v>
      </c>
      <c r="L87" s="203" t="str">
        <f>IF(AND('A-18'!L181="-",'A-10'!M41="-"),"-",SUM('A-18'!L181,'A-10'!M41))</f>
        <v>-</v>
      </c>
      <c r="M87" s="203">
        <f>IF(AND('A-18'!M181="-",'A-10'!N41="-"),"-",SUM('A-18'!M181,'A-10'!N41))</f>
        <v>466.87</v>
      </c>
      <c r="N87" s="203">
        <f>IF(AND('A-18'!N181="-",'A-10'!O41="-"),"-",SUM('A-18'!N181,'A-10'!O41))</f>
        <v>6084.81</v>
      </c>
      <c r="O87" s="203">
        <f>IF(AND('A-18'!O181="-",'A-10'!P41="-"),"-",SUM('A-18'!O181,'A-10'!P41))</f>
        <v>16810.129999999997</v>
      </c>
      <c r="P87" s="203">
        <f>IF(AND('A-18'!P181="-",'A-10'!Q41="-"),"-",SUM('A-18'!P181,'A-10'!Q41))</f>
        <v>3318.64</v>
      </c>
      <c r="Q87" s="203" t="str">
        <f>IF(AND('A-18'!Q181="-",'A-10'!R41="-"),"-",SUM('A-18'!Q181,'A-10'!R41))</f>
        <v>-</v>
      </c>
      <c r="R87" s="203">
        <f>IF(AND('A-18'!R181="-",'A-10'!T41="-"),"-",SUM('A-18'!R181,'A-10'!S41))</f>
        <v>26680.449999999997</v>
      </c>
      <c r="S87" s="148"/>
      <c r="T87" s="148"/>
    </row>
    <row r="88" spans="1:20" ht="11.25" customHeight="1" x14ac:dyDescent="0.25">
      <c r="A88" s="348">
        <v>2012</v>
      </c>
      <c r="B88" s="203" t="str">
        <f>IF(AND('A-18'!B182="-",'A-10'!C42="-"),"-",SUM('A-18'!B182,'A-10'!C42))</f>
        <v>-</v>
      </c>
      <c r="C88" s="203" t="str">
        <f>IF(AND('A-18'!C182="-",'A-10'!D42="-"),"-",SUM('A-18'!C182,'A-10'!D42))</f>
        <v>-</v>
      </c>
      <c r="D88" s="203">
        <f>IF(AND('A-18'!D182="-",'A-10'!E42="-"),"-",SUM('A-18'!D182,'A-10'!E42))</f>
        <v>2370.88</v>
      </c>
      <c r="E88" s="203">
        <f>IF(AND('A-18'!E182="-",'A-10'!F42="-"),"-",SUM('A-18'!E182,'A-10'!F42))</f>
        <v>2849.82</v>
      </c>
      <c r="F88" s="203">
        <f>IF(AND('A-18'!F182="-",'A-10'!G42="-"),"-",SUM('A-18'!F182,'A-10'!G42))</f>
        <v>3122.02</v>
      </c>
      <c r="G88" s="203">
        <f>IF(AND('A-18'!G182="-",'A-10'!H42="-"),"-",SUM('A-18'!G182,'A-10'!H42))</f>
        <v>774.78</v>
      </c>
      <c r="H88" s="203" t="str">
        <f>IF(AND('A-18'!H182="-",'A-10'!I42="-"),"-",SUM('A-18'!H182,'A-10'!I42))</f>
        <v>-</v>
      </c>
      <c r="I88" s="203">
        <f>IF(AND('A-18'!I182="-",'A-10'!K42="-"),"-",SUM('A-18'!I182,'A-10'!K42))</f>
        <v>9117.5</v>
      </c>
      <c r="J88" s="64"/>
      <c r="K88" s="203" t="str">
        <f>'A-18'!K182</f>
        <v>-</v>
      </c>
      <c r="L88" s="203" t="str">
        <f>IF(AND('A-18'!L182="-",'A-10'!M42="-"),"-",SUM('A-18'!L182,'A-10'!M42))</f>
        <v>-</v>
      </c>
      <c r="M88" s="203">
        <f>IF(AND('A-18'!M182="-",'A-10'!N42="-"),"-",SUM('A-18'!M182,'A-10'!N42))</f>
        <v>282.33000000000004</v>
      </c>
      <c r="N88" s="203">
        <f>IF(AND('A-18'!N182="-",'A-10'!O42="-"),"-",SUM('A-18'!N182,'A-10'!O42))</f>
        <v>3671.76</v>
      </c>
      <c r="O88" s="203">
        <f>IF(AND('A-18'!O182="-",'A-10'!P42="-"),"-",SUM('A-18'!O182,'A-10'!P42))</f>
        <v>5161.29</v>
      </c>
      <c r="P88" s="203">
        <f>IF(AND('A-18'!P182="-",'A-10'!Q42="-"),"-",SUM('A-18'!P182,'A-10'!Q42))</f>
        <v>2275.8200000000002</v>
      </c>
      <c r="Q88" s="203" t="str">
        <f>IF(AND('A-18'!Q182="-",'A-10'!R42="-"),"-",SUM('A-18'!Q182,'A-10'!R42))</f>
        <v>-</v>
      </c>
      <c r="R88" s="203">
        <f>IF(AND('A-18'!R182="-",'A-10'!T42="-"),"-",SUM('A-18'!R182,'A-10'!S42))</f>
        <v>11391.2</v>
      </c>
      <c r="S88" s="148"/>
      <c r="T88" s="148"/>
    </row>
    <row r="89" spans="1:20" ht="11.25" customHeight="1" x14ac:dyDescent="0.25">
      <c r="A89" s="348">
        <v>2013</v>
      </c>
      <c r="B89" s="203" t="str">
        <f>IF(AND('A-18'!B183="-",'A-10'!C43="-"),"-",SUM('A-18'!B183,'A-10'!C43))</f>
        <v>-</v>
      </c>
      <c r="C89" s="203" t="str">
        <f>IF(AND('A-18'!C183="-",'A-10'!D43="-"),"-",SUM('A-18'!C183,'A-10'!D43))</f>
        <v>-</v>
      </c>
      <c r="D89" s="203">
        <f>IF(AND('A-18'!D183="-",'A-10'!E43="-"),"-",SUM('A-18'!D183,'A-10'!E43))</f>
        <v>2030.81</v>
      </c>
      <c r="E89" s="203">
        <f>IF(AND('A-18'!E183="-",'A-10'!F43="-"),"-",SUM('A-18'!E183,'A-10'!F43))</f>
        <v>1679.35</v>
      </c>
      <c r="F89" s="203">
        <f>IF(AND('A-18'!F183="-",'A-10'!G43="-"),"-",SUM('A-18'!F183,'A-10'!G43))</f>
        <v>4075.89</v>
      </c>
      <c r="G89" s="203">
        <f>IF(AND('A-18'!G183="-",'A-10'!H43="-"),"-",SUM('A-18'!G183,'A-10'!H43))</f>
        <v>760.46</v>
      </c>
      <c r="H89" s="203" t="str">
        <f>IF(AND('A-18'!H183="-",'A-10'!I43="-"),"-",SUM('A-18'!H183,'A-10'!I43))</f>
        <v>-</v>
      </c>
      <c r="I89" s="203">
        <f>IF(AND('A-18'!I183="-",'A-10'!K43="-"),"-",SUM('A-18'!I183,'A-10'!K43))</f>
        <v>8546.5099999999984</v>
      </c>
      <c r="J89" s="64"/>
      <c r="K89" s="203" t="str">
        <f>'A-18'!K183</f>
        <v>-</v>
      </c>
      <c r="L89" s="203" t="str">
        <f>IF(AND('A-18'!L183="-",'A-10'!M43="-"),"-",SUM('A-18'!L183,'A-10'!M43))</f>
        <v>-</v>
      </c>
      <c r="M89" s="203">
        <f>IF(AND('A-18'!M183="-",'A-10'!N43="-"),"-",SUM('A-18'!M183,'A-10'!N43))</f>
        <v>3429.53</v>
      </c>
      <c r="N89" s="203">
        <f>IF(AND('A-18'!N183="-",'A-10'!O43="-"),"-",SUM('A-18'!N183,'A-10'!O43))</f>
        <v>4998.0300000000007</v>
      </c>
      <c r="O89" s="203">
        <f>IF(AND('A-18'!O183="-",'A-10'!P43="-"),"-",SUM('A-18'!O183,'A-10'!P43))</f>
        <v>10305.43</v>
      </c>
      <c r="P89" s="203">
        <f>IF(AND('A-18'!P183="-",'A-10'!Q43="-"),"-",SUM('A-18'!P183,'A-10'!Q43))</f>
        <v>1739.13</v>
      </c>
      <c r="Q89" s="203" t="str">
        <f>IF(AND('A-18'!Q183="-",'A-10'!R43="-"),"-",SUM('A-18'!Q183,'A-10'!R43))</f>
        <v>-</v>
      </c>
      <c r="R89" s="203">
        <f>IF(AND('A-18'!R183="-",'A-10'!T43="-"),"-",SUM('A-18'!R183,'A-10'!S43))</f>
        <v>20472.120000000003</v>
      </c>
      <c r="S89" s="148"/>
      <c r="T89" s="148"/>
    </row>
    <row r="90" spans="1:20" ht="11.25" customHeight="1" x14ac:dyDescent="0.25">
      <c r="A90" s="348">
        <v>2014</v>
      </c>
      <c r="B90" s="203" t="str">
        <f>IF(AND('A-18'!B184="-",'A-10'!C44="-"),"-",SUM('A-18'!B184,'A-10'!C44))</f>
        <v>-</v>
      </c>
      <c r="C90" s="203">
        <f>IF(AND('A-18'!C184="-",'A-10'!D44="-"),"-",SUM('A-18'!C184,'A-10'!D44))</f>
        <v>65.289999999999992</v>
      </c>
      <c r="D90" s="203">
        <f>IF(AND('A-18'!D184="-",'A-10'!E44="-"),"-",SUM('A-18'!D184,'A-10'!E44))</f>
        <v>1066.74</v>
      </c>
      <c r="E90" s="203">
        <f>IF(AND('A-18'!E184="-",'A-10'!F44="-"),"-",SUM('A-18'!E184,'A-10'!F44))</f>
        <v>3198.42</v>
      </c>
      <c r="F90" s="203">
        <f>IF(AND('A-18'!F184="-",'A-10'!G44="-"),"-",SUM('A-18'!F184,'A-10'!G44))</f>
        <v>6420.59</v>
      </c>
      <c r="G90" s="203">
        <f>IF(AND('A-18'!G184="-",'A-10'!H44="-"),"-",SUM('A-18'!G184,'A-10'!H44))</f>
        <v>596.04999999999995</v>
      </c>
      <c r="H90" s="203" t="str">
        <f>IF(AND('A-18'!H184="-",'A-10'!I44="-"),"-",SUM('A-18'!H184,'A-10'!I44))</f>
        <v>-</v>
      </c>
      <c r="I90" s="203">
        <f>IF(AND('A-18'!I184="-",'A-10'!K44="-"),"-",SUM('A-18'!I184,'A-10'!K44))</f>
        <v>11347.09</v>
      </c>
      <c r="J90" s="64"/>
      <c r="K90" s="203" t="str">
        <f>'A-18'!K184</f>
        <v>-</v>
      </c>
      <c r="L90" s="203" t="str">
        <f>IF(AND('A-18'!L184="-",'A-10'!M44="-"),"-",SUM('A-18'!L184,'A-10'!M44))</f>
        <v>-</v>
      </c>
      <c r="M90" s="203">
        <f>IF(AND('A-18'!M184="-",'A-10'!N44="-"),"-",SUM('A-18'!M184,'A-10'!N44))</f>
        <v>2614.4</v>
      </c>
      <c r="N90" s="203">
        <f>IF(AND('A-18'!N184="-",'A-10'!O44="-"),"-",SUM('A-18'!N184,'A-10'!O44))</f>
        <v>19862.5</v>
      </c>
      <c r="O90" s="203">
        <f>IF(AND('A-18'!O184="-",'A-10'!P44="-"),"-",SUM('A-18'!O184,'A-10'!P44))</f>
        <v>38532.28</v>
      </c>
      <c r="P90" s="203">
        <f>IF(AND('A-18'!P184="-",'A-10'!Q44="-"),"-",SUM('A-18'!P184,'A-10'!Q44))</f>
        <v>14062.560000000001</v>
      </c>
      <c r="Q90" s="203" t="str">
        <f>IF(AND('A-18'!Q184="-",'A-10'!R44="-"),"-",SUM('A-18'!Q184,'A-10'!R44))</f>
        <v>-</v>
      </c>
      <c r="R90" s="203">
        <f>IF(AND('A-18'!R184="-",'A-10'!T44="-"),"-",SUM('A-18'!R184,'A-10'!S44))</f>
        <v>75071.740000000005</v>
      </c>
      <c r="S90" s="148"/>
      <c r="T90" s="148"/>
    </row>
    <row r="91" spans="1:20" ht="11.25" customHeight="1" x14ac:dyDescent="0.25">
      <c r="A91" s="348">
        <v>2015</v>
      </c>
      <c r="B91" s="203" t="str">
        <f>IF(AND('A-18'!B185="-",'A-10'!C45="-"),"-",SUM('A-18'!B185,'A-10'!C45))</f>
        <v>-</v>
      </c>
      <c r="C91" s="203">
        <f>IF(AND('A-18'!C185="-",'A-10'!D45="-"),"-",SUM('A-18'!C185,'A-10'!D45))</f>
        <v>89.15</v>
      </c>
      <c r="D91" s="203">
        <f>IF(AND('A-18'!D185="-",'A-10'!E45="-"),"-",SUM('A-18'!D185,'A-10'!E45))</f>
        <v>1216.44</v>
      </c>
      <c r="E91" s="203">
        <f>IF(AND('A-18'!E185="-",'A-10'!F45="-"),"-",SUM('A-18'!E185,'A-10'!F45))</f>
        <v>1853.2</v>
      </c>
      <c r="F91" s="203">
        <f>IF(AND('A-18'!F185="-",'A-10'!G45="-"),"-",SUM('A-18'!F185,'A-10'!G45))</f>
        <v>5866.08</v>
      </c>
      <c r="G91" s="203">
        <f>IF(AND('A-18'!G185="-",'A-10'!H45="-"),"-",SUM('A-18'!G185,'A-10'!H45))</f>
        <v>3145.83</v>
      </c>
      <c r="H91" s="203" t="str">
        <f>IF(AND('A-18'!H185="-",'A-10'!I45="-"),"-",SUM('A-18'!H185,'A-10'!I45))</f>
        <v>-</v>
      </c>
      <c r="I91" s="203">
        <f>IF(AND('A-18'!I185="-",'A-10'!K45="-"),"-",SUM('A-18'!I185,'A-10'!K45))</f>
        <v>12170.7</v>
      </c>
      <c r="J91" s="64"/>
      <c r="K91" s="203" t="str">
        <f>'A-18'!K185</f>
        <v>-</v>
      </c>
      <c r="L91" s="203" t="str">
        <f>IF(AND('A-18'!L185="-",'A-10'!M45="-"),"-",SUM('A-18'!L185,'A-10'!M45))</f>
        <v>-</v>
      </c>
      <c r="M91" s="203">
        <f>IF(AND('A-18'!M185="-",'A-10'!N45="-"),"-",SUM('A-18'!M185,'A-10'!N45))</f>
        <v>3339.26</v>
      </c>
      <c r="N91" s="203">
        <f>IF(AND('A-18'!N185="-",'A-10'!O45="-"),"-",SUM('A-18'!N185,'A-10'!O45))</f>
        <v>16089.02</v>
      </c>
      <c r="O91" s="203">
        <f>IF(AND('A-18'!O185="-",'A-10'!P45="-"),"-",SUM('A-18'!O185,'A-10'!P45))</f>
        <v>18628.28</v>
      </c>
      <c r="P91" s="203">
        <f>IF(AND('A-18'!P185="-",'A-10'!Q45="-"),"-",SUM('A-18'!P185,'A-10'!Q45))</f>
        <v>6494.17</v>
      </c>
      <c r="Q91" s="203" t="str">
        <f>IF(AND('A-18'!Q185="-",'A-10'!R45="-"),"-",SUM('A-18'!Q185,'A-10'!R45))</f>
        <v>-</v>
      </c>
      <c r="R91" s="203">
        <f>IF(AND('A-18'!R185="-",'A-10'!T45="-"),"-",SUM('A-18'!R185,'A-10'!S45))</f>
        <v>44550.73</v>
      </c>
      <c r="S91" s="148"/>
      <c r="T91" s="148"/>
    </row>
    <row r="92" spans="1:20" ht="11.25" customHeight="1" x14ac:dyDescent="0.25">
      <c r="A92" s="348">
        <v>2016</v>
      </c>
      <c r="B92" s="203" t="str">
        <f>IF(AND('A-18'!B186="-",'A-10'!C46="-"),"-",SUM('A-18'!B186,'A-10'!C46))</f>
        <v>-</v>
      </c>
      <c r="C92" s="203" t="str">
        <f>IF(AND('A-18'!C186="-",'A-10'!D46="-"),"-",SUM('A-18'!C186,'A-10'!D46))</f>
        <v>-</v>
      </c>
      <c r="D92" s="203" t="str">
        <f>IF(AND('A-18'!D186="-",'A-10'!E46="-"),"-",SUM('A-18'!D186,'A-10'!E46))</f>
        <v>-</v>
      </c>
      <c r="E92" s="203">
        <f>IF(AND('A-18'!E186="-",'A-10'!F46="-"),"-",SUM('A-18'!E186,'A-10'!F46))</f>
        <v>2741.35</v>
      </c>
      <c r="F92" s="203">
        <f>IF(AND('A-18'!F186="-",'A-10'!G46="-"),"-",SUM('A-18'!F186,'A-10'!G46))</f>
        <v>3255.18</v>
      </c>
      <c r="G92" s="203" t="str">
        <f>IF(AND('A-18'!G186="-",'A-10'!H46="-"),"-",SUM('A-18'!G186,'A-10'!H46))</f>
        <v>-</v>
      </c>
      <c r="H92" s="203" t="str">
        <f>IF(AND('A-18'!H186="-",'A-10'!I46="-"),"-",SUM('A-18'!H186,'A-10'!I46))</f>
        <v>-</v>
      </c>
      <c r="I92" s="203">
        <f>IF(AND('A-18'!I186="-",'A-10'!K46="-"),"-",SUM('A-18'!I186,'A-10'!K46))</f>
        <v>5996.53</v>
      </c>
      <c r="J92" s="64"/>
      <c r="K92" s="203" t="str">
        <f>'A-18'!K186</f>
        <v>-</v>
      </c>
      <c r="L92" s="203" t="str">
        <f>IF(AND('A-18'!L186="-",'A-10'!M46="-"),"-",SUM('A-18'!L186,'A-10'!M46))</f>
        <v>-</v>
      </c>
      <c r="M92" s="203" t="str">
        <f>IF(AND('A-18'!M186="-",'A-10'!N46="-"),"-",SUM('A-18'!M186,'A-10'!N46))</f>
        <v>-</v>
      </c>
      <c r="N92" s="203">
        <f>IF(AND('A-18'!N186="-",'A-10'!O46="-"),"-",SUM('A-18'!N186,'A-10'!O46))</f>
        <v>5606.76</v>
      </c>
      <c r="O92" s="203">
        <f>IF(AND('A-18'!O186="-",'A-10'!P46="-"),"-",SUM('A-18'!O186,'A-10'!P46))</f>
        <v>13004.77</v>
      </c>
      <c r="P92" s="203" t="str">
        <f>IF(AND('A-18'!P186="-",'A-10'!Q46="-"),"-",SUM('A-18'!P186,'A-10'!Q46))</f>
        <v>-</v>
      </c>
      <c r="Q92" s="203" t="str">
        <f>IF(AND('A-18'!Q186="-",'A-10'!R46="-"),"-",SUM('A-18'!Q186,'A-10'!R46))</f>
        <v>-</v>
      </c>
      <c r="R92" s="203">
        <f>IF(AND('A-18'!R186="-",'A-10'!T46="-"),"-",SUM('A-18'!R186,'A-10'!S46))</f>
        <v>18611.53</v>
      </c>
      <c r="S92" s="148"/>
      <c r="T92" s="148"/>
    </row>
    <row r="93" spans="1:20" ht="11.25" customHeight="1" x14ac:dyDescent="0.25">
      <c r="A93" s="348">
        <v>2017</v>
      </c>
      <c r="B93" s="203" t="str">
        <f>IF(AND('A-18'!B187="-",'A-10'!C47="-"),"-",SUM('A-18'!B187,'A-10'!C47))</f>
        <v>-</v>
      </c>
      <c r="C93" s="203" t="str">
        <f>IF(AND('A-18'!C187="-",'A-10'!D47="-"),"-",SUM('A-18'!C187,'A-10'!D47))</f>
        <v>-</v>
      </c>
      <c r="D93" s="203">
        <f>IF(AND('A-18'!D187="-",'A-10'!E47="-"),"-",SUM('A-18'!D187,'A-10'!E47))</f>
        <v>648.87</v>
      </c>
      <c r="E93" s="203">
        <f>IF(AND('A-18'!E187="-",'A-10'!F47="-"),"-",SUM('A-18'!E187,'A-10'!F47))</f>
        <v>2758</v>
      </c>
      <c r="F93" s="203">
        <f>IF(AND('A-18'!F187="-",'A-10'!G47="-"),"-",SUM('A-18'!F187,'A-10'!G47))</f>
        <v>4164.4699999999993</v>
      </c>
      <c r="G93" s="203" t="str">
        <f>IF(AND('A-18'!G187="-",'A-10'!H47="-"),"-",SUM('A-18'!G187,'A-10'!H47))</f>
        <v>-</v>
      </c>
      <c r="H93" s="203" t="str">
        <f>IF(AND('A-18'!H187="-",'A-10'!I47="-"),"-",SUM('A-18'!H187,'A-10'!I47))</f>
        <v>-</v>
      </c>
      <c r="I93" s="203">
        <f>IF(AND('A-18'!I187="-",'A-10'!K47="-"),"-",SUM('A-18'!I187,'A-10'!K47))</f>
        <v>7571.34</v>
      </c>
      <c r="J93" s="64"/>
      <c r="K93" s="203" t="str">
        <f>'A-18'!K187</f>
        <v>-</v>
      </c>
      <c r="L93" s="203" t="str">
        <f>IF(AND('A-18'!L187="-",'A-10'!M47="-"),"-",SUM('A-18'!L187,'A-10'!M47))</f>
        <v>-</v>
      </c>
      <c r="M93" s="203">
        <f>IF(AND('A-18'!M187="-",'A-10'!N47="-"),"-",SUM('A-18'!M187,'A-10'!N47))</f>
        <v>42.64</v>
      </c>
      <c r="N93" s="203">
        <f>IF(AND('A-18'!N187="-",'A-10'!O47="-"),"-",SUM('A-18'!N187,'A-10'!O47))</f>
        <v>7972.99</v>
      </c>
      <c r="O93" s="203">
        <f>IF(AND('A-18'!O187="-",'A-10'!P47="-"),"-",SUM('A-18'!O187,'A-10'!P47))</f>
        <v>13608.99</v>
      </c>
      <c r="P93" s="203" t="str">
        <f>IF(AND('A-18'!P187="-",'A-10'!Q47="-"),"-",SUM('A-18'!P187,'A-10'!Q47))</f>
        <v>-</v>
      </c>
      <c r="Q93" s="203" t="str">
        <f>IF(AND('A-18'!Q187="-",'A-10'!R47="-"),"-",SUM('A-18'!Q187,'A-10'!R47))</f>
        <v>-</v>
      </c>
      <c r="R93" s="203">
        <f>IF(AND('A-18'!R187="-",'A-10'!T47="-"),"-",SUM('A-18'!R187,'A-10'!S47))</f>
        <v>21624.62</v>
      </c>
      <c r="S93" s="148"/>
      <c r="T93" s="148"/>
    </row>
    <row r="94" spans="1:20" s="358" customFormat="1" ht="11.25" customHeight="1" x14ac:dyDescent="0.25">
      <c r="A94" s="348">
        <v>2018</v>
      </c>
      <c r="B94" s="203" t="str">
        <f>IF(AND('A-18'!B188="-",'A-10'!C48="-"),"-",SUM('A-18'!B188,'A-10'!C48))</f>
        <v>-</v>
      </c>
      <c r="C94" s="203" t="str">
        <f>IF(AND('A-18'!C188="-",'A-10'!D48="-"),"-",SUM('A-18'!C188,'A-10'!D48))</f>
        <v>-</v>
      </c>
      <c r="D94" s="203">
        <f>IF(AND('A-18'!D188="-",'A-10'!E48="-"),"-",SUM('A-18'!D188,'A-10'!E48))</f>
        <v>575.13</v>
      </c>
      <c r="E94" s="203">
        <f>IF(AND('A-18'!E188="-",'A-10'!F48="-"),"-",SUM('A-18'!E188,'A-10'!F48))</f>
        <v>656.53</v>
      </c>
      <c r="F94" s="203">
        <f>IF(AND('A-18'!F188="-",'A-10'!G48="-"),"-",SUM('A-18'!F188,'A-10'!G48))</f>
        <v>1001</v>
      </c>
      <c r="G94" s="203">
        <f>IF(AND('A-18'!G188="-",'A-10'!H48="-"),"-",SUM('A-18'!G188,'A-10'!H48))</f>
        <v>25.18</v>
      </c>
      <c r="H94" s="203" t="str">
        <f>IF(AND('A-18'!H188="-",'A-10'!I48="-"),"-",SUM('A-18'!H188,'A-10'!I48))</f>
        <v>-</v>
      </c>
      <c r="I94" s="203">
        <f>IF(AND('A-18'!I188="-",'A-10'!K48="-"),"-",SUM('A-18'!I188,'A-10'!K48))</f>
        <v>2257.84</v>
      </c>
      <c r="K94" s="203" t="str">
        <f>'A-18'!K188</f>
        <v>-</v>
      </c>
      <c r="L94" s="203" t="str">
        <f>IF(AND('A-18'!L188="-",'A-10'!M48="-"),"-",SUM('A-18'!L188,'A-10'!M48))</f>
        <v>-</v>
      </c>
      <c r="M94" s="203">
        <f>IF(AND('A-18'!M188="-",'A-10'!N48="-"),"-",SUM('A-18'!M188,'A-10'!N48))</f>
        <v>294.3</v>
      </c>
      <c r="N94" s="203">
        <f>IF(AND('A-18'!N188="-",'A-10'!O48="-"),"-",SUM('A-18'!N188,'A-10'!O48))</f>
        <v>6071.59</v>
      </c>
      <c r="O94" s="203">
        <f>IF(AND('A-18'!O188="-",'A-10'!P48="-"),"-",SUM('A-18'!O188,'A-10'!P48))</f>
        <v>14102.14</v>
      </c>
      <c r="P94" s="203">
        <f>IF(AND('A-18'!P188="-",'A-10'!Q48="-"),"-",SUM('A-18'!P188,'A-10'!Q48))</f>
        <v>107.38</v>
      </c>
      <c r="Q94" s="203" t="str">
        <f>IF(AND('A-18'!Q188="-",'A-10'!R48="-"),"-",SUM('A-18'!Q188,'A-10'!R48))</f>
        <v>-</v>
      </c>
      <c r="R94" s="203">
        <f>IF(AND('A-18'!R188="-",'A-10'!T48="-"),"-",SUM('A-18'!R188,'A-10'!S48))</f>
        <v>20575.409999999996</v>
      </c>
      <c r="S94" s="148"/>
      <c r="T94" s="148"/>
    </row>
    <row r="95" spans="1:20" s="358" customFormat="1" ht="11.25" customHeight="1" x14ac:dyDescent="0.25">
      <c r="A95" s="491">
        <v>2019</v>
      </c>
      <c r="B95" s="203" t="str">
        <f>IF(AND('A-18'!B189="-",'A-10'!C49="-"),"-",SUM('A-18'!B189,'A-10'!C49))</f>
        <v>-</v>
      </c>
      <c r="C95" s="203" t="str">
        <f>IF(AND('A-18'!C189="-",'A-10'!D49="-"),"-",SUM('A-18'!C189,'A-10'!D49))</f>
        <v>-</v>
      </c>
      <c r="D95" s="203">
        <f>IF(AND('A-18'!D189="-",'A-10'!E49="-"),"-",SUM('A-18'!D189,'A-10'!E49))</f>
        <v>341.22</v>
      </c>
      <c r="E95" s="203">
        <f>IF(AND('A-18'!E189="-",'A-10'!F49="-"),"-",SUM('A-18'!E189,'A-10'!F49))</f>
        <v>2200.9</v>
      </c>
      <c r="F95" s="203">
        <f>IF(AND('A-18'!F189="-",'A-10'!G49="-"),"-",SUM('A-18'!F189,'A-10'!G49))</f>
        <v>1373.26</v>
      </c>
      <c r="G95" s="203">
        <f>IF(AND('A-18'!G189="-",'A-10'!H49="-"),"-",SUM('A-18'!G189,'A-10'!H49))</f>
        <v>122.14</v>
      </c>
      <c r="H95" s="203" t="str">
        <f>IF(AND('A-18'!H189="-",'A-10'!I49="-"),"-",SUM('A-18'!H189,'A-10'!I49))</f>
        <v>-</v>
      </c>
      <c r="I95" s="203">
        <f>IF(AND('A-18'!I189="-",'A-10'!K49="-"),"-",SUM('A-18'!I189,'A-10'!K49))</f>
        <v>4037.52</v>
      </c>
      <c r="K95" s="203" t="str">
        <f>'A-18'!K189</f>
        <v>-</v>
      </c>
      <c r="L95" s="203" t="str">
        <f>IF(AND('A-18'!L189="-",'A-10'!M49="-"),"-",SUM('A-18'!L189,'A-10'!M49))</f>
        <v>-</v>
      </c>
      <c r="M95" s="203">
        <f>IF(AND('A-18'!M189="-",'A-10'!N49="-"),"-",SUM('A-18'!M189,'A-10'!N49))</f>
        <v>5358.51</v>
      </c>
      <c r="N95" s="203">
        <f>IF(AND('A-18'!N189="-",'A-10'!O49="-"),"-",SUM('A-18'!N189,'A-10'!O49))</f>
        <v>20934.419999999998</v>
      </c>
      <c r="O95" s="203">
        <f>IF(AND('A-18'!O189="-",'A-10'!P49="-"),"-",SUM('A-18'!O189,'A-10'!P49))</f>
        <v>25539.97</v>
      </c>
      <c r="P95" s="203">
        <f>IF(AND('A-18'!P189="-",'A-10'!Q49="-"),"-",SUM('A-18'!P189,'A-10'!Q49))</f>
        <v>1642.11</v>
      </c>
      <c r="Q95" s="203" t="str">
        <f>IF(AND('A-18'!Q189="-",'A-10'!R49="-"),"-",SUM('A-18'!Q189,'A-10'!R49))</f>
        <v>-</v>
      </c>
      <c r="R95" s="203">
        <f>IF(AND('A-18'!R189="-",'A-10'!T49="-"),"-",SUM('A-18'!R189,'A-10'!S49))</f>
        <v>53475.01</v>
      </c>
      <c r="S95" s="148"/>
      <c r="T95" s="148"/>
    </row>
    <row r="96" spans="1:20" ht="11.25" customHeight="1" x14ac:dyDescent="0.25">
      <c r="A96" s="490" t="s">
        <v>394</v>
      </c>
      <c r="B96" s="203" t="str">
        <f>IF(AND('A-18'!B190="-",'A-10'!C50="-"),"-",SUM('A-18'!B190,'A-10'!C50))</f>
        <v>-</v>
      </c>
      <c r="C96" s="203" t="str">
        <f>IF(AND('A-18'!C190="-",'A-10'!D50="-"),"-",SUM('A-18'!C190,'A-10'!D50))</f>
        <v>-</v>
      </c>
      <c r="D96" s="203">
        <f>IF(AND('A-18'!D190="-",'A-10'!E50="-"),"-",SUM('A-18'!D190,'A-10'!E50))</f>
        <v>219.1</v>
      </c>
      <c r="E96" s="203">
        <f>IF(AND('A-18'!E190="-",'A-10'!F50="-"),"-",SUM('A-18'!E190,'A-10'!F50))</f>
        <v>604.78</v>
      </c>
      <c r="F96" s="203" t="str">
        <f>IF(AND('A-18'!F190="-",'A-10'!G50="-"),"-",SUM('A-18'!F190,'A-10'!G50))</f>
        <v>-</v>
      </c>
      <c r="G96" s="203" t="str">
        <f>IF(AND('A-18'!G190="-",'A-10'!H50="-"),"-",SUM('A-18'!G190,'A-10'!H50))</f>
        <v>-</v>
      </c>
      <c r="H96" s="203" t="str">
        <f>IF(AND('A-18'!H190="-",'A-10'!I50="-"),"-",SUM('A-18'!H190,'A-10'!I50))</f>
        <v>-</v>
      </c>
      <c r="I96" s="203">
        <f>IF(AND('A-18'!I190="-",'A-10'!K50="-"),"-",SUM('A-18'!I190,'A-10'!K50))</f>
        <v>823.88</v>
      </c>
      <c r="K96" s="203" t="str">
        <f>'A-18'!K190</f>
        <v>-</v>
      </c>
      <c r="L96" s="203" t="str">
        <f>IF(AND('A-18'!L190="-",'A-10'!M50="-"),"-",SUM('A-18'!L190,'A-10'!M50))</f>
        <v>-</v>
      </c>
      <c r="M96" s="203">
        <f>IF(AND('A-18'!M190="-",'A-10'!N50="-"),"-",SUM('A-18'!M190,'A-10'!N50))</f>
        <v>0</v>
      </c>
      <c r="N96" s="203">
        <f>IF(AND('A-18'!N190="-",'A-10'!O50="-"),"-",SUM('A-18'!N190,'A-10'!O50))</f>
        <v>12832.27</v>
      </c>
      <c r="O96" s="203" t="str">
        <f>IF(AND('A-18'!O190="-",'A-10'!P50="-"),"-",SUM('A-18'!O190,'A-10'!P50))</f>
        <v>-</v>
      </c>
      <c r="P96" s="203" t="str">
        <f>IF(AND('A-18'!P190="-",'A-10'!Q50="-"),"-",SUM('A-18'!P190,'A-10'!Q50))</f>
        <v>-</v>
      </c>
      <c r="Q96" s="203" t="str">
        <f>IF(AND('A-18'!Q190="-",'A-10'!R50="-"),"-",SUM('A-18'!Q190,'A-10'!R50))</f>
        <v>-</v>
      </c>
      <c r="R96" s="203">
        <f>IF(AND('A-18'!R190="-",'A-10'!T50="-"),"-",SUM('A-18'!R190,'A-10'!S50))</f>
        <v>12832.27</v>
      </c>
      <c r="S96" s="22"/>
      <c r="T96" s="22"/>
    </row>
    <row r="97" spans="1:20" ht="11.25" customHeight="1" x14ac:dyDescent="0.25">
      <c r="S97" s="22"/>
      <c r="T97" s="22"/>
    </row>
    <row r="98" spans="1:20" ht="11.25" customHeight="1" x14ac:dyDescent="0.25">
      <c r="A98" s="120" t="s">
        <v>319</v>
      </c>
      <c r="S98" s="22"/>
      <c r="T98" s="22"/>
    </row>
    <row r="99" spans="1:20" ht="11.25" customHeight="1" x14ac:dyDescent="0.25">
      <c r="A99" s="371">
        <v>1976</v>
      </c>
      <c r="B99" s="200">
        <f t="shared" ref="B99:I108" si="0">IF(AND(B52="-",B5="-"),"-",SUM(B52,B5))</f>
        <v>0</v>
      </c>
      <c r="C99" s="200">
        <f t="shared" si="0"/>
        <v>14779</v>
      </c>
      <c r="D99" s="200">
        <f t="shared" si="0"/>
        <v>57209</v>
      </c>
      <c r="E99" s="200">
        <f t="shared" si="0"/>
        <v>62435</v>
      </c>
      <c r="F99" s="200">
        <f t="shared" si="0"/>
        <v>55649</v>
      </c>
      <c r="G99" s="200">
        <f t="shared" si="0"/>
        <v>23169</v>
      </c>
      <c r="H99" s="200">
        <f t="shared" si="0"/>
        <v>2052</v>
      </c>
      <c r="I99" s="200">
        <f t="shared" si="0"/>
        <v>215297</v>
      </c>
      <c r="K99" s="200">
        <f t="shared" ref="K99:R99" si="1">IF(AND(K52="-",K5="-"),"-",SUM(K52,K5))</f>
        <v>65</v>
      </c>
      <c r="L99" s="200">
        <f t="shared" si="1"/>
        <v>27388</v>
      </c>
      <c r="M99" s="200">
        <f t="shared" si="1"/>
        <v>138681</v>
      </c>
      <c r="N99" s="200">
        <f t="shared" si="1"/>
        <v>342088</v>
      </c>
      <c r="O99" s="200">
        <f t="shared" si="1"/>
        <v>362322</v>
      </c>
      <c r="P99" s="200">
        <f t="shared" si="1"/>
        <v>178880</v>
      </c>
      <c r="Q99" s="200">
        <f t="shared" si="1"/>
        <v>10093</v>
      </c>
      <c r="R99" s="200">
        <f t="shared" si="1"/>
        <v>1059517</v>
      </c>
      <c r="S99" s="22"/>
      <c r="T99" s="22"/>
    </row>
    <row r="100" spans="1:20" ht="11.25" customHeight="1" x14ac:dyDescent="0.25">
      <c r="A100" s="371">
        <v>1977</v>
      </c>
      <c r="B100" s="200">
        <f t="shared" si="0"/>
        <v>4131</v>
      </c>
      <c r="C100" s="200">
        <f t="shared" si="0"/>
        <v>8517</v>
      </c>
      <c r="D100" s="200">
        <f t="shared" si="0"/>
        <v>38891</v>
      </c>
      <c r="E100" s="200">
        <f t="shared" si="0"/>
        <v>39610</v>
      </c>
      <c r="F100" s="200">
        <f t="shared" si="0"/>
        <v>79760</v>
      </c>
      <c r="G100" s="200">
        <f t="shared" si="0"/>
        <v>22279</v>
      </c>
      <c r="H100" s="200">
        <f t="shared" si="0"/>
        <v>1924</v>
      </c>
      <c r="I100" s="200">
        <f t="shared" si="0"/>
        <v>195112</v>
      </c>
      <c r="K100" s="200">
        <f t="shared" ref="K100:R100" si="2">IF(AND(K53="-",K6="-"),"-",SUM(K53,K6))</f>
        <v>359</v>
      </c>
      <c r="L100" s="200">
        <f t="shared" si="2"/>
        <v>21673</v>
      </c>
      <c r="M100" s="200">
        <f t="shared" si="2"/>
        <v>78580</v>
      </c>
      <c r="N100" s="200">
        <f t="shared" si="2"/>
        <v>197460</v>
      </c>
      <c r="O100" s="200">
        <f t="shared" si="2"/>
        <v>178468</v>
      </c>
      <c r="P100" s="200">
        <f t="shared" si="2"/>
        <v>55538</v>
      </c>
      <c r="Q100" s="200">
        <f t="shared" si="2"/>
        <v>5703</v>
      </c>
      <c r="R100" s="200">
        <f t="shared" si="2"/>
        <v>537781</v>
      </c>
      <c r="S100" s="22"/>
      <c r="T100" s="22"/>
    </row>
    <row r="101" spans="1:20" ht="11.25" customHeight="1" x14ac:dyDescent="0.25">
      <c r="A101" s="371">
        <v>1978</v>
      </c>
      <c r="B101" s="200">
        <f t="shared" si="0"/>
        <v>2542</v>
      </c>
      <c r="C101" s="200">
        <f t="shared" si="0"/>
        <v>9455</v>
      </c>
      <c r="D101" s="200">
        <f t="shared" si="0"/>
        <v>35511</v>
      </c>
      <c r="E101" s="200">
        <f t="shared" si="0"/>
        <v>22312</v>
      </c>
      <c r="F101" s="200">
        <f t="shared" si="0"/>
        <v>28100</v>
      </c>
      <c r="G101" s="200">
        <f t="shared" si="0"/>
        <v>4989</v>
      </c>
      <c r="H101" s="200">
        <f t="shared" si="0"/>
        <v>1387</v>
      </c>
      <c r="I101" s="200">
        <f t="shared" si="0"/>
        <v>104296</v>
      </c>
      <c r="K101" s="200">
        <f t="shared" ref="K101:R101" si="3">IF(AND(K54="-",K7="-"),"-",SUM(K54,K7))</f>
        <v>1370</v>
      </c>
      <c r="L101" s="200">
        <f t="shared" si="3"/>
        <v>14545</v>
      </c>
      <c r="M101" s="200">
        <f t="shared" si="3"/>
        <v>125616</v>
      </c>
      <c r="N101" s="200">
        <f t="shared" si="3"/>
        <v>164733</v>
      </c>
      <c r="O101" s="200">
        <f t="shared" si="3"/>
        <v>145036</v>
      </c>
      <c r="P101" s="200">
        <f t="shared" si="3"/>
        <v>74518</v>
      </c>
      <c r="Q101" s="200">
        <f t="shared" si="3"/>
        <v>3730</v>
      </c>
      <c r="R101" s="200">
        <f t="shared" si="3"/>
        <v>529548</v>
      </c>
      <c r="S101" s="22"/>
      <c r="T101" s="22"/>
    </row>
    <row r="102" spans="1:20" ht="11.25" customHeight="1" x14ac:dyDescent="0.25">
      <c r="A102" s="371">
        <v>1979</v>
      </c>
      <c r="B102" s="200">
        <f t="shared" si="0"/>
        <v>504</v>
      </c>
      <c r="C102" s="200">
        <f t="shared" si="0"/>
        <v>7784</v>
      </c>
      <c r="D102" s="200">
        <f t="shared" si="0"/>
        <v>26105</v>
      </c>
      <c r="E102" s="200">
        <f t="shared" si="0"/>
        <v>17330</v>
      </c>
      <c r="F102" s="200">
        <f t="shared" si="0"/>
        <v>30291</v>
      </c>
      <c r="G102" s="200">
        <f t="shared" si="0"/>
        <v>273</v>
      </c>
      <c r="H102" s="200">
        <f t="shared" si="0"/>
        <v>29</v>
      </c>
      <c r="I102" s="200">
        <f t="shared" si="0"/>
        <v>82316</v>
      </c>
      <c r="K102" s="200">
        <f t="shared" ref="K102:R102" si="4">IF(AND(K55="-",K8="-"),"-",SUM(K55,K8))</f>
        <v>408</v>
      </c>
      <c r="L102" s="200">
        <f t="shared" si="4"/>
        <v>8280</v>
      </c>
      <c r="M102" s="200">
        <f t="shared" si="4"/>
        <v>54314</v>
      </c>
      <c r="N102" s="200">
        <f t="shared" si="4"/>
        <v>128965</v>
      </c>
      <c r="O102" s="200">
        <f t="shared" si="4"/>
        <v>133114</v>
      </c>
      <c r="P102" s="200">
        <f t="shared" si="4"/>
        <v>5546</v>
      </c>
      <c r="Q102" s="200">
        <f t="shared" si="4"/>
        <v>767</v>
      </c>
      <c r="R102" s="200">
        <f t="shared" si="4"/>
        <v>331394</v>
      </c>
      <c r="S102" s="22"/>
      <c r="T102" s="22"/>
    </row>
    <row r="103" spans="1:20" ht="11.25" customHeight="1" x14ac:dyDescent="0.25">
      <c r="A103" s="371">
        <v>1980</v>
      </c>
      <c r="B103" s="200" t="str">
        <f t="shared" si="0"/>
        <v>-</v>
      </c>
      <c r="C103" s="200">
        <f t="shared" si="0"/>
        <v>2653</v>
      </c>
      <c r="D103" s="200">
        <f t="shared" si="0"/>
        <v>14630</v>
      </c>
      <c r="E103" s="200">
        <f t="shared" si="0"/>
        <v>23182</v>
      </c>
      <c r="F103" s="200">
        <f t="shared" si="0"/>
        <v>17950</v>
      </c>
      <c r="G103" s="200">
        <f t="shared" si="0"/>
        <v>687</v>
      </c>
      <c r="H103" s="200" t="str">
        <f t="shared" si="0"/>
        <v>-</v>
      </c>
      <c r="I103" s="200">
        <f t="shared" si="0"/>
        <v>59102</v>
      </c>
      <c r="K103" s="200" t="str">
        <f t="shared" ref="K103:R103" si="5">IF(AND(K56="-",K9="-"),"-",SUM(K56,K9))</f>
        <v>-</v>
      </c>
      <c r="L103" s="200">
        <f t="shared" si="5"/>
        <v>26641</v>
      </c>
      <c r="M103" s="200">
        <f t="shared" si="5"/>
        <v>113585</v>
      </c>
      <c r="N103" s="200">
        <f t="shared" si="5"/>
        <v>163208</v>
      </c>
      <c r="O103" s="200">
        <f t="shared" si="5"/>
        <v>110533</v>
      </c>
      <c r="P103" s="200">
        <f t="shared" si="5"/>
        <v>4509</v>
      </c>
      <c r="Q103" s="200">
        <f t="shared" si="5"/>
        <v>44</v>
      </c>
      <c r="R103" s="200">
        <f t="shared" si="5"/>
        <v>418520</v>
      </c>
      <c r="S103" s="22"/>
      <c r="T103" s="22"/>
    </row>
    <row r="104" spans="1:20" ht="11.25" customHeight="1" x14ac:dyDescent="0.25">
      <c r="A104" s="371">
        <v>1981</v>
      </c>
      <c r="B104" s="200">
        <f t="shared" si="0"/>
        <v>138</v>
      </c>
      <c r="C104" s="200">
        <f t="shared" si="0"/>
        <v>2659</v>
      </c>
      <c r="D104" s="200">
        <f t="shared" si="0"/>
        <v>12336</v>
      </c>
      <c r="E104" s="200">
        <f t="shared" si="0"/>
        <v>39867</v>
      </c>
      <c r="F104" s="200">
        <f t="shared" si="0"/>
        <v>39869</v>
      </c>
      <c r="G104" s="200">
        <f t="shared" si="0"/>
        <v>1281</v>
      </c>
      <c r="H104" s="200">
        <f t="shared" si="0"/>
        <v>17</v>
      </c>
      <c r="I104" s="200">
        <f t="shared" si="0"/>
        <v>96167</v>
      </c>
      <c r="K104" s="200">
        <f t="shared" ref="K104:R104" si="6">IF(AND(K57="-",K10="-"),"-",SUM(K57,K10))</f>
        <v>80</v>
      </c>
      <c r="L104" s="200">
        <f t="shared" si="6"/>
        <v>10046</v>
      </c>
      <c r="M104" s="200">
        <f t="shared" si="6"/>
        <v>55747</v>
      </c>
      <c r="N104" s="200">
        <f t="shared" si="6"/>
        <v>102895</v>
      </c>
      <c r="O104" s="200">
        <f t="shared" si="6"/>
        <v>112885</v>
      </c>
      <c r="P104" s="200">
        <f t="shared" si="6"/>
        <v>10205</v>
      </c>
      <c r="Q104" s="200">
        <f t="shared" si="6"/>
        <v>372</v>
      </c>
      <c r="R104" s="200">
        <f t="shared" si="6"/>
        <v>292230</v>
      </c>
      <c r="S104" s="22"/>
      <c r="T104" s="22"/>
    </row>
    <row r="105" spans="1:20" ht="11.25" customHeight="1" x14ac:dyDescent="0.25">
      <c r="A105" s="371">
        <v>1982</v>
      </c>
      <c r="B105" s="200">
        <f t="shared" si="0"/>
        <v>3</v>
      </c>
      <c r="C105" s="200">
        <f t="shared" si="0"/>
        <v>654</v>
      </c>
      <c r="D105" s="200">
        <f t="shared" si="0"/>
        <v>44179</v>
      </c>
      <c r="E105" s="200">
        <f t="shared" si="0"/>
        <v>56724</v>
      </c>
      <c r="F105" s="200">
        <f t="shared" si="0"/>
        <v>13133</v>
      </c>
      <c r="G105" s="200">
        <f t="shared" si="0"/>
        <v>219</v>
      </c>
      <c r="H105" s="200">
        <f t="shared" si="0"/>
        <v>75</v>
      </c>
      <c r="I105" s="200">
        <f t="shared" si="0"/>
        <v>114987</v>
      </c>
      <c r="K105" s="200" t="str">
        <f t="shared" ref="K105:R105" si="7">IF(AND(K58="-",K11="-"),"-",SUM(K58,K11))</f>
        <v>-</v>
      </c>
      <c r="L105" s="200">
        <f t="shared" si="7"/>
        <v>113</v>
      </c>
      <c r="M105" s="200">
        <f t="shared" si="7"/>
        <v>25903</v>
      </c>
      <c r="N105" s="200">
        <f t="shared" si="7"/>
        <v>142887</v>
      </c>
      <c r="O105" s="200">
        <f t="shared" si="7"/>
        <v>58682</v>
      </c>
      <c r="P105" s="200">
        <f t="shared" si="7"/>
        <v>13509</v>
      </c>
      <c r="Q105" s="200">
        <f t="shared" si="7"/>
        <v>903</v>
      </c>
      <c r="R105" s="200">
        <f t="shared" si="7"/>
        <v>241997</v>
      </c>
      <c r="S105" s="22"/>
      <c r="T105" s="22"/>
    </row>
    <row r="106" spans="1:20" ht="11.25" customHeight="1" x14ac:dyDescent="0.25">
      <c r="A106" s="371">
        <v>1983</v>
      </c>
      <c r="B106" s="200">
        <f t="shared" si="0"/>
        <v>117</v>
      </c>
      <c r="C106" s="200">
        <f t="shared" si="0"/>
        <v>867</v>
      </c>
      <c r="D106" s="200">
        <f t="shared" si="0"/>
        <v>25665</v>
      </c>
      <c r="E106" s="200">
        <f t="shared" si="0"/>
        <v>16051</v>
      </c>
      <c r="F106" s="200">
        <f t="shared" si="0"/>
        <v>6869</v>
      </c>
      <c r="G106" s="200">
        <f t="shared" si="0"/>
        <v>2260</v>
      </c>
      <c r="H106" s="200" t="str">
        <f t="shared" si="0"/>
        <v>-</v>
      </c>
      <c r="I106" s="200">
        <f t="shared" si="0"/>
        <v>51829</v>
      </c>
      <c r="K106" s="200" t="str">
        <f t="shared" ref="K106:R106" si="8">IF(AND(K59="-",K12="-"),"-",SUM(K59,K12))</f>
        <v>-</v>
      </c>
      <c r="L106" s="200">
        <f t="shared" si="8"/>
        <v>422</v>
      </c>
      <c r="M106" s="200">
        <f t="shared" si="8"/>
        <v>23137</v>
      </c>
      <c r="N106" s="200">
        <f t="shared" si="8"/>
        <v>103457</v>
      </c>
      <c r="O106" s="200">
        <f t="shared" si="8"/>
        <v>89700</v>
      </c>
      <c r="P106" s="200">
        <f t="shared" si="8"/>
        <v>29782</v>
      </c>
      <c r="Q106" s="200">
        <f t="shared" si="8"/>
        <v>33</v>
      </c>
      <c r="R106" s="200">
        <f t="shared" si="8"/>
        <v>246531</v>
      </c>
      <c r="S106" s="22"/>
      <c r="T106" s="22"/>
    </row>
    <row r="107" spans="1:20" ht="11.25" customHeight="1" x14ac:dyDescent="0.25">
      <c r="A107" s="371">
        <v>1984</v>
      </c>
      <c r="B107" s="200">
        <f t="shared" si="0"/>
        <v>24</v>
      </c>
      <c r="C107" s="200">
        <f t="shared" si="0"/>
        <v>6613</v>
      </c>
      <c r="D107" s="200">
        <f t="shared" si="0"/>
        <v>0</v>
      </c>
      <c r="E107" s="200">
        <f t="shared" si="0"/>
        <v>134</v>
      </c>
      <c r="F107" s="200">
        <f t="shared" si="0"/>
        <v>220</v>
      </c>
      <c r="G107" s="200" t="str">
        <f t="shared" si="0"/>
        <v>-</v>
      </c>
      <c r="H107" s="200" t="str">
        <f t="shared" si="0"/>
        <v>-</v>
      </c>
      <c r="I107" s="200">
        <f t="shared" si="0"/>
        <v>6991</v>
      </c>
      <c r="K107" s="200" t="str">
        <f t="shared" ref="K107:R107" si="9">IF(AND(K60="-",K13="-"),"-",SUM(K60,K13))</f>
        <v>-</v>
      </c>
      <c r="L107" s="200" t="str">
        <f t="shared" si="9"/>
        <v>-</v>
      </c>
      <c r="M107" s="200" t="str">
        <f t="shared" si="9"/>
        <v>-</v>
      </c>
      <c r="N107" s="200">
        <f t="shared" si="9"/>
        <v>13453</v>
      </c>
      <c r="O107" s="200">
        <f t="shared" si="9"/>
        <v>37550</v>
      </c>
      <c r="P107" s="200">
        <f t="shared" si="9"/>
        <v>264</v>
      </c>
      <c r="Q107" s="200" t="str">
        <f t="shared" si="9"/>
        <v>-</v>
      </c>
      <c r="R107" s="200">
        <f t="shared" si="9"/>
        <v>51267</v>
      </c>
      <c r="S107" s="22"/>
      <c r="T107" s="22"/>
    </row>
    <row r="108" spans="1:20" ht="11.25" customHeight="1" x14ac:dyDescent="0.25">
      <c r="A108" s="371">
        <v>1985</v>
      </c>
      <c r="B108" s="200">
        <f t="shared" si="0"/>
        <v>5</v>
      </c>
      <c r="C108" s="200">
        <f t="shared" si="0"/>
        <v>1</v>
      </c>
      <c r="D108" s="200">
        <f t="shared" si="0"/>
        <v>929</v>
      </c>
      <c r="E108" s="200">
        <f t="shared" si="0"/>
        <v>16194</v>
      </c>
      <c r="F108" s="200">
        <f t="shared" si="0"/>
        <v>12751</v>
      </c>
      <c r="G108" s="200">
        <f t="shared" si="0"/>
        <v>276</v>
      </c>
      <c r="H108" s="200" t="str">
        <f t="shared" si="0"/>
        <v>-</v>
      </c>
      <c r="I108" s="200">
        <f t="shared" si="0"/>
        <v>30156</v>
      </c>
      <c r="K108" s="200" t="str">
        <f t="shared" ref="K108:R108" si="10">IF(AND(K61="-",K14="-"),"-",SUM(K61,K14))</f>
        <v>-</v>
      </c>
      <c r="L108" s="200" t="str">
        <f t="shared" si="10"/>
        <v>-</v>
      </c>
      <c r="M108" s="200">
        <f t="shared" si="10"/>
        <v>3545</v>
      </c>
      <c r="N108" s="200">
        <f t="shared" si="10"/>
        <v>88468</v>
      </c>
      <c r="O108" s="200">
        <f t="shared" si="10"/>
        <v>100597</v>
      </c>
      <c r="P108" s="200">
        <f t="shared" si="10"/>
        <v>6257</v>
      </c>
      <c r="Q108" s="200" t="str">
        <f t="shared" si="10"/>
        <v>-</v>
      </c>
      <c r="R108" s="200">
        <f t="shared" si="10"/>
        <v>198867</v>
      </c>
      <c r="S108" s="22"/>
      <c r="T108" s="22"/>
    </row>
    <row r="109" spans="1:20" ht="11.25" customHeight="1" x14ac:dyDescent="0.25">
      <c r="A109" s="371">
        <v>1986</v>
      </c>
      <c r="B109" s="200" t="str">
        <f t="shared" ref="B109:I118" si="11">IF(AND(B62="-",B15="-"),"-",SUM(B62,B15))</f>
        <v>-</v>
      </c>
      <c r="C109" s="200" t="str">
        <f t="shared" si="11"/>
        <v>-</v>
      </c>
      <c r="D109" s="200">
        <f t="shared" si="11"/>
        <v>735</v>
      </c>
      <c r="E109" s="200">
        <f t="shared" si="11"/>
        <v>12757</v>
      </c>
      <c r="F109" s="200">
        <f t="shared" si="11"/>
        <v>9514</v>
      </c>
      <c r="G109" s="200" t="str">
        <f t="shared" si="11"/>
        <v>-</v>
      </c>
      <c r="H109" s="200" t="str">
        <f t="shared" si="11"/>
        <v>-</v>
      </c>
      <c r="I109" s="200">
        <f t="shared" si="11"/>
        <v>23006</v>
      </c>
      <c r="K109" s="200" t="str">
        <f t="shared" ref="K109:R109" si="12">IF(AND(K62="-",K15="-"),"-",SUM(K62,K15))</f>
        <v>-</v>
      </c>
      <c r="L109" s="200" t="str">
        <f t="shared" si="12"/>
        <v>-</v>
      </c>
      <c r="M109" s="200">
        <f t="shared" si="12"/>
        <v>7152</v>
      </c>
      <c r="N109" s="200">
        <f t="shared" si="12"/>
        <v>119641</v>
      </c>
      <c r="O109" s="200">
        <f t="shared" si="12"/>
        <v>83560</v>
      </c>
      <c r="P109" s="200">
        <f t="shared" si="12"/>
        <v>943</v>
      </c>
      <c r="Q109" s="200">
        <f t="shared" si="12"/>
        <v>86</v>
      </c>
      <c r="R109" s="200">
        <f t="shared" si="12"/>
        <v>211382</v>
      </c>
      <c r="S109" s="22"/>
      <c r="T109" s="22"/>
    </row>
    <row r="110" spans="1:20" ht="11.25" customHeight="1" x14ac:dyDescent="0.25">
      <c r="A110" s="371">
        <v>1987</v>
      </c>
      <c r="B110" s="200" t="str">
        <f t="shared" si="11"/>
        <v>-</v>
      </c>
      <c r="C110" s="200" t="str">
        <f t="shared" si="11"/>
        <v>-</v>
      </c>
      <c r="D110" s="200">
        <f t="shared" si="11"/>
        <v>3490</v>
      </c>
      <c r="E110" s="200">
        <f t="shared" si="11"/>
        <v>25538</v>
      </c>
      <c r="F110" s="200">
        <f t="shared" si="11"/>
        <v>13107</v>
      </c>
      <c r="G110" s="200">
        <f t="shared" si="11"/>
        <v>17</v>
      </c>
      <c r="H110" s="200" t="str">
        <f t="shared" si="11"/>
        <v>-</v>
      </c>
      <c r="I110" s="200">
        <f t="shared" si="11"/>
        <v>42152</v>
      </c>
      <c r="K110" s="200" t="str">
        <f t="shared" ref="K110:R110" si="13">IF(AND(K63="-",K16="-"),"-",SUM(K63,K16))</f>
        <v>-</v>
      </c>
      <c r="L110" s="200" t="str">
        <f t="shared" si="13"/>
        <v>-</v>
      </c>
      <c r="M110" s="200">
        <f t="shared" si="13"/>
        <v>3115</v>
      </c>
      <c r="N110" s="200">
        <f t="shared" si="13"/>
        <v>82934</v>
      </c>
      <c r="O110" s="200">
        <f t="shared" si="13"/>
        <v>63481</v>
      </c>
      <c r="P110" s="200">
        <f t="shared" si="13"/>
        <v>44</v>
      </c>
      <c r="Q110" s="200">
        <f t="shared" si="13"/>
        <v>3</v>
      </c>
      <c r="R110" s="200">
        <f t="shared" si="13"/>
        <v>149577</v>
      </c>
      <c r="S110" s="22"/>
      <c r="T110" s="22"/>
    </row>
    <row r="111" spans="1:20" ht="11.25" customHeight="1" x14ac:dyDescent="0.25">
      <c r="A111" s="371">
        <v>1988</v>
      </c>
      <c r="B111" s="200" t="str">
        <f t="shared" si="11"/>
        <v>-</v>
      </c>
      <c r="C111" s="200" t="str">
        <f t="shared" si="11"/>
        <v>-</v>
      </c>
      <c r="D111" s="200" t="str">
        <f t="shared" si="11"/>
        <v>-</v>
      </c>
      <c r="E111" s="200">
        <f t="shared" si="11"/>
        <v>18161</v>
      </c>
      <c r="F111" s="200">
        <f t="shared" si="11"/>
        <v>1220</v>
      </c>
      <c r="G111" s="200">
        <f t="shared" si="11"/>
        <v>37</v>
      </c>
      <c r="H111" s="200" t="str">
        <f t="shared" si="11"/>
        <v>-</v>
      </c>
      <c r="I111" s="200">
        <f t="shared" si="11"/>
        <v>19418</v>
      </c>
      <c r="K111" s="200" t="str">
        <f t="shared" ref="K111:R111" si="14">IF(AND(K64="-",K17="-"),"-",SUM(K64,K17))</f>
        <v>-</v>
      </c>
      <c r="L111" s="200" t="str">
        <f t="shared" si="14"/>
        <v>-</v>
      </c>
      <c r="M111" s="200" t="str">
        <f t="shared" si="14"/>
        <v>-</v>
      </c>
      <c r="N111" s="200">
        <f t="shared" si="14"/>
        <v>91648</v>
      </c>
      <c r="O111" s="200">
        <f t="shared" si="14"/>
        <v>6558</v>
      </c>
      <c r="P111" s="200">
        <f t="shared" si="14"/>
        <v>563</v>
      </c>
      <c r="Q111" s="200" t="str">
        <f t="shared" si="14"/>
        <v>-</v>
      </c>
      <c r="R111" s="200">
        <f t="shared" si="14"/>
        <v>98769</v>
      </c>
      <c r="S111" s="22"/>
      <c r="T111" s="22"/>
    </row>
    <row r="112" spans="1:20" ht="11.25" customHeight="1" x14ac:dyDescent="0.25">
      <c r="A112" s="371">
        <v>1989</v>
      </c>
      <c r="B112" s="200" t="str">
        <f t="shared" si="11"/>
        <v>-</v>
      </c>
      <c r="C112" s="200">
        <f t="shared" si="11"/>
        <v>930</v>
      </c>
      <c r="D112" s="200">
        <f t="shared" si="11"/>
        <v>2228</v>
      </c>
      <c r="E112" s="200">
        <f t="shared" si="11"/>
        <v>7326</v>
      </c>
      <c r="F112" s="200">
        <f t="shared" si="11"/>
        <v>10835</v>
      </c>
      <c r="G112" s="200" t="str">
        <f t="shared" si="11"/>
        <v>-</v>
      </c>
      <c r="H112" s="200" t="str">
        <f t="shared" si="11"/>
        <v>-</v>
      </c>
      <c r="I112" s="200">
        <f t="shared" si="11"/>
        <v>21319</v>
      </c>
      <c r="K112" s="200" t="str">
        <f t="shared" ref="K112:R112" si="15">IF(AND(K65="-",K18="-"),"-",SUM(K65,K18))</f>
        <v>-</v>
      </c>
      <c r="L112" s="200">
        <f t="shared" si="15"/>
        <v>19</v>
      </c>
      <c r="M112" s="200">
        <f t="shared" si="15"/>
        <v>1684</v>
      </c>
      <c r="N112" s="200">
        <f t="shared" si="15"/>
        <v>125965</v>
      </c>
      <c r="O112" s="200">
        <f t="shared" si="15"/>
        <v>110634</v>
      </c>
      <c r="P112" s="200">
        <f t="shared" si="15"/>
        <v>8855</v>
      </c>
      <c r="Q112" s="200" t="str">
        <f t="shared" si="15"/>
        <v>-</v>
      </c>
      <c r="R112" s="200">
        <f t="shared" si="15"/>
        <v>247157</v>
      </c>
      <c r="S112" s="22"/>
      <c r="T112" s="22"/>
    </row>
    <row r="113" spans="1:20" ht="11.25" customHeight="1" x14ac:dyDescent="0.25">
      <c r="A113" s="371">
        <v>1990</v>
      </c>
      <c r="B113" s="200" t="str">
        <f t="shared" si="11"/>
        <v>-</v>
      </c>
      <c r="C113" s="200" t="str">
        <f t="shared" si="11"/>
        <v>-</v>
      </c>
      <c r="D113" s="200">
        <f t="shared" si="11"/>
        <v>1601</v>
      </c>
      <c r="E113" s="200">
        <f t="shared" si="11"/>
        <v>13485</v>
      </c>
      <c r="F113" s="200">
        <f t="shared" si="11"/>
        <v>14530</v>
      </c>
      <c r="G113" s="200">
        <f t="shared" si="11"/>
        <v>3669</v>
      </c>
      <c r="H113" s="200" t="str">
        <f t="shared" si="11"/>
        <v>-</v>
      </c>
      <c r="I113" s="200">
        <f t="shared" si="11"/>
        <v>33285</v>
      </c>
      <c r="K113" s="200" t="str">
        <f t="shared" ref="K113:R113" si="16">IF(AND(K66="-",K19="-"),"-",SUM(K66,K19))</f>
        <v>-</v>
      </c>
      <c r="L113" s="200" t="str">
        <f t="shared" si="16"/>
        <v>-</v>
      </c>
      <c r="M113" s="200">
        <f t="shared" si="16"/>
        <v>15657</v>
      </c>
      <c r="N113" s="200">
        <f t="shared" si="16"/>
        <v>110987</v>
      </c>
      <c r="O113" s="200">
        <f t="shared" si="16"/>
        <v>107560</v>
      </c>
      <c r="P113" s="200">
        <f t="shared" si="16"/>
        <v>26729</v>
      </c>
      <c r="Q113" s="200" t="str">
        <f t="shared" si="16"/>
        <v>-</v>
      </c>
      <c r="R113" s="200">
        <f t="shared" si="16"/>
        <v>260933</v>
      </c>
      <c r="S113" s="22"/>
      <c r="T113" s="22"/>
    </row>
    <row r="114" spans="1:20" ht="11.25" customHeight="1" x14ac:dyDescent="0.25">
      <c r="A114" s="371">
        <v>1991</v>
      </c>
      <c r="B114" s="200" t="str">
        <f t="shared" si="11"/>
        <v>-</v>
      </c>
      <c r="C114" s="200" t="str">
        <f t="shared" si="11"/>
        <v>-</v>
      </c>
      <c r="D114" s="200">
        <f t="shared" si="11"/>
        <v>2163</v>
      </c>
      <c r="E114" s="200">
        <f t="shared" si="11"/>
        <v>8075</v>
      </c>
      <c r="F114" s="200">
        <f t="shared" si="11"/>
        <v>3136</v>
      </c>
      <c r="G114" s="200">
        <f t="shared" si="11"/>
        <v>278</v>
      </c>
      <c r="H114" s="200" t="str">
        <f t="shared" si="11"/>
        <v>-</v>
      </c>
      <c r="I114" s="200">
        <f t="shared" si="11"/>
        <v>13652</v>
      </c>
      <c r="K114" s="200" t="str">
        <f t="shared" ref="K114:R114" si="17">IF(AND(K67="-",K20="-"),"-",SUM(K67,K20))</f>
        <v>-</v>
      </c>
      <c r="L114" s="200" t="str">
        <f t="shared" si="17"/>
        <v>-</v>
      </c>
      <c r="M114" s="200">
        <f t="shared" si="17"/>
        <v>14656</v>
      </c>
      <c r="N114" s="200">
        <f t="shared" si="17"/>
        <v>151254</v>
      </c>
      <c r="O114" s="200">
        <f t="shared" si="17"/>
        <v>63279</v>
      </c>
      <c r="P114" s="200">
        <f t="shared" si="17"/>
        <v>17900</v>
      </c>
      <c r="Q114" s="200" t="str">
        <f t="shared" si="17"/>
        <v>-</v>
      </c>
      <c r="R114" s="200">
        <f t="shared" si="17"/>
        <v>247089</v>
      </c>
      <c r="S114" s="22"/>
      <c r="T114" s="22"/>
    </row>
    <row r="115" spans="1:20" ht="11.25" customHeight="1" x14ac:dyDescent="0.25">
      <c r="A115" s="371">
        <v>1992</v>
      </c>
      <c r="B115" s="200" t="str">
        <f t="shared" si="11"/>
        <v>-</v>
      </c>
      <c r="C115" s="200">
        <f t="shared" si="11"/>
        <v>118</v>
      </c>
      <c r="D115" s="200">
        <f t="shared" si="11"/>
        <v>0</v>
      </c>
      <c r="E115" s="200">
        <f t="shared" si="11"/>
        <v>9345</v>
      </c>
      <c r="F115" s="200">
        <f t="shared" si="11"/>
        <v>6682</v>
      </c>
      <c r="G115" s="200">
        <f t="shared" si="11"/>
        <v>2575</v>
      </c>
      <c r="H115" s="200">
        <f t="shared" si="11"/>
        <v>215</v>
      </c>
      <c r="I115" s="200">
        <f t="shared" si="11"/>
        <v>18935</v>
      </c>
      <c r="K115" s="200" t="str">
        <f t="shared" ref="K115:R115" si="18">IF(AND(K68="-",K21="-"),"-",SUM(K68,K21))</f>
        <v>-</v>
      </c>
      <c r="L115" s="200">
        <f t="shared" si="18"/>
        <v>32</v>
      </c>
      <c r="M115" s="200">
        <f t="shared" si="18"/>
        <v>0</v>
      </c>
      <c r="N115" s="200">
        <f t="shared" si="18"/>
        <v>86167</v>
      </c>
      <c r="O115" s="200">
        <f t="shared" si="18"/>
        <v>47398</v>
      </c>
      <c r="P115" s="200">
        <f t="shared" si="18"/>
        <v>11914</v>
      </c>
      <c r="Q115" s="200">
        <f t="shared" si="18"/>
        <v>324</v>
      </c>
      <c r="R115" s="200">
        <f t="shared" si="18"/>
        <v>145835</v>
      </c>
      <c r="S115" s="22"/>
      <c r="T115" s="22"/>
    </row>
    <row r="116" spans="1:20" ht="11.25" customHeight="1" x14ac:dyDescent="0.25">
      <c r="A116" s="371">
        <v>1993</v>
      </c>
      <c r="B116" s="200" t="str">
        <f t="shared" si="11"/>
        <v>-</v>
      </c>
      <c r="C116" s="200">
        <f t="shared" si="11"/>
        <v>178</v>
      </c>
      <c r="D116" s="200" t="str">
        <f t="shared" si="11"/>
        <v>-</v>
      </c>
      <c r="E116" s="200">
        <f t="shared" si="11"/>
        <v>3444</v>
      </c>
      <c r="F116" s="200">
        <f t="shared" si="11"/>
        <v>5959</v>
      </c>
      <c r="G116" s="200">
        <f t="shared" si="11"/>
        <v>4273</v>
      </c>
      <c r="H116" s="200" t="str">
        <f t="shared" si="11"/>
        <v>-</v>
      </c>
      <c r="I116" s="200">
        <f t="shared" si="11"/>
        <v>13854</v>
      </c>
      <c r="K116" s="200" t="str">
        <f t="shared" ref="K116:R116" si="19">IF(AND(K69="-",K22="-"),"-",SUM(K69,K22))</f>
        <v>-</v>
      </c>
      <c r="L116" s="200">
        <f t="shared" si="19"/>
        <v>48</v>
      </c>
      <c r="M116" s="200" t="str">
        <f t="shared" si="19"/>
        <v>-</v>
      </c>
      <c r="N116" s="200">
        <f t="shared" si="19"/>
        <v>51065</v>
      </c>
      <c r="O116" s="200">
        <f t="shared" si="19"/>
        <v>65997</v>
      </c>
      <c r="P116" s="200">
        <f t="shared" si="19"/>
        <v>30021</v>
      </c>
      <c r="Q116" s="200" t="str">
        <f t="shared" si="19"/>
        <v>-</v>
      </c>
      <c r="R116" s="200">
        <f t="shared" si="19"/>
        <v>147131</v>
      </c>
      <c r="S116" s="22"/>
      <c r="T116" s="22"/>
    </row>
    <row r="117" spans="1:20" ht="11.25" customHeight="1" x14ac:dyDescent="0.25">
      <c r="A117" s="371">
        <v>1994</v>
      </c>
      <c r="B117" s="200" t="str">
        <f t="shared" si="11"/>
        <v>-</v>
      </c>
      <c r="C117" s="200" t="str">
        <f t="shared" si="11"/>
        <v>-</v>
      </c>
      <c r="D117" s="200" t="str">
        <f t="shared" si="11"/>
        <v>-</v>
      </c>
      <c r="E117" s="200" t="str">
        <f t="shared" si="11"/>
        <v>-</v>
      </c>
      <c r="F117" s="200" t="str">
        <f t="shared" si="11"/>
        <v>-</v>
      </c>
      <c r="G117" s="200" t="str">
        <f t="shared" si="11"/>
        <v>-</v>
      </c>
      <c r="H117" s="200" t="str">
        <f t="shared" si="11"/>
        <v>-</v>
      </c>
      <c r="I117" s="200" t="str">
        <f t="shared" si="11"/>
        <v>-</v>
      </c>
      <c r="K117" s="200" t="str">
        <f t="shared" ref="K117:R117" si="20">IF(AND(K70="-",K23="-"),"-",SUM(K70,K23))</f>
        <v>-</v>
      </c>
      <c r="L117" s="200" t="str">
        <f t="shared" si="20"/>
        <v>-</v>
      </c>
      <c r="M117" s="200" t="str">
        <f t="shared" si="20"/>
        <v>-</v>
      </c>
      <c r="N117" s="200" t="str">
        <f t="shared" si="20"/>
        <v>-</v>
      </c>
      <c r="O117" s="200" t="str">
        <f t="shared" si="20"/>
        <v>-</v>
      </c>
      <c r="P117" s="200" t="str">
        <f t="shared" si="20"/>
        <v>-</v>
      </c>
      <c r="Q117" s="200" t="str">
        <f t="shared" si="20"/>
        <v>-</v>
      </c>
      <c r="R117" s="200">
        <f t="shared" si="20"/>
        <v>0</v>
      </c>
      <c r="S117" s="22"/>
      <c r="T117" s="22"/>
    </row>
    <row r="118" spans="1:20" ht="11.25" customHeight="1" x14ac:dyDescent="0.25">
      <c r="A118" s="371">
        <v>1995</v>
      </c>
      <c r="B118" s="200" t="str">
        <f t="shared" si="11"/>
        <v>-</v>
      </c>
      <c r="C118" s="200" t="str">
        <f t="shared" si="11"/>
        <v>-</v>
      </c>
      <c r="D118" s="200" t="str">
        <f t="shared" si="11"/>
        <v>-</v>
      </c>
      <c r="E118" s="200">
        <f t="shared" si="11"/>
        <v>68</v>
      </c>
      <c r="F118" s="200">
        <f t="shared" si="11"/>
        <v>453</v>
      </c>
      <c r="G118" s="200">
        <f t="shared" si="11"/>
        <v>97</v>
      </c>
      <c r="H118" s="200" t="str">
        <f t="shared" si="11"/>
        <v>-</v>
      </c>
      <c r="I118" s="200">
        <f t="shared" si="11"/>
        <v>618</v>
      </c>
      <c r="K118" s="200" t="str">
        <f t="shared" ref="K118:R118" si="21">IF(AND(K71="-",K24="-"),"-",SUM(K71,K24))</f>
        <v>-</v>
      </c>
      <c r="L118" s="200" t="str">
        <f t="shared" si="21"/>
        <v>-</v>
      </c>
      <c r="M118" s="200" t="str">
        <f t="shared" si="21"/>
        <v>-</v>
      </c>
      <c r="N118" s="200">
        <f t="shared" si="21"/>
        <v>9176</v>
      </c>
      <c r="O118" s="200">
        <f t="shared" si="21"/>
        <v>54573</v>
      </c>
      <c r="P118" s="200">
        <f t="shared" si="21"/>
        <v>16280</v>
      </c>
      <c r="Q118" s="200" t="str">
        <f t="shared" si="21"/>
        <v>-</v>
      </c>
      <c r="R118" s="200">
        <f t="shared" si="21"/>
        <v>80029</v>
      </c>
      <c r="S118" s="22"/>
      <c r="T118" s="22"/>
    </row>
    <row r="119" spans="1:20" ht="11.25" customHeight="1" x14ac:dyDescent="0.25">
      <c r="A119" s="371">
        <v>1996</v>
      </c>
      <c r="B119" s="200" t="str">
        <f t="shared" ref="B119:I128" si="22">IF(AND(B72="-",B25="-"),"-",SUM(B72,B25))</f>
        <v>-</v>
      </c>
      <c r="C119" s="200" t="str">
        <f t="shared" si="22"/>
        <v>-</v>
      </c>
      <c r="D119" s="200" t="str">
        <f t="shared" si="22"/>
        <v>-</v>
      </c>
      <c r="E119" s="200">
        <f t="shared" si="22"/>
        <v>35</v>
      </c>
      <c r="F119" s="200">
        <f t="shared" si="22"/>
        <v>118</v>
      </c>
      <c r="G119" s="200">
        <f t="shared" si="22"/>
        <v>52</v>
      </c>
      <c r="H119" s="200" t="str">
        <f t="shared" si="22"/>
        <v>-</v>
      </c>
      <c r="I119" s="200">
        <f t="shared" si="22"/>
        <v>205</v>
      </c>
      <c r="K119" s="200" t="str">
        <f t="shared" ref="K119:R119" si="23">IF(AND(K72="-",K25="-"),"-",SUM(K72,K25))</f>
        <v>-</v>
      </c>
      <c r="L119" s="200" t="str">
        <f t="shared" si="23"/>
        <v>-</v>
      </c>
      <c r="M119" s="200" t="str">
        <f t="shared" si="23"/>
        <v>-</v>
      </c>
      <c r="N119" s="200">
        <f t="shared" si="23"/>
        <v>12069</v>
      </c>
      <c r="O119" s="200">
        <f t="shared" si="23"/>
        <v>37277</v>
      </c>
      <c r="P119" s="200">
        <f t="shared" si="23"/>
        <v>9122</v>
      </c>
      <c r="Q119" s="200" t="str">
        <f t="shared" si="23"/>
        <v>-</v>
      </c>
      <c r="R119" s="200">
        <f t="shared" si="23"/>
        <v>58468</v>
      </c>
      <c r="S119" s="22"/>
      <c r="T119" s="22"/>
    </row>
    <row r="120" spans="1:20" ht="11.25" customHeight="1" x14ac:dyDescent="0.25">
      <c r="A120" s="371">
        <v>1997</v>
      </c>
      <c r="B120" s="200" t="str">
        <f t="shared" si="22"/>
        <v>-</v>
      </c>
      <c r="C120" s="200" t="str">
        <f t="shared" si="22"/>
        <v>-</v>
      </c>
      <c r="D120" s="200" t="str">
        <f t="shared" si="22"/>
        <v>-</v>
      </c>
      <c r="E120" s="200">
        <f t="shared" si="22"/>
        <v>2026</v>
      </c>
      <c r="F120" s="200">
        <f t="shared" si="22"/>
        <v>1811</v>
      </c>
      <c r="G120" s="200">
        <f t="shared" si="22"/>
        <v>315</v>
      </c>
      <c r="H120" s="200" t="str">
        <f t="shared" si="22"/>
        <v>-</v>
      </c>
      <c r="I120" s="200">
        <f t="shared" si="22"/>
        <v>4152</v>
      </c>
      <c r="K120" s="200" t="str">
        <f t="shared" ref="K120:R120" si="24">IF(AND(K73="-",K26="-"),"-",SUM(K73,K26))</f>
        <v>-</v>
      </c>
      <c r="L120" s="200" t="str">
        <f t="shared" si="24"/>
        <v>-</v>
      </c>
      <c r="M120" s="200" t="str">
        <f t="shared" si="24"/>
        <v>-</v>
      </c>
      <c r="N120" s="200">
        <f t="shared" si="24"/>
        <v>18835</v>
      </c>
      <c r="O120" s="200">
        <f t="shared" si="24"/>
        <v>13310</v>
      </c>
      <c r="P120" s="200">
        <f t="shared" si="24"/>
        <v>424</v>
      </c>
      <c r="Q120" s="200" t="str">
        <f t="shared" si="24"/>
        <v>-</v>
      </c>
      <c r="R120" s="200">
        <f t="shared" si="24"/>
        <v>32569</v>
      </c>
      <c r="S120" s="22"/>
      <c r="T120" s="22"/>
    </row>
    <row r="121" spans="1:20" ht="11.25" customHeight="1" x14ac:dyDescent="0.25">
      <c r="A121" s="371">
        <v>1998</v>
      </c>
      <c r="B121" s="200" t="str">
        <f t="shared" si="22"/>
        <v>-</v>
      </c>
      <c r="C121" s="200" t="str">
        <f t="shared" si="22"/>
        <v>-</v>
      </c>
      <c r="D121" s="200" t="str">
        <f t="shared" si="22"/>
        <v>-</v>
      </c>
      <c r="E121" s="200" t="str">
        <f t="shared" si="22"/>
        <v>-</v>
      </c>
      <c r="F121" s="200">
        <f t="shared" si="22"/>
        <v>2011</v>
      </c>
      <c r="G121" s="200">
        <f t="shared" si="22"/>
        <v>281</v>
      </c>
      <c r="H121" s="200" t="str">
        <f t="shared" si="22"/>
        <v>-</v>
      </c>
      <c r="I121" s="200">
        <f t="shared" si="22"/>
        <v>2292</v>
      </c>
      <c r="K121" s="200" t="str">
        <f t="shared" ref="K121:R121" si="25">IF(AND(K74="-",K27="-"),"-",SUM(K74,K27))</f>
        <v>-</v>
      </c>
      <c r="L121" s="200" t="str">
        <f t="shared" si="25"/>
        <v>-</v>
      </c>
      <c r="M121" s="200" t="str">
        <f t="shared" si="25"/>
        <v>-</v>
      </c>
      <c r="N121" s="200" t="str">
        <f t="shared" si="25"/>
        <v>-</v>
      </c>
      <c r="O121" s="200">
        <f t="shared" si="25"/>
        <v>21313</v>
      </c>
      <c r="P121" s="200">
        <f t="shared" si="25"/>
        <v>1564</v>
      </c>
      <c r="Q121" s="200" t="str">
        <f t="shared" si="25"/>
        <v>-</v>
      </c>
      <c r="R121" s="200">
        <f t="shared" si="25"/>
        <v>22877</v>
      </c>
      <c r="S121" s="22"/>
      <c r="T121" s="22"/>
    </row>
    <row r="122" spans="1:20" ht="11.25" customHeight="1" x14ac:dyDescent="0.25">
      <c r="A122" s="371">
        <v>1999</v>
      </c>
      <c r="B122" s="200" t="str">
        <f t="shared" si="22"/>
        <v>-</v>
      </c>
      <c r="C122" s="200" t="str">
        <f t="shared" si="22"/>
        <v>-</v>
      </c>
      <c r="D122" s="200" t="str">
        <f t="shared" si="22"/>
        <v>-</v>
      </c>
      <c r="E122" s="200">
        <f t="shared" si="22"/>
        <v>3381</v>
      </c>
      <c r="F122" s="200">
        <f t="shared" si="22"/>
        <v>5720</v>
      </c>
      <c r="G122" s="200">
        <f t="shared" si="22"/>
        <v>1720</v>
      </c>
      <c r="H122" s="200" t="str">
        <f t="shared" si="22"/>
        <v>-</v>
      </c>
      <c r="I122" s="200">
        <f t="shared" si="22"/>
        <v>10821</v>
      </c>
      <c r="K122" s="200" t="str">
        <f t="shared" ref="K122:R122" si="26">IF(AND(K75="-",K28="-"),"-",SUM(K75,K28))</f>
        <v>-</v>
      </c>
      <c r="L122" s="200" t="str">
        <f t="shared" si="26"/>
        <v>-</v>
      </c>
      <c r="M122" s="200" t="str">
        <f t="shared" si="26"/>
        <v>-</v>
      </c>
      <c r="N122" s="200">
        <f t="shared" si="26"/>
        <v>13813</v>
      </c>
      <c r="O122" s="200">
        <f t="shared" si="26"/>
        <v>24390</v>
      </c>
      <c r="P122" s="200">
        <f t="shared" si="26"/>
        <v>9466</v>
      </c>
      <c r="Q122" s="200" t="str">
        <f t="shared" si="26"/>
        <v>-</v>
      </c>
      <c r="R122" s="200">
        <f t="shared" si="26"/>
        <v>47669</v>
      </c>
      <c r="S122" s="22"/>
      <c r="T122" s="22"/>
    </row>
    <row r="123" spans="1:20" ht="11.25" customHeight="1" x14ac:dyDescent="0.25">
      <c r="A123" s="371">
        <v>2000</v>
      </c>
      <c r="B123" s="200" t="str">
        <f t="shared" si="22"/>
        <v>-</v>
      </c>
      <c r="C123" s="200" t="str">
        <f t="shared" si="22"/>
        <v>-</v>
      </c>
      <c r="D123" s="200" t="str">
        <f t="shared" si="22"/>
        <v>-</v>
      </c>
      <c r="E123" s="200">
        <f t="shared" si="22"/>
        <v>5755</v>
      </c>
      <c r="F123" s="200">
        <f t="shared" si="22"/>
        <v>3487</v>
      </c>
      <c r="G123" s="200" t="str">
        <f t="shared" si="22"/>
        <v>-</v>
      </c>
      <c r="H123" s="200" t="str">
        <f t="shared" si="22"/>
        <v>-</v>
      </c>
      <c r="I123" s="200">
        <f t="shared" si="22"/>
        <v>9242</v>
      </c>
      <c r="K123" s="200" t="str">
        <f t="shared" ref="K123:R123" si="27">IF(AND(K76="-",K29="-"),"-",SUM(K76,K29))</f>
        <v>-</v>
      </c>
      <c r="L123" s="200" t="str">
        <f t="shared" si="27"/>
        <v>-</v>
      </c>
      <c r="M123" s="200" t="str">
        <f t="shared" si="27"/>
        <v>-</v>
      </c>
      <c r="N123" s="200">
        <f t="shared" si="27"/>
        <v>41328</v>
      </c>
      <c r="O123" s="200">
        <f t="shared" si="27"/>
        <v>38530</v>
      </c>
      <c r="P123" s="200">
        <f t="shared" si="27"/>
        <v>2067</v>
      </c>
      <c r="Q123" s="200" t="str">
        <f t="shared" si="27"/>
        <v>-</v>
      </c>
      <c r="R123" s="200">
        <f t="shared" si="27"/>
        <v>81925</v>
      </c>
      <c r="S123" s="22"/>
      <c r="T123" s="22"/>
    </row>
    <row r="124" spans="1:20" ht="11.25" customHeight="1" x14ac:dyDescent="0.25">
      <c r="A124" s="371">
        <v>2001</v>
      </c>
      <c r="B124" s="200" t="str">
        <f t="shared" si="22"/>
        <v>-</v>
      </c>
      <c r="C124" s="200" t="str">
        <f t="shared" si="22"/>
        <v>-</v>
      </c>
      <c r="D124" s="200" t="str">
        <f t="shared" si="22"/>
        <v>-</v>
      </c>
      <c r="E124" s="200">
        <f t="shared" si="22"/>
        <v>16885</v>
      </c>
      <c r="F124" s="200">
        <f t="shared" si="22"/>
        <v>7002</v>
      </c>
      <c r="G124" s="200">
        <f t="shared" si="22"/>
        <v>1605</v>
      </c>
      <c r="H124" s="200">
        <f t="shared" si="22"/>
        <v>100</v>
      </c>
      <c r="I124" s="200">
        <f t="shared" si="22"/>
        <v>25592</v>
      </c>
      <c r="K124" s="200" t="str">
        <f t="shared" ref="K124:R124" si="28">IF(AND(K77="-",K30="-"),"-",SUM(K77,K30))</f>
        <v>-</v>
      </c>
      <c r="L124" s="200">
        <f t="shared" si="28"/>
        <v>0</v>
      </c>
      <c r="M124" s="200" t="str">
        <f t="shared" si="28"/>
        <v>-</v>
      </c>
      <c r="N124" s="200">
        <f t="shared" si="28"/>
        <v>88859</v>
      </c>
      <c r="O124" s="200">
        <f t="shared" si="28"/>
        <v>89757</v>
      </c>
      <c r="P124" s="200">
        <f t="shared" si="28"/>
        <v>28620</v>
      </c>
      <c r="Q124" s="200">
        <f t="shared" si="28"/>
        <v>15</v>
      </c>
      <c r="R124" s="200">
        <f t="shared" si="28"/>
        <v>207251</v>
      </c>
      <c r="S124" s="22"/>
      <c r="T124" s="22"/>
    </row>
    <row r="125" spans="1:20" ht="11.25" customHeight="1" x14ac:dyDescent="0.25">
      <c r="A125" s="371">
        <v>2002</v>
      </c>
      <c r="B125" s="200" t="str">
        <f t="shared" si="22"/>
        <v>-</v>
      </c>
      <c r="C125" s="200">
        <f t="shared" si="22"/>
        <v>2640</v>
      </c>
      <c r="D125" s="200">
        <f t="shared" si="22"/>
        <v>17499</v>
      </c>
      <c r="E125" s="200">
        <f t="shared" si="22"/>
        <v>26904</v>
      </c>
      <c r="F125" s="200">
        <f t="shared" si="22"/>
        <v>13282</v>
      </c>
      <c r="G125" s="200">
        <f t="shared" si="22"/>
        <v>204</v>
      </c>
      <c r="H125" s="200">
        <f t="shared" si="22"/>
        <v>46</v>
      </c>
      <c r="I125" s="200">
        <f t="shared" si="22"/>
        <v>60575</v>
      </c>
      <c r="K125" s="200" t="str">
        <f t="shared" ref="K125:R125" si="29">IF(AND(K78="-",K31="-"),"-",SUM(K78,K31))</f>
        <v>-</v>
      </c>
      <c r="L125" s="200">
        <f t="shared" si="29"/>
        <v>5</v>
      </c>
      <c r="M125" s="200">
        <f t="shared" si="29"/>
        <v>301</v>
      </c>
      <c r="N125" s="200">
        <f t="shared" si="29"/>
        <v>24895</v>
      </c>
      <c r="O125" s="200">
        <f t="shared" si="29"/>
        <v>49718</v>
      </c>
      <c r="P125" s="200">
        <f t="shared" si="29"/>
        <v>13614</v>
      </c>
      <c r="Q125" s="200">
        <f t="shared" si="29"/>
        <v>4</v>
      </c>
      <c r="R125" s="200">
        <f t="shared" si="29"/>
        <v>88537</v>
      </c>
      <c r="S125" s="22"/>
      <c r="T125" s="22"/>
    </row>
    <row r="126" spans="1:20" ht="11.25" customHeight="1" x14ac:dyDescent="0.25">
      <c r="A126" s="371">
        <v>2003</v>
      </c>
      <c r="B126" s="200" t="str">
        <f t="shared" si="22"/>
        <v>-</v>
      </c>
      <c r="C126" s="200" t="str">
        <f t="shared" si="22"/>
        <v>-</v>
      </c>
      <c r="D126" s="200">
        <f t="shared" si="22"/>
        <v>2741</v>
      </c>
      <c r="E126" s="200">
        <f t="shared" si="22"/>
        <v>15003</v>
      </c>
      <c r="F126" s="200">
        <f t="shared" si="22"/>
        <v>15972</v>
      </c>
      <c r="G126" s="200">
        <f t="shared" si="22"/>
        <v>2735</v>
      </c>
      <c r="H126" s="200">
        <f t="shared" si="22"/>
        <v>62</v>
      </c>
      <c r="I126" s="200">
        <f t="shared" si="22"/>
        <v>36513</v>
      </c>
      <c r="K126" s="200" t="str">
        <f t="shared" ref="K126:R126" si="30">IF(AND(K79="-",K32="-"),"-",SUM(K79,K32))</f>
        <v>-</v>
      </c>
      <c r="L126" s="200" t="str">
        <f t="shared" si="30"/>
        <v>-</v>
      </c>
      <c r="M126" s="200">
        <f t="shared" si="30"/>
        <v>4290</v>
      </c>
      <c r="N126" s="200">
        <f t="shared" si="30"/>
        <v>58146</v>
      </c>
      <c r="O126" s="200">
        <f t="shared" si="30"/>
        <v>91214</v>
      </c>
      <c r="P126" s="200">
        <f t="shared" si="30"/>
        <v>15205</v>
      </c>
      <c r="Q126" s="200">
        <f t="shared" si="30"/>
        <v>12</v>
      </c>
      <c r="R126" s="200">
        <f t="shared" si="30"/>
        <v>168867</v>
      </c>
      <c r="S126" s="22"/>
      <c r="T126" s="22"/>
    </row>
    <row r="127" spans="1:20" ht="11.25" customHeight="1" x14ac:dyDescent="0.25">
      <c r="A127" s="348">
        <v>2004</v>
      </c>
      <c r="B127" s="203" t="str">
        <f t="shared" si="22"/>
        <v>-</v>
      </c>
      <c r="C127" s="203" t="str">
        <f t="shared" si="22"/>
        <v>-</v>
      </c>
      <c r="D127" s="203">
        <f t="shared" si="22"/>
        <v>574</v>
      </c>
      <c r="E127" s="203">
        <f t="shared" si="22"/>
        <v>10125</v>
      </c>
      <c r="F127" s="203">
        <f t="shared" si="22"/>
        <v>12442</v>
      </c>
      <c r="G127" s="203">
        <f t="shared" si="22"/>
        <v>3949</v>
      </c>
      <c r="H127" s="203">
        <f t="shared" si="22"/>
        <v>6</v>
      </c>
      <c r="I127" s="203">
        <f t="shared" si="22"/>
        <v>27090</v>
      </c>
      <c r="J127" s="64"/>
      <c r="K127" s="203" t="str">
        <f t="shared" ref="K127:R127" si="31">IF(AND(K80="-",K33="-"),"-",SUM(K80,K33))</f>
        <v>-</v>
      </c>
      <c r="L127" s="203" t="str">
        <f t="shared" si="31"/>
        <v>-</v>
      </c>
      <c r="M127" s="203">
        <f t="shared" si="31"/>
        <v>2884</v>
      </c>
      <c r="N127" s="203">
        <f t="shared" si="31"/>
        <v>46471</v>
      </c>
      <c r="O127" s="203">
        <f t="shared" si="31"/>
        <v>68229</v>
      </c>
      <c r="P127" s="203">
        <f t="shared" si="31"/>
        <v>17847</v>
      </c>
      <c r="Q127" s="203">
        <f t="shared" si="31"/>
        <v>3</v>
      </c>
      <c r="R127" s="203">
        <f t="shared" si="31"/>
        <v>135434</v>
      </c>
      <c r="S127" s="22"/>
      <c r="T127" s="22"/>
    </row>
    <row r="128" spans="1:20" ht="11.25" customHeight="1" x14ac:dyDescent="0.25">
      <c r="A128" s="348">
        <v>2005</v>
      </c>
      <c r="B128" s="203" t="str">
        <f t="shared" si="22"/>
        <v>-</v>
      </c>
      <c r="C128" s="203" t="str">
        <f t="shared" si="22"/>
        <v>-</v>
      </c>
      <c r="D128" s="203">
        <f t="shared" si="22"/>
        <v>364</v>
      </c>
      <c r="E128" s="203">
        <f t="shared" si="22"/>
        <v>9759.4236039019888</v>
      </c>
      <c r="F128" s="203">
        <f t="shared" si="22"/>
        <v>22828.399514076762</v>
      </c>
      <c r="G128" s="203">
        <f t="shared" si="22"/>
        <v>7008.9502311670931</v>
      </c>
      <c r="H128" s="203">
        <f t="shared" si="22"/>
        <v>43</v>
      </c>
      <c r="I128" s="203">
        <f t="shared" si="22"/>
        <v>40003.773349145842</v>
      </c>
      <c r="J128" s="64"/>
      <c r="K128" s="203" t="str">
        <f t="shared" ref="K128:R128" si="32">IF(AND(K81="-",K34="-"),"-",SUM(K81,K34))</f>
        <v>-</v>
      </c>
      <c r="L128" s="203" t="str">
        <f t="shared" si="32"/>
        <v>-</v>
      </c>
      <c r="M128" s="203">
        <f t="shared" si="32"/>
        <v>126</v>
      </c>
      <c r="N128" s="203">
        <f t="shared" si="32"/>
        <v>19610.76608873891</v>
      </c>
      <c r="O128" s="203">
        <f t="shared" si="32"/>
        <v>32087.151707361139</v>
      </c>
      <c r="P128" s="203">
        <f t="shared" si="32"/>
        <v>9893.6344315132774</v>
      </c>
      <c r="Q128" s="203">
        <f t="shared" si="32"/>
        <v>18</v>
      </c>
      <c r="R128" s="203">
        <f t="shared" si="32"/>
        <v>61735.552227613327</v>
      </c>
      <c r="S128" s="22"/>
      <c r="T128" s="22"/>
    </row>
    <row r="129" spans="1:20" ht="11.25" customHeight="1" x14ac:dyDescent="0.25">
      <c r="A129" s="348">
        <v>2006</v>
      </c>
      <c r="B129" s="203" t="str">
        <f t="shared" ref="B129:I129" si="33">IF(AND(B82="-",B35="-"),"-",SUM(B82,B35))</f>
        <v>-</v>
      </c>
      <c r="C129" s="203" t="str">
        <f t="shared" si="33"/>
        <v>-</v>
      </c>
      <c r="D129" s="203">
        <f t="shared" si="33"/>
        <v>202.26999999999998</v>
      </c>
      <c r="E129" s="203">
        <f t="shared" si="33"/>
        <v>3832.4300000000003</v>
      </c>
      <c r="F129" s="203">
        <f t="shared" si="33"/>
        <v>6040.0999999999995</v>
      </c>
      <c r="G129" s="203">
        <f t="shared" si="33"/>
        <v>1011.02</v>
      </c>
      <c r="H129" s="203">
        <f t="shared" si="33"/>
        <v>90.54</v>
      </c>
      <c r="I129" s="203">
        <f t="shared" si="33"/>
        <v>11176.36</v>
      </c>
      <c r="J129" s="64"/>
      <c r="K129" s="203" t="str">
        <f t="shared" ref="K129:R129" si="34">IF(AND(K82="-",K35="-"),"-",SUM(K82,K35))</f>
        <v>-</v>
      </c>
      <c r="L129" s="203" t="str">
        <f t="shared" si="34"/>
        <v>-</v>
      </c>
      <c r="M129" s="203">
        <f t="shared" si="34"/>
        <v>416.05</v>
      </c>
      <c r="N129" s="203">
        <f t="shared" si="34"/>
        <v>14663.27</v>
      </c>
      <c r="O129" s="203">
        <f t="shared" si="34"/>
        <v>24068.910000000003</v>
      </c>
      <c r="P129" s="203">
        <f t="shared" si="34"/>
        <v>2347.1999999999998</v>
      </c>
      <c r="Q129" s="203">
        <f t="shared" si="34"/>
        <v>2.4</v>
      </c>
      <c r="R129" s="203">
        <f t="shared" si="34"/>
        <v>41497.83</v>
      </c>
      <c r="S129" s="22"/>
      <c r="T129" s="22"/>
    </row>
    <row r="130" spans="1:20" ht="11.25" customHeight="1" x14ac:dyDescent="0.25">
      <c r="A130" s="348">
        <v>2007</v>
      </c>
      <c r="B130" s="203" t="str">
        <f t="shared" ref="B130:I130" si="35">IF(AND(B83="-",B36="-"),"-",SUM(B83,B36))</f>
        <v>-</v>
      </c>
      <c r="C130" s="203" t="str">
        <f t="shared" si="35"/>
        <v>-</v>
      </c>
      <c r="D130" s="203" t="str">
        <f t="shared" si="35"/>
        <v>-</v>
      </c>
      <c r="E130" s="203">
        <f t="shared" si="35"/>
        <v>4177.7299999999996</v>
      </c>
      <c r="F130" s="203">
        <f t="shared" si="35"/>
        <v>4819.41</v>
      </c>
      <c r="G130" s="203">
        <f t="shared" si="35"/>
        <v>540.65</v>
      </c>
      <c r="H130" s="203">
        <f t="shared" si="35"/>
        <v>0</v>
      </c>
      <c r="I130" s="203">
        <f t="shared" si="35"/>
        <v>9537.7900000000009</v>
      </c>
      <c r="J130" s="64"/>
      <c r="K130" s="203" t="str">
        <f t="shared" ref="K130:R130" si="36">IF(AND(K83="-",K36="-"),"-",SUM(K83,K36))</f>
        <v>-</v>
      </c>
      <c r="L130" s="203" t="str">
        <f t="shared" si="36"/>
        <v>-</v>
      </c>
      <c r="M130" s="203" t="str">
        <f t="shared" si="36"/>
        <v>-</v>
      </c>
      <c r="N130" s="203">
        <f t="shared" si="36"/>
        <v>29010.18</v>
      </c>
      <c r="O130" s="203">
        <f t="shared" si="36"/>
        <v>67286.48000000001</v>
      </c>
      <c r="P130" s="203">
        <f t="shared" si="36"/>
        <v>5887.9400000000005</v>
      </c>
      <c r="Q130" s="203">
        <f t="shared" si="36"/>
        <v>0</v>
      </c>
      <c r="R130" s="203">
        <f t="shared" si="36"/>
        <v>102184.59999999999</v>
      </c>
      <c r="S130" s="148"/>
      <c r="T130" s="148"/>
    </row>
    <row r="131" spans="1:20" ht="11.25" customHeight="1" x14ac:dyDescent="0.25">
      <c r="A131" s="348">
        <v>2008</v>
      </c>
      <c r="B131" s="203" t="str">
        <f t="shared" ref="B131:I131" si="37">IF(AND(B84="-",B37="-"),"-",SUM(B84,B37))</f>
        <v>-</v>
      </c>
      <c r="C131" s="203">
        <f t="shared" si="37"/>
        <v>17</v>
      </c>
      <c r="D131" s="203">
        <f t="shared" si="37"/>
        <v>3162.5499999999997</v>
      </c>
      <c r="E131" s="203">
        <f t="shared" si="37"/>
        <v>6936.7</v>
      </c>
      <c r="F131" s="203">
        <f t="shared" si="37"/>
        <v>4915.58</v>
      </c>
      <c r="G131" s="203">
        <f t="shared" si="37"/>
        <v>413.91</v>
      </c>
      <c r="H131" s="203">
        <f t="shared" si="37"/>
        <v>6.25</v>
      </c>
      <c r="I131" s="203">
        <f t="shared" si="37"/>
        <v>15451.99</v>
      </c>
      <c r="J131" s="64"/>
      <c r="K131" s="203" t="str">
        <f t="shared" ref="K131:R131" si="38">IF(AND(K84="-",K37="-"),"-",SUM(K84,K37))</f>
        <v>-</v>
      </c>
      <c r="L131" s="203" t="str">
        <f t="shared" si="38"/>
        <v>-</v>
      </c>
      <c r="M131" s="203">
        <f t="shared" si="38"/>
        <v>461.27</v>
      </c>
      <c r="N131" s="203">
        <f t="shared" si="38"/>
        <v>7776.8099999999995</v>
      </c>
      <c r="O131" s="203">
        <f t="shared" si="38"/>
        <v>11069.61</v>
      </c>
      <c r="P131" s="203">
        <f t="shared" si="38"/>
        <v>1751.83</v>
      </c>
      <c r="Q131" s="203">
        <f t="shared" si="38"/>
        <v>1.25</v>
      </c>
      <c r="R131" s="203">
        <f t="shared" si="38"/>
        <v>21060.77</v>
      </c>
      <c r="S131" s="148"/>
      <c r="T131" s="148"/>
    </row>
    <row r="132" spans="1:20" ht="11.25" customHeight="1" x14ac:dyDescent="0.25">
      <c r="A132" s="348">
        <v>2009</v>
      </c>
      <c r="B132" s="203" t="str">
        <f t="shared" ref="B132:I132" si="39">IF(AND(B85="-",B38="-"),"-",SUM(B85,B38))</f>
        <v>-</v>
      </c>
      <c r="C132" s="203" t="str">
        <f t="shared" si="39"/>
        <v>-</v>
      </c>
      <c r="D132" s="203">
        <f t="shared" si="39"/>
        <v>196.07</v>
      </c>
      <c r="E132" s="203">
        <f t="shared" si="39"/>
        <v>4898.21</v>
      </c>
      <c r="F132" s="203">
        <f t="shared" si="39"/>
        <v>7775.51</v>
      </c>
      <c r="G132" s="203">
        <f t="shared" si="39"/>
        <v>364.34000000000003</v>
      </c>
      <c r="H132" s="203">
        <f t="shared" si="39"/>
        <v>96.78</v>
      </c>
      <c r="I132" s="203">
        <f t="shared" si="39"/>
        <v>13330.91</v>
      </c>
      <c r="J132" s="64"/>
      <c r="K132" s="203" t="str">
        <f t="shared" ref="K132:R132" si="40">IF(AND(K85="-",K38="-"),"-",SUM(K85,K38))</f>
        <v>-</v>
      </c>
      <c r="L132" s="203" t="str">
        <f t="shared" si="40"/>
        <v>-</v>
      </c>
      <c r="M132" s="203">
        <f t="shared" si="40"/>
        <v>1294.99</v>
      </c>
      <c r="N132" s="203">
        <f t="shared" si="40"/>
        <v>44335.130000000005</v>
      </c>
      <c r="O132" s="203">
        <f t="shared" si="40"/>
        <v>99534.34</v>
      </c>
      <c r="P132" s="203">
        <f t="shared" si="40"/>
        <v>12654.859999999999</v>
      </c>
      <c r="Q132" s="203">
        <f t="shared" si="40"/>
        <v>92.41</v>
      </c>
      <c r="R132" s="203">
        <f t="shared" si="40"/>
        <v>157911.73000000001</v>
      </c>
      <c r="S132" s="148"/>
      <c r="T132" s="148"/>
    </row>
    <row r="133" spans="1:20" ht="11.25" customHeight="1" x14ac:dyDescent="0.25">
      <c r="A133" s="348">
        <v>2010</v>
      </c>
      <c r="B133" s="203" t="str">
        <f t="shared" ref="B133:I133" si="41">IF(AND(B86="-",B39="-"),"-",SUM(B86,B39))</f>
        <v>-</v>
      </c>
      <c r="C133" s="203" t="str">
        <f t="shared" si="41"/>
        <v>-</v>
      </c>
      <c r="D133" s="203">
        <f t="shared" si="41"/>
        <v>5036.8100000000004</v>
      </c>
      <c r="E133" s="203">
        <f t="shared" si="41"/>
        <v>13687.04</v>
      </c>
      <c r="F133" s="203">
        <f t="shared" si="41"/>
        <v>17662.37</v>
      </c>
      <c r="G133" s="203">
        <f t="shared" si="41"/>
        <v>2254.96</v>
      </c>
      <c r="H133" s="203">
        <f t="shared" si="41"/>
        <v>44.95</v>
      </c>
      <c r="I133" s="203">
        <f t="shared" si="41"/>
        <v>38686.130000000005</v>
      </c>
      <c r="J133" s="64"/>
      <c r="K133" s="203" t="str">
        <f t="shared" ref="K133:R133" si="42">IF(AND(K86="-",K39="-"),"-",SUM(K86,K39))</f>
        <v>-</v>
      </c>
      <c r="L133" s="203" t="str">
        <f t="shared" si="42"/>
        <v>-</v>
      </c>
      <c r="M133" s="203">
        <f t="shared" si="42"/>
        <v>59.38</v>
      </c>
      <c r="N133" s="203">
        <f t="shared" si="42"/>
        <v>13726.39</v>
      </c>
      <c r="O133" s="203">
        <f t="shared" si="42"/>
        <v>22403.41</v>
      </c>
      <c r="P133" s="203">
        <f t="shared" si="42"/>
        <v>6160.25</v>
      </c>
      <c r="Q133" s="203">
        <f t="shared" si="42"/>
        <v>36.76</v>
      </c>
      <c r="R133" s="203">
        <f t="shared" si="42"/>
        <v>42386.19</v>
      </c>
      <c r="S133" s="148"/>
      <c r="T133" s="148"/>
    </row>
    <row r="134" spans="1:20" ht="11.25" customHeight="1" x14ac:dyDescent="0.25">
      <c r="A134" s="348">
        <v>2011</v>
      </c>
      <c r="B134" s="203" t="str">
        <f t="shared" ref="B134:I134" si="43">IF(AND(B87="-",B40="-"),"-",SUM(B87,B40))</f>
        <v>-</v>
      </c>
      <c r="C134" s="203" t="str">
        <f t="shared" si="43"/>
        <v>-</v>
      </c>
      <c r="D134" s="203">
        <f t="shared" si="43"/>
        <v>2989.8199999999997</v>
      </c>
      <c r="E134" s="203">
        <f t="shared" si="43"/>
        <v>8417.76</v>
      </c>
      <c r="F134" s="203">
        <f t="shared" si="43"/>
        <v>18441.82</v>
      </c>
      <c r="G134" s="203">
        <f t="shared" si="43"/>
        <v>967.87</v>
      </c>
      <c r="H134" s="203">
        <f t="shared" si="43"/>
        <v>5</v>
      </c>
      <c r="I134" s="203">
        <f t="shared" si="43"/>
        <v>30822.269999999997</v>
      </c>
      <c r="J134" s="64"/>
      <c r="K134" s="203" t="str">
        <f t="shared" ref="K134:R134" si="44">IF(AND(K87="-",K40="-"),"-",SUM(K87,K40))</f>
        <v>-</v>
      </c>
      <c r="L134" s="203" t="str">
        <f t="shared" si="44"/>
        <v>-</v>
      </c>
      <c r="M134" s="203">
        <f t="shared" si="44"/>
        <v>797.72</v>
      </c>
      <c r="N134" s="203">
        <f t="shared" si="44"/>
        <v>13074.210000000001</v>
      </c>
      <c r="O134" s="203">
        <f t="shared" si="44"/>
        <v>25504.17</v>
      </c>
      <c r="P134" s="203">
        <f t="shared" si="44"/>
        <v>6249.25</v>
      </c>
      <c r="Q134" s="203">
        <f t="shared" si="44"/>
        <v>2.4500000000000002</v>
      </c>
      <c r="R134" s="203">
        <f t="shared" si="44"/>
        <v>45627.799999999996</v>
      </c>
      <c r="S134" s="148"/>
      <c r="T134" s="148"/>
    </row>
    <row r="135" spans="1:20" ht="11.25" customHeight="1" x14ac:dyDescent="0.25">
      <c r="A135" s="348">
        <v>2012</v>
      </c>
      <c r="B135" s="203" t="str">
        <f t="shared" ref="B135:I135" si="45">IF(AND(B88="-",B41="-"),"-",SUM(B88,B41))</f>
        <v>-</v>
      </c>
      <c r="C135" s="203" t="str">
        <f t="shared" si="45"/>
        <v>-</v>
      </c>
      <c r="D135" s="203">
        <f t="shared" si="45"/>
        <v>10842.96</v>
      </c>
      <c r="E135" s="203">
        <f t="shared" si="45"/>
        <v>10869.55</v>
      </c>
      <c r="F135" s="203">
        <f t="shared" si="45"/>
        <v>11447.119999999999</v>
      </c>
      <c r="G135" s="203">
        <f t="shared" si="45"/>
        <v>2140.63</v>
      </c>
      <c r="H135" s="203">
        <f t="shared" si="45"/>
        <v>132.59</v>
      </c>
      <c r="I135" s="203">
        <f t="shared" si="45"/>
        <v>35432.850000000006</v>
      </c>
      <c r="J135" s="64"/>
      <c r="K135" s="203" t="str">
        <f t="shared" ref="K135:R135" si="46">IF(AND(K88="-",K41="-"),"-",SUM(K88,K41))</f>
        <v>-</v>
      </c>
      <c r="L135" s="203" t="str">
        <f t="shared" si="46"/>
        <v>-</v>
      </c>
      <c r="M135" s="203">
        <f t="shared" si="46"/>
        <v>493.48</v>
      </c>
      <c r="N135" s="203">
        <f t="shared" si="46"/>
        <v>10911.51</v>
      </c>
      <c r="O135" s="203">
        <f t="shared" si="46"/>
        <v>12682.220000000001</v>
      </c>
      <c r="P135" s="203">
        <f t="shared" si="46"/>
        <v>8998.2100000000009</v>
      </c>
      <c r="Q135" s="203">
        <f t="shared" si="46"/>
        <v>20.81</v>
      </c>
      <c r="R135" s="203">
        <f t="shared" si="46"/>
        <v>33106.229999999996</v>
      </c>
      <c r="S135" s="148"/>
      <c r="T135" s="148"/>
    </row>
    <row r="136" spans="1:20" ht="11.25" customHeight="1" x14ac:dyDescent="0.25">
      <c r="A136" s="348">
        <v>2013</v>
      </c>
      <c r="B136" s="203" t="str">
        <f t="shared" ref="B136:I136" si="47">IF(AND(B89="-",B42="-"),"-",SUM(B89,B42))</f>
        <v>-</v>
      </c>
      <c r="C136" s="203">
        <f t="shared" si="47"/>
        <v>130.57999999999998</v>
      </c>
      <c r="D136" s="203">
        <f t="shared" si="47"/>
        <v>4957.43</v>
      </c>
      <c r="E136" s="203">
        <f t="shared" si="47"/>
        <v>9041.93</v>
      </c>
      <c r="F136" s="203">
        <f t="shared" si="47"/>
        <v>14526.3</v>
      </c>
      <c r="G136" s="203">
        <f t="shared" si="47"/>
        <v>2060.9300000000003</v>
      </c>
      <c r="H136" s="203">
        <f t="shared" si="47"/>
        <v>118.68</v>
      </c>
      <c r="I136" s="203">
        <f t="shared" si="47"/>
        <v>30835.85</v>
      </c>
      <c r="J136" s="64"/>
      <c r="K136" s="203" t="str">
        <f t="shared" ref="K136:R136" si="48">IF(AND(K89="-",K42="-"),"-",SUM(K89,K42))</f>
        <v>-</v>
      </c>
      <c r="L136" s="203" t="str">
        <f t="shared" si="48"/>
        <v>-</v>
      </c>
      <c r="M136" s="203">
        <f t="shared" si="48"/>
        <v>4122.6000000000004</v>
      </c>
      <c r="N136" s="203">
        <f t="shared" si="48"/>
        <v>11616.59</v>
      </c>
      <c r="O136" s="203">
        <f t="shared" si="48"/>
        <v>27487.87</v>
      </c>
      <c r="P136" s="203">
        <f t="shared" si="48"/>
        <v>6908.22</v>
      </c>
      <c r="Q136" s="203">
        <f t="shared" si="48"/>
        <v>17.72</v>
      </c>
      <c r="R136" s="203">
        <f t="shared" si="48"/>
        <v>50153</v>
      </c>
      <c r="S136" s="148"/>
      <c r="T136" s="148"/>
    </row>
    <row r="137" spans="1:20" ht="11.25" customHeight="1" x14ac:dyDescent="0.25">
      <c r="A137" s="348">
        <v>2014</v>
      </c>
      <c r="B137" s="203" t="str">
        <f t="shared" ref="B137:I137" si="49">IF(AND(B90="-",B43="-"),"-",SUM(B90,B43))</f>
        <v>-</v>
      </c>
      <c r="C137" s="203">
        <f t="shared" si="49"/>
        <v>650.30999999999995</v>
      </c>
      <c r="D137" s="203">
        <f t="shared" si="49"/>
        <v>6176.5</v>
      </c>
      <c r="E137" s="203">
        <f t="shared" si="49"/>
        <v>16088.49</v>
      </c>
      <c r="F137" s="203">
        <f t="shared" si="49"/>
        <v>17576.010000000002</v>
      </c>
      <c r="G137" s="203">
        <f t="shared" si="49"/>
        <v>1729.44</v>
      </c>
      <c r="H137" s="203">
        <f t="shared" si="49"/>
        <v>110.29</v>
      </c>
      <c r="I137" s="203">
        <f t="shared" si="49"/>
        <v>42331.039999999994</v>
      </c>
      <c r="J137" s="64"/>
      <c r="K137" s="203" t="str">
        <f t="shared" ref="K137:Q137" si="50">IF(AND(K90="-",K43="-"),"-",SUM(K90,K43))</f>
        <v>-</v>
      </c>
      <c r="L137" s="203" t="str">
        <f t="shared" si="50"/>
        <v>-</v>
      </c>
      <c r="M137" s="203">
        <f t="shared" si="50"/>
        <v>8839.01</v>
      </c>
      <c r="N137" s="203">
        <f t="shared" si="50"/>
        <v>40204.6</v>
      </c>
      <c r="O137" s="203">
        <f t="shared" si="50"/>
        <v>60914.15</v>
      </c>
      <c r="P137" s="203">
        <f t="shared" si="50"/>
        <v>29640.080000000002</v>
      </c>
      <c r="Q137" s="203">
        <f t="shared" si="50"/>
        <v>199.14</v>
      </c>
      <c r="R137" s="203">
        <f>IF(AND(R90="-",R43="-"),"-",SUM(R90,R43))</f>
        <v>139796.98000000001</v>
      </c>
      <c r="S137" s="148"/>
      <c r="T137" s="148"/>
    </row>
    <row r="138" spans="1:20" ht="11.25" customHeight="1" x14ac:dyDescent="0.25">
      <c r="A138" s="348">
        <v>2015</v>
      </c>
      <c r="B138" s="203" t="str">
        <f t="shared" ref="B138:I138" si="51">IF(AND(B91="-",B44="-"),"-",SUM(B91,B44))</f>
        <v>-</v>
      </c>
      <c r="C138" s="203">
        <f t="shared" si="51"/>
        <v>623.16</v>
      </c>
      <c r="D138" s="203">
        <f t="shared" si="51"/>
        <v>6297.58</v>
      </c>
      <c r="E138" s="203">
        <f t="shared" si="51"/>
        <v>17514.86</v>
      </c>
      <c r="F138" s="203">
        <f t="shared" si="51"/>
        <v>11538.57</v>
      </c>
      <c r="G138" s="203">
        <f t="shared" si="51"/>
        <v>6049.3099999999995</v>
      </c>
      <c r="H138" s="203">
        <f t="shared" si="51"/>
        <v>164.41</v>
      </c>
      <c r="I138" s="203">
        <f t="shared" si="51"/>
        <v>42187.89</v>
      </c>
      <c r="J138" s="64"/>
      <c r="K138" s="203" t="str">
        <f t="shared" ref="K138:Q138" si="52">IF(AND(K91="-",K44="-"),"-",SUM(K91,K44))</f>
        <v>-</v>
      </c>
      <c r="L138" s="203" t="str">
        <f t="shared" si="52"/>
        <v>-</v>
      </c>
      <c r="M138" s="203">
        <f t="shared" si="52"/>
        <v>5946.9400000000005</v>
      </c>
      <c r="N138" s="203">
        <f t="shared" si="52"/>
        <v>31174.42</v>
      </c>
      <c r="O138" s="203">
        <f t="shared" si="52"/>
        <v>27415.649999999998</v>
      </c>
      <c r="P138" s="203">
        <f t="shared" si="52"/>
        <v>19027.48</v>
      </c>
      <c r="Q138" s="203">
        <f t="shared" si="52"/>
        <v>12.74</v>
      </c>
      <c r="R138" s="203">
        <f>IF(AND(R91="-",R44="-"),"-",SUM(R91,R44))</f>
        <v>83577.23000000001</v>
      </c>
      <c r="S138" s="148"/>
      <c r="T138" s="148"/>
    </row>
    <row r="139" spans="1:20" ht="11.25" customHeight="1" x14ac:dyDescent="0.25">
      <c r="A139" s="348">
        <v>2016</v>
      </c>
      <c r="B139" s="203" t="str">
        <f t="shared" ref="B139:I139" si="53">IF(AND(B92="-",B45="-"),"-",SUM(B92,B45))</f>
        <v>-</v>
      </c>
      <c r="C139" s="203" t="str">
        <f t="shared" si="53"/>
        <v>-</v>
      </c>
      <c r="D139" s="203" t="str">
        <f t="shared" si="53"/>
        <v>-</v>
      </c>
      <c r="E139" s="203">
        <f t="shared" si="53"/>
        <v>10171.99</v>
      </c>
      <c r="F139" s="203">
        <f t="shared" si="53"/>
        <v>7775.48</v>
      </c>
      <c r="G139" s="203" t="str">
        <f t="shared" si="53"/>
        <v>-</v>
      </c>
      <c r="H139" s="203" t="str">
        <f t="shared" si="53"/>
        <v>-</v>
      </c>
      <c r="I139" s="203">
        <f t="shared" si="53"/>
        <v>17947.47</v>
      </c>
      <c r="J139" s="64"/>
      <c r="K139" s="203" t="str">
        <f t="shared" ref="K139:Q139" si="54">IF(AND(K92="-",K45="-"),"-",SUM(K92,K45))</f>
        <v>-</v>
      </c>
      <c r="L139" s="203" t="str">
        <f t="shared" si="54"/>
        <v>-</v>
      </c>
      <c r="M139" s="203" t="str">
        <f t="shared" si="54"/>
        <v>-</v>
      </c>
      <c r="N139" s="203">
        <f t="shared" si="54"/>
        <v>5669.99</v>
      </c>
      <c r="O139" s="203">
        <f t="shared" si="54"/>
        <v>13042.630000000001</v>
      </c>
      <c r="P139" s="203" t="str">
        <f t="shared" si="54"/>
        <v>-</v>
      </c>
      <c r="Q139" s="203" t="str">
        <f t="shared" si="54"/>
        <v>-</v>
      </c>
      <c r="R139" s="203">
        <f>IF(AND(R92="-",R45="-"),"-",SUM(R92,R45))</f>
        <v>18712.62</v>
      </c>
      <c r="S139" s="148"/>
      <c r="T139" s="148"/>
    </row>
    <row r="140" spans="1:20" ht="11.25" customHeight="1" x14ac:dyDescent="0.25">
      <c r="A140" s="348">
        <v>2017</v>
      </c>
      <c r="B140" s="203" t="str">
        <f t="shared" ref="B140:I140" si="55">IF(AND(B93="-",B46="-"),"-",SUM(B93,B46))</f>
        <v>-</v>
      </c>
      <c r="C140" s="203" t="str">
        <f t="shared" si="55"/>
        <v>-</v>
      </c>
      <c r="D140" s="203">
        <f t="shared" si="55"/>
        <v>899.28</v>
      </c>
      <c r="E140" s="203">
        <f t="shared" si="55"/>
        <v>13348.34</v>
      </c>
      <c r="F140" s="203">
        <f t="shared" si="55"/>
        <v>7606.829999999999</v>
      </c>
      <c r="G140" s="203">
        <f t="shared" si="55"/>
        <v>90.74</v>
      </c>
      <c r="H140" s="203" t="str">
        <f t="shared" si="55"/>
        <v>-</v>
      </c>
      <c r="I140" s="203">
        <f t="shared" si="55"/>
        <v>21945.190000000002</v>
      </c>
      <c r="J140" s="64"/>
      <c r="K140" s="203" t="str">
        <f t="shared" ref="K140:Q140" si="56">IF(AND(K93="-",K46="-"),"-",SUM(K93,K46))</f>
        <v>-</v>
      </c>
      <c r="L140" s="203" t="str">
        <f t="shared" si="56"/>
        <v>-</v>
      </c>
      <c r="M140" s="203">
        <f t="shared" si="56"/>
        <v>100.71000000000001</v>
      </c>
      <c r="N140" s="203">
        <f t="shared" si="56"/>
        <v>16563.330000000002</v>
      </c>
      <c r="O140" s="203">
        <f t="shared" si="56"/>
        <v>25063.15</v>
      </c>
      <c r="P140" s="203">
        <f t="shared" si="56"/>
        <v>929.59999999999991</v>
      </c>
      <c r="Q140" s="203" t="str">
        <f t="shared" si="56"/>
        <v>-</v>
      </c>
      <c r="R140" s="203">
        <f>IF(AND(R93="-",R46="-"),"-",SUM(R93,R46))</f>
        <v>42656.79</v>
      </c>
      <c r="S140" s="148"/>
      <c r="T140" s="148"/>
    </row>
    <row r="141" spans="1:20" s="358" customFormat="1" ht="11.25" customHeight="1" x14ac:dyDescent="0.25">
      <c r="A141" s="348">
        <v>2018</v>
      </c>
      <c r="B141" s="203" t="str">
        <f t="shared" ref="B141:I141" si="57">IF(AND(B94="-",B47="-"),"-",SUM(B94,B47))</f>
        <v>-</v>
      </c>
      <c r="C141" s="203" t="str">
        <f t="shared" si="57"/>
        <v>-</v>
      </c>
      <c r="D141" s="203">
        <f t="shared" si="57"/>
        <v>952.96</v>
      </c>
      <c r="E141" s="203">
        <f t="shared" si="57"/>
        <v>5564.03</v>
      </c>
      <c r="F141" s="203">
        <f t="shared" si="57"/>
        <v>4025.67</v>
      </c>
      <c r="G141" s="203">
        <f t="shared" si="57"/>
        <v>59.63</v>
      </c>
      <c r="H141" s="203" t="str">
        <f t="shared" si="57"/>
        <v>-</v>
      </c>
      <c r="I141" s="203">
        <f t="shared" si="57"/>
        <v>10602.29</v>
      </c>
      <c r="J141" s="64"/>
      <c r="K141" s="203" t="str">
        <f t="shared" ref="K141:Q141" si="58">IF(AND(K94="-",K47="-"),"-",SUM(K94,K47))</f>
        <v>-</v>
      </c>
      <c r="L141" s="203" t="str">
        <f t="shared" si="58"/>
        <v>-</v>
      </c>
      <c r="M141" s="203">
        <f t="shared" si="58"/>
        <v>867.94</v>
      </c>
      <c r="N141" s="203">
        <f t="shared" si="58"/>
        <v>10973.68</v>
      </c>
      <c r="O141" s="203">
        <f t="shared" si="58"/>
        <v>29631.989999999998</v>
      </c>
      <c r="P141" s="203">
        <f t="shared" si="58"/>
        <v>364.28999999999996</v>
      </c>
      <c r="Q141" s="203" t="str">
        <f t="shared" si="58"/>
        <v>-</v>
      </c>
      <c r="R141" s="203">
        <f>IF(AND(R94="-",R47="-"),"-",SUM(R94,R47))</f>
        <v>41837.899999999994</v>
      </c>
      <c r="S141" s="148"/>
      <c r="T141" s="148"/>
    </row>
    <row r="142" spans="1:20" s="358" customFormat="1" ht="11.25" customHeight="1" x14ac:dyDescent="0.25">
      <c r="A142" s="491">
        <v>2019</v>
      </c>
      <c r="B142" s="203" t="str">
        <f t="shared" ref="B142:H143" si="59">IF(AND(B95="-",B48="-"),"-",SUM(B95,B48))</f>
        <v>-</v>
      </c>
      <c r="C142" s="203" t="str">
        <f t="shared" si="59"/>
        <v>-</v>
      </c>
      <c r="D142" s="203">
        <f t="shared" si="59"/>
        <v>1950.9900000000002</v>
      </c>
      <c r="E142" s="203">
        <f t="shared" si="59"/>
        <v>5965.1900000000005</v>
      </c>
      <c r="F142" s="203">
        <f t="shared" si="59"/>
        <v>2521.5500000000002</v>
      </c>
      <c r="G142" s="203">
        <f t="shared" si="59"/>
        <v>276.18</v>
      </c>
      <c r="H142" s="203">
        <f t="shared" si="59"/>
        <v>164.35</v>
      </c>
      <c r="I142" s="203">
        <f>IF(AND(I95="-",I48="-"),"-",SUM(I95,I48))</f>
        <v>10878.26</v>
      </c>
      <c r="J142" s="64"/>
      <c r="K142" s="203" t="str">
        <f t="shared" ref="K142:R143" si="60">IF(AND(K95="-",K48="-"),"-",SUM(K95,K48))</f>
        <v>-</v>
      </c>
      <c r="L142" s="203" t="str">
        <f t="shared" si="60"/>
        <v>-</v>
      </c>
      <c r="M142" s="203">
        <f t="shared" si="60"/>
        <v>6455.35</v>
      </c>
      <c r="N142" s="203">
        <f t="shared" si="60"/>
        <v>32492.399999999998</v>
      </c>
      <c r="O142" s="203">
        <f t="shared" si="60"/>
        <v>39329.089999999997</v>
      </c>
      <c r="P142" s="203">
        <f t="shared" si="60"/>
        <v>3355.85</v>
      </c>
      <c r="Q142" s="203">
        <f t="shared" si="60"/>
        <v>15.86</v>
      </c>
      <c r="R142" s="203">
        <f t="shared" si="60"/>
        <v>81648.55</v>
      </c>
      <c r="S142" s="148"/>
      <c r="T142" s="148"/>
    </row>
    <row r="143" spans="1:20" ht="11.25" customHeight="1" x14ac:dyDescent="0.25">
      <c r="A143" s="490" t="s">
        <v>394</v>
      </c>
      <c r="B143" s="20" t="str">
        <f t="shared" si="59"/>
        <v>-</v>
      </c>
      <c r="C143" s="20" t="str">
        <f t="shared" si="59"/>
        <v>-</v>
      </c>
      <c r="D143" s="20">
        <f t="shared" si="59"/>
        <v>821.30000000000007</v>
      </c>
      <c r="E143" s="20">
        <f t="shared" si="59"/>
        <v>4767.3599999999997</v>
      </c>
      <c r="F143" s="20">
        <f t="shared" si="59"/>
        <v>1591.84</v>
      </c>
      <c r="G143" s="20">
        <f t="shared" si="59"/>
        <v>478.51</v>
      </c>
      <c r="H143" s="20" t="str">
        <f t="shared" si="59"/>
        <v>-</v>
      </c>
      <c r="I143" s="20">
        <f>IF(AND(I96="-",I49="-"),"-",SUM(I96,I49))</f>
        <v>7659.01</v>
      </c>
      <c r="J143" s="51"/>
      <c r="K143" s="20" t="str">
        <f t="shared" si="60"/>
        <v>-</v>
      </c>
      <c r="L143" s="20" t="str">
        <f t="shared" si="60"/>
        <v>-</v>
      </c>
      <c r="M143" s="20">
        <f t="shared" si="60"/>
        <v>49.98</v>
      </c>
      <c r="N143" s="20">
        <f t="shared" si="60"/>
        <v>17702.04</v>
      </c>
      <c r="O143" s="20">
        <f t="shared" si="60"/>
        <v>3894.54</v>
      </c>
      <c r="P143" s="20">
        <f t="shared" si="60"/>
        <v>2327.23</v>
      </c>
      <c r="Q143" s="20" t="str">
        <f t="shared" si="60"/>
        <v>-</v>
      </c>
      <c r="R143" s="20">
        <f t="shared" si="60"/>
        <v>23973.79</v>
      </c>
      <c r="S143" s="22"/>
      <c r="T143" s="22"/>
    </row>
    <row r="144" spans="1:20" ht="11.25" customHeight="1" x14ac:dyDescent="0.25">
      <c r="A144" s="621" t="s">
        <v>98</v>
      </c>
      <c r="B144" s="621"/>
      <c r="C144" s="621"/>
      <c r="D144" s="621"/>
      <c r="E144" s="621"/>
      <c r="F144" s="621"/>
      <c r="G144" s="621"/>
      <c r="H144" s="621"/>
      <c r="I144" s="621"/>
      <c r="J144" s="621"/>
      <c r="K144" s="621"/>
      <c r="L144" s="621"/>
      <c r="M144" s="621"/>
      <c r="N144" s="621"/>
      <c r="O144" s="621"/>
      <c r="P144" s="621"/>
      <c r="Q144" s="621"/>
      <c r="R144" s="621"/>
      <c r="S144" s="22"/>
    </row>
    <row r="145" spans="1:18" ht="11.25" customHeight="1" x14ac:dyDescent="0.25">
      <c r="A145" s="605" t="s">
        <v>248</v>
      </c>
      <c r="B145" s="605"/>
      <c r="C145" s="605"/>
      <c r="D145" s="605"/>
      <c r="E145" s="605"/>
      <c r="F145" s="605"/>
      <c r="G145" s="605"/>
      <c r="H145" s="605"/>
      <c r="I145" s="605"/>
      <c r="J145" s="605"/>
      <c r="K145" s="605"/>
      <c r="L145" s="605"/>
      <c r="M145" s="605"/>
      <c r="N145" s="605"/>
      <c r="O145" s="605"/>
      <c r="P145" s="605"/>
      <c r="Q145" s="605"/>
      <c r="R145" s="605"/>
    </row>
    <row r="146" spans="1:18" ht="11.25" customHeight="1" x14ac:dyDescent="0.25">
      <c r="A146" s="620" t="s">
        <v>136</v>
      </c>
      <c r="B146" s="620"/>
      <c r="C146" s="620"/>
      <c r="D146" s="620"/>
      <c r="E146" s="620"/>
      <c r="F146" s="620"/>
      <c r="G146" s="620"/>
      <c r="H146" s="620"/>
      <c r="I146" s="620"/>
      <c r="J146" s="620"/>
      <c r="K146" s="620"/>
      <c r="L146" s="620"/>
      <c r="M146" s="620"/>
      <c r="N146" s="620"/>
      <c r="O146" s="620"/>
      <c r="P146" s="620"/>
      <c r="Q146" s="620"/>
      <c r="R146" s="620"/>
    </row>
    <row r="147" spans="1:18" ht="11.25" customHeight="1" x14ac:dyDescent="0.25">
      <c r="A147" s="519" t="s">
        <v>46</v>
      </c>
      <c r="B147" s="519"/>
      <c r="C147" s="519"/>
      <c r="D147" s="519"/>
      <c r="E147" s="519"/>
      <c r="F147" s="519"/>
      <c r="G147" s="519"/>
      <c r="H147" s="519"/>
      <c r="I147" s="519"/>
      <c r="J147" s="519"/>
      <c r="K147" s="519"/>
      <c r="L147" s="519"/>
      <c r="M147" s="519"/>
      <c r="N147" s="519"/>
      <c r="O147" s="519"/>
      <c r="P147" s="519"/>
      <c r="Q147" s="519"/>
      <c r="R147" s="519"/>
    </row>
    <row r="148" spans="1:18" ht="11.25" customHeight="1" x14ac:dyDescent="0.25">
      <c r="A148" s="372"/>
      <c r="B148" s="63"/>
      <c r="C148" s="63"/>
      <c r="D148" s="63"/>
      <c r="E148" s="63"/>
      <c r="F148" s="63"/>
      <c r="G148" s="63"/>
      <c r="H148" s="63"/>
      <c r="I148" s="63"/>
      <c r="K148" s="63"/>
      <c r="L148" s="63"/>
      <c r="M148" s="63"/>
      <c r="N148" s="63"/>
      <c r="O148" s="63"/>
      <c r="P148" s="63"/>
      <c r="Q148" s="63"/>
      <c r="R148" s="63"/>
    </row>
    <row r="149" spans="1:18" ht="11.25" customHeight="1" x14ac:dyDescent="0.25"/>
    <row r="150" spans="1:18" ht="11.25" customHeight="1" x14ac:dyDescent="0.25"/>
    <row r="151" spans="1:18" ht="11.25" customHeight="1" x14ac:dyDescent="0.25"/>
    <row r="152" spans="1:18" ht="11.25" customHeight="1" x14ac:dyDescent="0.25"/>
    <row r="153" spans="1:18" ht="11.25" customHeight="1" x14ac:dyDescent="0.25"/>
    <row r="154" spans="1:18" ht="11.25" customHeight="1" x14ac:dyDescent="0.25"/>
    <row r="155" spans="1:18" ht="11.25" customHeight="1" x14ac:dyDescent="0.25"/>
    <row r="156" spans="1:18" ht="11.25" customHeight="1" x14ac:dyDescent="0.25"/>
    <row r="157" spans="1:18" ht="11.25" customHeight="1" x14ac:dyDescent="0.25"/>
    <row r="158" spans="1:18" ht="11.25" customHeight="1" x14ac:dyDescent="0.25"/>
    <row r="159" spans="1:18" ht="11.25" customHeight="1" x14ac:dyDescent="0.25">
      <c r="A159" s="240"/>
      <c r="B159" s="241"/>
      <c r="C159" s="241"/>
      <c r="D159" s="241"/>
      <c r="E159" s="241"/>
      <c r="F159" s="241"/>
      <c r="G159" s="241"/>
      <c r="H159" s="241"/>
      <c r="I159" s="241"/>
      <c r="J159" s="252"/>
      <c r="K159" s="241"/>
      <c r="L159" s="241"/>
      <c r="M159" s="241"/>
      <c r="N159" s="241"/>
      <c r="O159" s="241"/>
      <c r="P159" s="241"/>
      <c r="Q159" s="241"/>
      <c r="R159" s="241"/>
    </row>
    <row r="160" spans="1:18" ht="11.25" customHeight="1" x14ac:dyDescent="0.25"/>
    <row r="161" spans="1:18" ht="11.25" customHeight="1" x14ac:dyDescent="0.25"/>
    <row r="162" spans="1:18" ht="11.25" customHeight="1" x14ac:dyDescent="0.25">
      <c r="A162" s="371"/>
      <c r="B162" s="200"/>
      <c r="C162" s="200"/>
      <c r="D162" s="200"/>
      <c r="E162" s="200"/>
      <c r="F162" s="200"/>
      <c r="G162" s="200"/>
      <c r="H162" s="200"/>
      <c r="I162" s="200"/>
      <c r="K162" s="200"/>
      <c r="L162" s="200"/>
      <c r="M162" s="200"/>
      <c r="N162" s="200"/>
      <c r="O162" s="200"/>
      <c r="P162" s="200"/>
      <c r="Q162" s="200"/>
      <c r="R162" s="200"/>
    </row>
    <row r="163" spans="1:18" ht="11.25" customHeight="1" x14ac:dyDescent="0.25">
      <c r="A163" s="371"/>
      <c r="B163" s="200"/>
      <c r="C163" s="200"/>
      <c r="D163" s="200"/>
      <c r="E163" s="200"/>
      <c r="F163" s="200"/>
      <c r="G163" s="200"/>
      <c r="H163" s="200"/>
      <c r="I163" s="200"/>
      <c r="K163" s="200"/>
      <c r="L163" s="200"/>
      <c r="M163" s="200"/>
      <c r="N163" s="200"/>
      <c r="O163" s="200"/>
      <c r="P163" s="200"/>
      <c r="Q163" s="200"/>
      <c r="R163" s="200"/>
    </row>
    <row r="164" spans="1:18" ht="11.25" customHeight="1" x14ac:dyDescent="0.25"/>
    <row r="165" spans="1:18" ht="11.25" customHeight="1" x14ac:dyDescent="0.25"/>
    <row r="166" spans="1:18" ht="11.25" customHeight="1" x14ac:dyDescent="0.25"/>
    <row r="167" spans="1:18" ht="11.25" customHeight="1" x14ac:dyDescent="0.25"/>
    <row r="168" spans="1:18" ht="11.25" customHeight="1" x14ac:dyDescent="0.25"/>
    <row r="169" spans="1:18" ht="11.25" customHeight="1" x14ac:dyDescent="0.25"/>
    <row r="170" spans="1:18" ht="11.25" customHeight="1" x14ac:dyDescent="0.25"/>
    <row r="171" spans="1:18" x14ac:dyDescent="0.25">
      <c r="A171" s="530" t="s">
        <v>317</v>
      </c>
      <c r="B171" s="530"/>
      <c r="C171" s="530"/>
      <c r="D171" s="530"/>
      <c r="E171" s="530"/>
      <c r="F171" s="530"/>
      <c r="G171" s="530"/>
      <c r="H171" s="530"/>
      <c r="I171" s="530"/>
      <c r="J171" s="530"/>
      <c r="K171" s="530"/>
      <c r="L171" s="530"/>
      <c r="M171" s="530"/>
      <c r="N171" s="530"/>
      <c r="O171" s="530"/>
      <c r="P171" s="530"/>
      <c r="Q171" s="530"/>
      <c r="R171" s="530"/>
    </row>
    <row r="172" spans="1:18" ht="11.25" customHeight="1" x14ac:dyDescent="0.25">
      <c r="A172" s="121" t="s">
        <v>33</v>
      </c>
      <c r="B172" s="398" t="s">
        <v>118</v>
      </c>
      <c r="C172" s="398" t="s">
        <v>35</v>
      </c>
      <c r="D172" s="398" t="s">
        <v>36</v>
      </c>
      <c r="E172" s="398" t="s">
        <v>37</v>
      </c>
      <c r="F172" s="398" t="s">
        <v>38</v>
      </c>
      <c r="G172" s="398" t="s">
        <v>39</v>
      </c>
      <c r="H172" s="398" t="s">
        <v>40</v>
      </c>
      <c r="I172" s="125" t="s">
        <v>295</v>
      </c>
      <c r="J172" s="399"/>
      <c r="K172" s="398" t="s">
        <v>118</v>
      </c>
      <c r="L172" s="398" t="s">
        <v>35</v>
      </c>
      <c r="M172" s="398" t="s">
        <v>36</v>
      </c>
      <c r="N172" s="398" t="s">
        <v>37</v>
      </c>
      <c r="O172" s="398" t="s">
        <v>38</v>
      </c>
      <c r="P172" s="398" t="s">
        <v>39</v>
      </c>
      <c r="Q172" s="398" t="s">
        <v>40</v>
      </c>
      <c r="R172" s="398" t="s">
        <v>28</v>
      </c>
    </row>
    <row r="173" spans="1:18" ht="11.25" customHeight="1" x14ac:dyDescent="0.25">
      <c r="A173" s="348"/>
      <c r="B173" s="583" t="s">
        <v>67</v>
      </c>
      <c r="C173" s="583"/>
      <c r="D173" s="583"/>
      <c r="E173" s="583"/>
      <c r="F173" s="583"/>
      <c r="G173" s="583"/>
      <c r="H173" s="583"/>
      <c r="I173" s="583"/>
      <c r="J173" s="68"/>
      <c r="K173" s="583" t="s">
        <v>68</v>
      </c>
      <c r="L173" s="583"/>
      <c r="M173" s="583"/>
      <c r="N173" s="583"/>
      <c r="O173" s="583"/>
      <c r="P173" s="583"/>
      <c r="Q173" s="583"/>
      <c r="R173" s="583"/>
    </row>
    <row r="174" spans="1:18" x14ac:dyDescent="0.25">
      <c r="A174" s="159" t="s">
        <v>315</v>
      </c>
      <c r="B174" s="203"/>
      <c r="C174" s="203"/>
      <c r="D174" s="203"/>
      <c r="E174" s="203"/>
      <c r="F174" s="203"/>
      <c r="G174" s="203"/>
      <c r="H174" s="203"/>
      <c r="I174" s="203"/>
      <c r="J174" s="64"/>
      <c r="K174" s="203"/>
      <c r="L174" s="203"/>
      <c r="M174" s="203"/>
      <c r="N174" s="203"/>
      <c r="O174" s="203"/>
      <c r="P174" s="203"/>
      <c r="Q174" s="203"/>
      <c r="R174" s="203"/>
    </row>
    <row r="175" spans="1:18" ht="11.25" customHeight="1" x14ac:dyDescent="0.25">
      <c r="A175" s="348" t="s">
        <v>30</v>
      </c>
      <c r="B175" s="203">
        <f t="shared" ref="B175:I175" si="61">AVERAGE(B10:B14)</f>
        <v>57.4</v>
      </c>
      <c r="C175" s="203">
        <f t="shared" si="61"/>
        <v>1981.8</v>
      </c>
      <c r="D175" s="203">
        <f t="shared" si="61"/>
        <v>13193.4</v>
      </c>
      <c r="E175" s="203">
        <f t="shared" si="61"/>
        <v>18821.599999999999</v>
      </c>
      <c r="F175" s="203">
        <f t="shared" si="61"/>
        <v>8162</v>
      </c>
      <c r="G175" s="203">
        <f t="shared" si="61"/>
        <v>505.25</v>
      </c>
      <c r="H175" s="203">
        <f t="shared" si="61"/>
        <v>26</v>
      </c>
      <c r="I175" s="203">
        <f t="shared" si="61"/>
        <v>42630.8</v>
      </c>
      <c r="J175" s="64"/>
      <c r="K175" s="203">
        <f t="shared" ref="K175:R175" si="62">AVERAGE(K10:K14)</f>
        <v>80</v>
      </c>
      <c r="L175" s="203">
        <f t="shared" si="62"/>
        <v>1157.3333333333333</v>
      </c>
      <c r="M175" s="203">
        <f t="shared" si="62"/>
        <v>12324</v>
      </c>
      <c r="N175" s="203">
        <f t="shared" si="62"/>
        <v>37403.599999999999</v>
      </c>
      <c r="O175" s="203">
        <f t="shared" si="62"/>
        <v>42235.199999999997</v>
      </c>
      <c r="P175" s="203">
        <f t="shared" si="62"/>
        <v>6210.8</v>
      </c>
      <c r="Q175" s="203">
        <f t="shared" si="62"/>
        <v>161</v>
      </c>
      <c r="R175" s="203">
        <f t="shared" si="62"/>
        <v>96515.8</v>
      </c>
    </row>
    <row r="176" spans="1:18" ht="11.25" customHeight="1" x14ac:dyDescent="0.25">
      <c r="A176" s="348" t="s">
        <v>87</v>
      </c>
      <c r="B176" s="203" t="s">
        <v>29</v>
      </c>
      <c r="C176" s="203">
        <f t="shared" ref="C176:I176" si="63">AVERAGE(C15:C19)</f>
        <v>790</v>
      </c>
      <c r="D176" s="203">
        <f t="shared" si="63"/>
        <v>1653.25</v>
      </c>
      <c r="E176" s="203">
        <f t="shared" si="63"/>
        <v>12706.2</v>
      </c>
      <c r="F176" s="203">
        <f t="shared" si="63"/>
        <v>5372.6</v>
      </c>
      <c r="G176" s="203">
        <f t="shared" si="63"/>
        <v>1161.3333333333333</v>
      </c>
      <c r="H176" s="203" t="s">
        <v>29</v>
      </c>
      <c r="I176" s="203">
        <f t="shared" si="63"/>
        <v>20256.2</v>
      </c>
      <c r="J176" s="64"/>
      <c r="K176" s="203" t="s">
        <v>29</v>
      </c>
      <c r="L176" s="203">
        <f t="shared" ref="L176:R176" si="64">AVERAGE(L15:L19)</f>
        <v>19</v>
      </c>
      <c r="M176" s="203">
        <f t="shared" si="64"/>
        <v>2439.25</v>
      </c>
      <c r="N176" s="203">
        <f t="shared" si="64"/>
        <v>58151</v>
      </c>
      <c r="O176" s="203">
        <f t="shared" si="64"/>
        <v>35745.800000000003</v>
      </c>
      <c r="P176" s="203">
        <f t="shared" si="64"/>
        <v>6320</v>
      </c>
      <c r="Q176" s="203">
        <f t="shared" si="64"/>
        <v>44.5</v>
      </c>
      <c r="R176" s="203">
        <f t="shared" si="64"/>
        <v>102189.8</v>
      </c>
    </row>
    <row r="177" spans="1:18" ht="11.25" customHeight="1" x14ac:dyDescent="0.25">
      <c r="A177" s="348" t="s">
        <v>14</v>
      </c>
      <c r="B177" s="203" t="s">
        <v>29</v>
      </c>
      <c r="C177" s="203">
        <f>AVERAGE(C20:C24)</f>
        <v>148</v>
      </c>
      <c r="D177" s="203">
        <f t="shared" ref="D177:R177" si="65">AVERAGE(D20:D24)</f>
        <v>1911</v>
      </c>
      <c r="E177" s="203">
        <f t="shared" si="65"/>
        <v>4305</v>
      </c>
      <c r="F177" s="203">
        <f t="shared" si="65"/>
        <v>3020</v>
      </c>
      <c r="G177" s="203">
        <f t="shared" si="65"/>
        <v>1548.75</v>
      </c>
      <c r="H177" s="203">
        <f t="shared" si="65"/>
        <v>215</v>
      </c>
      <c r="I177" s="203">
        <f t="shared" si="65"/>
        <v>9479.25</v>
      </c>
      <c r="J177" s="203"/>
      <c r="K177" s="203" t="s">
        <v>29</v>
      </c>
      <c r="L177" s="203">
        <f t="shared" si="65"/>
        <v>40</v>
      </c>
      <c r="M177" s="203">
        <f t="shared" si="65"/>
        <v>6781</v>
      </c>
      <c r="N177" s="203">
        <f t="shared" si="65"/>
        <v>37984.75</v>
      </c>
      <c r="O177" s="203">
        <f t="shared" si="65"/>
        <v>33461</v>
      </c>
      <c r="P177" s="203">
        <f t="shared" si="65"/>
        <v>9901.5</v>
      </c>
      <c r="Q177" s="203">
        <f t="shared" si="65"/>
        <v>324</v>
      </c>
      <c r="R177" s="203">
        <f t="shared" si="65"/>
        <v>83143.5</v>
      </c>
    </row>
    <row r="178" spans="1:18" ht="11.25" customHeight="1" x14ac:dyDescent="0.25">
      <c r="A178" s="348" t="s">
        <v>207</v>
      </c>
      <c r="B178" s="203" t="s">
        <v>29</v>
      </c>
      <c r="C178" s="203" t="s">
        <v>29</v>
      </c>
      <c r="D178" s="203" t="s">
        <v>29</v>
      </c>
      <c r="E178" s="203">
        <f t="shared" ref="E178:R178" si="66">AVERAGE(E25:E29)</f>
        <v>2246.25</v>
      </c>
      <c r="F178" s="203">
        <f t="shared" si="66"/>
        <v>1846</v>
      </c>
      <c r="G178" s="203">
        <f t="shared" si="66"/>
        <v>466.5</v>
      </c>
      <c r="H178" s="203" t="s">
        <v>29</v>
      </c>
      <c r="I178" s="203">
        <f t="shared" si="66"/>
        <v>4016.2</v>
      </c>
      <c r="J178" s="203"/>
      <c r="K178" s="203" t="s">
        <v>29</v>
      </c>
      <c r="L178" s="203" t="s">
        <v>29</v>
      </c>
      <c r="M178" s="203" t="s">
        <v>29</v>
      </c>
      <c r="N178" s="203">
        <f t="shared" si="66"/>
        <v>10579.25</v>
      </c>
      <c r="O178" s="203">
        <f t="shared" si="66"/>
        <v>14908.8</v>
      </c>
      <c r="P178" s="203">
        <f t="shared" si="66"/>
        <v>2343</v>
      </c>
      <c r="Q178" s="203" t="s">
        <v>29</v>
      </c>
      <c r="R178" s="203">
        <f t="shared" si="66"/>
        <v>25715.200000000001</v>
      </c>
    </row>
    <row r="179" spans="1:18" ht="11.25" customHeight="1" x14ac:dyDescent="0.25">
      <c r="A179" s="348" t="s">
        <v>238</v>
      </c>
      <c r="B179" s="203" t="str">
        <f>B30</f>
        <v>-</v>
      </c>
      <c r="C179" s="203" t="str">
        <f>C30</f>
        <v>-</v>
      </c>
      <c r="D179" s="203" t="str">
        <f>D30</f>
        <v>-</v>
      </c>
      <c r="E179" s="203">
        <f>AVERAGE(E30:E34)</f>
        <v>13147.284720780397</v>
      </c>
      <c r="F179" s="203">
        <f>AVERAGE(F30:F34)</f>
        <v>8805.2799028153531</v>
      </c>
      <c r="G179" s="203">
        <f>AVERAGE(G30:G34)</f>
        <v>2032.5900462334187</v>
      </c>
      <c r="H179" s="203">
        <f>AVERAGE(H30:H34)</f>
        <v>50.8</v>
      </c>
      <c r="I179" s="203">
        <f>AVERAGE(I30:I34)</f>
        <v>28306.554669829166</v>
      </c>
      <c r="J179" s="64"/>
      <c r="K179" s="203" t="str">
        <f>K30</f>
        <v>-</v>
      </c>
      <c r="L179" s="203">
        <f>L30</f>
        <v>0</v>
      </c>
      <c r="M179" s="203" t="str">
        <f>M30</f>
        <v>-</v>
      </c>
      <c r="N179" s="203">
        <f>AVERAGE(N30:N34)</f>
        <v>22400.953217747781</v>
      </c>
      <c r="O179" s="203">
        <f>AVERAGE(O30:O34)</f>
        <v>22887.430341472227</v>
      </c>
      <c r="P179" s="203">
        <f>AVERAGE(P30:P34)</f>
        <v>6993.5268863026549</v>
      </c>
      <c r="Q179" s="203">
        <f>AVERAGE(Q30:Q34)</f>
        <v>10.4</v>
      </c>
      <c r="R179" s="203">
        <f>AVERAGE(R30:R34)</f>
        <v>53415.91044552267</v>
      </c>
    </row>
    <row r="180" spans="1:18" ht="11.25" customHeight="1" x14ac:dyDescent="0.25">
      <c r="A180" s="348">
        <v>2006</v>
      </c>
      <c r="B180" s="203" t="str">
        <f t="shared" ref="B180:I180" si="67">B35</f>
        <v>-</v>
      </c>
      <c r="C180" s="203" t="str">
        <f t="shared" si="67"/>
        <v>-</v>
      </c>
      <c r="D180" s="203">
        <f t="shared" si="67"/>
        <v>202.26999999999998</v>
      </c>
      <c r="E180" s="203">
        <f t="shared" si="67"/>
        <v>3273.55</v>
      </c>
      <c r="F180" s="203">
        <f t="shared" si="67"/>
        <v>4522.49</v>
      </c>
      <c r="G180" s="203">
        <f t="shared" si="67"/>
        <v>813.42</v>
      </c>
      <c r="H180" s="203">
        <f t="shared" si="67"/>
        <v>90.54</v>
      </c>
      <c r="I180" s="203">
        <f t="shared" si="67"/>
        <v>8902.27</v>
      </c>
      <c r="J180" s="64"/>
      <c r="K180" s="203" t="str">
        <f t="shared" ref="K180:R180" si="68">K35</f>
        <v>-</v>
      </c>
      <c r="L180" s="203" t="str">
        <f t="shared" si="68"/>
        <v>-</v>
      </c>
      <c r="M180" s="203">
        <f t="shared" si="68"/>
        <v>416.05</v>
      </c>
      <c r="N180" s="203">
        <f t="shared" si="68"/>
        <v>6514.4599999999991</v>
      </c>
      <c r="O180" s="203">
        <f t="shared" si="68"/>
        <v>8286.5400000000009</v>
      </c>
      <c r="P180" s="203">
        <f t="shared" si="68"/>
        <v>1466.1</v>
      </c>
      <c r="Q180" s="203">
        <f t="shared" si="68"/>
        <v>2.4</v>
      </c>
      <c r="R180" s="203">
        <f t="shared" si="68"/>
        <v>16685.55</v>
      </c>
    </row>
    <row r="181" spans="1:18" ht="11.25" customHeight="1" x14ac:dyDescent="0.25">
      <c r="A181" s="348">
        <v>2007</v>
      </c>
      <c r="B181" s="203" t="str">
        <f t="shared" ref="B181:I181" si="69">B36</f>
        <v>-</v>
      </c>
      <c r="C181" s="203" t="str">
        <f t="shared" si="69"/>
        <v>-</v>
      </c>
      <c r="D181" s="203" t="str">
        <f t="shared" si="69"/>
        <v>-</v>
      </c>
      <c r="E181" s="203">
        <f t="shared" si="69"/>
        <v>3804.3999999999996</v>
      </c>
      <c r="F181" s="203">
        <f t="shared" si="69"/>
        <v>3137.58</v>
      </c>
      <c r="G181" s="203">
        <f t="shared" si="69"/>
        <v>370.65999999999997</v>
      </c>
      <c r="H181" s="203">
        <f t="shared" si="69"/>
        <v>0</v>
      </c>
      <c r="I181" s="203">
        <f t="shared" si="69"/>
        <v>7312.64</v>
      </c>
      <c r="J181" s="64"/>
      <c r="K181" s="203" t="str">
        <f t="shared" ref="K181:R181" si="70">K36</f>
        <v>-</v>
      </c>
      <c r="L181" s="203" t="str">
        <f t="shared" si="70"/>
        <v>-</v>
      </c>
      <c r="M181" s="203" t="str">
        <f t="shared" si="70"/>
        <v>-</v>
      </c>
      <c r="N181" s="203">
        <f t="shared" si="70"/>
        <v>13027.79</v>
      </c>
      <c r="O181" s="203">
        <f t="shared" si="70"/>
        <v>20920.29</v>
      </c>
      <c r="P181" s="203">
        <f t="shared" si="70"/>
        <v>2420.9</v>
      </c>
      <c r="Q181" s="203">
        <f t="shared" si="70"/>
        <v>0</v>
      </c>
      <c r="R181" s="203">
        <f t="shared" si="70"/>
        <v>36368.979999999996</v>
      </c>
    </row>
    <row r="182" spans="1:18" ht="11.25" customHeight="1" x14ac:dyDescent="0.25">
      <c r="A182" s="348">
        <v>2008</v>
      </c>
      <c r="B182" s="203" t="str">
        <f t="shared" ref="B182:I182" si="71">B37</f>
        <v>-</v>
      </c>
      <c r="C182" s="203" t="str">
        <f t="shared" si="71"/>
        <v>-</v>
      </c>
      <c r="D182" s="203">
        <f t="shared" si="71"/>
        <v>2536.5299999999997</v>
      </c>
      <c r="E182" s="203">
        <f t="shared" si="71"/>
        <v>5427.94</v>
      </c>
      <c r="F182" s="203">
        <f t="shared" si="71"/>
        <v>3352.29</v>
      </c>
      <c r="G182" s="203">
        <f t="shared" si="71"/>
        <v>413.91</v>
      </c>
      <c r="H182" s="203">
        <f t="shared" si="71"/>
        <v>6.25</v>
      </c>
      <c r="I182" s="203">
        <f t="shared" si="71"/>
        <v>11736.92</v>
      </c>
      <c r="J182" s="64"/>
      <c r="K182" s="203" t="str">
        <f t="shared" ref="K182:R182" si="72">K37</f>
        <v>-</v>
      </c>
      <c r="L182" s="203" t="str">
        <f t="shared" si="72"/>
        <v>-</v>
      </c>
      <c r="M182" s="203">
        <f t="shared" si="72"/>
        <v>30.03</v>
      </c>
      <c r="N182" s="203">
        <f t="shared" si="72"/>
        <v>3331.74</v>
      </c>
      <c r="O182" s="203">
        <f t="shared" si="72"/>
        <v>5114.96</v>
      </c>
      <c r="P182" s="203">
        <f t="shared" si="72"/>
        <v>1751.83</v>
      </c>
      <c r="Q182" s="203">
        <f t="shared" si="72"/>
        <v>1.25</v>
      </c>
      <c r="R182" s="203">
        <f t="shared" si="72"/>
        <v>10229.810000000001</v>
      </c>
    </row>
    <row r="183" spans="1:18" ht="11.25" customHeight="1" x14ac:dyDescent="0.25">
      <c r="A183" s="348">
        <v>2009</v>
      </c>
      <c r="B183" s="203" t="str">
        <f t="shared" ref="B183:I183" si="73">B38</f>
        <v>-</v>
      </c>
      <c r="C183" s="203" t="str">
        <f t="shared" si="73"/>
        <v>-</v>
      </c>
      <c r="D183" s="203">
        <f t="shared" si="73"/>
        <v>182.29</v>
      </c>
      <c r="E183" s="203">
        <f t="shared" si="73"/>
        <v>3550.95</v>
      </c>
      <c r="F183" s="203">
        <f t="shared" si="73"/>
        <v>3993.96</v>
      </c>
      <c r="G183" s="203">
        <f t="shared" si="73"/>
        <v>324.97000000000003</v>
      </c>
      <c r="H183" s="203">
        <f t="shared" si="73"/>
        <v>96.78</v>
      </c>
      <c r="I183" s="203">
        <f t="shared" si="73"/>
        <v>8148.95</v>
      </c>
      <c r="J183" s="64"/>
      <c r="K183" s="203" t="str">
        <f t="shared" ref="K183:R183" si="74">K38</f>
        <v>-</v>
      </c>
      <c r="L183" s="203" t="str">
        <f t="shared" si="74"/>
        <v>-</v>
      </c>
      <c r="M183" s="203">
        <f t="shared" si="74"/>
        <v>822.56999999999994</v>
      </c>
      <c r="N183" s="203">
        <f t="shared" si="74"/>
        <v>17495.82</v>
      </c>
      <c r="O183" s="203">
        <f t="shared" si="74"/>
        <v>44997.789999999994</v>
      </c>
      <c r="P183" s="203">
        <f t="shared" si="74"/>
        <v>10692.039999999999</v>
      </c>
      <c r="Q183" s="203">
        <f t="shared" si="74"/>
        <v>92.41</v>
      </c>
      <c r="R183" s="203">
        <f t="shared" si="74"/>
        <v>74100.63</v>
      </c>
    </row>
    <row r="184" spans="1:18" ht="11.25" customHeight="1" x14ac:dyDescent="0.25">
      <c r="A184" s="348">
        <v>2010</v>
      </c>
      <c r="B184" s="203" t="str">
        <f t="shared" ref="B184:I184" si="75">B39</f>
        <v>-</v>
      </c>
      <c r="C184" s="203" t="str">
        <f t="shared" si="75"/>
        <v>-</v>
      </c>
      <c r="D184" s="203">
        <f t="shared" si="75"/>
        <v>4893.43</v>
      </c>
      <c r="E184" s="203">
        <f t="shared" si="75"/>
        <v>11813.91</v>
      </c>
      <c r="F184" s="203">
        <f t="shared" si="75"/>
        <v>12753.46</v>
      </c>
      <c r="G184" s="203">
        <f t="shared" si="75"/>
        <v>1959.55</v>
      </c>
      <c r="H184" s="203">
        <f t="shared" si="75"/>
        <v>44.95</v>
      </c>
      <c r="I184" s="203">
        <f t="shared" si="75"/>
        <v>31465.300000000003</v>
      </c>
      <c r="J184" s="64"/>
      <c r="K184" s="203" t="str">
        <f t="shared" ref="K184:R184" si="76">K39</f>
        <v>-</v>
      </c>
      <c r="L184" s="203" t="str">
        <f t="shared" si="76"/>
        <v>-</v>
      </c>
      <c r="M184" s="203">
        <f t="shared" si="76"/>
        <v>46.32</v>
      </c>
      <c r="N184" s="203">
        <f t="shared" si="76"/>
        <v>5817.3899999999994</v>
      </c>
      <c r="O184" s="203">
        <f t="shared" si="76"/>
        <v>6274.91</v>
      </c>
      <c r="P184" s="203">
        <f t="shared" si="76"/>
        <v>5297.46</v>
      </c>
      <c r="Q184" s="203">
        <f t="shared" si="76"/>
        <v>36.76</v>
      </c>
      <c r="R184" s="203">
        <f t="shared" si="76"/>
        <v>17472.84</v>
      </c>
    </row>
    <row r="185" spans="1:18" ht="11.25" customHeight="1" x14ac:dyDescent="0.25">
      <c r="A185" s="348">
        <v>2011</v>
      </c>
      <c r="B185" s="203" t="str">
        <f t="shared" ref="B185:I185" si="77">B40</f>
        <v>-</v>
      </c>
      <c r="C185" s="203" t="str">
        <f t="shared" si="77"/>
        <v>-</v>
      </c>
      <c r="D185" s="203">
        <f t="shared" si="77"/>
        <v>2509.02</v>
      </c>
      <c r="E185" s="203">
        <f t="shared" si="77"/>
        <v>7462.49</v>
      </c>
      <c r="F185" s="203">
        <f t="shared" si="77"/>
        <v>13071.050000000001</v>
      </c>
      <c r="G185" s="203">
        <f t="shared" si="77"/>
        <v>559.47</v>
      </c>
      <c r="H185" s="203">
        <f t="shared" si="77"/>
        <v>5</v>
      </c>
      <c r="I185" s="203">
        <f t="shared" si="77"/>
        <v>23607.03</v>
      </c>
      <c r="J185" s="64"/>
      <c r="K185" s="203" t="str">
        <f t="shared" ref="K185:R185" si="78">K40</f>
        <v>-</v>
      </c>
      <c r="L185" s="203" t="str">
        <f t="shared" si="78"/>
        <v>-</v>
      </c>
      <c r="M185" s="203">
        <f t="shared" si="78"/>
        <v>330.85</v>
      </c>
      <c r="N185" s="203">
        <f t="shared" si="78"/>
        <v>6989.4000000000005</v>
      </c>
      <c r="O185" s="203">
        <f t="shared" si="78"/>
        <v>8694.0400000000009</v>
      </c>
      <c r="P185" s="203">
        <f t="shared" si="78"/>
        <v>2930.6099999999997</v>
      </c>
      <c r="Q185" s="203">
        <f t="shared" si="78"/>
        <v>2.4500000000000002</v>
      </c>
      <c r="R185" s="203">
        <f t="shared" si="78"/>
        <v>18947.349999999999</v>
      </c>
    </row>
    <row r="186" spans="1:18" ht="11.25" customHeight="1" x14ac:dyDescent="0.25">
      <c r="A186" s="348">
        <v>2012</v>
      </c>
      <c r="B186" s="203" t="str">
        <f t="shared" ref="B186:I186" si="79">B41</f>
        <v>-</v>
      </c>
      <c r="C186" s="203" t="str">
        <f t="shared" si="79"/>
        <v>-</v>
      </c>
      <c r="D186" s="203">
        <f t="shared" si="79"/>
        <v>8472.08</v>
      </c>
      <c r="E186" s="203">
        <f t="shared" si="79"/>
        <v>8019.73</v>
      </c>
      <c r="F186" s="203">
        <f t="shared" si="79"/>
        <v>8325.0999999999985</v>
      </c>
      <c r="G186" s="203">
        <f t="shared" si="79"/>
        <v>1365.8500000000001</v>
      </c>
      <c r="H186" s="203">
        <f t="shared" si="79"/>
        <v>132.59</v>
      </c>
      <c r="I186" s="203">
        <f t="shared" si="79"/>
        <v>26315.350000000002</v>
      </c>
      <c r="J186" s="64"/>
      <c r="K186" s="203" t="str">
        <f t="shared" ref="K186:R186" si="80">K41</f>
        <v>-</v>
      </c>
      <c r="L186" s="203" t="str">
        <f t="shared" si="80"/>
        <v>-</v>
      </c>
      <c r="M186" s="203">
        <f t="shared" si="80"/>
        <v>211.15</v>
      </c>
      <c r="N186" s="203">
        <f t="shared" si="80"/>
        <v>7239.75</v>
      </c>
      <c r="O186" s="203">
        <f t="shared" si="80"/>
        <v>7520.93</v>
      </c>
      <c r="P186" s="203">
        <f t="shared" si="80"/>
        <v>6722.39</v>
      </c>
      <c r="Q186" s="203">
        <f t="shared" si="80"/>
        <v>20.81</v>
      </c>
      <c r="R186" s="203">
        <f t="shared" si="80"/>
        <v>21715.03</v>
      </c>
    </row>
    <row r="187" spans="1:18" ht="11.25" customHeight="1" x14ac:dyDescent="0.25">
      <c r="A187" s="348">
        <v>2013</v>
      </c>
      <c r="B187" s="203" t="str">
        <f t="shared" ref="B187:I187" si="81">B42</f>
        <v>-</v>
      </c>
      <c r="C187" s="203">
        <f t="shared" si="81"/>
        <v>130.57999999999998</v>
      </c>
      <c r="D187" s="203">
        <f t="shared" si="81"/>
        <v>2926.62</v>
      </c>
      <c r="E187" s="203">
        <f t="shared" si="81"/>
        <v>7362.58</v>
      </c>
      <c r="F187" s="203">
        <f t="shared" si="81"/>
        <v>10450.41</v>
      </c>
      <c r="G187" s="203">
        <f t="shared" si="81"/>
        <v>1300.47</v>
      </c>
      <c r="H187" s="203">
        <f t="shared" si="81"/>
        <v>118.68</v>
      </c>
      <c r="I187" s="203">
        <f t="shared" si="81"/>
        <v>22289.34</v>
      </c>
      <c r="J187" s="64"/>
      <c r="K187" s="203" t="str">
        <f t="shared" ref="K187:R187" si="82">K42</f>
        <v>-</v>
      </c>
      <c r="L187" s="203" t="str">
        <f t="shared" si="82"/>
        <v>-</v>
      </c>
      <c r="M187" s="203">
        <f t="shared" si="82"/>
        <v>693.06999999999994</v>
      </c>
      <c r="N187" s="203">
        <f t="shared" si="82"/>
        <v>6618.5599999999995</v>
      </c>
      <c r="O187" s="203">
        <f t="shared" si="82"/>
        <v>17182.439999999999</v>
      </c>
      <c r="P187" s="203">
        <f t="shared" si="82"/>
        <v>5169.09</v>
      </c>
      <c r="Q187" s="203">
        <f t="shared" si="82"/>
        <v>17.72</v>
      </c>
      <c r="R187" s="203">
        <f t="shared" si="82"/>
        <v>29680.879999999997</v>
      </c>
    </row>
    <row r="188" spans="1:18" ht="11.25" customHeight="1" x14ac:dyDescent="0.25">
      <c r="A188" s="348">
        <v>2014</v>
      </c>
      <c r="B188" s="203" t="str">
        <f t="shared" ref="B188:I188" si="83">B43</f>
        <v>-</v>
      </c>
      <c r="C188" s="203">
        <f t="shared" si="83"/>
        <v>585.02</v>
      </c>
      <c r="D188" s="203">
        <f t="shared" si="83"/>
        <v>5109.76</v>
      </c>
      <c r="E188" s="203">
        <f t="shared" si="83"/>
        <v>12890.07</v>
      </c>
      <c r="F188" s="203">
        <f t="shared" si="83"/>
        <v>11155.42</v>
      </c>
      <c r="G188" s="203">
        <f t="shared" si="83"/>
        <v>1133.3900000000001</v>
      </c>
      <c r="H188" s="203">
        <f t="shared" si="83"/>
        <v>110.29</v>
      </c>
      <c r="I188" s="203">
        <f t="shared" si="83"/>
        <v>30983.949999999997</v>
      </c>
      <c r="J188" s="64"/>
      <c r="K188" s="203" t="str">
        <f t="shared" ref="K188:R188" si="84">K43</f>
        <v>-</v>
      </c>
      <c r="L188" s="203" t="str">
        <f t="shared" si="84"/>
        <v>-</v>
      </c>
      <c r="M188" s="203">
        <f t="shared" si="84"/>
        <v>6224.61</v>
      </c>
      <c r="N188" s="203">
        <f t="shared" si="84"/>
        <v>20342.099999999999</v>
      </c>
      <c r="O188" s="203">
        <f t="shared" si="84"/>
        <v>22381.870000000003</v>
      </c>
      <c r="P188" s="203">
        <f t="shared" si="84"/>
        <v>15577.52</v>
      </c>
      <c r="Q188" s="203">
        <f t="shared" si="84"/>
        <v>199.14</v>
      </c>
      <c r="R188" s="203">
        <f t="shared" si="84"/>
        <v>64725.24</v>
      </c>
    </row>
    <row r="189" spans="1:18" ht="11.25" customHeight="1" x14ac:dyDescent="0.25">
      <c r="A189" s="348">
        <v>2015</v>
      </c>
      <c r="B189" s="203" t="str">
        <f t="shared" ref="B189:I189" si="85">B44</f>
        <v>-</v>
      </c>
      <c r="C189" s="203">
        <f t="shared" si="85"/>
        <v>534.01</v>
      </c>
      <c r="D189" s="203">
        <f t="shared" si="85"/>
        <v>5081.1399999999994</v>
      </c>
      <c r="E189" s="203">
        <f t="shared" si="85"/>
        <v>15661.66</v>
      </c>
      <c r="F189" s="203">
        <f t="shared" si="85"/>
        <v>5672.49</v>
      </c>
      <c r="G189" s="203">
        <f t="shared" si="85"/>
        <v>2903.48</v>
      </c>
      <c r="H189" s="203">
        <f t="shared" si="85"/>
        <v>164.41</v>
      </c>
      <c r="I189" s="203">
        <f t="shared" si="85"/>
        <v>30017.19</v>
      </c>
      <c r="J189" s="64"/>
      <c r="K189" s="203" t="str">
        <f t="shared" ref="K189:R189" si="86">K44</f>
        <v>-</v>
      </c>
      <c r="L189" s="203" t="str">
        <f t="shared" si="86"/>
        <v>-</v>
      </c>
      <c r="M189" s="203">
        <f t="shared" si="86"/>
        <v>2607.6799999999998</v>
      </c>
      <c r="N189" s="203">
        <f t="shared" si="86"/>
        <v>15085.4</v>
      </c>
      <c r="O189" s="203">
        <f t="shared" si="86"/>
        <v>8787.369999999999</v>
      </c>
      <c r="P189" s="203">
        <f t="shared" si="86"/>
        <v>12533.31</v>
      </c>
      <c r="Q189" s="203">
        <f t="shared" si="86"/>
        <v>12.74</v>
      </c>
      <c r="R189" s="203">
        <f t="shared" si="86"/>
        <v>39026.5</v>
      </c>
    </row>
    <row r="190" spans="1:18" ht="11.25" customHeight="1" x14ac:dyDescent="0.25">
      <c r="A190" s="348">
        <v>2016</v>
      </c>
      <c r="B190" s="203" t="str">
        <f t="shared" ref="B190:I190" si="87">B45</f>
        <v>-</v>
      </c>
      <c r="C190" s="203" t="str">
        <f t="shared" si="87"/>
        <v>-</v>
      </c>
      <c r="D190" s="203" t="str">
        <f t="shared" si="87"/>
        <v>-</v>
      </c>
      <c r="E190" s="203">
        <f t="shared" si="87"/>
        <v>7430.6399999999994</v>
      </c>
      <c r="F190" s="203">
        <f t="shared" si="87"/>
        <v>4520.2999999999993</v>
      </c>
      <c r="G190" s="203" t="str">
        <f t="shared" si="87"/>
        <v>-</v>
      </c>
      <c r="H190" s="203" t="str">
        <f t="shared" si="87"/>
        <v>-</v>
      </c>
      <c r="I190" s="203">
        <f t="shared" si="87"/>
        <v>11950.94</v>
      </c>
      <c r="J190" s="64"/>
      <c r="K190" s="203" t="str">
        <f t="shared" ref="K190:R190" si="88">K45</f>
        <v>-</v>
      </c>
      <c r="L190" s="203" t="str">
        <f t="shared" si="88"/>
        <v>-</v>
      </c>
      <c r="M190" s="203" t="str">
        <f t="shared" si="88"/>
        <v>-</v>
      </c>
      <c r="N190" s="203">
        <f t="shared" si="88"/>
        <v>63.230000000000004</v>
      </c>
      <c r="O190" s="203">
        <f t="shared" si="88"/>
        <v>37.86</v>
      </c>
      <c r="P190" s="203" t="str">
        <f t="shared" si="88"/>
        <v>-</v>
      </c>
      <c r="Q190" s="203" t="str">
        <f t="shared" si="88"/>
        <v>-</v>
      </c>
      <c r="R190" s="203">
        <f t="shared" si="88"/>
        <v>101.09</v>
      </c>
    </row>
    <row r="191" spans="1:18" ht="11.25" customHeight="1" x14ac:dyDescent="0.25">
      <c r="A191" s="348">
        <v>2017</v>
      </c>
      <c r="B191" s="203" t="str">
        <f t="shared" ref="B191:I191" si="89">B46</f>
        <v>-</v>
      </c>
      <c r="C191" s="203" t="str">
        <f t="shared" si="89"/>
        <v>-</v>
      </c>
      <c r="D191" s="203">
        <f t="shared" si="89"/>
        <v>250.41</v>
      </c>
      <c r="E191" s="203">
        <f t="shared" si="89"/>
        <v>10590.34</v>
      </c>
      <c r="F191" s="203">
        <f t="shared" si="89"/>
        <v>3442.3599999999997</v>
      </c>
      <c r="G191" s="203">
        <f t="shared" si="89"/>
        <v>90.74</v>
      </c>
      <c r="H191" s="203" t="str">
        <f t="shared" si="89"/>
        <v>-</v>
      </c>
      <c r="I191" s="203">
        <f t="shared" si="89"/>
        <v>14373.85</v>
      </c>
      <c r="J191" s="64"/>
      <c r="K191" s="203" t="str">
        <f t="shared" ref="K191:R191" si="90">K46</f>
        <v>-</v>
      </c>
      <c r="L191" s="203" t="str">
        <f t="shared" si="90"/>
        <v>-</v>
      </c>
      <c r="M191" s="203">
        <f t="shared" si="90"/>
        <v>58.070000000000007</v>
      </c>
      <c r="N191" s="203">
        <f t="shared" si="90"/>
        <v>8590.34</v>
      </c>
      <c r="O191" s="203">
        <f t="shared" si="90"/>
        <v>11454.16</v>
      </c>
      <c r="P191" s="203">
        <f t="shared" si="90"/>
        <v>929.59999999999991</v>
      </c>
      <c r="Q191" s="203" t="str">
        <f t="shared" si="90"/>
        <v>-</v>
      </c>
      <c r="R191" s="203">
        <f t="shared" si="90"/>
        <v>21032.170000000002</v>
      </c>
    </row>
    <row r="192" spans="1:18" s="358" customFormat="1" ht="11.25" customHeight="1" x14ac:dyDescent="0.25">
      <c r="A192" s="348">
        <v>2018</v>
      </c>
      <c r="B192" s="203" t="str">
        <f t="shared" ref="B192:I192" si="91">B47</f>
        <v>-</v>
      </c>
      <c r="C192" s="203" t="str">
        <f t="shared" si="91"/>
        <v>-</v>
      </c>
      <c r="D192" s="203">
        <f t="shared" si="91"/>
        <v>377.83</v>
      </c>
      <c r="E192" s="203">
        <f t="shared" si="91"/>
        <v>4907.5</v>
      </c>
      <c r="F192" s="203">
        <f t="shared" si="91"/>
        <v>3024.67</v>
      </c>
      <c r="G192" s="203">
        <f t="shared" si="91"/>
        <v>34.450000000000003</v>
      </c>
      <c r="H192" s="203" t="str">
        <f t="shared" si="91"/>
        <v>-</v>
      </c>
      <c r="I192" s="203">
        <f t="shared" si="91"/>
        <v>8344.4500000000007</v>
      </c>
      <c r="J192" s="64"/>
      <c r="K192" s="203" t="str">
        <f t="shared" ref="K192:R192" si="92">K47</f>
        <v>-</v>
      </c>
      <c r="L192" s="203" t="str">
        <f t="shared" si="92"/>
        <v>-</v>
      </c>
      <c r="M192" s="203">
        <f t="shared" si="92"/>
        <v>573.64</v>
      </c>
      <c r="N192" s="203">
        <f t="shared" si="92"/>
        <v>4902.09</v>
      </c>
      <c r="O192" s="203">
        <f t="shared" si="92"/>
        <v>15529.85</v>
      </c>
      <c r="P192" s="203">
        <f t="shared" si="92"/>
        <v>256.90999999999997</v>
      </c>
      <c r="Q192" s="203" t="str">
        <f t="shared" si="92"/>
        <v>-</v>
      </c>
      <c r="R192" s="203">
        <f t="shared" si="92"/>
        <v>21262.489999999998</v>
      </c>
    </row>
    <row r="193" spans="1:18" s="358" customFormat="1" ht="11.25" customHeight="1" x14ac:dyDescent="0.25">
      <c r="A193" s="491">
        <v>2019</v>
      </c>
      <c r="B193" s="203" t="str">
        <f t="shared" ref="B193:I194" si="93">B48</f>
        <v>-</v>
      </c>
      <c r="C193" s="203" t="str">
        <f t="shared" si="93"/>
        <v>-</v>
      </c>
      <c r="D193" s="203">
        <f t="shared" si="93"/>
        <v>1609.7700000000002</v>
      </c>
      <c r="E193" s="203">
        <f t="shared" si="93"/>
        <v>3764.29</v>
      </c>
      <c r="F193" s="203">
        <f t="shared" si="93"/>
        <v>1148.29</v>
      </c>
      <c r="G193" s="203">
        <f t="shared" si="93"/>
        <v>154.04</v>
      </c>
      <c r="H193" s="203">
        <f t="shared" si="93"/>
        <v>164.35</v>
      </c>
      <c r="I193" s="203">
        <f t="shared" si="93"/>
        <v>6840.7400000000007</v>
      </c>
      <c r="J193" s="64"/>
      <c r="K193" s="203" t="str">
        <f t="shared" ref="K193:R194" si="94">K48</f>
        <v>-</v>
      </c>
      <c r="L193" s="203" t="str">
        <f t="shared" si="94"/>
        <v>-</v>
      </c>
      <c r="M193" s="203">
        <f t="shared" si="94"/>
        <v>1096.8399999999999</v>
      </c>
      <c r="N193" s="203">
        <f t="shared" si="94"/>
        <v>11557.98</v>
      </c>
      <c r="O193" s="203">
        <f t="shared" si="94"/>
        <v>13789.119999999999</v>
      </c>
      <c r="P193" s="203">
        <f t="shared" si="94"/>
        <v>1713.74</v>
      </c>
      <c r="Q193" s="203">
        <f t="shared" si="94"/>
        <v>15.86</v>
      </c>
      <c r="R193" s="203">
        <f t="shared" si="94"/>
        <v>28173.54</v>
      </c>
    </row>
    <row r="194" spans="1:18" ht="11.25" customHeight="1" x14ac:dyDescent="0.25">
      <c r="A194" s="490" t="s">
        <v>394</v>
      </c>
      <c r="B194" s="203" t="str">
        <f t="shared" si="93"/>
        <v>-</v>
      </c>
      <c r="C194" s="203" t="str">
        <f t="shared" si="93"/>
        <v>-</v>
      </c>
      <c r="D194" s="203">
        <f t="shared" si="93"/>
        <v>602.20000000000005</v>
      </c>
      <c r="E194" s="203">
        <f t="shared" si="93"/>
        <v>4162.58</v>
      </c>
      <c r="F194" s="203">
        <f t="shared" si="93"/>
        <v>1591.84</v>
      </c>
      <c r="G194" s="203">
        <f t="shared" si="93"/>
        <v>478.51</v>
      </c>
      <c r="H194" s="203" t="str">
        <f t="shared" si="93"/>
        <v>-</v>
      </c>
      <c r="I194" s="203">
        <f t="shared" si="93"/>
        <v>6835.13</v>
      </c>
      <c r="J194" s="64"/>
      <c r="K194" s="203" t="str">
        <f t="shared" si="94"/>
        <v>-</v>
      </c>
      <c r="L194" s="203" t="str">
        <f t="shared" si="94"/>
        <v>-</v>
      </c>
      <c r="M194" s="203">
        <f t="shared" si="94"/>
        <v>49.98</v>
      </c>
      <c r="N194" s="203">
        <f t="shared" si="94"/>
        <v>4869.7700000000004</v>
      </c>
      <c r="O194" s="203">
        <f t="shared" si="94"/>
        <v>3894.54</v>
      </c>
      <c r="P194" s="203">
        <f t="shared" si="94"/>
        <v>2327.23</v>
      </c>
      <c r="Q194" s="203" t="str">
        <f t="shared" si="94"/>
        <v>-</v>
      </c>
      <c r="R194" s="203">
        <f t="shared" si="94"/>
        <v>11141.52</v>
      </c>
    </row>
    <row r="195" spans="1:18" ht="11.25" customHeight="1" x14ac:dyDescent="0.25">
      <c r="A195" s="348"/>
      <c r="B195" s="203"/>
      <c r="C195" s="203"/>
      <c r="D195" s="203"/>
      <c r="E195" s="203"/>
      <c r="F195" s="203"/>
      <c r="G195" s="203"/>
      <c r="H195" s="203"/>
      <c r="I195" s="203"/>
      <c r="J195" s="64"/>
      <c r="K195" s="203"/>
      <c r="L195" s="203"/>
      <c r="M195" s="203"/>
      <c r="N195" s="203"/>
      <c r="O195" s="203"/>
      <c r="P195" s="203"/>
      <c r="Q195" s="203"/>
      <c r="R195" s="203"/>
    </row>
    <row r="196" spans="1:18" ht="11.25" customHeight="1" x14ac:dyDescent="0.25">
      <c r="A196" s="159" t="s">
        <v>109</v>
      </c>
      <c r="B196" s="203"/>
      <c r="C196" s="203"/>
      <c r="D196" s="203"/>
      <c r="E196" s="203"/>
      <c r="F196" s="203"/>
      <c r="G196" s="203"/>
      <c r="H196" s="203"/>
      <c r="I196" s="203"/>
      <c r="J196" s="64"/>
      <c r="K196" s="203"/>
      <c r="L196" s="203"/>
      <c r="M196" s="203"/>
      <c r="N196" s="203"/>
      <c r="O196" s="203"/>
      <c r="P196" s="203"/>
      <c r="Q196" s="203"/>
      <c r="R196" s="203"/>
    </row>
    <row r="197" spans="1:18" ht="11.25" customHeight="1" x14ac:dyDescent="0.25">
      <c r="A197" s="348" t="s">
        <v>30</v>
      </c>
      <c r="B197" s="203" t="s">
        <v>29</v>
      </c>
      <c r="C197" s="203">
        <f t="shared" ref="C197:I197" si="95">AVERAGE(C57:C61)</f>
        <v>221.25</v>
      </c>
      <c r="D197" s="203">
        <f t="shared" si="95"/>
        <v>4285.5</v>
      </c>
      <c r="E197" s="203">
        <f t="shared" si="95"/>
        <v>6972.4</v>
      </c>
      <c r="F197" s="203">
        <f t="shared" si="95"/>
        <v>6406.4</v>
      </c>
      <c r="G197" s="203">
        <f t="shared" si="95"/>
        <v>671.66666666666663</v>
      </c>
      <c r="H197" s="203">
        <f t="shared" si="95"/>
        <v>40</v>
      </c>
      <c r="I197" s="203">
        <f t="shared" si="95"/>
        <v>17395.2</v>
      </c>
      <c r="J197" s="64"/>
      <c r="K197" s="203" t="s">
        <v>29</v>
      </c>
      <c r="L197" s="203">
        <f t="shared" ref="L197:R197" si="96">AVERAGE(L57:L61)</f>
        <v>7109</v>
      </c>
      <c r="M197" s="203">
        <f t="shared" si="96"/>
        <v>14759</v>
      </c>
      <c r="N197" s="203">
        <f t="shared" si="96"/>
        <v>52828.4</v>
      </c>
      <c r="O197" s="203">
        <f t="shared" si="96"/>
        <v>37647.599999999999</v>
      </c>
      <c r="P197" s="203">
        <f t="shared" si="96"/>
        <v>7240.75</v>
      </c>
      <c r="Q197" s="203">
        <f t="shared" si="96"/>
        <v>825</v>
      </c>
      <c r="R197" s="203">
        <f t="shared" si="96"/>
        <v>109662.6</v>
      </c>
    </row>
    <row r="198" spans="1:18" ht="11.25" customHeight="1" x14ac:dyDescent="0.25">
      <c r="A198" s="348" t="s">
        <v>87</v>
      </c>
      <c r="B198" s="203" t="s">
        <v>29</v>
      </c>
      <c r="C198" s="203">
        <f t="shared" ref="C198:I198" si="97">AVERAGE(C62:C66)</f>
        <v>140</v>
      </c>
      <c r="D198" s="203">
        <f t="shared" si="97"/>
        <v>360.25</v>
      </c>
      <c r="E198" s="203">
        <f t="shared" si="97"/>
        <v>2747.2</v>
      </c>
      <c r="F198" s="203">
        <f t="shared" si="97"/>
        <v>4468.6000000000004</v>
      </c>
      <c r="G198" s="203">
        <f t="shared" si="97"/>
        <v>119.5</v>
      </c>
      <c r="H198" s="203" t="s">
        <v>29</v>
      </c>
      <c r="I198" s="203">
        <f t="shared" si="97"/>
        <v>7579.8</v>
      </c>
      <c r="J198" s="64"/>
      <c r="K198" s="203" t="s">
        <v>29</v>
      </c>
      <c r="L198" s="203" t="s">
        <v>29</v>
      </c>
      <c r="M198" s="203">
        <f t="shared" ref="M198:R198" si="98">AVERAGE(M62:M66)</f>
        <v>4462.75</v>
      </c>
      <c r="N198" s="203">
        <f t="shared" si="98"/>
        <v>48084</v>
      </c>
      <c r="O198" s="203">
        <f t="shared" si="98"/>
        <v>38612.800000000003</v>
      </c>
      <c r="P198" s="203">
        <f t="shared" si="98"/>
        <v>2767</v>
      </c>
      <c r="Q198" s="203" t="s">
        <v>29</v>
      </c>
      <c r="R198" s="203">
        <f t="shared" si="98"/>
        <v>91373.8</v>
      </c>
    </row>
    <row r="199" spans="1:18" ht="11.25" customHeight="1" x14ac:dyDescent="0.25">
      <c r="A199" s="348" t="s">
        <v>14</v>
      </c>
      <c r="B199" s="203" t="s">
        <v>29</v>
      </c>
      <c r="C199" s="203" t="s">
        <v>29</v>
      </c>
      <c r="D199" s="203">
        <f t="shared" ref="D199:R199" si="99">AVERAGE(D67:D71)</f>
        <v>126</v>
      </c>
      <c r="E199" s="203">
        <f t="shared" si="99"/>
        <v>928</v>
      </c>
      <c r="F199" s="203">
        <f t="shared" si="99"/>
        <v>1037.5</v>
      </c>
      <c r="G199" s="203">
        <f t="shared" si="99"/>
        <v>257</v>
      </c>
      <c r="H199" s="203" t="s">
        <v>29</v>
      </c>
      <c r="I199" s="203">
        <f t="shared" si="99"/>
        <v>2285.5</v>
      </c>
      <c r="J199" s="203"/>
      <c r="K199" s="203" t="s">
        <v>29</v>
      </c>
      <c r="L199" s="203" t="s">
        <v>29</v>
      </c>
      <c r="M199" s="203">
        <f t="shared" si="99"/>
        <v>3937.5</v>
      </c>
      <c r="N199" s="203">
        <f t="shared" si="99"/>
        <v>36430.75</v>
      </c>
      <c r="O199" s="203">
        <f t="shared" si="99"/>
        <v>24350.75</v>
      </c>
      <c r="P199" s="203">
        <f t="shared" si="99"/>
        <v>9127.25</v>
      </c>
      <c r="Q199" s="203" t="s">
        <v>29</v>
      </c>
      <c r="R199" s="203">
        <f t="shared" si="99"/>
        <v>57502</v>
      </c>
    </row>
    <row r="200" spans="1:18" ht="11.25" customHeight="1" x14ac:dyDescent="0.25">
      <c r="A200" s="348" t="s">
        <v>207</v>
      </c>
      <c r="B200" s="203" t="s">
        <v>29</v>
      </c>
      <c r="C200" s="203" t="s">
        <v>29</v>
      </c>
      <c r="D200" s="203" t="s">
        <v>29</v>
      </c>
      <c r="E200" s="203">
        <f t="shared" ref="E200:R200" si="100">AVERAGE(E72:E76)</f>
        <v>553</v>
      </c>
      <c r="F200" s="203">
        <f t="shared" si="100"/>
        <v>783.4</v>
      </c>
      <c r="G200" s="203">
        <f t="shared" si="100"/>
        <v>167.33333333333334</v>
      </c>
      <c r="H200" s="203" t="s">
        <v>29</v>
      </c>
      <c r="I200" s="203">
        <f t="shared" si="100"/>
        <v>1326.2</v>
      </c>
      <c r="J200" s="203"/>
      <c r="K200" s="203" t="s">
        <v>29</v>
      </c>
      <c r="L200" s="203" t="s">
        <v>29</v>
      </c>
      <c r="M200" s="203" t="s">
        <v>29</v>
      </c>
      <c r="N200" s="203">
        <f t="shared" si="100"/>
        <v>10932</v>
      </c>
      <c r="O200" s="203">
        <f t="shared" si="100"/>
        <v>12055.2</v>
      </c>
      <c r="P200" s="203">
        <f t="shared" si="100"/>
        <v>3642.6666666666665</v>
      </c>
      <c r="Q200" s="203" t="s">
        <v>29</v>
      </c>
      <c r="R200" s="203">
        <f t="shared" si="100"/>
        <v>22986.400000000001</v>
      </c>
    </row>
    <row r="201" spans="1:18" ht="11.25" customHeight="1" x14ac:dyDescent="0.25">
      <c r="A201" s="348" t="s">
        <v>238</v>
      </c>
      <c r="B201" s="203" t="str">
        <f>B77</f>
        <v>-</v>
      </c>
      <c r="C201" s="203" t="str">
        <f>C77</f>
        <v>-</v>
      </c>
      <c r="D201" s="203" t="str">
        <f>D77</f>
        <v>-</v>
      </c>
      <c r="E201" s="203">
        <f>AVERAGE(E77:E81)</f>
        <v>2588</v>
      </c>
      <c r="F201" s="203">
        <f>AVERAGE(F77:F81)</f>
        <v>5500</v>
      </c>
      <c r="G201" s="203">
        <f>AVERAGE(G77:G81)</f>
        <v>1067.8</v>
      </c>
      <c r="H201" s="203">
        <f>AVERAGE(H77:H81)</f>
        <v>3</v>
      </c>
      <c r="I201" s="203">
        <f>AVERAGE(I77:I81)</f>
        <v>9648.2000000000007</v>
      </c>
      <c r="J201" s="64"/>
      <c r="K201" s="203" t="str">
        <f t="shared" ref="K201:Q201" si="101">K77</f>
        <v>-</v>
      </c>
      <c r="L201" s="203" t="str">
        <f t="shared" si="101"/>
        <v>-</v>
      </c>
      <c r="M201" s="203">
        <f>AVERAGE(M77:M81)</f>
        <v>662.66666666666663</v>
      </c>
      <c r="N201" s="203">
        <f>AVERAGE(N77:N81)</f>
        <v>25195.4</v>
      </c>
      <c r="O201" s="203">
        <f>AVERAGE(O77:O81)</f>
        <v>43313.599999999999</v>
      </c>
      <c r="P201" s="203">
        <f>AVERAGE(P77:P81)</f>
        <v>10042.4</v>
      </c>
      <c r="Q201" s="203" t="str">
        <f t="shared" si="101"/>
        <v>-</v>
      </c>
      <c r="R201" s="203">
        <f>AVERAGE(R77:R81)</f>
        <v>78949</v>
      </c>
    </row>
    <row r="202" spans="1:18" ht="11.25" customHeight="1" x14ac:dyDescent="0.25">
      <c r="A202" s="348">
        <v>2006</v>
      </c>
      <c r="B202" s="203" t="str">
        <f t="shared" ref="B202:I202" si="102">B82</f>
        <v>-</v>
      </c>
      <c r="C202" s="203" t="str">
        <f t="shared" si="102"/>
        <v>-</v>
      </c>
      <c r="D202" s="203" t="str">
        <f t="shared" si="102"/>
        <v>-</v>
      </c>
      <c r="E202" s="203">
        <f t="shared" si="102"/>
        <v>558.88</v>
      </c>
      <c r="F202" s="203">
        <f t="shared" si="102"/>
        <v>1517.61</v>
      </c>
      <c r="G202" s="203">
        <f t="shared" si="102"/>
        <v>197.6</v>
      </c>
      <c r="H202" s="203" t="str">
        <f t="shared" si="102"/>
        <v>-</v>
      </c>
      <c r="I202" s="203">
        <f t="shared" si="102"/>
        <v>2274.0899999999997</v>
      </c>
      <c r="J202" s="64"/>
      <c r="K202" s="203" t="str">
        <f t="shared" ref="K202:R202" si="103">K82</f>
        <v>-</v>
      </c>
      <c r="L202" s="203" t="str">
        <f t="shared" si="103"/>
        <v>-</v>
      </c>
      <c r="M202" s="203" t="str">
        <f t="shared" si="103"/>
        <v>-</v>
      </c>
      <c r="N202" s="203">
        <f t="shared" si="103"/>
        <v>8148.81</v>
      </c>
      <c r="O202" s="203">
        <f t="shared" si="103"/>
        <v>15782.37</v>
      </c>
      <c r="P202" s="203">
        <f t="shared" si="103"/>
        <v>881.1</v>
      </c>
      <c r="Q202" s="203" t="str">
        <f t="shared" si="103"/>
        <v>-</v>
      </c>
      <c r="R202" s="203">
        <f t="shared" si="103"/>
        <v>24812.28</v>
      </c>
    </row>
    <row r="203" spans="1:18" ht="11.25" customHeight="1" x14ac:dyDescent="0.25">
      <c r="A203" s="348">
        <v>2007</v>
      </c>
      <c r="B203" s="203" t="str">
        <f t="shared" ref="B203:I203" si="104">B83</f>
        <v>-</v>
      </c>
      <c r="C203" s="203" t="str">
        <f t="shared" si="104"/>
        <v>-</v>
      </c>
      <c r="D203" s="203" t="str">
        <f t="shared" si="104"/>
        <v>-</v>
      </c>
      <c r="E203" s="203">
        <f t="shared" si="104"/>
        <v>373.33</v>
      </c>
      <c r="F203" s="203">
        <f t="shared" si="104"/>
        <v>1681.83</v>
      </c>
      <c r="G203" s="203">
        <f t="shared" si="104"/>
        <v>169.99</v>
      </c>
      <c r="H203" s="203" t="str">
        <f t="shared" si="104"/>
        <v>-</v>
      </c>
      <c r="I203" s="203">
        <f t="shared" si="104"/>
        <v>2225.1499999999996</v>
      </c>
      <c r="J203" s="64"/>
      <c r="K203" s="203" t="str">
        <f t="shared" ref="K203:R203" si="105">K83</f>
        <v>-</v>
      </c>
      <c r="L203" s="203" t="str">
        <f t="shared" si="105"/>
        <v>-</v>
      </c>
      <c r="M203" s="203" t="str">
        <f t="shared" si="105"/>
        <v>-</v>
      </c>
      <c r="N203" s="203">
        <f t="shared" si="105"/>
        <v>15982.39</v>
      </c>
      <c r="O203" s="203">
        <f t="shared" si="105"/>
        <v>46366.19</v>
      </c>
      <c r="P203" s="203">
        <f t="shared" si="105"/>
        <v>3467.04</v>
      </c>
      <c r="Q203" s="203" t="str">
        <f t="shared" si="105"/>
        <v>-</v>
      </c>
      <c r="R203" s="203">
        <f t="shared" si="105"/>
        <v>65815.62</v>
      </c>
    </row>
    <row r="204" spans="1:18" ht="11.25" customHeight="1" x14ac:dyDescent="0.25">
      <c r="A204" s="348">
        <v>2008</v>
      </c>
      <c r="B204" s="203" t="str">
        <f t="shared" ref="B204:I204" si="106">B84</f>
        <v>-</v>
      </c>
      <c r="C204" s="203">
        <f t="shared" si="106"/>
        <v>17</v>
      </c>
      <c r="D204" s="203">
        <f t="shared" si="106"/>
        <v>626.02</v>
      </c>
      <c r="E204" s="203">
        <f t="shared" si="106"/>
        <v>1508.76</v>
      </c>
      <c r="F204" s="203">
        <f t="shared" si="106"/>
        <v>1563.29</v>
      </c>
      <c r="G204" s="203" t="str">
        <f t="shared" si="106"/>
        <v>-</v>
      </c>
      <c r="H204" s="203" t="str">
        <f t="shared" si="106"/>
        <v>-</v>
      </c>
      <c r="I204" s="203">
        <f t="shared" si="106"/>
        <v>3715.0699999999997</v>
      </c>
      <c r="J204" s="64"/>
      <c r="K204" s="203" t="str">
        <f t="shared" ref="K204:R204" si="107">K84</f>
        <v>-</v>
      </c>
      <c r="L204" s="203" t="str">
        <f t="shared" si="107"/>
        <v>-</v>
      </c>
      <c r="M204" s="203">
        <f t="shared" si="107"/>
        <v>431.24</v>
      </c>
      <c r="N204" s="203">
        <f t="shared" si="107"/>
        <v>4445.07</v>
      </c>
      <c r="O204" s="203">
        <f t="shared" si="107"/>
        <v>5954.65</v>
      </c>
      <c r="P204" s="203" t="str">
        <f t="shared" si="107"/>
        <v>-</v>
      </c>
      <c r="Q204" s="203" t="str">
        <f t="shared" si="107"/>
        <v>-</v>
      </c>
      <c r="R204" s="203">
        <f t="shared" si="107"/>
        <v>10830.96</v>
      </c>
    </row>
    <row r="205" spans="1:18" ht="11.25" customHeight="1" x14ac:dyDescent="0.25">
      <c r="A205" s="348">
        <v>2009</v>
      </c>
      <c r="B205" s="203" t="str">
        <f t="shared" ref="B205:I205" si="108">B85</f>
        <v>-</v>
      </c>
      <c r="C205" s="203" t="str">
        <f t="shared" si="108"/>
        <v>-</v>
      </c>
      <c r="D205" s="203">
        <f t="shared" si="108"/>
        <v>13.78</v>
      </c>
      <c r="E205" s="203">
        <f t="shared" si="108"/>
        <v>1347.26</v>
      </c>
      <c r="F205" s="203">
        <f t="shared" si="108"/>
        <v>3781.55</v>
      </c>
      <c r="G205" s="203">
        <f t="shared" si="108"/>
        <v>39.370000000000005</v>
      </c>
      <c r="H205" s="203" t="str">
        <f t="shared" si="108"/>
        <v>-</v>
      </c>
      <c r="I205" s="203">
        <f t="shared" si="108"/>
        <v>5181.96</v>
      </c>
      <c r="J205" s="64"/>
      <c r="K205" s="203" t="str">
        <f t="shared" ref="K205:R205" si="109">K85</f>
        <v>-</v>
      </c>
      <c r="L205" s="203" t="str">
        <f t="shared" si="109"/>
        <v>-</v>
      </c>
      <c r="M205" s="203">
        <f t="shared" si="109"/>
        <v>472.42</v>
      </c>
      <c r="N205" s="203">
        <f t="shared" si="109"/>
        <v>26839.31</v>
      </c>
      <c r="O205" s="203">
        <f t="shared" si="109"/>
        <v>54536.55</v>
      </c>
      <c r="P205" s="203">
        <f t="shared" si="109"/>
        <v>1962.82</v>
      </c>
      <c r="Q205" s="203" t="str">
        <f t="shared" si="109"/>
        <v>-</v>
      </c>
      <c r="R205" s="203">
        <f t="shared" si="109"/>
        <v>83811.100000000006</v>
      </c>
    </row>
    <row r="206" spans="1:18" ht="11.25" customHeight="1" x14ac:dyDescent="0.25">
      <c r="A206" s="348">
        <v>2010</v>
      </c>
      <c r="B206" s="203" t="str">
        <f t="shared" ref="B206:I206" si="110">B86</f>
        <v>-</v>
      </c>
      <c r="C206" s="203" t="str">
        <f t="shared" si="110"/>
        <v>-</v>
      </c>
      <c r="D206" s="203">
        <f t="shared" si="110"/>
        <v>143.38</v>
      </c>
      <c r="E206" s="203">
        <f t="shared" si="110"/>
        <v>1873.13</v>
      </c>
      <c r="F206" s="203">
        <f t="shared" si="110"/>
        <v>4908.91</v>
      </c>
      <c r="G206" s="203">
        <f t="shared" si="110"/>
        <v>295.40999999999997</v>
      </c>
      <c r="H206" s="203" t="str">
        <f t="shared" si="110"/>
        <v>-</v>
      </c>
      <c r="I206" s="203">
        <f t="shared" si="110"/>
        <v>7220.83</v>
      </c>
      <c r="J206" s="64"/>
      <c r="K206" s="203" t="str">
        <f t="shared" ref="K206:R206" si="111">K86</f>
        <v>-</v>
      </c>
      <c r="L206" s="203" t="str">
        <f t="shared" si="111"/>
        <v>-</v>
      </c>
      <c r="M206" s="203">
        <f t="shared" si="111"/>
        <v>13.06</v>
      </c>
      <c r="N206" s="203">
        <f t="shared" si="111"/>
        <v>7909</v>
      </c>
      <c r="O206" s="203">
        <f t="shared" si="111"/>
        <v>16128.5</v>
      </c>
      <c r="P206" s="203">
        <f t="shared" si="111"/>
        <v>862.79</v>
      </c>
      <c r="Q206" s="203" t="str">
        <f t="shared" si="111"/>
        <v>-</v>
      </c>
      <c r="R206" s="203">
        <f t="shared" si="111"/>
        <v>24913.350000000002</v>
      </c>
    </row>
    <row r="207" spans="1:18" ht="11.25" customHeight="1" x14ac:dyDescent="0.25">
      <c r="A207" s="348">
        <v>2011</v>
      </c>
      <c r="B207" s="203" t="str">
        <f t="shared" ref="B207:I207" si="112">B87</f>
        <v>-</v>
      </c>
      <c r="C207" s="203" t="str">
        <f t="shared" si="112"/>
        <v>-</v>
      </c>
      <c r="D207" s="203">
        <f t="shared" si="112"/>
        <v>480.79999999999995</v>
      </c>
      <c r="E207" s="203">
        <f t="shared" si="112"/>
        <v>955.27</v>
      </c>
      <c r="F207" s="203">
        <f t="shared" si="112"/>
        <v>5370.77</v>
      </c>
      <c r="G207" s="203">
        <f t="shared" si="112"/>
        <v>408.4</v>
      </c>
      <c r="H207" s="203" t="str">
        <f t="shared" si="112"/>
        <v>-</v>
      </c>
      <c r="I207" s="203">
        <f t="shared" si="112"/>
        <v>7215.24</v>
      </c>
      <c r="J207" s="64"/>
      <c r="K207" s="203" t="str">
        <f t="shared" ref="K207:R207" si="113">K87</f>
        <v>-</v>
      </c>
      <c r="L207" s="203" t="str">
        <f t="shared" si="113"/>
        <v>-</v>
      </c>
      <c r="M207" s="203">
        <f t="shared" si="113"/>
        <v>466.87</v>
      </c>
      <c r="N207" s="203">
        <f t="shared" si="113"/>
        <v>6084.81</v>
      </c>
      <c r="O207" s="203">
        <f t="shared" si="113"/>
        <v>16810.129999999997</v>
      </c>
      <c r="P207" s="203">
        <f t="shared" si="113"/>
        <v>3318.64</v>
      </c>
      <c r="Q207" s="203" t="str">
        <f t="shared" si="113"/>
        <v>-</v>
      </c>
      <c r="R207" s="203">
        <f t="shared" si="113"/>
        <v>26680.449999999997</v>
      </c>
    </row>
    <row r="208" spans="1:18" ht="11.25" customHeight="1" x14ac:dyDescent="0.25">
      <c r="A208" s="348">
        <v>2012</v>
      </c>
      <c r="B208" s="203" t="str">
        <f t="shared" ref="B208:I208" si="114">B88</f>
        <v>-</v>
      </c>
      <c r="C208" s="203" t="str">
        <f t="shared" si="114"/>
        <v>-</v>
      </c>
      <c r="D208" s="203">
        <f t="shared" si="114"/>
        <v>2370.88</v>
      </c>
      <c r="E208" s="203">
        <f t="shared" si="114"/>
        <v>2849.82</v>
      </c>
      <c r="F208" s="203">
        <f t="shared" si="114"/>
        <v>3122.02</v>
      </c>
      <c r="G208" s="203">
        <f t="shared" si="114"/>
        <v>774.78</v>
      </c>
      <c r="H208" s="203" t="str">
        <f t="shared" si="114"/>
        <v>-</v>
      </c>
      <c r="I208" s="203">
        <f t="shared" si="114"/>
        <v>9117.5</v>
      </c>
      <c r="J208" s="64"/>
      <c r="K208" s="203" t="str">
        <f t="shared" ref="K208:R208" si="115">K88</f>
        <v>-</v>
      </c>
      <c r="L208" s="203" t="str">
        <f t="shared" si="115"/>
        <v>-</v>
      </c>
      <c r="M208" s="203">
        <f t="shared" si="115"/>
        <v>282.33000000000004</v>
      </c>
      <c r="N208" s="203">
        <f t="shared" si="115"/>
        <v>3671.76</v>
      </c>
      <c r="O208" s="203">
        <f t="shared" si="115"/>
        <v>5161.29</v>
      </c>
      <c r="P208" s="203">
        <f t="shared" si="115"/>
        <v>2275.8200000000002</v>
      </c>
      <c r="Q208" s="203" t="str">
        <f t="shared" si="115"/>
        <v>-</v>
      </c>
      <c r="R208" s="203">
        <f t="shared" si="115"/>
        <v>11391.2</v>
      </c>
    </row>
    <row r="209" spans="1:18" ht="11.25" customHeight="1" x14ac:dyDescent="0.25">
      <c r="A209" s="348">
        <v>2013</v>
      </c>
      <c r="B209" s="203" t="str">
        <f t="shared" ref="B209:I209" si="116">B89</f>
        <v>-</v>
      </c>
      <c r="C209" s="203" t="str">
        <f t="shared" si="116"/>
        <v>-</v>
      </c>
      <c r="D209" s="203">
        <f t="shared" si="116"/>
        <v>2030.81</v>
      </c>
      <c r="E209" s="203">
        <f t="shared" si="116"/>
        <v>1679.35</v>
      </c>
      <c r="F209" s="203">
        <f t="shared" si="116"/>
        <v>4075.89</v>
      </c>
      <c r="G209" s="203">
        <f t="shared" si="116"/>
        <v>760.46</v>
      </c>
      <c r="H209" s="203" t="str">
        <f t="shared" si="116"/>
        <v>-</v>
      </c>
      <c r="I209" s="203">
        <f t="shared" si="116"/>
        <v>8546.5099999999984</v>
      </c>
      <c r="J209" s="64"/>
      <c r="K209" s="203" t="str">
        <f t="shared" ref="K209:R209" si="117">K89</f>
        <v>-</v>
      </c>
      <c r="L209" s="203" t="str">
        <f t="shared" si="117"/>
        <v>-</v>
      </c>
      <c r="M209" s="203">
        <f t="shared" si="117"/>
        <v>3429.53</v>
      </c>
      <c r="N209" s="203">
        <f t="shared" si="117"/>
        <v>4998.0300000000007</v>
      </c>
      <c r="O209" s="203">
        <f t="shared" si="117"/>
        <v>10305.43</v>
      </c>
      <c r="P209" s="203">
        <f t="shared" si="117"/>
        <v>1739.13</v>
      </c>
      <c r="Q209" s="203" t="str">
        <f t="shared" si="117"/>
        <v>-</v>
      </c>
      <c r="R209" s="203">
        <f t="shared" si="117"/>
        <v>20472.120000000003</v>
      </c>
    </row>
    <row r="210" spans="1:18" ht="11.25" customHeight="1" x14ac:dyDescent="0.25">
      <c r="A210" s="348">
        <v>2014</v>
      </c>
      <c r="B210" s="203" t="str">
        <f t="shared" ref="B210:I210" si="118">B90</f>
        <v>-</v>
      </c>
      <c r="C210" s="203">
        <f t="shared" si="118"/>
        <v>65.289999999999992</v>
      </c>
      <c r="D210" s="203">
        <f t="shared" si="118"/>
        <v>1066.74</v>
      </c>
      <c r="E210" s="203">
        <f t="shared" si="118"/>
        <v>3198.42</v>
      </c>
      <c r="F210" s="203">
        <f t="shared" si="118"/>
        <v>6420.59</v>
      </c>
      <c r="G210" s="203">
        <f t="shared" si="118"/>
        <v>596.04999999999995</v>
      </c>
      <c r="H210" s="203" t="str">
        <f t="shared" si="118"/>
        <v>-</v>
      </c>
      <c r="I210" s="203">
        <f t="shared" si="118"/>
        <v>11347.09</v>
      </c>
      <c r="J210" s="64"/>
      <c r="K210" s="203" t="str">
        <f t="shared" ref="K210:R210" si="119">K90</f>
        <v>-</v>
      </c>
      <c r="L210" s="203" t="str">
        <f t="shared" si="119"/>
        <v>-</v>
      </c>
      <c r="M210" s="203">
        <f t="shared" si="119"/>
        <v>2614.4</v>
      </c>
      <c r="N210" s="203">
        <f t="shared" si="119"/>
        <v>19862.5</v>
      </c>
      <c r="O210" s="203">
        <f t="shared" si="119"/>
        <v>38532.28</v>
      </c>
      <c r="P210" s="203">
        <f t="shared" si="119"/>
        <v>14062.560000000001</v>
      </c>
      <c r="Q210" s="203" t="str">
        <f t="shared" si="119"/>
        <v>-</v>
      </c>
      <c r="R210" s="203">
        <f t="shared" si="119"/>
        <v>75071.740000000005</v>
      </c>
    </row>
    <row r="211" spans="1:18" ht="11.25" customHeight="1" x14ac:dyDescent="0.25">
      <c r="A211" s="348">
        <v>2015</v>
      </c>
      <c r="B211" s="203" t="str">
        <f t="shared" ref="B211:I211" si="120">B91</f>
        <v>-</v>
      </c>
      <c r="C211" s="203">
        <f t="shared" si="120"/>
        <v>89.15</v>
      </c>
      <c r="D211" s="203">
        <f t="shared" si="120"/>
        <v>1216.44</v>
      </c>
      <c r="E211" s="203">
        <f t="shared" si="120"/>
        <v>1853.2</v>
      </c>
      <c r="F211" s="203">
        <f t="shared" si="120"/>
        <v>5866.08</v>
      </c>
      <c r="G211" s="203">
        <f t="shared" si="120"/>
        <v>3145.83</v>
      </c>
      <c r="H211" s="203" t="str">
        <f t="shared" si="120"/>
        <v>-</v>
      </c>
      <c r="I211" s="203">
        <f t="shared" si="120"/>
        <v>12170.7</v>
      </c>
      <c r="J211" s="64"/>
      <c r="K211" s="203" t="str">
        <f t="shared" ref="K211:R211" si="121">K91</f>
        <v>-</v>
      </c>
      <c r="L211" s="203" t="str">
        <f t="shared" si="121"/>
        <v>-</v>
      </c>
      <c r="M211" s="203">
        <f t="shared" si="121"/>
        <v>3339.26</v>
      </c>
      <c r="N211" s="203">
        <f t="shared" si="121"/>
        <v>16089.02</v>
      </c>
      <c r="O211" s="203">
        <f t="shared" si="121"/>
        <v>18628.28</v>
      </c>
      <c r="P211" s="203">
        <f t="shared" si="121"/>
        <v>6494.17</v>
      </c>
      <c r="Q211" s="203" t="str">
        <f t="shared" si="121"/>
        <v>-</v>
      </c>
      <c r="R211" s="203">
        <f t="shared" si="121"/>
        <v>44550.73</v>
      </c>
    </row>
    <row r="212" spans="1:18" ht="11.25" customHeight="1" x14ac:dyDescent="0.25">
      <c r="A212" s="348">
        <v>2016</v>
      </c>
      <c r="B212" s="203" t="str">
        <f t="shared" ref="B212:I212" si="122">B92</f>
        <v>-</v>
      </c>
      <c r="C212" s="203" t="str">
        <f t="shared" si="122"/>
        <v>-</v>
      </c>
      <c r="D212" s="203" t="str">
        <f t="shared" si="122"/>
        <v>-</v>
      </c>
      <c r="E212" s="203">
        <f t="shared" si="122"/>
        <v>2741.35</v>
      </c>
      <c r="F212" s="203">
        <f t="shared" si="122"/>
        <v>3255.18</v>
      </c>
      <c r="G212" s="203" t="str">
        <f t="shared" si="122"/>
        <v>-</v>
      </c>
      <c r="H212" s="203" t="str">
        <f t="shared" si="122"/>
        <v>-</v>
      </c>
      <c r="I212" s="203">
        <f t="shared" si="122"/>
        <v>5996.53</v>
      </c>
      <c r="J212" s="64"/>
      <c r="K212" s="203" t="str">
        <f t="shared" ref="K212:R212" si="123">K92</f>
        <v>-</v>
      </c>
      <c r="L212" s="203" t="str">
        <f t="shared" si="123"/>
        <v>-</v>
      </c>
      <c r="M212" s="203" t="str">
        <f t="shared" si="123"/>
        <v>-</v>
      </c>
      <c r="N212" s="203">
        <f t="shared" si="123"/>
        <v>5606.76</v>
      </c>
      <c r="O212" s="203">
        <f t="shared" si="123"/>
        <v>13004.77</v>
      </c>
      <c r="P212" s="203" t="str">
        <f t="shared" si="123"/>
        <v>-</v>
      </c>
      <c r="Q212" s="203" t="str">
        <f t="shared" si="123"/>
        <v>-</v>
      </c>
      <c r="R212" s="203">
        <f t="shared" si="123"/>
        <v>18611.53</v>
      </c>
    </row>
    <row r="213" spans="1:18" ht="11.25" customHeight="1" x14ac:dyDescent="0.25">
      <c r="A213" s="348">
        <v>2017</v>
      </c>
      <c r="B213" s="203" t="str">
        <f t="shared" ref="B213:I213" si="124">B93</f>
        <v>-</v>
      </c>
      <c r="C213" s="203" t="str">
        <f t="shared" si="124"/>
        <v>-</v>
      </c>
      <c r="D213" s="203">
        <f t="shared" si="124"/>
        <v>648.87</v>
      </c>
      <c r="E213" s="203">
        <f t="shared" si="124"/>
        <v>2758</v>
      </c>
      <c r="F213" s="203">
        <f t="shared" si="124"/>
        <v>4164.4699999999993</v>
      </c>
      <c r="G213" s="203" t="str">
        <f t="shared" si="124"/>
        <v>-</v>
      </c>
      <c r="H213" s="203" t="str">
        <f t="shared" si="124"/>
        <v>-</v>
      </c>
      <c r="I213" s="203">
        <f t="shared" si="124"/>
        <v>7571.34</v>
      </c>
      <c r="J213" s="64"/>
      <c r="K213" s="203" t="str">
        <f t="shared" ref="K213:R213" si="125">K93</f>
        <v>-</v>
      </c>
      <c r="L213" s="203" t="str">
        <f t="shared" si="125"/>
        <v>-</v>
      </c>
      <c r="M213" s="203">
        <f t="shared" si="125"/>
        <v>42.64</v>
      </c>
      <c r="N213" s="203">
        <f t="shared" si="125"/>
        <v>7972.99</v>
      </c>
      <c r="O213" s="203">
        <f t="shared" si="125"/>
        <v>13608.99</v>
      </c>
      <c r="P213" s="203" t="str">
        <f t="shared" si="125"/>
        <v>-</v>
      </c>
      <c r="Q213" s="203" t="str">
        <f t="shared" si="125"/>
        <v>-</v>
      </c>
      <c r="R213" s="203">
        <f t="shared" si="125"/>
        <v>21624.62</v>
      </c>
    </row>
    <row r="214" spans="1:18" s="358" customFormat="1" ht="11.25" customHeight="1" x14ac:dyDescent="0.25">
      <c r="A214" s="348">
        <v>2018</v>
      </c>
      <c r="B214" s="203" t="str">
        <f t="shared" ref="B214:I214" si="126">B94</f>
        <v>-</v>
      </c>
      <c r="C214" s="203" t="str">
        <f t="shared" si="126"/>
        <v>-</v>
      </c>
      <c r="D214" s="203">
        <f t="shared" si="126"/>
        <v>575.13</v>
      </c>
      <c r="E214" s="203">
        <f t="shared" si="126"/>
        <v>656.53</v>
      </c>
      <c r="F214" s="203">
        <f t="shared" si="126"/>
        <v>1001</v>
      </c>
      <c r="G214" s="203">
        <f t="shared" si="126"/>
        <v>25.18</v>
      </c>
      <c r="H214" s="203" t="str">
        <f t="shared" si="126"/>
        <v>-</v>
      </c>
      <c r="I214" s="203">
        <f t="shared" si="126"/>
        <v>2257.84</v>
      </c>
      <c r="J214" s="64"/>
      <c r="K214" s="203" t="str">
        <f t="shared" ref="K214:R214" si="127">K94</f>
        <v>-</v>
      </c>
      <c r="L214" s="203" t="str">
        <f t="shared" si="127"/>
        <v>-</v>
      </c>
      <c r="M214" s="203">
        <f t="shared" si="127"/>
        <v>294.3</v>
      </c>
      <c r="N214" s="203">
        <f t="shared" si="127"/>
        <v>6071.59</v>
      </c>
      <c r="O214" s="203">
        <f t="shared" si="127"/>
        <v>14102.14</v>
      </c>
      <c r="P214" s="203">
        <f t="shared" si="127"/>
        <v>107.38</v>
      </c>
      <c r="Q214" s="203" t="str">
        <f t="shared" si="127"/>
        <v>-</v>
      </c>
      <c r="R214" s="203">
        <f t="shared" si="127"/>
        <v>20575.409999999996</v>
      </c>
    </row>
    <row r="215" spans="1:18" s="358" customFormat="1" ht="11.25" customHeight="1" x14ac:dyDescent="0.25">
      <c r="A215" s="491">
        <v>2019</v>
      </c>
      <c r="B215" s="203" t="str">
        <f t="shared" ref="B215:I216" si="128">B95</f>
        <v>-</v>
      </c>
      <c r="C215" s="203" t="str">
        <f t="shared" si="128"/>
        <v>-</v>
      </c>
      <c r="D215" s="203">
        <f t="shared" si="128"/>
        <v>341.22</v>
      </c>
      <c r="E215" s="203">
        <f t="shared" si="128"/>
        <v>2200.9</v>
      </c>
      <c r="F215" s="203">
        <f t="shared" si="128"/>
        <v>1373.26</v>
      </c>
      <c r="G215" s="203">
        <f t="shared" si="128"/>
        <v>122.14</v>
      </c>
      <c r="H215" s="203" t="str">
        <f t="shared" si="128"/>
        <v>-</v>
      </c>
      <c r="I215" s="203">
        <f t="shared" si="128"/>
        <v>4037.52</v>
      </c>
      <c r="J215" s="64"/>
      <c r="K215" s="203" t="str">
        <f t="shared" ref="K215:R216" si="129">K95</f>
        <v>-</v>
      </c>
      <c r="L215" s="203" t="str">
        <f t="shared" si="129"/>
        <v>-</v>
      </c>
      <c r="M215" s="203">
        <f t="shared" si="129"/>
        <v>5358.51</v>
      </c>
      <c r="N215" s="203">
        <f t="shared" si="129"/>
        <v>20934.419999999998</v>
      </c>
      <c r="O215" s="203">
        <f t="shared" si="129"/>
        <v>25539.97</v>
      </c>
      <c r="P215" s="203">
        <f t="shared" si="129"/>
        <v>1642.11</v>
      </c>
      <c r="Q215" s="203" t="str">
        <f t="shared" si="129"/>
        <v>-</v>
      </c>
      <c r="R215" s="203">
        <f t="shared" si="129"/>
        <v>53475.01</v>
      </c>
    </row>
    <row r="216" spans="1:18" ht="11.25" customHeight="1" x14ac:dyDescent="0.25">
      <c r="A216" s="490" t="s">
        <v>394</v>
      </c>
      <c r="B216" s="203" t="str">
        <f t="shared" si="128"/>
        <v>-</v>
      </c>
      <c r="C216" s="203" t="str">
        <f t="shared" si="128"/>
        <v>-</v>
      </c>
      <c r="D216" s="203">
        <f t="shared" si="128"/>
        <v>219.1</v>
      </c>
      <c r="E216" s="203">
        <f t="shared" si="128"/>
        <v>604.78</v>
      </c>
      <c r="F216" s="203" t="str">
        <f t="shared" si="128"/>
        <v>-</v>
      </c>
      <c r="G216" s="203" t="str">
        <f t="shared" si="128"/>
        <v>-</v>
      </c>
      <c r="H216" s="203" t="str">
        <f t="shared" si="128"/>
        <v>-</v>
      </c>
      <c r="I216" s="203">
        <f t="shared" si="128"/>
        <v>823.88</v>
      </c>
      <c r="J216" s="64"/>
      <c r="K216" s="203" t="str">
        <f t="shared" si="129"/>
        <v>-</v>
      </c>
      <c r="L216" s="203" t="str">
        <f t="shared" si="129"/>
        <v>-</v>
      </c>
      <c r="M216" s="203">
        <f t="shared" si="129"/>
        <v>0</v>
      </c>
      <c r="N216" s="203">
        <f t="shared" si="129"/>
        <v>12832.27</v>
      </c>
      <c r="O216" s="203" t="str">
        <f t="shared" si="129"/>
        <v>-</v>
      </c>
      <c r="P216" s="203" t="str">
        <f t="shared" si="129"/>
        <v>-</v>
      </c>
      <c r="Q216" s="203" t="str">
        <f t="shared" si="129"/>
        <v>-</v>
      </c>
      <c r="R216" s="203">
        <f t="shared" si="129"/>
        <v>12832.27</v>
      </c>
    </row>
    <row r="217" spans="1:18" ht="11.25" customHeight="1" x14ac:dyDescent="0.25">
      <c r="A217" s="371"/>
      <c r="B217" s="200"/>
      <c r="C217" s="200"/>
      <c r="D217" s="200"/>
      <c r="E217" s="200"/>
      <c r="F217" s="200"/>
      <c r="G217" s="200"/>
      <c r="H217" s="200"/>
      <c r="I217" s="200"/>
      <c r="J217" s="400"/>
      <c r="K217" s="200"/>
      <c r="L217" s="200"/>
      <c r="M217" s="200"/>
      <c r="N217" s="200"/>
      <c r="O217" s="200"/>
      <c r="P217" s="200"/>
      <c r="Q217" s="200"/>
      <c r="R217" s="200"/>
    </row>
    <row r="218" spans="1:18" ht="11.25" customHeight="1" x14ac:dyDescent="0.25">
      <c r="A218" s="522" t="s">
        <v>351</v>
      </c>
      <c r="B218" s="522"/>
      <c r="C218" s="522"/>
      <c r="D218" s="522"/>
      <c r="E218" s="522"/>
      <c r="F218" s="522"/>
      <c r="G218" s="522"/>
      <c r="H218" s="522"/>
      <c r="I218" s="522"/>
      <c r="J218" s="522"/>
      <c r="K218" s="522"/>
      <c r="L218" s="522"/>
      <c r="M218" s="522"/>
      <c r="N218" s="522"/>
      <c r="O218" s="522"/>
      <c r="P218" s="522"/>
      <c r="Q218" s="522"/>
      <c r="R218" s="522"/>
    </row>
    <row r="219" spans="1:18" s="346" customFormat="1" ht="13.5" customHeight="1" x14ac:dyDescent="0.25">
      <c r="A219" s="59" t="s">
        <v>33</v>
      </c>
      <c r="B219" s="369" t="s">
        <v>118</v>
      </c>
      <c r="C219" s="369" t="s">
        <v>35</v>
      </c>
      <c r="D219" s="369" t="s">
        <v>36</v>
      </c>
      <c r="E219" s="369" t="s">
        <v>37</v>
      </c>
      <c r="F219" s="369" t="s">
        <v>38</v>
      </c>
      <c r="G219" s="369" t="s">
        <v>39</v>
      </c>
      <c r="H219" s="369" t="s">
        <v>40</v>
      </c>
      <c r="I219" s="369" t="s">
        <v>295</v>
      </c>
      <c r="J219" s="59"/>
      <c r="K219" s="369" t="s">
        <v>118</v>
      </c>
      <c r="L219" s="369" t="s">
        <v>35</v>
      </c>
      <c r="M219" s="369" t="s">
        <v>36</v>
      </c>
      <c r="N219" s="369" t="s">
        <v>37</v>
      </c>
      <c r="O219" s="369" t="s">
        <v>38</v>
      </c>
      <c r="P219" s="369" t="s">
        <v>39</v>
      </c>
      <c r="Q219" s="369" t="s">
        <v>40</v>
      </c>
      <c r="R219" s="369" t="s">
        <v>28</v>
      </c>
    </row>
    <row r="220" spans="1:18" x14ac:dyDescent="0.25">
      <c r="A220" s="348"/>
      <c r="B220" s="583" t="s">
        <v>67</v>
      </c>
      <c r="C220" s="583"/>
      <c r="D220" s="583"/>
      <c r="E220" s="583"/>
      <c r="F220" s="583"/>
      <c r="G220" s="583"/>
      <c r="H220" s="583"/>
      <c r="I220" s="583"/>
      <c r="J220" s="68"/>
      <c r="K220" s="583" t="s">
        <v>68</v>
      </c>
      <c r="L220" s="583"/>
      <c r="M220" s="583"/>
      <c r="N220" s="583"/>
      <c r="O220" s="583"/>
      <c r="P220" s="583"/>
      <c r="Q220" s="583"/>
      <c r="R220" s="583"/>
    </row>
    <row r="221" spans="1:18" x14ac:dyDescent="0.25">
      <c r="A221" s="126" t="s">
        <v>316</v>
      </c>
      <c r="B221" s="200"/>
      <c r="C221" s="200"/>
      <c r="D221" s="200"/>
      <c r="E221" s="200"/>
      <c r="F221" s="200"/>
      <c r="G221" s="200"/>
      <c r="H221" s="200"/>
      <c r="I221" s="200"/>
      <c r="J221" s="400"/>
      <c r="K221" s="200"/>
      <c r="L221" s="200"/>
      <c r="M221" s="200"/>
      <c r="N221" s="200"/>
      <c r="O221" s="200"/>
      <c r="P221" s="200"/>
      <c r="Q221" s="200"/>
      <c r="R221" s="200"/>
    </row>
    <row r="222" spans="1:18" ht="11.25" customHeight="1" x14ac:dyDescent="0.25">
      <c r="A222" s="371" t="s">
        <v>30</v>
      </c>
      <c r="B222" s="200">
        <f t="shared" ref="B222:I222" si="130">AVERAGE(B104:B108)</f>
        <v>57.4</v>
      </c>
      <c r="C222" s="200">
        <f t="shared" si="130"/>
        <v>2158.8000000000002</v>
      </c>
      <c r="D222" s="200">
        <f t="shared" si="130"/>
        <v>16621.8</v>
      </c>
      <c r="E222" s="200">
        <f t="shared" si="130"/>
        <v>25794</v>
      </c>
      <c r="F222" s="200">
        <f t="shared" si="130"/>
        <v>14568.4</v>
      </c>
      <c r="G222" s="200">
        <f t="shared" si="130"/>
        <v>1009</v>
      </c>
      <c r="H222" s="200">
        <f t="shared" si="130"/>
        <v>46</v>
      </c>
      <c r="I222" s="200">
        <f t="shared" si="130"/>
        <v>60026</v>
      </c>
      <c r="J222" s="400"/>
      <c r="K222" s="200">
        <f t="shared" ref="K222:R222" si="131">AVERAGE(K104:K108)</f>
        <v>80</v>
      </c>
      <c r="L222" s="200">
        <f t="shared" si="131"/>
        <v>3527</v>
      </c>
      <c r="M222" s="200">
        <f t="shared" si="131"/>
        <v>27083</v>
      </c>
      <c r="N222" s="200">
        <f t="shared" si="131"/>
        <v>90232</v>
      </c>
      <c r="O222" s="200">
        <f t="shared" si="131"/>
        <v>79882.8</v>
      </c>
      <c r="P222" s="200">
        <f t="shared" si="131"/>
        <v>12003.4</v>
      </c>
      <c r="Q222" s="200">
        <f t="shared" si="131"/>
        <v>436</v>
      </c>
      <c r="R222" s="200">
        <f t="shared" si="131"/>
        <v>206178.4</v>
      </c>
    </row>
    <row r="223" spans="1:18" ht="11.25" customHeight="1" x14ac:dyDescent="0.25">
      <c r="A223" s="371" t="s">
        <v>87</v>
      </c>
      <c r="B223" s="200" t="s">
        <v>29</v>
      </c>
      <c r="C223" s="200">
        <f t="shared" ref="C223:I223" si="132">AVERAGE(C109:C113)</f>
        <v>930</v>
      </c>
      <c r="D223" s="200">
        <f t="shared" si="132"/>
        <v>2013.5</v>
      </c>
      <c r="E223" s="200">
        <f t="shared" si="132"/>
        <v>15453.4</v>
      </c>
      <c r="F223" s="200">
        <f t="shared" si="132"/>
        <v>9841.2000000000007</v>
      </c>
      <c r="G223" s="200">
        <f t="shared" si="132"/>
        <v>1241</v>
      </c>
      <c r="H223" s="200" t="s">
        <v>29</v>
      </c>
      <c r="I223" s="200">
        <f t="shared" si="132"/>
        <v>27836</v>
      </c>
      <c r="J223" s="400"/>
      <c r="K223" s="200" t="s">
        <v>29</v>
      </c>
      <c r="L223" s="200">
        <f t="shared" ref="L223:R223" si="133">AVERAGE(L109:L113)</f>
        <v>19</v>
      </c>
      <c r="M223" s="200">
        <f t="shared" si="133"/>
        <v>6902</v>
      </c>
      <c r="N223" s="200">
        <f t="shared" si="133"/>
        <v>106235</v>
      </c>
      <c r="O223" s="200">
        <f t="shared" si="133"/>
        <v>74358.600000000006</v>
      </c>
      <c r="P223" s="200">
        <f t="shared" si="133"/>
        <v>7426.8</v>
      </c>
      <c r="Q223" s="200">
        <f t="shared" si="133"/>
        <v>44.5</v>
      </c>
      <c r="R223" s="200">
        <f t="shared" si="133"/>
        <v>193563.6</v>
      </c>
    </row>
    <row r="224" spans="1:18" ht="11.25" customHeight="1" x14ac:dyDescent="0.25">
      <c r="A224" s="371" t="s">
        <v>14</v>
      </c>
      <c r="B224" s="200" t="s">
        <v>29</v>
      </c>
      <c r="C224" s="200">
        <f>AVERAGE(C114:C118)</f>
        <v>148</v>
      </c>
      <c r="D224" s="200">
        <f t="shared" ref="D224:R224" si="134">AVERAGE(D114:D118)</f>
        <v>1081.5</v>
      </c>
      <c r="E224" s="200">
        <f t="shared" si="134"/>
        <v>5233</v>
      </c>
      <c r="F224" s="200">
        <f t="shared" si="134"/>
        <v>4057.5</v>
      </c>
      <c r="G224" s="200">
        <f t="shared" si="134"/>
        <v>1805.75</v>
      </c>
      <c r="H224" s="200">
        <f t="shared" si="134"/>
        <v>215</v>
      </c>
      <c r="I224" s="200">
        <f t="shared" si="134"/>
        <v>11764.75</v>
      </c>
      <c r="J224" s="200"/>
      <c r="K224" s="200" t="s">
        <v>29</v>
      </c>
      <c r="L224" s="200">
        <f t="shared" si="134"/>
        <v>40</v>
      </c>
      <c r="M224" s="200">
        <f t="shared" si="134"/>
        <v>7328</v>
      </c>
      <c r="N224" s="200">
        <f t="shared" si="134"/>
        <v>74415.5</v>
      </c>
      <c r="O224" s="200">
        <f t="shared" si="134"/>
        <v>57811.75</v>
      </c>
      <c r="P224" s="200">
        <f t="shared" si="134"/>
        <v>19028.75</v>
      </c>
      <c r="Q224" s="200">
        <f t="shared" si="134"/>
        <v>324</v>
      </c>
      <c r="R224" s="200">
        <f t="shared" si="134"/>
        <v>124016.8</v>
      </c>
    </row>
    <row r="225" spans="1:22" ht="11.25" customHeight="1" x14ac:dyDescent="0.25">
      <c r="A225" s="371" t="s">
        <v>207</v>
      </c>
      <c r="B225" s="200" t="s">
        <v>29</v>
      </c>
      <c r="C225" s="200" t="s">
        <v>29</v>
      </c>
      <c r="D225" s="200" t="s">
        <v>29</v>
      </c>
      <c r="E225" s="200">
        <f t="shared" ref="E225:R225" si="135">AVERAGE(E119:E123)</f>
        <v>2799.25</v>
      </c>
      <c r="F225" s="200">
        <f t="shared" si="135"/>
        <v>2629.4</v>
      </c>
      <c r="G225" s="200">
        <f t="shared" si="135"/>
        <v>592</v>
      </c>
      <c r="H225" s="200" t="s">
        <v>29</v>
      </c>
      <c r="I225" s="200">
        <f t="shared" si="135"/>
        <v>5342.4</v>
      </c>
      <c r="J225" s="200"/>
      <c r="K225" s="200" t="s">
        <v>29</v>
      </c>
      <c r="L225" s="200" t="s">
        <v>29</v>
      </c>
      <c r="M225" s="200" t="s">
        <v>29</v>
      </c>
      <c r="N225" s="200">
        <f t="shared" si="135"/>
        <v>21511.25</v>
      </c>
      <c r="O225" s="200">
        <f t="shared" si="135"/>
        <v>26964</v>
      </c>
      <c r="P225" s="200">
        <f t="shared" si="135"/>
        <v>4528.6000000000004</v>
      </c>
      <c r="Q225" s="200" t="s">
        <v>29</v>
      </c>
      <c r="R225" s="200">
        <f t="shared" si="135"/>
        <v>48701.599999999999</v>
      </c>
    </row>
    <row r="226" spans="1:22" ht="11.25" customHeight="1" x14ac:dyDescent="0.25">
      <c r="A226" s="371" t="s">
        <v>238</v>
      </c>
      <c r="B226" s="200" t="str">
        <f>B124</f>
        <v>-</v>
      </c>
      <c r="C226" s="200">
        <f t="shared" ref="C226:I226" si="136">AVERAGE(C124:C128)</f>
        <v>2640</v>
      </c>
      <c r="D226" s="200">
        <f t="shared" si="136"/>
        <v>5294.5</v>
      </c>
      <c r="E226" s="200">
        <f t="shared" si="136"/>
        <v>15735.284720780397</v>
      </c>
      <c r="F226" s="200">
        <f t="shared" si="136"/>
        <v>14305.279902815353</v>
      </c>
      <c r="G226" s="200">
        <f t="shared" si="136"/>
        <v>3100.3900462334186</v>
      </c>
      <c r="H226" s="200">
        <f t="shared" si="136"/>
        <v>51.4</v>
      </c>
      <c r="I226" s="200">
        <f t="shared" si="136"/>
        <v>37954.75466982917</v>
      </c>
      <c r="J226" s="400"/>
      <c r="K226" s="200" t="str">
        <f>K124</f>
        <v>-</v>
      </c>
      <c r="L226" s="200">
        <f t="shared" ref="L226:R226" si="137">AVERAGE(L124:L128)</f>
        <v>2.5</v>
      </c>
      <c r="M226" s="200">
        <f t="shared" si="137"/>
        <v>1900.25</v>
      </c>
      <c r="N226" s="200">
        <f t="shared" si="137"/>
        <v>47596.353217747783</v>
      </c>
      <c r="O226" s="200">
        <f t="shared" si="137"/>
        <v>66201.030341472229</v>
      </c>
      <c r="P226" s="200">
        <f t="shared" si="137"/>
        <v>17035.926886302655</v>
      </c>
      <c r="Q226" s="200">
        <f t="shared" si="137"/>
        <v>10.4</v>
      </c>
      <c r="R226" s="200">
        <f t="shared" si="137"/>
        <v>132364.91044552266</v>
      </c>
    </row>
    <row r="227" spans="1:22" ht="11.25" customHeight="1" x14ac:dyDescent="0.25">
      <c r="A227" s="348">
        <v>2006</v>
      </c>
      <c r="B227" s="203" t="str">
        <f t="shared" ref="B227:I227" si="138">B129</f>
        <v>-</v>
      </c>
      <c r="C227" s="203" t="str">
        <f t="shared" si="138"/>
        <v>-</v>
      </c>
      <c r="D227" s="203">
        <f t="shared" si="138"/>
        <v>202.26999999999998</v>
      </c>
      <c r="E227" s="203">
        <f t="shared" si="138"/>
        <v>3832.4300000000003</v>
      </c>
      <c r="F227" s="203">
        <f t="shared" si="138"/>
        <v>6040.0999999999995</v>
      </c>
      <c r="G227" s="203">
        <f t="shared" si="138"/>
        <v>1011.02</v>
      </c>
      <c r="H227" s="203">
        <f t="shared" si="138"/>
        <v>90.54</v>
      </c>
      <c r="I227" s="203">
        <f t="shared" si="138"/>
        <v>11176.36</v>
      </c>
      <c r="J227" s="401"/>
      <c r="K227" s="203" t="str">
        <f t="shared" ref="K227:R227" si="139">K129</f>
        <v>-</v>
      </c>
      <c r="L227" s="203" t="str">
        <f t="shared" si="139"/>
        <v>-</v>
      </c>
      <c r="M227" s="203">
        <f t="shared" si="139"/>
        <v>416.05</v>
      </c>
      <c r="N227" s="203">
        <f t="shared" si="139"/>
        <v>14663.27</v>
      </c>
      <c r="O227" s="203">
        <f t="shared" si="139"/>
        <v>24068.910000000003</v>
      </c>
      <c r="P227" s="203">
        <f t="shared" si="139"/>
        <v>2347.1999999999998</v>
      </c>
      <c r="Q227" s="203">
        <f t="shared" si="139"/>
        <v>2.4</v>
      </c>
      <c r="R227" s="203">
        <f t="shared" si="139"/>
        <v>41497.83</v>
      </c>
    </row>
    <row r="228" spans="1:22" ht="11.25" customHeight="1" x14ac:dyDescent="0.25">
      <c r="A228" s="348">
        <v>2007</v>
      </c>
      <c r="B228" s="203" t="str">
        <f t="shared" ref="B228:I228" si="140">B130</f>
        <v>-</v>
      </c>
      <c r="C228" s="203" t="str">
        <f t="shared" si="140"/>
        <v>-</v>
      </c>
      <c r="D228" s="203" t="str">
        <f t="shared" si="140"/>
        <v>-</v>
      </c>
      <c r="E228" s="203">
        <f t="shared" si="140"/>
        <v>4177.7299999999996</v>
      </c>
      <c r="F228" s="203">
        <f t="shared" si="140"/>
        <v>4819.41</v>
      </c>
      <c r="G228" s="203">
        <f t="shared" si="140"/>
        <v>540.65</v>
      </c>
      <c r="H228" s="203">
        <f t="shared" si="140"/>
        <v>0</v>
      </c>
      <c r="I228" s="203">
        <f t="shared" si="140"/>
        <v>9537.7900000000009</v>
      </c>
      <c r="J228" s="401"/>
      <c r="K228" s="203" t="str">
        <f t="shared" ref="K228:R228" si="141">K130</f>
        <v>-</v>
      </c>
      <c r="L228" s="203" t="str">
        <f t="shared" si="141"/>
        <v>-</v>
      </c>
      <c r="M228" s="203" t="str">
        <f t="shared" si="141"/>
        <v>-</v>
      </c>
      <c r="N228" s="203">
        <f t="shared" si="141"/>
        <v>29010.18</v>
      </c>
      <c r="O228" s="203">
        <f t="shared" si="141"/>
        <v>67286.48000000001</v>
      </c>
      <c r="P228" s="203">
        <f t="shared" si="141"/>
        <v>5887.9400000000005</v>
      </c>
      <c r="Q228" s="203">
        <f t="shared" si="141"/>
        <v>0</v>
      </c>
      <c r="R228" s="203">
        <f t="shared" si="141"/>
        <v>102184.59999999999</v>
      </c>
    </row>
    <row r="229" spans="1:22" ht="11.25" customHeight="1" x14ac:dyDescent="0.25">
      <c r="A229" s="348">
        <v>2008</v>
      </c>
      <c r="B229" s="203" t="str">
        <f t="shared" ref="B229:I229" si="142">B131</f>
        <v>-</v>
      </c>
      <c r="C229" s="203">
        <f t="shared" si="142"/>
        <v>17</v>
      </c>
      <c r="D229" s="203">
        <f t="shared" si="142"/>
        <v>3162.5499999999997</v>
      </c>
      <c r="E229" s="203">
        <f t="shared" si="142"/>
        <v>6936.7</v>
      </c>
      <c r="F229" s="203">
        <f t="shared" si="142"/>
        <v>4915.58</v>
      </c>
      <c r="G229" s="203">
        <f t="shared" si="142"/>
        <v>413.91</v>
      </c>
      <c r="H229" s="203">
        <f t="shared" si="142"/>
        <v>6.25</v>
      </c>
      <c r="I229" s="203">
        <f t="shared" si="142"/>
        <v>15451.99</v>
      </c>
      <c r="J229" s="401"/>
      <c r="K229" s="203" t="str">
        <f t="shared" ref="K229:R229" si="143">K131</f>
        <v>-</v>
      </c>
      <c r="L229" s="203" t="str">
        <f t="shared" si="143"/>
        <v>-</v>
      </c>
      <c r="M229" s="203">
        <f t="shared" si="143"/>
        <v>461.27</v>
      </c>
      <c r="N229" s="203">
        <f t="shared" si="143"/>
        <v>7776.8099999999995</v>
      </c>
      <c r="O229" s="203">
        <f t="shared" si="143"/>
        <v>11069.61</v>
      </c>
      <c r="P229" s="203">
        <f t="shared" si="143"/>
        <v>1751.83</v>
      </c>
      <c r="Q229" s="203">
        <f t="shared" si="143"/>
        <v>1.25</v>
      </c>
      <c r="R229" s="203">
        <f t="shared" si="143"/>
        <v>21060.77</v>
      </c>
      <c r="V229" s="359">
        <v>143800</v>
      </c>
    </row>
    <row r="230" spans="1:22" ht="11.25" customHeight="1" x14ac:dyDescent="0.25">
      <c r="A230" s="348">
        <v>2009</v>
      </c>
      <c r="B230" s="203" t="str">
        <f t="shared" ref="B230:I230" si="144">B132</f>
        <v>-</v>
      </c>
      <c r="C230" s="203" t="str">
        <f t="shared" si="144"/>
        <v>-</v>
      </c>
      <c r="D230" s="203">
        <f t="shared" si="144"/>
        <v>196.07</v>
      </c>
      <c r="E230" s="203">
        <f t="shared" si="144"/>
        <v>4898.21</v>
      </c>
      <c r="F230" s="203">
        <f t="shared" si="144"/>
        <v>7775.51</v>
      </c>
      <c r="G230" s="203">
        <f t="shared" si="144"/>
        <v>364.34000000000003</v>
      </c>
      <c r="H230" s="203">
        <f t="shared" si="144"/>
        <v>96.78</v>
      </c>
      <c r="I230" s="203">
        <f t="shared" si="144"/>
        <v>13330.91</v>
      </c>
      <c r="J230" s="401"/>
      <c r="K230" s="203" t="str">
        <f t="shared" ref="K230:R230" si="145">K132</f>
        <v>-</v>
      </c>
      <c r="L230" s="203" t="str">
        <f t="shared" si="145"/>
        <v>-</v>
      </c>
      <c r="M230" s="203">
        <f t="shared" si="145"/>
        <v>1294.99</v>
      </c>
      <c r="N230" s="203">
        <f t="shared" si="145"/>
        <v>44335.130000000005</v>
      </c>
      <c r="O230" s="203">
        <f t="shared" si="145"/>
        <v>99534.34</v>
      </c>
      <c r="P230" s="203">
        <f t="shared" si="145"/>
        <v>12654.859999999999</v>
      </c>
      <c r="Q230" s="203">
        <f t="shared" si="145"/>
        <v>92.41</v>
      </c>
      <c r="R230" s="203">
        <f t="shared" si="145"/>
        <v>157911.73000000001</v>
      </c>
      <c r="V230" s="359">
        <v>146500</v>
      </c>
    </row>
    <row r="231" spans="1:22" ht="11.25" customHeight="1" x14ac:dyDescent="0.25">
      <c r="A231" s="348">
        <v>2010</v>
      </c>
      <c r="B231" s="203" t="str">
        <f t="shared" ref="B231:I231" si="146">B133</f>
        <v>-</v>
      </c>
      <c r="C231" s="203" t="str">
        <f t="shared" si="146"/>
        <v>-</v>
      </c>
      <c r="D231" s="203">
        <f t="shared" si="146"/>
        <v>5036.8100000000004</v>
      </c>
      <c r="E231" s="203">
        <f t="shared" si="146"/>
        <v>13687.04</v>
      </c>
      <c r="F231" s="203">
        <f t="shared" si="146"/>
        <v>17662.37</v>
      </c>
      <c r="G231" s="203">
        <f t="shared" si="146"/>
        <v>2254.96</v>
      </c>
      <c r="H231" s="203">
        <f t="shared" si="146"/>
        <v>44.95</v>
      </c>
      <c r="I231" s="203">
        <f t="shared" si="146"/>
        <v>38686.130000000005</v>
      </c>
      <c r="J231" s="401"/>
      <c r="K231" s="203" t="str">
        <f t="shared" ref="K231:R231" si="147">K133</f>
        <v>-</v>
      </c>
      <c r="L231" s="203" t="str">
        <f t="shared" si="147"/>
        <v>-</v>
      </c>
      <c r="M231" s="203">
        <f t="shared" si="147"/>
        <v>59.38</v>
      </c>
      <c r="N231" s="203">
        <f t="shared" si="147"/>
        <v>13726.39</v>
      </c>
      <c r="O231" s="203">
        <f t="shared" si="147"/>
        <v>22403.41</v>
      </c>
      <c r="P231" s="203">
        <f t="shared" si="147"/>
        <v>6160.25</v>
      </c>
      <c r="Q231" s="203">
        <f t="shared" si="147"/>
        <v>36.76</v>
      </c>
      <c r="R231" s="203">
        <f t="shared" si="147"/>
        <v>42386.19</v>
      </c>
      <c r="V231" s="359">
        <f>V229/V230</f>
        <v>0.9815699658703072</v>
      </c>
    </row>
    <row r="232" spans="1:22" ht="11.25" customHeight="1" x14ac:dyDescent="0.25">
      <c r="A232" s="348">
        <v>2011</v>
      </c>
      <c r="B232" s="203" t="str">
        <f t="shared" ref="B232:I232" si="148">B134</f>
        <v>-</v>
      </c>
      <c r="C232" s="203" t="str">
        <f t="shared" si="148"/>
        <v>-</v>
      </c>
      <c r="D232" s="203">
        <f t="shared" si="148"/>
        <v>2989.8199999999997</v>
      </c>
      <c r="E232" s="203">
        <f t="shared" si="148"/>
        <v>8417.76</v>
      </c>
      <c r="F232" s="203">
        <f t="shared" si="148"/>
        <v>18441.82</v>
      </c>
      <c r="G232" s="203">
        <f t="shared" si="148"/>
        <v>967.87</v>
      </c>
      <c r="H232" s="203">
        <f t="shared" si="148"/>
        <v>5</v>
      </c>
      <c r="I232" s="203">
        <f t="shared" si="148"/>
        <v>30822.269999999997</v>
      </c>
      <c r="J232" s="401"/>
      <c r="K232" s="203" t="str">
        <f t="shared" ref="K232:R232" si="149">K134</f>
        <v>-</v>
      </c>
      <c r="L232" s="203" t="str">
        <f t="shared" si="149"/>
        <v>-</v>
      </c>
      <c r="M232" s="203">
        <f t="shared" si="149"/>
        <v>797.72</v>
      </c>
      <c r="N232" s="203">
        <f t="shared" si="149"/>
        <v>13074.210000000001</v>
      </c>
      <c r="O232" s="203">
        <f t="shared" si="149"/>
        <v>25504.17</v>
      </c>
      <c r="P232" s="203">
        <f t="shared" si="149"/>
        <v>6249.25</v>
      </c>
      <c r="Q232" s="203">
        <f t="shared" si="149"/>
        <v>2.4500000000000002</v>
      </c>
      <c r="R232" s="203">
        <f t="shared" si="149"/>
        <v>45627.799999999996</v>
      </c>
    </row>
    <row r="233" spans="1:22" ht="11.25" customHeight="1" x14ac:dyDescent="0.25">
      <c r="A233" s="348">
        <v>2012</v>
      </c>
      <c r="B233" s="203" t="str">
        <f t="shared" ref="B233:I233" si="150">B135</f>
        <v>-</v>
      </c>
      <c r="C233" s="203" t="str">
        <f t="shared" si="150"/>
        <v>-</v>
      </c>
      <c r="D233" s="203">
        <f t="shared" si="150"/>
        <v>10842.96</v>
      </c>
      <c r="E233" s="203">
        <f t="shared" si="150"/>
        <v>10869.55</v>
      </c>
      <c r="F233" s="203">
        <f t="shared" si="150"/>
        <v>11447.119999999999</v>
      </c>
      <c r="G233" s="203">
        <f t="shared" si="150"/>
        <v>2140.63</v>
      </c>
      <c r="H233" s="203">
        <f t="shared" si="150"/>
        <v>132.59</v>
      </c>
      <c r="I233" s="203">
        <f t="shared" si="150"/>
        <v>35432.850000000006</v>
      </c>
      <c r="J233" s="401"/>
      <c r="K233" s="203" t="str">
        <f t="shared" ref="K233:R233" si="151">K135</f>
        <v>-</v>
      </c>
      <c r="L233" s="203" t="str">
        <f t="shared" si="151"/>
        <v>-</v>
      </c>
      <c r="M233" s="203">
        <f t="shared" si="151"/>
        <v>493.48</v>
      </c>
      <c r="N233" s="203">
        <f t="shared" si="151"/>
        <v>10911.51</v>
      </c>
      <c r="O233" s="203">
        <f t="shared" si="151"/>
        <v>12682.220000000001</v>
      </c>
      <c r="P233" s="203">
        <f t="shared" si="151"/>
        <v>8998.2100000000009</v>
      </c>
      <c r="Q233" s="203">
        <f t="shared" si="151"/>
        <v>20.81</v>
      </c>
      <c r="R233" s="203">
        <f t="shared" si="151"/>
        <v>33106.229999999996</v>
      </c>
    </row>
    <row r="234" spans="1:22" ht="11.25" customHeight="1" x14ac:dyDescent="0.25">
      <c r="A234" s="348">
        <v>2013</v>
      </c>
      <c r="B234" s="203" t="str">
        <f t="shared" ref="B234:I234" si="152">B136</f>
        <v>-</v>
      </c>
      <c r="C234" s="203">
        <f t="shared" si="152"/>
        <v>130.57999999999998</v>
      </c>
      <c r="D234" s="203">
        <f t="shared" si="152"/>
        <v>4957.43</v>
      </c>
      <c r="E234" s="203">
        <f t="shared" si="152"/>
        <v>9041.93</v>
      </c>
      <c r="F234" s="203">
        <f t="shared" si="152"/>
        <v>14526.3</v>
      </c>
      <c r="G234" s="203">
        <f t="shared" si="152"/>
        <v>2060.9300000000003</v>
      </c>
      <c r="H234" s="203">
        <f t="shared" si="152"/>
        <v>118.68</v>
      </c>
      <c r="I234" s="203">
        <f t="shared" si="152"/>
        <v>30835.85</v>
      </c>
      <c r="J234" s="401"/>
      <c r="K234" s="203" t="str">
        <f t="shared" ref="K234:R234" si="153">K136</f>
        <v>-</v>
      </c>
      <c r="L234" s="203" t="str">
        <f t="shared" si="153"/>
        <v>-</v>
      </c>
      <c r="M234" s="203">
        <f t="shared" si="153"/>
        <v>4122.6000000000004</v>
      </c>
      <c r="N234" s="203">
        <f t="shared" si="153"/>
        <v>11616.59</v>
      </c>
      <c r="O234" s="203">
        <f t="shared" si="153"/>
        <v>27487.87</v>
      </c>
      <c r="P234" s="203">
        <f t="shared" si="153"/>
        <v>6908.22</v>
      </c>
      <c r="Q234" s="203">
        <f t="shared" si="153"/>
        <v>17.72</v>
      </c>
      <c r="R234" s="203">
        <f t="shared" si="153"/>
        <v>50153</v>
      </c>
    </row>
    <row r="235" spans="1:22" ht="11.25" customHeight="1" x14ac:dyDescent="0.25">
      <c r="A235" s="348">
        <v>2014</v>
      </c>
      <c r="B235" s="203" t="str">
        <f t="shared" ref="B235:I235" si="154">B137</f>
        <v>-</v>
      </c>
      <c r="C235" s="203">
        <f t="shared" si="154"/>
        <v>650.30999999999995</v>
      </c>
      <c r="D235" s="203">
        <f t="shared" si="154"/>
        <v>6176.5</v>
      </c>
      <c r="E235" s="203">
        <f t="shared" si="154"/>
        <v>16088.49</v>
      </c>
      <c r="F235" s="203">
        <f t="shared" si="154"/>
        <v>17576.010000000002</v>
      </c>
      <c r="G235" s="203">
        <f t="shared" si="154"/>
        <v>1729.44</v>
      </c>
      <c r="H235" s="203">
        <f t="shared" si="154"/>
        <v>110.29</v>
      </c>
      <c r="I235" s="203">
        <f t="shared" si="154"/>
        <v>42331.039999999994</v>
      </c>
      <c r="J235" s="401"/>
      <c r="K235" s="203" t="str">
        <f t="shared" ref="K235:R235" si="155">K137</f>
        <v>-</v>
      </c>
      <c r="L235" s="203" t="str">
        <f t="shared" si="155"/>
        <v>-</v>
      </c>
      <c r="M235" s="203">
        <f t="shared" si="155"/>
        <v>8839.01</v>
      </c>
      <c r="N235" s="203">
        <f t="shared" si="155"/>
        <v>40204.6</v>
      </c>
      <c r="O235" s="203">
        <f t="shared" si="155"/>
        <v>60914.15</v>
      </c>
      <c r="P235" s="203">
        <f t="shared" si="155"/>
        <v>29640.080000000002</v>
      </c>
      <c r="Q235" s="203">
        <f t="shared" si="155"/>
        <v>199.14</v>
      </c>
      <c r="R235" s="203">
        <f t="shared" si="155"/>
        <v>139796.98000000001</v>
      </c>
    </row>
    <row r="236" spans="1:22" ht="11.25" customHeight="1" x14ac:dyDescent="0.25">
      <c r="A236" s="348">
        <v>2015</v>
      </c>
      <c r="B236" s="203" t="str">
        <f t="shared" ref="B236:I236" si="156">B138</f>
        <v>-</v>
      </c>
      <c r="C236" s="203">
        <f t="shared" si="156"/>
        <v>623.16</v>
      </c>
      <c r="D236" s="203">
        <f t="shared" si="156"/>
        <v>6297.58</v>
      </c>
      <c r="E236" s="203">
        <f t="shared" si="156"/>
        <v>17514.86</v>
      </c>
      <c r="F236" s="203">
        <f t="shared" si="156"/>
        <v>11538.57</v>
      </c>
      <c r="G236" s="203">
        <f t="shared" si="156"/>
        <v>6049.3099999999995</v>
      </c>
      <c r="H236" s="203">
        <f t="shared" si="156"/>
        <v>164.41</v>
      </c>
      <c r="I236" s="203">
        <f t="shared" si="156"/>
        <v>42187.89</v>
      </c>
      <c r="J236" s="401"/>
      <c r="K236" s="203" t="str">
        <f t="shared" ref="K236:R236" si="157">K138</f>
        <v>-</v>
      </c>
      <c r="L236" s="203" t="str">
        <f t="shared" si="157"/>
        <v>-</v>
      </c>
      <c r="M236" s="203">
        <f t="shared" si="157"/>
        <v>5946.9400000000005</v>
      </c>
      <c r="N236" s="203">
        <f t="shared" si="157"/>
        <v>31174.42</v>
      </c>
      <c r="O236" s="203">
        <f t="shared" si="157"/>
        <v>27415.649999999998</v>
      </c>
      <c r="P236" s="203">
        <f t="shared" si="157"/>
        <v>19027.48</v>
      </c>
      <c r="Q236" s="203">
        <f t="shared" si="157"/>
        <v>12.74</v>
      </c>
      <c r="R236" s="203">
        <f t="shared" si="157"/>
        <v>83577.23000000001</v>
      </c>
    </row>
    <row r="237" spans="1:22" ht="11.25" customHeight="1" x14ac:dyDescent="0.25">
      <c r="A237" s="348">
        <v>2016</v>
      </c>
      <c r="B237" s="203" t="str">
        <f t="shared" ref="B237:I237" si="158">B139</f>
        <v>-</v>
      </c>
      <c r="C237" s="203" t="str">
        <f t="shared" si="158"/>
        <v>-</v>
      </c>
      <c r="D237" s="203" t="str">
        <f t="shared" si="158"/>
        <v>-</v>
      </c>
      <c r="E237" s="203">
        <f t="shared" si="158"/>
        <v>10171.99</v>
      </c>
      <c r="F237" s="203">
        <f t="shared" si="158"/>
        <v>7775.48</v>
      </c>
      <c r="G237" s="203" t="str">
        <f t="shared" si="158"/>
        <v>-</v>
      </c>
      <c r="H237" s="203" t="str">
        <f t="shared" si="158"/>
        <v>-</v>
      </c>
      <c r="I237" s="203">
        <f t="shared" si="158"/>
        <v>17947.47</v>
      </c>
      <c r="J237" s="401"/>
      <c r="K237" s="203" t="str">
        <f t="shared" ref="K237:R237" si="159">K139</f>
        <v>-</v>
      </c>
      <c r="L237" s="203" t="str">
        <f t="shared" si="159"/>
        <v>-</v>
      </c>
      <c r="M237" s="203" t="str">
        <f t="shared" si="159"/>
        <v>-</v>
      </c>
      <c r="N237" s="203">
        <f t="shared" si="159"/>
        <v>5669.99</v>
      </c>
      <c r="O237" s="203">
        <f t="shared" si="159"/>
        <v>13042.630000000001</v>
      </c>
      <c r="P237" s="203" t="str">
        <f t="shared" si="159"/>
        <v>-</v>
      </c>
      <c r="Q237" s="203" t="str">
        <f t="shared" si="159"/>
        <v>-</v>
      </c>
      <c r="R237" s="203">
        <f t="shared" si="159"/>
        <v>18712.62</v>
      </c>
    </row>
    <row r="238" spans="1:22" ht="11.25" customHeight="1" x14ac:dyDescent="0.25">
      <c r="A238" s="348">
        <v>2017</v>
      </c>
      <c r="B238" s="203" t="str">
        <f t="shared" ref="B238:I238" si="160">B140</f>
        <v>-</v>
      </c>
      <c r="C238" s="203" t="str">
        <f t="shared" si="160"/>
        <v>-</v>
      </c>
      <c r="D238" s="203">
        <f t="shared" si="160"/>
        <v>899.28</v>
      </c>
      <c r="E238" s="203">
        <f t="shared" si="160"/>
        <v>13348.34</v>
      </c>
      <c r="F238" s="203">
        <f t="shared" si="160"/>
        <v>7606.829999999999</v>
      </c>
      <c r="G238" s="203">
        <f t="shared" si="160"/>
        <v>90.74</v>
      </c>
      <c r="H238" s="203" t="str">
        <f t="shared" si="160"/>
        <v>-</v>
      </c>
      <c r="I238" s="203">
        <f t="shared" si="160"/>
        <v>21945.190000000002</v>
      </c>
      <c r="J238" s="401"/>
      <c r="K238" s="203" t="str">
        <f t="shared" ref="K238:R238" si="161">K140</f>
        <v>-</v>
      </c>
      <c r="L238" s="203" t="str">
        <f t="shared" si="161"/>
        <v>-</v>
      </c>
      <c r="M238" s="203">
        <f t="shared" si="161"/>
        <v>100.71000000000001</v>
      </c>
      <c r="N238" s="203">
        <f t="shared" si="161"/>
        <v>16563.330000000002</v>
      </c>
      <c r="O238" s="203">
        <f t="shared" si="161"/>
        <v>25063.15</v>
      </c>
      <c r="P238" s="203">
        <f t="shared" si="161"/>
        <v>929.59999999999991</v>
      </c>
      <c r="Q238" s="203" t="str">
        <f t="shared" si="161"/>
        <v>-</v>
      </c>
      <c r="R238" s="203">
        <f t="shared" si="161"/>
        <v>42656.79</v>
      </c>
    </row>
    <row r="239" spans="1:22" s="358" customFormat="1" ht="11.25" customHeight="1" x14ac:dyDescent="0.25">
      <c r="A239" s="348">
        <v>2018</v>
      </c>
      <c r="B239" s="203" t="str">
        <f t="shared" ref="B239:I239" si="162">B141</f>
        <v>-</v>
      </c>
      <c r="C239" s="203" t="str">
        <f t="shared" si="162"/>
        <v>-</v>
      </c>
      <c r="D239" s="203">
        <f t="shared" si="162"/>
        <v>952.96</v>
      </c>
      <c r="E239" s="203">
        <f t="shared" si="162"/>
        <v>5564.03</v>
      </c>
      <c r="F239" s="203">
        <f t="shared" si="162"/>
        <v>4025.67</v>
      </c>
      <c r="G239" s="203">
        <f t="shared" si="162"/>
        <v>59.63</v>
      </c>
      <c r="H239" s="203" t="str">
        <f t="shared" si="162"/>
        <v>-</v>
      </c>
      <c r="I239" s="203">
        <f t="shared" si="162"/>
        <v>10602.29</v>
      </c>
      <c r="J239" s="401"/>
      <c r="K239" s="203" t="str">
        <f t="shared" ref="K239:R239" si="163">K141</f>
        <v>-</v>
      </c>
      <c r="L239" s="203" t="str">
        <f t="shared" si="163"/>
        <v>-</v>
      </c>
      <c r="M239" s="203">
        <f t="shared" si="163"/>
        <v>867.94</v>
      </c>
      <c r="N239" s="203">
        <f t="shared" si="163"/>
        <v>10973.68</v>
      </c>
      <c r="O239" s="203">
        <f t="shared" si="163"/>
        <v>29631.989999999998</v>
      </c>
      <c r="P239" s="203">
        <f t="shared" si="163"/>
        <v>364.28999999999996</v>
      </c>
      <c r="Q239" s="203" t="str">
        <f t="shared" si="163"/>
        <v>-</v>
      </c>
      <c r="R239" s="203">
        <f t="shared" si="163"/>
        <v>41837.899999999994</v>
      </c>
    </row>
    <row r="240" spans="1:22" s="358" customFormat="1" ht="11.25" customHeight="1" x14ac:dyDescent="0.25">
      <c r="A240" s="491">
        <v>2019</v>
      </c>
      <c r="B240" s="203" t="str">
        <f t="shared" ref="B240:I241" si="164">B142</f>
        <v>-</v>
      </c>
      <c r="C240" s="203" t="str">
        <f t="shared" si="164"/>
        <v>-</v>
      </c>
      <c r="D240" s="203">
        <f t="shared" si="164"/>
        <v>1950.9900000000002</v>
      </c>
      <c r="E240" s="203">
        <f t="shared" si="164"/>
        <v>5965.1900000000005</v>
      </c>
      <c r="F240" s="203">
        <f t="shared" si="164"/>
        <v>2521.5500000000002</v>
      </c>
      <c r="G240" s="203">
        <f t="shared" si="164"/>
        <v>276.18</v>
      </c>
      <c r="H240" s="203">
        <f t="shared" si="164"/>
        <v>164.35</v>
      </c>
      <c r="I240" s="203">
        <f t="shared" si="164"/>
        <v>10878.26</v>
      </c>
      <c r="J240" s="401"/>
      <c r="K240" s="203" t="str">
        <f t="shared" ref="K240:R241" si="165">K142</f>
        <v>-</v>
      </c>
      <c r="L240" s="203" t="str">
        <f t="shared" si="165"/>
        <v>-</v>
      </c>
      <c r="M240" s="203">
        <f t="shared" si="165"/>
        <v>6455.35</v>
      </c>
      <c r="N240" s="203">
        <f t="shared" si="165"/>
        <v>32492.399999999998</v>
      </c>
      <c r="O240" s="203">
        <f t="shared" si="165"/>
        <v>39329.089999999997</v>
      </c>
      <c r="P240" s="203">
        <f t="shared" si="165"/>
        <v>3355.85</v>
      </c>
      <c r="Q240" s="203">
        <f t="shared" si="165"/>
        <v>15.86</v>
      </c>
      <c r="R240" s="203">
        <f t="shared" si="165"/>
        <v>81648.55</v>
      </c>
    </row>
    <row r="241" spans="1:18" ht="11.25" customHeight="1" x14ac:dyDescent="0.25">
      <c r="A241" s="371" t="s">
        <v>394</v>
      </c>
      <c r="B241" s="203" t="str">
        <f t="shared" si="164"/>
        <v>-</v>
      </c>
      <c r="C241" s="203" t="str">
        <f t="shared" si="164"/>
        <v>-</v>
      </c>
      <c r="D241" s="203">
        <f t="shared" si="164"/>
        <v>821.30000000000007</v>
      </c>
      <c r="E241" s="203">
        <f t="shared" si="164"/>
        <v>4767.3599999999997</v>
      </c>
      <c r="F241" s="203">
        <f t="shared" si="164"/>
        <v>1591.84</v>
      </c>
      <c r="G241" s="203">
        <f t="shared" si="164"/>
        <v>478.51</v>
      </c>
      <c r="H241" s="203" t="str">
        <f t="shared" si="164"/>
        <v>-</v>
      </c>
      <c r="I241" s="203">
        <f t="shared" si="164"/>
        <v>7659.01</v>
      </c>
      <c r="J241" s="401"/>
      <c r="K241" s="203" t="str">
        <f t="shared" si="165"/>
        <v>-</v>
      </c>
      <c r="L241" s="203" t="str">
        <f t="shared" si="165"/>
        <v>-</v>
      </c>
      <c r="M241" s="203">
        <f t="shared" si="165"/>
        <v>49.98</v>
      </c>
      <c r="N241" s="203">
        <f t="shared" si="165"/>
        <v>17702.04</v>
      </c>
      <c r="O241" s="203">
        <f t="shared" si="165"/>
        <v>3894.54</v>
      </c>
      <c r="P241" s="203">
        <f t="shared" si="165"/>
        <v>2327.23</v>
      </c>
      <c r="Q241" s="203" t="str">
        <f t="shared" si="165"/>
        <v>-</v>
      </c>
      <c r="R241" s="203">
        <f t="shared" si="165"/>
        <v>23973.79</v>
      </c>
    </row>
    <row r="242" spans="1:18" ht="11.25" customHeight="1" x14ac:dyDescent="0.25">
      <c r="A242" s="362" t="str">
        <f>A144</f>
        <v>a/  Monthly totals for Oregon data are the sum of statistical weeks with closest fit to the calendar month.  Washington data are summarized by statistical month.</v>
      </c>
      <c r="B242" s="362"/>
      <c r="C242" s="362"/>
      <c r="D242" s="362"/>
      <c r="E242" s="362"/>
      <c r="F242" s="362"/>
      <c r="G242" s="362"/>
      <c r="H242" s="362"/>
      <c r="I242" s="362"/>
      <c r="J242" s="362"/>
      <c r="K242" s="362"/>
      <c r="L242" s="362"/>
      <c r="M242" s="362"/>
      <c r="N242" s="362"/>
      <c r="O242" s="362"/>
      <c r="P242" s="362"/>
      <c r="Q242" s="362"/>
      <c r="R242" s="362"/>
    </row>
    <row r="243" spans="1:18" ht="11.25" customHeight="1" x14ac:dyDescent="0.25">
      <c r="A243" s="308" t="str">
        <f>A145</f>
        <v>b/  Includes minor effort in November in some years.</v>
      </c>
      <c r="B243" s="308"/>
      <c r="C243" s="308"/>
      <c r="D243" s="308"/>
      <c r="E243" s="308"/>
      <c r="F243" s="308"/>
      <c r="G243" s="308"/>
      <c r="H243" s="308"/>
      <c r="I243" s="308"/>
      <c r="J243" s="308"/>
      <c r="K243" s="308"/>
      <c r="L243" s="308"/>
      <c r="M243" s="308"/>
      <c r="N243" s="308"/>
      <c r="O243" s="308"/>
      <c r="P243" s="308"/>
      <c r="Q243" s="308"/>
      <c r="R243" s="308"/>
    </row>
    <row r="244" spans="1:18" ht="11.25" customHeight="1" x14ac:dyDescent="0.25">
      <c r="A244" s="308" t="str">
        <f>A146</f>
        <v>c/  Includes catch from the Washington State waters Area 4B fishery in 1991, 1992, 1993, 1996, 1997, 1998, 2000, and 2008.</v>
      </c>
      <c r="B244" s="308"/>
      <c r="C244" s="308"/>
      <c r="D244" s="308"/>
      <c r="E244" s="308"/>
      <c r="F244" s="308"/>
      <c r="G244" s="308"/>
      <c r="H244" s="308"/>
      <c r="I244" s="308"/>
      <c r="J244" s="308"/>
      <c r="K244" s="308"/>
      <c r="L244" s="308"/>
      <c r="M244" s="308"/>
      <c r="N244" s="308"/>
      <c r="O244" s="308"/>
      <c r="P244" s="308"/>
      <c r="Q244" s="308"/>
      <c r="R244" s="308"/>
    </row>
    <row r="245" spans="1:18" ht="11.25" customHeight="1" x14ac:dyDescent="0.25">
      <c r="A245" s="622" t="str">
        <f>A147</f>
        <v>d/  Preliminary.</v>
      </c>
      <c r="B245" s="622"/>
      <c r="C245" s="622"/>
      <c r="D245" s="622"/>
      <c r="E245" s="622"/>
      <c r="F245" s="622"/>
      <c r="G245" s="622"/>
      <c r="H245" s="622"/>
      <c r="I245" s="622"/>
      <c r="J245" s="622"/>
      <c r="K245" s="622"/>
      <c r="L245" s="622"/>
      <c r="M245" s="622"/>
      <c r="N245" s="622"/>
      <c r="O245" s="622"/>
      <c r="P245" s="622"/>
      <c r="Q245" s="622"/>
      <c r="R245" s="622"/>
    </row>
    <row r="246" spans="1:18" ht="11.25" customHeight="1" x14ac:dyDescent="0.25">
      <c r="A246" s="372"/>
      <c r="B246" s="63"/>
      <c r="C246" s="63"/>
      <c r="D246" s="63"/>
      <c r="E246" s="63"/>
      <c r="F246" s="63"/>
      <c r="G246" s="63"/>
      <c r="H246" s="63"/>
      <c r="I246" s="63"/>
      <c r="K246" s="63"/>
      <c r="L246" s="63"/>
      <c r="M246" s="63"/>
      <c r="N246" s="63"/>
      <c r="O246" s="63"/>
      <c r="P246" s="63"/>
      <c r="Q246" s="63"/>
      <c r="R246" s="63"/>
    </row>
  </sheetData>
  <mergeCells count="14">
    <mergeCell ref="A146:R146"/>
    <mergeCell ref="A1:R1"/>
    <mergeCell ref="B3:I3"/>
    <mergeCell ref="K3:R3"/>
    <mergeCell ref="A144:R144"/>
    <mergeCell ref="A145:R145"/>
    <mergeCell ref="A245:R245"/>
    <mergeCell ref="A147:R147"/>
    <mergeCell ref="A171:R171"/>
    <mergeCell ref="B173:I173"/>
    <mergeCell ref="K173:R173"/>
    <mergeCell ref="B220:I220"/>
    <mergeCell ref="K220:R220"/>
    <mergeCell ref="A218:R218"/>
  </mergeCells>
  <pageMargins left="0.7" right="0.7" top="0.75" bottom="0.75" header="0.3" footer="0.3"/>
  <pageSetup orientation="landscape" r:id="rId1"/>
  <rowBreaks count="1" manualBreakCount="1">
    <brk id="217" max="17"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2"/>
  <dimension ref="A1"/>
  <sheetViews>
    <sheetView showGridLines="0" workbookViewId="0">
      <selection sqref="A1:J2"/>
    </sheetView>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27</vt:i4>
      </vt:variant>
    </vt:vector>
  </HeadingPairs>
  <TitlesOfParts>
    <vt:vector size="58" baseType="lpstr">
      <vt:lpstr>Instructions</vt:lpstr>
      <vt:lpstr>INFO</vt:lpstr>
      <vt:lpstr>A-1</vt:lpstr>
      <vt:lpstr>A-2</vt:lpstr>
      <vt:lpstr>A-3</vt:lpstr>
      <vt:lpstr>A-4</vt:lpstr>
      <vt:lpstr>A-5</vt:lpstr>
      <vt:lpstr>A-6</vt:lpstr>
      <vt:lpstr>A-7</vt:lpstr>
      <vt:lpstr>A-8</vt:lpstr>
      <vt:lpstr>A-9</vt:lpstr>
      <vt:lpstr>A-10</vt:lpstr>
      <vt:lpstr>A-11</vt:lpstr>
      <vt:lpstr>A-12</vt:lpstr>
      <vt:lpstr>A-13</vt:lpstr>
      <vt:lpstr>A-14</vt:lpstr>
      <vt:lpstr>A-15</vt:lpstr>
      <vt:lpstr>A-16</vt:lpstr>
      <vt:lpstr>A-17</vt:lpstr>
      <vt:lpstr>A-18</vt:lpstr>
      <vt:lpstr>A-19</vt:lpstr>
      <vt:lpstr>A-20</vt:lpstr>
      <vt:lpstr>A-21</vt:lpstr>
      <vt:lpstr>A-22</vt:lpstr>
      <vt:lpstr>A-23</vt:lpstr>
      <vt:lpstr>A-24</vt:lpstr>
      <vt:lpstr>A-25</vt:lpstr>
      <vt:lpstr>A-26</vt:lpstr>
      <vt:lpstr>A-27</vt:lpstr>
      <vt:lpstr>A-28</vt:lpstr>
      <vt:lpstr>Sheet1</vt:lpstr>
      <vt:lpstr>'A-10'!Print_Area</vt:lpstr>
      <vt:lpstr>'A-11'!Print_Area</vt:lpstr>
      <vt:lpstr>'A-12'!Print_Area</vt:lpstr>
      <vt:lpstr>'A-13'!Print_Area</vt:lpstr>
      <vt:lpstr>'A-14'!Print_Area</vt:lpstr>
      <vt:lpstr>'A-15'!Print_Area</vt:lpstr>
      <vt:lpstr>'A-16'!Print_Area</vt:lpstr>
      <vt:lpstr>'A-17'!Print_Area</vt:lpstr>
      <vt:lpstr>'A-18'!Print_Area</vt:lpstr>
      <vt:lpstr>'A-19'!Print_Area</vt:lpstr>
      <vt:lpstr>'A-2'!Print_Area</vt:lpstr>
      <vt:lpstr>'A-20'!Print_Area</vt:lpstr>
      <vt:lpstr>'A-21'!Print_Area</vt:lpstr>
      <vt:lpstr>'A-22'!Print_Area</vt:lpstr>
      <vt:lpstr>'A-23'!Print_Area</vt:lpstr>
      <vt:lpstr>'A-24'!Print_Area</vt:lpstr>
      <vt:lpstr>'A-25'!Print_Area</vt:lpstr>
      <vt:lpstr>'A-26'!Print_Area</vt:lpstr>
      <vt:lpstr>'A-27'!Print_Area</vt:lpstr>
      <vt:lpstr>'A-28'!Print_Area</vt:lpstr>
      <vt:lpstr>'A-3'!Print_Area</vt:lpstr>
      <vt:lpstr>'A-4'!Print_Area</vt:lpstr>
      <vt:lpstr>'A-5'!Print_Area</vt:lpstr>
      <vt:lpstr>'A-6'!Print_Area</vt:lpstr>
      <vt:lpstr>'A-7'!Print_Area</vt:lpstr>
      <vt:lpstr>'A-8'!Print_Area</vt:lpstr>
      <vt:lpstr>'A-9'!Print_Area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Chuck Tracy</dc:creator>
  <cp:lastModifiedBy>PFMC</cp:lastModifiedBy>
  <cp:lastPrinted>2020-01-22T22:52:54Z</cp:lastPrinted>
  <dcterms:created xsi:type="dcterms:W3CDTF">2001-03-01T18:32:51Z</dcterms:created>
  <dcterms:modified xsi:type="dcterms:W3CDTF">2021-05-05T22:29:49Z</dcterms:modified>
</cp:coreProperties>
</file>